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tables/table7.xml" ContentType="application/vnd.openxmlformats-officedocument.spreadsheetml.table+xml"/>
  <Override PartName="/xl/drawings/drawing3.xml" ContentType="application/vnd.openxmlformats-officedocument.drawing+xml"/>
  <Override PartName="/xl/charts/chart12.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drawings/drawing5.xml" ContentType="application/vnd.openxmlformats-officedocument.drawingml.chartshapes+xml"/>
  <Override PartName="/xl/charts/chart14.xml" ContentType="application/vnd.openxmlformats-officedocument.drawingml.chart+xml"/>
  <Override PartName="/xl/charts/chart15.xml" ContentType="application/vnd.openxmlformats-officedocument.drawingml.chart+xml"/>
  <Override PartName="/xl/drawings/drawing6.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E:\Projects\IOT\Production data\Prd\"/>
    </mc:Choice>
  </mc:AlternateContent>
  <bookViews>
    <workbookView xWindow="-120" yWindow="-120" windowWidth="20730" windowHeight="11160" tabRatio="901" firstSheet="5" activeTab="8"/>
  </bookViews>
  <sheets>
    <sheet name="Sheet1" sheetId="50" state="hidden" r:id="rId1"/>
    <sheet name="Sheet2" sheetId="46" state="hidden" r:id="rId2"/>
    <sheet name="Sheet3" sheetId="47" state="hidden" r:id="rId3"/>
    <sheet name="Sheet5" sheetId="51" state="hidden" r:id="rId4"/>
    <sheet name="Sheet6" sheetId="52" state="hidden" r:id="rId5"/>
    <sheet name="Data Sheet Aug-2021" sheetId="21" r:id="rId6"/>
    <sheet name="Sheet7" sheetId="55" state="hidden" r:id="rId7"/>
    <sheet name="Sheet8" sheetId="56" state="hidden" r:id="rId8"/>
    <sheet name="Sheet4" sheetId="59" r:id="rId9"/>
    <sheet name="Report summary" sheetId="42" state="hidden" r:id="rId10"/>
    <sheet name="PVA" sheetId="4" state="hidden" r:id="rId11"/>
    <sheet name="Prod Summary" sheetId="29" state="hidden" r:id="rId12"/>
    <sheet name="Item Data Support Sheet" sheetId="5" state="hidden" r:id="rId13"/>
    <sheet name="OEE%." sheetId="58" state="hidden" r:id="rId14"/>
    <sheet name="Manpower &amp; Gwr" sheetId="44" state="hidden" r:id="rId15"/>
    <sheet name="Standard Cycle time" sheetId="39" state="hidden" r:id="rId16"/>
    <sheet name="Rej Trend" sheetId="43" state="hidden" r:id="rId17"/>
    <sheet name="Mold-Machine details" sheetId="22" state="hidden" r:id="rId18"/>
    <sheet name="Std Mold Change over Time" sheetId="25" state="hidden" r:id="rId19"/>
    <sheet name="Material Yield Trend" sheetId="31" state="hidden" r:id="rId20"/>
    <sheet name="LIM-1 Trial" sheetId="54" state="hidden"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0" localSheetId="11">#REF!</definedName>
    <definedName name="\0" localSheetId="16">#REF!</definedName>
    <definedName name="\0" localSheetId="18">#REF!</definedName>
    <definedName name="\0">#REF!</definedName>
    <definedName name="\a" localSheetId="11">#REF!</definedName>
    <definedName name="\a" localSheetId="16">#REF!</definedName>
    <definedName name="\a" localSheetId="18">#REF!</definedName>
    <definedName name="\a">#REF!</definedName>
    <definedName name="\e" localSheetId="11">#REF!</definedName>
    <definedName name="\e" localSheetId="16">#REF!</definedName>
    <definedName name="\e" localSheetId="18">#REF!</definedName>
    <definedName name="\e">#REF!</definedName>
    <definedName name="\q" localSheetId="11">#REF!</definedName>
    <definedName name="\q" localSheetId="16">#REF!</definedName>
    <definedName name="\q" localSheetId="18">#REF!</definedName>
    <definedName name="\q">#REF!</definedName>
    <definedName name="\r" localSheetId="11">#REF!</definedName>
    <definedName name="\r" localSheetId="16">#REF!</definedName>
    <definedName name="\r" localSheetId="18">#REF!</definedName>
    <definedName name="\r">#REF!</definedName>
    <definedName name="\s" localSheetId="11">#REF!</definedName>
    <definedName name="\s" localSheetId="16">#REF!</definedName>
    <definedName name="\s" localSheetId="18">#REF!</definedName>
    <definedName name="\s">#REF!</definedName>
    <definedName name="\t" localSheetId="11">#REF!</definedName>
    <definedName name="\t" localSheetId="16">#REF!</definedName>
    <definedName name="\t" localSheetId="18">#REF!</definedName>
    <definedName name="\t">#REF!</definedName>
    <definedName name="\X" localSheetId="11">#REF!</definedName>
    <definedName name="\X" localSheetId="16">#REF!</definedName>
    <definedName name="\X" localSheetId="18">#REF!</definedName>
    <definedName name="\X">#REF!</definedName>
    <definedName name="\z" localSheetId="11">#REF!</definedName>
    <definedName name="\z" localSheetId="16">#REF!</definedName>
    <definedName name="\z" localSheetId="18">#REF!</definedName>
    <definedName name="\z">#REF!</definedName>
    <definedName name="_" localSheetId="11">#REF!</definedName>
    <definedName name="_" localSheetId="16">#REF!</definedName>
    <definedName name="_" localSheetId="18">#REF!</definedName>
    <definedName name="_">#REF!</definedName>
    <definedName name="__" localSheetId="11">#REF!</definedName>
    <definedName name="__" localSheetId="16">#REF!</definedName>
    <definedName name="__" localSheetId="18">#REF!</definedName>
    <definedName name="__">#REF!</definedName>
    <definedName name="___" localSheetId="11">#REF!</definedName>
    <definedName name="___" localSheetId="16">#REF!</definedName>
    <definedName name="___" localSheetId="18">#REF!</definedName>
    <definedName name="___">#REF!</definedName>
    <definedName name="____" localSheetId="11">#REF!</definedName>
    <definedName name="____" localSheetId="16">#REF!</definedName>
    <definedName name="____" localSheetId="18">#REF!</definedName>
    <definedName name="____">#REF!</definedName>
    <definedName name="_____" localSheetId="11">#REF!</definedName>
    <definedName name="_____" localSheetId="16">#REF!</definedName>
    <definedName name="_____" localSheetId="18">#REF!</definedName>
    <definedName name="_____">#REF!</definedName>
    <definedName name="_______" localSheetId="11">#REF!</definedName>
    <definedName name="_______" localSheetId="16">#REF!</definedName>
    <definedName name="_______" localSheetId="18">#REF!</definedName>
    <definedName name="_______">#REF!</definedName>
    <definedName name="_____No_____No______" localSheetId="11">#REF!</definedName>
    <definedName name="_____No_____No______" localSheetId="16">#REF!</definedName>
    <definedName name="_____No_____No______" localSheetId="18">#REF!</definedName>
    <definedName name="_____No_____No______">#REF!</definedName>
    <definedName name="____aug2" localSheetId="11">#REF!</definedName>
    <definedName name="____aug2" localSheetId="16">#REF!</definedName>
    <definedName name="____aug2" localSheetId="18">#REF!</definedName>
    <definedName name="____aug2">#REF!</definedName>
    <definedName name="____C" localSheetId="11">#REF!</definedName>
    <definedName name="____C" localSheetId="16">#REF!</definedName>
    <definedName name="____C" localSheetId="18">#REF!</definedName>
    <definedName name="____C">#REF!</definedName>
    <definedName name="____E_" localSheetId="11">#REF!</definedName>
    <definedName name="____E_" localSheetId="16">#REF!</definedName>
    <definedName name="____E_" localSheetId="18">#REF!</definedName>
    <definedName name="____E_">#REF!</definedName>
    <definedName name="____MI1" localSheetId="11">#REF!</definedName>
    <definedName name="____MI1" localSheetId="16">#REF!</definedName>
    <definedName name="____MI1" localSheetId="18">#REF!</definedName>
    <definedName name="____MI1">#REF!</definedName>
    <definedName name="____MI2" localSheetId="11">#REF!</definedName>
    <definedName name="____MI2" localSheetId="16">#REF!</definedName>
    <definedName name="____MI2" localSheetId="18">#REF!</definedName>
    <definedName name="____MI2">#REF!</definedName>
    <definedName name="____MI6" localSheetId="11">#REF!</definedName>
    <definedName name="____MI6" localSheetId="16">#REF!</definedName>
    <definedName name="____MI6" localSheetId="18">#REF!</definedName>
    <definedName name="____MI6">#REF!</definedName>
    <definedName name="____MI7" localSheetId="11">#REF!</definedName>
    <definedName name="____MI7" localSheetId="16">#REF!</definedName>
    <definedName name="____MI7" localSheetId="18">#REF!</definedName>
    <definedName name="____MI7">#REF!</definedName>
    <definedName name="____MI8" localSheetId="11">#REF!</definedName>
    <definedName name="____MI8" localSheetId="16">#REF!</definedName>
    <definedName name="____MI8" localSheetId="18">#REF!</definedName>
    <definedName name="____MI8">#REF!</definedName>
    <definedName name="____mil1" localSheetId="11">#REF!</definedName>
    <definedName name="____mil1" localSheetId="16">#REF!</definedName>
    <definedName name="____mil1" localSheetId="18">#REF!</definedName>
    <definedName name="____mil1">#REF!</definedName>
    <definedName name="____mil2" localSheetId="11">#REF!</definedName>
    <definedName name="____mil2" localSheetId="16">#REF!</definedName>
    <definedName name="____mil2" localSheetId="18">#REF!</definedName>
    <definedName name="____mil2">#REF!</definedName>
    <definedName name="____mil6" localSheetId="11">#REF!</definedName>
    <definedName name="____mil6" localSheetId="16">#REF!</definedName>
    <definedName name="____mil6" localSheetId="18">#REF!</definedName>
    <definedName name="____mil6">#REF!</definedName>
    <definedName name="____mil7" localSheetId="11">#REF!</definedName>
    <definedName name="____mil7" localSheetId="16">#REF!</definedName>
    <definedName name="____mil7" localSheetId="18">#REF!</definedName>
    <definedName name="____mil7">#REF!</definedName>
    <definedName name="____mil8" localSheetId="11">#REF!</definedName>
    <definedName name="____mil8" localSheetId="16">#REF!</definedName>
    <definedName name="____mil8" localSheetId="18">#REF!</definedName>
    <definedName name="____mil8">#REF!</definedName>
    <definedName name="____new1" localSheetId="11">#REF!</definedName>
    <definedName name="____new1" localSheetId="16">#REF!</definedName>
    <definedName name="____new1" localSheetId="18">#REF!</definedName>
    <definedName name="____new1">#REF!</definedName>
    <definedName name="____new11" localSheetId="11">#REF!</definedName>
    <definedName name="____new11" localSheetId="16">#REF!</definedName>
    <definedName name="____new11" localSheetId="18">#REF!</definedName>
    <definedName name="____new11">#REF!</definedName>
    <definedName name="____new6" localSheetId="11">#REF!</definedName>
    <definedName name="____new6" localSheetId="16">#REF!</definedName>
    <definedName name="____new6" localSheetId="18">#REF!</definedName>
    <definedName name="____new6">#REF!</definedName>
    <definedName name="____PL1" localSheetId="11">#REF!</definedName>
    <definedName name="____PL1" localSheetId="16">#REF!</definedName>
    <definedName name="____PL1" localSheetId="18">#REF!</definedName>
    <definedName name="____PL1">#REF!</definedName>
    <definedName name="____PL2" localSheetId="11">#REF!</definedName>
    <definedName name="____PL2" localSheetId="16">#REF!</definedName>
    <definedName name="____PL2" localSheetId="18">#REF!</definedName>
    <definedName name="____PL2">#REF!</definedName>
    <definedName name="____R" localSheetId="11">#REF!</definedName>
    <definedName name="____R" localSheetId="16">#REF!</definedName>
    <definedName name="____R" localSheetId="18">#REF!</definedName>
    <definedName name="____R">#REF!</definedName>
    <definedName name="____wo2" localSheetId="11">#REF!</definedName>
    <definedName name="____wo2" localSheetId="16">#REF!</definedName>
    <definedName name="____wo2" localSheetId="18">#REF!</definedName>
    <definedName name="____wo2">#REF!</definedName>
    <definedName name="____wo6" localSheetId="11">#REF!</definedName>
    <definedName name="____wo6" localSheetId="16">#REF!</definedName>
    <definedName name="____wo6" localSheetId="18">#REF!</definedName>
    <definedName name="____wo6">#REF!</definedName>
    <definedName name="____wo62" localSheetId="11">#REF!</definedName>
    <definedName name="____wo62" localSheetId="16">#REF!</definedName>
    <definedName name="____wo62" localSheetId="18">#REF!</definedName>
    <definedName name="____wo62">#REF!</definedName>
    <definedName name="___6" localSheetId="11">#REF!</definedName>
    <definedName name="___6" localSheetId="16">#REF!</definedName>
    <definedName name="___6" localSheetId="18">#REF!</definedName>
    <definedName name="___6">#REF!</definedName>
    <definedName name="___8" localSheetId="11">#REF!</definedName>
    <definedName name="___8" localSheetId="16">#REF!</definedName>
    <definedName name="___8" localSheetId="18">#REF!</definedName>
    <definedName name="___8">#REF!</definedName>
    <definedName name="___aug2" localSheetId="11">#REF!</definedName>
    <definedName name="___aug2" localSheetId="16">#REF!</definedName>
    <definedName name="___aug2" localSheetId="18">#REF!</definedName>
    <definedName name="___aug2">#REF!</definedName>
    <definedName name="___BOM1" localSheetId="11">#REF!</definedName>
    <definedName name="___BOM1" localSheetId="16">#REF!</definedName>
    <definedName name="___BOM1" localSheetId="18">#REF!</definedName>
    <definedName name="___BOM1">#REF!</definedName>
    <definedName name="___BTM150" localSheetId="11">#REF!</definedName>
    <definedName name="___BTM150" localSheetId="16">#REF!</definedName>
    <definedName name="___BTM150" localSheetId="18">#REF!</definedName>
    <definedName name="___BTM150">#REF!</definedName>
    <definedName name="___BTM200" localSheetId="11">#REF!</definedName>
    <definedName name="___BTM200" localSheetId="16">#REF!</definedName>
    <definedName name="___BTM200" localSheetId="18">#REF!</definedName>
    <definedName name="___BTM200">#REF!</definedName>
    <definedName name="___BTM50" localSheetId="11">#REF!</definedName>
    <definedName name="___BTM50" localSheetId="16">#REF!</definedName>
    <definedName name="___BTM50" localSheetId="18">#REF!</definedName>
    <definedName name="___BTM50">#REF!</definedName>
    <definedName name="___C" localSheetId="11">#REF!</definedName>
    <definedName name="___C" localSheetId="16">#REF!</definedName>
    <definedName name="___C" localSheetId="18">#REF!</definedName>
    <definedName name="___C">#REF!</definedName>
    <definedName name="___CON1" localSheetId="11">#REF!</definedName>
    <definedName name="___CON1" localSheetId="16">#REF!</definedName>
    <definedName name="___CON1" localSheetId="18">#REF!</definedName>
    <definedName name="___CON1">#REF!</definedName>
    <definedName name="___CON2" localSheetId="11">#REF!</definedName>
    <definedName name="___CON2" localSheetId="16">#REF!</definedName>
    <definedName name="___CON2" localSheetId="18">#REF!</definedName>
    <definedName name="___CON2">#REF!</definedName>
    <definedName name="___EXC1" localSheetId="11">#REF!</definedName>
    <definedName name="___EXC1" localSheetId="16">#REF!</definedName>
    <definedName name="___EXC1" localSheetId="18">#REF!</definedName>
    <definedName name="___EXC1">#REF!</definedName>
    <definedName name="___EXC2" localSheetId="11">#REF!</definedName>
    <definedName name="___EXC2" localSheetId="16">#REF!</definedName>
    <definedName name="___EXC2" localSheetId="18">#REF!</definedName>
    <definedName name="___EXC2">#REF!</definedName>
    <definedName name="___new1" localSheetId="11">#REF!</definedName>
    <definedName name="___new1" localSheetId="16">#REF!</definedName>
    <definedName name="___new1" localSheetId="18">#REF!</definedName>
    <definedName name="___new1">#REF!</definedName>
    <definedName name="___new11" localSheetId="11">#REF!</definedName>
    <definedName name="___new11" localSheetId="16">#REF!</definedName>
    <definedName name="___new11" localSheetId="18">#REF!</definedName>
    <definedName name="___new11">#REF!</definedName>
    <definedName name="___new6" localSheetId="11">#REF!</definedName>
    <definedName name="___new6" localSheetId="16">#REF!</definedName>
    <definedName name="___new6" localSheetId="18">#REF!</definedName>
    <definedName name="___new6">#REF!</definedName>
    <definedName name="___OH1" localSheetId="11">#REF!</definedName>
    <definedName name="___OH1" localSheetId="16">#REF!</definedName>
    <definedName name="___OH1" localSheetId="18">#REF!</definedName>
    <definedName name="___OH1">#REF!</definedName>
    <definedName name="___PL1" localSheetId="11">#REF!</definedName>
    <definedName name="___PL1" localSheetId="16">#REF!</definedName>
    <definedName name="___PL1" localSheetId="18">#REF!</definedName>
    <definedName name="___PL1">#REF!</definedName>
    <definedName name="___PL2" localSheetId="11">#REF!</definedName>
    <definedName name="___PL2" localSheetId="16">#REF!</definedName>
    <definedName name="___PL2" localSheetId="18">#REF!</definedName>
    <definedName name="___PL2">#REF!</definedName>
    <definedName name="___R" localSheetId="11">#REF!</definedName>
    <definedName name="___R" localSheetId="16">#REF!</definedName>
    <definedName name="___R" localSheetId="18">#REF!</definedName>
    <definedName name="___R">#REF!</definedName>
    <definedName name="___sat10" localSheetId="11">#REF!</definedName>
    <definedName name="___sat10" localSheetId="16">#REF!</definedName>
    <definedName name="___sat10" localSheetId="18">#REF!</definedName>
    <definedName name="___sat10">#REF!</definedName>
    <definedName name="___sat12" localSheetId="11">#REF!</definedName>
    <definedName name="___sat12" localSheetId="16">#REF!</definedName>
    <definedName name="___sat12" localSheetId="18">#REF!</definedName>
    <definedName name="___sat12">#REF!</definedName>
    <definedName name="___sat14" localSheetId="11">#REF!</definedName>
    <definedName name="___sat14" localSheetId="16">#REF!</definedName>
    <definedName name="___sat14" localSheetId="18">#REF!</definedName>
    <definedName name="___sat14">#REF!</definedName>
    <definedName name="___sat16" localSheetId="11">#REF!</definedName>
    <definedName name="___sat16" localSheetId="16">#REF!</definedName>
    <definedName name="___sat16" localSheetId="18">#REF!</definedName>
    <definedName name="___sat16">#REF!</definedName>
    <definedName name="___sat20" localSheetId="11">#REF!</definedName>
    <definedName name="___sat20" localSheetId="16">#REF!</definedName>
    <definedName name="___sat20" localSheetId="18">#REF!</definedName>
    <definedName name="___sat20">#REF!</definedName>
    <definedName name="___sat8" localSheetId="11">#REF!</definedName>
    <definedName name="___sat8" localSheetId="16">#REF!</definedName>
    <definedName name="___sat8" localSheetId="18">#REF!</definedName>
    <definedName name="___sat8">#REF!</definedName>
    <definedName name="___vbt150" localSheetId="11">#REF!</definedName>
    <definedName name="___vbt150" localSheetId="16">#REF!</definedName>
    <definedName name="___vbt150" localSheetId="18">#REF!</definedName>
    <definedName name="___vbt150">#REF!</definedName>
    <definedName name="___vbt200" localSheetId="11">#REF!</definedName>
    <definedName name="___vbt200" localSheetId="16">#REF!</definedName>
    <definedName name="___vbt200" localSheetId="18">#REF!</definedName>
    <definedName name="___vbt200">#REF!</definedName>
    <definedName name="___vbt210" localSheetId="11">#REF!</definedName>
    <definedName name="___vbt210" localSheetId="16">#REF!</definedName>
    <definedName name="___vbt210" localSheetId="18">#REF!</definedName>
    <definedName name="___vbt210">#REF!</definedName>
    <definedName name="___vbt300" localSheetId="11">#REF!</definedName>
    <definedName name="___vbt300" localSheetId="16">#REF!</definedName>
    <definedName name="___vbt300" localSheetId="18">#REF!</definedName>
    <definedName name="___vbt300">#REF!</definedName>
    <definedName name="___vbt400" localSheetId="11">#REF!</definedName>
    <definedName name="___vbt400" localSheetId="16">#REF!</definedName>
    <definedName name="___vbt400" localSheetId="18">#REF!</definedName>
    <definedName name="___vbt400">#REF!</definedName>
    <definedName name="___vxm100" localSheetId="11">#REF!</definedName>
    <definedName name="___vxm100" localSheetId="16">#REF!</definedName>
    <definedName name="___vxm100" localSheetId="18">#REF!</definedName>
    <definedName name="___vxm100">#REF!</definedName>
    <definedName name="___vxm300" localSheetId="11">#REF!</definedName>
    <definedName name="___vxm300" localSheetId="16">#REF!</definedName>
    <definedName name="___vxm300" localSheetId="18">#REF!</definedName>
    <definedName name="___vxm300">#REF!</definedName>
    <definedName name="___vxm500" localSheetId="11">#REF!</definedName>
    <definedName name="___vxm500" localSheetId="16">#REF!</definedName>
    <definedName name="___vxm500" localSheetId="18">#REF!</definedName>
    <definedName name="___vxm500">#REF!</definedName>
    <definedName name="___vxm75" localSheetId="11">#REF!</definedName>
    <definedName name="___vxm75" localSheetId="16">#REF!</definedName>
    <definedName name="___vxm75" localSheetId="18">#REF!</definedName>
    <definedName name="___vxm75">#REF!</definedName>
    <definedName name="__6" localSheetId="11">#REF!</definedName>
    <definedName name="__6" localSheetId="16">#REF!</definedName>
    <definedName name="__6" localSheetId="18">#REF!</definedName>
    <definedName name="__6">#REF!</definedName>
    <definedName name="__7_8" localSheetId="11">#REF!</definedName>
    <definedName name="__7_8" localSheetId="16">#REF!</definedName>
    <definedName name="__7_8" localSheetId="18">#REF!</definedName>
    <definedName name="__7_8">#REF!</definedName>
    <definedName name="__8" localSheetId="11">#REF!</definedName>
    <definedName name="__8" localSheetId="16">#REF!</definedName>
    <definedName name="__8" localSheetId="18">#REF!</definedName>
    <definedName name="__8">#REF!</definedName>
    <definedName name="__aug2" localSheetId="11">#REF!</definedName>
    <definedName name="__aug2" localSheetId="16">#REF!</definedName>
    <definedName name="__aug2" localSheetId="18">#REF!</definedName>
    <definedName name="__aug2">#REF!</definedName>
    <definedName name="__BOM1" localSheetId="11">#REF!</definedName>
    <definedName name="__BOM1" localSheetId="16">#REF!</definedName>
    <definedName name="__BOM1" localSheetId="18">#REF!</definedName>
    <definedName name="__BOM1">#REF!</definedName>
    <definedName name="__C" localSheetId="11">#REF!</definedName>
    <definedName name="__C" localSheetId="16">#REF!</definedName>
    <definedName name="__C" localSheetId="18">#REF!</definedName>
    <definedName name="__C">#REF!</definedName>
    <definedName name="__hom2" localSheetId="11">#REF!</definedName>
    <definedName name="__hom2" localSheetId="16">#REF!</definedName>
    <definedName name="__hom2" localSheetId="18">#REF!</definedName>
    <definedName name="__hom2">#REF!</definedName>
    <definedName name="__MI1" localSheetId="11">#REF!</definedName>
    <definedName name="__MI1" localSheetId="16">#REF!</definedName>
    <definedName name="__MI1" localSheetId="18">#REF!</definedName>
    <definedName name="__MI1">#REF!</definedName>
    <definedName name="__MI2" localSheetId="11">#REF!</definedName>
    <definedName name="__MI2" localSheetId="16">#REF!</definedName>
    <definedName name="__MI2" localSheetId="18">#REF!</definedName>
    <definedName name="__MI2">#REF!</definedName>
    <definedName name="__MI6" localSheetId="11">#REF!</definedName>
    <definedName name="__MI6" localSheetId="16">#REF!</definedName>
    <definedName name="__MI6" localSheetId="18">#REF!</definedName>
    <definedName name="__MI6">#REF!</definedName>
    <definedName name="__MI7" localSheetId="11">#REF!</definedName>
    <definedName name="__MI7" localSheetId="16">#REF!</definedName>
    <definedName name="__MI7" localSheetId="18">#REF!</definedName>
    <definedName name="__MI7">#REF!</definedName>
    <definedName name="__MI8" localSheetId="11">#REF!</definedName>
    <definedName name="__MI8" localSheetId="16">#REF!</definedName>
    <definedName name="__MI8" localSheetId="18">#REF!</definedName>
    <definedName name="__MI8">#REF!</definedName>
    <definedName name="__mil1" localSheetId="11">#REF!</definedName>
    <definedName name="__mil1" localSheetId="16">#REF!</definedName>
    <definedName name="__mil1" localSheetId="18">#REF!</definedName>
    <definedName name="__mil1">#REF!</definedName>
    <definedName name="__mil2" localSheetId="11">#REF!</definedName>
    <definedName name="__mil2" localSheetId="16">#REF!</definedName>
    <definedName name="__mil2" localSheetId="18">#REF!</definedName>
    <definedName name="__mil2">#REF!</definedName>
    <definedName name="__mil6" localSheetId="11">#REF!</definedName>
    <definedName name="__mil6" localSheetId="16">#REF!</definedName>
    <definedName name="__mil6" localSheetId="18">#REF!</definedName>
    <definedName name="__mil6">#REF!</definedName>
    <definedName name="__mil7" localSheetId="11">#REF!</definedName>
    <definedName name="__mil7" localSheetId="16">#REF!</definedName>
    <definedName name="__mil7" localSheetId="18">#REF!</definedName>
    <definedName name="__mil7">#REF!</definedName>
    <definedName name="__mil8" localSheetId="11">#REF!</definedName>
    <definedName name="__mil8" localSheetId="16">#REF!</definedName>
    <definedName name="__mil8" localSheetId="18">#REF!</definedName>
    <definedName name="__mil8">#REF!</definedName>
    <definedName name="__msl100" localSheetId="11">#REF!</definedName>
    <definedName name="__msl100" localSheetId="16">#REF!</definedName>
    <definedName name="__msl100" localSheetId="18">#REF!</definedName>
    <definedName name="__msl100">#REF!</definedName>
    <definedName name="__msl200" localSheetId="11">#REF!</definedName>
    <definedName name="__msl200" localSheetId="16">#REF!</definedName>
    <definedName name="__msl200" localSheetId="18">#REF!</definedName>
    <definedName name="__msl200">#REF!</definedName>
    <definedName name="__msl250" localSheetId="11">#REF!</definedName>
    <definedName name="__msl250" localSheetId="16">#REF!</definedName>
    <definedName name="__msl250" localSheetId="18">#REF!</definedName>
    <definedName name="__msl250">#REF!</definedName>
    <definedName name="__msl300" localSheetId="11">#REF!</definedName>
    <definedName name="__msl300" localSheetId="16">#REF!</definedName>
    <definedName name="__msl300" localSheetId="18">#REF!</definedName>
    <definedName name="__msl300">#REF!</definedName>
    <definedName name="__msl400" localSheetId="11">#REF!</definedName>
    <definedName name="__msl400" localSheetId="16">#REF!</definedName>
    <definedName name="__msl400" localSheetId="18">#REF!</definedName>
    <definedName name="__msl400">#REF!</definedName>
    <definedName name="__msl800" localSheetId="11">#REF!</definedName>
    <definedName name="__msl800" localSheetId="16">#REF!</definedName>
    <definedName name="__msl800" localSheetId="18">#REF!</definedName>
    <definedName name="__msl800">#REF!</definedName>
    <definedName name="__mui100" localSheetId="11">#REF!</definedName>
    <definedName name="__mui100" localSheetId="16">#REF!</definedName>
    <definedName name="__mui100" localSheetId="18">#REF!</definedName>
    <definedName name="__mui100">#REF!</definedName>
    <definedName name="__mui105" localSheetId="11">#REF!</definedName>
    <definedName name="__mui105" localSheetId="16">#REF!</definedName>
    <definedName name="__mui105" localSheetId="18">#REF!</definedName>
    <definedName name="__mui105">#REF!</definedName>
    <definedName name="__mui108" localSheetId="11">#REF!</definedName>
    <definedName name="__mui108" localSheetId="16">#REF!</definedName>
    <definedName name="__mui108" localSheetId="18">#REF!</definedName>
    <definedName name="__mui108">#REF!</definedName>
    <definedName name="__mui130" localSheetId="11">#REF!</definedName>
    <definedName name="__mui130" localSheetId="16">#REF!</definedName>
    <definedName name="__mui130" localSheetId="18">#REF!</definedName>
    <definedName name="__mui130">#REF!</definedName>
    <definedName name="__mui140" localSheetId="11">#REF!</definedName>
    <definedName name="__mui140" localSheetId="16">#REF!</definedName>
    <definedName name="__mui140" localSheetId="18">#REF!</definedName>
    <definedName name="__mui140">#REF!</definedName>
    <definedName name="__mui160" localSheetId="11">#REF!</definedName>
    <definedName name="__mui160" localSheetId="16">#REF!</definedName>
    <definedName name="__mui160" localSheetId="18">#REF!</definedName>
    <definedName name="__mui160">#REF!</definedName>
    <definedName name="__mui180" localSheetId="11">#REF!</definedName>
    <definedName name="__mui180" localSheetId="16">#REF!</definedName>
    <definedName name="__mui180" localSheetId="18">#REF!</definedName>
    <definedName name="__mui180">#REF!</definedName>
    <definedName name="__mui250" localSheetId="11">#REF!</definedName>
    <definedName name="__mui250" localSheetId="16">#REF!</definedName>
    <definedName name="__mui250" localSheetId="18">#REF!</definedName>
    <definedName name="__mui250">#REF!</definedName>
    <definedName name="__mui271" localSheetId="11">#REF!</definedName>
    <definedName name="__mui271" localSheetId="16">#REF!</definedName>
    <definedName name="__mui271" localSheetId="18">#REF!</definedName>
    <definedName name="__mui271">#REF!</definedName>
    <definedName name="__mui320" localSheetId="11">#REF!</definedName>
    <definedName name="__mui320" localSheetId="16">#REF!</definedName>
    <definedName name="__mui320" localSheetId="18">#REF!</definedName>
    <definedName name="__mui320">#REF!</definedName>
    <definedName name="__mui45" localSheetId="11">#REF!</definedName>
    <definedName name="__mui45" localSheetId="16">#REF!</definedName>
    <definedName name="__mui45" localSheetId="18">#REF!</definedName>
    <definedName name="__mui45">#REF!</definedName>
    <definedName name="__mui50" localSheetId="11">#REF!</definedName>
    <definedName name="__mui50" localSheetId="16">#REF!</definedName>
    <definedName name="__mui50" localSheetId="18">#REF!</definedName>
    <definedName name="__mui50">#REF!</definedName>
    <definedName name="__mui54" localSheetId="11">#REF!</definedName>
    <definedName name="__mui54" localSheetId="16">#REF!</definedName>
    <definedName name="__mui54" localSheetId="18">#REF!</definedName>
    <definedName name="__mui54">#REF!</definedName>
    <definedName name="__mui65" localSheetId="11">#REF!</definedName>
    <definedName name="__mui65" localSheetId="16">#REF!</definedName>
    <definedName name="__mui65" localSheetId="18">#REF!</definedName>
    <definedName name="__mui65">#REF!</definedName>
    <definedName name="__mui75" localSheetId="11">#REF!</definedName>
    <definedName name="__mui75" localSheetId="16">#REF!</definedName>
    <definedName name="__mui75" localSheetId="18">#REF!</definedName>
    <definedName name="__mui75">#REF!</definedName>
    <definedName name="__mui80" localSheetId="11">#REF!</definedName>
    <definedName name="__mui80" localSheetId="16">#REF!</definedName>
    <definedName name="__mui80" localSheetId="18">#REF!</definedName>
    <definedName name="__mui80">#REF!</definedName>
    <definedName name="__NET2" localSheetId="11">#REF!</definedName>
    <definedName name="__NET2" localSheetId="16">#REF!</definedName>
    <definedName name="__NET2" localSheetId="18">#REF!</definedName>
    <definedName name="__NET2">#REF!</definedName>
    <definedName name="__new1" localSheetId="11">#REF!</definedName>
    <definedName name="__new1" localSheetId="16">#REF!</definedName>
    <definedName name="__new1" localSheetId="18">#REF!</definedName>
    <definedName name="__new1">#REF!</definedName>
    <definedName name="__new11" localSheetId="11">#REF!</definedName>
    <definedName name="__new11" localSheetId="16">#REF!</definedName>
    <definedName name="__new11" localSheetId="18">#REF!</definedName>
    <definedName name="__new11">#REF!</definedName>
    <definedName name="__new6" localSheetId="11">#REF!</definedName>
    <definedName name="__new6" localSheetId="16">#REF!</definedName>
    <definedName name="__new6" localSheetId="18">#REF!</definedName>
    <definedName name="__new6">#REF!</definedName>
    <definedName name="__OB1" localSheetId="11">#REF!</definedName>
    <definedName name="__OB1" localSheetId="16">#REF!</definedName>
    <definedName name="__OB1" localSheetId="18">#REF!</definedName>
    <definedName name="__OB1">#REF!</definedName>
    <definedName name="__Ord9" localSheetId="11">#REF!</definedName>
    <definedName name="__Ord9" localSheetId="16">#REF!</definedName>
    <definedName name="__Ord9" localSheetId="18">#REF!</definedName>
    <definedName name="__Ord9">#REF!</definedName>
    <definedName name="__PL1" localSheetId="11">#REF!</definedName>
    <definedName name="__PL1" localSheetId="16">#REF!</definedName>
    <definedName name="__PL1" localSheetId="18">#REF!</definedName>
    <definedName name="__PL1">#REF!</definedName>
    <definedName name="__PL2" localSheetId="11">#REF!</definedName>
    <definedName name="__PL2" localSheetId="16">#REF!</definedName>
    <definedName name="__PL2" localSheetId="18">#REF!</definedName>
    <definedName name="__PL2">#REF!</definedName>
    <definedName name="__R" localSheetId="11">#REF!</definedName>
    <definedName name="__R" localSheetId="16">#REF!</definedName>
    <definedName name="__R" localSheetId="18">#REF!</definedName>
    <definedName name="__R">#REF!</definedName>
    <definedName name="__sua20" localSheetId="11">#REF!</definedName>
    <definedName name="__sua20" localSheetId="16">#REF!</definedName>
    <definedName name="__sua20" localSheetId="18">#REF!</definedName>
    <definedName name="__sua20">#REF!</definedName>
    <definedName name="__sua30" localSheetId="11">#REF!</definedName>
    <definedName name="__sua30" localSheetId="16">#REF!</definedName>
    <definedName name="__sua30" localSheetId="18">#REF!</definedName>
    <definedName name="__sua30">#REF!</definedName>
    <definedName name="__wo2" localSheetId="11">#REF!</definedName>
    <definedName name="__wo2" localSheetId="16">#REF!</definedName>
    <definedName name="__wo2" localSheetId="18">#REF!</definedName>
    <definedName name="__wo2">#REF!</definedName>
    <definedName name="__wo6" localSheetId="11">#REF!</definedName>
    <definedName name="__wo6" localSheetId="16">#REF!</definedName>
    <definedName name="__wo6" localSheetId="18">#REF!</definedName>
    <definedName name="__wo6">#REF!</definedName>
    <definedName name="__wo62" localSheetId="11">#REF!</definedName>
    <definedName name="__wo62" localSheetId="16">#REF!</definedName>
    <definedName name="__wo62" localSheetId="18">#REF!</definedName>
    <definedName name="__wo62">#REF!</definedName>
    <definedName name="_1" localSheetId="11">#REF!</definedName>
    <definedName name="_1" localSheetId="16">#REF!</definedName>
    <definedName name="_1" localSheetId="18">#REF!</definedName>
    <definedName name="_1">#REF!</definedName>
    <definedName name="_1__123Graph_ACHART_1" hidden="1">[1]RATE!$C$6:$O$6</definedName>
    <definedName name="_10" localSheetId="11">#REF!</definedName>
    <definedName name="_10" localSheetId="16">#REF!</definedName>
    <definedName name="_10" localSheetId="18">#REF!</definedName>
    <definedName name="_10">#REF!</definedName>
    <definedName name="_10_11" localSheetId="11">#REF!</definedName>
    <definedName name="_10_11" localSheetId="16">#REF!</definedName>
    <definedName name="_10_11" localSheetId="18">#REF!</definedName>
    <definedName name="_10_11">#REF!</definedName>
    <definedName name="_12_6" localSheetId="11">#REF!</definedName>
    <definedName name="_12_6" localSheetId="16">#REF!</definedName>
    <definedName name="_12_6" localSheetId="18">#REF!</definedName>
    <definedName name="_12_6">#REF!</definedName>
    <definedName name="_14_8" localSheetId="11">#REF!</definedName>
    <definedName name="_14_8" localSheetId="16">#REF!</definedName>
    <definedName name="_14_8" localSheetId="18">#REF!</definedName>
    <definedName name="_14_8">#REF!</definedName>
    <definedName name="_16IN_LINE" localSheetId="11">#REF!</definedName>
    <definedName name="_16IN_LINE" localSheetId="16">#REF!</definedName>
    <definedName name="_16IN_LINE" localSheetId="18">#REF!</definedName>
    <definedName name="_16IN_LINE">#REF!</definedName>
    <definedName name="_18_6" localSheetId="11">#REF!</definedName>
    <definedName name="_18_6" localSheetId="16">#REF!</definedName>
    <definedName name="_18_6" localSheetId="18">#REF!</definedName>
    <definedName name="_18_6">#REF!</definedName>
    <definedName name="_19_8" localSheetId="11">#REF!</definedName>
    <definedName name="_19_8" localSheetId="16">#REF!</definedName>
    <definedName name="_19_8" localSheetId="18">#REF!</definedName>
    <definedName name="_19_8">#REF!</definedName>
    <definedName name="_1PRINT_ALL_IN" localSheetId="11">#REF!</definedName>
    <definedName name="_1PRINT_ALL_IN" localSheetId="16">#REF!</definedName>
    <definedName name="_1PRINT_ALL_IN" localSheetId="18">#REF!</definedName>
    <definedName name="_1PRINT_ALL_IN">#REF!</definedName>
    <definedName name="_2" localSheetId="11">#REF!</definedName>
    <definedName name="_2" localSheetId="16">#REF!</definedName>
    <definedName name="_2" localSheetId="18">#REF!</definedName>
    <definedName name="_2">#REF!</definedName>
    <definedName name="_2__123Graph_BCHART_1" hidden="1">[1]RATE!$C$7:$O$7</definedName>
    <definedName name="_20IN_LINE" localSheetId="11">#REF!</definedName>
    <definedName name="_20IN_LINE" localSheetId="16">#REF!</definedName>
    <definedName name="_20IN_LINE" localSheetId="18">#REF!</definedName>
    <definedName name="_20IN_LINE">#REF!</definedName>
    <definedName name="_2PRINT_ALL_IN" localSheetId="11">#REF!</definedName>
    <definedName name="_2PRINT_ALL_IN" localSheetId="16">#REF!</definedName>
    <definedName name="_2PRINT_ALL_IN" localSheetId="18">#REF!</definedName>
    <definedName name="_2PRINT_ALL_IN">#REF!</definedName>
    <definedName name="_2PRINT_DC" localSheetId="11">#REF!</definedName>
    <definedName name="_2PRINT_DC" localSheetId="16">#REF!</definedName>
    <definedName name="_2PRINT_DC" localSheetId="18">#REF!</definedName>
    <definedName name="_2PRINT_DC">#REF!</definedName>
    <definedName name="_3" localSheetId="11">#REF!</definedName>
    <definedName name="_3" localSheetId="16">#REF!</definedName>
    <definedName name="_3" localSheetId="18">#REF!</definedName>
    <definedName name="_3">#REF!</definedName>
    <definedName name="_3__123Graph_CCHART_1" hidden="1">[1]RATE!$C$8:$O$8</definedName>
    <definedName name="_4" localSheetId="11">#REF!</definedName>
    <definedName name="_4" localSheetId="16">#REF!</definedName>
    <definedName name="_4" localSheetId="18">#REF!</definedName>
    <definedName name="_4">#REF!</definedName>
    <definedName name="_4__123Graph_DCHART_1" hidden="1">[1]RATE!$C$9:$O$9</definedName>
    <definedName name="_4_5" localSheetId="11">#REF!</definedName>
    <definedName name="_4_5" localSheetId="16">#REF!</definedName>
    <definedName name="_4_5" localSheetId="18">#REF!</definedName>
    <definedName name="_4_5">#REF!</definedName>
    <definedName name="_4PRINT_DC" localSheetId="11">#REF!</definedName>
    <definedName name="_4PRINT_DC" localSheetId="16">#REF!</definedName>
    <definedName name="_4PRINT_DC" localSheetId="18">#REF!</definedName>
    <definedName name="_4PRINT_DC">#REF!</definedName>
    <definedName name="_5" localSheetId="11">#REF!</definedName>
    <definedName name="_5" localSheetId="16">#REF!</definedName>
    <definedName name="_5" localSheetId="18">#REF!</definedName>
    <definedName name="_5">#REF!</definedName>
    <definedName name="_5__123Graph_ECHART_1" hidden="1">[1]RATE!$C$10:$O$10</definedName>
    <definedName name="_6" localSheetId="11">#REF!</definedName>
    <definedName name="_6" localSheetId="16">#REF!</definedName>
    <definedName name="_6" localSheetId="18">#REF!</definedName>
    <definedName name="_6">#REF!</definedName>
    <definedName name="_6_6" localSheetId="11">#REF!</definedName>
    <definedName name="_6_6" localSheetId="16">#REF!</definedName>
    <definedName name="_6_6" localSheetId="18">#REF!</definedName>
    <definedName name="_6_6">#REF!</definedName>
    <definedName name="_7" localSheetId="11">#REF!</definedName>
    <definedName name="_7" localSheetId="16">#REF!</definedName>
    <definedName name="_7" localSheetId="18">#REF!</definedName>
    <definedName name="_7">#REF!</definedName>
    <definedName name="_7_8" localSheetId="11">#REF!</definedName>
    <definedName name="_7_8" localSheetId="16">#REF!</definedName>
    <definedName name="_7_8" localSheetId="18">#REF!</definedName>
    <definedName name="_7_8">#REF!</definedName>
    <definedName name="_8" localSheetId="11">#REF!</definedName>
    <definedName name="_8" localSheetId="16">#REF!</definedName>
    <definedName name="_8" localSheetId="18">#REF!</definedName>
    <definedName name="_8">#REF!</definedName>
    <definedName name="_8IN_LINE" localSheetId="11">#REF!</definedName>
    <definedName name="_8IN_LINE" localSheetId="16">#REF!</definedName>
    <definedName name="_8IN_LINE" localSheetId="18">#REF!</definedName>
    <definedName name="_8IN_LINE">#REF!</definedName>
    <definedName name="_9" localSheetId="11">#REF!</definedName>
    <definedName name="_9" localSheetId="16">#REF!</definedName>
    <definedName name="_9" localSheetId="18">#REF!</definedName>
    <definedName name="_9">#REF!</definedName>
    <definedName name="_aug2" localSheetId="11">#REF!</definedName>
    <definedName name="_aug2" localSheetId="16">#REF!</definedName>
    <definedName name="_aug2" localSheetId="18">#REF!</definedName>
    <definedName name="_aug2">#REF!</definedName>
    <definedName name="_BOM1" localSheetId="11">#REF!</definedName>
    <definedName name="_BOM1" localSheetId="16">#REF!</definedName>
    <definedName name="_BOM1" localSheetId="18">#REF!</definedName>
    <definedName name="_BOM1">#REF!</definedName>
    <definedName name="_BTM150" localSheetId="11">#REF!</definedName>
    <definedName name="_BTM150" localSheetId="16">#REF!</definedName>
    <definedName name="_BTM150" localSheetId="18">#REF!</definedName>
    <definedName name="_BTM150">#REF!</definedName>
    <definedName name="_BTM200" localSheetId="11">#REF!</definedName>
    <definedName name="_BTM200" localSheetId="16">#REF!</definedName>
    <definedName name="_BTM200" localSheetId="18">#REF!</definedName>
    <definedName name="_BTM200">#REF!</definedName>
    <definedName name="_BTM50" localSheetId="11">#REF!</definedName>
    <definedName name="_BTM50" localSheetId="16">#REF!</definedName>
    <definedName name="_BTM50" localSheetId="18">#REF!</definedName>
    <definedName name="_BTM50">#REF!</definedName>
    <definedName name="_C" localSheetId="11">#REF!</definedName>
    <definedName name="_C" localSheetId="16">#REF!</definedName>
    <definedName name="_C" localSheetId="18">#REF!</definedName>
    <definedName name="_C">#REF!</definedName>
    <definedName name="_CAL02" localSheetId="11">#REF!</definedName>
    <definedName name="_CAL02" localSheetId="16">#REF!</definedName>
    <definedName name="_CAL02" localSheetId="18">#REF!</definedName>
    <definedName name="_CAL02">#REF!</definedName>
    <definedName name="_CAL03" localSheetId="11">#REF!</definedName>
    <definedName name="_CAL03" localSheetId="16">#REF!</definedName>
    <definedName name="_CAL03" localSheetId="18">#REF!</definedName>
    <definedName name="_CAL03">#REF!</definedName>
    <definedName name="_CAL04" localSheetId="11">#REF!</definedName>
    <definedName name="_CAL04" localSheetId="16">#REF!</definedName>
    <definedName name="_CAL04" localSheetId="18">#REF!</definedName>
    <definedName name="_CAL04">#REF!</definedName>
    <definedName name="_CAL05" localSheetId="11">#REF!</definedName>
    <definedName name="_CAL05" localSheetId="16">#REF!</definedName>
    <definedName name="_CAL05" localSheetId="18">#REF!</definedName>
    <definedName name="_CAL05">#REF!</definedName>
    <definedName name="_CAL06" localSheetId="11">#REF!</definedName>
    <definedName name="_CAL06" localSheetId="16">#REF!</definedName>
    <definedName name="_CAL06" localSheetId="18">#REF!</definedName>
    <definedName name="_CAL06">#REF!</definedName>
    <definedName name="_CAL07" localSheetId="11">#REF!</definedName>
    <definedName name="_CAL07" localSheetId="16">#REF!</definedName>
    <definedName name="_CAL07" localSheetId="18">#REF!</definedName>
    <definedName name="_CAL07">#REF!</definedName>
    <definedName name="_CAL08" localSheetId="11">#REF!</definedName>
    <definedName name="_CAL08" localSheetId="16">#REF!</definedName>
    <definedName name="_CAL08" localSheetId="18">#REF!</definedName>
    <definedName name="_CAL08">#REF!</definedName>
    <definedName name="_CAL09" localSheetId="11">#REF!</definedName>
    <definedName name="_CAL09" localSheetId="16">#REF!</definedName>
    <definedName name="_CAL09" localSheetId="18">#REF!</definedName>
    <definedName name="_CAL09">#REF!</definedName>
    <definedName name="_CFC214" localSheetId="11">#REF!</definedName>
    <definedName name="_CFC214" localSheetId="16">#REF!</definedName>
    <definedName name="_CFC214" localSheetId="18">#REF!</definedName>
    <definedName name="_CFC214">#REF!</definedName>
    <definedName name="_CFU377" localSheetId="11">#REF!</definedName>
    <definedName name="_CFU377" localSheetId="16">#REF!</definedName>
    <definedName name="_CFU377" localSheetId="18">#REF!</definedName>
    <definedName name="_CFU377">#REF!</definedName>
    <definedName name="_CGJ32" localSheetId="11">#REF!</definedName>
    <definedName name="_CGJ32" localSheetId="16">#REF!</definedName>
    <definedName name="_CGJ32" localSheetId="18">#REF!</definedName>
    <definedName name="_CGJ32">#REF!</definedName>
    <definedName name="_CGW2" localSheetId="11">#REF!</definedName>
    <definedName name="_CGW2" localSheetId="16">#REF!</definedName>
    <definedName name="_CGW2" localSheetId="18">#REF!</definedName>
    <definedName name="_CGW2">#REF!</definedName>
    <definedName name="_CON1" localSheetId="11">#REF!</definedName>
    <definedName name="_CON1" localSheetId="16">#REF!</definedName>
    <definedName name="_CON1" localSheetId="18">#REF!</definedName>
    <definedName name="_CON1">#REF!</definedName>
    <definedName name="_CON2" localSheetId="11">#REF!</definedName>
    <definedName name="_CON2" localSheetId="16">#REF!</definedName>
    <definedName name="_CON2" localSheetId="18">#REF!</definedName>
    <definedName name="_CON2">#REF!</definedName>
    <definedName name="_EXC1" localSheetId="11">#REF!</definedName>
    <definedName name="_EXC1" localSheetId="16">#REF!</definedName>
    <definedName name="_EXC1" localSheetId="18">#REF!</definedName>
    <definedName name="_EXC1">#REF!</definedName>
    <definedName name="_EXC2" localSheetId="11">#REF!</definedName>
    <definedName name="_EXC2" localSheetId="16">#REF!</definedName>
    <definedName name="_EXC2" localSheetId="18">#REF!</definedName>
    <definedName name="_EXC2">#REF!</definedName>
    <definedName name="_Fill" localSheetId="19" hidden="1">#REF!</definedName>
    <definedName name="_Fill" localSheetId="11" hidden="1">#REF!</definedName>
    <definedName name="_Fill" localSheetId="16" hidden="1">#REF!</definedName>
    <definedName name="_Fill" localSheetId="18" hidden="1">#REF!</definedName>
    <definedName name="_Fill" hidden="1">#REF!</definedName>
    <definedName name="_xlnm._FilterDatabase" localSheetId="5" hidden="1">'Data Sheet Aug-2021'!$B$3:$FU$363</definedName>
    <definedName name="_xlnm._FilterDatabase" localSheetId="12" hidden="1">'Item Data Support Sheet'!$A$1:$IV$805</definedName>
    <definedName name="_xlnm._FilterDatabase" localSheetId="14" hidden="1">'Manpower &amp; Gwr'!$C$2:$C$66</definedName>
    <definedName name="_xlnm._FilterDatabase" localSheetId="10" hidden="1">PVA!$E$153:$I$153</definedName>
    <definedName name="_hom2" localSheetId="11">#REF!</definedName>
    <definedName name="_hom2" localSheetId="16">#REF!</definedName>
    <definedName name="_hom2" localSheetId="18">#REF!</definedName>
    <definedName name="_hom2">#REF!</definedName>
    <definedName name="_JK00000412" localSheetId="11">#REF!</definedName>
    <definedName name="_JK00000412" localSheetId="16">#REF!</definedName>
    <definedName name="_JK00000412" localSheetId="18">#REF!</definedName>
    <definedName name="_JK00000412">#REF!</definedName>
    <definedName name="_JK00000450" localSheetId="11">#REF!</definedName>
    <definedName name="_JK00000450" localSheetId="16">#REF!</definedName>
    <definedName name="_JK00000450" localSheetId="18">#REF!</definedName>
    <definedName name="_JK00000450">#REF!</definedName>
    <definedName name="_JK00000456" localSheetId="11">#REF!</definedName>
    <definedName name="_JK00000456" localSheetId="16">#REF!</definedName>
    <definedName name="_JK00000456" localSheetId="18">#REF!</definedName>
    <definedName name="_JK00000456">#REF!</definedName>
    <definedName name="_JK00000539" localSheetId="11">#REF!</definedName>
    <definedName name="_JK00000539" localSheetId="16">#REF!</definedName>
    <definedName name="_JK00000539" localSheetId="18">#REF!</definedName>
    <definedName name="_JK00000539">#REF!</definedName>
    <definedName name="_JK00000573" localSheetId="11">#REF!</definedName>
    <definedName name="_JK00000573" localSheetId="16">#REF!</definedName>
    <definedName name="_JK00000573" localSheetId="18">#REF!</definedName>
    <definedName name="_JK00000573">#REF!</definedName>
    <definedName name="_JK00000576" localSheetId="11">#REF!</definedName>
    <definedName name="_JK00000576" localSheetId="16">#REF!</definedName>
    <definedName name="_JK00000576" localSheetId="18">#REF!</definedName>
    <definedName name="_JK00000576">#REF!</definedName>
    <definedName name="_JK00000577" localSheetId="11">#REF!</definedName>
    <definedName name="_JK00000577" localSheetId="16">#REF!</definedName>
    <definedName name="_JK00000577" localSheetId="18">#REF!</definedName>
    <definedName name="_JK00000577">#REF!</definedName>
    <definedName name="_JK00000582" localSheetId="11">#REF!</definedName>
    <definedName name="_JK00000582" localSheetId="16">#REF!</definedName>
    <definedName name="_JK00000582" localSheetId="18">#REF!</definedName>
    <definedName name="_JK00000582">#REF!</definedName>
    <definedName name="_JK00000923" localSheetId="11">#REF!</definedName>
    <definedName name="_JK00000923" localSheetId="16">#REF!</definedName>
    <definedName name="_JK00000923" localSheetId="18">#REF!</definedName>
    <definedName name="_JK00000923">#REF!</definedName>
    <definedName name="_JK00000952" localSheetId="11">#REF!</definedName>
    <definedName name="_JK00000952" localSheetId="16">#REF!</definedName>
    <definedName name="_JK00000952" localSheetId="18">#REF!</definedName>
    <definedName name="_JK00000952">#REF!</definedName>
    <definedName name="_JK00000961" localSheetId="11">#REF!</definedName>
    <definedName name="_JK00000961" localSheetId="16">#REF!</definedName>
    <definedName name="_JK00000961" localSheetId="18">#REF!</definedName>
    <definedName name="_JK00000961">#REF!</definedName>
    <definedName name="_JK00000971" localSheetId="11">#REF!</definedName>
    <definedName name="_JK00000971" localSheetId="16">#REF!</definedName>
    <definedName name="_JK00000971" localSheetId="18">#REF!</definedName>
    <definedName name="_JK00000971">#REF!</definedName>
    <definedName name="_JK00000979" localSheetId="11">#REF!</definedName>
    <definedName name="_JK00000979" localSheetId="16">#REF!</definedName>
    <definedName name="_JK00000979" localSheetId="18">#REF!</definedName>
    <definedName name="_JK00000979">#REF!</definedName>
    <definedName name="_JK00000984" localSheetId="11">#REF!</definedName>
    <definedName name="_JK00000984" localSheetId="16">#REF!</definedName>
    <definedName name="_JK00000984" localSheetId="18">#REF!</definedName>
    <definedName name="_JK00000984">#REF!</definedName>
    <definedName name="_JK00000986" localSheetId="11">#REF!</definedName>
    <definedName name="_JK00000986" localSheetId="16">#REF!</definedName>
    <definedName name="_JK00000986" localSheetId="18">#REF!</definedName>
    <definedName name="_JK00000986">#REF!</definedName>
    <definedName name="_JK00001004" localSheetId="11">#REF!</definedName>
    <definedName name="_JK00001004" localSheetId="16">#REF!</definedName>
    <definedName name="_JK00001004" localSheetId="18">#REF!</definedName>
    <definedName name="_JK00001004">#REF!</definedName>
    <definedName name="_JK00001010" localSheetId="11">#REF!</definedName>
    <definedName name="_JK00001010" localSheetId="16">#REF!</definedName>
    <definedName name="_JK00001010" localSheetId="18">#REF!</definedName>
    <definedName name="_JK00001010">#REF!</definedName>
    <definedName name="_JK00001011" localSheetId="11">#REF!</definedName>
    <definedName name="_JK00001011" localSheetId="16">#REF!</definedName>
    <definedName name="_JK00001011" localSheetId="18">#REF!</definedName>
    <definedName name="_JK00001011">#REF!</definedName>
    <definedName name="_JK00001013" localSheetId="11">#REF!</definedName>
    <definedName name="_JK00001013" localSheetId="16">#REF!</definedName>
    <definedName name="_JK00001013" localSheetId="18">#REF!</definedName>
    <definedName name="_JK00001013">#REF!</definedName>
    <definedName name="_JK00001018" localSheetId="11">#REF!</definedName>
    <definedName name="_JK00001018" localSheetId="16">#REF!</definedName>
    <definedName name="_JK00001018" localSheetId="18">#REF!</definedName>
    <definedName name="_JK00001018">#REF!</definedName>
    <definedName name="_JK00001019" localSheetId="11">#REF!</definedName>
    <definedName name="_JK00001019" localSheetId="16">#REF!</definedName>
    <definedName name="_JK00001019" localSheetId="18">#REF!</definedName>
    <definedName name="_JK00001019">#REF!</definedName>
    <definedName name="_JK00001020" localSheetId="11">#REF!</definedName>
    <definedName name="_JK00001020" localSheetId="16">#REF!</definedName>
    <definedName name="_JK00001020" localSheetId="18">#REF!</definedName>
    <definedName name="_JK00001020">#REF!</definedName>
    <definedName name="_JK00001023" localSheetId="11">#REF!</definedName>
    <definedName name="_JK00001023" localSheetId="16">#REF!</definedName>
    <definedName name="_JK00001023" localSheetId="18">#REF!</definedName>
    <definedName name="_JK00001023">#REF!</definedName>
    <definedName name="_JK00001024" localSheetId="11">#REF!</definedName>
    <definedName name="_JK00001024" localSheetId="16">#REF!</definedName>
    <definedName name="_JK00001024" localSheetId="18">#REF!</definedName>
    <definedName name="_JK00001024">#REF!</definedName>
    <definedName name="_JK00001028" localSheetId="11">#REF!</definedName>
    <definedName name="_JK00001028" localSheetId="16">#REF!</definedName>
    <definedName name="_JK00001028" localSheetId="18">#REF!</definedName>
    <definedName name="_JK00001028">#REF!</definedName>
    <definedName name="_JK00001031" localSheetId="11">#REF!</definedName>
    <definedName name="_JK00001031" localSheetId="16">#REF!</definedName>
    <definedName name="_JK00001031" localSheetId="18">#REF!</definedName>
    <definedName name="_JK00001031">#REF!</definedName>
    <definedName name="_JK00001032" localSheetId="11">#REF!</definedName>
    <definedName name="_JK00001032" localSheetId="16">#REF!</definedName>
    <definedName name="_JK00001032" localSheetId="18">#REF!</definedName>
    <definedName name="_JK00001032">#REF!</definedName>
    <definedName name="_JK00001033" localSheetId="11">#REF!</definedName>
    <definedName name="_JK00001033" localSheetId="16">#REF!</definedName>
    <definedName name="_JK00001033" localSheetId="18">#REF!</definedName>
    <definedName name="_JK00001033">#REF!</definedName>
    <definedName name="_JK00001038" localSheetId="11">#REF!</definedName>
    <definedName name="_JK00001038" localSheetId="16">#REF!</definedName>
    <definedName name="_JK00001038" localSheetId="18">#REF!</definedName>
    <definedName name="_JK00001038">#REF!</definedName>
    <definedName name="_JK00001039" localSheetId="11">#REF!</definedName>
    <definedName name="_JK00001039" localSheetId="16">#REF!</definedName>
    <definedName name="_JK00001039" localSheetId="18">#REF!</definedName>
    <definedName name="_JK00001039">#REF!</definedName>
    <definedName name="_JK00001040" localSheetId="11">#REF!</definedName>
    <definedName name="_JK00001040" localSheetId="16">#REF!</definedName>
    <definedName name="_JK00001040" localSheetId="18">#REF!</definedName>
    <definedName name="_JK00001040">#REF!</definedName>
    <definedName name="_JK00001047" localSheetId="11">#REF!</definedName>
    <definedName name="_JK00001047" localSheetId="16">#REF!</definedName>
    <definedName name="_JK00001047" localSheetId="18">#REF!</definedName>
    <definedName name="_JK00001047">#REF!</definedName>
    <definedName name="_JK00001058" localSheetId="11">#REF!</definedName>
    <definedName name="_JK00001058" localSheetId="16">#REF!</definedName>
    <definedName name="_JK00001058" localSheetId="18">#REF!</definedName>
    <definedName name="_JK00001058">#REF!</definedName>
    <definedName name="_JK00001059" localSheetId="11">#REF!</definedName>
    <definedName name="_JK00001059" localSheetId="16">#REF!</definedName>
    <definedName name="_JK00001059" localSheetId="18">#REF!</definedName>
    <definedName name="_JK00001059">#REF!</definedName>
    <definedName name="_JK00001063" localSheetId="11">#REF!</definedName>
    <definedName name="_JK00001063" localSheetId="16">#REF!</definedName>
    <definedName name="_JK00001063" localSheetId="18">#REF!</definedName>
    <definedName name="_JK00001063">#REF!</definedName>
    <definedName name="_JK00001064" localSheetId="11">#REF!</definedName>
    <definedName name="_JK00001064" localSheetId="16">#REF!</definedName>
    <definedName name="_JK00001064" localSheetId="18">#REF!</definedName>
    <definedName name="_JK00001064">#REF!</definedName>
    <definedName name="_JK00001065" localSheetId="11">#REF!</definedName>
    <definedName name="_JK00001065" localSheetId="16">#REF!</definedName>
    <definedName name="_JK00001065" localSheetId="18">#REF!</definedName>
    <definedName name="_JK00001065">#REF!</definedName>
    <definedName name="_JK00001067" localSheetId="11">#REF!</definedName>
    <definedName name="_JK00001067" localSheetId="16">#REF!</definedName>
    <definedName name="_JK00001067" localSheetId="18">#REF!</definedName>
    <definedName name="_JK00001067">#REF!</definedName>
    <definedName name="_JK00001068" localSheetId="11">#REF!</definedName>
    <definedName name="_JK00001068" localSheetId="16">#REF!</definedName>
    <definedName name="_JK00001068" localSheetId="18">#REF!</definedName>
    <definedName name="_JK00001068">#REF!</definedName>
    <definedName name="_JK00001069" localSheetId="11">#REF!</definedName>
    <definedName name="_JK00001069" localSheetId="16">#REF!</definedName>
    <definedName name="_JK00001069" localSheetId="18">#REF!</definedName>
    <definedName name="_JK00001069">#REF!</definedName>
    <definedName name="_JK00001072" localSheetId="11">#REF!</definedName>
    <definedName name="_JK00001072" localSheetId="16">#REF!</definedName>
    <definedName name="_JK00001072" localSheetId="18">#REF!</definedName>
    <definedName name="_JK00001072">#REF!</definedName>
    <definedName name="_JK00001073" localSheetId="11">#REF!</definedName>
    <definedName name="_JK00001073" localSheetId="16">#REF!</definedName>
    <definedName name="_JK00001073" localSheetId="18">#REF!</definedName>
    <definedName name="_JK00001073">#REF!</definedName>
    <definedName name="_JK00001075" localSheetId="11">#REF!</definedName>
    <definedName name="_JK00001075" localSheetId="16">#REF!</definedName>
    <definedName name="_JK00001075" localSheetId="18">#REF!</definedName>
    <definedName name="_JK00001075">#REF!</definedName>
    <definedName name="_JK00001076" localSheetId="11">#REF!</definedName>
    <definedName name="_JK00001076" localSheetId="16">#REF!</definedName>
    <definedName name="_JK00001076" localSheetId="18">#REF!</definedName>
    <definedName name="_JK00001076">#REF!</definedName>
    <definedName name="_JK00001077" localSheetId="11">#REF!</definedName>
    <definedName name="_JK00001077" localSheetId="16">#REF!</definedName>
    <definedName name="_JK00001077" localSheetId="18">#REF!</definedName>
    <definedName name="_JK00001077">#REF!</definedName>
    <definedName name="_JK00001078" localSheetId="11">#REF!</definedName>
    <definedName name="_JK00001078" localSheetId="16">#REF!</definedName>
    <definedName name="_JK00001078" localSheetId="18">#REF!</definedName>
    <definedName name="_JK00001078">#REF!</definedName>
    <definedName name="_JK00001081" localSheetId="11">#REF!</definedName>
    <definedName name="_JK00001081" localSheetId="16">#REF!</definedName>
    <definedName name="_JK00001081" localSheetId="18">#REF!</definedName>
    <definedName name="_JK00001081">#REF!</definedName>
    <definedName name="_JK00001082" localSheetId="11">#REF!</definedName>
    <definedName name="_JK00001082" localSheetId="16">#REF!</definedName>
    <definedName name="_JK00001082" localSheetId="18">#REF!</definedName>
    <definedName name="_JK00001082">#REF!</definedName>
    <definedName name="_JK00001083" localSheetId="11">#REF!</definedName>
    <definedName name="_JK00001083" localSheetId="16">#REF!</definedName>
    <definedName name="_JK00001083" localSheetId="18">#REF!</definedName>
    <definedName name="_JK00001083">#REF!</definedName>
    <definedName name="_JK00001084" localSheetId="11">#REF!</definedName>
    <definedName name="_JK00001084" localSheetId="16">#REF!</definedName>
    <definedName name="_JK00001084" localSheetId="18">#REF!</definedName>
    <definedName name="_JK00001084">#REF!</definedName>
    <definedName name="_JK00001085" localSheetId="11">#REF!</definedName>
    <definedName name="_JK00001085" localSheetId="16">#REF!</definedName>
    <definedName name="_JK00001085" localSheetId="18">#REF!</definedName>
    <definedName name="_JK00001085">#REF!</definedName>
    <definedName name="_JK00001086" localSheetId="11">#REF!</definedName>
    <definedName name="_JK00001086" localSheetId="16">#REF!</definedName>
    <definedName name="_JK00001086" localSheetId="18">#REF!</definedName>
    <definedName name="_JK00001086">#REF!</definedName>
    <definedName name="_JK00001087" localSheetId="11">#REF!</definedName>
    <definedName name="_JK00001087" localSheetId="16">#REF!</definedName>
    <definedName name="_JK00001087" localSheetId="18">#REF!</definedName>
    <definedName name="_JK00001087">#REF!</definedName>
    <definedName name="_JK00001089" localSheetId="11">#REF!</definedName>
    <definedName name="_JK00001089" localSheetId="16">#REF!</definedName>
    <definedName name="_JK00001089" localSheetId="18">#REF!</definedName>
    <definedName name="_JK00001089">#REF!</definedName>
    <definedName name="_JK00001091" localSheetId="11">#REF!</definedName>
    <definedName name="_JK00001091" localSheetId="16">#REF!</definedName>
    <definedName name="_JK00001091" localSheetId="18">#REF!</definedName>
    <definedName name="_JK00001091">#REF!</definedName>
    <definedName name="_JK00001092" localSheetId="11">#REF!</definedName>
    <definedName name="_JK00001092" localSheetId="16">#REF!</definedName>
    <definedName name="_JK00001092" localSheetId="18">#REF!</definedName>
    <definedName name="_JK00001092">#REF!</definedName>
    <definedName name="_JK00001100" localSheetId="11">#REF!</definedName>
    <definedName name="_JK00001100" localSheetId="16">#REF!</definedName>
    <definedName name="_JK00001100" localSheetId="18">#REF!</definedName>
    <definedName name="_JK00001100">#REF!</definedName>
    <definedName name="_JK00001101" localSheetId="11">#REF!</definedName>
    <definedName name="_JK00001101" localSheetId="16">#REF!</definedName>
    <definedName name="_JK00001101" localSheetId="18">#REF!</definedName>
    <definedName name="_JK00001101">#REF!</definedName>
    <definedName name="_JK00001107" localSheetId="11">#REF!</definedName>
    <definedName name="_JK00001107" localSheetId="16">#REF!</definedName>
    <definedName name="_JK00001107" localSheetId="18">#REF!</definedName>
    <definedName name="_JK00001107">#REF!</definedName>
    <definedName name="_JK00001108" localSheetId="11">#REF!</definedName>
    <definedName name="_JK00001108" localSheetId="16">#REF!</definedName>
    <definedName name="_JK00001108" localSheetId="18">#REF!</definedName>
    <definedName name="_JK00001108">#REF!</definedName>
    <definedName name="_JK00001109" localSheetId="11">#REF!</definedName>
    <definedName name="_JK00001109" localSheetId="16">#REF!</definedName>
    <definedName name="_JK00001109" localSheetId="18">#REF!</definedName>
    <definedName name="_JK00001109">#REF!</definedName>
    <definedName name="_JK00001110" localSheetId="11">#REF!</definedName>
    <definedName name="_JK00001110" localSheetId="16">#REF!</definedName>
    <definedName name="_JK00001110" localSheetId="18">#REF!</definedName>
    <definedName name="_JK00001110">#REF!</definedName>
    <definedName name="_JK00001111" localSheetId="11">#REF!</definedName>
    <definedName name="_JK00001111" localSheetId="16">#REF!</definedName>
    <definedName name="_JK00001111" localSheetId="18">#REF!</definedName>
    <definedName name="_JK00001111">#REF!</definedName>
    <definedName name="_JK00001113" localSheetId="11">#REF!</definedName>
    <definedName name="_JK00001113" localSheetId="16">#REF!</definedName>
    <definedName name="_JK00001113" localSheetId="18">#REF!</definedName>
    <definedName name="_JK00001113">#REF!</definedName>
    <definedName name="_JK00001116" localSheetId="11">#REF!</definedName>
    <definedName name="_JK00001116" localSheetId="16">#REF!</definedName>
    <definedName name="_JK00001116" localSheetId="18">#REF!</definedName>
    <definedName name="_JK00001116">#REF!</definedName>
    <definedName name="_JK00001118" localSheetId="11">#REF!</definedName>
    <definedName name="_JK00001118" localSheetId="16">#REF!</definedName>
    <definedName name="_JK00001118" localSheetId="18">#REF!</definedName>
    <definedName name="_JK00001118">#REF!</definedName>
    <definedName name="_JK00001119" localSheetId="11">#REF!</definedName>
    <definedName name="_JK00001119" localSheetId="16">#REF!</definedName>
    <definedName name="_JK00001119" localSheetId="18">#REF!</definedName>
    <definedName name="_JK00001119">#REF!</definedName>
    <definedName name="_JK00001121" localSheetId="11">#REF!</definedName>
    <definedName name="_JK00001121" localSheetId="16">#REF!</definedName>
    <definedName name="_JK00001121" localSheetId="18">#REF!</definedName>
    <definedName name="_JK00001121">#REF!</definedName>
    <definedName name="_JK00001122" localSheetId="11">#REF!</definedName>
    <definedName name="_JK00001122" localSheetId="16">#REF!</definedName>
    <definedName name="_JK00001122" localSheetId="18">#REF!</definedName>
    <definedName name="_JK00001122">#REF!</definedName>
    <definedName name="_JK00001124" localSheetId="11">#REF!</definedName>
    <definedName name="_JK00001124" localSheetId="16">#REF!</definedName>
    <definedName name="_JK00001124" localSheetId="18">#REF!</definedName>
    <definedName name="_JK00001124">#REF!</definedName>
    <definedName name="_JK00001125" localSheetId="11">#REF!</definedName>
    <definedName name="_JK00001125" localSheetId="16">#REF!</definedName>
    <definedName name="_JK00001125" localSheetId="18">#REF!</definedName>
    <definedName name="_JK00001125">#REF!</definedName>
    <definedName name="_JK00001127" localSheetId="11">#REF!</definedName>
    <definedName name="_JK00001127" localSheetId="16">#REF!</definedName>
    <definedName name="_JK00001127" localSheetId="18">#REF!</definedName>
    <definedName name="_JK00001127">#REF!</definedName>
    <definedName name="_JK00001128" localSheetId="11">#REF!</definedName>
    <definedName name="_JK00001128" localSheetId="16">#REF!</definedName>
    <definedName name="_JK00001128" localSheetId="18">#REF!</definedName>
    <definedName name="_JK00001128">#REF!</definedName>
    <definedName name="_JK00001135" localSheetId="11">#REF!</definedName>
    <definedName name="_JK00001135" localSheetId="16">#REF!</definedName>
    <definedName name="_JK00001135" localSheetId="18">#REF!</definedName>
    <definedName name="_JK00001135">#REF!</definedName>
    <definedName name="_JK00001136" localSheetId="11">#REF!</definedName>
    <definedName name="_JK00001136" localSheetId="16">#REF!</definedName>
    <definedName name="_JK00001136" localSheetId="18">#REF!</definedName>
    <definedName name="_JK00001136">#REF!</definedName>
    <definedName name="_JK00001137" localSheetId="11">#REF!</definedName>
    <definedName name="_JK00001137" localSheetId="16">#REF!</definedName>
    <definedName name="_JK00001137" localSheetId="18">#REF!</definedName>
    <definedName name="_JK00001137">#REF!</definedName>
    <definedName name="_JK00001139" localSheetId="11">#REF!</definedName>
    <definedName name="_JK00001139" localSheetId="16">#REF!</definedName>
    <definedName name="_JK00001139" localSheetId="18">#REF!</definedName>
    <definedName name="_JK00001139">#REF!</definedName>
    <definedName name="_JK00001141" localSheetId="11">#REF!</definedName>
    <definedName name="_JK00001141" localSheetId="16">#REF!</definedName>
    <definedName name="_JK00001141" localSheetId="18">#REF!</definedName>
    <definedName name="_JK00001141">#REF!</definedName>
    <definedName name="_JK00001142" localSheetId="11">#REF!</definedName>
    <definedName name="_JK00001142" localSheetId="16">#REF!</definedName>
    <definedName name="_JK00001142" localSheetId="18">#REF!</definedName>
    <definedName name="_JK00001142">#REF!</definedName>
    <definedName name="_JK00001143" localSheetId="11">#REF!</definedName>
    <definedName name="_JK00001143" localSheetId="16">#REF!</definedName>
    <definedName name="_JK00001143" localSheetId="18">#REF!</definedName>
    <definedName name="_JK00001143">#REF!</definedName>
    <definedName name="_JK00001146" localSheetId="11">#REF!</definedName>
    <definedName name="_JK00001146" localSheetId="16">#REF!</definedName>
    <definedName name="_JK00001146" localSheetId="18">#REF!</definedName>
    <definedName name="_JK00001146">#REF!</definedName>
    <definedName name="_JK00001147" localSheetId="11">#REF!</definedName>
    <definedName name="_JK00001147" localSheetId="16">#REF!</definedName>
    <definedName name="_JK00001147" localSheetId="18">#REF!</definedName>
    <definedName name="_JK00001147">#REF!</definedName>
    <definedName name="_JK00001148" localSheetId="11">#REF!</definedName>
    <definedName name="_JK00001148" localSheetId="16">#REF!</definedName>
    <definedName name="_JK00001148" localSheetId="18">#REF!</definedName>
    <definedName name="_JK00001148">#REF!</definedName>
    <definedName name="_JK00001149" localSheetId="11">#REF!</definedName>
    <definedName name="_JK00001149" localSheetId="16">#REF!</definedName>
    <definedName name="_JK00001149" localSheetId="18">#REF!</definedName>
    <definedName name="_JK00001149">#REF!</definedName>
    <definedName name="_JK00001150" localSheetId="11">#REF!</definedName>
    <definedName name="_JK00001150" localSheetId="16">#REF!</definedName>
    <definedName name="_JK00001150" localSheetId="18">#REF!</definedName>
    <definedName name="_JK00001150">#REF!</definedName>
    <definedName name="_JK00001151" localSheetId="11">#REF!</definedName>
    <definedName name="_JK00001151" localSheetId="16">#REF!</definedName>
    <definedName name="_JK00001151" localSheetId="18">#REF!</definedName>
    <definedName name="_JK00001151">#REF!</definedName>
    <definedName name="_JK00001152" localSheetId="11">#REF!</definedName>
    <definedName name="_JK00001152" localSheetId="16">#REF!</definedName>
    <definedName name="_JK00001152" localSheetId="18">#REF!</definedName>
    <definedName name="_JK00001152">#REF!</definedName>
    <definedName name="_JK00001154" localSheetId="11">#REF!</definedName>
    <definedName name="_JK00001154" localSheetId="16">#REF!</definedName>
    <definedName name="_JK00001154" localSheetId="18">#REF!</definedName>
    <definedName name="_JK00001154">#REF!</definedName>
    <definedName name="_JK00001159" localSheetId="11">#REF!</definedName>
    <definedName name="_JK00001159" localSheetId="16">#REF!</definedName>
    <definedName name="_JK00001159" localSheetId="18">#REF!</definedName>
    <definedName name="_JK00001159">#REF!</definedName>
    <definedName name="_JK00001160" localSheetId="11">#REF!</definedName>
    <definedName name="_JK00001160" localSheetId="16">#REF!</definedName>
    <definedName name="_JK00001160" localSheetId="18">#REF!</definedName>
    <definedName name="_JK00001160">#REF!</definedName>
    <definedName name="_JK00001161" localSheetId="11">#REF!</definedName>
    <definedName name="_JK00001161" localSheetId="16">#REF!</definedName>
    <definedName name="_JK00001161" localSheetId="18">#REF!</definedName>
    <definedName name="_JK00001161">#REF!</definedName>
    <definedName name="_JK00001164" localSheetId="11">#REF!</definedName>
    <definedName name="_JK00001164" localSheetId="16">#REF!</definedName>
    <definedName name="_JK00001164" localSheetId="18">#REF!</definedName>
    <definedName name="_JK00001164">#REF!</definedName>
    <definedName name="_JK00001165" localSheetId="11">#REF!</definedName>
    <definedName name="_JK00001165" localSheetId="16">#REF!</definedName>
    <definedName name="_JK00001165" localSheetId="18">#REF!</definedName>
    <definedName name="_JK00001165">#REF!</definedName>
    <definedName name="_JK00001166" localSheetId="11">#REF!</definedName>
    <definedName name="_JK00001166" localSheetId="16">#REF!</definedName>
    <definedName name="_JK00001166" localSheetId="18">#REF!</definedName>
    <definedName name="_JK00001166">#REF!</definedName>
    <definedName name="_JK00001168" localSheetId="11">#REF!</definedName>
    <definedName name="_JK00001168" localSheetId="16">#REF!</definedName>
    <definedName name="_JK00001168" localSheetId="18">#REF!</definedName>
    <definedName name="_JK00001168">#REF!</definedName>
    <definedName name="_JK00001172" localSheetId="11">#REF!</definedName>
    <definedName name="_JK00001172" localSheetId="16">#REF!</definedName>
    <definedName name="_JK00001172" localSheetId="18">#REF!</definedName>
    <definedName name="_JK00001172">#REF!</definedName>
    <definedName name="_JK00001177" localSheetId="11">#REF!</definedName>
    <definedName name="_JK00001177" localSheetId="16">#REF!</definedName>
    <definedName name="_JK00001177" localSheetId="18">#REF!</definedName>
    <definedName name="_JK00001177">#REF!</definedName>
    <definedName name="_JK00001178" localSheetId="11">#REF!</definedName>
    <definedName name="_JK00001178" localSheetId="16">#REF!</definedName>
    <definedName name="_JK00001178" localSheetId="18">#REF!</definedName>
    <definedName name="_JK00001178">#REF!</definedName>
    <definedName name="_JK00001179" localSheetId="11">#REF!</definedName>
    <definedName name="_JK00001179" localSheetId="16">#REF!</definedName>
    <definedName name="_JK00001179" localSheetId="18">#REF!</definedName>
    <definedName name="_JK00001179">#REF!</definedName>
    <definedName name="_JK00001180" localSheetId="11">#REF!</definedName>
    <definedName name="_JK00001180" localSheetId="16">#REF!</definedName>
    <definedName name="_JK00001180" localSheetId="18">#REF!</definedName>
    <definedName name="_JK00001180">#REF!</definedName>
    <definedName name="_JK00001181" localSheetId="11">#REF!</definedName>
    <definedName name="_JK00001181" localSheetId="16">#REF!</definedName>
    <definedName name="_JK00001181" localSheetId="18">#REF!</definedName>
    <definedName name="_JK00001181">#REF!</definedName>
    <definedName name="_JK00001184" localSheetId="11">#REF!</definedName>
    <definedName name="_JK00001184" localSheetId="16">#REF!</definedName>
    <definedName name="_JK00001184" localSheetId="18">#REF!</definedName>
    <definedName name="_JK00001184">#REF!</definedName>
    <definedName name="_JK00001200" localSheetId="11">#REF!</definedName>
    <definedName name="_JK00001200" localSheetId="16">#REF!</definedName>
    <definedName name="_JK00001200" localSheetId="18">#REF!</definedName>
    <definedName name="_JK00001200">#REF!</definedName>
    <definedName name="_JK00001202" localSheetId="11">#REF!</definedName>
    <definedName name="_JK00001202" localSheetId="16">#REF!</definedName>
    <definedName name="_JK00001202" localSheetId="18">#REF!</definedName>
    <definedName name="_JK00001202">#REF!</definedName>
    <definedName name="_JK00001203" localSheetId="11">#REF!</definedName>
    <definedName name="_JK00001203" localSheetId="16">#REF!</definedName>
    <definedName name="_JK00001203" localSheetId="18">#REF!</definedName>
    <definedName name="_JK00001203">#REF!</definedName>
    <definedName name="_JK00001204" localSheetId="11">#REF!</definedName>
    <definedName name="_JK00001204" localSheetId="16">#REF!</definedName>
    <definedName name="_JK00001204" localSheetId="18">#REF!</definedName>
    <definedName name="_JK00001204">#REF!</definedName>
    <definedName name="_JK00001206" localSheetId="11">#REF!</definedName>
    <definedName name="_JK00001206" localSheetId="16">#REF!</definedName>
    <definedName name="_JK00001206" localSheetId="18">#REF!</definedName>
    <definedName name="_JK00001206">#REF!</definedName>
    <definedName name="_JK00001207" localSheetId="11">#REF!</definedName>
    <definedName name="_JK00001207" localSheetId="16">#REF!</definedName>
    <definedName name="_JK00001207" localSheetId="18">#REF!</definedName>
    <definedName name="_JK00001207">#REF!</definedName>
    <definedName name="_JK00001209" localSheetId="11">#REF!</definedName>
    <definedName name="_JK00001209" localSheetId="16">#REF!</definedName>
    <definedName name="_JK00001209" localSheetId="18">#REF!</definedName>
    <definedName name="_JK00001209">#REF!</definedName>
    <definedName name="_JK00001210" localSheetId="11">#REF!</definedName>
    <definedName name="_JK00001210" localSheetId="16">#REF!</definedName>
    <definedName name="_JK00001210" localSheetId="18">#REF!</definedName>
    <definedName name="_JK00001210">#REF!</definedName>
    <definedName name="_JK00001212" localSheetId="11">#REF!</definedName>
    <definedName name="_JK00001212" localSheetId="16">#REF!</definedName>
    <definedName name="_JK00001212" localSheetId="18">#REF!</definedName>
    <definedName name="_JK00001212">#REF!</definedName>
    <definedName name="_JK00001218" localSheetId="11">#REF!</definedName>
    <definedName name="_JK00001218" localSheetId="16">#REF!</definedName>
    <definedName name="_JK00001218" localSheetId="18">#REF!</definedName>
    <definedName name="_JK00001218">#REF!</definedName>
    <definedName name="_JK00001219" localSheetId="11">#REF!</definedName>
    <definedName name="_JK00001219" localSheetId="16">#REF!</definedName>
    <definedName name="_JK00001219" localSheetId="18">#REF!</definedName>
    <definedName name="_JK00001219">#REF!</definedName>
    <definedName name="_JK00001220" localSheetId="11">#REF!</definedName>
    <definedName name="_JK00001220" localSheetId="16">#REF!</definedName>
    <definedName name="_JK00001220" localSheetId="18">#REF!</definedName>
    <definedName name="_JK00001220">#REF!</definedName>
    <definedName name="_JK00001221" localSheetId="11">#REF!</definedName>
    <definedName name="_JK00001221" localSheetId="16">#REF!</definedName>
    <definedName name="_JK00001221" localSheetId="18">#REF!</definedName>
    <definedName name="_JK00001221">#REF!</definedName>
    <definedName name="_JK00001222" localSheetId="11">#REF!</definedName>
    <definedName name="_JK00001222" localSheetId="16">#REF!</definedName>
    <definedName name="_JK00001222" localSheetId="18">#REF!</definedName>
    <definedName name="_JK00001222">#REF!</definedName>
    <definedName name="_JK00001223" localSheetId="11">#REF!</definedName>
    <definedName name="_JK00001223" localSheetId="16">#REF!</definedName>
    <definedName name="_JK00001223" localSheetId="18">#REF!</definedName>
    <definedName name="_JK00001223">#REF!</definedName>
    <definedName name="_JK1002864" localSheetId="11">#REF!</definedName>
    <definedName name="_JK1002864" localSheetId="16">#REF!</definedName>
    <definedName name="_JK1002864" localSheetId="18">#REF!</definedName>
    <definedName name="_JK1002864">#REF!</definedName>
    <definedName name="_JK1002917" localSheetId="11">#REF!</definedName>
    <definedName name="_JK1002917" localSheetId="16">#REF!</definedName>
    <definedName name="_JK1002917" localSheetId="18">#REF!</definedName>
    <definedName name="_JK1002917">#REF!</definedName>
    <definedName name="_JK1002919" localSheetId="11">#REF!</definedName>
    <definedName name="_JK1002919" localSheetId="16">#REF!</definedName>
    <definedName name="_JK1002919" localSheetId="18">#REF!</definedName>
    <definedName name="_JK1002919">#REF!</definedName>
    <definedName name="_JK1002921" localSheetId="11">#REF!</definedName>
    <definedName name="_JK1002921" localSheetId="16">#REF!</definedName>
    <definedName name="_JK1002921" localSheetId="18">#REF!</definedName>
    <definedName name="_JK1002921">#REF!</definedName>
    <definedName name="_JK1002923" localSheetId="11">#REF!</definedName>
    <definedName name="_JK1002923" localSheetId="16">#REF!</definedName>
    <definedName name="_JK1002923" localSheetId="18">#REF!</definedName>
    <definedName name="_JK1002923">#REF!</definedName>
    <definedName name="_JK1002925" localSheetId="11">#REF!</definedName>
    <definedName name="_JK1002925" localSheetId="16">#REF!</definedName>
    <definedName name="_JK1002925" localSheetId="18">#REF!</definedName>
    <definedName name="_JK1002925">#REF!</definedName>
    <definedName name="_JK1002927" localSheetId="11">#REF!</definedName>
    <definedName name="_JK1002927" localSheetId="16">#REF!</definedName>
    <definedName name="_JK1002927" localSheetId="18">#REF!</definedName>
    <definedName name="_JK1002927">#REF!</definedName>
    <definedName name="_JK1002931" localSheetId="11">#REF!</definedName>
    <definedName name="_JK1002931" localSheetId="16">#REF!</definedName>
    <definedName name="_JK1002931" localSheetId="18">#REF!</definedName>
    <definedName name="_JK1002931">#REF!</definedName>
    <definedName name="_JK1002937" localSheetId="11">#REF!</definedName>
    <definedName name="_JK1002937" localSheetId="16">#REF!</definedName>
    <definedName name="_JK1002937" localSheetId="18">#REF!</definedName>
    <definedName name="_JK1002937">#REF!</definedName>
    <definedName name="_JK1002939" localSheetId="11">#REF!</definedName>
    <definedName name="_JK1002939" localSheetId="16">#REF!</definedName>
    <definedName name="_JK1002939" localSheetId="18">#REF!</definedName>
    <definedName name="_JK1002939">#REF!</definedName>
    <definedName name="_JK1002941" localSheetId="11">#REF!</definedName>
    <definedName name="_JK1002941" localSheetId="16">#REF!</definedName>
    <definedName name="_JK1002941" localSheetId="18">#REF!</definedName>
    <definedName name="_JK1002941">#REF!</definedName>
    <definedName name="_JK1002943" localSheetId="11">#REF!</definedName>
    <definedName name="_JK1002943" localSheetId="16">#REF!</definedName>
    <definedName name="_JK1002943" localSheetId="18">#REF!</definedName>
    <definedName name="_JK1002943">#REF!</definedName>
    <definedName name="_JK1003116" localSheetId="11">#REF!</definedName>
    <definedName name="_JK1003116" localSheetId="16">#REF!</definedName>
    <definedName name="_JK1003116" localSheetId="18">#REF!</definedName>
    <definedName name="_JK1003116">#REF!</definedName>
    <definedName name="_JK1003119" localSheetId="11">#REF!</definedName>
    <definedName name="_JK1003119" localSheetId="16">#REF!</definedName>
    <definedName name="_JK1003119" localSheetId="18">#REF!</definedName>
    <definedName name="_JK1003119">#REF!</definedName>
    <definedName name="_JK1003125" localSheetId="11">#REF!</definedName>
    <definedName name="_JK1003125" localSheetId="16">#REF!</definedName>
    <definedName name="_JK1003125" localSheetId="18">#REF!</definedName>
    <definedName name="_JK1003125">#REF!</definedName>
    <definedName name="_JK1003128" localSheetId="11">#REF!</definedName>
    <definedName name="_JK1003128" localSheetId="16">#REF!</definedName>
    <definedName name="_JK1003128" localSheetId="18">#REF!</definedName>
    <definedName name="_JK1003128">#REF!</definedName>
    <definedName name="_JK1003134" localSheetId="11">#REF!</definedName>
    <definedName name="_JK1003134" localSheetId="16">#REF!</definedName>
    <definedName name="_JK1003134" localSheetId="18">#REF!</definedName>
    <definedName name="_JK1003134">#REF!</definedName>
    <definedName name="_JK1003184" localSheetId="11">#REF!</definedName>
    <definedName name="_JK1003184" localSheetId="16">#REF!</definedName>
    <definedName name="_JK1003184" localSheetId="18">#REF!</definedName>
    <definedName name="_JK1003184">#REF!</definedName>
    <definedName name="_JK1003193" localSheetId="11">#REF!</definedName>
    <definedName name="_JK1003193" localSheetId="16">#REF!</definedName>
    <definedName name="_JK1003193" localSheetId="18">#REF!</definedName>
    <definedName name="_JK1003193">#REF!</definedName>
    <definedName name="_JK1003229" localSheetId="11">#REF!</definedName>
    <definedName name="_JK1003229" localSheetId="16">#REF!</definedName>
    <definedName name="_JK1003229" localSheetId="18">#REF!</definedName>
    <definedName name="_JK1003229">#REF!</definedName>
    <definedName name="_JK1003232" localSheetId="11">#REF!</definedName>
    <definedName name="_JK1003232" localSheetId="16">#REF!</definedName>
    <definedName name="_JK1003232" localSheetId="18">#REF!</definedName>
    <definedName name="_JK1003232">#REF!</definedName>
    <definedName name="_JK1003235" localSheetId="11">#REF!</definedName>
    <definedName name="_JK1003235" localSheetId="16">#REF!</definedName>
    <definedName name="_JK1003235" localSheetId="18">#REF!</definedName>
    <definedName name="_JK1003235">#REF!</definedName>
    <definedName name="_JK1003250" localSheetId="11">#REF!</definedName>
    <definedName name="_JK1003250" localSheetId="16">#REF!</definedName>
    <definedName name="_JK1003250" localSheetId="18">#REF!</definedName>
    <definedName name="_JK1003250">#REF!</definedName>
    <definedName name="_JK1003253" localSheetId="11">#REF!</definedName>
    <definedName name="_JK1003253" localSheetId="16">#REF!</definedName>
    <definedName name="_JK1003253" localSheetId="18">#REF!</definedName>
    <definedName name="_JK1003253">#REF!</definedName>
    <definedName name="_JK1003325" localSheetId="11">#REF!</definedName>
    <definedName name="_JK1003325" localSheetId="16">#REF!</definedName>
    <definedName name="_JK1003325" localSheetId="18">#REF!</definedName>
    <definedName name="_JK1003325">#REF!</definedName>
    <definedName name="_JK1003337" localSheetId="11">#REF!</definedName>
    <definedName name="_JK1003337" localSheetId="16">#REF!</definedName>
    <definedName name="_JK1003337" localSheetId="18">#REF!</definedName>
    <definedName name="_JK1003337">#REF!</definedName>
    <definedName name="_JK1003340" localSheetId="11">#REF!</definedName>
    <definedName name="_JK1003340" localSheetId="16">#REF!</definedName>
    <definedName name="_JK1003340" localSheetId="18">#REF!</definedName>
    <definedName name="_JK1003340">#REF!</definedName>
    <definedName name="_JK1003397" localSheetId="11">#REF!</definedName>
    <definedName name="_JK1003397" localSheetId="16">#REF!</definedName>
    <definedName name="_JK1003397" localSheetId="18">#REF!</definedName>
    <definedName name="_JK1003397">#REF!</definedName>
    <definedName name="_JK1003400" localSheetId="11">#REF!</definedName>
    <definedName name="_JK1003400" localSheetId="16">#REF!</definedName>
    <definedName name="_JK1003400" localSheetId="18">#REF!</definedName>
    <definedName name="_JK1003400">#REF!</definedName>
    <definedName name="_JK1003403" localSheetId="11">#REF!</definedName>
    <definedName name="_JK1003403" localSheetId="16">#REF!</definedName>
    <definedName name="_JK1003403" localSheetId="18">#REF!</definedName>
    <definedName name="_JK1003403">#REF!</definedName>
    <definedName name="_JK1003406" localSheetId="11">#REF!</definedName>
    <definedName name="_JK1003406" localSheetId="16">#REF!</definedName>
    <definedName name="_JK1003406" localSheetId="18">#REF!</definedName>
    <definedName name="_JK1003406">#REF!</definedName>
    <definedName name="_JK1003409" localSheetId="11">#REF!</definedName>
    <definedName name="_JK1003409" localSheetId="16">#REF!</definedName>
    <definedName name="_JK1003409" localSheetId="18">#REF!</definedName>
    <definedName name="_JK1003409">#REF!</definedName>
    <definedName name="_JK1003412" localSheetId="11">#REF!</definedName>
    <definedName name="_JK1003412" localSheetId="16">#REF!</definedName>
    <definedName name="_JK1003412" localSheetId="18">#REF!</definedName>
    <definedName name="_JK1003412">#REF!</definedName>
    <definedName name="_JK1003415" localSheetId="11">#REF!</definedName>
    <definedName name="_JK1003415" localSheetId="16">#REF!</definedName>
    <definedName name="_JK1003415" localSheetId="18">#REF!</definedName>
    <definedName name="_JK1003415">#REF!</definedName>
    <definedName name="_JK1003418" localSheetId="11">#REF!</definedName>
    <definedName name="_JK1003418" localSheetId="16">#REF!</definedName>
    <definedName name="_JK1003418" localSheetId="18">#REF!</definedName>
    <definedName name="_JK1003418">#REF!</definedName>
    <definedName name="_JK1003427" localSheetId="11">#REF!</definedName>
    <definedName name="_JK1003427" localSheetId="16">#REF!</definedName>
    <definedName name="_JK1003427" localSheetId="18">#REF!</definedName>
    <definedName name="_JK1003427">#REF!</definedName>
    <definedName name="_JK1003430" localSheetId="11">#REF!</definedName>
    <definedName name="_JK1003430" localSheetId="16">#REF!</definedName>
    <definedName name="_JK1003430" localSheetId="18">#REF!</definedName>
    <definedName name="_JK1003430">#REF!</definedName>
    <definedName name="_JK1003433" localSheetId="11">#REF!</definedName>
    <definedName name="_JK1003433" localSheetId="16">#REF!</definedName>
    <definedName name="_JK1003433" localSheetId="18">#REF!</definedName>
    <definedName name="_JK1003433">#REF!</definedName>
    <definedName name="_JK1003437" localSheetId="11">#REF!</definedName>
    <definedName name="_JK1003437" localSheetId="16">#REF!</definedName>
    <definedName name="_JK1003437" localSheetId="18">#REF!</definedName>
    <definedName name="_JK1003437">#REF!</definedName>
    <definedName name="_JK1003440" localSheetId="11">#REF!</definedName>
    <definedName name="_JK1003440" localSheetId="16">#REF!</definedName>
    <definedName name="_JK1003440" localSheetId="18">#REF!</definedName>
    <definedName name="_JK1003440">#REF!</definedName>
    <definedName name="_JK1003446" localSheetId="11">#REF!</definedName>
    <definedName name="_JK1003446" localSheetId="16">#REF!</definedName>
    <definedName name="_JK1003446" localSheetId="18">#REF!</definedName>
    <definedName name="_JK1003446">#REF!</definedName>
    <definedName name="_JK1003449" localSheetId="11">#REF!</definedName>
    <definedName name="_JK1003449" localSheetId="16">#REF!</definedName>
    <definedName name="_JK1003449" localSheetId="18">#REF!</definedName>
    <definedName name="_JK1003449">#REF!</definedName>
    <definedName name="_JK1003452" localSheetId="11">#REF!</definedName>
    <definedName name="_JK1003452" localSheetId="16">#REF!</definedName>
    <definedName name="_JK1003452" localSheetId="18">#REF!</definedName>
    <definedName name="_JK1003452">#REF!</definedName>
    <definedName name="_JK1003462" localSheetId="11">#REF!</definedName>
    <definedName name="_JK1003462" localSheetId="16">#REF!</definedName>
    <definedName name="_JK1003462" localSheetId="18">#REF!</definedName>
    <definedName name="_JK1003462">#REF!</definedName>
    <definedName name="_JK1003465" localSheetId="11">#REF!</definedName>
    <definedName name="_JK1003465" localSheetId="16">#REF!</definedName>
    <definedName name="_JK1003465" localSheetId="18">#REF!</definedName>
    <definedName name="_JK1003465">#REF!</definedName>
    <definedName name="_JK1003468" localSheetId="11">#REF!</definedName>
    <definedName name="_JK1003468" localSheetId="16">#REF!</definedName>
    <definedName name="_JK1003468" localSheetId="18">#REF!</definedName>
    <definedName name="_JK1003468">#REF!</definedName>
    <definedName name="_JK1003471" localSheetId="11">#REF!</definedName>
    <definedName name="_JK1003471" localSheetId="16">#REF!</definedName>
    <definedName name="_JK1003471" localSheetId="18">#REF!</definedName>
    <definedName name="_JK1003471">#REF!</definedName>
    <definedName name="_JK1003474" localSheetId="11">#REF!</definedName>
    <definedName name="_JK1003474" localSheetId="16">#REF!</definedName>
    <definedName name="_JK1003474" localSheetId="18">#REF!</definedName>
    <definedName name="_JK1003474">#REF!</definedName>
    <definedName name="_JK1003477" localSheetId="11">#REF!</definedName>
    <definedName name="_JK1003477" localSheetId="16">#REF!</definedName>
    <definedName name="_JK1003477" localSheetId="18">#REF!</definedName>
    <definedName name="_JK1003477">#REF!</definedName>
    <definedName name="_JK1003485" localSheetId="11">#REF!</definedName>
    <definedName name="_JK1003485" localSheetId="16">#REF!</definedName>
    <definedName name="_JK1003485" localSheetId="18">#REF!</definedName>
    <definedName name="_JK1003485">#REF!</definedName>
    <definedName name="_JK1003488" localSheetId="11">#REF!</definedName>
    <definedName name="_JK1003488" localSheetId="16">#REF!</definedName>
    <definedName name="_JK1003488" localSheetId="18">#REF!</definedName>
    <definedName name="_JK1003488">#REF!</definedName>
    <definedName name="_JK1003525" localSheetId="11">#REF!</definedName>
    <definedName name="_JK1003525" localSheetId="16">#REF!</definedName>
    <definedName name="_JK1003525" localSheetId="18">#REF!</definedName>
    <definedName name="_JK1003525">#REF!</definedName>
    <definedName name="_JK1003528" localSheetId="11">#REF!</definedName>
    <definedName name="_JK1003528" localSheetId="16">#REF!</definedName>
    <definedName name="_JK1003528" localSheetId="18">#REF!</definedName>
    <definedName name="_JK1003528">#REF!</definedName>
    <definedName name="_JK1003660" localSheetId="11">#REF!</definedName>
    <definedName name="_JK1003660" localSheetId="16">#REF!</definedName>
    <definedName name="_JK1003660" localSheetId="18">#REF!</definedName>
    <definedName name="_JK1003660">#REF!</definedName>
    <definedName name="_JK1003767" localSheetId="11">#REF!</definedName>
    <definedName name="_JK1003767" localSheetId="16">#REF!</definedName>
    <definedName name="_JK1003767" localSheetId="18">#REF!</definedName>
    <definedName name="_JK1003767">#REF!</definedName>
    <definedName name="_JK1003800" localSheetId="11">#REF!</definedName>
    <definedName name="_JK1003800" localSheetId="16">#REF!</definedName>
    <definedName name="_JK1003800" localSheetId="18">#REF!</definedName>
    <definedName name="_JK1003800">#REF!</definedName>
    <definedName name="_JK1003803" localSheetId="11">#REF!</definedName>
    <definedName name="_JK1003803" localSheetId="16">#REF!</definedName>
    <definedName name="_JK1003803" localSheetId="18">#REF!</definedName>
    <definedName name="_JK1003803">#REF!</definedName>
    <definedName name="_JK1003819" localSheetId="11">#REF!</definedName>
    <definedName name="_JK1003819" localSheetId="16">#REF!</definedName>
    <definedName name="_JK1003819" localSheetId="18">#REF!</definedName>
    <definedName name="_JK1003819">#REF!</definedName>
    <definedName name="_JK1003869" localSheetId="11">#REF!</definedName>
    <definedName name="_JK1003869" localSheetId="16">#REF!</definedName>
    <definedName name="_JK1003869" localSheetId="18">#REF!</definedName>
    <definedName name="_JK1003869">#REF!</definedName>
    <definedName name="_JK1003872" localSheetId="11">#REF!</definedName>
    <definedName name="_JK1003872" localSheetId="16">#REF!</definedName>
    <definedName name="_JK1003872" localSheetId="18">#REF!</definedName>
    <definedName name="_JK1003872">#REF!</definedName>
    <definedName name="_JK1003875" localSheetId="11">#REF!</definedName>
    <definedName name="_JK1003875" localSheetId="16">#REF!</definedName>
    <definedName name="_JK1003875" localSheetId="18">#REF!</definedName>
    <definedName name="_JK1003875">#REF!</definedName>
    <definedName name="_JK1003878" localSheetId="11">#REF!</definedName>
    <definedName name="_JK1003878" localSheetId="16">#REF!</definedName>
    <definedName name="_JK1003878" localSheetId="18">#REF!</definedName>
    <definedName name="_JK1003878">#REF!</definedName>
    <definedName name="_JK1003881" localSheetId="11">#REF!</definedName>
    <definedName name="_JK1003881" localSheetId="16">#REF!</definedName>
    <definedName name="_JK1003881" localSheetId="18">#REF!</definedName>
    <definedName name="_JK1003881">#REF!</definedName>
    <definedName name="_JK1003884" localSheetId="11">#REF!</definedName>
    <definedName name="_JK1003884" localSheetId="16">#REF!</definedName>
    <definedName name="_JK1003884" localSheetId="18">#REF!</definedName>
    <definedName name="_JK1003884">#REF!</definedName>
    <definedName name="_JK1003887" localSheetId="11">#REF!</definedName>
    <definedName name="_JK1003887" localSheetId="16">#REF!</definedName>
    <definedName name="_JK1003887" localSheetId="18">#REF!</definedName>
    <definedName name="_JK1003887">#REF!</definedName>
    <definedName name="_JK1003897" localSheetId="11">#REF!</definedName>
    <definedName name="_JK1003897" localSheetId="16">#REF!</definedName>
    <definedName name="_JK1003897" localSheetId="18">#REF!</definedName>
    <definedName name="_JK1003897">#REF!</definedName>
    <definedName name="_JK1003900" localSheetId="11">#REF!</definedName>
    <definedName name="_JK1003900" localSheetId="16">#REF!</definedName>
    <definedName name="_JK1003900" localSheetId="18">#REF!</definedName>
    <definedName name="_JK1003900">#REF!</definedName>
    <definedName name="_JK1003903" localSheetId="11">#REF!</definedName>
    <definedName name="_JK1003903" localSheetId="16">#REF!</definedName>
    <definedName name="_JK1003903" localSheetId="18">#REF!</definedName>
    <definedName name="_JK1003903">#REF!</definedName>
    <definedName name="_JK1003906" localSheetId="11">#REF!</definedName>
    <definedName name="_JK1003906" localSheetId="16">#REF!</definedName>
    <definedName name="_JK1003906" localSheetId="18">#REF!</definedName>
    <definedName name="_JK1003906">#REF!</definedName>
    <definedName name="_JK1003909" localSheetId="11">#REF!</definedName>
    <definedName name="_JK1003909" localSheetId="16">#REF!</definedName>
    <definedName name="_JK1003909" localSheetId="18">#REF!</definedName>
    <definedName name="_JK1003909">#REF!</definedName>
    <definedName name="_JK1003936" localSheetId="11">#REF!</definedName>
    <definedName name="_JK1003936" localSheetId="16">#REF!</definedName>
    <definedName name="_JK1003936" localSheetId="18">#REF!</definedName>
    <definedName name="_JK1003936">#REF!</definedName>
    <definedName name="_JK1004071" localSheetId="11">#REF!</definedName>
    <definedName name="_JK1004071" localSheetId="16">#REF!</definedName>
    <definedName name="_JK1004071" localSheetId="18">#REF!</definedName>
    <definedName name="_JK1004071">#REF!</definedName>
    <definedName name="_JK1004081" localSheetId="11">#REF!</definedName>
    <definedName name="_JK1004081" localSheetId="16">#REF!</definedName>
    <definedName name="_JK1004081" localSheetId="18">#REF!</definedName>
    <definedName name="_JK1004081">#REF!</definedName>
    <definedName name="_JK1004091" localSheetId="11">#REF!</definedName>
    <definedName name="_JK1004091" localSheetId="16">#REF!</definedName>
    <definedName name="_JK1004091" localSheetId="18">#REF!</definedName>
    <definedName name="_JK1004091">#REF!</definedName>
    <definedName name="_JK1004109" localSheetId="11">#REF!</definedName>
    <definedName name="_JK1004109" localSheetId="16">#REF!</definedName>
    <definedName name="_JK1004109" localSheetId="18">#REF!</definedName>
    <definedName name="_JK1004109">#REF!</definedName>
    <definedName name="_JK1004114" localSheetId="11">#REF!</definedName>
    <definedName name="_JK1004114" localSheetId="16">#REF!</definedName>
    <definedName name="_JK1004114" localSheetId="18">#REF!</definedName>
    <definedName name="_JK1004114">#REF!</definedName>
    <definedName name="_JK1004662" localSheetId="11">#REF!</definedName>
    <definedName name="_JK1004662" localSheetId="16">#REF!</definedName>
    <definedName name="_JK1004662" localSheetId="18">#REF!</definedName>
    <definedName name="_JK1004662">#REF!</definedName>
    <definedName name="_JK1004665" localSheetId="11">#REF!</definedName>
    <definedName name="_JK1004665" localSheetId="16">#REF!</definedName>
    <definedName name="_JK1004665" localSheetId="18">#REF!</definedName>
    <definedName name="_JK1004665">#REF!</definedName>
    <definedName name="_JK1004671" localSheetId="11">#REF!</definedName>
    <definedName name="_JK1004671" localSheetId="16">#REF!</definedName>
    <definedName name="_JK1004671" localSheetId="18">#REF!</definedName>
    <definedName name="_JK1004671">#REF!</definedName>
    <definedName name="_JK1004674" localSheetId="11">#REF!</definedName>
    <definedName name="_JK1004674" localSheetId="16">#REF!</definedName>
    <definedName name="_JK1004674" localSheetId="18">#REF!</definedName>
    <definedName name="_JK1004674">#REF!</definedName>
    <definedName name="_JK1004684" localSheetId="11">#REF!</definedName>
    <definedName name="_JK1004684" localSheetId="16">#REF!</definedName>
    <definedName name="_JK1004684" localSheetId="18">#REF!</definedName>
    <definedName name="_JK1004684">#REF!</definedName>
    <definedName name="_JK1004688" localSheetId="11">#REF!</definedName>
    <definedName name="_JK1004688" localSheetId="16">#REF!</definedName>
    <definedName name="_JK1004688" localSheetId="18">#REF!</definedName>
    <definedName name="_JK1004688">#REF!</definedName>
    <definedName name="_JK1004696" localSheetId="11">#REF!</definedName>
    <definedName name="_JK1004696" localSheetId="16">#REF!</definedName>
    <definedName name="_JK1004696" localSheetId="18">#REF!</definedName>
    <definedName name="_JK1004696">#REF!</definedName>
    <definedName name="_JK1004970" localSheetId="11">#REF!</definedName>
    <definedName name="_JK1004970" localSheetId="16">#REF!</definedName>
    <definedName name="_JK1004970" localSheetId="18">#REF!</definedName>
    <definedName name="_JK1004970">#REF!</definedName>
    <definedName name="_JK1005262" localSheetId="11">#REF!</definedName>
    <definedName name="_JK1005262" localSheetId="16">#REF!</definedName>
    <definedName name="_JK1005262" localSheetId="18">#REF!</definedName>
    <definedName name="_JK1005262">#REF!</definedName>
    <definedName name="_JK1005299" localSheetId="11">#REF!</definedName>
    <definedName name="_JK1005299" localSheetId="16">#REF!</definedName>
    <definedName name="_JK1005299" localSheetId="18">#REF!</definedName>
    <definedName name="_JK1005299">#REF!</definedName>
    <definedName name="_JK1005302" localSheetId="11">#REF!</definedName>
    <definedName name="_JK1005302" localSheetId="16">#REF!</definedName>
    <definedName name="_JK1005302" localSheetId="18">#REF!</definedName>
    <definedName name="_JK1005302">#REF!</definedName>
    <definedName name="_JK1005305" localSheetId="11">#REF!</definedName>
    <definedName name="_JK1005305" localSheetId="16">#REF!</definedName>
    <definedName name="_JK1005305" localSheetId="18">#REF!</definedName>
    <definedName name="_JK1005305">#REF!</definedName>
    <definedName name="_JK1005313" localSheetId="11">#REF!</definedName>
    <definedName name="_JK1005313" localSheetId="16">#REF!</definedName>
    <definedName name="_JK1005313" localSheetId="18">#REF!</definedName>
    <definedName name="_JK1005313">#REF!</definedName>
    <definedName name="_JK1005534" localSheetId="11">#REF!</definedName>
    <definedName name="_JK1005534" localSheetId="16">#REF!</definedName>
    <definedName name="_JK1005534" localSheetId="18">#REF!</definedName>
    <definedName name="_JK1005534">#REF!</definedName>
    <definedName name="_JK1005551" localSheetId="11">#REF!</definedName>
    <definedName name="_JK1005551" localSheetId="16">#REF!</definedName>
    <definedName name="_JK1005551" localSheetId="18">#REF!</definedName>
    <definedName name="_JK1005551">#REF!</definedName>
    <definedName name="_Key1" localSheetId="11" hidden="1">#REF!</definedName>
    <definedName name="_Key1" localSheetId="16" hidden="1">#REF!</definedName>
    <definedName name="_Key1" localSheetId="18" hidden="1">#REF!</definedName>
    <definedName name="_Key1" hidden="1">#REF!</definedName>
    <definedName name="_MI1" localSheetId="11">#REF!</definedName>
    <definedName name="_MI1" localSheetId="16">#REF!</definedName>
    <definedName name="_MI1" localSheetId="18">#REF!</definedName>
    <definedName name="_MI1">#REF!</definedName>
    <definedName name="_MI2" localSheetId="11">#REF!</definedName>
    <definedName name="_MI2" localSheetId="16">#REF!</definedName>
    <definedName name="_MI2" localSheetId="18">#REF!</definedName>
    <definedName name="_MI2">#REF!</definedName>
    <definedName name="_MI6" localSheetId="11">#REF!</definedName>
    <definedName name="_MI6" localSheetId="16">#REF!</definedName>
    <definedName name="_MI6" localSheetId="18">#REF!</definedName>
    <definedName name="_MI6">#REF!</definedName>
    <definedName name="_MI7" localSheetId="11">#REF!</definedName>
    <definedName name="_MI7" localSheetId="16">#REF!</definedName>
    <definedName name="_MI7" localSheetId="18">#REF!</definedName>
    <definedName name="_MI7">#REF!</definedName>
    <definedName name="_MI8" localSheetId="11">#REF!</definedName>
    <definedName name="_MI8" localSheetId="16">#REF!</definedName>
    <definedName name="_MI8" localSheetId="18">#REF!</definedName>
    <definedName name="_MI8">#REF!</definedName>
    <definedName name="_mil1" localSheetId="11">#REF!</definedName>
    <definedName name="_mil1" localSheetId="16">#REF!</definedName>
    <definedName name="_mil1" localSheetId="18">#REF!</definedName>
    <definedName name="_mil1">#REF!</definedName>
    <definedName name="_mil2" localSheetId="11">#REF!</definedName>
    <definedName name="_mil2" localSheetId="16">#REF!</definedName>
    <definedName name="_mil2" localSheetId="18">#REF!</definedName>
    <definedName name="_mil2">#REF!</definedName>
    <definedName name="_mil6" localSheetId="11">#REF!</definedName>
    <definedName name="_mil6" localSheetId="16">#REF!</definedName>
    <definedName name="_mil6" localSheetId="18">#REF!</definedName>
    <definedName name="_mil6">#REF!</definedName>
    <definedName name="_mil7" localSheetId="11">#REF!</definedName>
    <definedName name="_mil7" localSheetId="16">#REF!</definedName>
    <definedName name="_mil7" localSheetId="18">#REF!</definedName>
    <definedName name="_mil7">#REF!</definedName>
    <definedName name="_mil8" localSheetId="11">#REF!</definedName>
    <definedName name="_mil8" localSheetId="16">#REF!</definedName>
    <definedName name="_mil8" localSheetId="18">#REF!</definedName>
    <definedName name="_mil8">#REF!</definedName>
    <definedName name="_msl100" localSheetId="11">#REF!</definedName>
    <definedName name="_msl100" localSheetId="16">#REF!</definedName>
    <definedName name="_msl100" localSheetId="18">#REF!</definedName>
    <definedName name="_msl100">#REF!</definedName>
    <definedName name="_msl200" localSheetId="11">#REF!</definedName>
    <definedName name="_msl200" localSheetId="16">#REF!</definedName>
    <definedName name="_msl200" localSheetId="18">#REF!</definedName>
    <definedName name="_msl200">#REF!</definedName>
    <definedName name="_msl250" localSheetId="11">#REF!</definedName>
    <definedName name="_msl250" localSheetId="16">#REF!</definedName>
    <definedName name="_msl250" localSheetId="18">#REF!</definedName>
    <definedName name="_msl250">#REF!</definedName>
    <definedName name="_msl300" localSheetId="11">#REF!</definedName>
    <definedName name="_msl300" localSheetId="16">#REF!</definedName>
    <definedName name="_msl300" localSheetId="18">#REF!</definedName>
    <definedName name="_msl300">#REF!</definedName>
    <definedName name="_msl400" localSheetId="11">#REF!</definedName>
    <definedName name="_msl400" localSheetId="16">#REF!</definedName>
    <definedName name="_msl400" localSheetId="18">#REF!</definedName>
    <definedName name="_msl400">#REF!</definedName>
    <definedName name="_msl800" localSheetId="11">#REF!</definedName>
    <definedName name="_msl800" localSheetId="16">#REF!</definedName>
    <definedName name="_msl800" localSheetId="18">#REF!</definedName>
    <definedName name="_msl800">#REF!</definedName>
    <definedName name="_mui100" localSheetId="11">#REF!</definedName>
    <definedName name="_mui100" localSheetId="16">#REF!</definedName>
    <definedName name="_mui100" localSheetId="18">#REF!</definedName>
    <definedName name="_mui100">#REF!</definedName>
    <definedName name="_mui105" localSheetId="11">#REF!</definedName>
    <definedName name="_mui105" localSheetId="16">#REF!</definedName>
    <definedName name="_mui105" localSheetId="18">#REF!</definedName>
    <definedName name="_mui105">#REF!</definedName>
    <definedName name="_mui108" localSheetId="11">#REF!</definedName>
    <definedName name="_mui108" localSheetId="16">#REF!</definedName>
    <definedName name="_mui108" localSheetId="18">#REF!</definedName>
    <definedName name="_mui108">#REF!</definedName>
    <definedName name="_mui130" localSheetId="11">#REF!</definedName>
    <definedName name="_mui130" localSheetId="16">#REF!</definedName>
    <definedName name="_mui130" localSheetId="18">#REF!</definedName>
    <definedName name="_mui130">#REF!</definedName>
    <definedName name="_mui140" localSheetId="11">#REF!</definedName>
    <definedName name="_mui140" localSheetId="16">#REF!</definedName>
    <definedName name="_mui140" localSheetId="18">#REF!</definedName>
    <definedName name="_mui140">#REF!</definedName>
    <definedName name="_mui160" localSheetId="11">#REF!</definedName>
    <definedName name="_mui160" localSheetId="16">#REF!</definedName>
    <definedName name="_mui160" localSheetId="18">#REF!</definedName>
    <definedName name="_mui160">#REF!</definedName>
    <definedName name="_mui180" localSheetId="11">#REF!</definedName>
    <definedName name="_mui180" localSheetId="16">#REF!</definedName>
    <definedName name="_mui180" localSheetId="18">#REF!</definedName>
    <definedName name="_mui180">#REF!</definedName>
    <definedName name="_mui250" localSheetId="11">#REF!</definedName>
    <definedName name="_mui250" localSheetId="16">#REF!</definedName>
    <definedName name="_mui250" localSheetId="18">#REF!</definedName>
    <definedName name="_mui250">#REF!</definedName>
    <definedName name="_mui271" localSheetId="11">#REF!</definedName>
    <definedName name="_mui271" localSheetId="16">#REF!</definedName>
    <definedName name="_mui271" localSheetId="18">#REF!</definedName>
    <definedName name="_mui271">#REF!</definedName>
    <definedName name="_mui320" localSheetId="11">#REF!</definedName>
    <definedName name="_mui320" localSheetId="16">#REF!</definedName>
    <definedName name="_mui320" localSheetId="18">#REF!</definedName>
    <definedName name="_mui320">#REF!</definedName>
    <definedName name="_mui45" localSheetId="11">#REF!</definedName>
    <definedName name="_mui45" localSheetId="16">#REF!</definedName>
    <definedName name="_mui45" localSheetId="18">#REF!</definedName>
    <definedName name="_mui45">#REF!</definedName>
    <definedName name="_mui50" localSheetId="11">#REF!</definedName>
    <definedName name="_mui50" localSheetId="16">#REF!</definedName>
    <definedName name="_mui50" localSheetId="18">#REF!</definedName>
    <definedName name="_mui50">#REF!</definedName>
    <definedName name="_mui54" localSheetId="11">#REF!</definedName>
    <definedName name="_mui54" localSheetId="16">#REF!</definedName>
    <definedName name="_mui54" localSheetId="18">#REF!</definedName>
    <definedName name="_mui54">#REF!</definedName>
    <definedName name="_mui65" localSheetId="11">#REF!</definedName>
    <definedName name="_mui65" localSheetId="16">#REF!</definedName>
    <definedName name="_mui65" localSheetId="18">#REF!</definedName>
    <definedName name="_mui65">#REF!</definedName>
    <definedName name="_mui75" localSheetId="11">#REF!</definedName>
    <definedName name="_mui75" localSheetId="16">#REF!</definedName>
    <definedName name="_mui75" localSheetId="18">#REF!</definedName>
    <definedName name="_mui75">#REF!</definedName>
    <definedName name="_mui80" localSheetId="11">#REF!</definedName>
    <definedName name="_mui80" localSheetId="16">#REF!</definedName>
    <definedName name="_mui80" localSheetId="18">#REF!</definedName>
    <definedName name="_mui80">#REF!</definedName>
    <definedName name="_NET2" localSheetId="11">#REF!</definedName>
    <definedName name="_NET2" localSheetId="16">#REF!</definedName>
    <definedName name="_NET2" localSheetId="18">#REF!</definedName>
    <definedName name="_NET2">#REF!</definedName>
    <definedName name="_new1" localSheetId="11">#REF!</definedName>
    <definedName name="_new1" localSheetId="16">#REF!</definedName>
    <definedName name="_new1" localSheetId="18">#REF!</definedName>
    <definedName name="_new1">#REF!</definedName>
    <definedName name="_new11" localSheetId="11">#REF!</definedName>
    <definedName name="_new11" localSheetId="16">#REF!</definedName>
    <definedName name="_new11" localSheetId="18">#REF!</definedName>
    <definedName name="_new11">#REF!</definedName>
    <definedName name="_new6" localSheetId="11">#REF!</definedName>
    <definedName name="_new6" localSheetId="16">#REF!</definedName>
    <definedName name="_new6" localSheetId="18">#REF!</definedName>
    <definedName name="_new6">#REF!</definedName>
    <definedName name="_OB1" localSheetId="11">#REF!</definedName>
    <definedName name="_OB1" localSheetId="16">#REF!</definedName>
    <definedName name="_OB1" localSheetId="18">#REF!</definedName>
    <definedName name="_OB1">#REF!</definedName>
    <definedName name="_OH1" localSheetId="11">#REF!</definedName>
    <definedName name="_OH1" localSheetId="16">#REF!</definedName>
    <definedName name="_OH1" localSheetId="18">#REF!</definedName>
    <definedName name="_OH1">#REF!</definedName>
    <definedName name="_ONE03" localSheetId="11">#REF!</definedName>
    <definedName name="_ONE03" localSheetId="16">#REF!</definedName>
    <definedName name="_ONE03" localSheetId="18">#REF!</definedName>
    <definedName name="_ONE03">#REF!</definedName>
    <definedName name="_ONE04" localSheetId="11">#REF!</definedName>
    <definedName name="_ONE04" localSheetId="16">#REF!</definedName>
    <definedName name="_ONE04" localSheetId="18">#REF!</definedName>
    <definedName name="_ONE04">#REF!</definedName>
    <definedName name="_ONE05" localSheetId="11">#REF!</definedName>
    <definedName name="_ONE05" localSheetId="16">#REF!</definedName>
    <definedName name="_ONE05" localSheetId="18">#REF!</definedName>
    <definedName name="_ONE05">#REF!</definedName>
    <definedName name="_ONE06" localSheetId="11">#REF!</definedName>
    <definedName name="_ONE06" localSheetId="16">#REF!</definedName>
    <definedName name="_ONE06" localSheetId="18">#REF!</definedName>
    <definedName name="_ONE06">#REF!</definedName>
    <definedName name="_ONE07" localSheetId="11">#REF!</definedName>
    <definedName name="_ONE07" localSheetId="16">#REF!</definedName>
    <definedName name="_ONE07" localSheetId="18">#REF!</definedName>
    <definedName name="_ONE07">#REF!</definedName>
    <definedName name="_ONE08" localSheetId="11">#REF!</definedName>
    <definedName name="_ONE08" localSheetId="16">#REF!</definedName>
    <definedName name="_ONE08" localSheetId="18">#REF!</definedName>
    <definedName name="_ONE08">#REF!</definedName>
    <definedName name="_ONE09" localSheetId="11">#REF!</definedName>
    <definedName name="_ONE09" localSheetId="16">#REF!</definedName>
    <definedName name="_ONE09" localSheetId="18">#REF!</definedName>
    <definedName name="_ONE09">#REF!</definedName>
    <definedName name="_Ord9" localSheetId="11">#REF!</definedName>
    <definedName name="_Ord9" localSheetId="16">#REF!</definedName>
    <definedName name="_Ord9" localSheetId="18">#REF!</definedName>
    <definedName name="_Ord9">#REF!</definedName>
    <definedName name="_Order1" hidden="1">255</definedName>
    <definedName name="_Order2" hidden="1">255</definedName>
    <definedName name="_PL1" localSheetId="11">#REF!</definedName>
    <definedName name="_PL1" localSheetId="16">#REF!</definedName>
    <definedName name="_PL1" localSheetId="18">#REF!</definedName>
    <definedName name="_PL1">#REF!</definedName>
    <definedName name="_PL2" localSheetId="11">#REF!</definedName>
    <definedName name="_PL2" localSheetId="16">#REF!</definedName>
    <definedName name="_PL2" localSheetId="18">#REF!</definedName>
    <definedName name="_PL2">#REF!</definedName>
    <definedName name="_PMY02" localSheetId="11">#REF!</definedName>
    <definedName name="_PMY02" localSheetId="16">#REF!</definedName>
    <definedName name="_PMY02" localSheetId="18">#REF!</definedName>
    <definedName name="_PMY02">#REF!</definedName>
    <definedName name="_PMY03" localSheetId="11">#REF!</definedName>
    <definedName name="_PMY03" localSheetId="16">#REF!</definedName>
    <definedName name="_PMY03" localSheetId="18">#REF!</definedName>
    <definedName name="_PMY03">#REF!</definedName>
    <definedName name="_PMY04" localSheetId="11">#REF!</definedName>
    <definedName name="_PMY04" localSheetId="16">#REF!</definedName>
    <definedName name="_PMY04" localSheetId="18">#REF!</definedName>
    <definedName name="_PMY04">#REF!</definedName>
    <definedName name="_PMY05" localSheetId="11">#REF!</definedName>
    <definedName name="_PMY05" localSheetId="16">#REF!</definedName>
    <definedName name="_PMY05" localSheetId="18">#REF!</definedName>
    <definedName name="_PMY05">#REF!</definedName>
    <definedName name="_PMY06" localSheetId="11">#REF!</definedName>
    <definedName name="_PMY06" localSheetId="16">#REF!</definedName>
    <definedName name="_PMY06" localSheetId="18">#REF!</definedName>
    <definedName name="_PMY06">#REF!</definedName>
    <definedName name="_PMY07" localSheetId="11">#REF!</definedName>
    <definedName name="_PMY07" localSheetId="16">#REF!</definedName>
    <definedName name="_PMY07" localSheetId="18">#REF!</definedName>
    <definedName name="_PMY07">#REF!</definedName>
    <definedName name="_PMY08" localSheetId="11">#REF!</definedName>
    <definedName name="_PMY08" localSheetId="16">#REF!</definedName>
    <definedName name="_PMY08" localSheetId="18">#REF!</definedName>
    <definedName name="_PMY08">#REF!</definedName>
    <definedName name="_PMY09" localSheetId="11">#REF!</definedName>
    <definedName name="_PMY09" localSheetId="16">#REF!</definedName>
    <definedName name="_PMY09" localSheetId="18">#REF!</definedName>
    <definedName name="_PMY09">#REF!</definedName>
    <definedName name="_R" localSheetId="11">#REF!</definedName>
    <definedName name="_R" localSheetId="16">#REF!</definedName>
    <definedName name="_R" localSheetId="18">#REF!</definedName>
    <definedName name="_R">#REF!</definedName>
    <definedName name="_sat10" localSheetId="11">#REF!</definedName>
    <definedName name="_sat10" localSheetId="16">#REF!</definedName>
    <definedName name="_sat10" localSheetId="18">#REF!</definedName>
    <definedName name="_sat10">#REF!</definedName>
    <definedName name="_sat12" localSheetId="11">#REF!</definedName>
    <definedName name="_sat12" localSheetId="16">#REF!</definedName>
    <definedName name="_sat12" localSheetId="18">#REF!</definedName>
    <definedName name="_sat12">#REF!</definedName>
    <definedName name="_sat14" localSheetId="11">#REF!</definedName>
    <definedName name="_sat14" localSheetId="16">#REF!</definedName>
    <definedName name="_sat14" localSheetId="18">#REF!</definedName>
    <definedName name="_sat14">#REF!</definedName>
    <definedName name="_sat16" localSheetId="11">#REF!</definedName>
    <definedName name="_sat16" localSheetId="16">#REF!</definedName>
    <definedName name="_sat16" localSheetId="18">#REF!</definedName>
    <definedName name="_sat16">#REF!</definedName>
    <definedName name="_sat20" localSheetId="11">#REF!</definedName>
    <definedName name="_sat20" localSheetId="16">#REF!</definedName>
    <definedName name="_sat20" localSheetId="18">#REF!</definedName>
    <definedName name="_sat20">#REF!</definedName>
    <definedName name="_sat8" localSheetId="11">#REF!</definedName>
    <definedName name="_sat8" localSheetId="16">#REF!</definedName>
    <definedName name="_sat8" localSheetId="18">#REF!</definedName>
    <definedName name="_sat8">#REF!</definedName>
    <definedName name="_SMY01" localSheetId="11">#REF!</definedName>
    <definedName name="_SMY01" localSheetId="16">#REF!</definedName>
    <definedName name="_SMY01" localSheetId="18">#REF!</definedName>
    <definedName name="_SMY01">#REF!</definedName>
    <definedName name="_SMY02" localSheetId="11">#REF!</definedName>
    <definedName name="_SMY02" localSheetId="16">#REF!</definedName>
    <definedName name="_SMY02" localSheetId="18">#REF!</definedName>
    <definedName name="_SMY02">#REF!</definedName>
    <definedName name="_SMY03" localSheetId="11">#REF!</definedName>
    <definedName name="_SMY03" localSheetId="16">#REF!</definedName>
    <definedName name="_SMY03" localSheetId="18">#REF!</definedName>
    <definedName name="_SMY03">#REF!</definedName>
    <definedName name="_SMY04" localSheetId="11">#REF!</definedName>
    <definedName name="_SMY04" localSheetId="16">#REF!</definedName>
    <definedName name="_SMY04" localSheetId="18">#REF!</definedName>
    <definedName name="_SMY04">#REF!</definedName>
    <definedName name="_SMY05" localSheetId="11">#REF!</definedName>
    <definedName name="_SMY05" localSheetId="16">#REF!</definedName>
    <definedName name="_SMY05" localSheetId="18">#REF!</definedName>
    <definedName name="_SMY05">#REF!</definedName>
    <definedName name="_SMY06" localSheetId="11">#REF!</definedName>
    <definedName name="_SMY06" localSheetId="16">#REF!</definedName>
    <definedName name="_SMY06" localSheetId="18">#REF!</definedName>
    <definedName name="_SMY06">#REF!</definedName>
    <definedName name="_SMY07" localSheetId="11">#REF!</definedName>
    <definedName name="_SMY07" localSheetId="16">#REF!</definedName>
    <definedName name="_SMY07" localSheetId="18">#REF!</definedName>
    <definedName name="_SMY07">#REF!</definedName>
    <definedName name="_SMY08" localSheetId="11">#REF!</definedName>
    <definedName name="_SMY08" localSheetId="16">#REF!</definedName>
    <definedName name="_SMY08" localSheetId="18">#REF!</definedName>
    <definedName name="_SMY08">#REF!</definedName>
    <definedName name="_SMY09" localSheetId="11">#REF!</definedName>
    <definedName name="_SMY09" localSheetId="16">#REF!</definedName>
    <definedName name="_SMY09" localSheetId="18">#REF!</definedName>
    <definedName name="_SMY09">#REF!</definedName>
    <definedName name="_Sort" localSheetId="11" hidden="1">#REF!</definedName>
    <definedName name="_Sort" localSheetId="16" hidden="1">#REF!</definedName>
    <definedName name="_Sort" localSheetId="18" hidden="1">#REF!</definedName>
    <definedName name="_Sort" hidden="1">#REF!</definedName>
    <definedName name="_sua20" localSheetId="11">#REF!</definedName>
    <definedName name="_sua20" localSheetId="16">#REF!</definedName>
    <definedName name="_sua20" localSheetId="18">#REF!</definedName>
    <definedName name="_sua20">#REF!</definedName>
    <definedName name="_sua30" localSheetId="11">#REF!</definedName>
    <definedName name="_sua30" localSheetId="16">#REF!</definedName>
    <definedName name="_sua30" localSheetId="18">#REF!</definedName>
    <definedName name="_sua30">#REF!</definedName>
    <definedName name="_TWO03" localSheetId="11">#REF!</definedName>
    <definedName name="_TWO03" localSheetId="16">#REF!</definedName>
    <definedName name="_TWO03" localSheetId="18">#REF!</definedName>
    <definedName name="_TWO03">#REF!</definedName>
    <definedName name="_TWO04" localSheetId="11">#REF!</definedName>
    <definedName name="_TWO04" localSheetId="16">#REF!</definedName>
    <definedName name="_TWO04" localSheetId="18">#REF!</definedName>
    <definedName name="_TWO04">#REF!</definedName>
    <definedName name="_TWO05" localSheetId="11">#REF!</definedName>
    <definedName name="_TWO05" localSheetId="16">#REF!</definedName>
    <definedName name="_TWO05" localSheetId="18">#REF!</definedName>
    <definedName name="_TWO05">#REF!</definedName>
    <definedName name="_TWO06" localSheetId="11">#REF!</definedName>
    <definedName name="_TWO06" localSheetId="16">#REF!</definedName>
    <definedName name="_TWO06" localSheetId="18">#REF!</definedName>
    <definedName name="_TWO06">#REF!</definedName>
    <definedName name="_TWO07" localSheetId="11">#REF!</definedName>
    <definedName name="_TWO07" localSheetId="16">#REF!</definedName>
    <definedName name="_TWO07" localSheetId="18">#REF!</definedName>
    <definedName name="_TWO07">#REF!</definedName>
    <definedName name="_TWO08" localSheetId="11">#REF!</definedName>
    <definedName name="_TWO08" localSheetId="16">#REF!</definedName>
    <definedName name="_TWO08" localSheetId="18">#REF!</definedName>
    <definedName name="_TWO08">#REF!</definedName>
    <definedName name="_TWO09" localSheetId="11">#REF!</definedName>
    <definedName name="_TWO09" localSheetId="16">#REF!</definedName>
    <definedName name="_TWO09" localSheetId="18">#REF!</definedName>
    <definedName name="_TWO09">#REF!</definedName>
    <definedName name="_vbt150" localSheetId="11">#REF!</definedName>
    <definedName name="_vbt150" localSheetId="16">#REF!</definedName>
    <definedName name="_vbt150" localSheetId="18">#REF!</definedName>
    <definedName name="_vbt150">#REF!</definedName>
    <definedName name="_vbt200" localSheetId="11">#REF!</definedName>
    <definedName name="_vbt200" localSheetId="16">#REF!</definedName>
    <definedName name="_vbt200" localSheetId="18">#REF!</definedName>
    <definedName name="_vbt200">#REF!</definedName>
    <definedName name="_vbt210" localSheetId="11">#REF!</definedName>
    <definedName name="_vbt210" localSheetId="16">#REF!</definedName>
    <definedName name="_vbt210" localSheetId="18">#REF!</definedName>
    <definedName name="_vbt210">#REF!</definedName>
    <definedName name="_vbt300" localSheetId="11">#REF!</definedName>
    <definedName name="_vbt300" localSheetId="16">#REF!</definedName>
    <definedName name="_vbt300" localSheetId="18">#REF!</definedName>
    <definedName name="_vbt300">#REF!</definedName>
    <definedName name="_vbt400" localSheetId="11">#REF!</definedName>
    <definedName name="_vbt400" localSheetId="16">#REF!</definedName>
    <definedName name="_vbt400" localSheetId="18">#REF!</definedName>
    <definedName name="_vbt400">#REF!</definedName>
    <definedName name="_vxm100" localSheetId="11">#REF!</definedName>
    <definedName name="_vxm100" localSheetId="16">#REF!</definedName>
    <definedName name="_vxm100" localSheetId="18">#REF!</definedName>
    <definedName name="_vxm100">#REF!</definedName>
    <definedName name="_vxm300" localSheetId="11">#REF!</definedName>
    <definedName name="_vxm300" localSheetId="16">#REF!</definedName>
    <definedName name="_vxm300" localSheetId="18">#REF!</definedName>
    <definedName name="_vxm300">#REF!</definedName>
    <definedName name="_vxm500" localSheetId="11">#REF!</definedName>
    <definedName name="_vxm500" localSheetId="16">#REF!</definedName>
    <definedName name="_vxm500" localSheetId="18">#REF!</definedName>
    <definedName name="_vxm500">#REF!</definedName>
    <definedName name="_vxm75" localSheetId="11">#REF!</definedName>
    <definedName name="_vxm75" localSheetId="16">#REF!</definedName>
    <definedName name="_vxm75" localSheetId="18">#REF!</definedName>
    <definedName name="_vxm75">#REF!</definedName>
    <definedName name="_wo2" localSheetId="11">#REF!</definedName>
    <definedName name="_wo2" localSheetId="16">#REF!</definedName>
    <definedName name="_wo2" localSheetId="18">#REF!</definedName>
    <definedName name="_wo2">#REF!</definedName>
    <definedName name="_wo6" localSheetId="11">#REF!</definedName>
    <definedName name="_wo6" localSheetId="16">#REF!</definedName>
    <definedName name="_wo6" localSheetId="18">#REF!</definedName>
    <definedName name="_wo6">#REF!</definedName>
    <definedName name="_wo62" localSheetId="11">#REF!</definedName>
    <definedName name="_wo62" localSheetId="16">#REF!</definedName>
    <definedName name="_wo62" localSheetId="18">#REF!</definedName>
    <definedName name="_wo62">#REF!</definedName>
    <definedName name="_XG\_" localSheetId="11">#REF!</definedName>
    <definedName name="_XG\_" localSheetId="16">#REF!</definedName>
    <definedName name="_XG\_" localSheetId="18">#REF!</definedName>
    <definedName name="_XG\_">#REF!</definedName>
    <definedName name="a" localSheetId="11">#REF!</definedName>
    <definedName name="a" localSheetId="16">#REF!</definedName>
    <definedName name="a" localSheetId="18">#REF!</definedName>
    <definedName name="a">#REF!</definedName>
    <definedName name="a277Print_Titles" localSheetId="11">#REF!</definedName>
    <definedName name="a277Print_Titles" localSheetId="16">#REF!</definedName>
    <definedName name="a277Print_Titles" localSheetId="18">#REF!</definedName>
    <definedName name="a277Print_Titles">#REF!</definedName>
    <definedName name="aa" localSheetId="11">#REF!</definedName>
    <definedName name="aa" localSheetId="16">#REF!</definedName>
    <definedName name="aa" localSheetId="18">#REF!</definedName>
    <definedName name="aa">#REF!</definedName>
    <definedName name="AA0160N" localSheetId="11">#REF!</definedName>
    <definedName name="AA0160N" localSheetId="16">#REF!</definedName>
    <definedName name="AA0160N" localSheetId="18">#REF!</definedName>
    <definedName name="AA0160N">#REF!</definedName>
    <definedName name="ab" localSheetId="11">#REF!</definedName>
    <definedName name="ab" localSheetId="16">#REF!</definedName>
    <definedName name="ab" localSheetId="18">#REF!</definedName>
    <definedName name="ab">#REF!</definedName>
    <definedName name="abc" localSheetId="11">#REF!</definedName>
    <definedName name="abc" localSheetId="16">#REF!</definedName>
    <definedName name="abc" localSheetId="18">#REF!</definedName>
    <definedName name="abc">#REF!</definedName>
    <definedName name="abnormal" localSheetId="11">#REF!</definedName>
    <definedName name="abnormal" localSheetId="16">#REF!</definedName>
    <definedName name="abnormal" localSheetId="18">#REF!</definedName>
    <definedName name="abnormal">#REF!</definedName>
    <definedName name="AC">[2]List!$E$2:$E$20</definedName>
    <definedName name="Access_Button" hidden="1">"MINUTES_M20__2__List"</definedName>
    <definedName name="AccessDatabase" hidden="1">"C:\SAMEER\MGMTR\MINUTES.mdb"</definedName>
    <definedName name="account_sum" localSheetId="16">'[3]科目（FS-311）'!#REF!</definedName>
    <definedName name="account_sum">'[3]科目（FS-311）'!#REF!</definedName>
    <definedName name="ADDITIONS" localSheetId="11">#REF!</definedName>
    <definedName name="ADDITIONS" localSheetId="16">#REF!</definedName>
    <definedName name="ADDITIONS" localSheetId="18">#REF!</definedName>
    <definedName name="ADDITIONS">#REF!</definedName>
    <definedName name="ADJUSTMENTS" localSheetId="11">#REF!</definedName>
    <definedName name="ADJUSTMENTS" localSheetId="16">#REF!</definedName>
    <definedName name="ADJUSTMENTS" localSheetId="18">#REF!</definedName>
    <definedName name="ADJUSTMENTS">#REF!</definedName>
    <definedName name="adminexp" localSheetId="11">#REF!</definedName>
    <definedName name="adminexp" localSheetId="16">#REF!</definedName>
    <definedName name="adminexp" localSheetId="18">#REF!</definedName>
    <definedName name="adminexp">#REF!</definedName>
    <definedName name="AE__" localSheetId="11">#REF!</definedName>
    <definedName name="AE__" localSheetId="16">#REF!</definedName>
    <definedName name="AE__" localSheetId="18">#REF!</definedName>
    <definedName name="AE__">#REF!</definedName>
    <definedName name="AE_E_" localSheetId="11">#REF!</definedName>
    <definedName name="AE_E_" localSheetId="16">#REF!</definedName>
    <definedName name="AE_E_" localSheetId="18">#REF!</definedName>
    <definedName name="AE_E_">#REF!</definedName>
    <definedName name="AEFOB_" localSheetId="11">#REF!</definedName>
    <definedName name="AEFOB_" localSheetId="16">#REF!</definedName>
    <definedName name="AEFOB_" localSheetId="18">#REF!</definedName>
    <definedName name="AEFOB_">#REF!</definedName>
    <definedName name="AEFOBE_" localSheetId="11">#REF!</definedName>
    <definedName name="AEFOBE_" localSheetId="16">#REF!</definedName>
    <definedName name="AEFOBE_" localSheetId="18">#REF!</definedName>
    <definedName name="AEFOBE_">#REF!</definedName>
    <definedName name="AELD_" localSheetId="11">#REF!</definedName>
    <definedName name="AELD_" localSheetId="16">#REF!</definedName>
    <definedName name="AELD_" localSheetId="18">#REF!</definedName>
    <definedName name="AELD_">#REF!</definedName>
    <definedName name="AELDE_" localSheetId="11">#REF!</definedName>
    <definedName name="AELDE_" localSheetId="16">#REF!</definedName>
    <definedName name="AELDE_" localSheetId="18">#REF!</definedName>
    <definedName name="AELDE_">#REF!</definedName>
    <definedName name="AELDM_" localSheetId="11">#REF!</definedName>
    <definedName name="AELDM_" localSheetId="16">#REF!</definedName>
    <definedName name="AELDM_" localSheetId="18">#REF!</definedName>
    <definedName name="AELDM_">#REF!</definedName>
    <definedName name="aho" localSheetId="11">#REF!</definedName>
    <definedName name="aho" localSheetId="16">#REF!</definedName>
    <definedName name="aho" localSheetId="18">#REF!</definedName>
    <definedName name="aho">#REF!</definedName>
    <definedName name="aircompressor" localSheetId="11">#REF!</definedName>
    <definedName name="aircompressor" localSheetId="16">#REF!</definedName>
    <definedName name="aircompressor" localSheetId="18">#REF!</definedName>
    <definedName name="aircompressor">#REF!</definedName>
    <definedName name="AK" localSheetId="11">#REF!</definedName>
    <definedName name="AK" localSheetId="16">#REF!</definedName>
    <definedName name="AK" localSheetId="18">#REF!</definedName>
    <definedName name="AK">#REF!</definedName>
    <definedName name="AL__" localSheetId="11">#REF!</definedName>
    <definedName name="AL__" localSheetId="16">#REF!</definedName>
    <definedName name="AL__" localSheetId="18">#REF!</definedName>
    <definedName name="AL__">#REF!</definedName>
    <definedName name="AL_E_" localSheetId="11">#REF!</definedName>
    <definedName name="AL_E_" localSheetId="16">#REF!</definedName>
    <definedName name="AL_E_" localSheetId="18">#REF!</definedName>
    <definedName name="AL_E_">#REF!</definedName>
    <definedName name="ALFOB_" localSheetId="11">#REF!</definedName>
    <definedName name="ALFOB_" localSheetId="16">#REF!</definedName>
    <definedName name="ALFOB_" localSheetId="18">#REF!</definedName>
    <definedName name="ALFOB_">#REF!</definedName>
    <definedName name="ALFOBE_" localSheetId="11">#REF!</definedName>
    <definedName name="ALFOBE_" localSheetId="16">#REF!</definedName>
    <definedName name="ALFOBE_" localSheetId="18">#REF!</definedName>
    <definedName name="ALFOBE_">#REF!</definedName>
    <definedName name="ALLD_" localSheetId="11">#REF!</definedName>
    <definedName name="ALLD_" localSheetId="16">#REF!</definedName>
    <definedName name="ALLD_" localSheetId="18">#REF!</definedName>
    <definedName name="ALLD_">#REF!</definedName>
    <definedName name="ALLDE_" localSheetId="11">#REF!</definedName>
    <definedName name="ALLDE_" localSheetId="16">#REF!</definedName>
    <definedName name="ALLDE_" localSheetId="18">#REF!</definedName>
    <definedName name="ALLDE_">#REF!</definedName>
    <definedName name="ALLDM_" localSheetId="11">#REF!</definedName>
    <definedName name="ALLDM_" localSheetId="16">#REF!</definedName>
    <definedName name="ALLDM_" localSheetId="18">#REF!</definedName>
    <definedName name="ALLDM_">#REF!</definedName>
    <definedName name="ALLO_C_ALL" localSheetId="16">#REF!</definedName>
    <definedName name="ALLO_C_ALL">#REF!</definedName>
    <definedName name="ALLO_C_HEALTH" localSheetId="16">#REF!</definedName>
    <definedName name="ALLO_C_HEALTH">#REF!</definedName>
    <definedName name="ALLO_C_IKUJI" localSheetId="16">#REF!</definedName>
    <definedName name="ALLO_C_IKUJI">#REF!</definedName>
    <definedName name="ALLO_C_KAIGO" localSheetId="16">#REF!</definedName>
    <definedName name="ALLO_C_KAIGO">#REF!</definedName>
    <definedName name="ALLO_C_OTHER" localSheetId="16">#REF!</definedName>
    <definedName name="ALLO_C_OTHER">#REF!</definedName>
    <definedName name="ALLO_I_ALL" localSheetId="16">#REF!</definedName>
    <definedName name="ALLO_I_ALL">#REF!</definedName>
    <definedName name="ALLO_I_HEALTH" localSheetId="16">#REF!</definedName>
    <definedName name="ALLO_I_HEALTH">#REF!</definedName>
    <definedName name="ALLO_I_HOIKU" localSheetId="16">#REF!</definedName>
    <definedName name="ALLO_I_HOIKU">#REF!</definedName>
    <definedName name="ALLO_I_IKUJI" localSheetId="16">#REF!</definedName>
    <definedName name="ALLO_I_IKUJI">#REF!</definedName>
    <definedName name="ALLO_I_JYOSEI" localSheetId="16">#REF!</definedName>
    <definedName name="ALLO_I_JYOSEI">#REF!</definedName>
    <definedName name="ALLO_I_KAIGO" localSheetId="16">#REF!</definedName>
    <definedName name="ALLO_I_KAIGO">#REF!</definedName>
    <definedName name="ALLO_I_OTHER" localSheetId="16">#REF!</definedName>
    <definedName name="ALLO_I_OTHER">#REF!</definedName>
    <definedName name="ANA" localSheetId="11">#REF!</definedName>
    <definedName name="ANA" localSheetId="16">#REF!</definedName>
    <definedName name="ANA" localSheetId="18">#REF!</definedName>
    <definedName name="ANA">#REF!</definedName>
    <definedName name="anscount" hidden="1">3</definedName>
    <definedName name="APEX1_S_06_List" localSheetId="11">#REF!</definedName>
    <definedName name="APEX1_S_06_List" localSheetId="16">#REF!</definedName>
    <definedName name="APEX1_S_06_List" localSheetId="18">#REF!</definedName>
    <definedName name="APEX1_S_06_List">#REF!</definedName>
    <definedName name="appl" localSheetId="11">#REF!</definedName>
    <definedName name="appl" localSheetId="16">#REF!</definedName>
    <definedName name="appl" localSheetId="18">#REF!</definedName>
    <definedName name="appl">#REF!</definedName>
    <definedName name="AS2DocOpenMode" hidden="1">"AS2DocumentEdit"</definedName>
    <definedName name="asa" localSheetId="11">#REF!</definedName>
    <definedName name="asa" localSheetId="16">#REF!</definedName>
    <definedName name="asa" localSheetId="18">#REF!</definedName>
    <definedName name="asa">#REF!</definedName>
    <definedName name="ASP" localSheetId="11">#REF!</definedName>
    <definedName name="ASP" localSheetId="16">#REF!</definedName>
    <definedName name="ASP" localSheetId="18">#REF!</definedName>
    <definedName name="ASP">#REF!</definedName>
    <definedName name="Ass" localSheetId="11">#REF!</definedName>
    <definedName name="Ass" localSheetId="16">#REF!</definedName>
    <definedName name="Ass" localSheetId="18">#REF!</definedName>
    <definedName name="Ass">#REF!</definedName>
    <definedName name="asx" localSheetId="11">#REF!</definedName>
    <definedName name="asx" localSheetId="16">#REF!</definedName>
    <definedName name="asx" localSheetId="18">#REF!</definedName>
    <definedName name="asx">#REF!</definedName>
    <definedName name="ATN" localSheetId="11">#REF!</definedName>
    <definedName name="ATN" localSheetId="16">#REF!</definedName>
    <definedName name="ATN" localSheetId="18">#REF!</definedName>
    <definedName name="ATN">#REF!</definedName>
    <definedName name="AUGST" localSheetId="16">#REF!</definedName>
    <definedName name="AUGST" localSheetId="18">#REF!</definedName>
    <definedName name="AUGST">#REF!</definedName>
    <definedName name="b" localSheetId="11">#REF!</definedName>
    <definedName name="b" localSheetId="16">#REF!</definedName>
    <definedName name="b" localSheetId="18">'[4]SALES 2003'!$D$1003</definedName>
    <definedName name="b">#REF!</definedName>
    <definedName name="B_VND">0.05</definedName>
    <definedName name="B_YEN">0.1</definedName>
    <definedName name="balancesheet" localSheetId="11">#REF!</definedName>
    <definedName name="balancesheet" localSheetId="16">#REF!</definedName>
    <definedName name="balancesheet" localSheetId="18">#REF!</definedName>
    <definedName name="balancesheet">#REF!</definedName>
    <definedName name="Bang_cly" localSheetId="11">#REF!</definedName>
    <definedName name="Bang_cly" localSheetId="16">#REF!</definedName>
    <definedName name="Bang_cly" localSheetId="18">#REF!</definedName>
    <definedName name="Bang_cly">#REF!</definedName>
    <definedName name="Bang_CVC" localSheetId="11">#REF!</definedName>
    <definedName name="Bang_CVC" localSheetId="16">#REF!</definedName>
    <definedName name="Bang_CVC" localSheetId="18">#REF!</definedName>
    <definedName name="Bang_CVC">#REF!</definedName>
    <definedName name="bang_gia" localSheetId="11">#REF!</definedName>
    <definedName name="bang_gia" localSheetId="16">#REF!</definedName>
    <definedName name="bang_gia" localSheetId="18">#REF!</definedName>
    <definedName name="bang_gia">#REF!</definedName>
    <definedName name="Bang_travl" localSheetId="11">#REF!</definedName>
    <definedName name="Bang_travl" localSheetId="16">#REF!</definedName>
    <definedName name="Bang_travl" localSheetId="18">#REF!</definedName>
    <definedName name="Bang_travl">#REF!</definedName>
    <definedName name="bentonite" localSheetId="11">#REF!</definedName>
    <definedName name="bentonite" localSheetId="16">#REF!</definedName>
    <definedName name="bentonite" localSheetId="18">#REF!</definedName>
    <definedName name="bentonite">#REF!</definedName>
    <definedName name="BF1_" localSheetId="11">#REF!</definedName>
    <definedName name="BF1_" localSheetId="16">#REF!</definedName>
    <definedName name="BF1_" localSheetId="18">#REF!</definedName>
    <definedName name="BF1_">#REF!</definedName>
    <definedName name="BF2_" localSheetId="11">#REF!</definedName>
    <definedName name="BF2_" localSheetId="16">#REF!</definedName>
    <definedName name="BF2_" localSheetId="18">#REF!</definedName>
    <definedName name="BF2_">#REF!</definedName>
    <definedName name="BF3_" localSheetId="11">#REF!</definedName>
    <definedName name="BF3_" localSheetId="16">#REF!</definedName>
    <definedName name="BF3_" localSheetId="18">#REF!</definedName>
    <definedName name="BF3_">#REF!</definedName>
    <definedName name="BFBS" localSheetId="11">#REF!</definedName>
    <definedName name="BFBS" localSheetId="16">#REF!</definedName>
    <definedName name="BFBS" localSheetId="18">#REF!</definedName>
    <definedName name="BFBS">#REF!</definedName>
    <definedName name="BFES" localSheetId="11">#REF!</definedName>
    <definedName name="BFES" localSheetId="16">#REF!</definedName>
    <definedName name="BFES" localSheetId="18">#REF!</definedName>
    <definedName name="BFES">#REF!</definedName>
    <definedName name="BFS" localSheetId="11">#REF!</definedName>
    <definedName name="BFS" localSheetId="16">#REF!</definedName>
    <definedName name="BFS" localSheetId="18">#REF!</definedName>
    <definedName name="BFS">#REF!</definedName>
    <definedName name="Book2" localSheetId="11">#REF!</definedName>
    <definedName name="Book2" localSheetId="16">#REF!</definedName>
    <definedName name="Book2" localSheetId="18">#REF!</definedName>
    <definedName name="Book2">#REF!</definedName>
    <definedName name="BOQ" localSheetId="11">#REF!</definedName>
    <definedName name="BOQ" localSheetId="16">#REF!</definedName>
    <definedName name="BOQ" localSheetId="18">#REF!</definedName>
    <definedName name="BOQ">#REF!</definedName>
    <definedName name="BORDER2" localSheetId="11">#REF!</definedName>
    <definedName name="BORDER2" localSheetId="16">#REF!</definedName>
    <definedName name="BORDER2" localSheetId="18">#REF!</definedName>
    <definedName name="BORDER2">#REF!</definedName>
    <definedName name="BS" localSheetId="11">#REF!</definedName>
    <definedName name="BS" localSheetId="16">#REF!</definedName>
    <definedName name="BS" localSheetId="18">#REF!</definedName>
    <definedName name="BS">#REF!</definedName>
    <definedName name="BT" localSheetId="11">#REF!</definedName>
    <definedName name="BT" localSheetId="16">#REF!</definedName>
    <definedName name="BT" localSheetId="18">#REF!</definedName>
    <definedName name="BT">#REF!</definedName>
    <definedName name="btcocnhoi" localSheetId="11">#REF!</definedName>
    <definedName name="btcocnhoi" localSheetId="16">#REF!</definedName>
    <definedName name="btcocnhoi" localSheetId="18">#REF!</definedName>
    <definedName name="btcocnhoi">#REF!</definedName>
    <definedName name="BVCISUMMARY" localSheetId="11">#REF!</definedName>
    <definedName name="BVCISUMMARY" localSheetId="16">#REF!</definedName>
    <definedName name="BVCISUMMARY" localSheetId="18">#REF!</definedName>
    <definedName name="BVCISUMMARY">#REF!</definedName>
    <definedName name="BY">#N/A</definedName>
    <definedName name="C.1.1..Phat_tuyen" localSheetId="11">#REF!</definedName>
    <definedName name="C.1.1..Phat_tuyen" localSheetId="16">#REF!</definedName>
    <definedName name="C.1.1..Phat_tuyen" localSheetId="18">#REF!</definedName>
    <definedName name="C.1.1..Phat_tuyen">#REF!</definedName>
    <definedName name="C.1.10..VC_Thu_cong_CG" localSheetId="11">#REF!</definedName>
    <definedName name="C.1.10..VC_Thu_cong_CG" localSheetId="16">#REF!</definedName>
    <definedName name="C.1.10..VC_Thu_cong_CG" localSheetId="18">#REF!</definedName>
    <definedName name="C.1.10..VC_Thu_cong_CG">#REF!</definedName>
    <definedName name="C.1.2..Chat_cay_thu_cong" localSheetId="11">#REF!</definedName>
    <definedName name="C.1.2..Chat_cay_thu_cong" localSheetId="16">#REF!</definedName>
    <definedName name="C.1.2..Chat_cay_thu_cong" localSheetId="18">#REF!</definedName>
    <definedName name="C.1.2..Chat_cay_thu_cong">#REF!</definedName>
    <definedName name="C.1.3..Chat_cay_may" localSheetId="11">#REF!</definedName>
    <definedName name="C.1.3..Chat_cay_may" localSheetId="16">#REF!</definedName>
    <definedName name="C.1.3..Chat_cay_may" localSheetId="18">#REF!</definedName>
    <definedName name="C.1.3..Chat_cay_may">#REF!</definedName>
    <definedName name="C.1.4..Dao_goc_cay" localSheetId="11">#REF!</definedName>
    <definedName name="C.1.4..Dao_goc_cay" localSheetId="16">#REF!</definedName>
    <definedName name="C.1.4..Dao_goc_cay" localSheetId="18">#REF!</definedName>
    <definedName name="C.1.4..Dao_goc_cay">#REF!</definedName>
    <definedName name="C.1.5..Lam_duong_tam" localSheetId="11">#REF!</definedName>
    <definedName name="C.1.5..Lam_duong_tam" localSheetId="16">#REF!</definedName>
    <definedName name="C.1.5..Lam_duong_tam" localSheetId="18">#REF!</definedName>
    <definedName name="C.1.5..Lam_duong_tam">#REF!</definedName>
    <definedName name="C.1.6..Lam_cau_tam" localSheetId="11">#REF!</definedName>
    <definedName name="C.1.6..Lam_cau_tam" localSheetId="16">#REF!</definedName>
    <definedName name="C.1.6..Lam_cau_tam" localSheetId="18">#REF!</definedName>
    <definedName name="C.1.6..Lam_cau_tam">#REF!</definedName>
    <definedName name="C.1.7..Rai_da_chong_lun" localSheetId="11">#REF!</definedName>
    <definedName name="C.1.7..Rai_da_chong_lun" localSheetId="16">#REF!</definedName>
    <definedName name="C.1.7..Rai_da_chong_lun" localSheetId="18">#REF!</definedName>
    <definedName name="C.1.7..Rai_da_chong_lun">#REF!</definedName>
    <definedName name="C.1.8..Lam_kho_tam" localSheetId="11">#REF!</definedName>
    <definedName name="C.1.8..Lam_kho_tam" localSheetId="16">#REF!</definedName>
    <definedName name="C.1.8..Lam_kho_tam" localSheetId="18">#REF!</definedName>
    <definedName name="C.1.8..Lam_kho_tam">#REF!</definedName>
    <definedName name="C.1.8..San_mat_bang" localSheetId="11">#REF!</definedName>
    <definedName name="C.1.8..San_mat_bang" localSheetId="16">#REF!</definedName>
    <definedName name="C.1.8..San_mat_bang" localSheetId="18">#REF!</definedName>
    <definedName name="C.1.8..San_mat_bang">#REF!</definedName>
    <definedName name="C.2.1..VC_Thu_cong" localSheetId="11">#REF!</definedName>
    <definedName name="C.2.1..VC_Thu_cong" localSheetId="16">#REF!</definedName>
    <definedName name="C.2.1..VC_Thu_cong" localSheetId="18">#REF!</definedName>
    <definedName name="C.2.1..VC_Thu_cong">#REF!</definedName>
    <definedName name="C.2.2..VC_T_cong_CG" localSheetId="11">#REF!</definedName>
    <definedName name="C.2.2..VC_T_cong_CG" localSheetId="16">#REF!</definedName>
    <definedName name="C.2.2..VC_T_cong_CG" localSheetId="18">#REF!</definedName>
    <definedName name="C.2.2..VC_T_cong_CG">#REF!</definedName>
    <definedName name="C.2.3..Boc_do" localSheetId="11">#REF!</definedName>
    <definedName name="C.2.3..Boc_do" localSheetId="16">#REF!</definedName>
    <definedName name="C.2.3..Boc_do" localSheetId="18">#REF!</definedName>
    <definedName name="C.2.3..Boc_do">#REF!</definedName>
    <definedName name="C.3.1..Dao_dat_mong_cot" localSheetId="11">#REF!</definedName>
    <definedName name="C.3.1..Dao_dat_mong_cot" localSheetId="16">#REF!</definedName>
    <definedName name="C.3.1..Dao_dat_mong_cot" localSheetId="18">#REF!</definedName>
    <definedName name="C.3.1..Dao_dat_mong_cot">#REF!</definedName>
    <definedName name="C.3.2..Dao_dat_de_dap" localSheetId="11">#REF!</definedName>
    <definedName name="C.3.2..Dao_dat_de_dap" localSheetId="16">#REF!</definedName>
    <definedName name="C.3.2..Dao_dat_de_dap" localSheetId="18">#REF!</definedName>
    <definedName name="C.3.2..Dao_dat_de_dap">#REF!</definedName>
    <definedName name="C.3.3..Dap_dat_mong" localSheetId="11">#REF!</definedName>
    <definedName name="C.3.3..Dap_dat_mong" localSheetId="16">#REF!</definedName>
    <definedName name="C.3.3..Dap_dat_mong" localSheetId="18">#REF!</definedName>
    <definedName name="C.3.3..Dap_dat_mong">#REF!</definedName>
    <definedName name="C.3.4..Dao_dap_TDia" localSheetId="11">#REF!</definedName>
    <definedName name="C.3.4..Dao_dap_TDia" localSheetId="16">#REF!</definedName>
    <definedName name="C.3.4..Dao_dap_TDia" localSheetId="18">#REF!</definedName>
    <definedName name="C.3.4..Dao_dap_TDia">#REF!</definedName>
    <definedName name="C.3.5..Dap_bo_bao" localSheetId="11">#REF!</definedName>
    <definedName name="C.3.5..Dap_bo_bao" localSheetId="16">#REF!</definedName>
    <definedName name="C.3.5..Dap_bo_bao" localSheetId="18">#REF!</definedName>
    <definedName name="C.3.5..Dap_bo_bao">#REF!</definedName>
    <definedName name="C.3.6..Bom_tat_nuoc" localSheetId="11">#REF!</definedName>
    <definedName name="C.3.6..Bom_tat_nuoc" localSheetId="16">#REF!</definedName>
    <definedName name="C.3.6..Bom_tat_nuoc" localSheetId="18">#REF!</definedName>
    <definedName name="C.3.6..Bom_tat_nuoc">#REF!</definedName>
    <definedName name="C.3.7..Dao_bun" localSheetId="11">#REF!</definedName>
    <definedName name="C.3.7..Dao_bun" localSheetId="16">#REF!</definedName>
    <definedName name="C.3.7..Dao_bun" localSheetId="18">#REF!</definedName>
    <definedName name="C.3.7..Dao_bun">#REF!</definedName>
    <definedName name="C.3.8..Dap_cat_CT" localSheetId="11">#REF!</definedName>
    <definedName name="C.3.8..Dap_cat_CT" localSheetId="16">#REF!</definedName>
    <definedName name="C.3.8..Dap_cat_CT" localSheetId="18">#REF!</definedName>
    <definedName name="C.3.8..Dap_cat_CT">#REF!</definedName>
    <definedName name="C.3.9..Dao_pha_da" localSheetId="11">#REF!</definedName>
    <definedName name="C.3.9..Dao_pha_da" localSheetId="16">#REF!</definedName>
    <definedName name="C.3.9..Dao_pha_da" localSheetId="18">#REF!</definedName>
    <definedName name="C.3.9..Dao_pha_da">#REF!</definedName>
    <definedName name="C.4.1.Cot_thep" localSheetId="11">#REF!</definedName>
    <definedName name="C.4.1.Cot_thep" localSheetId="16">#REF!</definedName>
    <definedName name="C.4.1.Cot_thep" localSheetId="18">#REF!</definedName>
    <definedName name="C.4.1.Cot_thep">#REF!</definedName>
    <definedName name="C.4.2..Van_khuon" localSheetId="11">#REF!</definedName>
    <definedName name="C.4.2..Van_khuon" localSheetId="16">#REF!</definedName>
    <definedName name="C.4.2..Van_khuon" localSheetId="18">#REF!</definedName>
    <definedName name="C.4.2..Van_khuon">#REF!</definedName>
    <definedName name="C.4.3..Be_tong" localSheetId="11">#REF!</definedName>
    <definedName name="C.4.3..Be_tong" localSheetId="16">#REF!</definedName>
    <definedName name="C.4.3..Be_tong" localSheetId="18">#REF!</definedName>
    <definedName name="C.4.3..Be_tong">#REF!</definedName>
    <definedName name="C.4.4..Lap_BT_D.San" localSheetId="11">#REF!</definedName>
    <definedName name="C.4.4..Lap_BT_D.San" localSheetId="16">#REF!</definedName>
    <definedName name="C.4.4..Lap_BT_D.San" localSheetId="18">#REF!</definedName>
    <definedName name="C.4.4..Lap_BT_D.San">#REF!</definedName>
    <definedName name="C.4.5..Xay_da_hoc" localSheetId="11">#REF!</definedName>
    <definedName name="C.4.5..Xay_da_hoc" localSheetId="16">#REF!</definedName>
    <definedName name="C.4.5..Xay_da_hoc" localSheetId="18">#REF!</definedName>
    <definedName name="C.4.5..Xay_da_hoc">#REF!</definedName>
    <definedName name="C.4.6..Dong_coc" localSheetId="11">#REF!</definedName>
    <definedName name="C.4.6..Dong_coc" localSheetId="16">#REF!</definedName>
    <definedName name="C.4.6..Dong_coc" localSheetId="18">#REF!</definedName>
    <definedName name="C.4.6..Dong_coc">#REF!</definedName>
    <definedName name="C.4.7..Quet_Bi_tum" localSheetId="11">#REF!</definedName>
    <definedName name="C.4.7..Quet_Bi_tum" localSheetId="16">#REF!</definedName>
    <definedName name="C.4.7..Quet_Bi_tum" localSheetId="18">#REF!</definedName>
    <definedName name="C.4.7..Quet_Bi_tum">#REF!</definedName>
    <definedName name="C.5.1..Lap_cot_thep" localSheetId="11">#REF!</definedName>
    <definedName name="C.5.1..Lap_cot_thep" localSheetId="16">#REF!</definedName>
    <definedName name="C.5.1..Lap_cot_thep" localSheetId="18">#REF!</definedName>
    <definedName name="C.5.1..Lap_cot_thep">#REF!</definedName>
    <definedName name="C.5.2..Lap_cot_BT" localSheetId="11">#REF!</definedName>
    <definedName name="C.5.2..Lap_cot_BT" localSheetId="16">#REF!</definedName>
    <definedName name="C.5.2..Lap_cot_BT" localSheetId="18">#REF!</definedName>
    <definedName name="C.5.2..Lap_cot_BT">#REF!</definedName>
    <definedName name="C.5.3..Lap_dat_xa" localSheetId="11">#REF!</definedName>
    <definedName name="C.5.3..Lap_dat_xa" localSheetId="16">#REF!</definedName>
    <definedName name="C.5.3..Lap_dat_xa" localSheetId="18">#REF!</definedName>
    <definedName name="C.5.3..Lap_dat_xa">#REF!</definedName>
    <definedName name="C.5.4..Lap_tiep_dia" localSheetId="11">#REF!</definedName>
    <definedName name="C.5.4..Lap_tiep_dia" localSheetId="16">#REF!</definedName>
    <definedName name="C.5.4..Lap_tiep_dia" localSheetId="18">#REF!</definedName>
    <definedName name="C.5.4..Lap_tiep_dia">#REF!</definedName>
    <definedName name="C.5.5..Son_sat_thep" localSheetId="11">#REF!</definedName>
    <definedName name="C.5.5..Son_sat_thep" localSheetId="16">#REF!</definedName>
    <definedName name="C.5.5..Son_sat_thep" localSheetId="18">#REF!</definedName>
    <definedName name="C.5.5..Son_sat_thep">#REF!</definedName>
    <definedName name="C.6.1..Lap_su_dung" localSheetId="11">#REF!</definedName>
    <definedName name="C.6.1..Lap_su_dung" localSheetId="16">#REF!</definedName>
    <definedName name="C.6.1..Lap_su_dung" localSheetId="18">#REF!</definedName>
    <definedName name="C.6.1..Lap_su_dung">#REF!</definedName>
    <definedName name="C.6.2..Lap_su_CS" localSheetId="11">#REF!</definedName>
    <definedName name="C.6.2..Lap_su_CS" localSheetId="16">#REF!</definedName>
    <definedName name="C.6.2..Lap_su_CS" localSheetId="18">#REF!</definedName>
    <definedName name="C.6.2..Lap_su_CS">#REF!</definedName>
    <definedName name="C.6.3..Su_chuoi_do" localSheetId="11">#REF!</definedName>
    <definedName name="C.6.3..Su_chuoi_do" localSheetId="16">#REF!</definedName>
    <definedName name="C.6.3..Su_chuoi_do" localSheetId="18">#REF!</definedName>
    <definedName name="C.6.3..Su_chuoi_do">#REF!</definedName>
    <definedName name="C.6.4..Su_chuoi_neo" localSheetId="11">#REF!</definedName>
    <definedName name="C.6.4..Su_chuoi_neo" localSheetId="16">#REF!</definedName>
    <definedName name="C.6.4..Su_chuoi_neo" localSheetId="18">#REF!</definedName>
    <definedName name="C.6.4..Su_chuoi_neo">#REF!</definedName>
    <definedName name="C.6.5..Lap_phu_kien" localSheetId="11">#REF!</definedName>
    <definedName name="C.6.5..Lap_phu_kien" localSheetId="16">#REF!</definedName>
    <definedName name="C.6.5..Lap_phu_kien" localSheetId="18">#REF!</definedName>
    <definedName name="C.6.5..Lap_phu_kien">#REF!</definedName>
    <definedName name="C.6.6..Ep_noi_day" localSheetId="11">#REF!</definedName>
    <definedName name="C.6.6..Ep_noi_day" localSheetId="16">#REF!</definedName>
    <definedName name="C.6.6..Ep_noi_day" localSheetId="18">#REF!</definedName>
    <definedName name="C.6.6..Ep_noi_day">#REF!</definedName>
    <definedName name="C.6.7..KD_vuot_CN" localSheetId="11">#REF!</definedName>
    <definedName name="C.6.7..KD_vuot_CN" localSheetId="16">#REF!</definedName>
    <definedName name="C.6.7..KD_vuot_CN" localSheetId="18">#REF!</definedName>
    <definedName name="C.6.7..KD_vuot_CN">#REF!</definedName>
    <definedName name="C.6.8..Rai_cang_day" localSheetId="11">#REF!</definedName>
    <definedName name="C.6.8..Rai_cang_day" localSheetId="16">#REF!</definedName>
    <definedName name="C.6.8..Rai_cang_day" localSheetId="18">#REF!</definedName>
    <definedName name="C.6.8..Rai_cang_day">#REF!</definedName>
    <definedName name="C.6.9..Cap_quang" localSheetId="11">#REF!</definedName>
    <definedName name="C.6.9..Cap_quang" localSheetId="16">#REF!</definedName>
    <definedName name="C.6.9..Cap_quang" localSheetId="18">#REF!</definedName>
    <definedName name="C.6.9..Cap_quang">#REF!</definedName>
    <definedName name="C_" localSheetId="11">#REF!</definedName>
    <definedName name="C_" localSheetId="16">#REF!</definedName>
    <definedName name="C_" localSheetId="18">#REF!</definedName>
    <definedName name="C_">#REF!</definedName>
    <definedName name="C_VND">0.03</definedName>
    <definedName name="C_YEN">0.1</definedName>
    <definedName name="CAL" localSheetId="11">#REF!</definedName>
    <definedName name="CAL" localSheetId="16">#REF!</definedName>
    <definedName name="CAL" localSheetId="18">#REF!</definedName>
    <definedName name="CAL">#REF!</definedName>
    <definedName name="CAPEX" localSheetId="11">#REF!</definedName>
    <definedName name="CAPEX" localSheetId="16">#REF!</definedName>
    <definedName name="CAPEX" localSheetId="18">#REF!</definedName>
    <definedName name="CAPEX">#REF!</definedName>
    <definedName name="Car_Build" localSheetId="11">#REF!</definedName>
    <definedName name="Car_Build" localSheetId="16">#REF!</definedName>
    <definedName name="Car_Build" localSheetId="18">#REF!</definedName>
    <definedName name="Car_Build">#REF!</definedName>
    <definedName name="CAR_Volumes" localSheetId="11">#REF!</definedName>
    <definedName name="CAR_Volumes" localSheetId="16">#REF!</definedName>
    <definedName name="CAR_Volumes" localSheetId="18">#REF!</definedName>
    <definedName name="CAR_Volumes">#REF!</definedName>
    <definedName name="cash" localSheetId="11">#REF!</definedName>
    <definedName name="cash" localSheetId="16">#REF!</definedName>
    <definedName name="cash" localSheetId="18">#REF!</definedName>
    <definedName name="cash">#REF!</definedName>
    <definedName name="cash1" localSheetId="11">#REF!</definedName>
    <definedName name="cash1" localSheetId="16">#REF!</definedName>
    <definedName name="cash1" localSheetId="18">#REF!</definedName>
    <definedName name="cash1">#REF!</definedName>
    <definedName name="cash2" localSheetId="11">#REF!</definedName>
    <definedName name="cash2" localSheetId="16">#REF!</definedName>
    <definedName name="cash2" localSheetId="18">#REF!</definedName>
    <definedName name="cash2">#REF!</definedName>
    <definedName name="CCCCP">#N/A</definedName>
    <definedName name="CCCTP">#N/A</definedName>
    <definedName name="CCDCGR2" localSheetId="11">#REF!</definedName>
    <definedName name="CCDCGR2" localSheetId="16">#REF!</definedName>
    <definedName name="CCDCGR2" localSheetId="18">#REF!</definedName>
    <definedName name="CCDCGR2">#REF!</definedName>
    <definedName name="CCDJC" localSheetId="11">#REF!</definedName>
    <definedName name="CCDJC" localSheetId="16">#REF!</definedName>
    <definedName name="CCDJC" localSheetId="18">#REF!</definedName>
    <definedName name="CCDJC">#REF!</definedName>
    <definedName name="CCDJCP" localSheetId="11">#REF!</definedName>
    <definedName name="CCDJCP" localSheetId="16">#REF!</definedName>
    <definedName name="CCDJCP" localSheetId="18">#REF!</definedName>
    <definedName name="CCDJCP">#REF!</definedName>
    <definedName name="CCDN2D" localSheetId="11">#REF!</definedName>
    <definedName name="CCDN2D" localSheetId="16">#REF!</definedName>
    <definedName name="CCDN2D" localSheetId="18">#REF!</definedName>
    <definedName name="CCDN2D">#REF!</definedName>
    <definedName name="CCDSMG32" localSheetId="11">#REF!</definedName>
    <definedName name="CCDSMG32" localSheetId="16">#REF!</definedName>
    <definedName name="CCDSMG32" localSheetId="18">#REF!</definedName>
    <definedName name="CCDSMG32">#REF!</definedName>
    <definedName name="CCFUT3RXL" localSheetId="11">#REF!</definedName>
    <definedName name="CCFUT3RXL" localSheetId="16">#REF!</definedName>
    <definedName name="CCFUT3RXL" localSheetId="18">#REF!</definedName>
    <definedName name="CCFUT3RXL">#REF!</definedName>
    <definedName name="CCLH2NY" localSheetId="11">#REF!</definedName>
    <definedName name="CCLH2NY" localSheetId="16">#REF!</definedName>
    <definedName name="CCLH2NY" localSheetId="18">#REF!</definedName>
    <definedName name="CCLH2NY">#REF!</definedName>
    <definedName name="CCLH3CO" localSheetId="11">#REF!</definedName>
    <definedName name="CCLH3CO" localSheetId="16">#REF!</definedName>
    <definedName name="CCLH3CO" localSheetId="18">#REF!</definedName>
    <definedName name="CCLH3CO">#REF!</definedName>
    <definedName name="CCLH3IN2" localSheetId="11">#REF!</definedName>
    <definedName name="CCLH3IN2" localSheetId="16">#REF!</definedName>
    <definedName name="CCLH3IN2" localSheetId="18">#REF!</definedName>
    <definedName name="CCLH3IN2">#REF!</definedName>
    <definedName name="CCLH3NY2" localSheetId="11">#REF!</definedName>
    <definedName name="CCLH3NY2" localSheetId="16">#REF!</definedName>
    <definedName name="CCLH3NY2" localSheetId="18">#REF!</definedName>
    <definedName name="CCLH3NY2">#REF!</definedName>
    <definedName name="CCLLX2" localSheetId="11">#REF!</definedName>
    <definedName name="CCLLX2" localSheetId="16">#REF!</definedName>
    <definedName name="CCLLX2" localSheetId="18">#REF!</definedName>
    <definedName name="CCLLX2">#REF!</definedName>
    <definedName name="CCMCP">#N/A</definedName>
    <definedName name="CCMTP">#N/A</definedName>
    <definedName name="CCNCV2" localSheetId="11">#REF!</definedName>
    <definedName name="CCNCV2" localSheetId="16">#REF!</definedName>
    <definedName name="CCNCV2" localSheetId="18">#REF!</definedName>
    <definedName name="CCNCV2">#REF!</definedName>
    <definedName name="CCPL2SU" localSheetId="11">#REF!</definedName>
    <definedName name="CCPL2SU" localSheetId="16">#REF!</definedName>
    <definedName name="CCPL2SU" localSheetId="18">#REF!</definedName>
    <definedName name="CCPL2SU">#REF!</definedName>
    <definedName name="CCPLDMV2" localSheetId="11">#REF!</definedName>
    <definedName name="CCPLDMV2" localSheetId="16">#REF!</definedName>
    <definedName name="CCPLDMV2" localSheetId="18">#REF!</definedName>
    <definedName name="CCPLDMV2">#REF!</definedName>
    <definedName name="CCPLDSU" localSheetId="11">#REF!</definedName>
    <definedName name="CCPLDSU" localSheetId="16">#REF!</definedName>
    <definedName name="CCPLDSU" localSheetId="18">#REF!</definedName>
    <definedName name="CCPLDSU">#REF!</definedName>
    <definedName name="CCPPROW" localSheetId="11">#REF!</definedName>
    <definedName name="CCPPROW" localSheetId="16">#REF!</definedName>
    <definedName name="CCPPROW" localSheetId="18">#REF!</definedName>
    <definedName name="CCPPROW">#REF!</definedName>
    <definedName name="CCPS2" localSheetId="11">#REF!</definedName>
    <definedName name="CCPS2" localSheetId="16">#REF!</definedName>
    <definedName name="CCPS2" localSheetId="18">#REF!</definedName>
    <definedName name="CCPS2">#REF!</definedName>
    <definedName name="CCT33RM" localSheetId="11">#REF!</definedName>
    <definedName name="CCT33RM" localSheetId="16">#REF!</definedName>
    <definedName name="CCT33RM" localSheetId="18">#REF!</definedName>
    <definedName name="CCT33RM">#REF!</definedName>
    <definedName name="CCT33W" localSheetId="11">#REF!</definedName>
    <definedName name="CCT33W" localSheetId="16">#REF!</definedName>
    <definedName name="CCT33W" localSheetId="18">#REF!</definedName>
    <definedName name="CCT33W">#REF!</definedName>
    <definedName name="CCTCSW2" localSheetId="11">#REF!</definedName>
    <definedName name="CCTCSW2" localSheetId="16">#REF!</definedName>
    <definedName name="CCTCSW2" localSheetId="18">#REF!</definedName>
    <definedName name="CCTCSW2">#REF!</definedName>
    <definedName name="CCTDGHWGN2" localSheetId="11">#REF!</definedName>
    <definedName name="CCTDGHWGN2" localSheetId="16">#REF!</definedName>
    <definedName name="CCTDGHWGN2" localSheetId="18">#REF!</definedName>
    <definedName name="CCTDGHWGN2">#REF!</definedName>
    <definedName name="CCTDM80" localSheetId="11">#REF!</definedName>
    <definedName name="CCTDM80" localSheetId="16">#REF!</definedName>
    <definedName name="CCTDM80" localSheetId="18">#REF!</definedName>
    <definedName name="CCTDM80">#REF!</definedName>
    <definedName name="CCTDSD" localSheetId="11">#REF!</definedName>
    <definedName name="CCTDSD" localSheetId="16">#REF!</definedName>
    <definedName name="CCTDSD" localSheetId="18">#REF!</definedName>
    <definedName name="CCTDSD">#REF!</definedName>
    <definedName name="CCTDSM" localSheetId="11">#REF!</definedName>
    <definedName name="CCTDSM" localSheetId="16">#REF!</definedName>
    <definedName name="CCTDSM" localSheetId="18">#REF!</definedName>
    <definedName name="CCTDSM">#REF!</definedName>
    <definedName name="CCTFVIA" localSheetId="11">#REF!</definedName>
    <definedName name="CCTFVIA" localSheetId="16">#REF!</definedName>
    <definedName name="CCTFVIA" localSheetId="18">#REF!</definedName>
    <definedName name="CCTFVIA">#REF!</definedName>
    <definedName name="CCTHMSPU" localSheetId="11">#REF!</definedName>
    <definedName name="CCTHMSPU" localSheetId="16">#REF!</definedName>
    <definedName name="CCTHMSPU" localSheetId="18">#REF!</definedName>
    <definedName name="CCTHMSPU">#REF!</definedName>
    <definedName name="CCTLX2" localSheetId="11">#REF!</definedName>
    <definedName name="CCTLX2" localSheetId="16">#REF!</definedName>
    <definedName name="CCTLX2" localSheetId="18">#REF!</definedName>
    <definedName name="CCTLX2">#REF!</definedName>
    <definedName name="CCTMSUV" localSheetId="11">#REF!</definedName>
    <definedName name="CCTMSUV" localSheetId="16">#REF!</definedName>
    <definedName name="CCTMSUV" localSheetId="18">#REF!</definedName>
    <definedName name="CCTMSUV">#REF!</definedName>
    <definedName name="CCTNSR2" localSheetId="11">#REF!</definedName>
    <definedName name="CCTNSR2" localSheetId="16">#REF!</definedName>
    <definedName name="CCTNSR2" localSheetId="18">#REF!</definedName>
    <definedName name="CCTNSR2">#REF!</definedName>
    <definedName name="CCTPT2" localSheetId="11">#REF!</definedName>
    <definedName name="CCTPT2" localSheetId="16">#REF!</definedName>
    <definedName name="CCTPT2" localSheetId="18">#REF!</definedName>
    <definedName name="CCTPT2">#REF!</definedName>
    <definedName name="CCTRSRCAR" localSheetId="11">#REF!</definedName>
    <definedName name="CCTRSRCAR" localSheetId="16">#REF!</definedName>
    <definedName name="CCTRSRCAR" localSheetId="18">#REF!</definedName>
    <definedName name="CCTRSRCAR">#REF!</definedName>
    <definedName name="CCTRSRTC" localSheetId="11">#REF!</definedName>
    <definedName name="CCTRSRTC" localSheetId="16">#REF!</definedName>
    <definedName name="CCTRSRTC" localSheetId="18">#REF!</definedName>
    <definedName name="CCTRSRTC">#REF!</definedName>
    <definedName name="CCTRTNCC" localSheetId="11">#REF!</definedName>
    <definedName name="CCTRTNCC" localSheetId="16">#REF!</definedName>
    <definedName name="CCTRTNCC" localSheetId="18">#REF!</definedName>
    <definedName name="CCTRTNCC">#REF!</definedName>
    <definedName name="CCTRTRCRM" localSheetId="11">#REF!</definedName>
    <definedName name="CCTRTRCRM" localSheetId="16">#REF!</definedName>
    <definedName name="CCTRTRCRM" localSheetId="18">#REF!</definedName>
    <definedName name="CCTRTRCRM">#REF!</definedName>
    <definedName name="CCTXJ" localSheetId="11">#REF!</definedName>
    <definedName name="CCTXJ" localSheetId="16">#REF!</definedName>
    <definedName name="CCTXJ" localSheetId="18">#REF!</definedName>
    <definedName name="CCTXJ">#REF!</definedName>
    <definedName name="CCTXJ3C" localSheetId="11">#REF!</definedName>
    <definedName name="CCTXJ3C" localSheetId="16">#REF!</definedName>
    <definedName name="CCTXJ3C" localSheetId="18">#REF!</definedName>
    <definedName name="CCTXJ3C">#REF!</definedName>
    <definedName name="CCTXJC" localSheetId="11">#REF!</definedName>
    <definedName name="CCTXJC" localSheetId="16">#REF!</definedName>
    <definedName name="CCTXJC" localSheetId="18">#REF!</definedName>
    <definedName name="CCTXJC">#REF!</definedName>
    <definedName name="CCUSCP">#N/A</definedName>
    <definedName name="CCUSTP">#N/A</definedName>
    <definedName name="CFCDMZM2" localSheetId="11">#REF!</definedName>
    <definedName name="CFCDMZM2" localSheetId="16">#REF!</definedName>
    <definedName name="CFCDMZM2" localSheetId="18">#REF!</definedName>
    <definedName name="CFCDMZM2">#REF!</definedName>
    <definedName name="CFCDWE" localSheetId="11">#REF!</definedName>
    <definedName name="CFCDWE" localSheetId="16">#REF!</definedName>
    <definedName name="CFCDWE" localSheetId="18">#REF!</definedName>
    <definedName name="CFCDWE">#REF!</definedName>
    <definedName name="CFCDWMXL" localSheetId="11">#REF!</definedName>
    <definedName name="CFCDWMXL" localSheetId="16">#REF!</definedName>
    <definedName name="CFCDWMXL" localSheetId="18">#REF!</definedName>
    <definedName name="CFCDWMXL">#REF!</definedName>
    <definedName name="CFCW1702" localSheetId="11">#REF!</definedName>
    <definedName name="CFCW1702" localSheetId="16">#REF!</definedName>
    <definedName name="CFCW1702" localSheetId="18">#REF!</definedName>
    <definedName name="CFCW1702">#REF!</definedName>
    <definedName name="CFCWFF" localSheetId="11">#REF!</definedName>
    <definedName name="CFCWFF" localSheetId="16">#REF!</definedName>
    <definedName name="CFCWFF" localSheetId="18">#REF!</definedName>
    <definedName name="CFCWFF">#REF!</definedName>
    <definedName name="CFCWFOC2" localSheetId="11">#REF!</definedName>
    <definedName name="CFCWFOC2" localSheetId="16">#REF!</definedName>
    <definedName name="CFCWFOC2" localSheetId="18">#REF!</definedName>
    <definedName name="CFCWFOC2">#REF!</definedName>
    <definedName name="CFD258M" localSheetId="11">#REF!</definedName>
    <definedName name="CFD258M" localSheetId="16">#REF!</definedName>
    <definedName name="CFD258M" localSheetId="18">#REF!</definedName>
    <definedName name="CFD258M">#REF!</definedName>
    <definedName name="CFDEW2LS" localSheetId="11">#REF!</definedName>
    <definedName name="CFDEW2LS" localSheetId="16">#REF!</definedName>
    <definedName name="CFDEW2LS" localSheetId="18">#REF!</definedName>
    <definedName name="CFDEW2LS">#REF!</definedName>
    <definedName name="CFEA" localSheetId="11">#REF!</definedName>
    <definedName name="CFEA" localSheetId="16">#REF!</definedName>
    <definedName name="CFEA" localSheetId="18">#REF!</definedName>
    <definedName name="CFEA">#REF!</definedName>
    <definedName name="CFEA2CV" localSheetId="11">#REF!</definedName>
    <definedName name="CFEA2CV" localSheetId="16">#REF!</definedName>
    <definedName name="CFEA2CV" localSheetId="18">#REF!</definedName>
    <definedName name="CFEA2CV">#REF!</definedName>
    <definedName name="CFEA2LTC" localSheetId="11">#REF!</definedName>
    <definedName name="CFEA2LTC" localSheetId="16">#REF!</definedName>
    <definedName name="CFEA2LTC" localSheetId="18">#REF!</definedName>
    <definedName name="CFEA2LTC">#REF!</definedName>
    <definedName name="CFEA2MGM" localSheetId="11">#REF!</definedName>
    <definedName name="CFEA2MGM" localSheetId="16">#REF!</definedName>
    <definedName name="CFEA2MGM" localSheetId="18">#REF!</definedName>
    <definedName name="CFEA2MGM">#REF!</definedName>
    <definedName name="cfk" localSheetId="11">#REF!</definedName>
    <definedName name="cfk" localSheetId="16">#REF!</definedName>
    <definedName name="cfk" localSheetId="18">#REF!</definedName>
    <definedName name="cfk">#REF!</definedName>
    <definedName name="CFLNCP2F" localSheetId="11">#REF!</definedName>
    <definedName name="CFLNCP2F" localSheetId="16">#REF!</definedName>
    <definedName name="CFLNCP2F" localSheetId="18">#REF!</definedName>
    <definedName name="CFLNCP2F">#REF!</definedName>
    <definedName name="CFLNCP2M" localSheetId="11">#REF!</definedName>
    <definedName name="CFLNCP2M" localSheetId="16">#REF!</definedName>
    <definedName name="CFLNCP2M" localSheetId="18">#REF!</definedName>
    <definedName name="CFLNCP2M">#REF!</definedName>
    <definedName name="CFLX" localSheetId="11">#REF!</definedName>
    <definedName name="CFLX" localSheetId="16">#REF!</definedName>
    <definedName name="CFLX" localSheetId="18">#REF!</definedName>
    <definedName name="CFLX">#REF!</definedName>
    <definedName name="CFLX350" localSheetId="11">#REF!</definedName>
    <definedName name="CFLX350" localSheetId="16">#REF!</definedName>
    <definedName name="CFLX350" localSheetId="18">#REF!</definedName>
    <definedName name="CFLX350">#REF!</definedName>
    <definedName name="CFTCRS" localSheetId="11">#REF!</definedName>
    <definedName name="CFTCRS" localSheetId="16">#REF!</definedName>
    <definedName name="CFTCRS" localSheetId="18">#REF!</definedName>
    <definedName name="CFTCRS">#REF!</definedName>
    <definedName name="CFTD258M" localSheetId="11">#REF!</definedName>
    <definedName name="CFTD258M" localSheetId="16">#REF!</definedName>
    <definedName name="CFTD258M" localSheetId="18">#REF!</definedName>
    <definedName name="CFTD258M">#REF!</definedName>
    <definedName name="CFTE169" localSheetId="11">#REF!</definedName>
    <definedName name="CFTE169" localSheetId="16">#REF!</definedName>
    <definedName name="CFTE169" localSheetId="18">#REF!</definedName>
    <definedName name="CFTE169">#REF!</definedName>
    <definedName name="CFTFCMAV" localSheetId="11">#REF!</definedName>
    <definedName name="CFTFCMAV" localSheetId="16">#REF!</definedName>
    <definedName name="CFTFCMAV" localSheetId="18">#REF!</definedName>
    <definedName name="CFTFCMAV">#REF!</definedName>
    <definedName name="CFTMCSUV" localSheetId="11">#REF!</definedName>
    <definedName name="CFTMCSUV" localSheetId="16">#REF!</definedName>
    <definedName name="CFTMCSUV" localSheetId="18">#REF!</definedName>
    <definedName name="CFTMCSUV">#REF!</definedName>
    <definedName name="CFTPN" localSheetId="11">#REF!</definedName>
    <definedName name="CFTPN" localSheetId="16">#REF!</definedName>
    <definedName name="CFTPN" localSheetId="18">#REF!</definedName>
    <definedName name="CFTPN">#REF!</definedName>
    <definedName name="CFTV2" localSheetId="11">#REF!</definedName>
    <definedName name="CFTV2" localSheetId="16">#REF!</definedName>
    <definedName name="CFTV2" localSheetId="18">#REF!</definedName>
    <definedName name="CFTV2">#REF!</definedName>
    <definedName name="CFTV2E" localSheetId="11">#REF!</definedName>
    <definedName name="CFTV2E" localSheetId="16">#REF!</definedName>
    <definedName name="CFTV2E" localSheetId="18">#REF!</definedName>
    <definedName name="CFTV2E">#REF!</definedName>
    <definedName name="CFU377F" localSheetId="11">#REF!</definedName>
    <definedName name="CFU377F" localSheetId="16">#REF!</definedName>
    <definedName name="CFU377F" localSheetId="18">#REF!</definedName>
    <definedName name="CFU377F">#REF!</definedName>
    <definedName name="CFU377M" localSheetId="11">#REF!</definedName>
    <definedName name="CFU377M" localSheetId="16">#REF!</definedName>
    <definedName name="CFU377M" localSheetId="18">#REF!</definedName>
    <definedName name="CFU377M">#REF!</definedName>
    <definedName name="CFU377MZ" localSheetId="11">#REF!</definedName>
    <definedName name="CFU377MZ" localSheetId="16">#REF!</definedName>
    <definedName name="CFU377MZ" localSheetId="18">#REF!</definedName>
    <definedName name="CFU377MZ">#REF!</definedName>
    <definedName name="CFUN1" localSheetId="11">#REF!</definedName>
    <definedName name="CFUN1" localSheetId="16">#REF!</definedName>
    <definedName name="CFUN1" localSheetId="18">#REF!</definedName>
    <definedName name="CFUN1">#REF!</definedName>
    <definedName name="CFUN1EX" localSheetId="11">#REF!</definedName>
    <definedName name="CFUN1EX" localSheetId="16">#REF!</definedName>
    <definedName name="CFUN1EX" localSheetId="18">#REF!</definedName>
    <definedName name="CFUN1EX">#REF!</definedName>
    <definedName name="CFWD379SP" localSheetId="11">#REF!</definedName>
    <definedName name="CFWD379SP" localSheetId="16">#REF!</definedName>
    <definedName name="CFWD379SP" localSheetId="18">#REF!</definedName>
    <definedName name="CFWD379SP">#REF!</definedName>
    <definedName name="CFWMD380" localSheetId="11">#REF!</definedName>
    <definedName name="CFWMD380" localSheetId="16">#REF!</definedName>
    <definedName name="CFWMD380" localSheetId="18">#REF!</definedName>
    <definedName name="CFWMD380">#REF!</definedName>
    <definedName name="CGBEPTSN" localSheetId="11">#REF!</definedName>
    <definedName name="CGBEPTSN" localSheetId="16">#REF!</definedName>
    <definedName name="CGBEPTSN" localSheetId="18">#REF!</definedName>
    <definedName name="CGBEPTSN">#REF!</definedName>
    <definedName name="CGBKVE" localSheetId="11">#REF!</definedName>
    <definedName name="CGBKVE" localSheetId="16">#REF!</definedName>
    <definedName name="CGBKVE" localSheetId="18">#REF!</definedName>
    <definedName name="CGBKVE">#REF!</definedName>
    <definedName name="CGCCAM" localSheetId="11">#REF!</definedName>
    <definedName name="CGCCAM" localSheetId="16">#REF!</definedName>
    <definedName name="CGCCAM" localSheetId="18">#REF!</definedName>
    <definedName name="CGCCAM">#REF!</definedName>
    <definedName name="CGCRS" localSheetId="11">#REF!</definedName>
    <definedName name="CGCRS" localSheetId="16">#REF!</definedName>
    <definedName name="CGCRS" localSheetId="18">#REF!</definedName>
    <definedName name="CGCRS">#REF!</definedName>
    <definedName name="CGDELBENG" localSheetId="11">#REF!</definedName>
    <definedName name="CGDELBENG" localSheetId="16">#REF!</definedName>
    <definedName name="CGDELBENG" localSheetId="18">#REF!</definedName>
    <definedName name="CGDELBENG">#REF!</definedName>
    <definedName name="CGEPLP2" localSheetId="11">#REF!</definedName>
    <definedName name="CGEPLP2" localSheetId="16">#REF!</definedName>
    <definedName name="CGEPLP2" localSheetId="18">#REF!</definedName>
    <definedName name="CGEPLP2">#REF!</definedName>
    <definedName name="CGEPMALI" localSheetId="11">#REF!</definedName>
    <definedName name="CGEPMALI" localSheetId="16">#REF!</definedName>
    <definedName name="CGEPMALI" localSheetId="18">#REF!</definedName>
    <definedName name="CGEPMALI">#REF!</definedName>
    <definedName name="CGEPS2" localSheetId="11">#REF!</definedName>
    <definedName name="CGEPS2" localSheetId="16">#REF!</definedName>
    <definedName name="CGEPS2" localSheetId="18">#REF!</definedName>
    <definedName name="CGEPS2">#REF!</definedName>
    <definedName name="CGGAM1CCM" localSheetId="11">#REF!</definedName>
    <definedName name="CGGAM1CCM" localSheetId="16">#REF!</definedName>
    <definedName name="CGGAM1CCM" localSheetId="18">#REF!</definedName>
    <definedName name="CGGAM1CCM">#REF!</definedName>
    <definedName name="CGRDCA2" localSheetId="11">#REF!</definedName>
    <definedName name="CGRDCA2" localSheetId="16">#REF!</definedName>
    <definedName name="CGRDCA2" localSheetId="18">#REF!</definedName>
    <definedName name="CGRDCA2">#REF!</definedName>
    <definedName name="CGRDCS2" localSheetId="11">#REF!</definedName>
    <definedName name="CGRDCS2" localSheetId="16">#REF!</definedName>
    <definedName name="CGRDCS2" localSheetId="18">#REF!</definedName>
    <definedName name="CGRDCS2">#REF!</definedName>
    <definedName name="CGRDMAV2" localSheetId="11">#REF!</definedName>
    <definedName name="CGRDMAV2" localSheetId="16">#REF!</definedName>
    <definedName name="CGRDMAV2" localSheetId="18">#REF!</definedName>
    <definedName name="CGRDMAV2">#REF!</definedName>
    <definedName name="CGSATION2" localSheetId="11">#REF!</definedName>
    <definedName name="CGSATION2" localSheetId="16">#REF!</definedName>
    <definedName name="CGSATION2" localSheetId="18">#REF!</definedName>
    <definedName name="CGSATION2">#REF!</definedName>
    <definedName name="CGSCSKY" localSheetId="11">#REF!</definedName>
    <definedName name="CGSCSKY" localSheetId="16">#REF!</definedName>
    <definedName name="CGSCSKY" localSheetId="18">#REF!</definedName>
    <definedName name="CGSCSKY">#REF!</definedName>
    <definedName name="CGSIG2" localSheetId="11">#REF!</definedName>
    <definedName name="CGSIG2" localSheetId="16">#REF!</definedName>
    <definedName name="CGSIG2" localSheetId="18">#REF!</definedName>
    <definedName name="CGSIG2">#REF!</definedName>
    <definedName name="CGSIGMAM" localSheetId="11">#REF!</definedName>
    <definedName name="CGSIGMAM" localSheetId="16">#REF!</definedName>
    <definedName name="CGSIGMAM" localSheetId="18">#REF!</definedName>
    <definedName name="CGSIGMAM">#REF!</definedName>
    <definedName name="CGSIGMGP" localSheetId="11">#REF!</definedName>
    <definedName name="CGSIGMGP" localSheetId="16">#REF!</definedName>
    <definedName name="CGSIGMGP" localSheetId="18">#REF!</definedName>
    <definedName name="CGSIGMGP">#REF!</definedName>
    <definedName name="CGSMGTO" localSheetId="11">#REF!</definedName>
    <definedName name="CGSMGTO" localSheetId="16">#REF!</definedName>
    <definedName name="CGSMGTO" localSheetId="18">#REF!</definedName>
    <definedName name="CGSMGTO">#REF!</definedName>
    <definedName name="CGSSGA">[2]List!$F$2:$F$3</definedName>
    <definedName name="CGT306GJS" localSheetId="11">#REF!</definedName>
    <definedName name="CGT306GJS" localSheetId="16">#REF!</definedName>
    <definedName name="CGT306GJS" localSheetId="18">#REF!</definedName>
    <definedName name="CGT306GJS">#REF!</definedName>
    <definedName name="CGT361B" localSheetId="11">#REF!</definedName>
    <definedName name="CGT361B" localSheetId="16">#REF!</definedName>
    <definedName name="CGT361B" localSheetId="18">#REF!</definedName>
    <definedName name="CGT361B">#REF!</definedName>
    <definedName name="CGT361B98" localSheetId="11">#REF!</definedName>
    <definedName name="CGT361B98" localSheetId="16">#REF!</definedName>
    <definedName name="CGT361B98" localSheetId="18">#REF!</definedName>
    <definedName name="CGT361B98">#REF!</definedName>
    <definedName name="CGT361J" localSheetId="11">#REF!</definedName>
    <definedName name="CGT361J" localSheetId="16">#REF!</definedName>
    <definedName name="CGT361J" localSheetId="18">#REF!</definedName>
    <definedName name="CGT361J">#REF!</definedName>
    <definedName name="CGT371CB" localSheetId="11">#REF!</definedName>
    <definedName name="CGT371CB" localSheetId="16">#REF!</definedName>
    <definedName name="CGT371CB" localSheetId="18">#REF!</definedName>
    <definedName name="CGT371CB">#REF!</definedName>
    <definedName name="CGT371GE" localSheetId="11">#REF!</definedName>
    <definedName name="CGT371GE" localSheetId="16">#REF!</definedName>
    <definedName name="CGT371GE" localSheetId="18">#REF!</definedName>
    <definedName name="CGT371GE">#REF!</definedName>
    <definedName name="CGT900C" localSheetId="11">#REF!</definedName>
    <definedName name="CGT900C" localSheetId="16">#REF!</definedName>
    <definedName name="CGT900C" localSheetId="18">#REF!</definedName>
    <definedName name="CGT900C">#REF!</definedName>
    <definedName name="CGT900G" localSheetId="11">#REF!</definedName>
    <definedName name="CGT900G" localSheetId="16">#REF!</definedName>
    <definedName name="CGT900G" localSheetId="18">#REF!</definedName>
    <definedName name="CGT900G">#REF!</definedName>
    <definedName name="CGT990C" localSheetId="11">#REF!</definedName>
    <definedName name="CGT990C" localSheetId="16">#REF!</definedName>
    <definedName name="CGT990C" localSheetId="18">#REF!</definedName>
    <definedName name="CGT990C">#REF!</definedName>
    <definedName name="CGT990G" localSheetId="11">#REF!</definedName>
    <definedName name="CGT990G" localSheetId="16">#REF!</definedName>
    <definedName name="CGT990G" localSheetId="18">#REF!</definedName>
    <definedName name="CGT990G">#REF!</definedName>
    <definedName name="CGTAPV3B" localSheetId="11">#REF!</definedName>
    <definedName name="CGTAPV3B" localSheetId="16">#REF!</definedName>
    <definedName name="CGTAPV3B" localSheetId="18">#REF!</definedName>
    <definedName name="CGTAPV3B">#REF!</definedName>
    <definedName name="CGTAPV3L" localSheetId="11">#REF!</definedName>
    <definedName name="CGTAPV3L" localSheetId="16">#REF!</definedName>
    <definedName name="CGTAPV3L" localSheetId="18">#REF!</definedName>
    <definedName name="CGTAPV3L">#REF!</definedName>
    <definedName name="CGTBCSUV2" localSheetId="11">#REF!</definedName>
    <definedName name="CGTBCSUV2" localSheetId="16">#REF!</definedName>
    <definedName name="CGTBCSUV2" localSheetId="18">#REF!</definedName>
    <definedName name="CGTBCSUV2">#REF!</definedName>
    <definedName name="CGTBKVAN" localSheetId="11">#REF!</definedName>
    <definedName name="CGTBKVAN" localSheetId="16">#REF!</definedName>
    <definedName name="CGTBKVAN" localSheetId="18">#REF!</definedName>
    <definedName name="CGTBKVAN">#REF!</definedName>
    <definedName name="CGTCK" localSheetId="11">#REF!</definedName>
    <definedName name="CGTCK" localSheetId="16">#REF!</definedName>
    <definedName name="CGTCK" localSheetId="18">#REF!</definedName>
    <definedName name="CGTCK">#REF!</definedName>
    <definedName name="CGTCKC" localSheetId="11">#REF!</definedName>
    <definedName name="CGTCKC" localSheetId="16">#REF!</definedName>
    <definedName name="CGTCKC" localSheetId="18">#REF!</definedName>
    <definedName name="CGTCKC">#REF!</definedName>
    <definedName name="CGTCPU" localSheetId="11">#REF!</definedName>
    <definedName name="CGTCPU" localSheetId="16">#REF!</definedName>
    <definedName name="CGTCPU" localSheetId="18">#REF!</definedName>
    <definedName name="CGTCPU">#REF!</definedName>
    <definedName name="CGTCTDEL2" localSheetId="11">#REF!</definedName>
    <definedName name="CGTCTDEL2" localSheetId="16">#REF!</definedName>
    <definedName name="CGTCTDEL2" localSheetId="18">#REF!</definedName>
    <definedName name="CGTCTDEL2">#REF!</definedName>
    <definedName name="CGTDLS2" localSheetId="11">#REF!</definedName>
    <definedName name="CGTDLS2" localSheetId="16">#REF!</definedName>
    <definedName name="CGTDLS2" localSheetId="18">#REF!</definedName>
    <definedName name="CGTDLS2">#REF!</definedName>
    <definedName name="CGTGAM" localSheetId="11">#REF!</definedName>
    <definedName name="CGTGAM" localSheetId="16">#REF!</definedName>
    <definedName name="CGTGAM" localSheetId="18">#REF!</definedName>
    <definedName name="CGTGAM">#REF!</definedName>
    <definedName name="CGTHUMH22" localSheetId="11">#REF!</definedName>
    <definedName name="CGTHUMH22" localSheetId="16">#REF!</definedName>
    <definedName name="CGTHUMH22" localSheetId="18">#REF!</definedName>
    <definedName name="CGTHUMH22">#REF!</definedName>
    <definedName name="CGTHUMHX" localSheetId="11">#REF!</definedName>
    <definedName name="CGTHUMHX" localSheetId="16">#REF!</definedName>
    <definedName name="CGTHUMHX" localSheetId="18">#REF!</definedName>
    <definedName name="CGTHUMHX">#REF!</definedName>
    <definedName name="CGTLAMGES" localSheetId="11">#REF!</definedName>
    <definedName name="CGTLAMGES" localSheetId="16">#REF!</definedName>
    <definedName name="CGTLAMGES" localSheetId="18">#REF!</definedName>
    <definedName name="CGTLAMGES">#REF!</definedName>
    <definedName name="CGTS3IZ" localSheetId="11">#REF!</definedName>
    <definedName name="CGTS3IZ" localSheetId="16">#REF!</definedName>
    <definedName name="CGTS3IZ" localSheetId="18">#REF!</definedName>
    <definedName name="CGTS3IZ">#REF!</definedName>
    <definedName name="CGTSATVAN" localSheetId="11">#REF!</definedName>
    <definedName name="CGTSATVAN" localSheetId="16">#REF!</definedName>
    <definedName name="CGTSATVAN" localSheetId="18">#REF!</definedName>
    <definedName name="CGTSATVAN">#REF!</definedName>
    <definedName name="CGTSIG2" localSheetId="11">#REF!</definedName>
    <definedName name="CGTSIG2" localSheetId="16">#REF!</definedName>
    <definedName name="CGTSIG2" localSheetId="18">#REF!</definedName>
    <definedName name="CGTSIG2">#REF!</definedName>
    <definedName name="CGTSSRTPV" localSheetId="11">#REF!</definedName>
    <definedName name="CGTSSRTPV" localSheetId="16">#REF!</definedName>
    <definedName name="CGTSSRTPV" localSheetId="18">#REF!</definedName>
    <definedName name="CGTSSRTPV">#REF!</definedName>
    <definedName name="CGTSU3O" localSheetId="11">#REF!</definedName>
    <definedName name="CGTSU3O" localSheetId="16">#REF!</definedName>
    <definedName name="CGTSU3O" localSheetId="18">#REF!</definedName>
    <definedName name="CGTSU3O">#REF!</definedName>
    <definedName name="CGTTHTA" localSheetId="11">#REF!</definedName>
    <definedName name="CGTTHTA" localSheetId="16">#REF!</definedName>
    <definedName name="CGTTHTA" localSheetId="18">#REF!</definedName>
    <definedName name="CGTTHTA">#REF!</definedName>
    <definedName name="CGW2LU" localSheetId="11">#REF!</definedName>
    <definedName name="CGW2LU" localSheetId="16">#REF!</definedName>
    <definedName name="CGW2LU" localSheetId="18">#REF!</definedName>
    <definedName name="CGW2LU">#REF!</definedName>
    <definedName name="chiyoko" localSheetId="11">#REF!</definedName>
    <definedName name="chiyoko" localSheetId="16">#REF!</definedName>
    <definedName name="chiyoko" localSheetId="18">#REF!</definedName>
    <definedName name="chiyoko">#REF!</definedName>
    <definedName name="chung">66</definedName>
    <definedName name="clip" localSheetId="11">#REF!</definedName>
    <definedName name="clip" localSheetId="16">#REF!</definedName>
    <definedName name="clip" localSheetId="18">#REF!</definedName>
    <definedName name="clip">#REF!</definedName>
    <definedName name="CNmLst" localSheetId="11">#REF!</definedName>
    <definedName name="CNmLst" localSheetId="16">#REF!</definedName>
    <definedName name="CNmLst" localSheetId="18">#REF!</definedName>
    <definedName name="CNmLst">#REF!</definedName>
    <definedName name="Co" localSheetId="11">#REF!</definedName>
    <definedName name="Co" localSheetId="16">#REF!</definedName>
    <definedName name="Co" localSheetId="18">#REF!</definedName>
    <definedName name="Co">#REF!</definedName>
    <definedName name="COAT" localSheetId="11">#REF!</definedName>
    <definedName name="COAT" localSheetId="16">#REF!</definedName>
    <definedName name="COAT" localSheetId="18">#REF!</definedName>
    <definedName name="COAT">#REF!</definedName>
    <definedName name="Code">[5]Master!$B$2:$B$715</definedName>
    <definedName name="COLOR" localSheetId="11">#REF!</definedName>
    <definedName name="COLOR" localSheetId="16">#REF!</definedName>
    <definedName name="COLOR" localSheetId="18">#REF!</definedName>
    <definedName name="COLOR">#REF!</definedName>
    <definedName name="COMMON" localSheetId="11">#REF!</definedName>
    <definedName name="COMMON" localSheetId="16">#REF!</definedName>
    <definedName name="COMMON" localSheetId="18">#REF!</definedName>
    <definedName name="COMMON">#REF!</definedName>
    <definedName name="comp" localSheetId="11">#REF!</definedName>
    <definedName name="comp" localSheetId="16">#REF!</definedName>
    <definedName name="comp" localSheetId="18">#REF!</definedName>
    <definedName name="comp">#REF!</definedName>
    <definedName name="Company">[2]List!$I$2:$I$20</definedName>
    <definedName name="CON" localSheetId="11">#REF!</definedName>
    <definedName name="CON" localSheetId="16">#REF!</definedName>
    <definedName name="CON" localSheetId="18">#REF!</definedName>
    <definedName name="CON">#REF!</definedName>
    <definedName name="CON_EQP_COS" localSheetId="11">#REF!</definedName>
    <definedName name="CON_EQP_COS" localSheetId="16">#REF!</definedName>
    <definedName name="CON_EQP_COS" localSheetId="18">#REF!</definedName>
    <definedName name="CON_EQP_COS">#REF!</definedName>
    <definedName name="CONC25" localSheetId="11">#REF!</definedName>
    <definedName name="CONC25" localSheetId="16">#REF!</definedName>
    <definedName name="CONC25" localSheetId="18">#REF!</definedName>
    <definedName name="CONC25">#REF!</definedName>
    <definedName name="CONC30" localSheetId="11">#REF!</definedName>
    <definedName name="CONC30" localSheetId="16">#REF!</definedName>
    <definedName name="CONC30" localSheetId="18">#REF!</definedName>
    <definedName name="CONC30">#REF!</definedName>
    <definedName name="CONCS25" localSheetId="11">#REF!</definedName>
    <definedName name="CONCS25" localSheetId="16">#REF!</definedName>
    <definedName name="CONCS25" localSheetId="18">#REF!</definedName>
    <definedName name="CONCS25">#REF!</definedName>
    <definedName name="CONCS30" localSheetId="11">#REF!</definedName>
    <definedName name="CONCS30" localSheetId="16">#REF!</definedName>
    <definedName name="CONCS30" localSheetId="18">#REF!</definedName>
    <definedName name="CONCS30">#REF!</definedName>
    <definedName name="Cong_HM_DTCT" localSheetId="11">#REF!</definedName>
    <definedName name="Cong_HM_DTCT" localSheetId="16">#REF!</definedName>
    <definedName name="Cong_HM_DTCT" localSheetId="18">#REF!</definedName>
    <definedName name="Cong_HM_DTCT">#REF!</definedName>
    <definedName name="Cong_M_DTCT" localSheetId="11">#REF!</definedName>
    <definedName name="Cong_M_DTCT" localSheetId="16">#REF!</definedName>
    <definedName name="Cong_M_DTCT" localSheetId="18">#REF!</definedName>
    <definedName name="Cong_M_DTCT">#REF!</definedName>
    <definedName name="Cong_NC_DTCT" localSheetId="11">#REF!</definedName>
    <definedName name="Cong_NC_DTCT" localSheetId="16">#REF!</definedName>
    <definedName name="Cong_NC_DTCT" localSheetId="18">#REF!</definedName>
    <definedName name="Cong_NC_DTCT">#REF!</definedName>
    <definedName name="Cong_VL_DTCT" localSheetId="11">#REF!</definedName>
    <definedName name="Cong_VL_DTCT" localSheetId="16">#REF!</definedName>
    <definedName name="Cong_VL_DTCT" localSheetId="18">#REF!</definedName>
    <definedName name="Cong_VL_DTCT">#REF!</definedName>
    <definedName name="CONS" localSheetId="11">#REF!</definedName>
    <definedName name="CONS" localSheetId="16">#REF!</definedName>
    <definedName name="CONS" localSheetId="18">#REF!</definedName>
    <definedName name="CONS">#REF!</definedName>
    <definedName name="Control" localSheetId="11">#REF!</definedName>
    <definedName name="Control" localSheetId="16">#REF!</definedName>
    <definedName name="Control" localSheetId="18">#REF!</definedName>
    <definedName name="Control">#REF!</definedName>
    <definedName name="COPL" localSheetId="11">#REF!</definedName>
    <definedName name="COPL" localSheetId="16">#REF!</definedName>
    <definedName name="COPL" localSheetId="18">#REF!</definedName>
    <definedName name="COPL">#REF!</definedName>
    <definedName name="Cost_of_Material" localSheetId="11">#REF!</definedName>
    <definedName name="Cost_of_Material" localSheetId="16">#REF!</definedName>
    <definedName name="Cost_of_Material" localSheetId="18">#REF!</definedName>
    <definedName name="Cost_of_Material">#REF!</definedName>
    <definedName name="Cost_of_Scrap" localSheetId="11">#REF!</definedName>
    <definedName name="Cost_of_Scrap" localSheetId="16">#REF!</definedName>
    <definedName name="Cost_of_Scrap" localSheetId="18">#REF!</definedName>
    <definedName name="Cost_of_Scrap">#REF!</definedName>
    <definedName name="cot7.5" localSheetId="11">#REF!</definedName>
    <definedName name="cot7.5" localSheetId="16">#REF!</definedName>
    <definedName name="cot7.5" localSheetId="18">#REF!</definedName>
    <definedName name="cot7.5">#REF!</definedName>
    <definedName name="cot8.5" localSheetId="11">#REF!</definedName>
    <definedName name="cot8.5" localSheetId="16">#REF!</definedName>
    <definedName name="cot8.5" localSheetId="18">#REF!</definedName>
    <definedName name="cot8.5">#REF!</definedName>
    <definedName name="Country">[2]List!$K$2:$K$100</definedName>
    <definedName name="COVER" localSheetId="11">#REF!</definedName>
    <definedName name="COVER" localSheetId="16">#REF!</definedName>
    <definedName name="COVER" localSheetId="18">#REF!</definedName>
    <definedName name="COVER">#REF!</definedName>
    <definedName name="cpc" localSheetId="11">#REF!</definedName>
    <definedName name="cpc" localSheetId="16">#REF!</definedName>
    <definedName name="cpc" localSheetId="18">#REF!</definedName>
    <definedName name="cpc">#REF!</definedName>
    <definedName name="CRITINST" localSheetId="11">#REF!</definedName>
    <definedName name="CRITINST" localSheetId="16">#REF!</definedName>
    <definedName name="CRITINST" localSheetId="18">#REF!</definedName>
    <definedName name="CRITINST">#REF!</definedName>
    <definedName name="CRITPURC" localSheetId="11">#REF!</definedName>
    <definedName name="CRITPURC" localSheetId="16">#REF!</definedName>
    <definedName name="CRITPURC" localSheetId="18">#REF!</definedName>
    <definedName name="CRITPURC">#REF!</definedName>
    <definedName name="CS" localSheetId="11">#REF!</definedName>
    <definedName name="CS" localSheetId="16">#REF!</definedName>
    <definedName name="CS" localSheetId="18">#REF!</definedName>
    <definedName name="CS">#REF!</definedName>
    <definedName name="CS_10" localSheetId="11">#REF!</definedName>
    <definedName name="CS_10" localSheetId="16">#REF!</definedName>
    <definedName name="CS_10" localSheetId="18">#REF!</definedName>
    <definedName name="CS_10">#REF!</definedName>
    <definedName name="CS_100" localSheetId="11">#REF!</definedName>
    <definedName name="CS_100" localSheetId="16">#REF!</definedName>
    <definedName name="CS_100" localSheetId="18">#REF!</definedName>
    <definedName name="CS_100">#REF!</definedName>
    <definedName name="CS_10S" localSheetId="11">#REF!</definedName>
    <definedName name="CS_10S" localSheetId="16">#REF!</definedName>
    <definedName name="CS_10S" localSheetId="18">#REF!</definedName>
    <definedName name="CS_10S">#REF!</definedName>
    <definedName name="CS_120" localSheetId="11">#REF!</definedName>
    <definedName name="CS_120" localSheetId="16">#REF!</definedName>
    <definedName name="CS_120" localSheetId="18">#REF!</definedName>
    <definedName name="CS_120">#REF!</definedName>
    <definedName name="CS_140" localSheetId="11">#REF!</definedName>
    <definedName name="CS_140" localSheetId="16">#REF!</definedName>
    <definedName name="CS_140" localSheetId="18">#REF!</definedName>
    <definedName name="CS_140">#REF!</definedName>
    <definedName name="CS_160" localSheetId="11">#REF!</definedName>
    <definedName name="CS_160" localSheetId="16">#REF!</definedName>
    <definedName name="CS_160" localSheetId="18">#REF!</definedName>
    <definedName name="CS_160">#REF!</definedName>
    <definedName name="CS_20" localSheetId="11">#REF!</definedName>
    <definedName name="CS_20" localSheetId="16">#REF!</definedName>
    <definedName name="CS_20" localSheetId="18">#REF!</definedName>
    <definedName name="CS_20">#REF!</definedName>
    <definedName name="CS_30" localSheetId="11">#REF!</definedName>
    <definedName name="CS_30" localSheetId="16">#REF!</definedName>
    <definedName name="CS_30" localSheetId="18">#REF!</definedName>
    <definedName name="CS_30">#REF!</definedName>
    <definedName name="CS_40" localSheetId="11">#REF!</definedName>
    <definedName name="CS_40" localSheetId="16">#REF!</definedName>
    <definedName name="CS_40" localSheetId="18">#REF!</definedName>
    <definedName name="CS_40">#REF!</definedName>
    <definedName name="CS_40S" localSheetId="11">#REF!</definedName>
    <definedName name="CS_40S" localSheetId="16">#REF!</definedName>
    <definedName name="CS_40S" localSheetId="18">#REF!</definedName>
    <definedName name="CS_40S">#REF!</definedName>
    <definedName name="CS_5S" localSheetId="11">#REF!</definedName>
    <definedName name="CS_5S" localSheetId="16">#REF!</definedName>
    <definedName name="CS_5S" localSheetId="18">#REF!</definedName>
    <definedName name="CS_5S">#REF!</definedName>
    <definedName name="CS_60" localSheetId="11">#REF!</definedName>
    <definedName name="CS_60" localSheetId="16">#REF!</definedName>
    <definedName name="CS_60" localSheetId="18">#REF!</definedName>
    <definedName name="CS_60">#REF!</definedName>
    <definedName name="CS_80" localSheetId="11">#REF!</definedName>
    <definedName name="CS_80" localSheetId="16">#REF!</definedName>
    <definedName name="CS_80" localSheetId="18">#REF!</definedName>
    <definedName name="CS_80">#REF!</definedName>
    <definedName name="CS_80S" localSheetId="11">#REF!</definedName>
    <definedName name="CS_80S" localSheetId="16">#REF!</definedName>
    <definedName name="CS_80S" localSheetId="18">#REF!</definedName>
    <definedName name="CS_80S">#REF!</definedName>
    <definedName name="CS_STD" localSheetId="11">#REF!</definedName>
    <definedName name="CS_STD" localSheetId="16">#REF!</definedName>
    <definedName name="CS_STD" localSheetId="18">#REF!</definedName>
    <definedName name="CS_STD">#REF!</definedName>
    <definedName name="CS_XS" localSheetId="11">#REF!</definedName>
    <definedName name="CS_XS" localSheetId="16">#REF!</definedName>
    <definedName name="CS_XS" localSheetId="18">#REF!</definedName>
    <definedName name="CS_XS">#REF!</definedName>
    <definedName name="CS_XXS" localSheetId="11">#REF!</definedName>
    <definedName name="CS_XXS" localSheetId="16">#REF!</definedName>
    <definedName name="CS_XXS" localSheetId="18">#REF!</definedName>
    <definedName name="CS_XXS">#REF!</definedName>
    <definedName name="CTBMWE39" localSheetId="11">#REF!</definedName>
    <definedName name="CTBMWE39" localSheetId="16">#REF!</definedName>
    <definedName name="CTBMWE39" localSheetId="18">#REF!</definedName>
    <definedName name="CTBMWE39">#REF!</definedName>
    <definedName name="CTBMWE90" localSheetId="11">#REF!</definedName>
    <definedName name="CTBMWE90" localSheetId="16">#REF!</definedName>
    <definedName name="CTBMWE90" localSheetId="18">#REF!</definedName>
    <definedName name="CTBMWE90">#REF!</definedName>
    <definedName name="CTBMWE90Z" localSheetId="11">#REF!</definedName>
    <definedName name="CTBMWE90Z" localSheetId="16">#REF!</definedName>
    <definedName name="CTBMWE90Z" localSheetId="18">#REF!</definedName>
    <definedName name="CTBMWE90Z">#REF!</definedName>
    <definedName name="CTCAM2" localSheetId="11">#REF!</definedName>
    <definedName name="CTCAM2" localSheetId="16">#REF!</definedName>
    <definedName name="CTCAM2" localSheetId="18">#REF!</definedName>
    <definedName name="CTCAM2">#REF!</definedName>
    <definedName name="CTCAM2CGM" localSheetId="11">#REF!</definedName>
    <definedName name="CTCAM2CGM" localSheetId="16">#REF!</definedName>
    <definedName name="CTCAM2CGM" localSheetId="18">#REF!</definedName>
    <definedName name="CTCAM2CGM">#REF!</definedName>
    <definedName name="CTCAM2SS" localSheetId="11">#REF!</definedName>
    <definedName name="CTCAM2SS" localSheetId="16">#REF!</definedName>
    <definedName name="CTCAM2SS" localSheetId="18">#REF!</definedName>
    <definedName name="CTCAM2SS">#REF!</definedName>
    <definedName name="CTCBMWE34" localSheetId="11">#REF!</definedName>
    <definedName name="CTCBMWE34" localSheetId="16">#REF!</definedName>
    <definedName name="CTCBMWE34" localSheetId="18">#REF!</definedName>
    <definedName name="CTCBMWE34">#REF!</definedName>
    <definedName name="CTCCP">#N/A</definedName>
    <definedName name="CTCSBB" localSheetId="11">#REF!</definedName>
    <definedName name="CTCSBB" localSheetId="16">#REF!</definedName>
    <definedName name="CTCSBB" localSheetId="18">#REF!</definedName>
    <definedName name="CTCSBB">#REF!</definedName>
    <definedName name="CTCTP">#N/A</definedName>
    <definedName name="CTHA9C" localSheetId="11">#REF!</definedName>
    <definedName name="CTHA9C" localSheetId="16">#REF!</definedName>
    <definedName name="CTHA9C" localSheetId="18">#REF!</definedName>
    <definedName name="CTHA9C">#REF!</definedName>
    <definedName name="CTHFIT" localSheetId="11">#REF!</definedName>
    <definedName name="CTHFIT" localSheetId="16">#REF!</definedName>
    <definedName name="CTHFIT" localSheetId="18">#REF!</definedName>
    <definedName name="CTHFIT">#REF!</definedName>
    <definedName name="CTHTL1A4" localSheetId="11">#REF!</definedName>
    <definedName name="CTHTL1A4" localSheetId="16">#REF!</definedName>
    <definedName name="CTHTL1A4" localSheetId="18">#REF!</definedName>
    <definedName name="CTHTL1A4">#REF!</definedName>
    <definedName name="CTHUQ2" localSheetId="11">#REF!</definedName>
    <definedName name="CTHUQ2" localSheetId="16">#REF!</definedName>
    <definedName name="CTHUQ2" localSheetId="18">#REF!</definedName>
    <definedName name="CTHUQ2">#REF!</definedName>
    <definedName name="CTHVC3" localSheetId="11">#REF!</definedName>
    <definedName name="CTHVC3" localSheetId="16">#REF!</definedName>
    <definedName name="CTHVC3" localSheetId="18">#REF!</definedName>
    <definedName name="CTHVC3">#REF!</definedName>
    <definedName name="ctiep" localSheetId="11">#REF!</definedName>
    <definedName name="ctiep" localSheetId="16">#REF!</definedName>
    <definedName name="ctiep" localSheetId="18">#REF!</definedName>
    <definedName name="ctiep">#REF!</definedName>
    <definedName name="CTMCP">#N/A</definedName>
    <definedName name="CTMTP">#N/A</definedName>
    <definedName name="CTNRSC3XL" localSheetId="11">#REF!</definedName>
    <definedName name="CTNRSC3XL" localSheetId="16">#REF!</definedName>
    <definedName name="CTNRSC3XL" localSheetId="18">#REF!</definedName>
    <definedName name="CTNRSC3XL">#REF!</definedName>
    <definedName name="CTNSCW84" localSheetId="11">#REF!</definedName>
    <definedName name="CTNSCW84" localSheetId="16">#REF!</definedName>
    <definedName name="CTNSCW84" localSheetId="18">#REF!</definedName>
    <definedName name="CTNSCW84">#REF!</definedName>
    <definedName name="CTNSS2" localSheetId="11">#REF!</definedName>
    <definedName name="CTNSS2" localSheetId="16">#REF!</definedName>
    <definedName name="CTNSS2" localSheetId="18">#REF!</definedName>
    <definedName name="CTNSS2">#REF!</definedName>
    <definedName name="CTNSS2EXL" localSheetId="11">#REF!</definedName>
    <definedName name="CTNSS2EXL" localSheetId="16">#REF!</definedName>
    <definedName name="CTNSS2EXL" localSheetId="18">#REF!</definedName>
    <definedName name="CTNSS2EXL">#REF!</definedName>
    <definedName name="CTNST2" localSheetId="11">#REF!</definedName>
    <definedName name="CTNST2" localSheetId="16">#REF!</definedName>
    <definedName name="CTNST2" localSheetId="18">#REF!</definedName>
    <definedName name="CTNST2">#REF!</definedName>
    <definedName name="CTNST3I2" localSheetId="11">#REF!</definedName>
    <definedName name="CTNST3I2" localSheetId="16">#REF!</definedName>
    <definedName name="CTNST3I2" localSheetId="18">#REF!</definedName>
    <definedName name="CTNST3I2">#REF!</definedName>
    <definedName name="CTNST3Q2" localSheetId="11">#REF!</definedName>
    <definedName name="CTNST3Q2" localSheetId="16">#REF!</definedName>
    <definedName name="CTNST3Q2" localSheetId="18">#REF!</definedName>
    <definedName name="CTNST3Q2">#REF!</definedName>
    <definedName name="CTNSTSB" localSheetId="11">#REF!</definedName>
    <definedName name="CTNSTSB" localSheetId="16">#REF!</definedName>
    <definedName name="CTNSTSB" localSheetId="18">#REF!</definedName>
    <definedName name="CTNSTSB">#REF!</definedName>
    <definedName name="CTNSTZ2" localSheetId="11">#REF!</definedName>
    <definedName name="CTNSTZ2" localSheetId="16">#REF!</definedName>
    <definedName name="CTNSTZ2" localSheetId="18">#REF!</definedName>
    <definedName name="CTNSTZ2">#REF!</definedName>
    <definedName name="CTNSUBBXL" localSheetId="11">#REF!</definedName>
    <definedName name="CTNSUBBXL" localSheetId="16">#REF!</definedName>
    <definedName name="CTNSUBBXL" localSheetId="18">#REF!</definedName>
    <definedName name="CTNSUBBXL">#REF!</definedName>
    <definedName name="CTNTK2" localSheetId="11">#REF!</definedName>
    <definedName name="CTNTK2" localSheetId="16">#REF!</definedName>
    <definedName name="CTNTK2" localSheetId="18">#REF!</definedName>
    <definedName name="CTNTK2">#REF!</definedName>
    <definedName name="CTNUWGP3" localSheetId="11">#REF!</definedName>
    <definedName name="CTNUWGP3" localSheetId="16">#REF!</definedName>
    <definedName name="CTNUWGP3" localSheetId="18">#REF!</definedName>
    <definedName name="CTNUWGP3">#REF!</definedName>
    <definedName name="CTSU55A" localSheetId="11">#REF!</definedName>
    <definedName name="CTSU55A" localSheetId="16">#REF!</definedName>
    <definedName name="CTSU55A" localSheetId="18">#REF!</definedName>
    <definedName name="CTSU55A">#REF!</definedName>
    <definedName name="CTSUIMP" localSheetId="11">#REF!</definedName>
    <definedName name="CTSUIMP" localSheetId="16">#REF!</definedName>
    <definedName name="CTSUIMP" localSheetId="18">#REF!</definedName>
    <definedName name="CTSUIMP">#REF!</definedName>
    <definedName name="CTSUSA92" localSheetId="11">#REF!</definedName>
    <definedName name="CTSUSA92" localSheetId="16">#REF!</definedName>
    <definedName name="CTSUSA92" localSheetId="18">#REF!</definedName>
    <definedName name="CTSUSA92">#REF!</definedName>
    <definedName name="CTT330N2" localSheetId="11">#REF!</definedName>
    <definedName name="CTT330N2" localSheetId="16">#REF!</definedName>
    <definedName name="CTT330N2" localSheetId="18">#REF!</definedName>
    <definedName name="CTT330N2">#REF!</definedName>
    <definedName name="CTT330N2TC" localSheetId="11">#REF!</definedName>
    <definedName name="CTT330N2TC" localSheetId="16">#REF!</definedName>
    <definedName name="CTT330N2TC" localSheetId="18">#REF!</definedName>
    <definedName name="CTT330N2TC">#REF!</definedName>
    <definedName name="CTT4RNX" localSheetId="11">#REF!</definedName>
    <definedName name="CTT4RNX" localSheetId="16">#REF!</definedName>
    <definedName name="CTT4RNX" localSheetId="18">#REF!</definedName>
    <definedName name="CTT4RNX">#REF!</definedName>
    <definedName name="CTTCTWGN" localSheetId="11">#REF!</definedName>
    <definedName name="CTTCTWGN" localSheetId="16">#REF!</definedName>
    <definedName name="CTTCTWGN" localSheetId="18">#REF!</definedName>
    <definedName name="CTTCTWGN">#REF!</definedName>
    <definedName name="CTTHEX2" localSheetId="11">#REF!</definedName>
    <definedName name="CTTHEX2" localSheetId="16">#REF!</definedName>
    <definedName name="CTTHEX2" localSheetId="18">#REF!</definedName>
    <definedName name="CTTHEX2">#REF!</definedName>
    <definedName name="CTTHPUM2" localSheetId="11">#REF!</definedName>
    <definedName name="CTTHPUM2" localSheetId="16">#REF!</definedName>
    <definedName name="CTTHPUM2" localSheetId="18">#REF!</definedName>
    <definedName name="CTTHPUM2">#REF!</definedName>
    <definedName name="CTTHSUT2" localSheetId="11">#REF!</definedName>
    <definedName name="CTTHSUT2" localSheetId="16">#REF!</definedName>
    <definedName name="CTTHSUT2" localSheetId="18">#REF!</definedName>
    <definedName name="CTTHSUT2">#REF!</definedName>
    <definedName name="CTTHSUV2" localSheetId="11">#REF!</definedName>
    <definedName name="CTTHSUV2" localSheetId="16">#REF!</definedName>
    <definedName name="CTTHSUV2" localSheetId="18">#REF!</definedName>
    <definedName name="CTTHSUV2">#REF!</definedName>
    <definedName name="CTTLX470" localSheetId="11">#REF!</definedName>
    <definedName name="CTTLX470" localSheetId="16">#REF!</definedName>
    <definedName name="CTTLX470" localSheetId="18">#REF!</definedName>
    <definedName name="CTTLX470">#REF!</definedName>
    <definedName name="CTTNST3CXL" localSheetId="11">#REF!</definedName>
    <definedName name="CTTNST3CXL" localSheetId="16">#REF!</definedName>
    <definedName name="CTTNST3CXL" localSheetId="18">#REF!</definedName>
    <definedName name="CTTNST3CXL">#REF!</definedName>
    <definedName name="CTTSEQA" localSheetId="11">#REF!</definedName>
    <definedName name="CTTSEQA" localSheetId="16">#REF!</definedName>
    <definedName name="CTTSEQA" localSheetId="18">#REF!</definedName>
    <definedName name="CTTSEQA">#REF!</definedName>
    <definedName name="CTTT4RUNX" localSheetId="11">#REF!</definedName>
    <definedName name="CTTT4RUNX" localSheetId="16">#REF!</definedName>
    <definedName name="CTTT4RUNX" localSheetId="18">#REF!</definedName>
    <definedName name="CTTT4RUNX">#REF!</definedName>
    <definedName name="CTTTMC" localSheetId="11">#REF!</definedName>
    <definedName name="CTTTMC" localSheetId="16">#REF!</definedName>
    <definedName name="CTTTMC" localSheetId="18">#REF!</definedName>
    <definedName name="CTTTMC">#REF!</definedName>
    <definedName name="CTTTPMAV3" localSheetId="11">#REF!</definedName>
    <definedName name="CTTTPMAV3" localSheetId="16">#REF!</definedName>
    <definedName name="CTTTPMAV3" localSheetId="18">#REF!</definedName>
    <definedName name="CTTTPMAV3">#REF!</definedName>
    <definedName name="CTTTSBB" localSheetId="11">#REF!</definedName>
    <definedName name="CTTTSBB" localSheetId="16">#REF!</definedName>
    <definedName name="CTTTSBB" localSheetId="18">#REF!</definedName>
    <definedName name="CTTTSBB">#REF!</definedName>
    <definedName name="CTTTYC3TH" localSheetId="11">#REF!</definedName>
    <definedName name="CTTTYC3TH" localSheetId="16">#REF!</definedName>
    <definedName name="CTTTYC3TH" localSheetId="18">#REF!</definedName>
    <definedName name="CTTTYC3TH">#REF!</definedName>
    <definedName name="CTTTYC4" localSheetId="11">#REF!</definedName>
    <definedName name="CTTTYC4" localSheetId="16">#REF!</definedName>
    <definedName name="CTTTYC4" localSheetId="18">#REF!</definedName>
    <definedName name="CTTTYC4">#REF!</definedName>
    <definedName name="CTTTYPRV3" localSheetId="11">#REF!</definedName>
    <definedName name="CTTTYPRV3" localSheetId="16">#REF!</definedName>
    <definedName name="CTTTYPRV3" localSheetId="18">#REF!</definedName>
    <definedName name="CTTTYPRV3">#REF!</definedName>
    <definedName name="CTTTYRAVT2" localSheetId="11">#REF!</definedName>
    <definedName name="CTTTYRAVT2" localSheetId="16">#REF!</definedName>
    <definedName name="CTTTYRAVT2" localSheetId="18">#REF!</definedName>
    <definedName name="CTTTYRAVT2">#REF!</definedName>
    <definedName name="CTTTYRX3" localSheetId="11">#REF!</definedName>
    <definedName name="CTTTYRX3" localSheetId="16">#REF!</definedName>
    <definedName name="CTTTYRX3" localSheetId="18">#REF!</definedName>
    <definedName name="CTTTYRX3">#REF!</definedName>
    <definedName name="CTTTYS5" localSheetId="11">#REF!</definedName>
    <definedName name="CTTTYS5" localSheetId="16">#REF!</definedName>
    <definedName name="CTTTYS5" localSheetId="18">#REF!</definedName>
    <definedName name="CTTTYS5">#REF!</definedName>
    <definedName name="CTTVW350" localSheetId="11">#REF!</definedName>
    <definedName name="CTTVW350" localSheetId="16">#REF!</definedName>
    <definedName name="CTTVW350" localSheetId="18">#REF!</definedName>
    <definedName name="CTTVW350">#REF!</definedName>
    <definedName name="CTTYC2" localSheetId="11">#REF!</definedName>
    <definedName name="CTTYC2" localSheetId="16">#REF!</definedName>
    <definedName name="CTTYC2" localSheetId="18">#REF!</definedName>
    <definedName name="CTTYC2">#REF!</definedName>
    <definedName name="CTTYC2A" localSheetId="11">#REF!</definedName>
    <definedName name="CTTYC2A" localSheetId="16">#REF!</definedName>
    <definedName name="CTTYC2A" localSheetId="18">#REF!</definedName>
    <definedName name="CTTYC2A">#REF!</definedName>
    <definedName name="CTTYC3C2" localSheetId="11">#REF!</definedName>
    <definedName name="CTTYC3C2" localSheetId="16">#REF!</definedName>
    <definedName name="CTTYC3C2" localSheetId="18">#REF!</definedName>
    <definedName name="CTTYC3C2">#REF!</definedName>
    <definedName name="CTTYC4" localSheetId="11">#REF!</definedName>
    <definedName name="CTTYC4" localSheetId="16">#REF!</definedName>
    <definedName name="CTTYC4" localSheetId="18">#REF!</definedName>
    <definedName name="CTTYC4">#REF!</definedName>
    <definedName name="CTTYS3C" localSheetId="11">#REF!</definedName>
    <definedName name="CTTYS3C" localSheetId="16">#REF!</definedName>
    <definedName name="CTTYS3C" localSheetId="18">#REF!</definedName>
    <definedName name="CTTYS3C">#REF!</definedName>
    <definedName name="CTTYS3W" localSheetId="11">#REF!</definedName>
    <definedName name="CTTYS3W" localSheetId="16">#REF!</definedName>
    <definedName name="CTTYS3W" localSheetId="18">#REF!</definedName>
    <definedName name="CTTYS3W">#REF!</definedName>
    <definedName name="CTUSCP">#N/A</definedName>
    <definedName name="CTUSTP">#N/A</definedName>
    <definedName name="CTVW240" localSheetId="11">#REF!</definedName>
    <definedName name="CTVW240" localSheetId="16">#REF!</definedName>
    <definedName name="CTVW240" localSheetId="18">#REF!</definedName>
    <definedName name="CTVW240">#REF!</definedName>
    <definedName name="CTVWGMPV" localSheetId="11">#REF!</definedName>
    <definedName name="CTVWGMPV" localSheetId="16">#REF!</definedName>
    <definedName name="CTVWGMPV" localSheetId="18">#REF!</definedName>
    <definedName name="CTVWGMPV">#REF!</definedName>
    <definedName name="CTVWGOL" localSheetId="11">#REF!</definedName>
    <definedName name="CTVWGOL" localSheetId="16">#REF!</definedName>
    <definedName name="CTVWGOL" localSheetId="18">#REF!</definedName>
    <definedName name="CTVWGOL">#REF!</definedName>
    <definedName name="CU_LY" localSheetId="11">#REF!</definedName>
    <definedName name="CU_LY" localSheetId="16">#REF!</definedName>
    <definedName name="CU_LY" localSheetId="18">#REF!</definedName>
    <definedName name="CU_LY">#REF!</definedName>
    <definedName name="cuoc_vc" localSheetId="11">#REF!</definedName>
    <definedName name="cuoc_vc" localSheetId="16">#REF!</definedName>
    <definedName name="cuoc_vc" localSheetId="18">#REF!</definedName>
    <definedName name="cuoc_vc">#REF!</definedName>
    <definedName name="Currency">[2]List!$D$2:$D$20</definedName>
    <definedName name="current" localSheetId="11">#REF!</definedName>
    <definedName name="current" localSheetId="16">#REF!</definedName>
    <definedName name="current" localSheetId="18">#REF!</definedName>
    <definedName name="current">#REF!</definedName>
    <definedName name="cx" localSheetId="11">#REF!</definedName>
    <definedName name="cx" localSheetId="16">#REF!</definedName>
    <definedName name="cx" localSheetId="18">#REF!</definedName>
    <definedName name="cx">#REF!</definedName>
    <definedName name="CY_PY" localSheetId="11">#REF!</definedName>
    <definedName name="CY_PY" localSheetId="16">#REF!</definedName>
    <definedName name="CY_PY" localSheetId="18">#REF!</definedName>
    <definedName name="CY_PY">#REF!</definedName>
    <definedName name="d" localSheetId="16">[6]Assembly!#REF!</definedName>
    <definedName name="d">#REF!</definedName>
    <definedName name="dam">78000</definedName>
    <definedName name="data" localSheetId="11">#REF!</definedName>
    <definedName name="data" localSheetId="16">#REF!</definedName>
    <definedName name="data" localSheetId="18">#REF!</definedName>
    <definedName name="data">#REF!</definedName>
    <definedName name="_xlnm.Database" localSheetId="11">#REF!</definedName>
    <definedName name="_xlnm.Database" localSheetId="16">#REF!</definedName>
    <definedName name="_xlnm.Database" localSheetId="18">#REF!</definedName>
    <definedName name="_xlnm.Database">#REF!</definedName>
    <definedName name="DBE" localSheetId="11">OFFSET(#REF!,0,0,COUNTA(#REF!),COUNTA(#REF!))</definedName>
    <definedName name="DBE" localSheetId="16">OFFSET(#REF!,0,0,COUNTA(#REF!),COUNTA(#REF!))</definedName>
    <definedName name="DBE" localSheetId="18">OFFSET(#REF!,0,0,COUNTA(#REF!),COUNTA(#REF!))</definedName>
    <definedName name="DBE">OFFSET(#REF!,0,0,COUNTA(#REF!),COUNTA(#REF!))</definedName>
    <definedName name="DBE_CH" localSheetId="16">INDEX(DBE,1, )</definedName>
    <definedName name="DBE_CH">INDEX(DBE,1, )</definedName>
    <definedName name="DBE_LnHdr" localSheetId="16">INDEX(DBE, ,MATCH("LnHdr",'Rej Trend'!DBE_CH,0))</definedName>
    <definedName name="DBE_LnHdr">INDEX(DBE, ,MATCH("LnHdr",DBE_CH,0))</definedName>
    <definedName name="DBE_Mnt" localSheetId="16">INDEX(DBE, ,MATCH("Month",'Rej Trend'!DBE_CH,0))</definedName>
    <definedName name="DBE_Mnt">INDEX(DBE, ,MATCH("Month",DBE_CH,0))</definedName>
    <definedName name="DBE_Unt" localSheetId="16">INDEX(DBE, ,MATCH("Unit",'Rej Trend'!DBE_CH,0))</definedName>
    <definedName name="DBE_Unt">INDEX(DBE, ,MATCH("Unit",DBE_CH,0))</definedName>
    <definedName name="DBF" localSheetId="11">OFFSET(#REF!,0,0,COUNTA(#REF!),COUNTA(#REF!))</definedName>
    <definedName name="DBF" localSheetId="16">OFFSET(#REF!,0,0,COUNTA(#REF!),COUNTA(#REF!))</definedName>
    <definedName name="DBF" localSheetId="18">OFFSET(#REF!,0,0,COUNTA(#REF!),COUNTA(#REF!))</definedName>
    <definedName name="DBF">OFFSET(#REF!,0,0,COUNTA(#REF!),COUNTA(#REF!))</definedName>
    <definedName name="DBF_CH" localSheetId="16">INDEX(DBF,1, )</definedName>
    <definedName name="DBF_CH">INDEX(DBF,1, )</definedName>
    <definedName name="DBF_LnHdr" localSheetId="16">INDEX(DBF, ,MATCH("LnHdr",'Rej Trend'!DBF_CH,0))</definedName>
    <definedName name="DBF_LnHdr">INDEX(DBF, ,MATCH("LnHdr",DBF_CH,0))</definedName>
    <definedName name="DBF_Mnt" localSheetId="16">INDEX(DBF, ,MATCH("Month",'Rej Trend'!DBF_CH,0))</definedName>
    <definedName name="DBF_Mnt">INDEX(DBF, ,MATCH("Month",DBF_CH,0))</definedName>
    <definedName name="DBF_Unt" localSheetId="16">INDEX(DBF, ,MATCH("Unit",'Rej Trend'!DBF_CH,0))</definedName>
    <definedName name="DBF_Unt">INDEX(DBF, ,MATCH("Unit",DBF_CH,0))</definedName>
    <definedName name="DBQ" localSheetId="11">OFFSET(#REF!,0,0,COUNTA(#REF!),COUNTA(#REF!))</definedName>
    <definedName name="DBQ" localSheetId="16">OFFSET(#REF!,0,0,COUNTA(#REF!),COUNTA(#REF!))</definedName>
    <definedName name="DBQ" localSheetId="18">OFFSET(#REF!,0,0,COUNTA(#REF!),COUNTA(#REF!))</definedName>
    <definedName name="DBQ">OFFSET(#REF!,0,0,COUNTA(#REF!),COUNTA(#REF!))</definedName>
    <definedName name="DBQ_CH" localSheetId="16">INDEX(DBQ,1, )</definedName>
    <definedName name="DBQ_CH">INDEX(DBQ,1, )</definedName>
    <definedName name="DBq_LnHdr" localSheetId="16">INDEX(DBQ, ,MATCH("LnHdr",'Rej Trend'!DBQ_CH,0))</definedName>
    <definedName name="DBq_LnHdr">INDEX(DBQ, ,MATCH("LnHdr",DBQ_CH,0))</definedName>
    <definedName name="DBQ_Mnt" localSheetId="16">INDEX(DBQ, ,MATCH("Month",'Rej Trend'!DBQ_CH,0))</definedName>
    <definedName name="DBQ_Mnt">INDEX(DBQ, ,MATCH("Month",DBQ_CH,0))</definedName>
    <definedName name="DBQ_Unt" localSheetId="16">INDEX(DBQ, ,MATCH("Unit",'Rej Trend'!DBQ_CH,0))</definedName>
    <definedName name="DBQ_Unt">INDEX(DBQ, ,MATCH("Unit",DBQ_CH,0))</definedName>
    <definedName name="den_bu" localSheetId="11">#REF!</definedName>
    <definedName name="den_bu" localSheetId="16">#REF!</definedName>
    <definedName name="den_bu" localSheetId="18">#REF!</definedName>
    <definedName name="den_bu">#REF!</definedName>
    <definedName name="denbu" localSheetId="11">#REF!</definedName>
    <definedName name="denbu" localSheetId="16">#REF!</definedName>
    <definedName name="denbu" localSheetId="18">#REF!</definedName>
    <definedName name="denbu">#REF!</definedName>
    <definedName name="depre" localSheetId="11">#REF!</definedName>
    <definedName name="depre" localSheetId="16">#REF!</definedName>
    <definedName name="depre" localSheetId="18">#REF!</definedName>
    <definedName name="depre">#REF!</definedName>
    <definedName name="Depreciation">[2]List!$H$2:$H$6</definedName>
    <definedName name="Desc" localSheetId="11">#REF!</definedName>
    <definedName name="Desc" localSheetId="16">#REF!</definedName>
    <definedName name="Desc" localSheetId="18">#REF!</definedName>
    <definedName name="Desc">#REF!</definedName>
    <definedName name="DETAIL" localSheetId="11">#REF!</definedName>
    <definedName name="DETAIL" localSheetId="16">#REF!</definedName>
    <definedName name="DETAIL" localSheetId="18">#REF!</definedName>
    <definedName name="DETAIL">#REF!</definedName>
    <definedName name="DETAIL2" localSheetId="11">#REF!</definedName>
    <definedName name="DETAIL2" localSheetId="16">#REF!</definedName>
    <definedName name="DETAIL2" localSheetId="18">#REF!</definedName>
    <definedName name="DETAIL2">#REF!</definedName>
    <definedName name="Details">[7]Master!$B$4:$U$33</definedName>
    <definedName name="df" localSheetId="11">#REF!</definedName>
    <definedName name="df" localSheetId="16">#REF!</definedName>
    <definedName name="df" localSheetId="18">#REF!</definedName>
    <definedName name="df">#REF!</definedName>
    <definedName name="DGCTI592" localSheetId="11">#REF!</definedName>
    <definedName name="DGCTI592" localSheetId="16">#REF!</definedName>
    <definedName name="DGCTI592" localSheetId="18">#REF!</definedName>
    <definedName name="DGCTI592">#REF!</definedName>
    <definedName name="dhom" localSheetId="11">#REF!</definedName>
    <definedName name="dhom" localSheetId="16">#REF!</definedName>
    <definedName name="dhom" localSheetId="18">#REF!</definedName>
    <definedName name="dhom">#REF!</definedName>
    <definedName name="DIS" localSheetId="11">#REF!</definedName>
    <definedName name="DIS" localSheetId="16">#REF!</definedName>
    <definedName name="DIS" localSheetId="18">#REF!</definedName>
    <definedName name="DIS">#REF!</definedName>
    <definedName name="DSUMDATA" localSheetId="11">#REF!</definedName>
    <definedName name="DSUMDATA" localSheetId="16">#REF!</definedName>
    <definedName name="DSUMDATA" localSheetId="18">#REF!</definedName>
    <definedName name="DSUMDATA">#REF!</definedName>
    <definedName name="duoi" localSheetId="11">#REF!</definedName>
    <definedName name="duoi" localSheetId="16">#REF!</definedName>
    <definedName name="duoi" localSheetId="18">#REF!</definedName>
    <definedName name="duoi">#REF!</definedName>
    <definedName name="DutoanDongmo" localSheetId="11">#REF!</definedName>
    <definedName name="DutoanDongmo" localSheetId="16">#REF!</definedName>
    <definedName name="DutoanDongmo" localSheetId="18">#REF!</definedName>
    <definedName name="DutoanDongmo">#REF!</definedName>
    <definedName name="dw" localSheetId="11">#REF!</definedName>
    <definedName name="dw" localSheetId="16">#REF!</definedName>
    <definedName name="dw" localSheetId="18">#REF!</definedName>
    <definedName name="dw">#REF!</definedName>
    <definedName name="e" localSheetId="11">#REF!</definedName>
    <definedName name="e" localSheetId="16">#REF!</definedName>
    <definedName name="e" localSheetId="18">#REF!</definedName>
    <definedName name="e">#REF!</definedName>
    <definedName name="ECON._ADJ." localSheetId="11">#REF!</definedName>
    <definedName name="ECON._ADJ." localSheetId="16">#REF!</definedName>
    <definedName name="ECON._ADJ." localSheetId="18">#REF!</definedName>
    <definedName name="ECON._ADJ.">#REF!</definedName>
    <definedName name="EDIT__END__LEFT__DEL___DOWN" localSheetId="11">#REF!</definedName>
    <definedName name="EDIT__END__LEFT__DEL___DOWN" localSheetId="16">#REF!</definedName>
    <definedName name="EDIT__END__LEFT__DEL___DOWN" localSheetId="18">#REF!</definedName>
    <definedName name="EDIT__END__LEFT__DEL___DOWN">#REF!</definedName>
    <definedName name="EF" localSheetId="11">#REF!</definedName>
    <definedName name="EF" localSheetId="16">#REF!</definedName>
    <definedName name="EF" localSheetId="18">#REF!</definedName>
    <definedName name="EF">#REF!</definedName>
    <definedName name="Elx" localSheetId="11">#REF!,#REF!,#REF!,#REF!,#REF!,#REF!,#REF!,#REF!,#REF!</definedName>
    <definedName name="Elx" localSheetId="16">#REF!,#REF!,#REF!,#REF!,#REF!,#REF!,#REF!,#REF!,#REF!</definedName>
    <definedName name="Elx" localSheetId="18">#REF!,#REF!,#REF!,#REF!,#REF!,#REF!,#REF!,#REF!,#REF!</definedName>
    <definedName name="Elx">#REF!,#REF!,#REF!,#REF!,#REF!,#REF!,#REF!,#REF!,#REF!</definedName>
    <definedName name="End_1" localSheetId="11">#REF!</definedName>
    <definedName name="End_1" localSheetId="16">#REF!</definedName>
    <definedName name="End_1" localSheetId="18">#REF!</definedName>
    <definedName name="End_1">#REF!</definedName>
    <definedName name="End_10" localSheetId="11">#REF!</definedName>
    <definedName name="End_10" localSheetId="16">#REF!</definedName>
    <definedName name="End_10" localSheetId="18">#REF!</definedName>
    <definedName name="End_10">#REF!</definedName>
    <definedName name="End_11" localSheetId="11">#REF!</definedName>
    <definedName name="End_11" localSheetId="16">#REF!</definedName>
    <definedName name="End_11" localSheetId="18">#REF!</definedName>
    <definedName name="End_11">#REF!</definedName>
    <definedName name="End_12" localSheetId="11">#REF!</definedName>
    <definedName name="End_12" localSheetId="16">#REF!</definedName>
    <definedName name="End_12" localSheetId="18">#REF!</definedName>
    <definedName name="End_12">#REF!</definedName>
    <definedName name="End_13" localSheetId="11">#REF!</definedName>
    <definedName name="End_13" localSheetId="16">#REF!</definedName>
    <definedName name="End_13" localSheetId="18">#REF!</definedName>
    <definedName name="End_13">#REF!</definedName>
    <definedName name="End_2" localSheetId="11">#REF!</definedName>
    <definedName name="End_2" localSheetId="16">#REF!</definedName>
    <definedName name="End_2" localSheetId="18">#REF!</definedName>
    <definedName name="End_2">#REF!</definedName>
    <definedName name="End_3" localSheetId="11">#REF!</definedName>
    <definedName name="End_3" localSheetId="16">#REF!</definedName>
    <definedName name="End_3" localSheetId="18">#REF!</definedName>
    <definedName name="End_3">#REF!</definedName>
    <definedName name="End_4" localSheetId="11">#REF!</definedName>
    <definedName name="End_4" localSheetId="16">#REF!</definedName>
    <definedName name="End_4" localSheetId="18">#REF!</definedName>
    <definedName name="End_4">#REF!</definedName>
    <definedName name="End_5" localSheetId="11">#REF!</definedName>
    <definedName name="End_5" localSheetId="16">#REF!</definedName>
    <definedName name="End_5" localSheetId="18">#REF!</definedName>
    <definedName name="End_5">#REF!</definedName>
    <definedName name="End_6" localSheetId="11">#REF!</definedName>
    <definedName name="End_6" localSheetId="16">#REF!</definedName>
    <definedName name="End_6" localSheetId="18">#REF!</definedName>
    <definedName name="End_6">#REF!</definedName>
    <definedName name="End_7" localSheetId="11">#REF!</definedName>
    <definedName name="End_7" localSheetId="16">#REF!</definedName>
    <definedName name="End_7" localSheetId="18">#REF!</definedName>
    <definedName name="End_7">#REF!</definedName>
    <definedName name="End_8" localSheetId="11">#REF!</definedName>
    <definedName name="End_8" localSheetId="16">#REF!</definedName>
    <definedName name="End_8" localSheetId="18">#REF!</definedName>
    <definedName name="End_8">#REF!</definedName>
    <definedName name="End_9" localSheetId="11">#REF!</definedName>
    <definedName name="End_9" localSheetId="16">#REF!</definedName>
    <definedName name="End_9" localSheetId="18">#REF!</definedName>
    <definedName name="End_9">#REF!</definedName>
    <definedName name="ENGINEERING__DEPARTMENT" localSheetId="11">#REF!</definedName>
    <definedName name="ENGINEERING__DEPARTMENT" localSheetId="16">#REF!</definedName>
    <definedName name="ENGINEERING__DEPARTMENT" localSheetId="18">#REF!</definedName>
    <definedName name="ENGINEERING__DEPARTMENT">#REF!</definedName>
    <definedName name="Entity" localSheetId="11">#REF!</definedName>
    <definedName name="Entity" localSheetId="16">#REF!</definedName>
    <definedName name="Entity" localSheetId="18">#REF!</definedName>
    <definedName name="Entity">#REF!</definedName>
    <definedName name="EX" localSheetId="11">#REF!</definedName>
    <definedName name="EX" localSheetId="16">#REF!</definedName>
    <definedName name="EX" localSheetId="18">#REF!</definedName>
    <definedName name="EX">#REF!</definedName>
    <definedName name="ExactAddinConnection" hidden="1">"200"</definedName>
    <definedName name="ExactAddinConnection.200" hidden="1">"MACSRV;200;hliu;1"</definedName>
    <definedName name="EXC" localSheetId="11">#REF!</definedName>
    <definedName name="EXC" localSheetId="16">#REF!</definedName>
    <definedName name="EXC" localSheetId="18">#REF!</definedName>
    <definedName name="EXC">#REF!</definedName>
    <definedName name="Excel_BuiltIn__FilterDatabase_1" localSheetId="11">#REF!</definedName>
    <definedName name="Excel_BuiltIn__FilterDatabase_1" localSheetId="16">#REF!</definedName>
    <definedName name="Excel_BuiltIn__FilterDatabase_1" localSheetId="18">#REF!</definedName>
    <definedName name="Excel_BuiltIn__FilterDatabase_1">#REF!</definedName>
    <definedName name="Excel_BuiltIn__FilterDatabase_2" localSheetId="11">#REF!</definedName>
    <definedName name="Excel_BuiltIn__FilterDatabase_2" localSheetId="16">#REF!</definedName>
    <definedName name="Excel_BuiltIn__FilterDatabase_2" localSheetId="18">#REF!</definedName>
    <definedName name="Excel_BuiltIn__FilterDatabase_2">#REF!</definedName>
    <definedName name="Excel_BuiltIn_Print_Area_1" localSheetId="11">#REF!</definedName>
    <definedName name="Excel_BuiltIn_Print_Area_1" localSheetId="16">#REF!</definedName>
    <definedName name="Excel_BuiltIn_Print_Area_1" localSheetId="18">#REF!</definedName>
    <definedName name="Excel_BuiltIn_Print_Area_1">#REF!</definedName>
    <definedName name="EXCH" localSheetId="11">#REF!</definedName>
    <definedName name="EXCH" localSheetId="16">#REF!</definedName>
    <definedName name="EXCH" localSheetId="18">#REF!</definedName>
    <definedName name="EXCH">#REF!</definedName>
    <definedName name="Expenses" localSheetId="11">#REF!</definedName>
    <definedName name="Expenses" localSheetId="16">#REF!</definedName>
    <definedName name="Expenses" localSheetId="18">#REF!</definedName>
    <definedName name="Expenses">#REF!</definedName>
    <definedName name="EXPORT" localSheetId="11">#REF!</definedName>
    <definedName name="EXPORT" localSheetId="16">#REF!</definedName>
    <definedName name="EXPORT" localSheetId="18">#REF!</definedName>
    <definedName name="EXPORT">#REF!</definedName>
    <definedName name="_xlnm.Extract" localSheetId="11">#REF!</definedName>
    <definedName name="_xlnm.Extract" localSheetId="16">#REF!</definedName>
    <definedName name="_xlnm.Extract" localSheetId="18">#REF!</definedName>
    <definedName name="_xlnm.Extract">#REF!</definedName>
    <definedName name="F" localSheetId="11">#REF!</definedName>
    <definedName name="F" localSheetId="16">#REF!</definedName>
    <definedName name="F" localSheetId="18">#REF!</definedName>
    <definedName name="F">#REF!</definedName>
    <definedName name="FAXNO" localSheetId="11">#REF!</definedName>
    <definedName name="FAXNO" localSheetId="16">#REF!</definedName>
    <definedName name="FAXNO" localSheetId="18">#REF!</definedName>
    <definedName name="FAXNO">#REF!</definedName>
    <definedName name="FC5_total" localSheetId="11">#REF!</definedName>
    <definedName name="FC5_total" localSheetId="16">#REF!</definedName>
    <definedName name="FC5_total" localSheetId="18">#REF!</definedName>
    <definedName name="FC5_total">#REF!</definedName>
    <definedName name="FC6_total" localSheetId="11">#REF!</definedName>
    <definedName name="FC6_total" localSheetId="16">#REF!</definedName>
    <definedName name="FC6_total" localSheetId="18">#REF!</definedName>
    <definedName name="FC6_total">#REF!</definedName>
    <definedName name="ff_ap" localSheetId="11">#REF!</definedName>
    <definedName name="ff_ap" localSheetId="16">#REF!</definedName>
    <definedName name="ff_ap" localSheetId="18">#REF!</definedName>
    <definedName name="ff_ap">#REF!</definedName>
    <definedName name="ff_AR" localSheetId="11">#REF!</definedName>
    <definedName name="ff_AR" localSheetId="16">#REF!</definedName>
    <definedName name="ff_AR" localSheetId="18">#REF!</definedName>
    <definedName name="ff_AR">#REF!</definedName>
    <definedName name="ff_Inv" localSheetId="11">#REF!</definedName>
    <definedName name="ff_Inv" localSheetId="16">#REF!</definedName>
    <definedName name="ff_Inv" localSheetId="18">#REF!</definedName>
    <definedName name="ff_Inv">#REF!</definedName>
    <definedName name="finexp" localSheetId="11">#REF!</definedName>
    <definedName name="finexp" localSheetId="16">#REF!</definedName>
    <definedName name="finexp" localSheetId="18">#REF!</definedName>
    <definedName name="finexp">#REF!</definedName>
    <definedName name="FixIndex3_1" localSheetId="16">#REF!</definedName>
    <definedName name="FixIndex3_1">#REF!</definedName>
    <definedName name="FixIndex4_1" localSheetId="16">#REF!</definedName>
    <definedName name="FixIndex4_1">#REF!</definedName>
    <definedName name="FixIndex6_1" localSheetId="16">#REF!</definedName>
    <definedName name="FixIndex6_1">#REF!</definedName>
    <definedName name="FMCCP">#N/A</definedName>
    <definedName name="FMCTP">#N/A</definedName>
    <definedName name="FMMCP">#N/A</definedName>
    <definedName name="FMMTP">#N/A</definedName>
    <definedName name="FMUSCP">#N/A</definedName>
    <definedName name="FMUSTP">#N/A</definedName>
    <definedName name="FOUR02" localSheetId="11">#REF!</definedName>
    <definedName name="FOUR02" localSheetId="16">#REF!</definedName>
    <definedName name="FOUR02" localSheetId="18">#REF!</definedName>
    <definedName name="FOUR02">#REF!</definedName>
    <definedName name="FOUR03" localSheetId="11">#REF!</definedName>
    <definedName name="FOUR03" localSheetId="16">#REF!</definedName>
    <definedName name="FOUR03" localSheetId="18">#REF!</definedName>
    <definedName name="FOUR03">#REF!</definedName>
    <definedName name="FOUR04" localSheetId="11">#REF!</definedName>
    <definedName name="FOUR04" localSheetId="16">#REF!</definedName>
    <definedName name="FOUR04" localSheetId="18">#REF!</definedName>
    <definedName name="FOUR04">#REF!</definedName>
    <definedName name="FOUR05" localSheetId="11">#REF!</definedName>
    <definedName name="FOUR05" localSheetId="16">#REF!</definedName>
    <definedName name="FOUR05" localSheetId="18">#REF!</definedName>
    <definedName name="FOUR05">#REF!</definedName>
    <definedName name="FOUR06" localSheetId="11">#REF!</definedName>
    <definedName name="FOUR06" localSheetId="16">#REF!</definedName>
    <definedName name="FOUR06" localSheetId="18">#REF!</definedName>
    <definedName name="FOUR06">#REF!</definedName>
    <definedName name="FOUR07" localSheetId="11">#REF!</definedName>
    <definedName name="FOUR07" localSheetId="16">#REF!</definedName>
    <definedName name="FOUR07" localSheetId="18">#REF!</definedName>
    <definedName name="FOUR07">#REF!</definedName>
    <definedName name="FOUR08" localSheetId="11">#REF!</definedName>
    <definedName name="FOUR08" localSheetId="16">#REF!</definedName>
    <definedName name="FOUR08" localSheetId="18">#REF!</definedName>
    <definedName name="FOUR08">#REF!</definedName>
    <definedName name="FOUR09" localSheetId="11">#REF!</definedName>
    <definedName name="FOUR09" localSheetId="16">#REF!</definedName>
    <definedName name="FOUR09" localSheetId="18">#REF!</definedName>
    <definedName name="FOUR09">#REF!</definedName>
    <definedName name="FTC" localSheetId="11">#REF!</definedName>
    <definedName name="FTC" localSheetId="16">#REF!</definedName>
    <definedName name="FTC" localSheetId="18">#REF!</definedName>
    <definedName name="FTC">#REF!</definedName>
    <definedName name="FUND" localSheetId="11">#REF!</definedName>
    <definedName name="FUND" localSheetId="16">#REF!</definedName>
    <definedName name="FUND" localSheetId="18">#REF!</definedName>
    <definedName name="FUND">#REF!</definedName>
    <definedName name="FUND2" localSheetId="11">#REF!</definedName>
    <definedName name="FUND2" localSheetId="16">#REF!</definedName>
    <definedName name="FUND2" localSheetId="18">#REF!</definedName>
    <definedName name="FUND2">#REF!</definedName>
    <definedName name="fund3" localSheetId="11">#REF!</definedName>
    <definedName name="fund3" localSheetId="16">#REF!</definedName>
    <definedName name="fund3" localSheetId="18">#REF!</definedName>
    <definedName name="fund3">#REF!</definedName>
    <definedName name="ghip" localSheetId="11">#REF!</definedName>
    <definedName name="ghip" localSheetId="16">#REF!</definedName>
    <definedName name="ghip" localSheetId="18">#REF!</definedName>
    <definedName name="ghip">#REF!</definedName>
    <definedName name="gia" localSheetId="11">#REF!</definedName>
    <definedName name="gia" localSheetId="16">#REF!</definedName>
    <definedName name="gia" localSheetId="18">#REF!</definedName>
    <definedName name="gia">#REF!</definedName>
    <definedName name="gia_tien" localSheetId="11">#REF!</definedName>
    <definedName name="gia_tien" localSheetId="16">#REF!</definedName>
    <definedName name="gia_tien" localSheetId="18">#REF!</definedName>
    <definedName name="gia_tien">#REF!</definedName>
    <definedName name="gia_tien_BTN" localSheetId="11">#REF!</definedName>
    <definedName name="gia_tien_BTN" localSheetId="16">#REF!</definedName>
    <definedName name="gia_tien_BTN" localSheetId="18">#REF!</definedName>
    <definedName name="gia_tien_BTN">#REF!</definedName>
    <definedName name="GMCCP">#N/A</definedName>
    <definedName name="GMCTP">#N/A</definedName>
    <definedName name="GMMCP">#N/A</definedName>
    <definedName name="GMMTP">#N/A</definedName>
    <definedName name="GMUSCP">#N/A</definedName>
    <definedName name="GMUSTP">#N/A</definedName>
    <definedName name="Group">[8]Definition!$B$3:$B$36</definedName>
    <definedName name="gt" localSheetId="11">#REF!</definedName>
    <definedName name="gt" localSheetId="16">#REF!</definedName>
    <definedName name="gt" localSheetId="18">#REF!</definedName>
    <definedName name="gt">#REF!</definedName>
    <definedName name="h_m4" localSheetId="11">#REF!</definedName>
    <definedName name="h_m4" localSheetId="16">#REF!</definedName>
    <definedName name="h_m4" localSheetId="18">#REF!</definedName>
    <definedName name="h_m4">#REF!</definedName>
    <definedName name="HF" localSheetId="11">#REF!</definedName>
    <definedName name="HF" localSheetId="16">#REF!</definedName>
    <definedName name="HF" localSheetId="18">#REF!</definedName>
    <definedName name="HF">#REF!</definedName>
    <definedName name="HHcat" localSheetId="11">#REF!</definedName>
    <definedName name="HHcat" localSheetId="16">#REF!</definedName>
    <definedName name="HHcat" localSheetId="18">#REF!</definedName>
    <definedName name="HHcat">#REF!</definedName>
    <definedName name="HHda" localSheetId="11">#REF!</definedName>
    <definedName name="HHda" localSheetId="16">#REF!</definedName>
    <definedName name="HHda" localSheetId="18">#REF!</definedName>
    <definedName name="HHda">#REF!</definedName>
    <definedName name="HHL" localSheetId="11">#REF!</definedName>
    <definedName name="HHL" localSheetId="16">#REF!</definedName>
    <definedName name="HHL" localSheetId="18">#REF!</definedName>
    <definedName name="HHL">#REF!</definedName>
    <definedName name="HHxm" localSheetId="11">#REF!</definedName>
    <definedName name="HHxm" localSheetId="16">#REF!</definedName>
    <definedName name="HHxm" localSheetId="18">#REF!</definedName>
    <definedName name="HHxm">#REF!</definedName>
    <definedName name="hien" localSheetId="11">#REF!</definedName>
    <definedName name="hien" localSheetId="16">#REF!</definedName>
    <definedName name="hien" localSheetId="18">#REF!</definedName>
    <definedName name="hien">#REF!</definedName>
    <definedName name="HL" localSheetId="11">#REF!</definedName>
    <definedName name="HL" localSheetId="16">#REF!</definedName>
    <definedName name="HL" localSheetId="18">#REF!</definedName>
    <definedName name="HL">#REF!</definedName>
    <definedName name="HO" localSheetId="11">#REF!</definedName>
    <definedName name="HO" localSheetId="16">#REF!</definedName>
    <definedName name="HO" localSheetId="18">#REF!</definedName>
    <definedName name="HO">#REF!</definedName>
    <definedName name="hoc">55000</definedName>
    <definedName name="HOME_MANP" localSheetId="11">#REF!</definedName>
    <definedName name="HOME_MANP" localSheetId="16">#REF!</definedName>
    <definedName name="HOME_MANP" localSheetId="18">#REF!</definedName>
    <definedName name="HOME_MANP">#REF!</definedName>
    <definedName name="HOMEOFFICE_COST" localSheetId="11">#REF!</definedName>
    <definedName name="HOMEOFFICE_COST" localSheetId="16">#REF!</definedName>
    <definedName name="HOMEOFFICE_COST" localSheetId="18">#REF!</definedName>
    <definedName name="HOMEOFFICE_COST">#REF!</definedName>
    <definedName name="hrapr99" localSheetId="11">#REF!</definedName>
    <definedName name="hrapr99" localSheetId="16">#REF!</definedName>
    <definedName name="hrapr99" localSheetId="18">#REF!</definedName>
    <definedName name="hrapr99">#REF!</definedName>
    <definedName name="HTML_CodePage" hidden="1">1252</definedName>
    <definedName name="HTML_Control" localSheetId="11" hidden="1">{"'Summary'!$A$1:$AF$43"}</definedName>
    <definedName name="HTML_Control" localSheetId="16" hidden="1">{"'Summary'!$A$1:$AF$43"}</definedName>
    <definedName name="HTML_Control" localSheetId="18" hidden="1">{"'Summary'!$A$1:$AF$43"}</definedName>
    <definedName name="HTML_Control" hidden="1">{"'Summary'!$A$1:$AF$43"}</definedName>
    <definedName name="HTML_Description" hidden="1">"Summary Report"</definedName>
    <definedName name="HTML_Email" hidden="1">""</definedName>
    <definedName name="HTML_Header" hidden="1">"Summary"</definedName>
    <definedName name="HTML_LastUpdate" hidden="1">"25/09/01"</definedName>
    <definedName name="HTML_LineAfter" hidden="1">FALSE</definedName>
    <definedName name="HTML_LineBefore" hidden="1">FALSE</definedName>
    <definedName name="HTML_Name" hidden="1">"CHETAN"</definedName>
    <definedName name="HTML_OBDlg2" hidden="1">TRUE</definedName>
    <definedName name="HTML_OBDlg4" hidden="1">TRUE</definedName>
    <definedName name="HTML_OS" hidden="1">0</definedName>
    <definedName name="HTML_PathFile" hidden="1">"D:\MyHTML.htm"</definedName>
    <definedName name="HTML_Title" hidden="1">"DPR-MIS-September"</definedName>
    <definedName name="huy" localSheetId="11" hidden="1">{"'Sheet1'!$L$16"}</definedName>
    <definedName name="huy" localSheetId="16" hidden="1">{"'Sheet1'!$L$16"}</definedName>
    <definedName name="huy" localSheetId="18" hidden="1">{"'Sheet1'!$L$16"}</definedName>
    <definedName name="huy" hidden="1">{"'Sheet1'!$L$16"}</definedName>
    <definedName name="IDLAB_COST" localSheetId="11">#REF!</definedName>
    <definedName name="IDLAB_COST" localSheetId="16">#REF!</definedName>
    <definedName name="IDLAB_COST" localSheetId="18">#REF!</definedName>
    <definedName name="IDLAB_COST">#REF!</definedName>
    <definedName name="in" localSheetId="11">#REF!</definedName>
    <definedName name="in" localSheetId="16">#REF!</definedName>
    <definedName name="in" localSheetId="18">#REF!</definedName>
    <definedName name="in">#REF!</definedName>
    <definedName name="incomestat" localSheetId="11">#REF!</definedName>
    <definedName name="incomestat" localSheetId="16">#REF!</definedName>
    <definedName name="incomestat" localSheetId="18">#REF!</definedName>
    <definedName name="incomestat">#REF!</definedName>
    <definedName name="INDMANP" localSheetId="11">#REF!</definedName>
    <definedName name="INDMANP" localSheetId="16">#REF!</definedName>
    <definedName name="INDMANP" localSheetId="18">#REF!</definedName>
    <definedName name="INDMANP">#REF!</definedName>
    <definedName name="INPUT" localSheetId="11">#REF!</definedName>
    <definedName name="INPUT" localSheetId="16">#REF!</definedName>
    <definedName name="INPUT" localSheetId="18">#REF!</definedName>
    <definedName name="INPUT">#REF!</definedName>
    <definedName name="input2_1" localSheetId="16">#REF!</definedName>
    <definedName name="input2_1">#REF!</definedName>
    <definedName name="input4_1" localSheetId="16">#REF!</definedName>
    <definedName name="input4_1">#REF!</definedName>
    <definedName name="input6_1" localSheetId="16">#REF!</definedName>
    <definedName name="input6_1">#REF!</definedName>
    <definedName name="input74_1" localSheetId="16">#REF!</definedName>
    <definedName name="input74_1">#REF!</definedName>
    <definedName name="INT" localSheetId="11">#REF!</definedName>
    <definedName name="INT" localSheetId="16">#REF!</definedName>
    <definedName name="INT" localSheetId="18">#REF!</definedName>
    <definedName name="INT">#REF!</definedName>
    <definedName name="IntFS" localSheetId="16">#REF!</definedName>
    <definedName name="IntFS">#REF!</definedName>
    <definedName name="intoct">'[9]INT-FS'!$A$4:$B$57</definedName>
    <definedName name="IntSales" localSheetId="16">#REF!</definedName>
    <definedName name="IntSales">#REF!</definedName>
    <definedName name="INTT" localSheetId="11">#REF!</definedName>
    <definedName name="INTT" localSheetId="16">#REF!</definedName>
    <definedName name="INTT" localSheetId="18">#REF!</definedName>
    <definedName name="INTT">#REF!</definedName>
    <definedName name="INVEST" localSheetId="11">#REF!</definedName>
    <definedName name="INVEST" localSheetId="16">#REF!</definedName>
    <definedName name="INVEST" localSheetId="18">#REF!</definedName>
    <definedName name="INVEST">#REF!</definedName>
    <definedName name="INVSTMNT" localSheetId="11">#REF!</definedName>
    <definedName name="INVSTMNT" localSheetId="16">#REF!</definedName>
    <definedName name="INVSTMNT" localSheetId="18">#REF!</definedName>
    <definedName name="INVSTMNT">#REF!</definedName>
    <definedName name="IPL" localSheetId="16">[10]NPLC!#REF!</definedName>
    <definedName name="IPL">[10]NPLC!#REF!</definedName>
    <definedName name="ISVITM">'[9]L-Sale'!$C$74:$O$77</definedName>
    <definedName name="ISVYTD">'[9]L-Sale'!$C$101:$O$104</definedName>
    <definedName name="IT" localSheetId="11">#REF!</definedName>
    <definedName name="IT" localSheetId="16">#REF!</definedName>
    <definedName name="IT" localSheetId="18">#REF!</definedName>
    <definedName name="IT">#REF!</definedName>
    <definedName name="itemcode" localSheetId="16">#REF!</definedName>
    <definedName name="itemcode" localSheetId="18">'[11]Item Master'!$C$2:$C$65536</definedName>
    <definedName name="itemcode">#REF!</definedName>
    <definedName name="itemlist" localSheetId="16">#REF!</definedName>
    <definedName name="itemlist" localSheetId="18">'[11]Item Master'!$B$2:$B$65536</definedName>
    <definedName name="itemlist">#REF!</definedName>
    <definedName name="IUMtx" localSheetId="11">#REF!</definedName>
    <definedName name="IUMtx" localSheetId="16">#REF!</definedName>
    <definedName name="IUMtx" localSheetId="18">#REF!</definedName>
    <definedName name="IUMtx">#REF!</definedName>
    <definedName name="Jan_Jun_04_Data_Base" localSheetId="11">#REF!</definedName>
    <definedName name="Jan_Jun_04_Data_Base" localSheetId="16">#REF!</definedName>
    <definedName name="Jan_Jun_04_Data_Base" localSheetId="18">#REF!</definedName>
    <definedName name="Jan_Jun_04_Data_Base">#REF!</definedName>
    <definedName name="JK100001362" localSheetId="11">#REF!</definedName>
    <definedName name="JK100001362" localSheetId="16">#REF!</definedName>
    <definedName name="JK100001362" localSheetId="18">#REF!</definedName>
    <definedName name="JK100001362">#REF!</definedName>
    <definedName name="JK100001365" localSheetId="11">#REF!</definedName>
    <definedName name="JK100001365" localSheetId="16">#REF!</definedName>
    <definedName name="JK100001365" localSheetId="18">#REF!</definedName>
    <definedName name="JK100001365">#REF!</definedName>
    <definedName name="JK100001462" localSheetId="11">#REF!</definedName>
    <definedName name="JK100001462" localSheetId="16">#REF!</definedName>
    <definedName name="JK100001462" localSheetId="18">#REF!</definedName>
    <definedName name="JK100001462">#REF!</definedName>
    <definedName name="JK100001466" localSheetId="11">#REF!</definedName>
    <definedName name="JK100001466" localSheetId="16">#REF!</definedName>
    <definedName name="JK100001466" localSheetId="18">#REF!</definedName>
    <definedName name="JK100001466">#REF!</definedName>
    <definedName name="JK100001467" localSheetId="11">#REF!</definedName>
    <definedName name="JK100001467" localSheetId="16">#REF!</definedName>
    <definedName name="JK100001467" localSheetId="18">#REF!</definedName>
    <definedName name="JK100001467">#REF!</definedName>
    <definedName name="JK100001485" localSheetId="11">#REF!</definedName>
    <definedName name="JK100001485" localSheetId="16">#REF!</definedName>
    <definedName name="JK100001485" localSheetId="18">#REF!</definedName>
    <definedName name="JK100001485">#REF!</definedName>
    <definedName name="JK100001495" localSheetId="11">#REF!</definedName>
    <definedName name="JK100001495" localSheetId="16">#REF!</definedName>
    <definedName name="JK100001495" localSheetId="18">#REF!</definedName>
    <definedName name="JK100001495">#REF!</definedName>
    <definedName name="JK100001497" localSheetId="11">#REF!</definedName>
    <definedName name="JK100001497" localSheetId="16">#REF!</definedName>
    <definedName name="JK100001497" localSheetId="18">#REF!</definedName>
    <definedName name="JK100001497">#REF!</definedName>
    <definedName name="JK100001502" localSheetId="11">#REF!</definedName>
    <definedName name="JK100001502" localSheetId="16">#REF!</definedName>
    <definedName name="JK100001502" localSheetId="18">#REF!</definedName>
    <definedName name="JK100001502">#REF!</definedName>
    <definedName name="JK10000600" localSheetId="11">#REF!</definedName>
    <definedName name="JK10000600" localSheetId="16">#REF!</definedName>
    <definedName name="JK10000600" localSheetId="18">#REF!</definedName>
    <definedName name="JK10000600">#REF!</definedName>
    <definedName name="JK10000601" localSheetId="11">#REF!</definedName>
    <definedName name="JK10000601" localSheetId="16">#REF!</definedName>
    <definedName name="JK10000601" localSheetId="18">#REF!</definedName>
    <definedName name="JK10000601">#REF!</definedName>
    <definedName name="JK10000636" localSheetId="11">#REF!</definedName>
    <definedName name="JK10000636" localSheetId="16">#REF!</definedName>
    <definedName name="JK10000636" localSheetId="18">#REF!</definedName>
    <definedName name="JK10000636">#REF!</definedName>
    <definedName name="JK10000642" localSheetId="11">#REF!</definedName>
    <definedName name="JK10000642" localSheetId="16">#REF!</definedName>
    <definedName name="JK10000642" localSheetId="18">#REF!</definedName>
    <definedName name="JK10000642">#REF!</definedName>
    <definedName name="JK10000644" localSheetId="11">#REF!</definedName>
    <definedName name="JK10000644" localSheetId="16">#REF!</definedName>
    <definedName name="JK10000644" localSheetId="18">#REF!</definedName>
    <definedName name="JK10000644">#REF!</definedName>
    <definedName name="JK10000645" localSheetId="11">#REF!</definedName>
    <definedName name="JK10000645" localSheetId="16">#REF!</definedName>
    <definedName name="JK10000645" localSheetId="18">#REF!</definedName>
    <definedName name="JK10000645">#REF!</definedName>
    <definedName name="JK10000704" localSheetId="11">#REF!</definedName>
    <definedName name="JK10000704" localSheetId="16">#REF!</definedName>
    <definedName name="JK10000704" localSheetId="18">#REF!</definedName>
    <definedName name="JK10000704">#REF!</definedName>
    <definedName name="JK10000725" localSheetId="11">#REF!</definedName>
    <definedName name="JK10000725" localSheetId="16">#REF!</definedName>
    <definedName name="JK10000725" localSheetId="18">#REF!</definedName>
    <definedName name="JK10000725">#REF!</definedName>
    <definedName name="JK10000813" localSheetId="11">#REF!</definedName>
    <definedName name="JK10000813" localSheetId="16">#REF!</definedName>
    <definedName name="JK10000813" localSheetId="18">#REF!</definedName>
    <definedName name="JK10000813">#REF!</definedName>
    <definedName name="JK10002356" localSheetId="11">#REF!</definedName>
    <definedName name="JK10002356" localSheetId="16">#REF!</definedName>
    <definedName name="JK10002356" localSheetId="18">#REF!</definedName>
    <definedName name="JK10002356">#REF!</definedName>
    <definedName name="JK10002358" localSheetId="11">#REF!</definedName>
    <definedName name="JK10002358" localSheetId="16">#REF!</definedName>
    <definedName name="JK10002358" localSheetId="18">#REF!</definedName>
    <definedName name="JK10002358">#REF!</definedName>
    <definedName name="JK10002371" localSheetId="11">#REF!</definedName>
    <definedName name="JK10002371" localSheetId="16">#REF!</definedName>
    <definedName name="JK10002371" localSheetId="18">#REF!</definedName>
    <definedName name="JK10002371">#REF!</definedName>
    <definedName name="JK10002375" localSheetId="11">#REF!</definedName>
    <definedName name="JK10002375" localSheetId="16">#REF!</definedName>
    <definedName name="JK10002375" localSheetId="18">#REF!</definedName>
    <definedName name="JK10002375">#REF!</definedName>
    <definedName name="JK10002378" localSheetId="11">#REF!</definedName>
    <definedName name="JK10002378" localSheetId="16">#REF!</definedName>
    <definedName name="JK10002378" localSheetId="18">#REF!</definedName>
    <definedName name="JK10002378">#REF!</definedName>
    <definedName name="JK10002398" localSheetId="11">#REF!</definedName>
    <definedName name="JK10002398" localSheetId="16">#REF!</definedName>
    <definedName name="JK10002398" localSheetId="18">#REF!</definedName>
    <definedName name="JK10002398">#REF!</definedName>
    <definedName name="JK10002401" localSheetId="11">#REF!</definedName>
    <definedName name="JK10002401" localSheetId="16">#REF!</definedName>
    <definedName name="JK10002401" localSheetId="18">#REF!</definedName>
    <definedName name="JK10002401">#REF!</definedName>
    <definedName name="JK10002404" localSheetId="11">#REF!</definedName>
    <definedName name="JK10002404" localSheetId="16">#REF!</definedName>
    <definedName name="JK10002404" localSheetId="18">#REF!</definedName>
    <definedName name="JK10002404">#REF!</definedName>
    <definedName name="JK10002407" localSheetId="11">#REF!</definedName>
    <definedName name="JK10002407" localSheetId="16">#REF!</definedName>
    <definedName name="JK10002407" localSheetId="18">#REF!</definedName>
    <definedName name="JK10002407">#REF!</definedName>
    <definedName name="JK10002409" localSheetId="11">#REF!</definedName>
    <definedName name="JK10002409" localSheetId="16">#REF!</definedName>
    <definedName name="JK10002409" localSheetId="18">#REF!</definedName>
    <definedName name="JK10002409">#REF!</definedName>
    <definedName name="JK10002410" localSheetId="11">#REF!</definedName>
    <definedName name="JK10002410" localSheetId="16">#REF!</definedName>
    <definedName name="JK10002410" localSheetId="18">#REF!</definedName>
    <definedName name="JK10002410">#REF!</definedName>
    <definedName name="JK10002414" localSheetId="11">#REF!</definedName>
    <definedName name="JK10002414" localSheetId="16">#REF!</definedName>
    <definedName name="JK10002414" localSheetId="18">#REF!</definedName>
    <definedName name="JK10002414">#REF!</definedName>
    <definedName name="JK10002944" localSheetId="11">#REF!</definedName>
    <definedName name="JK10002944" localSheetId="16">#REF!</definedName>
    <definedName name="JK10002944" localSheetId="18">#REF!</definedName>
    <definedName name="JK10002944">#REF!</definedName>
    <definedName name="JK10003822" localSheetId="11">#REF!</definedName>
    <definedName name="JK10003822" localSheetId="16">#REF!</definedName>
    <definedName name="JK10003822" localSheetId="18">#REF!</definedName>
    <definedName name="JK10003822">#REF!</definedName>
    <definedName name="Joy" localSheetId="11">#REF!</definedName>
    <definedName name="Joy" localSheetId="16">#REF!</definedName>
    <definedName name="Joy" localSheetId="18">#REF!</definedName>
    <definedName name="Joy">#REF!</definedName>
    <definedName name="KANDIVLI_D" localSheetId="11">#REF!</definedName>
    <definedName name="KANDIVLI_D" localSheetId="16">#REF!</definedName>
    <definedName name="KANDIVLI_D" localSheetId="18">#REF!</definedName>
    <definedName name="KANDIVLI_D">#REF!</definedName>
    <definedName name="KANDIVLI_P" localSheetId="11">#REF!</definedName>
    <definedName name="KANDIVLI_P" localSheetId="16">#REF!</definedName>
    <definedName name="KANDIVLI_P" localSheetId="18">#REF!</definedName>
    <definedName name="KANDIVLI_P">#REF!</definedName>
    <definedName name="KANDIVLI_S" localSheetId="11">#REF!</definedName>
    <definedName name="KANDIVLI_S" localSheetId="16">#REF!</definedName>
    <definedName name="KANDIVLI_S" localSheetId="18">#REF!</definedName>
    <definedName name="KANDIVLI_S">#REF!</definedName>
    <definedName name="kaori" localSheetId="11">#REF!</definedName>
    <definedName name="kaori" localSheetId="16">#REF!</definedName>
    <definedName name="kaori" localSheetId="18">#REF!</definedName>
    <definedName name="kaori">#REF!</definedName>
    <definedName name="kazuyo" localSheetId="11">#REF!</definedName>
    <definedName name="kazuyo" localSheetId="16">#REF!</definedName>
    <definedName name="kazuyo" localSheetId="18">#REF!</definedName>
    <definedName name="kazuyo">#REF!</definedName>
    <definedName name="kcong" localSheetId="11">#REF!</definedName>
    <definedName name="kcong" localSheetId="16">#REF!</definedName>
    <definedName name="kcong" localSheetId="18">#REF!</definedName>
    <definedName name="kcong">#REF!</definedName>
    <definedName name="khac">2</definedName>
    <definedName name="Kiem_tra_trung_ten" localSheetId="11">#REF!</definedName>
    <definedName name="Kiem_tra_trung_ten" localSheetId="16">#REF!</definedName>
    <definedName name="Kiem_tra_trung_ten" localSheetId="18">#REF!</definedName>
    <definedName name="Kiem_tra_trung_ten">#REF!</definedName>
    <definedName name="KOMAX" localSheetId="11">#REF!</definedName>
    <definedName name="KOMAX" localSheetId="16">#REF!</definedName>
    <definedName name="KOMAX" localSheetId="18">#REF!</definedName>
    <definedName name="KOMAX">#REF!</definedName>
    <definedName name="lan" localSheetId="11">#REF!</definedName>
    <definedName name="lan" localSheetId="16">#REF!</definedName>
    <definedName name="lan" localSheetId="18">#REF!</definedName>
    <definedName name="lan">#REF!</definedName>
    <definedName name="LC5_total" localSheetId="11">#REF!</definedName>
    <definedName name="LC5_total" localSheetId="16">#REF!</definedName>
    <definedName name="LC5_total" localSheetId="18">#REF!</definedName>
    <definedName name="LC5_total">#REF!</definedName>
    <definedName name="LC6_total" localSheetId="11">#REF!</definedName>
    <definedName name="LC6_total" localSheetId="16">#REF!</definedName>
    <definedName name="LC6_total" localSheetId="18">#REF!</definedName>
    <definedName name="LC6_total">#REF!</definedName>
    <definedName name="LG" localSheetId="11">#REF!</definedName>
    <definedName name="LG" localSheetId="16">#REF!</definedName>
    <definedName name="LG" localSheetId="18">#REF!</definedName>
    <definedName name="LG">#REF!</definedName>
    <definedName name="limcount" hidden="1">1</definedName>
    <definedName name="List1" localSheetId="11">#REF!</definedName>
    <definedName name="List1" localSheetId="16">#REF!</definedName>
    <definedName name="List1" localSheetId="18">#REF!</definedName>
    <definedName name="List1">#REF!</definedName>
    <definedName name="List10" localSheetId="11">#REF!</definedName>
    <definedName name="List10" localSheetId="16">#REF!</definedName>
    <definedName name="List10" localSheetId="18">#REF!</definedName>
    <definedName name="List10">#REF!</definedName>
    <definedName name="List11" localSheetId="11">#REF!</definedName>
    <definedName name="List11" localSheetId="16">#REF!</definedName>
    <definedName name="List11" localSheetId="18">#REF!</definedName>
    <definedName name="List11">#REF!</definedName>
    <definedName name="List12" localSheetId="11">#REF!</definedName>
    <definedName name="List12" localSheetId="16">#REF!</definedName>
    <definedName name="List12" localSheetId="18">#REF!</definedName>
    <definedName name="List12">#REF!</definedName>
    <definedName name="List4" localSheetId="11">#REF!</definedName>
    <definedName name="List4" localSheetId="16">#REF!</definedName>
    <definedName name="List4" localSheetId="18">#REF!</definedName>
    <definedName name="List4">#REF!</definedName>
    <definedName name="List5" localSheetId="11">#REF!</definedName>
    <definedName name="List5" localSheetId="16">#REF!</definedName>
    <definedName name="List5" localSheetId="18">#REF!</definedName>
    <definedName name="List5">#REF!</definedName>
    <definedName name="List6" localSheetId="11">#REF!</definedName>
    <definedName name="List6" localSheetId="16">#REF!</definedName>
    <definedName name="List6" localSheetId="18">#REF!</definedName>
    <definedName name="List6">#REF!</definedName>
    <definedName name="List7" localSheetId="11">#REF!</definedName>
    <definedName name="List7" localSheetId="16">#REF!</definedName>
    <definedName name="List7" localSheetId="18">#REF!</definedName>
    <definedName name="List7">#REF!</definedName>
    <definedName name="List8" localSheetId="11">#REF!</definedName>
    <definedName name="List8" localSheetId="16">#REF!</definedName>
    <definedName name="List8" localSheetId="18">#REF!</definedName>
    <definedName name="List8">#REF!</definedName>
    <definedName name="List9" localSheetId="11">#REF!</definedName>
    <definedName name="List9" localSheetId="16">#REF!</definedName>
    <definedName name="List9" localSheetId="18">#REF!</definedName>
    <definedName name="List9">#REF!</definedName>
    <definedName name="LL" localSheetId="11">#REF!</definedName>
    <definedName name="LL" localSheetId="16">#REF!</definedName>
    <definedName name="LL" localSheetId="18">#REF!</definedName>
    <definedName name="LL">#REF!</definedName>
    <definedName name="LOSS_K" localSheetId="11">#REF!</definedName>
    <definedName name="LOSS_K" localSheetId="16">#REF!</definedName>
    <definedName name="LOSS_K" localSheetId="18">#REF!</definedName>
    <definedName name="LOSS_K">#REF!</definedName>
    <definedName name="LOSS_N" localSheetId="11">#REF!</definedName>
    <definedName name="LOSS_N" localSheetId="16">#REF!</definedName>
    <definedName name="LOSS_N" localSheetId="18">#REF!</definedName>
    <definedName name="LOSS_N">#REF!</definedName>
    <definedName name="LOSS_Z" localSheetId="11">#REF!</definedName>
    <definedName name="LOSS_Z" localSheetId="16">#REF!</definedName>
    <definedName name="LOSS_Z" localSheetId="18">#REF!</definedName>
    <definedName name="LOSS_Z">#REF!</definedName>
    <definedName name="LOW_COST_PROD_R" localSheetId="11">#REF!</definedName>
    <definedName name="LOW_COST_PROD_R" localSheetId="16">#REF!</definedName>
    <definedName name="LOW_COST_PROD_R" localSheetId="18">#REF!</definedName>
    <definedName name="LOW_COST_PROD_R">#REF!</definedName>
    <definedName name="LTA_S" localSheetId="11">#REF!</definedName>
    <definedName name="LTA_S" localSheetId="16">#REF!</definedName>
    <definedName name="LTA_S" localSheetId="18">#REF!</definedName>
    <definedName name="LTA_S">#REF!</definedName>
    <definedName name="MACHINING_AREA" localSheetId="11">#REF!</definedName>
    <definedName name="MACHINING_AREA" localSheetId="16">#REF!</definedName>
    <definedName name="MACHINING_AREA" localSheetId="18">#REF!</definedName>
    <definedName name="MACHINING_AREA">#REF!</definedName>
    <definedName name="MAJ_CON_EQP" localSheetId="11">#REF!</definedName>
    <definedName name="MAJ_CON_EQP" localSheetId="16">#REF!</definedName>
    <definedName name="MAJ_CON_EQP" localSheetId="18">#REF!</definedName>
    <definedName name="MAJ_CON_EQP">#REF!</definedName>
    <definedName name="masaru" localSheetId="11">#REF!</definedName>
    <definedName name="masaru" localSheetId="16">#REF!</definedName>
    <definedName name="masaru" localSheetId="18">#REF!</definedName>
    <definedName name="masaru">#REF!</definedName>
    <definedName name="master" localSheetId="11">#REF!</definedName>
    <definedName name="master" localSheetId="16">#REF!</definedName>
    <definedName name="master" localSheetId="18">#REF!</definedName>
    <definedName name="master">#REF!</definedName>
    <definedName name="masterBom" localSheetId="11">#REF!</definedName>
    <definedName name="masterBom" localSheetId="16">#REF!</definedName>
    <definedName name="masterBom" localSheetId="18">#REF!</definedName>
    <definedName name="masterBom">#REF!</definedName>
    <definedName name="may" localSheetId="11">#REF!</definedName>
    <definedName name="may" localSheetId="16">#REF!</definedName>
    <definedName name="may" localSheetId="18">#REF!</definedName>
    <definedName name="may">#REF!</definedName>
    <definedName name="mayumi" localSheetId="11">#REF!</definedName>
    <definedName name="mayumi" localSheetId="16">#REF!</definedName>
    <definedName name="mayumi" localSheetId="18">#REF!</definedName>
    <definedName name="mayumi">#REF!</definedName>
    <definedName name="mbangtai10" localSheetId="11">#REF!</definedName>
    <definedName name="mbangtai10" localSheetId="16">#REF!</definedName>
    <definedName name="mbangtai10" localSheetId="18">#REF!</definedName>
    <definedName name="mbangtai10">#REF!</definedName>
    <definedName name="mbangtai100" localSheetId="11">#REF!</definedName>
    <definedName name="mbangtai100" localSheetId="16">#REF!</definedName>
    <definedName name="mbangtai100" localSheetId="18">#REF!</definedName>
    <definedName name="mbangtai100">#REF!</definedName>
    <definedName name="mbangtai15" localSheetId="11">#REF!</definedName>
    <definedName name="mbangtai15" localSheetId="16">#REF!</definedName>
    <definedName name="mbangtai15" localSheetId="18">#REF!</definedName>
    <definedName name="mbangtai15">#REF!</definedName>
    <definedName name="mbangtai150" localSheetId="11">#REF!</definedName>
    <definedName name="mbangtai150" localSheetId="16">#REF!</definedName>
    <definedName name="mbangtai150" localSheetId="18">#REF!</definedName>
    <definedName name="mbangtai150">#REF!</definedName>
    <definedName name="mbangtai25" localSheetId="11">#REF!</definedName>
    <definedName name="mbangtai25" localSheetId="16">#REF!</definedName>
    <definedName name="mbangtai25" localSheetId="18">#REF!</definedName>
    <definedName name="mbangtai25">#REF!</definedName>
    <definedName name="mbombtth50" localSheetId="11">#REF!</definedName>
    <definedName name="mbombtth50" localSheetId="16">#REF!</definedName>
    <definedName name="mbombtth50" localSheetId="18">#REF!</definedName>
    <definedName name="mbombtth50">#REF!</definedName>
    <definedName name="mbombtth60" localSheetId="11">#REF!</definedName>
    <definedName name="mbombtth60" localSheetId="16">#REF!</definedName>
    <definedName name="mbombtth60" localSheetId="18">#REF!</definedName>
    <definedName name="mbombtth60">#REF!</definedName>
    <definedName name="mbomdien0.55" localSheetId="11">#REF!</definedName>
    <definedName name="mbomdien0.55" localSheetId="16">#REF!</definedName>
    <definedName name="mbomdien0.55" localSheetId="18">#REF!</definedName>
    <definedName name="mbomdien0.55">#REF!</definedName>
    <definedName name="mbomdien0.75" localSheetId="11">#REF!</definedName>
    <definedName name="mbomdien0.75" localSheetId="16">#REF!</definedName>
    <definedName name="mbomdien0.75" localSheetId="18">#REF!</definedName>
    <definedName name="mbomdien0.75">#REF!</definedName>
    <definedName name="mbomdien1.1" localSheetId="11">#REF!</definedName>
    <definedName name="mbomdien1.1" localSheetId="16">#REF!</definedName>
    <definedName name="mbomdien1.1" localSheetId="18">#REF!</definedName>
    <definedName name="mbomdien1.1">#REF!</definedName>
    <definedName name="mbomdien1.5" localSheetId="11">#REF!</definedName>
    <definedName name="mbomdien1.5" localSheetId="16">#REF!</definedName>
    <definedName name="mbomdien1.5" localSheetId="18">#REF!</definedName>
    <definedName name="mbomdien1.5">#REF!</definedName>
    <definedName name="mbomdien10" localSheetId="11">#REF!</definedName>
    <definedName name="mbomdien10" localSheetId="16">#REF!</definedName>
    <definedName name="mbomdien10" localSheetId="18">#REF!</definedName>
    <definedName name="mbomdien10">#REF!</definedName>
    <definedName name="mbomdien113" localSheetId="11">#REF!</definedName>
    <definedName name="mbomdien113" localSheetId="16">#REF!</definedName>
    <definedName name="mbomdien113" localSheetId="18">#REF!</definedName>
    <definedName name="mbomdien113">#REF!</definedName>
    <definedName name="mbomdien14" localSheetId="11">#REF!</definedName>
    <definedName name="mbomdien14" localSheetId="16">#REF!</definedName>
    <definedName name="mbomdien14" localSheetId="18">#REF!</definedName>
    <definedName name="mbomdien14">#REF!</definedName>
    <definedName name="mbomdien2" localSheetId="11">#REF!</definedName>
    <definedName name="mbomdien2" localSheetId="16">#REF!</definedName>
    <definedName name="mbomdien2" localSheetId="18">#REF!</definedName>
    <definedName name="mbomdien2">#REF!</definedName>
    <definedName name="mbomdien2.8" localSheetId="11">#REF!</definedName>
    <definedName name="mbomdien2.8" localSheetId="16">#REF!</definedName>
    <definedName name="mbomdien2.8" localSheetId="18">#REF!</definedName>
    <definedName name="mbomdien2.8">#REF!</definedName>
    <definedName name="mbomdien20" localSheetId="11">#REF!</definedName>
    <definedName name="mbomdien20" localSheetId="16">#REF!</definedName>
    <definedName name="mbomdien20" localSheetId="18">#REF!</definedName>
    <definedName name="mbomdien20">#REF!</definedName>
    <definedName name="mbomdien22" localSheetId="11">#REF!</definedName>
    <definedName name="mbomdien22" localSheetId="16">#REF!</definedName>
    <definedName name="mbomdien22" localSheetId="18">#REF!</definedName>
    <definedName name="mbomdien22">#REF!</definedName>
    <definedName name="mbomdien28" localSheetId="11">#REF!</definedName>
    <definedName name="mbomdien28" localSheetId="16">#REF!</definedName>
    <definedName name="mbomdien28" localSheetId="18">#REF!</definedName>
    <definedName name="mbomdien28">#REF!</definedName>
    <definedName name="mbomdien30" localSheetId="11">#REF!</definedName>
    <definedName name="mbomdien30" localSheetId="16">#REF!</definedName>
    <definedName name="mbomdien30" localSheetId="18">#REF!</definedName>
    <definedName name="mbomdien30">#REF!</definedName>
    <definedName name="mbomdien4" localSheetId="11">#REF!</definedName>
    <definedName name="mbomdien4" localSheetId="16">#REF!</definedName>
    <definedName name="mbomdien4" localSheetId="18">#REF!</definedName>
    <definedName name="mbomdien4">#REF!</definedName>
    <definedName name="mbomdien4.5" localSheetId="11">#REF!</definedName>
    <definedName name="mbomdien4.5" localSheetId="16">#REF!</definedName>
    <definedName name="mbomdien4.5" localSheetId="18">#REF!</definedName>
    <definedName name="mbomdien4.5">#REF!</definedName>
    <definedName name="mbomdien40" localSheetId="11">#REF!</definedName>
    <definedName name="mbomdien40" localSheetId="16">#REF!</definedName>
    <definedName name="mbomdien40" localSheetId="18">#REF!</definedName>
    <definedName name="mbomdien40">#REF!</definedName>
    <definedName name="mbomdien50" localSheetId="11">#REF!</definedName>
    <definedName name="mbomdien50" localSheetId="16">#REF!</definedName>
    <definedName name="mbomdien50" localSheetId="18">#REF!</definedName>
    <definedName name="mbomdien50">#REF!</definedName>
    <definedName name="mbomdien55" localSheetId="11">#REF!</definedName>
    <definedName name="mbomdien55" localSheetId="16">#REF!</definedName>
    <definedName name="mbomdien55" localSheetId="18">#REF!</definedName>
    <definedName name="mbomdien55">#REF!</definedName>
    <definedName name="mbomdien7" localSheetId="11">#REF!</definedName>
    <definedName name="mbomdien7" localSheetId="16">#REF!</definedName>
    <definedName name="mbomdien7" localSheetId="18">#REF!</definedName>
    <definedName name="mbomdien7">#REF!</definedName>
    <definedName name="mbomdien75" localSheetId="11">#REF!</definedName>
    <definedName name="mbomdien75" localSheetId="16">#REF!</definedName>
    <definedName name="mbomdien75" localSheetId="18">#REF!</definedName>
    <definedName name="mbomdien75">#REF!</definedName>
    <definedName name="mbomth10" localSheetId="11">#REF!</definedName>
    <definedName name="mbomth10" localSheetId="16">#REF!</definedName>
    <definedName name="mbomth10" localSheetId="18">#REF!</definedName>
    <definedName name="mbomth10">#REF!</definedName>
    <definedName name="mbomth100" localSheetId="11">#REF!</definedName>
    <definedName name="mbomth100" localSheetId="16">#REF!</definedName>
    <definedName name="mbomth100" localSheetId="18">#REF!</definedName>
    <definedName name="mbomth100">#REF!</definedName>
    <definedName name="mbomth15" localSheetId="11">#REF!</definedName>
    <definedName name="mbomth15" localSheetId="16">#REF!</definedName>
    <definedName name="mbomth15" localSheetId="18">#REF!</definedName>
    <definedName name="mbomth15">#REF!</definedName>
    <definedName name="mbomth150" localSheetId="11">#REF!</definedName>
    <definedName name="mbomth150" localSheetId="16">#REF!</definedName>
    <definedName name="mbomth150" localSheetId="18">#REF!</definedName>
    <definedName name="mbomth150">#REF!</definedName>
    <definedName name="mbomth20" localSheetId="11">#REF!</definedName>
    <definedName name="mbomth20" localSheetId="16">#REF!</definedName>
    <definedName name="mbomth20" localSheetId="18">#REF!</definedName>
    <definedName name="mbomth20">#REF!</definedName>
    <definedName name="mbomth37" localSheetId="11">#REF!</definedName>
    <definedName name="mbomth37" localSheetId="16">#REF!</definedName>
    <definedName name="mbomth37" localSheetId="18">#REF!</definedName>
    <definedName name="mbomth37">#REF!</definedName>
    <definedName name="mbomth45" localSheetId="11">#REF!</definedName>
    <definedName name="mbomth45" localSheetId="16">#REF!</definedName>
    <definedName name="mbomth45" localSheetId="18">#REF!</definedName>
    <definedName name="mbomth45">#REF!</definedName>
    <definedName name="mbomth5" localSheetId="11">#REF!</definedName>
    <definedName name="mbomth5" localSheetId="16">#REF!</definedName>
    <definedName name="mbomth5" localSheetId="18">#REF!</definedName>
    <definedName name="mbomth5">#REF!</definedName>
    <definedName name="mbomth5.5" localSheetId="11">#REF!</definedName>
    <definedName name="mbomth5.5" localSheetId="16">#REF!</definedName>
    <definedName name="mbomth5.5" localSheetId="18">#REF!</definedName>
    <definedName name="mbomth5.5">#REF!</definedName>
    <definedName name="mbomth7" localSheetId="11">#REF!</definedName>
    <definedName name="mbomth7" localSheetId="16">#REF!</definedName>
    <definedName name="mbomth7" localSheetId="18">#REF!</definedName>
    <definedName name="mbomth7">#REF!</definedName>
    <definedName name="mbomth7.5" localSheetId="11">#REF!</definedName>
    <definedName name="mbomth7.5" localSheetId="16">#REF!</definedName>
    <definedName name="mbomth7.5" localSheetId="18">#REF!</definedName>
    <definedName name="mbomth7.5">#REF!</definedName>
    <definedName name="mbomth75" localSheetId="11">#REF!</definedName>
    <definedName name="mbomth75" localSheetId="16">#REF!</definedName>
    <definedName name="mbomth75" localSheetId="18">#REF!</definedName>
    <definedName name="mbomth75">#REF!</definedName>
    <definedName name="mbomthxang3" localSheetId="11">#REF!</definedName>
    <definedName name="mbomthxang3" localSheetId="16">#REF!</definedName>
    <definedName name="mbomthxang3" localSheetId="18">#REF!</definedName>
    <definedName name="mbomthxang3">#REF!</definedName>
    <definedName name="mbomthxang4" localSheetId="11">#REF!</definedName>
    <definedName name="mbomthxang4" localSheetId="16">#REF!</definedName>
    <definedName name="mbomthxang4" localSheetId="18">#REF!</definedName>
    <definedName name="mbomthxang4">#REF!</definedName>
    <definedName name="mbomthxang6" localSheetId="11">#REF!</definedName>
    <definedName name="mbomthxang6" localSheetId="16">#REF!</definedName>
    <definedName name="mbomthxang6" localSheetId="18">#REF!</definedName>
    <definedName name="mbomthxang6">#REF!</definedName>
    <definedName name="mbomthxang7" localSheetId="11">#REF!</definedName>
    <definedName name="mbomthxang7" localSheetId="16">#REF!</definedName>
    <definedName name="mbomthxang7" localSheetId="18">#REF!</definedName>
    <definedName name="mbomthxang7">#REF!</definedName>
    <definedName name="mbomthxang8" localSheetId="11">#REF!</definedName>
    <definedName name="mbomthxang8" localSheetId="16">#REF!</definedName>
    <definedName name="mbomthxang8" localSheetId="18">#REF!</definedName>
    <definedName name="mbomthxang8">#REF!</definedName>
    <definedName name="mbomvua2" localSheetId="11">#REF!</definedName>
    <definedName name="mbomvua2" localSheetId="16">#REF!</definedName>
    <definedName name="mbomvua2" localSheetId="18">#REF!</definedName>
    <definedName name="mbomvua2">#REF!</definedName>
    <definedName name="mbomvua4" localSheetId="11">#REF!</definedName>
    <definedName name="mbomvua4" localSheetId="16">#REF!</definedName>
    <definedName name="mbomvua4" localSheetId="18">#REF!</definedName>
    <definedName name="mbomvua4">#REF!</definedName>
    <definedName name="mbomvua6" localSheetId="11">#REF!</definedName>
    <definedName name="mbomvua6" localSheetId="16">#REF!</definedName>
    <definedName name="mbomvua6" localSheetId="18">#REF!</definedName>
    <definedName name="mbomvua6">#REF!</definedName>
    <definedName name="mbomvua9" localSheetId="11">#REF!</definedName>
    <definedName name="mbomvua9" localSheetId="16">#REF!</definedName>
    <definedName name="mbomvua9" localSheetId="18">#REF!</definedName>
    <definedName name="mbomvua9">#REF!</definedName>
    <definedName name="mbuacankhi1.5" localSheetId="11">#REF!</definedName>
    <definedName name="mbuacankhi1.5" localSheetId="16">#REF!</definedName>
    <definedName name="mbuacankhi1.5" localSheetId="18">#REF!</definedName>
    <definedName name="mbuacankhi1.5">#REF!</definedName>
    <definedName name="mbuadcocnoi2.5" localSheetId="11">#REF!</definedName>
    <definedName name="mbuadcocnoi2.5" localSheetId="16">#REF!</definedName>
    <definedName name="mbuadcocnoi2.5" localSheetId="18">#REF!</definedName>
    <definedName name="mbuadcocnoi2.5">#REF!</definedName>
    <definedName name="mbuadray1.2" localSheetId="11">#REF!</definedName>
    <definedName name="mbuadray1.2" localSheetId="16">#REF!</definedName>
    <definedName name="mbuadray1.2" localSheetId="18">#REF!</definedName>
    <definedName name="mbuadray1.2">#REF!</definedName>
    <definedName name="mbuadray1.8" localSheetId="11">#REF!</definedName>
    <definedName name="mbuadray1.8" localSheetId="16">#REF!</definedName>
    <definedName name="mbuadray1.8" localSheetId="18">#REF!</definedName>
    <definedName name="mbuadray1.8">#REF!</definedName>
    <definedName name="mbuadray2.2" localSheetId="11">#REF!</definedName>
    <definedName name="mbuadray2.2" localSheetId="16">#REF!</definedName>
    <definedName name="mbuadray2.2" localSheetId="18">#REF!</definedName>
    <definedName name="mbuadray2.2">#REF!</definedName>
    <definedName name="mbuadray2.5" localSheetId="11">#REF!</definedName>
    <definedName name="mbuadray2.5" localSheetId="16">#REF!</definedName>
    <definedName name="mbuadray2.5" localSheetId="18">#REF!</definedName>
    <definedName name="mbuadray2.5">#REF!</definedName>
    <definedName name="mbuadray3.5" localSheetId="11">#REF!</definedName>
    <definedName name="mbuadray3.5" localSheetId="16">#REF!</definedName>
    <definedName name="mbuadray3.5" localSheetId="18">#REF!</definedName>
    <definedName name="mbuadray3.5">#REF!</definedName>
    <definedName name="mbuarung170" localSheetId="11">#REF!</definedName>
    <definedName name="mbuarung170" localSheetId="16">#REF!</definedName>
    <definedName name="mbuarung170" localSheetId="18">#REF!</definedName>
    <definedName name="mbuarung170">#REF!</definedName>
    <definedName name="mbuarung40" localSheetId="11">#REF!</definedName>
    <definedName name="mbuarung40" localSheetId="16">#REF!</definedName>
    <definedName name="mbuarung40" localSheetId="18">#REF!</definedName>
    <definedName name="mbuarung40">#REF!</definedName>
    <definedName name="mbuarung50" localSheetId="11">#REF!</definedName>
    <definedName name="mbuarung50" localSheetId="16">#REF!</definedName>
    <definedName name="mbuarung50" localSheetId="18">#REF!</definedName>
    <definedName name="mbuarung50">#REF!</definedName>
    <definedName name="mbuarungccatth60" localSheetId="11">#REF!</definedName>
    <definedName name="mbuarungccatth60" localSheetId="16">#REF!</definedName>
    <definedName name="mbuarungccatth60" localSheetId="18">#REF!</definedName>
    <definedName name="mbuarungccatth60">#REF!</definedName>
    <definedName name="mbuathbx0.6" localSheetId="11">#REF!</definedName>
    <definedName name="mbuathbx0.6" localSheetId="16">#REF!</definedName>
    <definedName name="mbuathbx0.6" localSheetId="18">#REF!</definedName>
    <definedName name="mbuathbx0.6">#REF!</definedName>
    <definedName name="mbuathbx1.2" localSheetId="11">#REF!</definedName>
    <definedName name="mbuathbx1.2" localSheetId="16">#REF!</definedName>
    <definedName name="mbuathbx1.2" localSheetId="18">#REF!</definedName>
    <definedName name="mbuathbx1.2">#REF!</definedName>
    <definedName name="mbuathbx1.8" localSheetId="11">#REF!</definedName>
    <definedName name="mbuathbx1.8" localSheetId="16">#REF!</definedName>
    <definedName name="mbuathbx1.8" localSheetId="18">#REF!</definedName>
    <definedName name="mbuathbx1.8">#REF!</definedName>
    <definedName name="mbuathbx3.5" localSheetId="11">#REF!</definedName>
    <definedName name="mbuathbx3.5" localSheetId="16">#REF!</definedName>
    <definedName name="mbuathbx3.5" localSheetId="18">#REF!</definedName>
    <definedName name="mbuathbx3.5">#REF!</definedName>
    <definedName name="mbuathbx4.5" localSheetId="11">#REF!</definedName>
    <definedName name="mbuathbx4.5" localSheetId="16">#REF!</definedName>
    <definedName name="mbuathbx4.5" localSheetId="18">#REF!</definedName>
    <definedName name="mbuathbx4.5">#REF!</definedName>
    <definedName name="mc" localSheetId="11">#REF!</definedName>
    <definedName name="mc" localSheetId="16">#REF!</definedName>
    <definedName name="mc" localSheetId="18">#REF!</definedName>
    <definedName name="mc">#REF!</definedName>
    <definedName name="mcambactham1" localSheetId="11">#REF!</definedName>
    <definedName name="mcambactham1" localSheetId="16">#REF!</definedName>
    <definedName name="mcambactham1" localSheetId="18">#REF!</definedName>
    <definedName name="mcambactham1">#REF!</definedName>
    <definedName name="mcano30" localSheetId="11">#REF!</definedName>
    <definedName name="mcano30" localSheetId="16">#REF!</definedName>
    <definedName name="mcano30" localSheetId="18">#REF!</definedName>
    <definedName name="mcano30">#REF!</definedName>
    <definedName name="mcano75" localSheetId="11">#REF!</definedName>
    <definedName name="mcano75" localSheetId="16">#REF!</definedName>
    <definedName name="mcano75" localSheetId="18">#REF!</definedName>
    <definedName name="mcano75">#REF!</definedName>
    <definedName name="mcap1g10" localSheetId="11">#REF!</definedName>
    <definedName name="mcap1g10" localSheetId="16">#REF!</definedName>
    <definedName name="mcap1g10" localSheetId="18">#REF!</definedName>
    <definedName name="mcap1g10">#REF!</definedName>
    <definedName name="mcap1g16" localSheetId="11">#REF!</definedName>
    <definedName name="mcap1g16" localSheetId="16">#REF!</definedName>
    <definedName name="mcap1g16" localSheetId="18">#REF!</definedName>
    <definedName name="mcap1g16">#REF!</definedName>
    <definedName name="mcap1g25" localSheetId="11">#REF!</definedName>
    <definedName name="mcap1g25" localSheetId="16">#REF!</definedName>
    <definedName name="mcap1g25" localSheetId="18">#REF!</definedName>
    <definedName name="mcap1g25">#REF!</definedName>
    <definedName name="mcap1g9" localSheetId="11">#REF!</definedName>
    <definedName name="mcap1g9" localSheetId="16">#REF!</definedName>
    <definedName name="mcap1g9" localSheetId="18">#REF!</definedName>
    <definedName name="mcap1g9">#REF!</definedName>
    <definedName name="mcatdot2.8" localSheetId="11">#REF!</definedName>
    <definedName name="mcatdot2.8" localSheetId="16">#REF!</definedName>
    <definedName name="mcatdot2.8" localSheetId="18">#REF!</definedName>
    <definedName name="mcatdot2.8">#REF!</definedName>
    <definedName name="mcatong5" localSheetId="11">#REF!</definedName>
    <definedName name="mcatong5" localSheetId="16">#REF!</definedName>
    <definedName name="mcatong5" localSheetId="18">#REF!</definedName>
    <definedName name="mcatong5">#REF!</definedName>
    <definedName name="mcatton15" localSheetId="11">#REF!</definedName>
    <definedName name="mcatton15" localSheetId="16">#REF!</definedName>
    <definedName name="mcatton15" localSheetId="18">#REF!</definedName>
    <definedName name="mcatton15">#REF!</definedName>
    <definedName name="mcatuonthep5" localSheetId="11">#REF!</definedName>
    <definedName name="mcatuonthep5" localSheetId="16">#REF!</definedName>
    <definedName name="mcatuonthep5" localSheetId="18">#REF!</definedName>
    <definedName name="mcatuonthep5">#REF!</definedName>
    <definedName name="mcaulongmon10" localSheetId="11">#REF!</definedName>
    <definedName name="mcaulongmon10" localSheetId="16">#REF!</definedName>
    <definedName name="mcaulongmon10" localSheetId="18">#REF!</definedName>
    <definedName name="mcaulongmon10">#REF!</definedName>
    <definedName name="mcaulongmon30" localSheetId="11">#REF!</definedName>
    <definedName name="mcaulongmon30" localSheetId="16">#REF!</definedName>
    <definedName name="mcaulongmon30" localSheetId="18">#REF!</definedName>
    <definedName name="mcaulongmon30">#REF!</definedName>
    <definedName name="mcaulongmon60" localSheetId="11">#REF!</definedName>
    <definedName name="mcaulongmon60" localSheetId="16">#REF!</definedName>
    <definedName name="mcaulongmon60" localSheetId="18">#REF!</definedName>
    <definedName name="mcaulongmon60">#REF!</definedName>
    <definedName name="mcauray20" localSheetId="11">#REF!</definedName>
    <definedName name="mcauray20" localSheetId="16">#REF!</definedName>
    <definedName name="mcauray20" localSheetId="18">#REF!</definedName>
    <definedName name="mcauray20">#REF!</definedName>
    <definedName name="mcauray25" localSheetId="11">#REF!</definedName>
    <definedName name="mcauray25" localSheetId="16">#REF!</definedName>
    <definedName name="mcauray25" localSheetId="18">#REF!</definedName>
    <definedName name="mcauray25">#REF!</definedName>
    <definedName name="mcayxoidk108" localSheetId="11">#REF!</definedName>
    <definedName name="mcayxoidk108" localSheetId="16">#REF!</definedName>
    <definedName name="mcayxoidk108" localSheetId="18">#REF!</definedName>
    <definedName name="mcayxoidk108">#REF!</definedName>
    <definedName name="mcayxoidk60" localSheetId="11">#REF!</definedName>
    <definedName name="mcayxoidk60" localSheetId="16">#REF!</definedName>
    <definedName name="mcayxoidk60" localSheetId="18">#REF!</definedName>
    <definedName name="mcayxoidk60">#REF!</definedName>
    <definedName name="mcayxoidk80" localSheetId="11">#REF!</definedName>
    <definedName name="mcayxoidk80" localSheetId="16">#REF!</definedName>
    <definedName name="mcayxoidk80" localSheetId="18">#REF!</definedName>
    <definedName name="mcayxoidk80">#REF!</definedName>
    <definedName name="mccaubh10" localSheetId="11">#REF!</definedName>
    <definedName name="mccaubh10" localSheetId="16">#REF!</definedName>
    <definedName name="mccaubh10" localSheetId="18">#REF!</definedName>
    <definedName name="mccaubh10">#REF!</definedName>
    <definedName name="mccaubh16" localSheetId="11">#REF!</definedName>
    <definedName name="mccaubh16" localSheetId="16">#REF!</definedName>
    <definedName name="mccaubh16" localSheetId="18">#REF!</definedName>
    <definedName name="mccaubh16">#REF!</definedName>
    <definedName name="mccaubh25" localSheetId="11">#REF!</definedName>
    <definedName name="mccaubh25" localSheetId="16">#REF!</definedName>
    <definedName name="mccaubh25" localSheetId="18">#REF!</definedName>
    <definedName name="mccaubh25">#REF!</definedName>
    <definedName name="mccaubh3" localSheetId="11">#REF!</definedName>
    <definedName name="mccaubh3" localSheetId="16">#REF!</definedName>
    <definedName name="mccaubh3" localSheetId="18">#REF!</definedName>
    <definedName name="mccaubh3">#REF!</definedName>
    <definedName name="mccaubh4" localSheetId="11">#REF!</definedName>
    <definedName name="mccaubh4" localSheetId="16">#REF!</definedName>
    <definedName name="mccaubh4" localSheetId="18">#REF!</definedName>
    <definedName name="mccaubh4">#REF!</definedName>
    <definedName name="mccaubh40" localSheetId="11">#REF!</definedName>
    <definedName name="mccaubh40" localSheetId="16">#REF!</definedName>
    <definedName name="mccaubh40" localSheetId="18">#REF!</definedName>
    <definedName name="mccaubh40">#REF!</definedName>
    <definedName name="mccaubh5" localSheetId="11">#REF!</definedName>
    <definedName name="mccaubh5" localSheetId="16">#REF!</definedName>
    <definedName name="mccaubh5" localSheetId="18">#REF!</definedName>
    <definedName name="mccaubh5">#REF!</definedName>
    <definedName name="mccaubh6" localSheetId="11">#REF!</definedName>
    <definedName name="mccaubh6" localSheetId="16">#REF!</definedName>
    <definedName name="mccaubh6" localSheetId="18">#REF!</definedName>
    <definedName name="mccaubh6">#REF!</definedName>
    <definedName name="mccaubh65" localSheetId="11">#REF!</definedName>
    <definedName name="mccaubh65" localSheetId="16">#REF!</definedName>
    <definedName name="mccaubh65" localSheetId="18">#REF!</definedName>
    <definedName name="mccaubh65">#REF!</definedName>
    <definedName name="mccaubh7" localSheetId="11">#REF!</definedName>
    <definedName name="mccaubh7" localSheetId="16">#REF!</definedName>
    <definedName name="mccaubh7" localSheetId="18">#REF!</definedName>
    <definedName name="mccaubh7">#REF!</definedName>
    <definedName name="mccaubh8" localSheetId="11">#REF!</definedName>
    <definedName name="mccaubh8" localSheetId="16">#REF!</definedName>
    <definedName name="mccaubh8" localSheetId="18">#REF!</definedName>
    <definedName name="mccaubh8">#REF!</definedName>
    <definedName name="mccaubh90" localSheetId="11">#REF!</definedName>
    <definedName name="mccaubh90" localSheetId="16">#REF!</definedName>
    <definedName name="mccaubh90" localSheetId="18">#REF!</definedName>
    <definedName name="mccaubh90">#REF!</definedName>
    <definedName name="mccaubx10" localSheetId="11">#REF!</definedName>
    <definedName name="mccaubx10" localSheetId="16">#REF!</definedName>
    <definedName name="mccaubx10" localSheetId="18">#REF!</definedName>
    <definedName name="mccaubx10">#REF!</definedName>
    <definedName name="mccaubx100" localSheetId="11">#REF!</definedName>
    <definedName name="mccaubx100" localSheetId="16">#REF!</definedName>
    <definedName name="mccaubx100" localSheetId="18">#REF!</definedName>
    <definedName name="mccaubx100">#REF!</definedName>
    <definedName name="mccaubx16" localSheetId="11">#REF!</definedName>
    <definedName name="mccaubx16" localSheetId="16">#REF!</definedName>
    <definedName name="mccaubx16" localSheetId="18">#REF!</definedName>
    <definedName name="mccaubx16">#REF!</definedName>
    <definedName name="mccaubx25" localSheetId="11">#REF!</definedName>
    <definedName name="mccaubx25" localSheetId="16">#REF!</definedName>
    <definedName name="mccaubx25" localSheetId="18">#REF!</definedName>
    <definedName name="mccaubx25">#REF!</definedName>
    <definedName name="mccaubx28" localSheetId="11">#REF!</definedName>
    <definedName name="mccaubx28" localSheetId="16">#REF!</definedName>
    <definedName name="mccaubx28" localSheetId="18">#REF!</definedName>
    <definedName name="mccaubx28">#REF!</definedName>
    <definedName name="mccaubx40" localSheetId="11">#REF!</definedName>
    <definedName name="mccaubx40" localSheetId="16">#REF!</definedName>
    <definedName name="mccaubx40" localSheetId="18">#REF!</definedName>
    <definedName name="mccaubx40">#REF!</definedName>
    <definedName name="mccaubx5" localSheetId="11">#REF!</definedName>
    <definedName name="mccaubx5" localSheetId="16">#REF!</definedName>
    <definedName name="mccaubx5" localSheetId="18">#REF!</definedName>
    <definedName name="mccaubx5">#REF!</definedName>
    <definedName name="mccaubx50" localSheetId="11">#REF!</definedName>
    <definedName name="mccaubx50" localSheetId="16">#REF!</definedName>
    <definedName name="mccaubx50" localSheetId="18">#REF!</definedName>
    <definedName name="mccaubx50">#REF!</definedName>
    <definedName name="mccaubx63" localSheetId="11">#REF!</definedName>
    <definedName name="mccaubx63" localSheetId="16">#REF!</definedName>
    <definedName name="mccaubx63" localSheetId="18">#REF!</definedName>
    <definedName name="mccaubx63">#REF!</definedName>
    <definedName name="mccaubx7" localSheetId="11">#REF!</definedName>
    <definedName name="mccaubx7" localSheetId="16">#REF!</definedName>
    <definedName name="mccaubx7" localSheetId="18">#REF!</definedName>
    <definedName name="mccaubx7">#REF!</definedName>
    <definedName name="mccauladam60" localSheetId="11">#REF!</definedName>
    <definedName name="mccauladam60" localSheetId="16">#REF!</definedName>
    <definedName name="mccauladam60" localSheetId="18">#REF!</definedName>
    <definedName name="mccauladam60">#REF!</definedName>
    <definedName name="mccaunoi100" localSheetId="11">#REF!</definedName>
    <definedName name="mccaunoi100" localSheetId="16">#REF!</definedName>
    <definedName name="mccaunoi100" localSheetId="18">#REF!</definedName>
    <definedName name="mccaunoi100">#REF!</definedName>
    <definedName name="mccaunoi30" localSheetId="11">#REF!</definedName>
    <definedName name="mccaunoi30" localSheetId="16">#REF!</definedName>
    <definedName name="mccaunoi30" localSheetId="18">#REF!</definedName>
    <definedName name="mccaunoi30">#REF!</definedName>
    <definedName name="mccauthap10" localSheetId="11">#REF!</definedName>
    <definedName name="mccauthap10" localSheetId="16">#REF!</definedName>
    <definedName name="mccauthap10" localSheetId="18">#REF!</definedName>
    <definedName name="mccauthap10">#REF!</definedName>
    <definedName name="mccauthap12" localSheetId="11">#REF!</definedName>
    <definedName name="mccauthap12" localSheetId="16">#REF!</definedName>
    <definedName name="mccauthap12" localSheetId="18">#REF!</definedName>
    <definedName name="mccauthap12">#REF!</definedName>
    <definedName name="mccauthap15" localSheetId="11">#REF!</definedName>
    <definedName name="mccauthap15" localSheetId="16">#REF!</definedName>
    <definedName name="mccauthap15" localSheetId="18">#REF!</definedName>
    <definedName name="mccauthap15">#REF!</definedName>
    <definedName name="mccauthap20" localSheetId="11">#REF!</definedName>
    <definedName name="mccauthap20" localSheetId="16">#REF!</definedName>
    <definedName name="mccauthap20" localSheetId="18">#REF!</definedName>
    <definedName name="mccauthap20">#REF!</definedName>
    <definedName name="mccauthap25" localSheetId="11">#REF!</definedName>
    <definedName name="mccauthap25" localSheetId="16">#REF!</definedName>
    <definedName name="mccauthap25" localSheetId="18">#REF!</definedName>
    <definedName name="mccauthap25">#REF!</definedName>
    <definedName name="mccauthap3" localSheetId="11">#REF!</definedName>
    <definedName name="mccauthap3" localSheetId="16">#REF!</definedName>
    <definedName name="mccauthap3" localSheetId="18">#REF!</definedName>
    <definedName name="mccauthap3">#REF!</definedName>
    <definedName name="mccauthap30" localSheetId="11">#REF!</definedName>
    <definedName name="mccauthap30" localSheetId="16">#REF!</definedName>
    <definedName name="mccauthap30" localSheetId="18">#REF!</definedName>
    <definedName name="mccauthap30">#REF!</definedName>
    <definedName name="mccauthap40" localSheetId="11">#REF!</definedName>
    <definedName name="mccauthap40" localSheetId="16">#REF!</definedName>
    <definedName name="mccauthap40" localSheetId="18">#REF!</definedName>
    <definedName name="mccauthap40">#REF!</definedName>
    <definedName name="mccauthap5" localSheetId="11">#REF!</definedName>
    <definedName name="mccauthap5" localSheetId="16">#REF!</definedName>
    <definedName name="mccauthap5" localSheetId="18">#REF!</definedName>
    <definedName name="mccauthap5">#REF!</definedName>
    <definedName name="mccauthap50" localSheetId="11">#REF!</definedName>
    <definedName name="mccauthap50" localSheetId="16">#REF!</definedName>
    <definedName name="mccauthap50" localSheetId="18">#REF!</definedName>
    <definedName name="mccauthap50">#REF!</definedName>
    <definedName name="mccauthap8" localSheetId="11">#REF!</definedName>
    <definedName name="mccauthap8" localSheetId="16">#REF!</definedName>
    <definedName name="mccauthap8" localSheetId="18">#REF!</definedName>
    <definedName name="mccauthap8">#REF!</definedName>
    <definedName name="mccautnhi0.5" localSheetId="11">#REF!</definedName>
    <definedName name="mccautnhi0.5" localSheetId="16">#REF!</definedName>
    <definedName name="mccautnhi0.5" localSheetId="18">#REF!</definedName>
    <definedName name="mccautnhi0.5">#REF!</definedName>
    <definedName name="mcuakl1.7" localSheetId="11">#REF!</definedName>
    <definedName name="mcuakl1.7" localSheetId="16">#REF!</definedName>
    <definedName name="mcuakl1.7" localSheetId="18">#REF!</definedName>
    <definedName name="mcuakl1.7">#REF!</definedName>
    <definedName name="md" localSheetId="11">#REF!</definedName>
    <definedName name="md" localSheetId="16">#REF!</definedName>
    <definedName name="md" localSheetId="18">#REF!</definedName>
    <definedName name="md">#REF!</definedName>
    <definedName name="mdamban0.4" localSheetId="11">#REF!</definedName>
    <definedName name="mdamban0.4" localSheetId="16">#REF!</definedName>
    <definedName name="mdamban0.4" localSheetId="18">#REF!</definedName>
    <definedName name="mdamban0.4">#REF!</definedName>
    <definedName name="mdamban0.6" localSheetId="11">#REF!</definedName>
    <definedName name="mdamban0.6" localSheetId="16">#REF!</definedName>
    <definedName name="mdamban0.6" localSheetId="18">#REF!</definedName>
    <definedName name="mdamban0.6">#REF!</definedName>
    <definedName name="mdamban0.8" localSheetId="11">#REF!</definedName>
    <definedName name="mdamban0.8" localSheetId="16">#REF!</definedName>
    <definedName name="mdamban0.8" localSheetId="18">#REF!</definedName>
    <definedName name="mdamban0.8">#REF!</definedName>
    <definedName name="mdamban1" localSheetId="11">#REF!</definedName>
    <definedName name="mdamban1" localSheetId="16">#REF!</definedName>
    <definedName name="mdamban1" localSheetId="18">#REF!</definedName>
    <definedName name="mdamban1">#REF!</definedName>
    <definedName name="mdambhdkbx12.5" localSheetId="11">#REF!</definedName>
    <definedName name="mdambhdkbx12.5" localSheetId="16">#REF!</definedName>
    <definedName name="mdambhdkbx12.5" localSheetId="18">#REF!</definedName>
    <definedName name="mdambhdkbx12.5">#REF!</definedName>
    <definedName name="mdambhdkbx18" localSheetId="11">#REF!</definedName>
    <definedName name="mdambhdkbx18" localSheetId="16">#REF!</definedName>
    <definedName name="mdambhdkbx18" localSheetId="18">#REF!</definedName>
    <definedName name="mdambhdkbx18">#REF!</definedName>
    <definedName name="mdambhdkbx25" localSheetId="11">#REF!</definedName>
    <definedName name="mdambhdkbx25" localSheetId="16">#REF!</definedName>
    <definedName name="mdambhdkbx25" localSheetId="18">#REF!</definedName>
    <definedName name="mdambhdkbx25">#REF!</definedName>
    <definedName name="mdambhdkbx26.5" localSheetId="11">#REF!</definedName>
    <definedName name="mdambhdkbx26.5" localSheetId="16">#REF!</definedName>
    <definedName name="mdambhdkbx26.5" localSheetId="18">#REF!</definedName>
    <definedName name="mdambhdkbx26.5">#REF!</definedName>
    <definedName name="mdambhdkbx9" localSheetId="11">#REF!</definedName>
    <definedName name="mdambhdkbx9" localSheetId="16">#REF!</definedName>
    <definedName name="mdambhdkbx9" localSheetId="18">#REF!</definedName>
    <definedName name="mdambhdkbx9">#REF!</definedName>
    <definedName name="mdambhth16" localSheetId="11">#REF!</definedName>
    <definedName name="mdambhth16" localSheetId="16">#REF!</definedName>
    <definedName name="mdambhth16" localSheetId="18">#REF!</definedName>
    <definedName name="mdambhth16">#REF!</definedName>
    <definedName name="mdambhth17.5" localSheetId="11">#REF!</definedName>
    <definedName name="mdambhth17.5" localSheetId="16">#REF!</definedName>
    <definedName name="mdambhth17.5" localSheetId="18">#REF!</definedName>
    <definedName name="mdambhth17.5">#REF!</definedName>
    <definedName name="mdambhth25" localSheetId="11">#REF!</definedName>
    <definedName name="mdambhth25" localSheetId="16">#REF!</definedName>
    <definedName name="mdambhth25" localSheetId="18">#REF!</definedName>
    <definedName name="mdambhth25">#REF!</definedName>
    <definedName name="mdambthepth10" localSheetId="11">#REF!</definedName>
    <definedName name="mdambthepth10" localSheetId="16">#REF!</definedName>
    <definedName name="mdambthepth10" localSheetId="18">#REF!</definedName>
    <definedName name="mdambthepth10">#REF!</definedName>
    <definedName name="mdambthepth12.2" localSheetId="11">#REF!</definedName>
    <definedName name="mdambthepth12.2" localSheetId="16">#REF!</definedName>
    <definedName name="mdambthepth12.2" localSheetId="18">#REF!</definedName>
    <definedName name="mdambthepth12.2">#REF!</definedName>
    <definedName name="mdambthepth13" localSheetId="11">#REF!</definedName>
    <definedName name="mdambthepth13" localSheetId="16">#REF!</definedName>
    <definedName name="mdambthepth13" localSheetId="18">#REF!</definedName>
    <definedName name="mdambthepth13">#REF!</definedName>
    <definedName name="mdambthepth14.5" localSheetId="11">#REF!</definedName>
    <definedName name="mdambthepth14.5" localSheetId="16">#REF!</definedName>
    <definedName name="mdambthepth14.5" localSheetId="18">#REF!</definedName>
    <definedName name="mdambthepth14.5">#REF!</definedName>
    <definedName name="mdambthepth15.5" localSheetId="11">#REF!</definedName>
    <definedName name="mdambthepth15.5" localSheetId="16">#REF!</definedName>
    <definedName name="mdambthepth15.5" localSheetId="18">#REF!</definedName>
    <definedName name="mdambthepth15.5">#REF!</definedName>
    <definedName name="mdambthepth8.5" localSheetId="11">#REF!</definedName>
    <definedName name="mdambthepth8.5" localSheetId="16">#REF!</definedName>
    <definedName name="mdambthepth8.5" localSheetId="18">#REF!</definedName>
    <definedName name="mdambthepth8.5">#REF!</definedName>
    <definedName name="mdamcanh1" localSheetId="11">#REF!</definedName>
    <definedName name="mdamcanh1" localSheetId="16">#REF!</definedName>
    <definedName name="mdamcanh1" localSheetId="18">#REF!</definedName>
    <definedName name="mdamcanh1">#REF!</definedName>
    <definedName name="mdamccdk5.5" localSheetId="11">#REF!</definedName>
    <definedName name="mdamccdk5.5" localSheetId="16">#REF!</definedName>
    <definedName name="mdamccdk5.5" localSheetId="18">#REF!</definedName>
    <definedName name="mdamccdk5.5">#REF!</definedName>
    <definedName name="mdamccdk9" localSheetId="11">#REF!</definedName>
    <definedName name="mdamccdk9" localSheetId="16">#REF!</definedName>
    <definedName name="mdamccdk9" localSheetId="18">#REF!</definedName>
    <definedName name="mdamccdk9">#REF!</definedName>
    <definedName name="mdamdatct60" localSheetId="11">#REF!</definedName>
    <definedName name="mdamdatct60" localSheetId="16">#REF!</definedName>
    <definedName name="mdamdatct60" localSheetId="18">#REF!</definedName>
    <definedName name="mdamdatct60">#REF!</definedName>
    <definedName name="mdamdatct80" localSheetId="11">#REF!</definedName>
    <definedName name="mdamdatct80" localSheetId="16">#REF!</definedName>
    <definedName name="mdamdatct80" localSheetId="18">#REF!</definedName>
    <definedName name="mdamdatct80">#REF!</definedName>
    <definedName name="mdamdui0.6" localSheetId="11">#REF!</definedName>
    <definedName name="mdamdui0.6" localSheetId="16">#REF!</definedName>
    <definedName name="mdamdui0.6" localSheetId="18">#REF!</definedName>
    <definedName name="mdamdui0.6">#REF!</definedName>
    <definedName name="mdamdui0.8" localSheetId="11">#REF!</definedName>
    <definedName name="mdamdui0.8" localSheetId="16">#REF!</definedName>
    <definedName name="mdamdui0.8" localSheetId="18">#REF!</definedName>
    <definedName name="mdamdui0.8">#REF!</definedName>
    <definedName name="mdamdui1" localSheetId="11">#REF!</definedName>
    <definedName name="mdamdui1" localSheetId="16">#REF!</definedName>
    <definedName name="mdamdui1" localSheetId="18">#REF!</definedName>
    <definedName name="mdamdui1">#REF!</definedName>
    <definedName name="mdamdui1.5" localSheetId="11">#REF!</definedName>
    <definedName name="mdamdui1.5" localSheetId="16">#REF!</definedName>
    <definedName name="mdamdui1.5" localSheetId="18">#REF!</definedName>
    <definedName name="mdamdui1.5">#REF!</definedName>
    <definedName name="mdamdui2.8" localSheetId="11">#REF!</definedName>
    <definedName name="mdamdui2.8" localSheetId="16">#REF!</definedName>
    <definedName name="mdamdui2.8" localSheetId="18">#REF!</definedName>
    <definedName name="mdamdui2.8">#REF!</definedName>
    <definedName name="mdamrung15" localSheetId="11">#REF!</definedName>
    <definedName name="mdamrung15" localSheetId="16">#REF!</definedName>
    <definedName name="mdamrung15" localSheetId="18">#REF!</definedName>
    <definedName name="mdamrung15">#REF!</definedName>
    <definedName name="mdamrung18" localSheetId="11">#REF!</definedName>
    <definedName name="mdamrung18" localSheetId="16">#REF!</definedName>
    <definedName name="mdamrung18" localSheetId="18">#REF!</definedName>
    <definedName name="mdamrung18">#REF!</definedName>
    <definedName name="mdamrung8" localSheetId="11">#REF!</definedName>
    <definedName name="mdamrung8" localSheetId="16">#REF!</definedName>
    <definedName name="mdamrung8" localSheetId="18">#REF!</definedName>
    <definedName name="mdamrung8">#REF!</definedName>
    <definedName name="mdao1gbh0.15" localSheetId="11">#REF!</definedName>
    <definedName name="mdao1gbh0.15" localSheetId="16">#REF!</definedName>
    <definedName name="mdao1gbh0.15" localSheetId="18">#REF!</definedName>
    <definedName name="mdao1gbh0.15">#REF!</definedName>
    <definedName name="mdao1gbh0.25" localSheetId="11">#REF!</definedName>
    <definedName name="mdao1gbh0.25" localSheetId="16">#REF!</definedName>
    <definedName name="mdao1gbh0.25" localSheetId="18">#REF!</definedName>
    <definedName name="mdao1gbh0.25">#REF!</definedName>
    <definedName name="mdao1gbh0.30" localSheetId="11">#REF!</definedName>
    <definedName name="mdao1gbh0.30" localSheetId="16">#REF!</definedName>
    <definedName name="mdao1gbh0.30" localSheetId="18">#REF!</definedName>
    <definedName name="mdao1gbh0.30">#REF!</definedName>
    <definedName name="mdao1gbh0.35" localSheetId="11">#REF!</definedName>
    <definedName name="mdao1gbh0.35" localSheetId="16">#REF!</definedName>
    <definedName name="mdao1gbh0.35" localSheetId="18">#REF!</definedName>
    <definedName name="mdao1gbh0.35">#REF!</definedName>
    <definedName name="mdao1gbh0.40" localSheetId="11">#REF!</definedName>
    <definedName name="mdao1gbh0.40" localSheetId="16">#REF!</definedName>
    <definedName name="mdao1gbh0.40" localSheetId="18">#REF!</definedName>
    <definedName name="mdao1gbh0.40">#REF!</definedName>
    <definedName name="mdao1gbh0.65" localSheetId="11">#REF!</definedName>
    <definedName name="mdao1gbh0.65" localSheetId="16">#REF!</definedName>
    <definedName name="mdao1gbh0.65" localSheetId="18">#REF!</definedName>
    <definedName name="mdao1gbh0.65">#REF!</definedName>
    <definedName name="mdao1gbh0.75" localSheetId="11">#REF!</definedName>
    <definedName name="mdao1gbh0.75" localSheetId="16">#REF!</definedName>
    <definedName name="mdao1gbh0.75" localSheetId="18">#REF!</definedName>
    <definedName name="mdao1gbh0.75">#REF!</definedName>
    <definedName name="mdao1gbh1.25" localSheetId="11">#REF!</definedName>
    <definedName name="mdao1gbh1.25" localSheetId="16">#REF!</definedName>
    <definedName name="mdao1gbh1.25" localSheetId="18">#REF!</definedName>
    <definedName name="mdao1gbh1.25">#REF!</definedName>
    <definedName name="mdao1gbx0.22" localSheetId="11">#REF!</definedName>
    <definedName name="mdao1gbx0.22" localSheetId="16">#REF!</definedName>
    <definedName name="mdao1gbx0.22" localSheetId="18">#REF!</definedName>
    <definedName name="mdao1gbx0.22">#REF!</definedName>
    <definedName name="mdao1gbx0.25" localSheetId="11">#REF!</definedName>
    <definedName name="mdao1gbx0.25" localSheetId="16">#REF!</definedName>
    <definedName name="mdao1gbx0.25" localSheetId="18">#REF!</definedName>
    <definedName name="mdao1gbx0.25">#REF!</definedName>
    <definedName name="mdao1gbx0.30" localSheetId="11">#REF!</definedName>
    <definedName name="mdao1gbx0.30" localSheetId="16">#REF!</definedName>
    <definedName name="mdao1gbx0.30" localSheetId="18">#REF!</definedName>
    <definedName name="mdao1gbx0.30">#REF!</definedName>
    <definedName name="mdao1gbx0.35" localSheetId="11">#REF!</definedName>
    <definedName name="mdao1gbx0.35" localSheetId="16">#REF!</definedName>
    <definedName name="mdao1gbx0.35" localSheetId="18">#REF!</definedName>
    <definedName name="mdao1gbx0.35">#REF!</definedName>
    <definedName name="mdao1gbx0.40" localSheetId="11">#REF!</definedName>
    <definedName name="mdao1gbx0.40" localSheetId="16">#REF!</definedName>
    <definedName name="mdao1gbx0.40" localSheetId="18">#REF!</definedName>
    <definedName name="mdao1gbx0.40">#REF!</definedName>
    <definedName name="mdao1gbx0.50" localSheetId="11">#REF!</definedName>
    <definedName name="mdao1gbx0.50" localSheetId="16">#REF!</definedName>
    <definedName name="mdao1gbx0.50" localSheetId="18">#REF!</definedName>
    <definedName name="mdao1gbx0.50">#REF!</definedName>
    <definedName name="mdao1gbx0.65" localSheetId="11">#REF!</definedName>
    <definedName name="mdao1gbx0.65" localSheetId="16">#REF!</definedName>
    <definedName name="mdao1gbx0.65" localSheetId="18">#REF!</definedName>
    <definedName name="mdao1gbx0.65">#REF!</definedName>
    <definedName name="mdao1gbx1.00" localSheetId="11">#REF!</definedName>
    <definedName name="mdao1gbx1.00" localSheetId="16">#REF!</definedName>
    <definedName name="mdao1gbx1.00" localSheetId="18">#REF!</definedName>
    <definedName name="mdao1gbx1.00">#REF!</definedName>
    <definedName name="mdao1gbx1.20" localSheetId="11">#REF!</definedName>
    <definedName name="mdao1gbx1.20" localSheetId="16">#REF!</definedName>
    <definedName name="mdao1gbx1.20" localSheetId="18">#REF!</definedName>
    <definedName name="mdao1gbx1.20">#REF!</definedName>
    <definedName name="mdao1gbx1.25" localSheetId="11">#REF!</definedName>
    <definedName name="mdao1gbx1.25" localSheetId="16">#REF!</definedName>
    <definedName name="mdao1gbx1.25" localSheetId="18">#REF!</definedName>
    <definedName name="mdao1gbx1.25">#REF!</definedName>
    <definedName name="mdao1gbx1.60" localSheetId="11">#REF!</definedName>
    <definedName name="mdao1gbx1.60" localSheetId="16">#REF!</definedName>
    <definedName name="mdao1gbx1.60" localSheetId="18">#REF!</definedName>
    <definedName name="mdao1gbx1.60">#REF!</definedName>
    <definedName name="mdao1gbx2.00" localSheetId="11">#REF!</definedName>
    <definedName name="mdao1gbx2.00" localSheetId="16">#REF!</definedName>
    <definedName name="mdao1gbx2.00" localSheetId="18">#REF!</definedName>
    <definedName name="mdao1gbx2.00">#REF!</definedName>
    <definedName name="mdao1gbx2.50" localSheetId="11">#REF!</definedName>
    <definedName name="mdao1gbx2.50" localSheetId="16">#REF!</definedName>
    <definedName name="mdao1gbx2.50" localSheetId="18">#REF!</definedName>
    <definedName name="mdao1gbx2.50">#REF!</definedName>
    <definedName name="mdao1gbx4.00" localSheetId="11">#REF!</definedName>
    <definedName name="mdao1gbx4.00" localSheetId="16">#REF!</definedName>
    <definedName name="mdao1gbx4.00" localSheetId="18">#REF!</definedName>
    <definedName name="mdao1gbx4.00">#REF!</definedName>
    <definedName name="mdao1gbx4.60" localSheetId="11">#REF!</definedName>
    <definedName name="mdao1gbx4.60" localSheetId="16">#REF!</definedName>
    <definedName name="mdao1gbx4.60" localSheetId="18">#REF!</definedName>
    <definedName name="mdao1gbx4.60">#REF!</definedName>
    <definedName name="mdao1gbx5.00" localSheetId="11">#REF!</definedName>
    <definedName name="mdao1gbx5.00" localSheetId="16">#REF!</definedName>
    <definedName name="mdao1gbx5.00" localSheetId="18">#REF!</definedName>
    <definedName name="mdao1gbx5.00">#REF!</definedName>
    <definedName name="me" localSheetId="11">#REF!</definedName>
    <definedName name="me" localSheetId="16">#REF!</definedName>
    <definedName name="me" localSheetId="18">#REF!</definedName>
    <definedName name="me">#REF!</definedName>
    <definedName name="mepcocsau1" localSheetId="11">#REF!</definedName>
    <definedName name="mepcocsau1" localSheetId="16">#REF!</definedName>
    <definedName name="mepcocsau1" localSheetId="18">#REF!</definedName>
    <definedName name="mepcocsau1">#REF!</definedName>
    <definedName name="mepcoctr100" localSheetId="11">#REF!</definedName>
    <definedName name="mepcoctr100" localSheetId="16">#REF!</definedName>
    <definedName name="mepcoctr100" localSheetId="18">#REF!</definedName>
    <definedName name="mepcoctr100">#REF!</definedName>
    <definedName name="mepcoctr60" localSheetId="11">#REF!</definedName>
    <definedName name="mepcoctr60" localSheetId="16">#REF!</definedName>
    <definedName name="mepcoctr60" localSheetId="18">#REF!</definedName>
    <definedName name="mepcoctr60">#REF!</definedName>
    <definedName name="mf" localSheetId="11">#REF!</definedName>
    <definedName name="mf" localSheetId="16">#REF!</definedName>
    <definedName name="mf" localSheetId="18">#REF!</definedName>
    <definedName name="mf">#REF!</definedName>
    <definedName name="MFG" localSheetId="11">#REF!</definedName>
    <definedName name="MFG" localSheetId="16">#REF!</definedName>
    <definedName name="MFG" localSheetId="18">#REF!</definedName>
    <definedName name="MFG">#REF!</definedName>
    <definedName name="mfgexp" localSheetId="11">#REF!</definedName>
    <definedName name="mfgexp" localSheetId="16">#REF!</definedName>
    <definedName name="mfgexp" localSheetId="18">#REF!</definedName>
    <definedName name="mfgexp">#REF!</definedName>
    <definedName name="MG_A" localSheetId="11">#REF!</definedName>
    <definedName name="MG_A" localSheetId="16">#REF!</definedName>
    <definedName name="MG_A" localSheetId="18">#REF!</definedName>
    <definedName name="MG_A">#REF!</definedName>
    <definedName name="mhan1chieu40" localSheetId="11">#REF!</definedName>
    <definedName name="mhan1chieu40" localSheetId="16">#REF!</definedName>
    <definedName name="mhan1chieu40" localSheetId="18">#REF!</definedName>
    <definedName name="mhan1chieu40">#REF!</definedName>
    <definedName name="mhan1chieu50" localSheetId="11">#REF!</definedName>
    <definedName name="mhan1chieu50" localSheetId="16">#REF!</definedName>
    <definedName name="mhan1chieu50" localSheetId="18">#REF!</definedName>
    <definedName name="mhan1chieu50">#REF!</definedName>
    <definedName name="mhancatnuoc124" localSheetId="11">#REF!</definedName>
    <definedName name="mhancatnuoc124" localSheetId="16">#REF!</definedName>
    <definedName name="mhancatnuoc124" localSheetId="18">#REF!</definedName>
    <definedName name="mhancatnuoc124">#REF!</definedName>
    <definedName name="mhand10.2" localSheetId="11">#REF!</definedName>
    <definedName name="mhand10.2" localSheetId="16">#REF!</definedName>
    <definedName name="mhand10.2" localSheetId="18">#REF!</definedName>
    <definedName name="mhand10.2">#REF!</definedName>
    <definedName name="mhand27.5" localSheetId="11">#REF!</definedName>
    <definedName name="mhand27.5" localSheetId="16">#REF!</definedName>
    <definedName name="mhand27.5" localSheetId="18">#REF!</definedName>
    <definedName name="mhand27.5">#REF!</definedName>
    <definedName name="mhand4" localSheetId="11">#REF!</definedName>
    <definedName name="mhand4" localSheetId="16">#REF!</definedName>
    <definedName name="mhand4" localSheetId="18">#REF!</definedName>
    <definedName name="mhand4">#REF!</definedName>
    <definedName name="mhanhoi1000" localSheetId="11">#REF!</definedName>
    <definedName name="mhanhoi1000" localSheetId="16">#REF!</definedName>
    <definedName name="mhanhoi1000" localSheetId="18">#REF!</definedName>
    <definedName name="mhanhoi1000">#REF!</definedName>
    <definedName name="mhanhoi2000" localSheetId="11">#REF!</definedName>
    <definedName name="mhanhoi2000" localSheetId="16">#REF!</definedName>
    <definedName name="mhanhoi2000" localSheetId="18">#REF!</definedName>
    <definedName name="mhanhoi2000">#REF!</definedName>
    <definedName name="mhanxang20" localSheetId="11">#REF!</definedName>
    <definedName name="mhanxang20" localSheetId="16">#REF!</definedName>
    <definedName name="mhanxang20" localSheetId="18">#REF!</definedName>
    <definedName name="mhanxang20">#REF!</definedName>
    <definedName name="mhanxang9" localSheetId="11">#REF!</definedName>
    <definedName name="mhanxang9" localSheetId="16">#REF!</definedName>
    <definedName name="mhanxang9" localSheetId="18">#REF!</definedName>
    <definedName name="mhanxang9">#REF!</definedName>
    <definedName name="mhanxchieu23" localSheetId="11">#REF!</definedName>
    <definedName name="mhanxchieu23" localSheetId="16">#REF!</definedName>
    <definedName name="mhanxchieu23" localSheetId="18">#REF!</definedName>
    <definedName name="mhanxchieu23">#REF!</definedName>
    <definedName name="mhanxchieu29.2" localSheetId="11">#REF!</definedName>
    <definedName name="mhanxchieu29.2" localSheetId="16">#REF!</definedName>
    <definedName name="mhanxchieu29.2" localSheetId="18">#REF!</definedName>
    <definedName name="mhanxchieu29.2">#REF!</definedName>
    <definedName name="mhanxchieu33.5" localSheetId="11">#REF!</definedName>
    <definedName name="mhanxchieu33.5" localSheetId="16">#REF!</definedName>
    <definedName name="mhanxchieu33.5" localSheetId="18">#REF!</definedName>
    <definedName name="mhanxchieu33.5">#REF!</definedName>
    <definedName name="MIS_Jun10" localSheetId="16">#REF!</definedName>
    <definedName name="MIS_Jun10">#REF!</definedName>
    <definedName name="mkcnGPS15" localSheetId="11">#REF!</definedName>
    <definedName name="mkcnGPS15" localSheetId="16">#REF!</definedName>
    <definedName name="mkcnGPS15" localSheetId="18">#REF!</definedName>
    <definedName name="mkcnGPS15">#REF!</definedName>
    <definedName name="mkcnTRC15" localSheetId="11">#REF!</definedName>
    <definedName name="mkcnTRC15" localSheetId="16">#REF!</definedName>
    <definedName name="mkcnTRC15" localSheetId="18">#REF!</definedName>
    <definedName name="mkcnTRC15">#REF!</definedName>
    <definedName name="mkcnVRM" localSheetId="11">#REF!</definedName>
    <definedName name="mkcnVRM" localSheetId="16">#REF!</definedName>
    <definedName name="mkcnVRM" localSheetId="18">#REF!</definedName>
    <definedName name="mkcnVRM">#REF!</definedName>
    <definedName name="mkeobh165" localSheetId="11">#REF!</definedName>
    <definedName name="mkeobh165" localSheetId="16">#REF!</definedName>
    <definedName name="mkeobh165" localSheetId="18">#REF!</definedName>
    <definedName name="mkeobh165">#REF!</definedName>
    <definedName name="mkeobh215" localSheetId="11">#REF!</definedName>
    <definedName name="mkeobh215" localSheetId="16">#REF!</definedName>
    <definedName name="mkeobh215" localSheetId="18">#REF!</definedName>
    <definedName name="mkeobh215">#REF!</definedName>
    <definedName name="mkeobh28" localSheetId="11">#REF!</definedName>
    <definedName name="mkeobh28" localSheetId="16">#REF!</definedName>
    <definedName name="mkeobh28" localSheetId="18">#REF!</definedName>
    <definedName name="mkeobh28">#REF!</definedName>
    <definedName name="mkeobh40" localSheetId="11">#REF!</definedName>
    <definedName name="mkeobh40" localSheetId="16">#REF!</definedName>
    <definedName name="mkeobh40" localSheetId="18">#REF!</definedName>
    <definedName name="mkeobh40">#REF!</definedName>
    <definedName name="mkeobh50" localSheetId="11">#REF!</definedName>
    <definedName name="mkeobh50" localSheetId="16">#REF!</definedName>
    <definedName name="mkeobh50" localSheetId="18">#REF!</definedName>
    <definedName name="mkeobh50">#REF!</definedName>
    <definedName name="mkeobh55" localSheetId="11">#REF!</definedName>
    <definedName name="mkeobh55" localSheetId="16">#REF!</definedName>
    <definedName name="mkeobh55" localSheetId="18">#REF!</definedName>
    <definedName name="mkeobh55">#REF!</definedName>
    <definedName name="mkeobh60" localSheetId="11">#REF!</definedName>
    <definedName name="mkeobh60" localSheetId="16">#REF!</definedName>
    <definedName name="mkeobh60" localSheetId="18">#REF!</definedName>
    <definedName name="mkeobh60">#REF!</definedName>
    <definedName name="mkeobh80" localSheetId="11">#REF!</definedName>
    <definedName name="mkeobh80" localSheetId="16">#REF!</definedName>
    <definedName name="mkeobh80" localSheetId="18">#REF!</definedName>
    <definedName name="mkeobh80">#REF!</definedName>
    <definedName name="mkeobx108" localSheetId="11">#REF!</definedName>
    <definedName name="mkeobx108" localSheetId="16">#REF!</definedName>
    <definedName name="mkeobx108" localSheetId="18">#REF!</definedName>
    <definedName name="mkeobx108">#REF!</definedName>
    <definedName name="mkeobx130" localSheetId="11">#REF!</definedName>
    <definedName name="mkeobx130" localSheetId="16">#REF!</definedName>
    <definedName name="mkeobx130" localSheetId="18">#REF!</definedName>
    <definedName name="mkeobx130">#REF!</definedName>
    <definedName name="mkeobx45" localSheetId="11">#REF!</definedName>
    <definedName name="mkeobx45" localSheetId="16">#REF!</definedName>
    <definedName name="mkeobx45" localSheetId="18">#REF!</definedName>
    <definedName name="mkeobx45">#REF!</definedName>
    <definedName name="mkeobx54" localSheetId="11">#REF!</definedName>
    <definedName name="mkeobx54" localSheetId="16">#REF!</definedName>
    <definedName name="mkeobx54" localSheetId="18">#REF!</definedName>
    <definedName name="mkeobx54">#REF!</definedName>
    <definedName name="mkeobx60" localSheetId="11">#REF!</definedName>
    <definedName name="mkeobx60" localSheetId="16">#REF!</definedName>
    <definedName name="mkeobx60" localSheetId="18">#REF!</definedName>
    <definedName name="mkeobx60">#REF!</definedName>
    <definedName name="mkeobx75" localSheetId="11">#REF!</definedName>
    <definedName name="mkeobx75" localSheetId="16">#REF!</definedName>
    <definedName name="mkeobx75" localSheetId="18">#REF!</definedName>
    <definedName name="mkeobx75">#REF!</definedName>
    <definedName name="mkhoanbttay24" localSheetId="11">#REF!</definedName>
    <definedName name="mkhoanbttay24" localSheetId="16">#REF!</definedName>
    <definedName name="mkhoanbttay24" localSheetId="18">#REF!</definedName>
    <definedName name="mkhoanbttay24">#REF!</definedName>
    <definedName name="mkhoanbttay30" localSheetId="11">#REF!</definedName>
    <definedName name="mkhoanbttay30" localSheetId="16">#REF!</definedName>
    <definedName name="mkhoanbttay30" localSheetId="18">#REF!</definedName>
    <definedName name="mkhoanbttay30">#REF!</definedName>
    <definedName name="mkhoanbttay38" localSheetId="11">#REF!</definedName>
    <definedName name="mkhoanbttay38" localSheetId="16">#REF!</definedName>
    <definedName name="mkhoanbttay38" localSheetId="18">#REF!</definedName>
    <definedName name="mkhoanbttay38">#REF!</definedName>
    <definedName name="mkhoanbttay40" localSheetId="11">#REF!</definedName>
    <definedName name="mkhoanbttay40" localSheetId="16">#REF!</definedName>
    <definedName name="mkhoanbttay40" localSheetId="18">#REF!</definedName>
    <definedName name="mkhoanbttay40">#REF!</definedName>
    <definedName name="mkhoandatay30" localSheetId="11">#REF!</definedName>
    <definedName name="mkhoandatay30" localSheetId="16">#REF!</definedName>
    <definedName name="mkhoandatay30" localSheetId="18">#REF!</definedName>
    <definedName name="mkhoandatay30">#REF!</definedName>
    <definedName name="mkhoandatay42" localSheetId="11">#REF!</definedName>
    <definedName name="mkhoandatay42" localSheetId="16">#REF!</definedName>
    <definedName name="mkhoandatay42" localSheetId="18">#REF!</definedName>
    <definedName name="mkhoandatay42">#REF!</definedName>
    <definedName name="mkhoandung4.5" localSheetId="11">#REF!</definedName>
    <definedName name="mkhoandung4.5" localSheetId="16">#REF!</definedName>
    <definedName name="mkhoandung4.5" localSheetId="18">#REF!</definedName>
    <definedName name="mkhoandung4.5">#REF!</definedName>
    <definedName name="mkhoansattay13" localSheetId="11">#REF!</definedName>
    <definedName name="mkhoansattay13" localSheetId="16">#REF!</definedName>
    <definedName name="mkhoansattay13" localSheetId="18">#REF!</definedName>
    <definedName name="mkhoansattay13">#REF!</definedName>
    <definedName name="mkhoanxoayth110" localSheetId="11">#REF!</definedName>
    <definedName name="mkhoanxoayth110" localSheetId="16">#REF!</definedName>
    <definedName name="mkhoanxoayth110" localSheetId="18">#REF!</definedName>
    <definedName name="mkhoanxoayth110">#REF!</definedName>
    <definedName name="mkhoanxoayth95" localSheetId="11">#REF!</definedName>
    <definedName name="mkhoanxoayth95" localSheetId="16">#REF!</definedName>
    <definedName name="mkhoanxoayth95" localSheetId="18">#REF!</definedName>
    <definedName name="mkhoanxoayth95">#REF!</definedName>
    <definedName name="mkichck18" localSheetId="11">#REF!</definedName>
    <definedName name="mkichck18" localSheetId="16">#REF!</definedName>
    <definedName name="mkichck18" localSheetId="18">#REF!</definedName>
    <definedName name="mkichck18">#REF!</definedName>
    <definedName name="mkichck250" localSheetId="11">#REF!</definedName>
    <definedName name="mkichck250" localSheetId="16">#REF!</definedName>
    <definedName name="mkichck250" localSheetId="18">#REF!</definedName>
    <definedName name="mkichck250">#REF!</definedName>
    <definedName name="mkichday60" localSheetId="11">#REF!</definedName>
    <definedName name="mkichday60" localSheetId="16">#REF!</definedName>
    <definedName name="mkichday60" localSheetId="18">#REF!</definedName>
    <definedName name="mkichday60">#REF!</definedName>
    <definedName name="mkichnang100" localSheetId="11">#REF!</definedName>
    <definedName name="mkichnang100" localSheetId="16">#REF!</definedName>
    <definedName name="mkichnang100" localSheetId="18">#REF!</definedName>
    <definedName name="mkichnang100">#REF!</definedName>
    <definedName name="mkichnang250" localSheetId="11">#REF!</definedName>
    <definedName name="mkichnang250" localSheetId="16">#REF!</definedName>
    <definedName name="mkichnang250" localSheetId="18">#REF!</definedName>
    <definedName name="mkichnang250">#REF!</definedName>
    <definedName name="mkichnang500" localSheetId="11">#REF!</definedName>
    <definedName name="mkichnang500" localSheetId="16">#REF!</definedName>
    <definedName name="mkichnang500" localSheetId="18">#REF!</definedName>
    <definedName name="mkichnang500">#REF!</definedName>
    <definedName name="mluoncap15" localSheetId="11">#REF!</definedName>
    <definedName name="mluoncap15" localSheetId="16">#REF!</definedName>
    <definedName name="mluoncap15" localSheetId="18">#REF!</definedName>
    <definedName name="mluoncap15">#REF!</definedName>
    <definedName name="mmai2.7" localSheetId="11">#REF!</definedName>
    <definedName name="mmai2.7" localSheetId="16">#REF!</definedName>
    <definedName name="mmai2.7" localSheetId="18">#REF!</definedName>
    <definedName name="mmai2.7">#REF!</definedName>
    <definedName name="mminus1" localSheetId="11">#REF!</definedName>
    <definedName name="mminus1" localSheetId="16">#REF!</definedName>
    <definedName name="mminus1" localSheetId="18">#REF!</definedName>
    <definedName name="mminus1">#REF!</definedName>
    <definedName name="mnenkhid102" localSheetId="11">#REF!</definedName>
    <definedName name="mnenkhid102" localSheetId="16">#REF!</definedName>
    <definedName name="mnenkhid102" localSheetId="18">#REF!</definedName>
    <definedName name="mnenkhid102">#REF!</definedName>
    <definedName name="mnenkhid120" localSheetId="11">#REF!</definedName>
    <definedName name="mnenkhid120" localSheetId="16">#REF!</definedName>
    <definedName name="mnenkhid120" localSheetId="18">#REF!</definedName>
    <definedName name="mnenkhid120">#REF!</definedName>
    <definedName name="mnenkhid1200" localSheetId="11">#REF!</definedName>
    <definedName name="mnenkhid1200" localSheetId="16">#REF!</definedName>
    <definedName name="mnenkhid1200" localSheetId="18">#REF!</definedName>
    <definedName name="mnenkhid1200">#REF!</definedName>
    <definedName name="mnenkhid200" localSheetId="11">#REF!</definedName>
    <definedName name="mnenkhid200" localSheetId="16">#REF!</definedName>
    <definedName name="mnenkhid200" localSheetId="18">#REF!</definedName>
    <definedName name="mnenkhid200">#REF!</definedName>
    <definedName name="mnenkhid240" localSheetId="11">#REF!</definedName>
    <definedName name="mnenkhid240" localSheetId="16">#REF!</definedName>
    <definedName name="mnenkhid240" localSheetId="18">#REF!</definedName>
    <definedName name="mnenkhid240">#REF!</definedName>
    <definedName name="mnenkhid300" localSheetId="11">#REF!</definedName>
    <definedName name="mnenkhid300" localSheetId="16">#REF!</definedName>
    <definedName name="mnenkhid300" localSheetId="18">#REF!</definedName>
    <definedName name="mnenkhid300">#REF!</definedName>
    <definedName name="mnenkhid360" localSheetId="11">#REF!</definedName>
    <definedName name="mnenkhid360" localSheetId="16">#REF!</definedName>
    <definedName name="mnenkhid360" localSheetId="18">#REF!</definedName>
    <definedName name="mnenkhid360">#REF!</definedName>
    <definedName name="mnenkhid5.5" localSheetId="11">#REF!</definedName>
    <definedName name="mnenkhid5.5" localSheetId="16">#REF!</definedName>
    <definedName name="mnenkhid5.5" localSheetId="18">#REF!</definedName>
    <definedName name="mnenkhid5.5">#REF!</definedName>
    <definedName name="mnenkhid540" localSheetId="11">#REF!</definedName>
    <definedName name="mnenkhid540" localSheetId="16">#REF!</definedName>
    <definedName name="mnenkhid540" localSheetId="18">#REF!</definedName>
    <definedName name="mnenkhid540">#REF!</definedName>
    <definedName name="mnenkhid600" localSheetId="11">#REF!</definedName>
    <definedName name="mnenkhid600" localSheetId="16">#REF!</definedName>
    <definedName name="mnenkhid600" localSheetId="18">#REF!</definedName>
    <definedName name="mnenkhid600">#REF!</definedName>
    <definedName name="mnenkhid660" localSheetId="11">#REF!</definedName>
    <definedName name="mnenkhid660" localSheetId="16">#REF!</definedName>
    <definedName name="mnenkhid660" localSheetId="18">#REF!</definedName>
    <definedName name="mnenkhid660">#REF!</definedName>
    <definedName name="mnenkhid75" localSheetId="11">#REF!</definedName>
    <definedName name="mnenkhid75" localSheetId="16">#REF!</definedName>
    <definedName name="mnenkhid75" localSheetId="18">#REF!</definedName>
    <definedName name="mnenkhid75">#REF!</definedName>
    <definedName name="mnenkhidien10" localSheetId="11">#REF!</definedName>
    <definedName name="mnenkhidien10" localSheetId="16">#REF!</definedName>
    <definedName name="mnenkhidien10" localSheetId="18">#REF!</definedName>
    <definedName name="mnenkhidien10">#REF!</definedName>
    <definedName name="mnenkhidien150" localSheetId="11">#REF!</definedName>
    <definedName name="mnenkhidien150" localSheetId="16">#REF!</definedName>
    <definedName name="mnenkhidien150" localSheetId="18">#REF!</definedName>
    <definedName name="mnenkhidien150">#REF!</definedName>
    <definedName name="mnenkhidien216" localSheetId="11">#REF!</definedName>
    <definedName name="mnenkhidien216" localSheetId="16">#REF!</definedName>
    <definedName name="mnenkhidien216" localSheetId="18">#REF!</definedName>
    <definedName name="mnenkhidien216">#REF!</definedName>
    <definedName name="mnenkhidien22" localSheetId="11">#REF!</definedName>
    <definedName name="mnenkhidien22" localSheetId="16">#REF!</definedName>
    <definedName name="mnenkhidien22" localSheetId="18">#REF!</definedName>
    <definedName name="mnenkhidien22">#REF!</definedName>
    <definedName name="mnenkhidien270" localSheetId="11">#REF!</definedName>
    <definedName name="mnenkhidien270" localSheetId="16">#REF!</definedName>
    <definedName name="mnenkhidien270" localSheetId="18">#REF!</definedName>
    <definedName name="mnenkhidien270">#REF!</definedName>
    <definedName name="mnenkhidien30" localSheetId="11">#REF!</definedName>
    <definedName name="mnenkhidien30" localSheetId="16">#REF!</definedName>
    <definedName name="mnenkhidien30" localSheetId="18">#REF!</definedName>
    <definedName name="mnenkhidien30">#REF!</definedName>
    <definedName name="mnenkhidien300" localSheetId="11">#REF!</definedName>
    <definedName name="mnenkhidien300" localSheetId="16">#REF!</definedName>
    <definedName name="mnenkhidien300" localSheetId="18">#REF!</definedName>
    <definedName name="mnenkhidien300">#REF!</definedName>
    <definedName name="mnenkhidien5" localSheetId="11">#REF!</definedName>
    <definedName name="mnenkhidien5" localSheetId="16">#REF!</definedName>
    <definedName name="mnenkhidien5" localSheetId="18">#REF!</definedName>
    <definedName name="mnenkhidien5">#REF!</definedName>
    <definedName name="mnenkhidien56" localSheetId="11">#REF!</definedName>
    <definedName name="mnenkhidien56" localSheetId="16">#REF!</definedName>
    <definedName name="mnenkhidien56" localSheetId="18">#REF!</definedName>
    <definedName name="mnenkhidien56">#REF!</definedName>
    <definedName name="mnenkhidien600" localSheetId="11">#REF!</definedName>
    <definedName name="mnenkhidien600" localSheetId="16">#REF!</definedName>
    <definedName name="mnenkhidien600" localSheetId="18">#REF!</definedName>
    <definedName name="mnenkhidien600">#REF!</definedName>
    <definedName name="mnenkhixang11" localSheetId="11">#REF!</definedName>
    <definedName name="mnenkhixang11" localSheetId="16">#REF!</definedName>
    <definedName name="mnenkhixang11" localSheetId="18">#REF!</definedName>
    <definedName name="mnenkhixang11">#REF!</definedName>
    <definedName name="mnenkhixang120" localSheetId="11">#REF!</definedName>
    <definedName name="mnenkhixang120" localSheetId="16">#REF!</definedName>
    <definedName name="mnenkhixang120" localSheetId="18">#REF!</definedName>
    <definedName name="mnenkhixang120">#REF!</definedName>
    <definedName name="mnenkhixang200" localSheetId="11">#REF!</definedName>
    <definedName name="mnenkhixang200" localSheetId="16">#REF!</definedName>
    <definedName name="mnenkhixang200" localSheetId="18">#REF!</definedName>
    <definedName name="mnenkhixang200">#REF!</definedName>
    <definedName name="mnenkhixang25" localSheetId="11">#REF!</definedName>
    <definedName name="mnenkhixang25" localSheetId="16">#REF!</definedName>
    <definedName name="mnenkhixang25" localSheetId="18">#REF!</definedName>
    <definedName name="mnenkhixang25">#REF!</definedName>
    <definedName name="mnenkhixang3" localSheetId="11">#REF!</definedName>
    <definedName name="mnenkhixang3" localSheetId="16">#REF!</definedName>
    <definedName name="mnenkhixang3" localSheetId="18">#REF!</definedName>
    <definedName name="mnenkhixang3">#REF!</definedName>
    <definedName name="mnenkhixang300" localSheetId="11">#REF!</definedName>
    <definedName name="mnenkhixang300" localSheetId="16">#REF!</definedName>
    <definedName name="mnenkhixang300" localSheetId="18">#REF!</definedName>
    <definedName name="mnenkhixang300">#REF!</definedName>
    <definedName name="mnenkhixang40" localSheetId="11">#REF!</definedName>
    <definedName name="mnenkhixang40" localSheetId="16">#REF!</definedName>
    <definedName name="mnenkhixang40" localSheetId="18">#REF!</definedName>
    <definedName name="mnenkhixang40">#REF!</definedName>
    <definedName name="mnenkhixang600" localSheetId="11">#REF!</definedName>
    <definedName name="mnenkhixang600" localSheetId="16">#REF!</definedName>
    <definedName name="mnenkhixang600" localSheetId="18">#REF!</definedName>
    <definedName name="mnenkhixang600">#REF!</definedName>
    <definedName name="mnghiendad25" localSheetId="11">#REF!</definedName>
    <definedName name="mnghiendad25" localSheetId="16">#REF!</definedName>
    <definedName name="mnghiendad25" localSheetId="18">#REF!</definedName>
    <definedName name="mnghiendad25">#REF!</definedName>
    <definedName name="mnghiendadd20" localSheetId="11">#REF!</definedName>
    <definedName name="mnghiendadd20" localSheetId="16">#REF!</definedName>
    <definedName name="mnghiendadd20" localSheetId="18">#REF!</definedName>
    <definedName name="mnghiendadd20">#REF!</definedName>
    <definedName name="mnghiendadd6" localSheetId="11">#REF!</definedName>
    <definedName name="mnghiendadd6" localSheetId="16">#REF!</definedName>
    <definedName name="mnghiendadd6" localSheetId="18">#REF!</definedName>
    <definedName name="mnghiendadd6">#REF!</definedName>
    <definedName name="mnghiendatho14" localSheetId="11">#REF!</definedName>
    <definedName name="mnghiendatho14" localSheetId="16">#REF!</definedName>
    <definedName name="mnghiendatho14" localSheetId="18">#REF!</definedName>
    <definedName name="mnghiendatho14">#REF!</definedName>
    <definedName name="mnghiendatho200" localSheetId="11">#REF!</definedName>
    <definedName name="mnghiendatho200" localSheetId="16">#REF!</definedName>
    <definedName name="mnghiendatho200" localSheetId="18">#REF!</definedName>
    <definedName name="mnghiendatho200">#REF!</definedName>
    <definedName name="mnhogcaydk100" localSheetId="11">#REF!</definedName>
    <definedName name="mnhogcaydk100" localSheetId="16">#REF!</definedName>
    <definedName name="mnhogcaydk100" localSheetId="18">#REF!</definedName>
    <definedName name="mnhogcaydk100">#REF!</definedName>
    <definedName name="mnhogcaydk54" localSheetId="11">#REF!</definedName>
    <definedName name="mnhogcaydk54" localSheetId="16">#REF!</definedName>
    <definedName name="mnhogcaydk54" localSheetId="18">#REF!</definedName>
    <definedName name="mnhogcaydk54">#REF!</definedName>
    <definedName name="mnhogcaydk75" localSheetId="11">#REF!</definedName>
    <definedName name="mnhogcaydk75" localSheetId="16">#REF!</definedName>
    <definedName name="mnhogcaydk75" localSheetId="18">#REF!</definedName>
    <definedName name="mnhogcaydk75">#REF!</definedName>
    <definedName name="Month">[2]List!$G$2:$G$13</definedName>
    <definedName name="morita" localSheetId="11">#REF!</definedName>
    <definedName name="morita" localSheetId="16">#REF!</definedName>
    <definedName name="morita" localSheetId="18">#REF!</definedName>
    <definedName name="morita">#REF!</definedName>
    <definedName name="moritavn" localSheetId="11">#REF!</definedName>
    <definedName name="moritavn" localSheetId="16">#REF!</definedName>
    <definedName name="moritavn" localSheetId="18">#REF!</definedName>
    <definedName name="moritavn">#REF!</definedName>
    <definedName name="motodk150" localSheetId="11">#REF!</definedName>
    <definedName name="motodk150" localSheetId="16">#REF!</definedName>
    <definedName name="motodk150" localSheetId="18">#REF!</definedName>
    <definedName name="motodk150">#REF!</definedName>
    <definedName name="motodk180" localSheetId="11">#REF!</definedName>
    <definedName name="motodk180" localSheetId="16">#REF!</definedName>
    <definedName name="motodk180" localSheetId="18">#REF!</definedName>
    <definedName name="motodk180">#REF!</definedName>
    <definedName name="motodk200" localSheetId="11">#REF!</definedName>
    <definedName name="motodk200" localSheetId="16">#REF!</definedName>
    <definedName name="motodk200" localSheetId="18">#REF!</definedName>
    <definedName name="motodk200">#REF!</definedName>
    <definedName name="motodk240" localSheetId="11">#REF!</definedName>
    <definedName name="motodk240" localSheetId="16">#REF!</definedName>
    <definedName name="motodk240" localSheetId="18">#REF!</definedName>
    <definedName name="motodk240">#REF!</definedName>
    <definedName name="motodk255" localSheetId="11">#REF!</definedName>
    <definedName name="motodk255" localSheetId="16">#REF!</definedName>
    <definedName name="motodk255" localSheetId="18">#REF!</definedName>
    <definedName name="motodk255">#REF!</definedName>
    <definedName name="motodk272" localSheetId="11">#REF!</definedName>
    <definedName name="motodk272" localSheetId="16">#REF!</definedName>
    <definedName name="motodk272" localSheetId="18">#REF!</definedName>
    <definedName name="motodk272">#REF!</definedName>
    <definedName name="motothung10" localSheetId="11">#REF!</definedName>
    <definedName name="motothung10" localSheetId="16">#REF!</definedName>
    <definedName name="motothung10" localSheetId="18">#REF!</definedName>
    <definedName name="motothung10">#REF!</definedName>
    <definedName name="motothung12" localSheetId="11">#REF!</definedName>
    <definedName name="motothung12" localSheetId="16">#REF!</definedName>
    <definedName name="motothung12" localSheetId="18">#REF!</definedName>
    <definedName name="motothung12">#REF!</definedName>
    <definedName name="motothung12.5" localSheetId="11">#REF!</definedName>
    <definedName name="motothung12.5" localSheetId="16">#REF!</definedName>
    <definedName name="motothung12.5" localSheetId="18">#REF!</definedName>
    <definedName name="motothung12.5">#REF!</definedName>
    <definedName name="motothung2" localSheetId="11">#REF!</definedName>
    <definedName name="motothung2" localSheetId="16">#REF!</definedName>
    <definedName name="motothung2" localSheetId="18">#REF!</definedName>
    <definedName name="motothung2">#REF!</definedName>
    <definedName name="motothung2.5" localSheetId="11">#REF!</definedName>
    <definedName name="motothung2.5" localSheetId="16">#REF!</definedName>
    <definedName name="motothung2.5" localSheetId="18">#REF!</definedName>
    <definedName name="motothung2.5">#REF!</definedName>
    <definedName name="motothung20" localSheetId="11">#REF!</definedName>
    <definedName name="motothung20" localSheetId="16">#REF!</definedName>
    <definedName name="motothung20" localSheetId="18">#REF!</definedName>
    <definedName name="motothung20">#REF!</definedName>
    <definedName name="motothung4" localSheetId="11">#REF!</definedName>
    <definedName name="motothung4" localSheetId="16">#REF!</definedName>
    <definedName name="motothung4" localSheetId="18">#REF!</definedName>
    <definedName name="motothung4">#REF!</definedName>
    <definedName name="motothung5" localSheetId="11">#REF!</definedName>
    <definedName name="motothung5" localSheetId="16">#REF!</definedName>
    <definedName name="motothung5" localSheetId="18">#REF!</definedName>
    <definedName name="motothung5">#REF!</definedName>
    <definedName name="motothung6" localSheetId="11">#REF!</definedName>
    <definedName name="motothung6" localSheetId="16">#REF!</definedName>
    <definedName name="motothung6" localSheetId="18">#REF!</definedName>
    <definedName name="motothung6">#REF!</definedName>
    <definedName name="motothung7" localSheetId="11">#REF!</definedName>
    <definedName name="motothung7" localSheetId="16">#REF!</definedName>
    <definedName name="motothung7" localSheetId="18">#REF!</definedName>
    <definedName name="motothung7">#REF!</definedName>
    <definedName name="mototnuoc4" localSheetId="11">#REF!</definedName>
    <definedName name="mototnuoc4" localSheetId="16">#REF!</definedName>
    <definedName name="mototnuoc4" localSheetId="18">#REF!</definedName>
    <definedName name="mototnuoc4">#REF!</definedName>
    <definedName name="mototnuoc5" localSheetId="11">#REF!</definedName>
    <definedName name="mototnuoc5" localSheetId="16">#REF!</definedName>
    <definedName name="mototnuoc5" localSheetId="18">#REF!</definedName>
    <definedName name="mototnuoc5">#REF!</definedName>
    <definedName name="mototnuoc6" localSheetId="11">#REF!</definedName>
    <definedName name="mototnuoc6" localSheetId="16">#REF!</definedName>
    <definedName name="mototnuoc6" localSheetId="18">#REF!</definedName>
    <definedName name="mototnuoc6">#REF!</definedName>
    <definedName name="mototnuoc7" localSheetId="11">#REF!</definedName>
    <definedName name="mototnuoc7" localSheetId="16">#REF!</definedName>
    <definedName name="mototnuoc7" localSheetId="18">#REF!</definedName>
    <definedName name="mototnuoc7">#REF!</definedName>
    <definedName name="mototudo10" localSheetId="11">#REF!</definedName>
    <definedName name="mototudo10" localSheetId="16">#REF!</definedName>
    <definedName name="mototudo10" localSheetId="18">#REF!</definedName>
    <definedName name="mototudo10">#REF!</definedName>
    <definedName name="mototudo12" localSheetId="11">#REF!</definedName>
    <definedName name="mototudo12" localSheetId="16">#REF!</definedName>
    <definedName name="mototudo12" localSheetId="18">#REF!</definedName>
    <definedName name="mototudo12">#REF!</definedName>
    <definedName name="mototudo15" localSheetId="11">#REF!</definedName>
    <definedName name="mototudo15" localSheetId="16">#REF!</definedName>
    <definedName name="mototudo15" localSheetId="18">#REF!</definedName>
    <definedName name="mototudo15">#REF!</definedName>
    <definedName name="mototudo2.5" localSheetId="11">#REF!</definedName>
    <definedName name="mototudo2.5" localSheetId="16">#REF!</definedName>
    <definedName name="mototudo2.5" localSheetId="18">#REF!</definedName>
    <definedName name="mototudo2.5">#REF!</definedName>
    <definedName name="mototudo20" localSheetId="11">#REF!</definedName>
    <definedName name="mototudo20" localSheetId="16">#REF!</definedName>
    <definedName name="mototudo20" localSheetId="18">#REF!</definedName>
    <definedName name="mototudo20">#REF!</definedName>
    <definedName name="mototudo25" localSheetId="11">#REF!</definedName>
    <definedName name="mototudo25" localSheetId="16">#REF!</definedName>
    <definedName name="mototudo25" localSheetId="18">#REF!</definedName>
    <definedName name="mototudo25">#REF!</definedName>
    <definedName name="mototudo27" localSheetId="11">#REF!</definedName>
    <definedName name="mototudo27" localSheetId="16">#REF!</definedName>
    <definedName name="mototudo27" localSheetId="18">#REF!</definedName>
    <definedName name="mototudo27">#REF!</definedName>
    <definedName name="mototudo3.5" localSheetId="11">#REF!</definedName>
    <definedName name="mototudo3.5" localSheetId="16">#REF!</definedName>
    <definedName name="mototudo3.5" localSheetId="18">#REF!</definedName>
    <definedName name="mototudo3.5">#REF!</definedName>
    <definedName name="mototudo4" localSheetId="11">#REF!</definedName>
    <definedName name="mototudo4" localSheetId="16">#REF!</definedName>
    <definedName name="mototudo4" localSheetId="18">#REF!</definedName>
    <definedName name="mototudo4">#REF!</definedName>
    <definedName name="mototudo5" localSheetId="11">#REF!</definedName>
    <definedName name="mototudo5" localSheetId="16">#REF!</definedName>
    <definedName name="mototudo5" localSheetId="18">#REF!</definedName>
    <definedName name="mototudo5">#REF!</definedName>
    <definedName name="mototudo6" localSheetId="11">#REF!</definedName>
    <definedName name="mototudo6" localSheetId="16">#REF!</definedName>
    <definedName name="mototudo6" localSheetId="18">#REF!</definedName>
    <definedName name="mototudo6">#REF!</definedName>
    <definedName name="mototudo7" localSheetId="11">#REF!</definedName>
    <definedName name="mototudo7" localSheetId="16">#REF!</definedName>
    <definedName name="mototudo7" localSheetId="18">#REF!</definedName>
    <definedName name="mototudo7">#REF!</definedName>
    <definedName name="mototudo9" localSheetId="11">#REF!</definedName>
    <definedName name="mototudo9" localSheetId="16">#REF!</definedName>
    <definedName name="mototudo9" localSheetId="18">#REF!</definedName>
    <definedName name="mototudo9">#REF!</definedName>
    <definedName name="motovcbt6" localSheetId="11">#REF!</definedName>
    <definedName name="motovcbt6" localSheetId="16">#REF!</definedName>
    <definedName name="motovcbt6" localSheetId="18">#REF!</definedName>
    <definedName name="motovcbt6">#REF!</definedName>
    <definedName name="mpha250" localSheetId="11">#REF!</definedName>
    <definedName name="mpha250" localSheetId="16">#REF!</definedName>
    <definedName name="mpha250" localSheetId="18">#REF!</definedName>
    <definedName name="mpha250">#REF!</definedName>
    <definedName name="mphaothep10" localSheetId="11">#REF!</definedName>
    <definedName name="mphaothep10" localSheetId="16">#REF!</definedName>
    <definedName name="mphaothep10" localSheetId="18">#REF!</definedName>
    <definedName name="mphaothep10">#REF!</definedName>
    <definedName name="mphaothep15" localSheetId="11">#REF!</definedName>
    <definedName name="mphaothep15" localSheetId="16">#REF!</definedName>
    <definedName name="mphaothep15" localSheetId="18">#REF!</definedName>
    <definedName name="mphaothep15">#REF!</definedName>
    <definedName name="mphatdienld10" localSheetId="11">#REF!</definedName>
    <definedName name="mphatdienld10" localSheetId="16">#REF!</definedName>
    <definedName name="mphatdienld10" localSheetId="18">#REF!</definedName>
    <definedName name="mphatdienld10">#REF!</definedName>
    <definedName name="mphatdienld112" localSheetId="11">#REF!</definedName>
    <definedName name="mphatdienld112" localSheetId="16">#REF!</definedName>
    <definedName name="mphatdienld112" localSheetId="18">#REF!</definedName>
    <definedName name="mphatdienld112">#REF!</definedName>
    <definedName name="mphatdienld122" localSheetId="11">#REF!</definedName>
    <definedName name="mphatdienld122" localSheetId="16">#REF!</definedName>
    <definedName name="mphatdienld122" localSheetId="18">#REF!</definedName>
    <definedName name="mphatdienld122">#REF!</definedName>
    <definedName name="mphatdienld15" localSheetId="11">#REF!</definedName>
    <definedName name="mphatdienld15" localSheetId="16">#REF!</definedName>
    <definedName name="mphatdienld15" localSheetId="18">#REF!</definedName>
    <definedName name="mphatdienld15">#REF!</definedName>
    <definedName name="mphatdienld20" localSheetId="11">#REF!</definedName>
    <definedName name="mphatdienld20" localSheetId="16">#REF!</definedName>
    <definedName name="mphatdienld20" localSheetId="18">#REF!</definedName>
    <definedName name="mphatdienld20">#REF!</definedName>
    <definedName name="mphatdienld25" localSheetId="11">#REF!</definedName>
    <definedName name="mphatdienld25" localSheetId="16">#REF!</definedName>
    <definedName name="mphatdienld25" localSheetId="18">#REF!</definedName>
    <definedName name="mphatdienld25">#REF!</definedName>
    <definedName name="mphatdienld30" localSheetId="11">#REF!</definedName>
    <definedName name="mphatdienld30" localSheetId="16">#REF!</definedName>
    <definedName name="mphatdienld30" localSheetId="18">#REF!</definedName>
    <definedName name="mphatdienld30">#REF!</definedName>
    <definedName name="mphatdienld38" localSheetId="11">#REF!</definedName>
    <definedName name="mphatdienld38" localSheetId="16">#REF!</definedName>
    <definedName name="mphatdienld38" localSheetId="18">#REF!</definedName>
    <definedName name="mphatdienld38">#REF!</definedName>
    <definedName name="mphatdienld45" localSheetId="11">#REF!</definedName>
    <definedName name="mphatdienld45" localSheetId="16">#REF!</definedName>
    <definedName name="mphatdienld45" localSheetId="18">#REF!</definedName>
    <definedName name="mphatdienld45">#REF!</definedName>
    <definedName name="mphatdienld5.2" localSheetId="11">#REF!</definedName>
    <definedName name="mphatdienld5.2" localSheetId="16">#REF!</definedName>
    <definedName name="mphatdienld5.2" localSheetId="18">#REF!</definedName>
    <definedName name="mphatdienld5.2">#REF!</definedName>
    <definedName name="mphatdienld50" localSheetId="11">#REF!</definedName>
    <definedName name="mphatdienld50" localSheetId="16">#REF!</definedName>
    <definedName name="mphatdienld50" localSheetId="18">#REF!</definedName>
    <definedName name="mphatdienld50">#REF!</definedName>
    <definedName name="mphatdienld60" localSheetId="11">#REF!</definedName>
    <definedName name="mphatdienld60" localSheetId="16">#REF!</definedName>
    <definedName name="mphatdienld60" localSheetId="18">#REF!</definedName>
    <definedName name="mphatdienld60">#REF!</definedName>
    <definedName name="mphatdienld75" localSheetId="11">#REF!</definedName>
    <definedName name="mphatdienld75" localSheetId="16">#REF!</definedName>
    <definedName name="mphatdienld75" localSheetId="18">#REF!</definedName>
    <definedName name="mphatdienld75">#REF!</definedName>
    <definedName name="mphatdienld8" localSheetId="11">#REF!</definedName>
    <definedName name="mphatdienld8" localSheetId="16">#REF!</definedName>
    <definedName name="mphatdienld8" localSheetId="18">#REF!</definedName>
    <definedName name="mphatdienld8">#REF!</definedName>
    <definedName name="mphunson400" localSheetId="11">#REF!</definedName>
    <definedName name="mphunson400" localSheetId="16">#REF!</definedName>
    <definedName name="mphunson400" localSheetId="18">#REF!</definedName>
    <definedName name="mphunson400">#REF!</definedName>
    <definedName name="mphunvua2" localSheetId="11">#REF!</definedName>
    <definedName name="mphunvua2" localSheetId="16">#REF!</definedName>
    <definedName name="mphunvua2" localSheetId="18">#REF!</definedName>
    <definedName name="mphunvua2">#REF!</definedName>
    <definedName name="mphunvua4" localSheetId="11">#REF!</definedName>
    <definedName name="mphunvua4" localSheetId="16">#REF!</definedName>
    <definedName name="mphunvua4" localSheetId="18">#REF!</definedName>
    <definedName name="mphunvua4">#REF!</definedName>
    <definedName name="mplus1" localSheetId="11">#REF!</definedName>
    <definedName name="mplus1" localSheetId="16">#REF!</definedName>
    <definedName name="mplus1" localSheetId="18">#REF!</definedName>
    <definedName name="mplus1">#REF!</definedName>
    <definedName name="mplus2" localSheetId="11">#REF!</definedName>
    <definedName name="mplus2" localSheetId="16">#REF!</definedName>
    <definedName name="mplus2" localSheetId="18">#REF!</definedName>
    <definedName name="mplus2">#REF!</definedName>
    <definedName name="mplus3" localSheetId="11">#REF!</definedName>
    <definedName name="mplus3" localSheetId="16">#REF!</definedName>
    <definedName name="mplus3" localSheetId="18">#REF!</definedName>
    <definedName name="mplus3">#REF!</definedName>
    <definedName name="mraibtsp500" localSheetId="11">#REF!</definedName>
    <definedName name="mraibtsp500" localSheetId="16">#REF!</definedName>
    <definedName name="mraibtsp500" localSheetId="18">#REF!</definedName>
    <definedName name="mraibtsp500">#REF!</definedName>
    <definedName name="mraintn100" localSheetId="11">#REF!</definedName>
    <definedName name="mraintn100" localSheetId="16">#REF!</definedName>
    <definedName name="mraintn100" localSheetId="18">#REF!</definedName>
    <definedName name="mraintn100">#REF!</definedName>
    <definedName name="mraintn65" localSheetId="11">#REF!</definedName>
    <definedName name="mraintn65" localSheetId="16">#REF!</definedName>
    <definedName name="mraintn65" localSheetId="18">#REF!</definedName>
    <definedName name="mraintn65">#REF!</definedName>
    <definedName name="mromooc14" localSheetId="11">#REF!</definedName>
    <definedName name="mromooc14" localSheetId="16">#REF!</definedName>
    <definedName name="mromooc14" localSheetId="18">#REF!</definedName>
    <definedName name="mromooc14">#REF!</definedName>
    <definedName name="mromooc15" localSheetId="11">#REF!</definedName>
    <definedName name="mromooc15" localSheetId="16">#REF!</definedName>
    <definedName name="mromooc15" localSheetId="18">#REF!</definedName>
    <definedName name="mromooc15">#REF!</definedName>
    <definedName name="mromooc2" localSheetId="11">#REF!</definedName>
    <definedName name="mromooc2" localSheetId="16">#REF!</definedName>
    <definedName name="mromooc2" localSheetId="18">#REF!</definedName>
    <definedName name="mromooc2">#REF!</definedName>
    <definedName name="mromooc21" localSheetId="11">#REF!</definedName>
    <definedName name="mromooc21" localSheetId="16">#REF!</definedName>
    <definedName name="mromooc21" localSheetId="18">#REF!</definedName>
    <definedName name="mromooc21">#REF!</definedName>
    <definedName name="mromooc4" localSheetId="11">#REF!</definedName>
    <definedName name="mromooc4" localSheetId="16">#REF!</definedName>
    <definedName name="mromooc4" localSheetId="18">#REF!</definedName>
    <definedName name="mromooc4">#REF!</definedName>
    <definedName name="mromooc7.5" localSheetId="11">#REF!</definedName>
    <definedName name="mromooc7.5" localSheetId="16">#REF!</definedName>
    <definedName name="mromooc7.5" localSheetId="18">#REF!</definedName>
    <definedName name="mromooc7.5">#REF!</definedName>
    <definedName name="msangbentontie1" localSheetId="11">#REF!</definedName>
    <definedName name="msangbentontie1" localSheetId="16">#REF!</definedName>
    <definedName name="msangbentontie1" localSheetId="18">#REF!</definedName>
    <definedName name="msangbentontie1">#REF!</definedName>
    <definedName name="msangruada11" localSheetId="11">#REF!</definedName>
    <definedName name="msangruada11" localSheetId="16">#REF!</definedName>
    <definedName name="msangruada11" localSheetId="18">#REF!</definedName>
    <definedName name="msangruada11">#REF!</definedName>
    <definedName name="msangruada35" localSheetId="11">#REF!</definedName>
    <definedName name="msangruada35" localSheetId="16">#REF!</definedName>
    <definedName name="msangruada35" localSheetId="18">#REF!</definedName>
    <definedName name="msangruada35">#REF!</definedName>
    <definedName name="msangruada45" localSheetId="11">#REF!</definedName>
    <definedName name="msangruada45" localSheetId="16">#REF!</definedName>
    <definedName name="msangruada45" localSheetId="18">#REF!</definedName>
    <definedName name="msangruada45">#REF!</definedName>
    <definedName name="msanth108" localSheetId="11">#REF!</definedName>
    <definedName name="msanth108" localSheetId="16">#REF!</definedName>
    <definedName name="msanth108" localSheetId="18">#REF!</definedName>
    <definedName name="msanth108">#REF!</definedName>
    <definedName name="msanth180" localSheetId="11">#REF!</definedName>
    <definedName name="msanth180" localSheetId="16">#REF!</definedName>
    <definedName name="msanth180" localSheetId="18">#REF!</definedName>
    <definedName name="msanth180">#REF!</definedName>
    <definedName name="msanth250" localSheetId="11">#REF!</definedName>
    <definedName name="msanth250" localSheetId="16">#REF!</definedName>
    <definedName name="msanth250" localSheetId="18">#REF!</definedName>
    <definedName name="msanth250">#REF!</definedName>
    <definedName name="msanth54" localSheetId="11">#REF!</definedName>
    <definedName name="msanth54" localSheetId="16">#REF!</definedName>
    <definedName name="msanth54" localSheetId="18">#REF!</definedName>
    <definedName name="msanth54">#REF!</definedName>
    <definedName name="msanth90" localSheetId="11">#REF!</definedName>
    <definedName name="msanth90" localSheetId="16">#REF!</definedName>
    <definedName name="msanth90" localSheetId="18">#REF!</definedName>
    <definedName name="msanth90">#REF!</definedName>
    <definedName name="MSVITM">'[9]L-Sale'!$C$68:$O$71</definedName>
    <definedName name="MSVYTD">'[9]L-Sale'!$C$95:$O$98</definedName>
    <definedName name="mtaukeo150" localSheetId="11">#REF!</definedName>
    <definedName name="mtaukeo150" localSheetId="16">#REF!</definedName>
    <definedName name="mtaukeo150" localSheetId="18">#REF!</definedName>
    <definedName name="mtaukeo150">#REF!</definedName>
    <definedName name="mtaukeo360" localSheetId="11">#REF!</definedName>
    <definedName name="mtaukeo360" localSheetId="16">#REF!</definedName>
    <definedName name="mtaukeo360" localSheetId="18">#REF!</definedName>
    <definedName name="mtaukeo360">#REF!</definedName>
    <definedName name="mtaukeo600" localSheetId="11">#REF!</definedName>
    <definedName name="mtaukeo600" localSheetId="16">#REF!</definedName>
    <definedName name="mtaukeo600" localSheetId="18">#REF!</definedName>
    <definedName name="mtaukeo600">#REF!</definedName>
    <definedName name="mtbipvlan150" localSheetId="11">#REF!</definedName>
    <definedName name="mtbipvlan150" localSheetId="16">#REF!</definedName>
    <definedName name="mtbipvlan150" localSheetId="18">#REF!</definedName>
    <definedName name="mtbipvlan150">#REF!</definedName>
    <definedName name="mthungcapdkbx2.5" localSheetId="11">#REF!</definedName>
    <definedName name="mthungcapdkbx2.5" localSheetId="16">#REF!</definedName>
    <definedName name="mthungcapdkbx2.5" localSheetId="18">#REF!</definedName>
    <definedName name="mthungcapdkbx2.5">#REF!</definedName>
    <definedName name="mthungcapdkbx2.75" localSheetId="11">#REF!</definedName>
    <definedName name="mthungcapdkbx2.75" localSheetId="16">#REF!</definedName>
    <definedName name="mthungcapdkbx2.75" localSheetId="18">#REF!</definedName>
    <definedName name="mthungcapdkbx2.75">#REF!</definedName>
    <definedName name="mthungcapdkbx3" localSheetId="11">#REF!</definedName>
    <definedName name="mthungcapdkbx3" localSheetId="16">#REF!</definedName>
    <definedName name="mthungcapdkbx3" localSheetId="18">#REF!</definedName>
    <definedName name="mthungcapdkbx3">#REF!</definedName>
    <definedName name="mthungcapdkbx4.5" localSheetId="11">#REF!</definedName>
    <definedName name="mthungcapdkbx4.5" localSheetId="16">#REF!</definedName>
    <definedName name="mthungcapdkbx4.5" localSheetId="18">#REF!</definedName>
    <definedName name="mthungcapdkbx4.5">#REF!</definedName>
    <definedName name="mthungcapdkbx5" localSheetId="11">#REF!</definedName>
    <definedName name="mthungcapdkbx5" localSheetId="16">#REF!</definedName>
    <definedName name="mthungcapdkbx5" localSheetId="18">#REF!</definedName>
    <definedName name="mthungcapdkbx5">#REF!</definedName>
    <definedName name="mthungcapdkbx8" localSheetId="11">#REF!</definedName>
    <definedName name="mthungcapdkbx8" localSheetId="16">#REF!</definedName>
    <definedName name="mthungcapdkbx8" localSheetId="18">#REF!</definedName>
    <definedName name="mthungcapdkbx8">#REF!</definedName>
    <definedName name="mthungcapdkbx9" localSheetId="11">#REF!</definedName>
    <definedName name="mthungcapdkbx9" localSheetId="16">#REF!</definedName>
    <definedName name="mthungcapdkbx9" localSheetId="18">#REF!</definedName>
    <definedName name="mthungcapdkbx9">#REF!</definedName>
    <definedName name="mtien4.5" localSheetId="11">#REF!</definedName>
    <definedName name="mtien4.5" localSheetId="16">#REF!</definedName>
    <definedName name="mtien4.5" localSheetId="18">#REF!</definedName>
    <definedName name="mtien4.5">#REF!</definedName>
    <definedName name="mtoidien0.5" localSheetId="11">#REF!</definedName>
    <definedName name="mtoidien0.5" localSheetId="16">#REF!</definedName>
    <definedName name="mtoidien0.5" localSheetId="18">#REF!</definedName>
    <definedName name="mtoidien0.5">#REF!</definedName>
    <definedName name="mtoidien1" localSheetId="11">#REF!</definedName>
    <definedName name="mtoidien1" localSheetId="16">#REF!</definedName>
    <definedName name="mtoidien1" localSheetId="18">#REF!</definedName>
    <definedName name="mtoidien1">#REF!</definedName>
    <definedName name="mtoidien1.5" localSheetId="11">#REF!</definedName>
    <definedName name="mtoidien1.5" localSheetId="16">#REF!</definedName>
    <definedName name="mtoidien1.5" localSheetId="18">#REF!</definedName>
    <definedName name="mtoidien1.5">#REF!</definedName>
    <definedName name="mtoidien2" localSheetId="11">#REF!</definedName>
    <definedName name="mtoidien2" localSheetId="16">#REF!</definedName>
    <definedName name="mtoidien2" localSheetId="18">#REF!</definedName>
    <definedName name="mtoidien2">#REF!</definedName>
    <definedName name="mtoidien2.5" localSheetId="11">#REF!</definedName>
    <definedName name="mtoidien2.5" localSheetId="16">#REF!</definedName>
    <definedName name="mtoidien2.5" localSheetId="18">#REF!</definedName>
    <definedName name="mtoidien2.5">#REF!</definedName>
    <definedName name="mtoidien3" localSheetId="11">#REF!</definedName>
    <definedName name="mtoidien3" localSheetId="16">#REF!</definedName>
    <definedName name="mtoidien3" localSheetId="18">#REF!</definedName>
    <definedName name="mtoidien3">#REF!</definedName>
    <definedName name="mtoidien4" localSheetId="11">#REF!</definedName>
    <definedName name="mtoidien4" localSheetId="16">#REF!</definedName>
    <definedName name="mtoidien4" localSheetId="18">#REF!</definedName>
    <definedName name="mtoidien4">#REF!</definedName>
    <definedName name="mtoidien5" localSheetId="11">#REF!</definedName>
    <definedName name="mtoidien5" localSheetId="16">#REF!</definedName>
    <definedName name="mtoidien5" localSheetId="18">#REF!</definedName>
    <definedName name="mtoidien5">#REF!</definedName>
    <definedName name="mtrambomdau40" localSheetId="11">#REF!</definedName>
    <definedName name="mtrambomdau40" localSheetId="16">#REF!</definedName>
    <definedName name="mtrambomdau40" localSheetId="18">#REF!</definedName>
    <definedName name="mtrambomdau40">#REF!</definedName>
    <definedName name="mtrambomdau50" localSheetId="11">#REF!</definedName>
    <definedName name="mtrambomdau50" localSheetId="16">#REF!</definedName>
    <definedName name="mtrambomdau50" localSheetId="18">#REF!</definedName>
    <definedName name="mtrambomdau50">#REF!</definedName>
    <definedName name="mtramtronbt20" localSheetId="11">#REF!</definedName>
    <definedName name="mtramtronbt20" localSheetId="16">#REF!</definedName>
    <definedName name="mtramtronbt20" localSheetId="18">#REF!</definedName>
    <definedName name="mtramtronbt20">#REF!</definedName>
    <definedName name="mtramtronbt22" localSheetId="11">#REF!</definedName>
    <definedName name="mtramtronbt22" localSheetId="16">#REF!</definedName>
    <definedName name="mtramtronbt22" localSheetId="18">#REF!</definedName>
    <definedName name="mtramtronbt22">#REF!</definedName>
    <definedName name="mtramtronbt30" localSheetId="11">#REF!</definedName>
    <definedName name="mtramtronbt30" localSheetId="16">#REF!</definedName>
    <definedName name="mtramtronbt30" localSheetId="18">#REF!</definedName>
    <definedName name="mtramtronbt30">#REF!</definedName>
    <definedName name="mtramtronbt60" localSheetId="11">#REF!</definedName>
    <definedName name="mtramtronbt60" localSheetId="16">#REF!</definedName>
    <definedName name="mtramtronbt60" localSheetId="18">#REF!</definedName>
    <definedName name="mtramtronbt60">#REF!</definedName>
    <definedName name="mtramtronbtn25" localSheetId="11">#REF!</definedName>
    <definedName name="mtramtronbtn25" localSheetId="16">#REF!</definedName>
    <definedName name="mtramtronbtn25" localSheetId="18">#REF!</definedName>
    <definedName name="mtramtronbtn25">#REF!</definedName>
    <definedName name="mtramtronbtn30" localSheetId="11">#REF!</definedName>
    <definedName name="mtramtronbtn30" localSheetId="16">#REF!</definedName>
    <definedName name="mtramtronbtn30" localSheetId="18">#REF!</definedName>
    <definedName name="mtramtronbtn30">#REF!</definedName>
    <definedName name="mtramtronbtn40" localSheetId="11">#REF!</definedName>
    <definedName name="mtramtronbtn40" localSheetId="16">#REF!</definedName>
    <definedName name="mtramtronbtn40" localSheetId="18">#REF!</definedName>
    <definedName name="mtramtronbtn40">#REF!</definedName>
    <definedName name="mtramtronbtn50" localSheetId="11">#REF!</definedName>
    <definedName name="mtramtronbtn50" localSheetId="16">#REF!</definedName>
    <definedName name="mtramtronbtn50" localSheetId="18">#REF!</definedName>
    <definedName name="mtramtronbtn50">#REF!</definedName>
    <definedName name="mtramtronbtn60" localSheetId="11">#REF!</definedName>
    <definedName name="mtramtronbtn60" localSheetId="16">#REF!</definedName>
    <definedName name="mtramtronbtn60" localSheetId="18">#REF!</definedName>
    <definedName name="mtramtronbtn60">#REF!</definedName>
    <definedName name="mtramtronbtn80" localSheetId="11">#REF!</definedName>
    <definedName name="mtramtronbtn80" localSheetId="16">#REF!</definedName>
    <definedName name="mtramtronbtn80" localSheetId="18">#REF!</definedName>
    <definedName name="mtramtronbtn80">#REF!</definedName>
    <definedName name="mtronbentonite1" localSheetId="11">#REF!</definedName>
    <definedName name="mtronbentonite1" localSheetId="16">#REF!</definedName>
    <definedName name="mtronbentonite1" localSheetId="18">#REF!</definedName>
    <definedName name="mtronbentonite1">#REF!</definedName>
    <definedName name="mtronbt100" localSheetId="11">#REF!</definedName>
    <definedName name="mtronbt100" localSheetId="16">#REF!</definedName>
    <definedName name="mtronbt100" localSheetId="18">#REF!</definedName>
    <definedName name="mtronbt100">#REF!</definedName>
    <definedName name="mtronbt1150" localSheetId="11">#REF!</definedName>
    <definedName name="mtronbt1150" localSheetId="16">#REF!</definedName>
    <definedName name="mtronbt1150" localSheetId="18">#REF!</definedName>
    <definedName name="mtronbt1150">#REF!</definedName>
    <definedName name="mtronbt150" localSheetId="11">#REF!</definedName>
    <definedName name="mtronbt150" localSheetId="16">#REF!</definedName>
    <definedName name="mtronbt150" localSheetId="18">#REF!</definedName>
    <definedName name="mtronbt150">#REF!</definedName>
    <definedName name="mtronbt1600" localSheetId="11">#REF!</definedName>
    <definedName name="mtronbt1600" localSheetId="16">#REF!</definedName>
    <definedName name="mtronbt1600" localSheetId="18">#REF!</definedName>
    <definedName name="mtronbt1600">#REF!</definedName>
    <definedName name="mtronbt200" localSheetId="11">#REF!</definedName>
    <definedName name="mtronbt200" localSheetId="16">#REF!</definedName>
    <definedName name="mtronbt200" localSheetId="18">#REF!</definedName>
    <definedName name="mtronbt200">#REF!</definedName>
    <definedName name="mtronbt250" localSheetId="11">#REF!</definedName>
    <definedName name="mtronbt250" localSheetId="16">#REF!</definedName>
    <definedName name="mtronbt250" localSheetId="18">#REF!</definedName>
    <definedName name="mtronbt250">#REF!</definedName>
    <definedName name="mtronbt425" localSheetId="11">#REF!</definedName>
    <definedName name="mtronbt425" localSheetId="16">#REF!</definedName>
    <definedName name="mtronbt425" localSheetId="18">#REF!</definedName>
    <definedName name="mtronbt425">#REF!</definedName>
    <definedName name="mtronbt500" localSheetId="11">#REF!</definedName>
    <definedName name="mtronbt500" localSheetId="16">#REF!</definedName>
    <definedName name="mtronbt500" localSheetId="18">#REF!</definedName>
    <definedName name="mtronbt500">#REF!</definedName>
    <definedName name="mtronbt800" localSheetId="11">#REF!</definedName>
    <definedName name="mtronbt800" localSheetId="16">#REF!</definedName>
    <definedName name="mtronbt800" localSheetId="18">#REF!</definedName>
    <definedName name="mtronbt800">#REF!</definedName>
    <definedName name="mtronvua110" localSheetId="11">#REF!</definedName>
    <definedName name="mtronvua110" localSheetId="16">#REF!</definedName>
    <definedName name="mtronvua110" localSheetId="18">#REF!</definedName>
    <definedName name="mtronvua110">#REF!</definedName>
    <definedName name="mtronvua150" localSheetId="11">#REF!</definedName>
    <definedName name="mtronvua150" localSheetId="16">#REF!</definedName>
    <definedName name="mtronvua150" localSheetId="18">#REF!</definedName>
    <definedName name="mtronvua150">#REF!</definedName>
    <definedName name="mtronvua200" localSheetId="11">#REF!</definedName>
    <definedName name="mtronvua200" localSheetId="16">#REF!</definedName>
    <definedName name="mtronvua200" localSheetId="18">#REF!</definedName>
    <definedName name="mtronvua200">#REF!</definedName>
    <definedName name="mtronvua250" localSheetId="11">#REF!</definedName>
    <definedName name="mtronvua250" localSheetId="16">#REF!</definedName>
    <definedName name="mtronvua250" localSheetId="18">#REF!</definedName>
    <definedName name="mtronvua250">#REF!</definedName>
    <definedName name="mtronvua325" localSheetId="11">#REF!</definedName>
    <definedName name="mtronvua325" localSheetId="16">#REF!</definedName>
    <definedName name="mtronvua325" localSheetId="18">#REF!</definedName>
    <definedName name="mtronvua325">#REF!</definedName>
    <definedName name="mtronvua80" localSheetId="11">#REF!</definedName>
    <definedName name="mtronvua80" localSheetId="16">#REF!</definedName>
    <definedName name="mtronvua80" localSheetId="18">#REF!</definedName>
    <definedName name="mtronvua80">#REF!</definedName>
    <definedName name="muonong2.8" localSheetId="11">#REF!</definedName>
    <definedName name="muonong2.8" localSheetId="16">#REF!</definedName>
    <definedName name="muonong2.8" localSheetId="18">#REF!</definedName>
    <definedName name="muonong2.8">#REF!</definedName>
    <definedName name="mvanthang0.3" localSheetId="11">#REF!</definedName>
    <definedName name="mvanthang0.3" localSheetId="16">#REF!</definedName>
    <definedName name="mvanthang0.3" localSheetId="18">#REF!</definedName>
    <definedName name="mvanthang0.3">#REF!</definedName>
    <definedName name="mvanthang0.5" localSheetId="11">#REF!</definedName>
    <definedName name="mvanthang0.5" localSheetId="16">#REF!</definedName>
    <definedName name="mvanthang0.5" localSheetId="18">#REF!</definedName>
    <definedName name="mvanthang0.5">#REF!</definedName>
    <definedName name="mvanthang2" localSheetId="11">#REF!</definedName>
    <definedName name="mvanthang2" localSheetId="16">#REF!</definedName>
    <definedName name="mvanthang2" localSheetId="18">#REF!</definedName>
    <definedName name="mvanthang2">#REF!</definedName>
    <definedName name="mxebombt90" localSheetId="11">#REF!</definedName>
    <definedName name="mxebombt90" localSheetId="16">#REF!</definedName>
    <definedName name="mxebombt90" localSheetId="18">#REF!</definedName>
    <definedName name="mxebombt90">#REF!</definedName>
    <definedName name="mxenanghang1.5" localSheetId="11">#REF!</definedName>
    <definedName name="mxenanghang1.5" localSheetId="16">#REF!</definedName>
    <definedName name="mxenanghang1.5" localSheetId="18">#REF!</definedName>
    <definedName name="mxenanghang1.5">#REF!</definedName>
    <definedName name="mxenanghang12" localSheetId="11">#REF!</definedName>
    <definedName name="mxenanghang12" localSheetId="16">#REF!</definedName>
    <definedName name="mxenanghang12" localSheetId="18">#REF!</definedName>
    <definedName name="mxenanghang12">#REF!</definedName>
    <definedName name="mxenanghang3" localSheetId="11">#REF!</definedName>
    <definedName name="mxenanghang3" localSheetId="16">#REF!</definedName>
    <definedName name="mxenanghang3" localSheetId="18">#REF!</definedName>
    <definedName name="mxenanghang3">#REF!</definedName>
    <definedName name="mxenanghang3.2" localSheetId="11">#REF!</definedName>
    <definedName name="mxenanghang3.2" localSheetId="16">#REF!</definedName>
    <definedName name="mxenanghang3.2" localSheetId="18">#REF!</definedName>
    <definedName name="mxenanghang3.2">#REF!</definedName>
    <definedName name="mxenanghang3.5" localSheetId="11">#REF!</definedName>
    <definedName name="mxenanghang3.5" localSheetId="16">#REF!</definedName>
    <definedName name="mxenanghang3.5" localSheetId="18">#REF!</definedName>
    <definedName name="mxenanghang3.5">#REF!</definedName>
    <definedName name="mxenanghang5" localSheetId="11">#REF!</definedName>
    <definedName name="mxenanghang5" localSheetId="16">#REF!</definedName>
    <definedName name="mxenanghang5" localSheetId="18">#REF!</definedName>
    <definedName name="mxenanghang5">#REF!</definedName>
    <definedName name="mxetuoinhua190" localSheetId="11">#REF!</definedName>
    <definedName name="mxetuoinhua190" localSheetId="16">#REF!</definedName>
    <definedName name="mxetuoinhua190" localSheetId="18">#REF!</definedName>
    <definedName name="mxetuoinhua190">#REF!</definedName>
    <definedName name="mxuclat0.40" localSheetId="11">#REF!</definedName>
    <definedName name="mxuclat0.40" localSheetId="16">#REF!</definedName>
    <definedName name="mxuclat0.40" localSheetId="18">#REF!</definedName>
    <definedName name="mxuclat0.40">#REF!</definedName>
    <definedName name="mxuclat1.00" localSheetId="11">#REF!</definedName>
    <definedName name="mxuclat1.00" localSheetId="16">#REF!</definedName>
    <definedName name="mxuclat1.00" localSheetId="18">#REF!</definedName>
    <definedName name="mxuclat1.00">#REF!</definedName>
    <definedName name="mxuclat1.65" localSheetId="11">#REF!</definedName>
    <definedName name="mxuclat1.65" localSheetId="16">#REF!</definedName>
    <definedName name="mxuclat1.65" localSheetId="18">#REF!</definedName>
    <definedName name="mxuclat1.65">#REF!</definedName>
    <definedName name="mxuclat2.00" localSheetId="11">#REF!</definedName>
    <definedName name="mxuclat2.00" localSheetId="16">#REF!</definedName>
    <definedName name="mxuclat2.00" localSheetId="18">#REF!</definedName>
    <definedName name="mxuclat2.00">#REF!</definedName>
    <definedName name="mxuclat2.80" localSheetId="11">#REF!</definedName>
    <definedName name="mxuclat2.80" localSheetId="16">#REF!</definedName>
    <definedName name="mxuclat2.80" localSheetId="18">#REF!</definedName>
    <definedName name="mxuclat2.80">#REF!</definedName>
    <definedName name="myle" localSheetId="11">#REF!</definedName>
    <definedName name="myle" localSheetId="16">#REF!</definedName>
    <definedName name="myle" localSheetId="18">#REF!</definedName>
    <definedName name="myle">#REF!</definedName>
    <definedName name="n" localSheetId="11" hidden="1">#REF!</definedName>
    <definedName name="n" localSheetId="16" hidden="1">#REF!</definedName>
    <definedName name="n" localSheetId="18" hidden="1">#REF!</definedName>
    <definedName name="n" hidden="1">#REF!</definedName>
    <definedName name="NASIK_D" localSheetId="11">#REF!</definedName>
    <definedName name="NASIK_D" localSheetId="16">#REF!</definedName>
    <definedName name="NASIK_D" localSheetId="18">#REF!</definedName>
    <definedName name="NASIK_D">#REF!</definedName>
    <definedName name="NASIK_P" localSheetId="11">#REF!</definedName>
    <definedName name="NASIK_P" localSheetId="16">#REF!</definedName>
    <definedName name="NASIK_P" localSheetId="18">#REF!</definedName>
    <definedName name="NASIK_P">#REF!</definedName>
    <definedName name="NASIK_S" localSheetId="11">#REF!</definedName>
    <definedName name="NASIK_S" localSheetId="16">#REF!</definedName>
    <definedName name="NASIK_S" localSheetId="18">#REF!</definedName>
    <definedName name="NASIK_S">#REF!</definedName>
    <definedName name="NBY">#N/A</definedName>
    <definedName name="NBYBD">#N/A</definedName>
    <definedName name="ncong" localSheetId="11">#REF!</definedName>
    <definedName name="ncong" localSheetId="16">#REF!</definedName>
    <definedName name="ncong" localSheetId="18">#REF!</definedName>
    <definedName name="ncong">#REF!</definedName>
    <definedName name="ncr" localSheetId="11">#REF!</definedName>
    <definedName name="ncr" localSheetId="16">#REF!</definedName>
    <definedName name="ncr" localSheetId="18">#REF!</definedName>
    <definedName name="ncr">#REF!</definedName>
    <definedName name="NET" localSheetId="11">#REF!</definedName>
    <definedName name="NET" localSheetId="16">#REF!</definedName>
    <definedName name="NET" localSheetId="18">#REF!</definedName>
    <definedName name="NET">#REF!</definedName>
    <definedName name="NET_1" localSheetId="11">#REF!</definedName>
    <definedName name="NET_1" localSheetId="16">#REF!</definedName>
    <definedName name="NET_1" localSheetId="18">#REF!</definedName>
    <definedName name="NET_1">#REF!</definedName>
    <definedName name="NET_ANA" localSheetId="11">#REF!</definedName>
    <definedName name="NET_ANA" localSheetId="16">#REF!</definedName>
    <definedName name="NET_ANA" localSheetId="18">#REF!</definedName>
    <definedName name="NET_ANA">#REF!</definedName>
    <definedName name="NET_ANA_1" localSheetId="11">#REF!</definedName>
    <definedName name="NET_ANA_1" localSheetId="16">#REF!</definedName>
    <definedName name="NET_ANA_1" localSheetId="18">#REF!</definedName>
    <definedName name="NET_ANA_1">#REF!</definedName>
    <definedName name="NET_ANA_2" localSheetId="11">#REF!</definedName>
    <definedName name="NET_ANA_2" localSheetId="16">#REF!</definedName>
    <definedName name="NET_ANA_2" localSheetId="18">#REF!</definedName>
    <definedName name="NET_ANA_2">#REF!</definedName>
    <definedName name="New" localSheetId="11">#REF!</definedName>
    <definedName name="New" localSheetId="16">#REF!</definedName>
    <definedName name="New" localSheetId="18">#REF!</definedName>
    <definedName name="New">#REF!</definedName>
    <definedName name="NH" localSheetId="11">#REF!</definedName>
    <definedName name="NH" localSheetId="16">#REF!</definedName>
    <definedName name="NH" localSheetId="18">#REF!</definedName>
    <definedName name="NH">#REF!</definedName>
    <definedName name="NHot" localSheetId="11">#REF!</definedName>
    <definedName name="NHot" localSheetId="16">#REF!</definedName>
    <definedName name="NHot" localSheetId="18">#REF!</definedName>
    <definedName name="NHot">#REF!</definedName>
    <definedName name="NM1AD" localSheetId="11">#REF!</definedName>
    <definedName name="NM1AD" localSheetId="16">#REF!</definedName>
    <definedName name="NM1AD" localSheetId="18">#REF!</definedName>
    <definedName name="NM1AD">#REF!</definedName>
    <definedName name="NM1ARL" localSheetId="11">#REF!</definedName>
    <definedName name="NM1ARL" localSheetId="16">#REF!</definedName>
    <definedName name="NM1ARL" localSheetId="18">#REF!</definedName>
    <definedName name="NM1ARL">#REF!</definedName>
    <definedName name="NM1BLD" localSheetId="11">#REF!</definedName>
    <definedName name="NM1BLD" localSheetId="16">#REF!</definedName>
    <definedName name="NM1BLD" localSheetId="18">#REF!</definedName>
    <definedName name="NM1BLD">#REF!</definedName>
    <definedName name="NM1BRL" localSheetId="11">#REF!</definedName>
    <definedName name="NM1BRL" localSheetId="16">#REF!</definedName>
    <definedName name="NM1BRL" localSheetId="18">#REF!</definedName>
    <definedName name="NM1BRL">#REF!</definedName>
    <definedName name="NM1CLCF" localSheetId="11">#REF!</definedName>
    <definedName name="NM1CLCF" localSheetId="16">#REF!</definedName>
    <definedName name="NM1CLCF" localSheetId="18">#REF!</definedName>
    <definedName name="NM1CLCF">#REF!</definedName>
    <definedName name="NM1CLCP" localSheetId="11">#REF!</definedName>
    <definedName name="NM1CLCP" localSheetId="16">#REF!</definedName>
    <definedName name="NM1CLCP" localSheetId="18">#REF!</definedName>
    <definedName name="NM1CLCP">#REF!</definedName>
    <definedName name="NM1CLF" localSheetId="11">#REF!</definedName>
    <definedName name="NM1CLF" localSheetId="16">#REF!</definedName>
    <definedName name="NM1CLF" localSheetId="18">#REF!</definedName>
    <definedName name="NM1CLF">#REF!</definedName>
    <definedName name="NM1CLP" localSheetId="11">#REF!</definedName>
    <definedName name="NM1CLP" localSheetId="16">#REF!</definedName>
    <definedName name="NM1CLP" localSheetId="18">#REF!</definedName>
    <definedName name="NM1CLP">#REF!</definedName>
    <definedName name="NM1DF" localSheetId="11">#REF!</definedName>
    <definedName name="NM1DF" localSheetId="16">#REF!</definedName>
    <definedName name="NM1DF" localSheetId="18">#REF!</definedName>
    <definedName name="NM1DF">#REF!</definedName>
    <definedName name="NM1DP" localSheetId="11">#REF!</definedName>
    <definedName name="NM1DP" localSheetId="16">#REF!</definedName>
    <definedName name="NM1DP" localSheetId="18">#REF!</definedName>
    <definedName name="NM1DP">#REF!</definedName>
    <definedName name="NM1MR" localSheetId="11">#REF!</definedName>
    <definedName name="NM1MR" localSheetId="16">#REF!</definedName>
    <definedName name="NM1MR" localSheetId="18">#REF!</definedName>
    <definedName name="NM1MR">#REF!</definedName>
    <definedName name="NM1OP" localSheetId="11">#REF!</definedName>
    <definedName name="NM1OP" localSheetId="16">#REF!</definedName>
    <definedName name="NM1OP" localSheetId="18">#REF!</definedName>
    <definedName name="NM1OP">#REF!</definedName>
    <definedName name="NM1RL" localSheetId="11">#REF!</definedName>
    <definedName name="NM1RL" localSheetId="16">#REF!</definedName>
    <definedName name="NM1RL" localSheetId="18">#REF!</definedName>
    <definedName name="NM1RL">#REF!</definedName>
    <definedName name="NM1SAF" localSheetId="11">#REF!</definedName>
    <definedName name="NM1SAF" localSheetId="16">#REF!</definedName>
    <definedName name="NM1SAF" localSheetId="18">#REF!</definedName>
    <definedName name="NM1SAF">#REF!</definedName>
    <definedName name="NM1SAP" localSheetId="11">#REF!</definedName>
    <definedName name="NM1SAP" localSheetId="16">#REF!</definedName>
    <definedName name="NM1SAP" localSheetId="18">#REF!</definedName>
    <definedName name="NM1SAP">#REF!</definedName>
    <definedName name="NM2CLF" localSheetId="11">#REF!</definedName>
    <definedName name="NM2CLF" localSheetId="16">#REF!</definedName>
    <definedName name="NM2CLF" localSheetId="18">#REF!</definedName>
    <definedName name="NM2CLF">#REF!</definedName>
    <definedName name="NM2CLP" localSheetId="11">#REF!</definedName>
    <definedName name="NM2CLP" localSheetId="16">#REF!</definedName>
    <definedName name="NM2CLP" localSheetId="18">#REF!</definedName>
    <definedName name="NM2CLP">#REF!</definedName>
    <definedName name="NM2DF" localSheetId="11">#REF!</definedName>
    <definedName name="NM2DF" localSheetId="16">#REF!</definedName>
    <definedName name="NM2DF" localSheetId="18">#REF!</definedName>
    <definedName name="NM2DF">#REF!</definedName>
    <definedName name="NM2DP" localSheetId="11">#REF!</definedName>
    <definedName name="NM2DP" localSheetId="16">#REF!</definedName>
    <definedName name="NM2DP" localSheetId="18">#REF!</definedName>
    <definedName name="NM2DP">#REF!</definedName>
    <definedName name="NM2MR" localSheetId="11">#REF!</definedName>
    <definedName name="NM2MR" localSheetId="16">#REF!</definedName>
    <definedName name="NM2MR" localSheetId="18">#REF!</definedName>
    <definedName name="NM2MR">#REF!</definedName>
    <definedName name="NM2RL" localSheetId="11">#REF!</definedName>
    <definedName name="NM2RL" localSheetId="16">#REF!</definedName>
    <definedName name="NM2RL" localSheetId="18">#REF!</definedName>
    <definedName name="NM2RL">#REF!</definedName>
    <definedName name="NM2SAF" localSheetId="11">#REF!</definedName>
    <definedName name="NM2SAF" localSheetId="16">#REF!</definedName>
    <definedName name="NM2SAF" localSheetId="18">#REF!</definedName>
    <definedName name="NM2SAF">#REF!</definedName>
    <definedName name="NM2SAP" localSheetId="11">#REF!</definedName>
    <definedName name="NM2SAP" localSheetId="16">#REF!</definedName>
    <definedName name="NM2SAP" localSheetId="18">#REF!</definedName>
    <definedName name="NM2SAP">#REF!</definedName>
    <definedName name="NM3CLF" localSheetId="11">#REF!</definedName>
    <definedName name="NM3CLF" localSheetId="16">#REF!</definedName>
    <definedName name="NM3CLF" localSheetId="18">#REF!</definedName>
    <definedName name="NM3CLF">#REF!</definedName>
    <definedName name="NM3CLP" localSheetId="11">#REF!</definedName>
    <definedName name="NM3CLP" localSheetId="16">#REF!</definedName>
    <definedName name="NM3CLP" localSheetId="18">#REF!</definedName>
    <definedName name="NM3CLP">#REF!</definedName>
    <definedName name="NM3DF" localSheetId="11">#REF!</definedName>
    <definedName name="NM3DF" localSheetId="16">#REF!</definedName>
    <definedName name="NM3DF" localSheetId="18">#REF!</definedName>
    <definedName name="NM3DF">#REF!</definedName>
    <definedName name="NM3DP" localSheetId="11">#REF!</definedName>
    <definedName name="NM3DP" localSheetId="16">#REF!</definedName>
    <definedName name="NM3DP" localSheetId="18">#REF!</definedName>
    <definedName name="NM3DP">#REF!</definedName>
    <definedName name="NM3MR" localSheetId="11">#REF!</definedName>
    <definedName name="NM3MR" localSheetId="16">#REF!</definedName>
    <definedName name="NM3MR" localSheetId="18">#REF!</definedName>
    <definedName name="NM3MR">#REF!</definedName>
    <definedName name="NM3RL" localSheetId="11">#REF!</definedName>
    <definedName name="NM3RL" localSheetId="16">#REF!</definedName>
    <definedName name="NM3RL" localSheetId="18">#REF!</definedName>
    <definedName name="NM3RL">#REF!</definedName>
    <definedName name="NM3SAF" localSheetId="11">#REF!</definedName>
    <definedName name="NM3SAF" localSheetId="16">#REF!</definedName>
    <definedName name="NM3SAF" localSheetId="18">#REF!</definedName>
    <definedName name="NM3SAF">#REF!</definedName>
    <definedName name="NM3SAP" localSheetId="11">#REF!</definedName>
    <definedName name="NM3SAP" localSheetId="16">#REF!</definedName>
    <definedName name="NM3SAP" localSheetId="18">#REF!</definedName>
    <definedName name="NM3SAP">#REF!</definedName>
    <definedName name="NNBY">#N/A</definedName>
    <definedName name="NNBYBD">#N/A</definedName>
    <definedName name="No" localSheetId="11">#REF!</definedName>
    <definedName name="No" localSheetId="16">#REF!</definedName>
    <definedName name="No" localSheetId="18">#REF!</definedName>
    <definedName name="No">#REF!</definedName>
    <definedName name="NORTH" localSheetId="11">#REF!</definedName>
    <definedName name="NORTH" localSheetId="16">#REF!</definedName>
    <definedName name="NORTH" localSheetId="18">#REF!</definedName>
    <definedName name="NORTH">#REF!</definedName>
    <definedName name="NOTES" localSheetId="18">[12]NOTES!$A$1:$J$190</definedName>
    <definedName name="NOTES">[13]NOTES!$A$1:$J$191</definedName>
    <definedName name="Nov_04" localSheetId="11">#REF!</definedName>
    <definedName name="Nov_04" localSheetId="16">#REF!</definedName>
    <definedName name="Nov_04" localSheetId="18">#REF!</definedName>
    <definedName name="Nov_04">#REF!</definedName>
    <definedName name="Oct_04" localSheetId="11">#REF!</definedName>
    <definedName name="Oct_04" localSheetId="16">#REF!</definedName>
    <definedName name="Oct_04" localSheetId="18">#REF!</definedName>
    <definedName name="Oct_04">#REF!</definedName>
    <definedName name="odaki" localSheetId="11">#REF!</definedName>
    <definedName name="odaki" localSheetId="16">#REF!</definedName>
    <definedName name="odaki" localSheetId="18">#REF!</definedName>
    <definedName name="odaki">#REF!</definedName>
    <definedName name="OEM_PROGRAM" localSheetId="11">#REF!</definedName>
    <definedName name="OEM_PROGRAM" localSheetId="16">#REF!</definedName>
    <definedName name="OEM_PROGRAM" localSheetId="18">#REF!</definedName>
    <definedName name="OEM_PROGRAM">#REF!</definedName>
    <definedName name="OH" localSheetId="11">#REF!</definedName>
    <definedName name="OH" localSheetId="16">#REF!</definedName>
    <definedName name="OH" localSheetId="18">#REF!</definedName>
    <definedName name="OH">#REF!</definedName>
    <definedName name="ophom" localSheetId="11">#REF!</definedName>
    <definedName name="ophom" localSheetId="16">#REF!</definedName>
    <definedName name="ophom" localSheetId="18">#REF!</definedName>
    <definedName name="ophom">#REF!</definedName>
    <definedName name="Ord" localSheetId="11">#REF!</definedName>
    <definedName name="Ord" localSheetId="16">#REF!</definedName>
    <definedName name="Ord" localSheetId="18">#REF!</definedName>
    <definedName name="Ord">#REF!</definedName>
    <definedName name="Oth_data" localSheetId="11">#REF!</definedName>
    <definedName name="Oth_data" localSheetId="16">#REF!</definedName>
    <definedName name="Oth_data" localSheetId="18">#REF!</definedName>
    <definedName name="Oth_data">#REF!</definedName>
    <definedName name="OTHER_MISC." localSheetId="11">#REF!</definedName>
    <definedName name="OTHER_MISC." localSheetId="16">#REF!</definedName>
    <definedName name="OTHER_MISC." localSheetId="18">#REF!</definedName>
    <definedName name="OTHER_MISC.">#REF!</definedName>
    <definedName name="otherincome" localSheetId="11">#REF!</definedName>
    <definedName name="otherincome" localSheetId="16">#REF!</definedName>
    <definedName name="otherincome" localSheetId="18">#REF!</definedName>
    <definedName name="otherincome">#REF!</definedName>
    <definedName name="P1_" localSheetId="11">#REF!</definedName>
    <definedName name="P1_" localSheetId="16">#REF!</definedName>
    <definedName name="P1_" localSheetId="18">#REF!</definedName>
    <definedName name="P1_">#REF!</definedName>
    <definedName name="P2_" localSheetId="11">#REF!</definedName>
    <definedName name="P2_" localSheetId="16">#REF!</definedName>
    <definedName name="P2_" localSheetId="18">#REF!</definedName>
    <definedName name="P2_">#REF!</definedName>
    <definedName name="P3_" localSheetId="11">#REF!</definedName>
    <definedName name="P3_" localSheetId="16">#REF!</definedName>
    <definedName name="P3_" localSheetId="18">#REF!</definedName>
    <definedName name="P3_">#REF!</definedName>
    <definedName name="P4_" localSheetId="11">#REF!</definedName>
    <definedName name="P4_" localSheetId="16">#REF!</definedName>
    <definedName name="P4_" localSheetId="18">#REF!</definedName>
    <definedName name="P4_">#REF!</definedName>
    <definedName name="P7b" localSheetId="11">#REF!</definedName>
    <definedName name="P7b" localSheetId="16">#REF!</definedName>
    <definedName name="P7b" localSheetId="18">#REF!</definedName>
    <definedName name="P7b">#REF!</definedName>
    <definedName name="PA" localSheetId="11">#REF!</definedName>
    <definedName name="PA" localSheetId="16">#REF!</definedName>
    <definedName name="PA" localSheetId="18">#REF!</definedName>
    <definedName name="PA">#REF!</definedName>
    <definedName name="PAGE" localSheetId="11">#REF!</definedName>
    <definedName name="PAGE" localSheetId="16">#REF!</definedName>
    <definedName name="PAGE" localSheetId="18">#REF!</definedName>
    <definedName name="PAGE">#REF!</definedName>
    <definedName name="PART" localSheetId="11">#REF!</definedName>
    <definedName name="PART" localSheetId="16">#REF!</definedName>
    <definedName name="PART" localSheetId="18">#REF!</definedName>
    <definedName name="PART">#REF!</definedName>
    <definedName name="PBY">#N/A</definedName>
    <definedName name="PBYBD">#N/A</definedName>
    <definedName name="PC" localSheetId="11">#REF!</definedName>
    <definedName name="PC" localSheetId="16">#REF!</definedName>
    <definedName name="PC" localSheetId="18">#REF!</definedName>
    <definedName name="PC">#REF!</definedName>
    <definedName name="Period_Calc" localSheetId="11">#REF!</definedName>
    <definedName name="Period_Calc" localSheetId="16">#REF!</definedName>
    <definedName name="Period_Calc" localSheetId="18">#REF!</definedName>
    <definedName name="Period_Calc">#REF!</definedName>
    <definedName name="PERS" localSheetId="11">#REF!</definedName>
    <definedName name="PERS" localSheetId="16">#REF!</definedName>
    <definedName name="PERS" localSheetId="18">#REF!</definedName>
    <definedName name="PERS">#REF!</definedName>
    <definedName name="PERS1" localSheetId="11">#REF!</definedName>
    <definedName name="PERS1" localSheetId="16">#REF!</definedName>
    <definedName name="PERS1" localSheetId="18">#REF!</definedName>
    <definedName name="PERS1">#REF!</definedName>
    <definedName name="personnelexp" localSheetId="11">#REF!</definedName>
    <definedName name="personnelexp" localSheetId="16">#REF!</definedName>
    <definedName name="personnelexp" localSheetId="18">#REF!</definedName>
    <definedName name="personnelexp">#REF!</definedName>
    <definedName name="PL" localSheetId="11">#REF!</definedName>
    <definedName name="PL" localSheetId="16">#REF!</definedName>
    <definedName name="PL" localSheetId="18">#REF!</definedName>
    <definedName name="PL">#REF!</definedName>
    <definedName name="Plant1" localSheetId="11">#REF!</definedName>
    <definedName name="Plant1" localSheetId="16">#REF!</definedName>
    <definedName name="Plant1" localSheetId="18">#REF!</definedName>
    <definedName name="Plant1">#REF!</definedName>
    <definedName name="Plant2" localSheetId="11">#REF!</definedName>
    <definedName name="Plant2" localSheetId="16">#REF!</definedName>
    <definedName name="Plant2" localSheetId="18">#REF!</definedName>
    <definedName name="Plant2">#REF!</definedName>
    <definedName name="Plant4" localSheetId="11">#REF!</definedName>
    <definedName name="Plant4" localSheetId="16">#REF!</definedName>
    <definedName name="Plant4" localSheetId="18">#REF!</definedName>
    <definedName name="Plant4">#REF!</definedName>
    <definedName name="Plant5" localSheetId="11">#REF!</definedName>
    <definedName name="Plant5" localSheetId="16">#REF!</definedName>
    <definedName name="Plant5" localSheetId="18">#REF!</definedName>
    <definedName name="Plant5">#REF!</definedName>
    <definedName name="Plant6" localSheetId="11">#REF!</definedName>
    <definedName name="Plant6" localSheetId="16">#REF!</definedName>
    <definedName name="Plant6" localSheetId="18">#REF!</definedName>
    <definedName name="Plant6">#REF!</definedName>
    <definedName name="PM" localSheetId="16">#REF!</definedName>
    <definedName name="PM">#REF!</definedName>
    <definedName name="PMB" localSheetId="16">#REF!</definedName>
    <definedName name="PMB">#REF!</definedName>
    <definedName name="PMW" localSheetId="16">#REF!</definedName>
    <definedName name="PMW">#REF!</definedName>
    <definedName name="PO_E_" localSheetId="11">#REF!</definedName>
    <definedName name="PO_E_" localSheetId="16">#REF!</definedName>
    <definedName name="PO_E_" localSheetId="18">#REF!</definedName>
    <definedName name="PO_E_">#REF!</definedName>
    <definedName name="POFOB_" localSheetId="11">#REF!</definedName>
    <definedName name="POFOB_" localSheetId="16">#REF!</definedName>
    <definedName name="POFOB_" localSheetId="18">#REF!</definedName>
    <definedName name="POFOB_">#REF!</definedName>
    <definedName name="POFOBE_" localSheetId="11">#REF!</definedName>
    <definedName name="POFOBE_" localSheetId="16">#REF!</definedName>
    <definedName name="POFOBE_" localSheetId="18">#REF!</definedName>
    <definedName name="POFOBE_">#REF!</definedName>
    <definedName name="POLD_" localSheetId="11">#REF!</definedName>
    <definedName name="POLD_" localSheetId="16">#REF!</definedName>
    <definedName name="POLD_" localSheetId="18">#REF!</definedName>
    <definedName name="POLD_">#REF!</definedName>
    <definedName name="POLDE_" localSheetId="11">#REF!</definedName>
    <definedName name="POLDE_" localSheetId="16">#REF!</definedName>
    <definedName name="POLDE_" localSheetId="18">#REF!</definedName>
    <definedName name="POLDE_">#REF!</definedName>
    <definedName name="POLDM_" localSheetId="11">#REF!</definedName>
    <definedName name="POLDM_" localSheetId="16">#REF!</definedName>
    <definedName name="POLDM_" localSheetId="18">#REF!</definedName>
    <definedName name="POLDM_">#REF!</definedName>
    <definedName name="PP" localSheetId="11">#REF!</definedName>
    <definedName name="PP" localSheetId="16">#REF!</definedName>
    <definedName name="PP" localSheetId="18">#REF!</definedName>
    <definedName name="PP">#REF!</definedName>
    <definedName name="PPBY">#N/A</definedName>
    <definedName name="PPBYBD">#N/A</definedName>
    <definedName name="PPMAM" localSheetId="16">#REF!</definedName>
    <definedName name="PPMAM">#REF!</definedName>
    <definedName name="PPMAY" localSheetId="16">#REF!</definedName>
    <definedName name="PPMAY">#REF!</definedName>
    <definedName name="PPMBM" localSheetId="16">#REF!</definedName>
    <definedName name="PPMBM">#REF!</definedName>
    <definedName name="PPMBY" localSheetId="16">#REF!</definedName>
    <definedName name="PPMBY">#REF!</definedName>
    <definedName name="PPMLM" localSheetId="16">#REF!</definedName>
    <definedName name="PPMLM">#REF!</definedName>
    <definedName name="PPMLY" localSheetId="16">#REF!</definedName>
    <definedName name="PPMLY">#REF!</definedName>
    <definedName name="PR" localSheetId="11">#REF!</definedName>
    <definedName name="PR" localSheetId="16">#REF!</definedName>
    <definedName name="PR" localSheetId="18">#REF!</definedName>
    <definedName name="PR">#REF!</definedName>
    <definedName name="PR__" localSheetId="11">#REF!</definedName>
    <definedName name="PR__" localSheetId="16">#REF!</definedName>
    <definedName name="PR__" localSheetId="18">#REF!</definedName>
    <definedName name="PR__">#REF!</definedName>
    <definedName name="PR_E_" localSheetId="11">#REF!</definedName>
    <definedName name="PR_E_" localSheetId="16">#REF!</definedName>
    <definedName name="PR_E_" localSheetId="18">#REF!</definedName>
    <definedName name="PR_E_">#REF!</definedName>
    <definedName name="PRE" localSheetId="11">#REF!</definedName>
    <definedName name="PRE" localSheetId="16">#REF!</definedName>
    <definedName name="PRE" localSheetId="18">#REF!</definedName>
    <definedName name="PRE">#REF!</definedName>
    <definedName name="PREOP" localSheetId="11">#REF!</definedName>
    <definedName name="PREOP" localSheetId="16">#REF!</definedName>
    <definedName name="PREOP" localSheetId="18">#REF!</definedName>
    <definedName name="PREOP">#REF!</definedName>
    <definedName name="PRES" localSheetId="11">#REF!</definedName>
    <definedName name="PRES" localSheetId="16">#REF!</definedName>
    <definedName name="PRES" localSheetId="18">#REF!</definedName>
    <definedName name="PRES">#REF!</definedName>
    <definedName name="PRFOB_" localSheetId="11">#REF!</definedName>
    <definedName name="PRFOB_" localSheetId="16">#REF!</definedName>
    <definedName name="PRFOB_" localSheetId="18">#REF!</definedName>
    <definedName name="PRFOB_">#REF!</definedName>
    <definedName name="PRFOBE_" localSheetId="11">#REF!</definedName>
    <definedName name="PRFOBE_" localSheetId="16">#REF!</definedName>
    <definedName name="PRFOBE_" localSheetId="18">#REF!</definedName>
    <definedName name="PRFOBE_">#REF!</definedName>
    <definedName name="PRINT_AR06" localSheetId="11">#REF!</definedName>
    <definedName name="PRINT_AR06" localSheetId="16">#REF!</definedName>
    <definedName name="PRINT_AR06" localSheetId="18">#REF!</definedName>
    <definedName name="PRINT_AR06">#REF!</definedName>
    <definedName name="_xlnm.Print_Area" localSheetId="11">#REF!</definedName>
    <definedName name="_xlnm.Print_Area" localSheetId="16">#REF!</definedName>
    <definedName name="_xlnm.Print_Area" localSheetId="18">#REF!</definedName>
    <definedName name="_xlnm.Print_Area">#REF!</definedName>
    <definedName name="PRINT_AREA_MI" localSheetId="16">#REF!</definedName>
    <definedName name="PRINT_AREA_MI" localSheetId="18">#REF!</definedName>
    <definedName name="PRINT_AREA_MI">#REF!</definedName>
    <definedName name="_xlnm.Print_Titles" localSheetId="11">#REF!</definedName>
    <definedName name="_xlnm.Print_Titles" localSheetId="16">#REF!</definedName>
    <definedName name="_xlnm.Print_Titles" localSheetId="18">#REF!</definedName>
    <definedName name="_xlnm.Print_Titles">#REF!</definedName>
    <definedName name="PRINT_TITLES_MI" localSheetId="11">#REF!</definedName>
    <definedName name="PRINT_TITLES_MI" localSheetId="16">#REF!</definedName>
    <definedName name="PRINT_TITLES_MI" localSheetId="18">#REF!</definedName>
    <definedName name="PRINT_TITLES_MI">#REF!</definedName>
    <definedName name="Print_Titles2" localSheetId="16">#REF!</definedName>
    <definedName name="Print_Titles2" localSheetId="18">#REF!</definedName>
    <definedName name="Print_Titles2">#REF!</definedName>
    <definedName name="PRINTA" localSheetId="11">#REF!</definedName>
    <definedName name="PRINTA" localSheetId="16">#REF!</definedName>
    <definedName name="PRINTA" localSheetId="18">#REF!</definedName>
    <definedName name="PRINTA">#REF!</definedName>
    <definedName name="PRINTB" localSheetId="11">#REF!</definedName>
    <definedName name="PRINTB" localSheetId="16">#REF!</definedName>
    <definedName name="PRINTB" localSheetId="18">#REF!</definedName>
    <definedName name="PRINTB">#REF!</definedName>
    <definedName name="PRINTC" localSheetId="11">#REF!</definedName>
    <definedName name="PRINTC" localSheetId="16">#REF!</definedName>
    <definedName name="PRINTC" localSheetId="18">#REF!</definedName>
    <definedName name="PRINTC">#REF!</definedName>
    <definedName name="PRL" localSheetId="11">#REF!</definedName>
    <definedName name="PRL" localSheetId="16">#REF!</definedName>
    <definedName name="PRL" localSheetId="18">#REF!</definedName>
    <definedName name="PRL">#REF!</definedName>
    <definedName name="PRLD_" localSheetId="11">#REF!</definedName>
    <definedName name="PRLD_" localSheetId="16">#REF!</definedName>
    <definedName name="PRLD_" localSheetId="18">#REF!</definedName>
    <definedName name="PRLD_">#REF!</definedName>
    <definedName name="PRLDE_" localSheetId="11">#REF!</definedName>
    <definedName name="PRLDE_" localSheetId="16">#REF!</definedName>
    <definedName name="PRLDE_" localSheetId="18">#REF!</definedName>
    <definedName name="PRLDE_">#REF!</definedName>
    <definedName name="PRLDM_" localSheetId="11">#REF!</definedName>
    <definedName name="PRLDM_" localSheetId="16">#REF!</definedName>
    <definedName name="PRLDM_" localSheetId="18">#REF!</definedName>
    <definedName name="PRLDM_">#REF!</definedName>
    <definedName name="ProductCategory">[2]List!$B$2:$B$50</definedName>
    <definedName name="Profit" localSheetId="16">#REF!</definedName>
    <definedName name="Profit" localSheetId="18">#REF!</definedName>
    <definedName name="Profit">#REF!</definedName>
    <definedName name="PROPOSAL" localSheetId="11">#REF!</definedName>
    <definedName name="PROPOSAL" localSheetId="16">#REF!</definedName>
    <definedName name="PROPOSAL" localSheetId="18">#REF!</definedName>
    <definedName name="PROPOSAL">#REF!</definedName>
    <definedName name="PRS" localSheetId="11">#REF!</definedName>
    <definedName name="PRS" localSheetId="16">#REF!</definedName>
    <definedName name="PRS" localSheetId="18">#REF!</definedName>
    <definedName name="PRS">#REF!</definedName>
    <definedName name="PS" localSheetId="16">#REF!</definedName>
    <definedName name="PS">#REF!</definedName>
    <definedName name="PT_Duong" localSheetId="11">#REF!</definedName>
    <definedName name="PT_Duong" localSheetId="16">#REF!</definedName>
    <definedName name="PT_Duong" localSheetId="18">#REF!</definedName>
    <definedName name="PT_Duong">#REF!</definedName>
    <definedName name="ptdg" localSheetId="11">#REF!</definedName>
    <definedName name="ptdg" localSheetId="16">#REF!</definedName>
    <definedName name="ptdg" localSheetId="18">#REF!</definedName>
    <definedName name="ptdg">#REF!</definedName>
    <definedName name="PTDG_cau" localSheetId="11">#REF!</definedName>
    <definedName name="PTDG_cau" localSheetId="16">#REF!</definedName>
    <definedName name="PTDG_cau" localSheetId="18">#REF!</definedName>
    <definedName name="PTDG_cau">#REF!</definedName>
    <definedName name="ptdg_cong" localSheetId="11">#REF!</definedName>
    <definedName name="ptdg_cong" localSheetId="16">#REF!</definedName>
    <definedName name="ptdg_cong" localSheetId="18">#REF!</definedName>
    <definedName name="ptdg_cong">#REF!</definedName>
    <definedName name="ptdg_duong" localSheetId="11">#REF!</definedName>
    <definedName name="ptdg_duong" localSheetId="16">#REF!</definedName>
    <definedName name="ptdg_duong" localSheetId="18">#REF!</definedName>
    <definedName name="ptdg_duong">#REF!</definedName>
    <definedName name="PWHT" localSheetId="11">#REF!</definedName>
    <definedName name="PWHT" localSheetId="16">#REF!</definedName>
    <definedName name="PWHT" localSheetId="18">#REF!</definedName>
    <definedName name="PWHT">#REF!</definedName>
    <definedName name="Q" localSheetId="11">#REF!</definedName>
    <definedName name="Q" localSheetId="16">#REF!</definedName>
    <definedName name="Q" localSheetId="18">#REF!</definedName>
    <definedName name="Q">#REF!</definedName>
    <definedName name="QC__" localSheetId="11">#REF!</definedName>
    <definedName name="QC__" localSheetId="16">#REF!</definedName>
    <definedName name="QC__" localSheetId="18">#REF!</definedName>
    <definedName name="QC__">#REF!</definedName>
    <definedName name="QC_E_" localSheetId="11">#REF!</definedName>
    <definedName name="QC_E_" localSheetId="16">#REF!</definedName>
    <definedName name="QC_E_" localSheetId="18">#REF!</definedName>
    <definedName name="QC_E_">#REF!</definedName>
    <definedName name="QCFOB_" localSheetId="11">#REF!</definedName>
    <definedName name="QCFOB_" localSheetId="16">#REF!</definedName>
    <definedName name="QCFOB_" localSheetId="18">#REF!</definedName>
    <definedName name="QCFOB_">#REF!</definedName>
    <definedName name="QCFOBE_" localSheetId="11">#REF!</definedName>
    <definedName name="QCFOBE_" localSheetId="16">#REF!</definedName>
    <definedName name="QCFOBE_" localSheetId="18">#REF!</definedName>
    <definedName name="QCFOBE_">#REF!</definedName>
    <definedName name="QCLD_" localSheetId="11">#REF!</definedName>
    <definedName name="QCLD_" localSheetId="16">#REF!</definedName>
    <definedName name="QCLD_" localSheetId="18">#REF!</definedName>
    <definedName name="QCLD_">#REF!</definedName>
    <definedName name="QCLDE_" localSheetId="11">#REF!</definedName>
    <definedName name="QCLDE_" localSheetId="16">#REF!</definedName>
    <definedName name="QCLDE_" localSheetId="18">#REF!</definedName>
    <definedName name="QCLDE_">#REF!</definedName>
    <definedName name="QCLDM_" localSheetId="11">#REF!</definedName>
    <definedName name="QCLDM_" localSheetId="16">#REF!</definedName>
    <definedName name="QCLDM_" localSheetId="18">#REF!</definedName>
    <definedName name="QCLDM_">#REF!</definedName>
    <definedName name="qtdm" localSheetId="11">#REF!</definedName>
    <definedName name="qtdm" localSheetId="16">#REF!</definedName>
    <definedName name="qtdm" localSheetId="18">#REF!</definedName>
    <definedName name="qtdm">#REF!</definedName>
    <definedName name="R_" localSheetId="11">#REF!</definedName>
    <definedName name="R_" localSheetId="16">#REF!</definedName>
    <definedName name="R_" localSheetId="18">#REF!</definedName>
    <definedName name="R_">#REF!</definedName>
    <definedName name="R_1" localSheetId="11">#REF!</definedName>
    <definedName name="R_1" localSheetId="16">#REF!</definedName>
    <definedName name="R_1" localSheetId="18">#REF!</definedName>
    <definedName name="R_1">#REF!</definedName>
    <definedName name="R_2" localSheetId="11">#REF!</definedName>
    <definedName name="R_2" localSheetId="16">#REF!</definedName>
    <definedName name="R_2" localSheetId="18">#REF!</definedName>
    <definedName name="R_2">#REF!</definedName>
    <definedName name="R_3" localSheetId="11">#REF!</definedName>
    <definedName name="R_3" localSheetId="16">#REF!</definedName>
    <definedName name="R_3" localSheetId="18">#REF!</definedName>
    <definedName name="R_3">#REF!</definedName>
    <definedName name="READ" localSheetId="11">#REF!</definedName>
    <definedName name="READ" localSheetId="16">#REF!</definedName>
    <definedName name="READ" localSheetId="18">#REF!</definedName>
    <definedName name="READ">#REF!</definedName>
    <definedName name="readings" localSheetId="11">#REF!</definedName>
    <definedName name="readings" localSheetId="16">#REF!</definedName>
    <definedName name="readings" localSheetId="18">#REF!</definedName>
    <definedName name="readings">#REF!</definedName>
    <definedName name="reconc" localSheetId="11">#REF!</definedName>
    <definedName name="reconc" localSheetId="16">#REF!</definedName>
    <definedName name="reconc" localSheetId="18">#REF!</definedName>
    <definedName name="reconc">#REF!</definedName>
    <definedName name="RECONCILIATION" localSheetId="11">#REF!</definedName>
    <definedName name="RECONCILIATION" localSheetId="16">#REF!</definedName>
    <definedName name="RECONCILIATION" localSheetId="18">#REF!</definedName>
    <definedName name="RECONCILIATION">#REF!</definedName>
    <definedName name="RED_RIVER_BRIDGE__THANH_TRI_BRIDGE__CONSTRUCTION_PROJECT" localSheetId="11">#REF!</definedName>
    <definedName name="RED_RIVER_BRIDGE__THANH_TRI_BRIDGE__CONSTRUCTION_PROJECT" localSheetId="16">#REF!</definedName>
    <definedName name="RED_RIVER_BRIDGE__THANH_TRI_BRIDGE__CONSTRUCTION_PROJECT" localSheetId="18">#REF!</definedName>
    <definedName name="RED_RIVER_BRIDGE__THANH_TRI_BRIDGE__CONSTRUCTION_PROJECT">#REF!</definedName>
    <definedName name="refer3_1" localSheetId="16">#REF!</definedName>
    <definedName name="refer3_1">#REF!</definedName>
    <definedName name="refer5_1" localSheetId="16">#REF!</definedName>
    <definedName name="refer5_1">#REF!</definedName>
    <definedName name="REO" localSheetId="11">#REF!</definedName>
    <definedName name="REO" localSheetId="16">#REF!</definedName>
    <definedName name="REO" localSheetId="18">#REF!</definedName>
    <definedName name="REO">#REF!</definedName>
    <definedName name="REP" localSheetId="11">#REF!</definedName>
    <definedName name="REP" localSheetId="16">#REF!</definedName>
    <definedName name="REP" localSheetId="18">#REF!</definedName>
    <definedName name="REP">#REF!</definedName>
    <definedName name="REVISION_00" localSheetId="11">#REF!</definedName>
    <definedName name="REVISION_00" localSheetId="16">#REF!</definedName>
    <definedName name="REVISION_00" localSheetId="18">#REF!</definedName>
    <definedName name="REVISION_00">#REF!</definedName>
    <definedName name="rmc_working" localSheetId="11">#REF!</definedName>
    <definedName name="rmc_working" localSheetId="16">#REF!</definedName>
    <definedName name="rmc_working" localSheetId="18">#REF!</definedName>
    <definedName name="rmc_working">#REF!</definedName>
    <definedName name="rmcsep" localSheetId="11">#REF!</definedName>
    <definedName name="rmcsep" localSheetId="16">#REF!</definedName>
    <definedName name="rmcsep" localSheetId="18">#REF!</definedName>
    <definedName name="rmcsep">#REF!</definedName>
    <definedName name="SALE1" localSheetId="11">#REF!</definedName>
    <definedName name="SALE1" localSheetId="16">#REF!</definedName>
    <definedName name="SALE1" localSheetId="18">#REF!</definedName>
    <definedName name="SALE1">#REF!</definedName>
    <definedName name="SALE7" localSheetId="11">#REF!</definedName>
    <definedName name="SALE7" localSheetId="16">#REF!</definedName>
    <definedName name="SALE7" localSheetId="18">#REF!</definedName>
    <definedName name="SALE7">#REF!</definedName>
    <definedName name="Sales_plan" localSheetId="11">#REF!</definedName>
    <definedName name="Sales_plan" localSheetId="16">#REF!</definedName>
    <definedName name="Sales_plan" localSheetId="18">#REF!</definedName>
    <definedName name="Sales_plan">#REF!</definedName>
    <definedName name="SAPBEXrevision" hidden="1">1</definedName>
    <definedName name="SAPBEXsysID" hidden="1">"BWP"</definedName>
    <definedName name="SAPBEXwbID" hidden="1">"3UXN7LBTIX40QTRMZ79VG86CE"</definedName>
    <definedName name="satu" localSheetId="11">#REF!</definedName>
    <definedName name="satu" localSheetId="16">#REF!</definedName>
    <definedName name="satu" localSheetId="18">#REF!</definedName>
    <definedName name="satu">#REF!</definedName>
    <definedName name="SAURAV">#REF!</definedName>
    <definedName name="SD" localSheetId="11">#REF!</definedName>
    <definedName name="SD" localSheetId="16">#REF!</definedName>
    <definedName name="SD" localSheetId="18">#REF!</definedName>
    <definedName name="SD">#REF!</definedName>
    <definedName name="Segment">[2]List!$C$2:$C$10</definedName>
    <definedName name="SEGN_ALL_PQL" localSheetId="16">#REF!</definedName>
    <definedName name="SEGN_ALL_PQL">#REF!</definedName>
    <definedName name="SEGN_HEALTH_PQL" localSheetId="16">#REF!</definedName>
    <definedName name="SEGN_HEALTH_PQL">#REF!</definedName>
    <definedName name="SEGN_HOIKU_PQL" localSheetId="16">#REF!</definedName>
    <definedName name="SEGN_HOIKU_PQL">#REF!</definedName>
    <definedName name="SEGN_IKUJI_PQL" localSheetId="16">#REF!</definedName>
    <definedName name="SEGN_IKUJI_PQL">#REF!</definedName>
    <definedName name="SEGN_JYOSEI_PQL" localSheetId="16">#REF!</definedName>
    <definedName name="SEGN_JYOSEI_PQL">#REF!</definedName>
    <definedName name="SEGN_KAIGO_PQL" localSheetId="16">#REF!</definedName>
    <definedName name="SEGN_KAIGO_PQL">#REF!</definedName>
    <definedName name="SEGN_OTHER_PQL" localSheetId="16">#REF!</definedName>
    <definedName name="SEGN_OTHER_PQL">#REF!</definedName>
    <definedName name="selldistexp" localSheetId="11">#REF!</definedName>
    <definedName name="selldistexp" localSheetId="16">#REF!</definedName>
    <definedName name="selldistexp" localSheetId="18">#REF!</definedName>
    <definedName name="selldistexp">#REF!</definedName>
    <definedName name="sencount" hidden="1">26</definedName>
    <definedName name="Sep_04" localSheetId="11">#REF!</definedName>
    <definedName name="Sep_04" localSheetId="16">#REF!</definedName>
    <definedName name="Sep_04" localSheetId="18">#REF!</definedName>
    <definedName name="Sep_04">#REF!</definedName>
    <definedName name="Sheet1" localSheetId="11">#REF!</definedName>
    <definedName name="Sheet1" localSheetId="16">#REF!</definedName>
    <definedName name="Sheet1" localSheetId="18">#REF!</definedName>
    <definedName name="Sheet1">#REF!</definedName>
    <definedName name="sho" localSheetId="11">#REF!</definedName>
    <definedName name="sho" localSheetId="16">#REF!</definedName>
    <definedName name="sho" localSheetId="18">#REF!</definedName>
    <definedName name="sho">#REF!</definedName>
    <definedName name="SM" localSheetId="11">#REF!</definedName>
    <definedName name="SM" localSheetId="16">#REF!</definedName>
    <definedName name="SM" localSheetId="18">#REF!</definedName>
    <definedName name="SM">#REF!</definedName>
    <definedName name="SORT" localSheetId="11">#REF!</definedName>
    <definedName name="SORT" localSheetId="16">#REF!</definedName>
    <definedName name="SORT" localSheetId="18">#REF!</definedName>
    <definedName name="SORT">#REF!</definedName>
    <definedName name="SOUTH" localSheetId="11">#REF!</definedName>
    <definedName name="SOUTH" localSheetId="16">#REF!</definedName>
    <definedName name="SOUTH" localSheetId="18">#REF!</definedName>
    <definedName name="SOUTH">#REF!</definedName>
    <definedName name="SP_SOB" localSheetId="11">#REF!</definedName>
    <definedName name="SP_SOB" localSheetId="16">#REF!</definedName>
    <definedName name="SP_SOB" localSheetId="18">#REF!</definedName>
    <definedName name="SP_SOB">#REF!</definedName>
    <definedName name="SPEC" localSheetId="11">#REF!</definedName>
    <definedName name="SPEC" localSheetId="16">#REF!</definedName>
    <definedName name="Spec" localSheetId="18">#REF!</definedName>
    <definedName name="SPEC">#REF!</definedName>
    <definedName name="SPECSUMMARY" localSheetId="11">#REF!</definedName>
    <definedName name="SPECSUMMARY" localSheetId="16">#REF!</definedName>
    <definedName name="SPECSUMMARY" localSheetId="18">#REF!</definedName>
    <definedName name="SPECSUMMARY">#REF!</definedName>
    <definedName name="SSTR" localSheetId="11">#REF!</definedName>
    <definedName name="SSTR" localSheetId="16">#REF!</definedName>
    <definedName name="SSTR" localSheetId="18">#REF!</definedName>
    <definedName name="SSTR">#REF!</definedName>
    <definedName name="SSVITM">'[9]L-Sale'!$C$62:$O$65</definedName>
    <definedName name="SSVYTD">'[9]L-Sale'!$C$89:$O$92</definedName>
    <definedName name="ST" localSheetId="11">#REF!</definedName>
    <definedName name="ST" localSheetId="16">#REF!</definedName>
    <definedName name="ST" localSheetId="18">#REF!</definedName>
    <definedName name="ST">#REF!</definedName>
    <definedName name="ST__" localSheetId="11">#REF!</definedName>
    <definedName name="ST__" localSheetId="16">#REF!</definedName>
    <definedName name="ST__" localSheetId="18">#REF!</definedName>
    <definedName name="ST__">#REF!</definedName>
    <definedName name="ST_E_" localSheetId="11">#REF!</definedName>
    <definedName name="ST_E_" localSheetId="16">#REF!</definedName>
    <definedName name="ST_E_" localSheetId="18">#REF!</definedName>
    <definedName name="ST_E_">#REF!</definedName>
    <definedName name="Start_1" localSheetId="11">#REF!</definedName>
    <definedName name="Start_1" localSheetId="16">#REF!</definedName>
    <definedName name="Start_1" localSheetId="18">#REF!</definedName>
    <definedName name="Start_1">#REF!</definedName>
    <definedName name="Start_10" localSheetId="11">#REF!</definedName>
    <definedName name="Start_10" localSheetId="16">#REF!</definedName>
    <definedName name="Start_10" localSheetId="18">#REF!</definedName>
    <definedName name="Start_10">#REF!</definedName>
    <definedName name="Start_11" localSheetId="11">#REF!</definedName>
    <definedName name="Start_11" localSheetId="16">#REF!</definedName>
    <definedName name="Start_11" localSheetId="18">#REF!</definedName>
    <definedName name="Start_11">#REF!</definedName>
    <definedName name="Start_12" localSheetId="11">#REF!</definedName>
    <definedName name="Start_12" localSheetId="16">#REF!</definedName>
    <definedName name="Start_12" localSheetId="18">#REF!</definedName>
    <definedName name="Start_12">#REF!</definedName>
    <definedName name="Start_13" localSheetId="11">#REF!</definedName>
    <definedName name="Start_13" localSheetId="16">#REF!</definedName>
    <definedName name="Start_13" localSheetId="18">#REF!</definedName>
    <definedName name="Start_13">#REF!</definedName>
    <definedName name="Start_2" localSheetId="11">#REF!</definedName>
    <definedName name="Start_2" localSheetId="16">#REF!</definedName>
    <definedName name="Start_2" localSheetId="18">#REF!</definedName>
    <definedName name="Start_2">#REF!</definedName>
    <definedName name="Start_3" localSheetId="11">#REF!</definedName>
    <definedName name="Start_3" localSheetId="16">#REF!</definedName>
    <definedName name="Start_3" localSheetId="18">#REF!</definedName>
    <definedName name="Start_3">#REF!</definedName>
    <definedName name="Start_4" localSheetId="11">#REF!</definedName>
    <definedName name="Start_4" localSheetId="16">#REF!</definedName>
    <definedName name="Start_4" localSheetId="18">#REF!</definedName>
    <definedName name="Start_4">#REF!</definedName>
    <definedName name="Start_5" localSheetId="11">#REF!</definedName>
    <definedName name="Start_5" localSheetId="16">#REF!</definedName>
    <definedName name="Start_5" localSheetId="18">#REF!</definedName>
    <definedName name="Start_5">#REF!</definedName>
    <definedName name="Start_6" localSheetId="11">#REF!</definedName>
    <definedName name="Start_6" localSheetId="16">#REF!</definedName>
    <definedName name="Start_6" localSheetId="18">#REF!</definedName>
    <definedName name="Start_6">#REF!</definedName>
    <definedName name="Start_7" localSheetId="11">#REF!</definedName>
    <definedName name="Start_7" localSheetId="16">#REF!</definedName>
    <definedName name="Start_7" localSheetId="18">#REF!</definedName>
    <definedName name="Start_7">#REF!</definedName>
    <definedName name="Start_8" localSheetId="11">#REF!</definedName>
    <definedName name="Start_8" localSheetId="16">#REF!</definedName>
    <definedName name="Start_8" localSheetId="18">#REF!</definedName>
    <definedName name="Start_8">#REF!</definedName>
    <definedName name="Start_9" localSheetId="11">#REF!</definedName>
    <definedName name="Start_9" localSheetId="16">#REF!</definedName>
    <definedName name="Start_9" localSheetId="18">#REF!</definedName>
    <definedName name="Start_9">#REF!</definedName>
    <definedName name="STATUSREPORT_U" localSheetId="11">#REF!</definedName>
    <definedName name="STATUSREPORT_U" localSheetId="16">#REF!</definedName>
    <definedName name="STATUSREPORT_U" localSheetId="18">#REF!</definedName>
    <definedName name="STATUSREPORT_U">#REF!</definedName>
    <definedName name="STATUSREPORT_Y" localSheetId="11">#REF!</definedName>
    <definedName name="STATUSREPORT_Y" localSheetId="16">#REF!</definedName>
    <definedName name="STATUSREPORT_Y" localSheetId="18">#REF!</definedName>
    <definedName name="STATUSREPORT_Y">#REF!</definedName>
    <definedName name="STFOB_" localSheetId="11">#REF!</definedName>
    <definedName name="STFOB_" localSheetId="16">#REF!</definedName>
    <definedName name="STFOB_" localSheetId="18">#REF!</definedName>
    <definedName name="STFOB_">#REF!</definedName>
    <definedName name="STFOBE_" localSheetId="11">#REF!</definedName>
    <definedName name="STFOBE_" localSheetId="16">#REF!</definedName>
    <definedName name="STFOBE_" localSheetId="18">#REF!</definedName>
    <definedName name="STFOBE_">#REF!</definedName>
    <definedName name="STLD_" localSheetId="11">#REF!</definedName>
    <definedName name="STLD_" localSheetId="16">#REF!</definedName>
    <definedName name="STLD_" localSheetId="18">#REF!</definedName>
    <definedName name="STLD_">#REF!</definedName>
    <definedName name="STLDE_" localSheetId="11">#REF!</definedName>
    <definedName name="STLDE_" localSheetId="16">#REF!</definedName>
    <definedName name="STLDE_" localSheetId="18">#REF!</definedName>
    <definedName name="STLDE_">#REF!</definedName>
    <definedName name="STLDM_" localSheetId="11">#REF!</definedName>
    <definedName name="STLDM_" localSheetId="16">#REF!</definedName>
    <definedName name="STLDM_" localSheetId="18">#REF!</definedName>
    <definedName name="STLDM_">#REF!</definedName>
    <definedName name="store" localSheetId="11">#REF!</definedName>
    <definedName name="store" localSheetId="16">#REF!</definedName>
    <definedName name="store" localSheetId="18">#REF!</definedName>
    <definedName name="store">#REF!</definedName>
    <definedName name="store1" localSheetId="11">#REF!</definedName>
    <definedName name="store1" localSheetId="16">#REF!</definedName>
    <definedName name="store1" localSheetId="18">#REF!</definedName>
    <definedName name="store1">#REF!</definedName>
    <definedName name="storeFait" localSheetId="11">#REF!</definedName>
    <definedName name="storeFait" localSheetId="16">#REF!</definedName>
    <definedName name="storeFait" localSheetId="18">#REF!</definedName>
    <definedName name="storeFait">#REF!</definedName>
    <definedName name="structure" localSheetId="11">#REF!</definedName>
    <definedName name="structure" localSheetId="16">#REF!</definedName>
    <definedName name="structure" localSheetId="18">#REF!</definedName>
    <definedName name="structure">#REF!</definedName>
    <definedName name="SUMMARY" localSheetId="11">#REF!</definedName>
    <definedName name="SUMMARY" localSheetId="16">#REF!</definedName>
    <definedName name="SUMMARY" localSheetId="18">#REF!</definedName>
    <definedName name="SUMMARY">#REF!</definedName>
    <definedName name="T.C.I.L." localSheetId="11">#REF!</definedName>
    <definedName name="T.C.I.L." localSheetId="16">#REF!</definedName>
    <definedName name="T.C.I.L." localSheetId="18">#REF!</definedName>
    <definedName name="T.C.I.L.">#REF!</definedName>
    <definedName name="Table">OFFSET([5]Master!$A$2,0,0,COUNTA([5]Master!$A:$A)-1,COUNTA([5]Master!$1:$1))</definedName>
    <definedName name="Target" localSheetId="16">#REF!</definedName>
    <definedName name="Target" localSheetId="18">#REF!</definedName>
    <definedName name="Target">#REF!</definedName>
    <definedName name="TaxTV">10%</definedName>
    <definedName name="TaxXL">5%</definedName>
    <definedName name="TBA" localSheetId="11">#REF!</definedName>
    <definedName name="TBA" localSheetId="16">#REF!</definedName>
    <definedName name="TBA" localSheetId="18">#REF!</definedName>
    <definedName name="TBA">#REF!</definedName>
    <definedName name="TCACP">#N/A</definedName>
    <definedName name="TCAP">#N/A</definedName>
    <definedName name="TCATP">#N/A</definedName>
    <definedName name="tdia" localSheetId="11">#REF!</definedName>
    <definedName name="tdia" localSheetId="16">#REF!</definedName>
    <definedName name="tdia" localSheetId="18">#REF!</definedName>
    <definedName name="tdia">#REF!</definedName>
    <definedName name="tdt" localSheetId="11">#REF!</definedName>
    <definedName name="tdt" localSheetId="16">#REF!</definedName>
    <definedName name="tdt" localSheetId="18">#REF!</definedName>
    <definedName name="tdt">#REF!</definedName>
    <definedName name="test" localSheetId="11">#REF!</definedName>
    <definedName name="test" localSheetId="16">#REF!</definedName>
    <definedName name="test" localSheetId="18">#REF!</definedName>
    <definedName name="test">#REF!</definedName>
    <definedName name="TextRefCopy1" localSheetId="16">#REF!</definedName>
    <definedName name="TextRefCopy1">#REF!</definedName>
    <definedName name="TextRefCopy10" localSheetId="16">'[14]Cashflow 31.05.08'!#REF!</definedName>
    <definedName name="TextRefCopy10">'[14]Cashflow 31.05.08'!#REF!</definedName>
    <definedName name="TextRefCopy11" localSheetId="16">'[14]Cashflow 31.05.08'!#REF!</definedName>
    <definedName name="TextRefCopy11">'[14]Cashflow 31.05.08'!#REF!</definedName>
    <definedName name="TextRefCopy12" localSheetId="16">'[14]Cashflow 31.05.08'!#REF!</definedName>
    <definedName name="TextRefCopy12">'[14]Cashflow 31.05.08'!#REF!</definedName>
    <definedName name="TextRefCopy13" localSheetId="16">'[14]Cashflow 31.05.08'!#REF!</definedName>
    <definedName name="TextRefCopy13">'[14]Cashflow 31.05.08'!#REF!</definedName>
    <definedName name="TextRefCopy14" localSheetId="16">'[14]Cashflow 31.05.08'!#REF!</definedName>
    <definedName name="TextRefCopy14">'[14]Cashflow 31.05.08'!#REF!</definedName>
    <definedName name="TextRefCopy15" localSheetId="16">'[14]Cashflow 31.05.08'!#REF!</definedName>
    <definedName name="TextRefCopy15">'[14]Cashflow 31.05.08'!#REF!</definedName>
    <definedName name="TextRefCopy16" localSheetId="16">'[14]Cashflow 31.05.08'!#REF!</definedName>
    <definedName name="TextRefCopy16">'[14]Cashflow 31.05.08'!#REF!</definedName>
    <definedName name="TextRefCopy2" localSheetId="16">#REF!</definedName>
    <definedName name="TextRefCopy2">#REF!</definedName>
    <definedName name="TextRefCopy3" localSheetId="16">#REF!</definedName>
    <definedName name="TextRefCopy3">#REF!</definedName>
    <definedName name="TextRefCopy4" localSheetId="16">#REF!</definedName>
    <definedName name="TextRefCopy4">#REF!</definedName>
    <definedName name="TextRefCopy5" localSheetId="16">#REF!</definedName>
    <definedName name="TextRefCopy5">#REF!</definedName>
    <definedName name="TextRefCopy6" localSheetId="16">#REF!</definedName>
    <definedName name="TextRefCopy6">#REF!</definedName>
    <definedName name="TextRefCopy7" localSheetId="16">#REF!</definedName>
    <definedName name="TextRefCopy7">#REF!</definedName>
    <definedName name="TextRefCopy8" localSheetId="16">#REF!</definedName>
    <definedName name="TextRefCopy8">#REF!</definedName>
    <definedName name="TextRefCopy9" localSheetId="16">#REF!</definedName>
    <definedName name="TextRefCopy9">#REF!</definedName>
    <definedName name="TextRefCopyRangeCount" hidden="1">16</definedName>
    <definedName name="thdt" localSheetId="11">#REF!</definedName>
    <definedName name="thdt" localSheetId="16">#REF!</definedName>
    <definedName name="thdt" localSheetId="18">#REF!</definedName>
    <definedName name="thdt">#REF!</definedName>
    <definedName name="THREE02" localSheetId="11">#REF!</definedName>
    <definedName name="THREE02" localSheetId="16">#REF!</definedName>
    <definedName name="THREE02" localSheetId="18">#REF!</definedName>
    <definedName name="THREE02">#REF!</definedName>
    <definedName name="THREE03" localSheetId="11">#REF!</definedName>
    <definedName name="THREE03" localSheetId="16">#REF!</definedName>
    <definedName name="THREE03" localSheetId="18">#REF!</definedName>
    <definedName name="THREE03">#REF!</definedName>
    <definedName name="THREE04" localSheetId="11">#REF!</definedName>
    <definedName name="THREE04" localSheetId="16">#REF!</definedName>
    <definedName name="THREE04" localSheetId="18">#REF!</definedName>
    <definedName name="THREE04">#REF!</definedName>
    <definedName name="THREE05" localSheetId="11">#REF!</definedName>
    <definedName name="THREE05" localSheetId="16">#REF!</definedName>
    <definedName name="THREE05" localSheetId="18">#REF!</definedName>
    <definedName name="THREE05">#REF!</definedName>
    <definedName name="THREE06" localSheetId="11">#REF!</definedName>
    <definedName name="THREE06" localSheetId="16">#REF!</definedName>
    <definedName name="THREE06" localSheetId="18">#REF!</definedName>
    <definedName name="THREE06">#REF!</definedName>
    <definedName name="THREE07" localSheetId="11">#REF!</definedName>
    <definedName name="THREE07" localSheetId="16">#REF!</definedName>
    <definedName name="THREE07" localSheetId="18">#REF!</definedName>
    <definedName name="THREE07">#REF!</definedName>
    <definedName name="THREE08" localSheetId="11">#REF!</definedName>
    <definedName name="THREE08" localSheetId="16">#REF!</definedName>
    <definedName name="THREE08" localSheetId="18">#REF!</definedName>
    <definedName name="THREE08">#REF!</definedName>
    <definedName name="THREE09" localSheetId="11">#REF!</definedName>
    <definedName name="THREE09" localSheetId="16">#REF!</definedName>
    <definedName name="THREE09" localSheetId="18">#REF!</definedName>
    <definedName name="THREE09">#REF!</definedName>
    <definedName name="thue">6</definedName>
    <definedName name="Tien" localSheetId="11">#REF!</definedName>
    <definedName name="Tien" localSheetId="16">#REF!</definedName>
    <definedName name="Tien" localSheetId="18">#REF!</definedName>
    <definedName name="Tien">#REF!</definedName>
    <definedName name="Tim_lan_xuat_hien" localSheetId="11">#REF!</definedName>
    <definedName name="Tim_lan_xuat_hien" localSheetId="16">#REF!</definedName>
    <definedName name="Tim_lan_xuat_hien" localSheetId="18">#REF!</definedName>
    <definedName name="Tim_lan_xuat_hien">#REF!</definedName>
    <definedName name="tim_xuat_hien" localSheetId="11">#REF!</definedName>
    <definedName name="tim_xuat_hien" localSheetId="16">#REF!</definedName>
    <definedName name="tim_xuat_hien" localSheetId="18">#REF!</definedName>
    <definedName name="tim_xuat_hien">#REF!</definedName>
    <definedName name="tld" localSheetId="11">#REF!</definedName>
    <definedName name="tld" localSheetId="16">#REF!</definedName>
    <definedName name="tld" localSheetId="18">#REF!</definedName>
    <definedName name="tld">#REF!</definedName>
    <definedName name="tly" localSheetId="11">#REF!</definedName>
    <definedName name="tly" localSheetId="16">#REF!</definedName>
    <definedName name="tly" localSheetId="18">#REF!</definedName>
    <definedName name="tly">#REF!</definedName>
    <definedName name="TMXCP">#N/A</definedName>
    <definedName name="TMXP">#N/A</definedName>
    <definedName name="TMXTP">#N/A</definedName>
    <definedName name="tn" localSheetId="11">#REF!</definedName>
    <definedName name="tn" localSheetId="16">#REF!</definedName>
    <definedName name="tn" localSheetId="18">#REF!</definedName>
    <definedName name="tn">#REF!</definedName>
    <definedName name="Tong" localSheetId="11">#REF!</definedName>
    <definedName name="Tong" localSheetId="16">#REF!</definedName>
    <definedName name="Tong" localSheetId="18">#REF!</definedName>
    <definedName name="Tong">#REF!</definedName>
    <definedName name="tongcong" localSheetId="11">#REF!</definedName>
    <definedName name="tongcong" localSheetId="16">#REF!</definedName>
    <definedName name="tongcong" localSheetId="18">#REF!</definedName>
    <definedName name="tongcong">#REF!</definedName>
    <definedName name="Tooling" localSheetId="11">#REF!</definedName>
    <definedName name="Tooling" localSheetId="16">#REF!</definedName>
    <definedName name="Tooling" localSheetId="18">#REF!</definedName>
    <definedName name="Tooling">#REF!</definedName>
    <definedName name="total" localSheetId="11">#REF!</definedName>
    <definedName name="total" localSheetId="16">#REF!</definedName>
    <definedName name="total" localSheetId="18">#REF!</definedName>
    <definedName name="total">#REF!</definedName>
    <definedName name="Tra_DM_su_dung" localSheetId="11">#REF!</definedName>
    <definedName name="Tra_DM_su_dung" localSheetId="16">#REF!</definedName>
    <definedName name="Tra_DM_su_dung" localSheetId="18">#REF!</definedName>
    <definedName name="Tra_DM_su_dung">#REF!</definedName>
    <definedName name="Tra_don_gia_KS" localSheetId="11">#REF!</definedName>
    <definedName name="Tra_don_gia_KS" localSheetId="16">#REF!</definedName>
    <definedName name="Tra_don_gia_KS" localSheetId="18">#REF!</definedName>
    <definedName name="Tra_don_gia_KS">#REF!</definedName>
    <definedName name="Tra_DTCT" localSheetId="11">#REF!</definedName>
    <definedName name="Tra_DTCT" localSheetId="16">#REF!</definedName>
    <definedName name="Tra_DTCT" localSheetId="18">#REF!</definedName>
    <definedName name="Tra_DTCT">#REF!</definedName>
    <definedName name="Tra_tim_hang_mucPT_trung" localSheetId="11">#REF!</definedName>
    <definedName name="Tra_tim_hang_mucPT_trung" localSheetId="16">#REF!</definedName>
    <definedName name="Tra_tim_hang_mucPT_trung" localSheetId="18">#REF!</definedName>
    <definedName name="Tra_tim_hang_mucPT_trung">#REF!</definedName>
    <definedName name="TRA_VAT_LIEU" localSheetId="11">#REF!</definedName>
    <definedName name="TRA_VAT_LIEU" localSheetId="16">#REF!</definedName>
    <definedName name="TRA_VAT_LIEU" localSheetId="18">#REF!</definedName>
    <definedName name="TRA_VAT_LIEU">#REF!</definedName>
    <definedName name="TRA_VL" localSheetId="11">#REF!</definedName>
    <definedName name="TRA_VL" localSheetId="16">#REF!</definedName>
    <definedName name="TRA_VL" localSheetId="18">#REF!</definedName>
    <definedName name="TRA_VL">#REF!</definedName>
    <definedName name="TRANSFERS" localSheetId="11">#REF!</definedName>
    <definedName name="TRANSFERS" localSheetId="16">#REF!</definedName>
    <definedName name="TRANSFERS" localSheetId="18">#REF!</definedName>
    <definedName name="TRANSFERS">#REF!</definedName>
    <definedName name="TRAVL" localSheetId="11">#REF!</definedName>
    <definedName name="TRAVL" localSheetId="16">#REF!</definedName>
    <definedName name="TRAVL" localSheetId="18">#REF!</definedName>
    <definedName name="TRAVL">#REF!</definedName>
    <definedName name="trt" localSheetId="11">#REF!</definedName>
    <definedName name="trt" localSheetId="16">#REF!</definedName>
    <definedName name="trt" localSheetId="18">#REF!</definedName>
    <definedName name="trt">#REF!</definedName>
    <definedName name="TSVITM">'[9]L-Sale'!$C$80:$O$83</definedName>
    <definedName name="TSVYTD">'[9]L-Sale'!$C$107:$O$110</definedName>
    <definedName name="tt" localSheetId="11">#REF!</definedName>
    <definedName name="tt" localSheetId="16">#REF!</definedName>
    <definedName name="tt" localSheetId="18">#REF!</definedName>
    <definedName name="tt">#REF!</definedName>
    <definedName name="tthi" localSheetId="11">#REF!</definedName>
    <definedName name="tthi" localSheetId="16">#REF!</definedName>
    <definedName name="tthi" localSheetId="18">#REF!</definedName>
    <definedName name="tthi">#REF!</definedName>
    <definedName name="TTLB1" localSheetId="11">#REF!</definedName>
    <definedName name="TTLB1" localSheetId="16">#REF!</definedName>
    <definedName name="TTLB1" localSheetId="18">#REF!</definedName>
    <definedName name="TTLB1">#REF!</definedName>
    <definedName name="TTLB2" localSheetId="11">#REF!</definedName>
    <definedName name="TTLB2" localSheetId="16">#REF!</definedName>
    <definedName name="TTLB2" localSheetId="18">#REF!</definedName>
    <definedName name="TTLB2">#REF!</definedName>
    <definedName name="TTLB3" localSheetId="11">#REF!</definedName>
    <definedName name="TTLB3" localSheetId="16">#REF!</definedName>
    <definedName name="TTLB3" localSheetId="18">#REF!</definedName>
    <definedName name="TTLB3">#REF!</definedName>
    <definedName name="TUSCP">#N/A</definedName>
    <definedName name="TUSP">#N/A</definedName>
    <definedName name="TUSTP">#N/A</definedName>
    <definedName name="ty_le" localSheetId="11">#REF!</definedName>
    <definedName name="ty_le" localSheetId="16">#REF!</definedName>
    <definedName name="ty_le" localSheetId="18">#REF!</definedName>
    <definedName name="ty_le">#REF!</definedName>
    <definedName name="ty_le_BTN" localSheetId="11">#REF!</definedName>
    <definedName name="ty_le_BTN" localSheetId="16">#REF!</definedName>
    <definedName name="ty_le_BTN" localSheetId="18">#REF!</definedName>
    <definedName name="ty_le_BTN">#REF!</definedName>
    <definedName name="Ty_le1" localSheetId="11">#REF!</definedName>
    <definedName name="Ty_le1" localSheetId="16">#REF!</definedName>
    <definedName name="Ty_le1" localSheetId="18">#REF!</definedName>
    <definedName name="Ty_le1">#REF!</definedName>
    <definedName name="TYMS" localSheetId="16">#REF!</definedName>
    <definedName name="TYMS">#REF!</definedName>
    <definedName name="UnitCurrency">[2]List!$J$2:$J$5</definedName>
    <definedName name="UNO" localSheetId="11">#REF!</definedName>
    <definedName name="UNO" localSheetId="16">#REF!</definedName>
    <definedName name="UNO" localSheetId="18">#REF!</definedName>
    <definedName name="UNO">#REF!</definedName>
    <definedName name="UPLOAD" localSheetId="11">#REF!</definedName>
    <definedName name="UPLOAD" localSheetId="16">#REF!</definedName>
    <definedName name="UPLOAD" localSheetId="18">#REF!</definedName>
    <definedName name="UPLOAD">#REF!</definedName>
    <definedName name="US___DETAIL" localSheetId="11">#REF!</definedName>
    <definedName name="US___DETAIL" localSheetId="16">#REF!</definedName>
    <definedName name="US___DETAIL" localSheetId="18">#REF!</definedName>
    <definedName name="US___DETAIL">#REF!</definedName>
    <definedName name="US___PRES" localSheetId="11">#REF!</definedName>
    <definedName name="US___PRES" localSheetId="16">#REF!</definedName>
    <definedName name="US___PRES" localSheetId="18">#REF!</definedName>
    <definedName name="US___PRES">#REF!</definedName>
    <definedName name="VARIINST" localSheetId="11">#REF!</definedName>
    <definedName name="VARIINST" localSheetId="16">#REF!</definedName>
    <definedName name="VARIINST" localSheetId="18">#REF!</definedName>
    <definedName name="VARIINST">#REF!</definedName>
    <definedName name="VARIPURC" localSheetId="11">#REF!</definedName>
    <definedName name="VARIPURC" localSheetId="16">#REF!</definedName>
    <definedName name="VARIPURC" localSheetId="18">#REF!</definedName>
    <definedName name="VARIPURC">#REF!</definedName>
    <definedName name="vat" localSheetId="11">#REF!</definedName>
    <definedName name="vat" localSheetId="16">#REF!</definedName>
    <definedName name="vat" localSheetId="18">#REF!</definedName>
    <definedName name="vat">#REF!</definedName>
    <definedName name="vbt400d" localSheetId="11">#REF!</definedName>
    <definedName name="vbt400d" localSheetId="16">#REF!</definedName>
    <definedName name="vbt400d" localSheetId="18">#REF!</definedName>
    <definedName name="vbt400d">#REF!</definedName>
    <definedName name="vbta" localSheetId="11">#REF!</definedName>
    <definedName name="vbta" localSheetId="16">#REF!</definedName>
    <definedName name="vbta" localSheetId="18">#REF!</definedName>
    <definedName name="vbta">#REF!</definedName>
    <definedName name="vbtB" localSheetId="11">#REF!</definedName>
    <definedName name="vbtB" localSheetId="16">#REF!</definedName>
    <definedName name="vbtB" localSheetId="18">#REF!</definedName>
    <definedName name="vbtB">#REF!</definedName>
    <definedName name="vbtD" localSheetId="11">#REF!</definedName>
    <definedName name="vbtD" localSheetId="16">#REF!</definedName>
    <definedName name="vbtD" localSheetId="18">#REF!</definedName>
    <definedName name="vbtD">#REF!</definedName>
    <definedName name="vbtE" localSheetId="11">#REF!</definedName>
    <definedName name="vbtE" localSheetId="16">#REF!</definedName>
    <definedName name="vbtE" localSheetId="18">#REF!</definedName>
    <definedName name="vbtE">#REF!</definedName>
    <definedName name="vbtF" localSheetId="11">#REF!</definedName>
    <definedName name="vbtF" localSheetId="16">#REF!</definedName>
    <definedName name="vbtF" localSheetId="18">#REF!</definedName>
    <definedName name="vbtF">#REF!</definedName>
    <definedName name="vbtg" localSheetId="11">#REF!</definedName>
    <definedName name="vbtg" localSheetId="16">#REF!</definedName>
    <definedName name="vbtg" localSheetId="18">#REF!</definedName>
    <definedName name="vbtg">#REF!</definedName>
    <definedName name="VCM_Y" localSheetId="11">#REF!</definedName>
    <definedName name="VCM_Y" localSheetId="16">#REF!</definedName>
    <definedName name="VCM_Y" localSheetId="18">#REF!</definedName>
    <definedName name="VCM_Y">#REF!</definedName>
    <definedName name="viet" localSheetId="11">#REF!</definedName>
    <definedName name="viet" localSheetId="16">#REF!</definedName>
    <definedName name="viet" localSheetId="18">#REF!</definedName>
    <definedName name="viet">#REF!</definedName>
    <definedName name="vik" localSheetId="11">#REF!</definedName>
    <definedName name="vik" localSheetId="16">#REF!</definedName>
    <definedName name="vik" localSheetId="18">#REF!</definedName>
    <definedName name="vik">#REF!</definedName>
    <definedName name="VOLUME" localSheetId="11">#REF!</definedName>
    <definedName name="VOLUME" localSheetId="16">#REF!</definedName>
    <definedName name="VOLUME" localSheetId="18">#REF!</definedName>
    <definedName name="VOLUME">#REF!</definedName>
    <definedName name="vtu" localSheetId="11">#REF!</definedName>
    <definedName name="vtu" localSheetId="16">#REF!</definedName>
    <definedName name="vtu" localSheetId="18">#REF!</definedName>
    <definedName name="vtu">#REF!</definedName>
    <definedName name="W" localSheetId="11">#REF!</definedName>
    <definedName name="W" localSheetId="16">#REF!</definedName>
    <definedName name="W" localSheetId="18">#REF!</definedName>
    <definedName name="W">#REF!</definedName>
    <definedName name="waterway" localSheetId="11">#REF!</definedName>
    <definedName name="waterway" localSheetId="16">#REF!</definedName>
    <definedName name="waterway" localSheetId="18">#REF!</definedName>
    <definedName name="waterway">#REF!</definedName>
    <definedName name="WE__" localSheetId="11">#REF!</definedName>
    <definedName name="WE__" localSheetId="16">#REF!</definedName>
    <definedName name="WE__" localSheetId="18">#REF!</definedName>
    <definedName name="WE__">#REF!</definedName>
    <definedName name="WE_E_" localSheetId="11">#REF!</definedName>
    <definedName name="WE_E_" localSheetId="16">#REF!</definedName>
    <definedName name="WE_E_" localSheetId="18">#REF!</definedName>
    <definedName name="WE_E_">#REF!</definedName>
    <definedName name="WEFOB_" localSheetId="11">#REF!</definedName>
    <definedName name="WEFOB_" localSheetId="16">#REF!</definedName>
    <definedName name="WEFOB_" localSheetId="18">#REF!</definedName>
    <definedName name="WEFOB_">#REF!</definedName>
    <definedName name="WEFOBE_" localSheetId="11">#REF!</definedName>
    <definedName name="WEFOBE_" localSheetId="16">#REF!</definedName>
    <definedName name="WEFOBE_" localSheetId="18">#REF!</definedName>
    <definedName name="WEFOBE_">#REF!</definedName>
    <definedName name="WELD_" localSheetId="11">#REF!</definedName>
    <definedName name="WELD_" localSheetId="16">#REF!</definedName>
    <definedName name="WELD_" localSheetId="18">#REF!</definedName>
    <definedName name="WELD_">#REF!</definedName>
    <definedName name="WELDE_" localSheetId="11">#REF!</definedName>
    <definedName name="WELDE_" localSheetId="16">#REF!</definedName>
    <definedName name="WELDE_" localSheetId="18">#REF!</definedName>
    <definedName name="WELDE_">#REF!</definedName>
    <definedName name="WELDM_" localSheetId="11">#REF!</definedName>
    <definedName name="WELDM_" localSheetId="16">#REF!</definedName>
    <definedName name="WELDM_" localSheetId="18">#REF!</definedName>
    <definedName name="WELDM_">#REF!</definedName>
    <definedName name="WEST" localSheetId="11">#REF!</definedName>
    <definedName name="WEST" localSheetId="16">#REF!</definedName>
    <definedName name="WEST" localSheetId="18">#REF!</definedName>
    <definedName name="WEST">#REF!</definedName>
    <definedName name="WITHMPBF" localSheetId="11">#REF!</definedName>
    <definedName name="WITHMPBF" localSheetId="16">#REF!</definedName>
    <definedName name="WITHMPBF" localSheetId="18">#REF!</definedName>
    <definedName name="WITHMPBF">#REF!</definedName>
    <definedName name="wrn.AAQ." localSheetId="11" hidden="1">{#N/A,#N/A,TRUE,"AAQ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name="wrn.AAQ." localSheetId="16" hidden="1">{#N/A,#N/A,TRUE,"AAQ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name="wrn.AAQ." localSheetId="18" hidden="1">{#N/A,#N/A,TRUE,"AAQ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name="wrn.AAQ." hidden="1">{#N/A,#N/A,TRUE,"AAQ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name="wrn.Volumes." localSheetId="11" hidden="1">{#N/A,#N/A,TRUE,"Volumes"}</definedName>
    <definedName name="wrn.Volumes." localSheetId="16" hidden="1">{#N/A,#N/A,TRUE,"Volumes"}</definedName>
    <definedName name="wrn.Volumes." localSheetId="18" hidden="1">{#N/A,#N/A,TRUE,"Volumes"}</definedName>
    <definedName name="wrn.Volumes." hidden="1">{#N/A,#N/A,TRUE,"Volumes"}</definedName>
    <definedName name="X" localSheetId="11">#REF!</definedName>
    <definedName name="X" localSheetId="16">#REF!</definedName>
    <definedName name="X" localSheetId="18">#REF!</definedName>
    <definedName name="X">#REF!</definedName>
    <definedName name="xd0.6" localSheetId="11">#REF!</definedName>
    <definedName name="xd0.6" localSheetId="16">#REF!</definedName>
    <definedName name="xd0.6" localSheetId="18">#REF!</definedName>
    <definedName name="xd0.6">#REF!</definedName>
    <definedName name="xd1.3" localSheetId="11">#REF!</definedName>
    <definedName name="xd1.3" localSheetId="16">#REF!</definedName>
    <definedName name="xd1.3" localSheetId="18">#REF!</definedName>
    <definedName name="xd1.3">#REF!</definedName>
    <definedName name="xd1.5" localSheetId="11">#REF!</definedName>
    <definedName name="xd1.5" localSheetId="16">#REF!</definedName>
    <definedName name="xd1.5" localSheetId="18">#REF!</definedName>
    <definedName name="xd1.5">#REF!</definedName>
    <definedName name="xh" localSheetId="11">#REF!</definedName>
    <definedName name="xh" localSheetId="16">#REF!</definedName>
    <definedName name="xh" localSheetId="18">#REF!</definedName>
    <definedName name="xh">#REF!</definedName>
    <definedName name="xk0.6" localSheetId="11">#REF!</definedName>
    <definedName name="xk0.6" localSheetId="16">#REF!</definedName>
    <definedName name="xk0.6" localSheetId="18">#REF!</definedName>
    <definedName name="xk0.6">#REF!</definedName>
    <definedName name="xk1.3" localSheetId="11">#REF!</definedName>
    <definedName name="xk1.3" localSheetId="16">#REF!</definedName>
    <definedName name="xk1.3" localSheetId="18">#REF!</definedName>
    <definedName name="xk1.3">#REF!</definedName>
    <definedName name="xk1.5" localSheetId="11">#REF!</definedName>
    <definedName name="xk1.5" localSheetId="16">#REF!</definedName>
    <definedName name="xk1.5" localSheetId="18">#REF!</definedName>
    <definedName name="xk1.5">#REF!</definedName>
    <definedName name="xl" localSheetId="11">#REF!</definedName>
    <definedName name="xl" localSheetId="16">#REF!</definedName>
    <definedName name="xl" localSheetId="18">#REF!</definedName>
    <definedName name="xl">#REF!</definedName>
    <definedName name="xlc" localSheetId="11">#REF!</definedName>
    <definedName name="xlc" localSheetId="16">#REF!</definedName>
    <definedName name="xlc" localSheetId="18">#REF!</definedName>
    <definedName name="xlc">#REF!</definedName>
    <definedName name="xld1.4" localSheetId="11">#REF!</definedName>
    <definedName name="xld1.4" localSheetId="16">#REF!</definedName>
    <definedName name="xld1.4" localSheetId="18">#REF!</definedName>
    <definedName name="xld1.4">#REF!</definedName>
    <definedName name="xlk" localSheetId="11">#REF!</definedName>
    <definedName name="xlk" localSheetId="16">#REF!</definedName>
    <definedName name="xlk" localSheetId="18">#REF!</definedName>
    <definedName name="xlk">#REF!</definedName>
    <definedName name="xlk1.4" localSheetId="11">#REF!</definedName>
    <definedName name="xlk1.4" localSheetId="16">#REF!</definedName>
    <definedName name="xlk1.4" localSheetId="18">#REF!</definedName>
    <definedName name="xlk1.4">#REF!</definedName>
    <definedName name="xn" localSheetId="11">#REF!</definedName>
    <definedName name="xn" localSheetId="16">#REF!</definedName>
    <definedName name="xn" localSheetId="18">#REF!</definedName>
    <definedName name="xn">#REF!</definedName>
    <definedName name="xx" localSheetId="11">#REF!</definedName>
    <definedName name="xx" localSheetId="16">#REF!</definedName>
    <definedName name="xx" localSheetId="18">#REF!</definedName>
    <definedName name="xx">#REF!</definedName>
    <definedName name="xxx" localSheetId="11">#REF!</definedName>
    <definedName name="xxx" localSheetId="16">#REF!</definedName>
    <definedName name="xxx" localSheetId="18">#REF!</definedName>
    <definedName name="xxx">#REF!</definedName>
    <definedName name="ytm_pbt" localSheetId="11">#REF!</definedName>
    <definedName name="ytm_pbt" localSheetId="16">#REF!</definedName>
    <definedName name="ytm_pbt" localSheetId="18">#REF!</definedName>
    <definedName name="ytm_pbt">#REF!</definedName>
    <definedName name="Z" localSheetId="11">#REF!</definedName>
    <definedName name="Z" localSheetId="16">#REF!</definedName>
    <definedName name="Z" localSheetId="18">#REF!</definedName>
    <definedName name="Z">#REF!</definedName>
    <definedName name="ZAHEERABAD_D" localSheetId="11">#REF!</definedName>
    <definedName name="ZAHEERABAD_D" localSheetId="16">#REF!</definedName>
    <definedName name="ZAHEERABAD_D" localSheetId="18">#REF!</definedName>
    <definedName name="ZAHEERABAD_D">#REF!</definedName>
    <definedName name="ZAHEERABAD_P" localSheetId="11">#REF!</definedName>
    <definedName name="ZAHEERABAD_P" localSheetId="16">#REF!</definedName>
    <definedName name="ZAHEERABAD_P" localSheetId="18">#REF!</definedName>
    <definedName name="ZAHEERABAD_P">#REF!</definedName>
    <definedName name="ZAHEERABAD_S" localSheetId="11">#REF!</definedName>
    <definedName name="ZAHEERABAD_S" localSheetId="16">#REF!</definedName>
    <definedName name="ZAHEERABAD_S" localSheetId="18">#REF!</definedName>
    <definedName name="ZAHEERABAD_S">#REF!</definedName>
    <definedName name="ZYX" localSheetId="11">#REF!</definedName>
    <definedName name="ZYX" localSheetId="16">#REF!</definedName>
    <definedName name="ZYX" localSheetId="18">#REF!</definedName>
    <definedName name="ZYX">#REF!</definedName>
    <definedName name="ZZZ" localSheetId="11">#REF!</definedName>
    <definedName name="ZZZ" localSheetId="16">#REF!</definedName>
    <definedName name="ZZZ" localSheetId="18">#REF!</definedName>
    <definedName name="ZZZ">#REF!</definedName>
  </definedNames>
  <calcPr calcId="162913"/>
  <pivotCaches>
    <pivotCache cacheId="0" r:id="rId41"/>
    <pivotCache cacheId="1" r:id="rId42"/>
    <pivotCache cacheId="2" r:id="rId43"/>
  </pivotCaches>
</workbook>
</file>

<file path=xl/calcChain.xml><?xml version="1.0" encoding="utf-8"?>
<calcChain xmlns="http://schemas.openxmlformats.org/spreadsheetml/2006/main">
  <c r="W5" i="21" l="1"/>
  <c r="X5" i="21"/>
  <c r="Y5" i="21"/>
  <c r="Z5" i="21"/>
  <c r="AA5" i="21" s="1"/>
  <c r="AC5" i="21"/>
  <c r="AD5" i="21"/>
  <c r="AE5" i="21"/>
  <c r="AF5" i="21"/>
  <c r="AG5" i="21"/>
  <c r="AH5" i="21" s="1"/>
  <c r="AI5" i="21"/>
  <c r="AJ5" i="21"/>
  <c r="W6" i="21"/>
  <c r="X6" i="21"/>
  <c r="Y6" i="21"/>
  <c r="Z6" i="21"/>
  <c r="AA6" i="21" s="1"/>
  <c r="AC6" i="21"/>
  <c r="AD6" i="21"/>
  <c r="AE6" i="21"/>
  <c r="AF6" i="21"/>
  <c r="AG6" i="21"/>
  <c r="AH6" i="21" s="1"/>
  <c r="AI6" i="21"/>
  <c r="AJ6" i="21"/>
  <c r="AK6" i="21"/>
  <c r="W7" i="21"/>
  <c r="X7" i="21"/>
  <c r="Y7" i="21"/>
  <c r="Z7" i="21"/>
  <c r="AA7" i="21" s="1"/>
  <c r="AB7" i="21"/>
  <c r="AC7" i="21"/>
  <c r="AD7" i="21"/>
  <c r="AE7" i="21"/>
  <c r="AF7" i="21"/>
  <c r="AG7" i="21" s="1"/>
  <c r="AI7" i="21"/>
  <c r="AJ7" i="21"/>
  <c r="W8" i="21"/>
  <c r="X8" i="21"/>
  <c r="Y8" i="21"/>
  <c r="Z8" i="21"/>
  <c r="AA8" i="21"/>
  <c r="AC8" i="21"/>
  <c r="AD8" i="21"/>
  <c r="AE8" i="21"/>
  <c r="AF8" i="21"/>
  <c r="AG8" i="21"/>
  <c r="AK8" i="21" s="1"/>
  <c r="AL8" i="21" s="1"/>
  <c r="AI8" i="21"/>
  <c r="AJ8" i="21"/>
  <c r="W9" i="21"/>
  <c r="X9" i="21"/>
  <c r="Y9" i="21"/>
  <c r="Z9" i="21"/>
  <c r="AC9" i="21"/>
  <c r="AD9" i="21"/>
  <c r="AE9" i="21"/>
  <c r="AF9" i="21"/>
  <c r="AG9" i="21" s="1"/>
  <c r="AK9" i="21" s="1"/>
  <c r="AL9" i="21" s="1"/>
  <c r="AH9" i="21"/>
  <c r="AI9" i="21"/>
  <c r="AJ9" i="21"/>
  <c r="W10" i="21"/>
  <c r="X10" i="21"/>
  <c r="Y10" i="21"/>
  <c r="Z10" i="21"/>
  <c r="AA10" i="21" s="1"/>
  <c r="AB10" i="21" s="1"/>
  <c r="AC10" i="21"/>
  <c r="AD10" i="21"/>
  <c r="AE10" i="21"/>
  <c r="AF10" i="21"/>
  <c r="AG10" i="21"/>
  <c r="AI10" i="21"/>
  <c r="AJ10" i="21"/>
  <c r="W11" i="21"/>
  <c r="X11" i="21"/>
  <c r="Y11" i="21"/>
  <c r="Z11" i="21"/>
  <c r="AA11" i="21"/>
  <c r="AB11" i="21"/>
  <c r="AC11" i="21"/>
  <c r="AD11" i="21"/>
  <c r="AE11" i="21"/>
  <c r="AF11" i="21"/>
  <c r="AG11" i="21" s="1"/>
  <c r="AI11" i="21"/>
  <c r="AJ11" i="21"/>
  <c r="W12" i="21"/>
  <c r="X12" i="21"/>
  <c r="Y12" i="21"/>
  <c r="Z12" i="21"/>
  <c r="AA12" i="21" s="1"/>
  <c r="AC12" i="21"/>
  <c r="AD12" i="21"/>
  <c r="AE12" i="21"/>
  <c r="AM12" i="21" s="1"/>
  <c r="AF12" i="21"/>
  <c r="AG12" i="21"/>
  <c r="AH12" i="21"/>
  <c r="AI12" i="21"/>
  <c r="AJ12" i="21"/>
  <c r="AL12" i="21" s="1"/>
  <c r="AK12" i="21"/>
  <c r="W13" i="21"/>
  <c r="X13" i="21"/>
  <c r="Y13" i="21"/>
  <c r="Z13" i="21"/>
  <c r="AA13" i="21" s="1"/>
  <c r="AC13" i="21"/>
  <c r="AD13" i="21"/>
  <c r="AE13" i="21"/>
  <c r="AF13" i="21"/>
  <c r="AG13" i="21"/>
  <c r="AH13" i="21" s="1"/>
  <c r="AI13" i="21"/>
  <c r="AJ13" i="21"/>
  <c r="W14" i="21"/>
  <c r="X14" i="21"/>
  <c r="Y14" i="21"/>
  <c r="Z14" i="21"/>
  <c r="AA14" i="21" s="1"/>
  <c r="AC14" i="21"/>
  <c r="AD14" i="21"/>
  <c r="AE14" i="21"/>
  <c r="AF14" i="21"/>
  <c r="AG14" i="21"/>
  <c r="AH14" i="21" s="1"/>
  <c r="AI14" i="21"/>
  <c r="AJ14" i="21"/>
  <c r="AL14" i="21" s="1"/>
  <c r="AM14" i="21" s="1"/>
  <c r="AK14" i="21"/>
  <c r="W15" i="21"/>
  <c r="X15" i="21"/>
  <c r="Y15" i="21"/>
  <c r="Z15" i="21"/>
  <c r="AA15" i="21" s="1"/>
  <c r="AB15" i="21" s="1"/>
  <c r="AC15" i="21"/>
  <c r="AD15" i="21"/>
  <c r="AE15" i="21"/>
  <c r="AF15" i="21"/>
  <c r="AG15" i="21"/>
  <c r="AK15" i="21" s="1"/>
  <c r="AI15" i="21"/>
  <c r="AJ15" i="21"/>
  <c r="AL15" i="21" s="1"/>
  <c r="W16" i="21"/>
  <c r="X16" i="21"/>
  <c r="Y16" i="21"/>
  <c r="Z16" i="21"/>
  <c r="AA16" i="21"/>
  <c r="AC16" i="21"/>
  <c r="AD16" i="21"/>
  <c r="AE16" i="21"/>
  <c r="AF16" i="21"/>
  <c r="AG16" i="21"/>
  <c r="AK16" i="21" s="1"/>
  <c r="AL16" i="21" s="1"/>
  <c r="AI16" i="21"/>
  <c r="AJ16" i="21"/>
  <c r="W17" i="21"/>
  <c r="X17" i="21"/>
  <c r="Y17" i="21"/>
  <c r="Z17" i="21"/>
  <c r="AC17" i="21"/>
  <c r="AD17" i="21"/>
  <c r="AE17" i="21"/>
  <c r="AF17" i="21"/>
  <c r="AG17" i="21" s="1"/>
  <c r="AK17" i="21" s="1"/>
  <c r="AL17" i="21" s="1"/>
  <c r="AH17" i="21"/>
  <c r="AI17" i="21"/>
  <c r="AJ17" i="21"/>
  <c r="W18" i="21"/>
  <c r="X18" i="21"/>
  <c r="Y18" i="21"/>
  <c r="Z18" i="21"/>
  <c r="AA18" i="21" s="1"/>
  <c r="AB18" i="21" s="1"/>
  <c r="AC18" i="21"/>
  <c r="AD18" i="21"/>
  <c r="AE18" i="21"/>
  <c r="AF18" i="21"/>
  <c r="AG18" i="21"/>
  <c r="AI18" i="21"/>
  <c r="AJ18" i="21"/>
  <c r="W19" i="21"/>
  <c r="X19" i="21"/>
  <c r="Y19" i="21"/>
  <c r="Z19" i="21"/>
  <c r="AA19" i="21" s="1"/>
  <c r="AC19" i="21"/>
  <c r="AD19" i="21"/>
  <c r="AE19" i="21"/>
  <c r="AF19" i="21"/>
  <c r="AG19" i="21" s="1"/>
  <c r="AI19" i="21"/>
  <c r="AJ19" i="21"/>
  <c r="W20" i="21"/>
  <c r="X20" i="21"/>
  <c r="Y20" i="21"/>
  <c r="Z20" i="21"/>
  <c r="AA20" i="21" s="1"/>
  <c r="AC20" i="21"/>
  <c r="AD20" i="21"/>
  <c r="AE20" i="21"/>
  <c r="AF20" i="21"/>
  <c r="AG20" i="21"/>
  <c r="AH20" i="21" s="1"/>
  <c r="AI20" i="21"/>
  <c r="AJ20" i="21"/>
  <c r="W21" i="21"/>
  <c r="X21" i="21"/>
  <c r="Y21" i="21"/>
  <c r="Z21" i="21"/>
  <c r="AA21" i="21" s="1"/>
  <c r="AC21" i="21"/>
  <c r="AD21" i="21"/>
  <c r="AE21" i="21"/>
  <c r="AF21" i="21"/>
  <c r="AG21" i="21" s="1"/>
  <c r="AI21" i="21"/>
  <c r="AJ21" i="21"/>
  <c r="W22" i="21"/>
  <c r="X22" i="21"/>
  <c r="Y22" i="21"/>
  <c r="Z22" i="21"/>
  <c r="AA22" i="21" s="1"/>
  <c r="AC22" i="21"/>
  <c r="AD22" i="21"/>
  <c r="AE22" i="21"/>
  <c r="AF22" i="21"/>
  <c r="AG22" i="21"/>
  <c r="AH22" i="21" s="1"/>
  <c r="AI22" i="21"/>
  <c r="AJ22" i="21"/>
  <c r="AK22" i="21"/>
  <c r="W23" i="21"/>
  <c r="X23" i="21"/>
  <c r="Y23" i="21"/>
  <c r="Z23" i="21"/>
  <c r="AA23" i="21" s="1"/>
  <c r="AB23" i="21" s="1"/>
  <c r="AC23" i="21"/>
  <c r="AD23" i="21"/>
  <c r="AE23" i="21"/>
  <c r="AF23" i="21"/>
  <c r="AG23" i="21"/>
  <c r="AK23" i="21" s="1"/>
  <c r="AI23" i="21"/>
  <c r="AJ23" i="21"/>
  <c r="AL23" i="21" s="1"/>
  <c r="W24" i="21"/>
  <c r="X24" i="21"/>
  <c r="Y24" i="21"/>
  <c r="Z24" i="21"/>
  <c r="AA24" i="21"/>
  <c r="AC24" i="21"/>
  <c r="AD24" i="21"/>
  <c r="AE24" i="21"/>
  <c r="AF24" i="21"/>
  <c r="AG24" i="21" s="1"/>
  <c r="AI24" i="21"/>
  <c r="AJ24" i="21"/>
  <c r="W25" i="21"/>
  <c r="X25" i="21"/>
  <c r="Y25" i="21"/>
  <c r="Z25" i="21"/>
  <c r="AC25" i="21"/>
  <c r="AD25" i="21"/>
  <c r="AE25" i="21"/>
  <c r="AF25" i="21"/>
  <c r="AG25" i="21" s="1"/>
  <c r="AK25" i="21" s="1"/>
  <c r="AH25" i="21"/>
  <c r="AI25" i="21"/>
  <c r="AJ25" i="21"/>
  <c r="AL25" i="21" s="1"/>
  <c r="AM25" i="21" s="1"/>
  <c r="W26" i="21"/>
  <c r="X26" i="21"/>
  <c r="Y26" i="21"/>
  <c r="Z26" i="21"/>
  <c r="AA26" i="21"/>
  <c r="AB26" i="21" s="1"/>
  <c r="AC26" i="21"/>
  <c r="AD26" i="21"/>
  <c r="AE26" i="21"/>
  <c r="AF26" i="21"/>
  <c r="AG26" i="21"/>
  <c r="AI26" i="21"/>
  <c r="AJ26" i="21"/>
  <c r="W27" i="21"/>
  <c r="X27" i="21"/>
  <c r="Y27" i="21"/>
  <c r="Z27" i="21"/>
  <c r="AA27" i="21" s="1"/>
  <c r="AC27" i="21"/>
  <c r="AD27" i="21"/>
  <c r="AE27" i="21"/>
  <c r="AF27" i="21"/>
  <c r="AG27" i="21" s="1"/>
  <c r="AI27" i="21"/>
  <c r="AJ27" i="21"/>
  <c r="W28" i="21"/>
  <c r="X28" i="21"/>
  <c r="Y28" i="21"/>
  <c r="Z28" i="21"/>
  <c r="AA28" i="21" s="1"/>
  <c r="AB28" i="21" s="1"/>
  <c r="AC28" i="21"/>
  <c r="AD28" i="21"/>
  <c r="AE28" i="21"/>
  <c r="AF28" i="21"/>
  <c r="AG28" i="21"/>
  <c r="AH28" i="21" s="1"/>
  <c r="AI28" i="21"/>
  <c r="AJ28" i="21"/>
  <c r="W29" i="21"/>
  <c r="X29" i="21"/>
  <c r="Y29" i="21"/>
  <c r="Z29" i="21"/>
  <c r="AB29" i="21" s="1"/>
  <c r="AA29" i="21"/>
  <c r="AC29" i="21"/>
  <c r="AD29" i="21"/>
  <c r="AE29" i="21"/>
  <c r="AF29" i="21"/>
  <c r="AG29" i="21" s="1"/>
  <c r="AI29" i="21"/>
  <c r="AJ29" i="21"/>
  <c r="W30" i="21"/>
  <c r="X30" i="21"/>
  <c r="Y30" i="21"/>
  <c r="Z30" i="21"/>
  <c r="AA30" i="21" s="1"/>
  <c r="AC30" i="21"/>
  <c r="AD30" i="21"/>
  <c r="AE30" i="21"/>
  <c r="AF30" i="21"/>
  <c r="AG30" i="21"/>
  <c r="AH30" i="21"/>
  <c r="AI30" i="21"/>
  <c r="AJ30" i="21"/>
  <c r="AK30" i="21"/>
  <c r="W31" i="21"/>
  <c r="X31" i="21"/>
  <c r="Y31" i="21"/>
  <c r="Z31" i="21"/>
  <c r="AA31" i="21" s="1"/>
  <c r="AB31" i="21" s="1"/>
  <c r="AC31" i="21"/>
  <c r="AD31" i="21"/>
  <c r="AE31" i="21"/>
  <c r="AF31" i="21"/>
  <c r="AG31" i="21"/>
  <c r="AK31" i="21" s="1"/>
  <c r="AI31" i="21"/>
  <c r="AJ31" i="21"/>
  <c r="AL31" i="21" s="1"/>
  <c r="W32" i="21"/>
  <c r="X32" i="21"/>
  <c r="Y32" i="21"/>
  <c r="Z32" i="21"/>
  <c r="AA32" i="21"/>
  <c r="AC32" i="21"/>
  <c r="AD32" i="21"/>
  <c r="AE32" i="21"/>
  <c r="AF32" i="21"/>
  <c r="AG32" i="21" s="1"/>
  <c r="AI32" i="21"/>
  <c r="AJ32" i="21"/>
  <c r="W33" i="21"/>
  <c r="X33" i="21"/>
  <c r="Y33" i="21"/>
  <c r="Z33" i="21"/>
  <c r="AC33" i="21"/>
  <c r="AD33" i="21"/>
  <c r="AE33" i="21"/>
  <c r="AF33" i="21"/>
  <c r="AG33" i="21" s="1"/>
  <c r="AK33" i="21" s="1"/>
  <c r="AH33" i="21"/>
  <c r="AI33" i="21"/>
  <c r="AJ33" i="21"/>
  <c r="W34" i="21"/>
  <c r="X34" i="21"/>
  <c r="Y34" i="21"/>
  <c r="Z34" i="21"/>
  <c r="AA34" i="21"/>
  <c r="AB34" i="21" s="1"/>
  <c r="AC34" i="21"/>
  <c r="AD34" i="21"/>
  <c r="AE34" i="21"/>
  <c r="AF34" i="21"/>
  <c r="AG34" i="21"/>
  <c r="AI34" i="21"/>
  <c r="AJ34" i="21"/>
  <c r="W35" i="21"/>
  <c r="X35" i="21"/>
  <c r="Y35" i="21"/>
  <c r="Z35" i="21"/>
  <c r="AA35" i="21" s="1"/>
  <c r="AC35" i="21"/>
  <c r="AD35" i="21"/>
  <c r="AE35" i="21"/>
  <c r="AF35" i="21"/>
  <c r="AG35" i="21" s="1"/>
  <c r="AI35" i="21"/>
  <c r="AJ35" i="21"/>
  <c r="W36" i="21"/>
  <c r="X36" i="21"/>
  <c r="Y36" i="21"/>
  <c r="Z36" i="21"/>
  <c r="AA36" i="21" s="1"/>
  <c r="AB36" i="21" s="1"/>
  <c r="AC36" i="21"/>
  <c r="AD36" i="21"/>
  <c r="AE36" i="21"/>
  <c r="AF36" i="21"/>
  <c r="AG36" i="21"/>
  <c r="AH36" i="21" s="1"/>
  <c r="AI36" i="21"/>
  <c r="AJ36" i="21"/>
  <c r="W37" i="21"/>
  <c r="X37" i="21"/>
  <c r="Y37" i="21"/>
  <c r="Z37" i="21"/>
  <c r="AB37" i="21" s="1"/>
  <c r="AA37" i="21"/>
  <c r="AC37" i="21"/>
  <c r="AD37" i="21"/>
  <c r="AE37" i="21"/>
  <c r="AF37" i="21"/>
  <c r="AG37" i="21" s="1"/>
  <c r="AI37" i="21"/>
  <c r="AJ37" i="21"/>
  <c r="W38" i="21"/>
  <c r="X38" i="21"/>
  <c r="Y38" i="21"/>
  <c r="Z38" i="21"/>
  <c r="AA38" i="21" s="1"/>
  <c r="AC38" i="21"/>
  <c r="AD38" i="21"/>
  <c r="AE38" i="21"/>
  <c r="AF38" i="21"/>
  <c r="AG38" i="21"/>
  <c r="AH38" i="21"/>
  <c r="AI38" i="21"/>
  <c r="AJ38" i="21"/>
  <c r="AL38" i="21" s="1"/>
  <c r="AM38" i="21" s="1"/>
  <c r="AK38" i="21"/>
  <c r="W39" i="21"/>
  <c r="X39" i="21"/>
  <c r="Y39" i="21"/>
  <c r="Z39" i="21"/>
  <c r="AA39" i="21" s="1"/>
  <c r="AB39" i="21" s="1"/>
  <c r="AC39" i="21"/>
  <c r="AD39" i="21"/>
  <c r="AE39" i="21"/>
  <c r="AF39" i="21"/>
  <c r="AG39" i="21"/>
  <c r="AK39" i="21" s="1"/>
  <c r="AI39" i="21"/>
  <c r="AJ39" i="21"/>
  <c r="AL39" i="21" s="1"/>
  <c r="W40" i="21"/>
  <c r="X40" i="21"/>
  <c r="Y40" i="21"/>
  <c r="Z40" i="21"/>
  <c r="AA40" i="21"/>
  <c r="AC40" i="21"/>
  <c r="AD40" i="21"/>
  <c r="AE40" i="21"/>
  <c r="AF40" i="21"/>
  <c r="AG40" i="21" s="1"/>
  <c r="AI40" i="21"/>
  <c r="AJ40" i="21"/>
  <c r="W41" i="21"/>
  <c r="X41" i="21"/>
  <c r="Y41" i="21"/>
  <c r="Z41" i="21"/>
  <c r="AC41" i="21"/>
  <c r="AD41" i="21"/>
  <c r="AE41" i="21"/>
  <c r="AF41" i="21"/>
  <c r="AG41" i="21" s="1"/>
  <c r="AK41" i="21" s="1"/>
  <c r="AI41" i="21"/>
  <c r="AJ41" i="21"/>
  <c r="W42" i="21"/>
  <c r="X42" i="21"/>
  <c r="Y42" i="21"/>
  <c r="Z42" i="21"/>
  <c r="AA42" i="21"/>
  <c r="AB42" i="21" s="1"/>
  <c r="AC42" i="21"/>
  <c r="AD42" i="21"/>
  <c r="AE42" i="21"/>
  <c r="AF42" i="21"/>
  <c r="AG42" i="21"/>
  <c r="AI42" i="21"/>
  <c r="AJ42" i="21"/>
  <c r="W43" i="21"/>
  <c r="X43" i="21"/>
  <c r="Y43" i="21"/>
  <c r="Z43" i="21"/>
  <c r="AA43" i="21" s="1"/>
  <c r="AC43" i="21"/>
  <c r="AD43" i="21"/>
  <c r="AE43" i="21"/>
  <c r="AF43" i="21"/>
  <c r="AG43" i="21" s="1"/>
  <c r="AI43" i="21"/>
  <c r="AJ43" i="21"/>
  <c r="W44" i="21"/>
  <c r="X44" i="21"/>
  <c r="Y44" i="21"/>
  <c r="Z44" i="21"/>
  <c r="AA44" i="21" s="1"/>
  <c r="AB44" i="21" s="1"/>
  <c r="AC44" i="21"/>
  <c r="AD44" i="21"/>
  <c r="AE44" i="21"/>
  <c r="AF44" i="21"/>
  <c r="AG44" i="21"/>
  <c r="AH44" i="21" s="1"/>
  <c r="AI44" i="21"/>
  <c r="AJ44" i="21"/>
  <c r="W45" i="21"/>
  <c r="X45" i="21"/>
  <c r="Y45" i="21"/>
  <c r="Z45" i="21"/>
  <c r="AB45" i="21" s="1"/>
  <c r="AA45" i="21"/>
  <c r="AC45" i="21"/>
  <c r="AD45" i="21"/>
  <c r="AE45" i="21"/>
  <c r="AF45" i="21"/>
  <c r="AG45" i="21" s="1"/>
  <c r="AI45" i="21"/>
  <c r="AJ45" i="21"/>
  <c r="W46" i="21"/>
  <c r="X46" i="21"/>
  <c r="Y46" i="21"/>
  <c r="Z46" i="21"/>
  <c r="AA46" i="21" s="1"/>
  <c r="AC46" i="21"/>
  <c r="AD46" i="21"/>
  <c r="AE46" i="21"/>
  <c r="AF46" i="21"/>
  <c r="AG46" i="21"/>
  <c r="AH46" i="21"/>
  <c r="AI46" i="21"/>
  <c r="AJ46" i="21"/>
  <c r="AL46" i="21" s="1"/>
  <c r="AM46" i="21" s="1"/>
  <c r="AK46" i="21"/>
  <c r="W47" i="21"/>
  <c r="X47" i="21"/>
  <c r="Y47" i="21"/>
  <c r="Z47" i="21"/>
  <c r="AA47" i="21" s="1"/>
  <c r="AB47" i="21" s="1"/>
  <c r="AC47" i="21"/>
  <c r="AD47" i="21"/>
  <c r="AE47" i="21"/>
  <c r="AF47" i="21"/>
  <c r="AG47" i="21"/>
  <c r="AK47" i="21" s="1"/>
  <c r="AI47" i="21"/>
  <c r="AJ47" i="21"/>
  <c r="AL47" i="21" s="1"/>
  <c r="W48" i="21"/>
  <c r="X48" i="21"/>
  <c r="Y48" i="21"/>
  <c r="Z48" i="21"/>
  <c r="AA48" i="21"/>
  <c r="AC48" i="21"/>
  <c r="AD48" i="21"/>
  <c r="AE48" i="21"/>
  <c r="AF48" i="21"/>
  <c r="AG48" i="21" s="1"/>
  <c r="AI48" i="21"/>
  <c r="AJ48" i="21"/>
  <c r="W49" i="21"/>
  <c r="X49" i="21"/>
  <c r="Y49" i="21"/>
  <c r="Z49" i="21"/>
  <c r="AC49" i="21"/>
  <c r="AD49" i="21"/>
  <c r="AE49" i="21"/>
  <c r="AF49" i="21"/>
  <c r="AG49" i="21"/>
  <c r="AK49" i="21" s="1"/>
  <c r="AH49" i="21"/>
  <c r="AI49" i="21"/>
  <c r="AJ49" i="21"/>
  <c r="AL49" i="21" s="1"/>
  <c r="AM49" i="21" s="1"/>
  <c r="W50" i="21"/>
  <c r="X50" i="21"/>
  <c r="Y50" i="21"/>
  <c r="Z50" i="21"/>
  <c r="AA50" i="21"/>
  <c r="AB50" i="21" s="1"/>
  <c r="AC50" i="21"/>
  <c r="AD50" i="21"/>
  <c r="AE50" i="21"/>
  <c r="AF50" i="21"/>
  <c r="AG50" i="21"/>
  <c r="AI50" i="21"/>
  <c r="AJ50" i="21"/>
  <c r="W51" i="21"/>
  <c r="X51" i="21"/>
  <c r="Y51" i="21"/>
  <c r="Z51" i="21"/>
  <c r="AA51" i="21" s="1"/>
  <c r="AC51" i="21"/>
  <c r="AD51" i="21"/>
  <c r="AE51" i="21"/>
  <c r="AF51" i="21"/>
  <c r="AG51" i="21" s="1"/>
  <c r="AI51" i="21"/>
  <c r="AJ51" i="21"/>
  <c r="W52" i="21"/>
  <c r="X52" i="21"/>
  <c r="Y52" i="21"/>
  <c r="Z52" i="21"/>
  <c r="AA52" i="21" s="1"/>
  <c r="AB52" i="21" s="1"/>
  <c r="AC52" i="21"/>
  <c r="AD52" i="21"/>
  <c r="AE52" i="21"/>
  <c r="AF52" i="21"/>
  <c r="AG52" i="21"/>
  <c r="AH52" i="21" s="1"/>
  <c r="AI52" i="21"/>
  <c r="AJ52" i="21"/>
  <c r="W53" i="21"/>
  <c r="X53" i="21"/>
  <c r="Y53" i="21"/>
  <c r="Z53" i="21"/>
  <c r="AB53" i="21" s="1"/>
  <c r="AA53" i="21"/>
  <c r="AC53" i="21"/>
  <c r="AD53" i="21"/>
  <c r="AE53" i="21"/>
  <c r="AF53" i="21"/>
  <c r="AG53" i="21" s="1"/>
  <c r="AI53" i="21"/>
  <c r="AJ53" i="21"/>
  <c r="W54" i="21"/>
  <c r="X54" i="21"/>
  <c r="Y54" i="21"/>
  <c r="Z54" i="21"/>
  <c r="AA54" i="21" s="1"/>
  <c r="AC54" i="21"/>
  <c r="AD54" i="21"/>
  <c r="AE54" i="21"/>
  <c r="AF54" i="21"/>
  <c r="AG54" i="21"/>
  <c r="AH54" i="21"/>
  <c r="AI54" i="21"/>
  <c r="AJ54" i="21"/>
  <c r="AK54" i="21"/>
  <c r="W55" i="21"/>
  <c r="X55" i="21"/>
  <c r="Y55" i="21"/>
  <c r="Z55" i="21"/>
  <c r="AA55" i="21" s="1"/>
  <c r="AB55" i="21"/>
  <c r="AC55" i="21"/>
  <c r="AD55" i="21"/>
  <c r="AE55" i="21"/>
  <c r="AF55" i="21"/>
  <c r="AG55" i="21"/>
  <c r="AK55" i="21" s="1"/>
  <c r="AI55" i="21"/>
  <c r="AJ55" i="21"/>
  <c r="AL55" i="21" s="1"/>
  <c r="W56" i="21"/>
  <c r="X56" i="21"/>
  <c r="Y56" i="21"/>
  <c r="Z56" i="21"/>
  <c r="AA56" i="21"/>
  <c r="AC56" i="21"/>
  <c r="AD56" i="21"/>
  <c r="AE56" i="21"/>
  <c r="AF56" i="21"/>
  <c r="AG56" i="21" s="1"/>
  <c r="AI56" i="21"/>
  <c r="AJ56" i="21"/>
  <c r="W57" i="21"/>
  <c r="X57" i="21"/>
  <c r="Y57" i="21"/>
  <c r="Z57" i="21"/>
  <c r="AC57" i="21"/>
  <c r="AD57" i="21"/>
  <c r="AE57" i="21"/>
  <c r="AF57" i="21"/>
  <c r="AG57" i="21"/>
  <c r="AK57" i="21" s="1"/>
  <c r="AH57" i="21"/>
  <c r="AI57" i="21"/>
  <c r="AJ57" i="21"/>
  <c r="W58" i="21"/>
  <c r="X58" i="21"/>
  <c r="Y58" i="21"/>
  <c r="Z58" i="21"/>
  <c r="AA58" i="21"/>
  <c r="AB58" i="21" s="1"/>
  <c r="AC58" i="21"/>
  <c r="AD58" i="21"/>
  <c r="AE58" i="21"/>
  <c r="AF58" i="21"/>
  <c r="AG58" i="21"/>
  <c r="AI58" i="21"/>
  <c r="AJ58" i="21"/>
  <c r="W59" i="21"/>
  <c r="X59" i="21"/>
  <c r="Y59" i="21"/>
  <c r="Z59" i="21"/>
  <c r="AA59" i="21" s="1"/>
  <c r="AC59" i="21"/>
  <c r="AD59" i="21"/>
  <c r="AE59" i="21"/>
  <c r="AF59" i="21"/>
  <c r="AG59" i="21" s="1"/>
  <c r="AI59" i="21"/>
  <c r="AJ59" i="21"/>
  <c r="W60" i="21"/>
  <c r="X60" i="21"/>
  <c r="Y60" i="21"/>
  <c r="Z60" i="21"/>
  <c r="AA60" i="21" s="1"/>
  <c r="AB60" i="21" s="1"/>
  <c r="AC60" i="21"/>
  <c r="AD60" i="21"/>
  <c r="AE60" i="21"/>
  <c r="AF60" i="21"/>
  <c r="AG60" i="21"/>
  <c r="AH60" i="21" s="1"/>
  <c r="AI60" i="21"/>
  <c r="AJ60" i="21"/>
  <c r="W61" i="21"/>
  <c r="X61" i="21"/>
  <c r="Y61" i="21"/>
  <c r="Z61" i="21"/>
  <c r="AB61" i="21" s="1"/>
  <c r="AA61" i="21"/>
  <c r="AC61" i="21"/>
  <c r="AD61" i="21"/>
  <c r="AE61" i="21"/>
  <c r="AF61" i="21"/>
  <c r="AG61" i="21" s="1"/>
  <c r="AI61" i="21"/>
  <c r="AJ61" i="21"/>
  <c r="W62" i="21"/>
  <c r="X62" i="21"/>
  <c r="Y62" i="21"/>
  <c r="Z62" i="21"/>
  <c r="AA62" i="21" s="1"/>
  <c r="AC62" i="21"/>
  <c r="AD62" i="21"/>
  <c r="AE62" i="21"/>
  <c r="AF62" i="21"/>
  <c r="AG62" i="21"/>
  <c r="AH62" i="21"/>
  <c r="AI62" i="21"/>
  <c r="AJ62" i="21"/>
  <c r="AK62" i="21"/>
  <c r="W63" i="21"/>
  <c r="X63" i="21"/>
  <c r="Y63" i="21"/>
  <c r="Z63" i="21"/>
  <c r="AA63" i="21" s="1"/>
  <c r="AB63" i="21"/>
  <c r="AC63" i="21"/>
  <c r="AD63" i="21"/>
  <c r="AE63" i="21"/>
  <c r="AF63" i="21"/>
  <c r="AG63" i="21"/>
  <c r="AK63" i="21" s="1"/>
  <c r="AI63" i="21"/>
  <c r="AJ63" i="21"/>
  <c r="W64" i="21"/>
  <c r="X64" i="21"/>
  <c r="Y64" i="21"/>
  <c r="Z64" i="21"/>
  <c r="AB64" i="21" s="1"/>
  <c r="AA64" i="21"/>
  <c r="AC64" i="21"/>
  <c r="AD64" i="21"/>
  <c r="AE64" i="21"/>
  <c r="AF64" i="21"/>
  <c r="AG64" i="21" s="1"/>
  <c r="AI64" i="21"/>
  <c r="AJ64" i="21"/>
  <c r="W65" i="21"/>
  <c r="X65" i="21"/>
  <c r="Y65" i="21"/>
  <c r="Z65" i="21"/>
  <c r="AC65" i="21"/>
  <c r="AD65" i="21"/>
  <c r="AE65" i="21"/>
  <c r="AF65" i="21"/>
  <c r="AG65" i="21" s="1"/>
  <c r="AK65" i="21" s="1"/>
  <c r="AH65" i="21"/>
  <c r="AI65" i="21"/>
  <c r="AJ65" i="21"/>
  <c r="AL65" i="21" s="1"/>
  <c r="W66" i="21"/>
  <c r="X66" i="21"/>
  <c r="Y66" i="21"/>
  <c r="Z66" i="21"/>
  <c r="AA66" i="21"/>
  <c r="AB66" i="21" s="1"/>
  <c r="AC66" i="21"/>
  <c r="AD66" i="21"/>
  <c r="AE66" i="21"/>
  <c r="AF66" i="21"/>
  <c r="AG66" i="21"/>
  <c r="AI66" i="21"/>
  <c r="AJ66" i="21"/>
  <c r="W67" i="21"/>
  <c r="X67" i="21"/>
  <c r="Y67" i="21"/>
  <c r="Z67" i="21"/>
  <c r="AA67" i="21" s="1"/>
  <c r="AC67" i="21"/>
  <c r="AD67" i="21"/>
  <c r="AE67" i="21"/>
  <c r="AF67" i="21"/>
  <c r="AG67" i="21" s="1"/>
  <c r="AI67" i="21"/>
  <c r="AJ67" i="21"/>
  <c r="W68" i="21"/>
  <c r="X68" i="21"/>
  <c r="Y68" i="21"/>
  <c r="Z68" i="21"/>
  <c r="AA68" i="21" s="1"/>
  <c r="AB68" i="21" s="1"/>
  <c r="AC68" i="21"/>
  <c r="AD68" i="21"/>
  <c r="AE68" i="21"/>
  <c r="AF68" i="21"/>
  <c r="AG68" i="21"/>
  <c r="AH68" i="21" s="1"/>
  <c r="AI68" i="21"/>
  <c r="AJ68" i="21"/>
  <c r="W69" i="21"/>
  <c r="X69" i="21"/>
  <c r="Y69" i="21"/>
  <c r="Z69" i="21"/>
  <c r="AA69" i="21"/>
  <c r="AB69" i="21" s="1"/>
  <c r="AC69" i="21"/>
  <c r="AD69" i="21"/>
  <c r="AE69" i="21"/>
  <c r="AF69" i="21"/>
  <c r="AG69" i="21" s="1"/>
  <c r="AI69" i="21"/>
  <c r="AJ69" i="21"/>
  <c r="W70" i="21"/>
  <c r="X70" i="21"/>
  <c r="Y70" i="21"/>
  <c r="Z70" i="21"/>
  <c r="AA70" i="21" s="1"/>
  <c r="AC70" i="21"/>
  <c r="AD70" i="21"/>
  <c r="AE70" i="21"/>
  <c r="AF70" i="21"/>
  <c r="AG70" i="21"/>
  <c r="AH70" i="21"/>
  <c r="AI70" i="21"/>
  <c r="AJ70" i="21"/>
  <c r="AK70" i="21"/>
  <c r="W71" i="21"/>
  <c r="X71" i="21"/>
  <c r="Y71" i="21"/>
  <c r="Z71" i="21"/>
  <c r="AA71" i="21" s="1"/>
  <c r="AB71" i="21"/>
  <c r="AC71" i="21"/>
  <c r="AD71" i="21"/>
  <c r="AE71" i="21"/>
  <c r="AF71" i="21"/>
  <c r="AG71" i="21"/>
  <c r="AK71" i="21" s="1"/>
  <c r="AI71" i="21"/>
  <c r="AJ71" i="21"/>
  <c r="W72" i="21"/>
  <c r="X72" i="21"/>
  <c r="Y72" i="21"/>
  <c r="Z72" i="21"/>
  <c r="AB72" i="21" s="1"/>
  <c r="AA72" i="21"/>
  <c r="AC72" i="21"/>
  <c r="AD72" i="21"/>
  <c r="AE72" i="21"/>
  <c r="AF72" i="21"/>
  <c r="AG72" i="21" s="1"/>
  <c r="AI72" i="21"/>
  <c r="AJ72" i="21"/>
  <c r="W73" i="21"/>
  <c r="X73" i="21"/>
  <c r="Y73" i="21"/>
  <c r="Z73" i="21"/>
  <c r="AC73" i="21"/>
  <c r="AD73" i="21"/>
  <c r="AE73" i="21"/>
  <c r="AF73" i="21"/>
  <c r="AG73" i="21" s="1"/>
  <c r="AK73" i="21" s="1"/>
  <c r="AH73" i="21"/>
  <c r="AI73" i="21"/>
  <c r="AJ73" i="21"/>
  <c r="AL73" i="21" s="1"/>
  <c r="W74" i="21"/>
  <c r="X74" i="21"/>
  <c r="Y74" i="21"/>
  <c r="Z74" i="21"/>
  <c r="AA74" i="21"/>
  <c r="AB74" i="21" s="1"/>
  <c r="AC74" i="21"/>
  <c r="AD74" i="21"/>
  <c r="AE74" i="21"/>
  <c r="AF74" i="21"/>
  <c r="AG74" i="21"/>
  <c r="AI74" i="21"/>
  <c r="AJ74" i="21"/>
  <c r="W75" i="21"/>
  <c r="X75" i="21"/>
  <c r="Y75" i="21"/>
  <c r="Z75" i="21"/>
  <c r="AA75" i="21" s="1"/>
  <c r="AC75" i="21"/>
  <c r="AD75" i="21"/>
  <c r="AE75" i="21"/>
  <c r="AF75" i="21"/>
  <c r="AG75" i="21" s="1"/>
  <c r="AI75" i="21"/>
  <c r="AJ75" i="21"/>
  <c r="W76" i="21"/>
  <c r="X76" i="21"/>
  <c r="Y76" i="21"/>
  <c r="Z76" i="21"/>
  <c r="AA76" i="21" s="1"/>
  <c r="AB76" i="21" s="1"/>
  <c r="AC76" i="21"/>
  <c r="AD76" i="21"/>
  <c r="AE76" i="21"/>
  <c r="AF76" i="21"/>
  <c r="AG76" i="21"/>
  <c r="AI76" i="21"/>
  <c r="AJ76" i="21"/>
  <c r="W77" i="21"/>
  <c r="X77" i="21"/>
  <c r="Y77" i="21"/>
  <c r="Z77" i="21"/>
  <c r="AB77" i="21" s="1"/>
  <c r="AA77" i="21"/>
  <c r="AC77" i="21"/>
  <c r="AD77" i="21"/>
  <c r="AE77" i="21"/>
  <c r="AF77" i="21"/>
  <c r="AG77" i="21" s="1"/>
  <c r="AI77" i="21"/>
  <c r="AJ77" i="21"/>
  <c r="W78" i="21"/>
  <c r="X78" i="21"/>
  <c r="Y78" i="21"/>
  <c r="Z78" i="21"/>
  <c r="AA78" i="21" s="1"/>
  <c r="AC78" i="21"/>
  <c r="AD78" i="21"/>
  <c r="AE78" i="21"/>
  <c r="AF78" i="21"/>
  <c r="AG78" i="21"/>
  <c r="AH78" i="21"/>
  <c r="AI78" i="21"/>
  <c r="AJ78" i="21"/>
  <c r="AK78" i="21"/>
  <c r="W79" i="21"/>
  <c r="X79" i="21"/>
  <c r="Y79" i="21"/>
  <c r="Z79" i="21"/>
  <c r="AA79" i="21" s="1"/>
  <c r="AB79" i="21" s="1"/>
  <c r="AC79" i="21"/>
  <c r="AD79" i="21"/>
  <c r="AE79" i="21"/>
  <c r="AF79" i="21"/>
  <c r="AG79" i="21"/>
  <c r="AK79" i="21" s="1"/>
  <c r="AI79" i="21"/>
  <c r="AJ79" i="21"/>
  <c r="AL79" i="21" s="1"/>
  <c r="W80" i="21"/>
  <c r="X80" i="21"/>
  <c r="Y80" i="21"/>
  <c r="Z80" i="21"/>
  <c r="AB80" i="21" s="1"/>
  <c r="AA80" i="21"/>
  <c r="AC80" i="21"/>
  <c r="AD80" i="21"/>
  <c r="AE80" i="21"/>
  <c r="AF80" i="21"/>
  <c r="AG80" i="21" s="1"/>
  <c r="AH80" i="21" s="1"/>
  <c r="AI80" i="21"/>
  <c r="AJ80" i="21"/>
  <c r="W81" i="21"/>
  <c r="X81" i="21"/>
  <c r="Y81" i="21"/>
  <c r="Z81" i="21"/>
  <c r="AA81" i="21" s="1"/>
  <c r="AB81" i="21"/>
  <c r="AC81" i="21"/>
  <c r="AD81" i="21"/>
  <c r="AE81" i="21"/>
  <c r="AF81" i="21"/>
  <c r="AG81" i="21" s="1"/>
  <c r="AK81" i="21" s="1"/>
  <c r="AH81" i="21"/>
  <c r="AI81" i="21"/>
  <c r="AJ81" i="21"/>
  <c r="AL81" i="21" s="1"/>
  <c r="AM81" i="21" s="1"/>
  <c r="W82" i="21"/>
  <c r="X82" i="21"/>
  <c r="Y82" i="21"/>
  <c r="Z82" i="21"/>
  <c r="AA82" i="21"/>
  <c r="AB82" i="21" s="1"/>
  <c r="AC82" i="21"/>
  <c r="AD82" i="21"/>
  <c r="AE82" i="21"/>
  <c r="AF82" i="21"/>
  <c r="AG82" i="21"/>
  <c r="AI82" i="21"/>
  <c r="AJ82" i="21"/>
  <c r="W83" i="21"/>
  <c r="X83" i="21"/>
  <c r="Y83" i="21"/>
  <c r="Z83" i="21"/>
  <c r="AC83" i="21"/>
  <c r="AD83" i="21"/>
  <c r="AE83" i="21"/>
  <c r="AF83" i="21"/>
  <c r="AG83" i="21" s="1"/>
  <c r="AK83" i="21" s="1"/>
  <c r="AL83" i="21" s="1"/>
  <c r="AI83" i="21"/>
  <c r="AJ83" i="21"/>
  <c r="W84" i="21"/>
  <c r="X84" i="21"/>
  <c r="Y84" i="21"/>
  <c r="Z84" i="21"/>
  <c r="AA84" i="21" s="1"/>
  <c r="AB84" i="21" s="1"/>
  <c r="AC84" i="21"/>
  <c r="AD84" i="21"/>
  <c r="AE84" i="21"/>
  <c r="AF84" i="21"/>
  <c r="AG84" i="21"/>
  <c r="AI84" i="21"/>
  <c r="AJ84" i="21"/>
  <c r="W85" i="21"/>
  <c r="X85" i="21"/>
  <c r="Y85" i="21"/>
  <c r="Z85" i="21"/>
  <c r="AB85" i="21" s="1"/>
  <c r="AA85" i="21"/>
  <c r="AC85" i="21"/>
  <c r="AD85" i="21"/>
  <c r="AE85" i="21"/>
  <c r="AF85" i="21"/>
  <c r="AG85" i="21" s="1"/>
  <c r="AI85" i="21"/>
  <c r="AJ85" i="21"/>
  <c r="W86" i="21"/>
  <c r="X86" i="21"/>
  <c r="Y86" i="21"/>
  <c r="Z86" i="21"/>
  <c r="AA86" i="21" s="1"/>
  <c r="AC86" i="21"/>
  <c r="AD86" i="21"/>
  <c r="AE86" i="21"/>
  <c r="AF86" i="21"/>
  <c r="AG86" i="21" s="1"/>
  <c r="AH86" i="21" s="1"/>
  <c r="AI86" i="21"/>
  <c r="AJ86" i="21"/>
  <c r="AK86" i="21"/>
  <c r="W87" i="21"/>
  <c r="X87" i="21"/>
  <c r="Y87" i="21"/>
  <c r="Z87" i="21"/>
  <c r="AA87" i="21" s="1"/>
  <c r="AB87" i="21" s="1"/>
  <c r="AC87" i="21"/>
  <c r="AD87" i="21"/>
  <c r="AE87" i="21"/>
  <c r="AF87" i="21"/>
  <c r="AG87" i="21"/>
  <c r="AI87" i="21"/>
  <c r="AJ87" i="21"/>
  <c r="W88" i="21"/>
  <c r="X88" i="21"/>
  <c r="Y88" i="21"/>
  <c r="Z88" i="21"/>
  <c r="AB88" i="21" s="1"/>
  <c r="AA88" i="21"/>
  <c r="AC88" i="21"/>
  <c r="AD88" i="21"/>
  <c r="AE88" i="21"/>
  <c r="AF88" i="21"/>
  <c r="AG88" i="21" s="1"/>
  <c r="AH88" i="21" s="1"/>
  <c r="AI88" i="21"/>
  <c r="AJ88" i="21"/>
  <c r="W89" i="21"/>
  <c r="X89" i="21"/>
  <c r="Y89" i="21"/>
  <c r="Z89" i="21"/>
  <c r="AA89" i="21" s="1"/>
  <c r="AC89" i="21"/>
  <c r="AD89" i="21"/>
  <c r="AE89" i="21"/>
  <c r="AF89" i="21"/>
  <c r="AG89" i="21" s="1"/>
  <c r="AK89" i="21" s="1"/>
  <c r="AH89" i="21"/>
  <c r="AI89" i="21"/>
  <c r="AJ89" i="21"/>
  <c r="AL89" i="21" s="1"/>
  <c r="AM89" i="21" s="1"/>
  <c r="W90" i="21"/>
  <c r="X90" i="21"/>
  <c r="Y90" i="21"/>
  <c r="Z90" i="21"/>
  <c r="AA90" i="21"/>
  <c r="AB90" i="21" s="1"/>
  <c r="AC90" i="21"/>
  <c r="AD90" i="21"/>
  <c r="AE90" i="21"/>
  <c r="AF90" i="21"/>
  <c r="AG90" i="21"/>
  <c r="AI90" i="21"/>
  <c r="AJ90" i="21"/>
  <c r="W91" i="21"/>
  <c r="X91" i="21"/>
  <c r="Y91" i="21"/>
  <c r="Z91" i="21"/>
  <c r="AC91" i="21"/>
  <c r="AD91" i="21"/>
  <c r="AE91" i="21"/>
  <c r="AF91" i="21"/>
  <c r="AG91" i="21" s="1"/>
  <c r="AH91" i="21"/>
  <c r="AI91" i="21"/>
  <c r="AJ91" i="21"/>
  <c r="AK91" i="21"/>
  <c r="AL91" i="21" s="1"/>
  <c r="AM91" i="21" s="1"/>
  <c r="W92" i="21"/>
  <c r="X92" i="21"/>
  <c r="Y92" i="21"/>
  <c r="Z92" i="21"/>
  <c r="AA92" i="21" s="1"/>
  <c r="AB92" i="21"/>
  <c r="AC92" i="21"/>
  <c r="AD92" i="21"/>
  <c r="AE92" i="21"/>
  <c r="AF92" i="21"/>
  <c r="AG92" i="21"/>
  <c r="AI92" i="21"/>
  <c r="AJ92" i="21"/>
  <c r="W93" i="21"/>
  <c r="X93" i="21"/>
  <c r="Y93" i="21"/>
  <c r="Z93" i="21"/>
  <c r="AA93" i="21"/>
  <c r="AC93" i="21"/>
  <c r="AD93" i="21"/>
  <c r="AE93" i="21"/>
  <c r="AF93" i="21"/>
  <c r="AG93" i="21" s="1"/>
  <c r="AI93" i="21"/>
  <c r="AJ93" i="21"/>
  <c r="W94" i="21"/>
  <c r="X94" i="21"/>
  <c r="Y94" i="21"/>
  <c r="Z94" i="21"/>
  <c r="AC94" i="21"/>
  <c r="AD94" i="21"/>
  <c r="AE94" i="21"/>
  <c r="AF94" i="21"/>
  <c r="AG94" i="21" s="1"/>
  <c r="AH94" i="21" s="1"/>
  <c r="AI94" i="21"/>
  <c r="AJ94" i="21"/>
  <c r="AK94" i="21"/>
  <c r="W95" i="21"/>
  <c r="X95" i="21"/>
  <c r="Y95" i="21"/>
  <c r="Z95" i="21"/>
  <c r="AA95" i="21" s="1"/>
  <c r="AB95" i="21" s="1"/>
  <c r="AC95" i="21"/>
  <c r="AD95" i="21"/>
  <c r="AE95" i="21"/>
  <c r="AF95" i="21"/>
  <c r="AG95" i="21"/>
  <c r="AI95" i="21"/>
  <c r="AJ95" i="21"/>
  <c r="W96" i="21"/>
  <c r="X96" i="21"/>
  <c r="Y96" i="21"/>
  <c r="Z96" i="21"/>
  <c r="AA96" i="21"/>
  <c r="AC96" i="21"/>
  <c r="AD96" i="21"/>
  <c r="AE96" i="21"/>
  <c r="AF96" i="21"/>
  <c r="AG96" i="21" s="1"/>
  <c r="AI96" i="21"/>
  <c r="AJ96" i="21"/>
  <c r="W97" i="21"/>
  <c r="X97" i="21"/>
  <c r="Y97" i="21"/>
  <c r="Z97" i="21"/>
  <c r="AA97" i="21" s="1"/>
  <c r="AB97" i="21"/>
  <c r="AC97" i="21"/>
  <c r="AD97" i="21"/>
  <c r="AE97" i="21"/>
  <c r="AF97" i="21"/>
  <c r="AG97" i="21"/>
  <c r="AK97" i="21" s="1"/>
  <c r="AH97" i="21"/>
  <c r="AI97" i="21"/>
  <c r="AJ97" i="21"/>
  <c r="AL97" i="21" s="1"/>
  <c r="AM97" i="21" s="1"/>
  <c r="W98" i="21"/>
  <c r="X98" i="21"/>
  <c r="Y98" i="21"/>
  <c r="Z98" i="21"/>
  <c r="AA98" i="21"/>
  <c r="AB98" i="21"/>
  <c r="AC98" i="21"/>
  <c r="AD98" i="21"/>
  <c r="AE98" i="21"/>
  <c r="AF98" i="21"/>
  <c r="AG98" i="21"/>
  <c r="AI98" i="21"/>
  <c r="AJ98" i="21"/>
  <c r="W99" i="21"/>
  <c r="X99" i="21"/>
  <c r="Y99" i="21"/>
  <c r="Z99" i="21"/>
  <c r="AA99" i="21" s="1"/>
  <c r="AC99" i="21"/>
  <c r="AD99" i="21"/>
  <c r="AE99" i="21"/>
  <c r="AF99" i="21"/>
  <c r="AG99" i="21" s="1"/>
  <c r="AH99" i="21" s="1"/>
  <c r="AI99" i="21"/>
  <c r="AJ99" i="21"/>
  <c r="AK99" i="21"/>
  <c r="AL99" i="21"/>
  <c r="W100" i="21"/>
  <c r="X100" i="21"/>
  <c r="Y100" i="21"/>
  <c r="Z100" i="21"/>
  <c r="AA100" i="21" s="1"/>
  <c r="AC100" i="21"/>
  <c r="AD100" i="21"/>
  <c r="AE100" i="21"/>
  <c r="AF100" i="21"/>
  <c r="AG100" i="21"/>
  <c r="AH100" i="21"/>
  <c r="AI100" i="21"/>
  <c r="AJ100" i="21"/>
  <c r="AL100" i="21" s="1"/>
  <c r="AM100" i="21" s="1"/>
  <c r="AK100" i="21"/>
  <c r="W101" i="21"/>
  <c r="X101" i="21"/>
  <c r="Y101" i="21"/>
  <c r="Z101" i="21"/>
  <c r="AA101" i="21" s="1"/>
  <c r="AB101" i="21"/>
  <c r="AC101" i="21"/>
  <c r="AD101" i="21"/>
  <c r="AE101" i="21"/>
  <c r="AF101" i="21"/>
  <c r="AG101" i="21"/>
  <c r="AK101" i="21" s="1"/>
  <c r="AI101" i="21"/>
  <c r="AJ101" i="21"/>
  <c r="W102" i="21"/>
  <c r="X102" i="21"/>
  <c r="Y102" i="21"/>
  <c r="Z102" i="21"/>
  <c r="AA102" i="21" s="1"/>
  <c r="AB102" i="21"/>
  <c r="AC102" i="21"/>
  <c r="AD102" i="21"/>
  <c r="AE102" i="21"/>
  <c r="AF102" i="21"/>
  <c r="AG102" i="21"/>
  <c r="AK102" i="21" s="1"/>
  <c r="AI102" i="21"/>
  <c r="AJ102" i="21"/>
  <c r="AL102" i="21" s="1"/>
  <c r="W103" i="21"/>
  <c r="X103" i="21"/>
  <c r="Y103" i="21"/>
  <c r="Z103" i="21"/>
  <c r="AA103" i="21"/>
  <c r="AC103" i="21"/>
  <c r="AD103" i="21"/>
  <c r="AE103" i="21"/>
  <c r="AF103" i="21"/>
  <c r="AG103" i="21" s="1"/>
  <c r="AI103" i="21"/>
  <c r="AJ103" i="21"/>
  <c r="W104" i="21"/>
  <c r="X104" i="21"/>
  <c r="Y104" i="21"/>
  <c r="Z104" i="21"/>
  <c r="AC104" i="21"/>
  <c r="AD104" i="21"/>
  <c r="AE104" i="21"/>
  <c r="AF104" i="21"/>
  <c r="AG104" i="21" s="1"/>
  <c r="AK104" i="21" s="1"/>
  <c r="AH104" i="21"/>
  <c r="AI104" i="21"/>
  <c r="AJ104" i="21"/>
  <c r="AL104" i="21" s="1"/>
  <c r="W105" i="21"/>
  <c r="X105" i="21"/>
  <c r="Y105" i="21"/>
  <c r="Z105" i="21"/>
  <c r="AB105" i="21" s="1"/>
  <c r="AA105" i="21"/>
  <c r="AC105" i="21"/>
  <c r="AD105" i="21"/>
  <c r="AE105" i="21"/>
  <c r="AF105" i="21"/>
  <c r="AG105" i="21"/>
  <c r="AI105" i="21"/>
  <c r="AJ105" i="21"/>
  <c r="W106" i="21"/>
  <c r="X106" i="21"/>
  <c r="Y106" i="21"/>
  <c r="Z106" i="21"/>
  <c r="AA106" i="21" s="1"/>
  <c r="AC106" i="21"/>
  <c r="AD106" i="21"/>
  <c r="AE106" i="21"/>
  <c r="AF106" i="21"/>
  <c r="AG106" i="21" s="1"/>
  <c r="AI106" i="21"/>
  <c r="AJ106" i="21"/>
  <c r="W107" i="21"/>
  <c r="X107" i="21"/>
  <c r="Y107" i="21"/>
  <c r="Z107" i="21"/>
  <c r="AA107" i="21" s="1"/>
  <c r="AB107" i="21" s="1"/>
  <c r="AC107" i="21"/>
  <c r="AD107" i="21"/>
  <c r="AE107" i="21"/>
  <c r="AF107" i="21"/>
  <c r="AG107" i="21"/>
  <c r="AH107" i="21" s="1"/>
  <c r="AI107" i="21"/>
  <c r="AJ107" i="21"/>
  <c r="AL107" i="21" s="1"/>
  <c r="AM107" i="21" s="1"/>
  <c r="AK107" i="21"/>
  <c r="W108" i="21"/>
  <c r="X108" i="21"/>
  <c r="Y108" i="21"/>
  <c r="Z108" i="21"/>
  <c r="AA108" i="21"/>
  <c r="AB108" i="21" s="1"/>
  <c r="AC108" i="21"/>
  <c r="AD108" i="21"/>
  <c r="AE108" i="21"/>
  <c r="AF108" i="21"/>
  <c r="AG108" i="21" s="1"/>
  <c r="AI108" i="21"/>
  <c r="AJ108" i="21"/>
  <c r="W109" i="21"/>
  <c r="X109" i="21"/>
  <c r="Y109" i="21"/>
  <c r="Z109" i="21"/>
  <c r="AA109" i="21" s="1"/>
  <c r="AC109" i="21"/>
  <c r="AD109" i="21"/>
  <c r="AE109" i="21"/>
  <c r="AF109" i="21"/>
  <c r="AG109" i="21"/>
  <c r="AH109" i="21"/>
  <c r="AI109" i="21"/>
  <c r="AJ109" i="21"/>
  <c r="AK109" i="21"/>
  <c r="W110" i="21"/>
  <c r="X110" i="21"/>
  <c r="Y110" i="21"/>
  <c r="Z110" i="21"/>
  <c r="AA110" i="21" s="1"/>
  <c r="AB110" i="21"/>
  <c r="AC110" i="21"/>
  <c r="AD110" i="21"/>
  <c r="AE110" i="21"/>
  <c r="AF110" i="21"/>
  <c r="AG110" i="21"/>
  <c r="AK110" i="21" s="1"/>
  <c r="AI110" i="21"/>
  <c r="AJ110" i="21"/>
  <c r="W111" i="21"/>
  <c r="X111" i="21"/>
  <c r="Y111" i="21"/>
  <c r="Z111" i="21"/>
  <c r="AB111" i="21" s="1"/>
  <c r="AA111" i="21"/>
  <c r="AC111" i="21"/>
  <c r="AD111" i="21"/>
  <c r="AE111" i="21"/>
  <c r="AF111" i="21"/>
  <c r="AG111" i="21" s="1"/>
  <c r="AI111" i="21"/>
  <c r="AJ111" i="21"/>
  <c r="W112" i="21"/>
  <c r="X112" i="21"/>
  <c r="Y112" i="21"/>
  <c r="Z112" i="21"/>
  <c r="AC112" i="21"/>
  <c r="AD112" i="21"/>
  <c r="AE112" i="21"/>
  <c r="AF112" i="21"/>
  <c r="AG112" i="21" s="1"/>
  <c r="AK112" i="21" s="1"/>
  <c r="AH112" i="21"/>
  <c r="AI112" i="21"/>
  <c r="AJ112" i="21"/>
  <c r="W113" i="21"/>
  <c r="X113" i="21"/>
  <c r="Y113" i="21"/>
  <c r="Z113" i="21"/>
  <c r="AA113" i="21"/>
  <c r="AB113" i="21" s="1"/>
  <c r="AC113" i="21"/>
  <c r="AD113" i="21"/>
  <c r="AE113" i="21"/>
  <c r="AF113" i="21"/>
  <c r="AG113" i="21"/>
  <c r="AI113" i="21"/>
  <c r="AJ113" i="21"/>
  <c r="W114" i="21"/>
  <c r="X114" i="21"/>
  <c r="Y114" i="21"/>
  <c r="Z114" i="21"/>
  <c r="AA114" i="21" s="1"/>
  <c r="AC114" i="21"/>
  <c r="AD114" i="21"/>
  <c r="AE114" i="21"/>
  <c r="AF114" i="21"/>
  <c r="AG114" i="21" s="1"/>
  <c r="AI114" i="21"/>
  <c r="AJ114" i="21"/>
  <c r="W115" i="21"/>
  <c r="X115" i="21"/>
  <c r="Y115" i="21"/>
  <c r="Z115" i="21"/>
  <c r="AA115" i="21" s="1"/>
  <c r="AB115" i="21" s="1"/>
  <c r="AC115" i="21"/>
  <c r="AD115" i="21"/>
  <c r="AE115" i="21"/>
  <c r="AF115" i="21"/>
  <c r="AG115" i="21"/>
  <c r="AH115" i="21" s="1"/>
  <c r="AI115" i="21"/>
  <c r="AJ115" i="21"/>
  <c r="AL115" i="21" s="1"/>
  <c r="AK115" i="21"/>
  <c r="AM115" i="21"/>
  <c r="W116" i="21"/>
  <c r="X116" i="21"/>
  <c r="Y116" i="21"/>
  <c r="Z116" i="21"/>
  <c r="AA116" i="21"/>
  <c r="AB116" i="21" s="1"/>
  <c r="AC116" i="21"/>
  <c r="AD116" i="21"/>
  <c r="AE116" i="21"/>
  <c r="AF116" i="21"/>
  <c r="AG116" i="21" s="1"/>
  <c r="AI116" i="21"/>
  <c r="AJ116" i="21"/>
  <c r="W117" i="21"/>
  <c r="X117" i="21"/>
  <c r="Y117" i="21"/>
  <c r="Z117" i="21"/>
  <c r="AA117" i="21" s="1"/>
  <c r="AC117" i="21"/>
  <c r="AD117" i="21"/>
  <c r="AE117" i="21"/>
  <c r="AF117" i="21"/>
  <c r="AG117" i="21"/>
  <c r="AH117" i="21"/>
  <c r="AI117" i="21"/>
  <c r="AJ117" i="21"/>
  <c r="AL117" i="21" s="1"/>
  <c r="AM117" i="21" s="1"/>
  <c r="AK117" i="21"/>
  <c r="W118" i="21"/>
  <c r="X118" i="21"/>
  <c r="Y118" i="21"/>
  <c r="Z118" i="21"/>
  <c r="AA118" i="21" s="1"/>
  <c r="AB118" i="21"/>
  <c r="AC118" i="21"/>
  <c r="AD118" i="21"/>
  <c r="AE118" i="21"/>
  <c r="AF118" i="21"/>
  <c r="AG118" i="21"/>
  <c r="AK118" i="21" s="1"/>
  <c r="AI118" i="21"/>
  <c r="AJ118" i="21"/>
  <c r="W119" i="21"/>
  <c r="X119" i="21"/>
  <c r="Y119" i="21"/>
  <c r="Z119" i="21"/>
  <c r="AA119" i="21"/>
  <c r="AC119" i="21"/>
  <c r="AD119" i="21"/>
  <c r="AE119" i="21"/>
  <c r="AF119" i="21"/>
  <c r="AG119" i="21" s="1"/>
  <c r="AI119" i="21"/>
  <c r="AJ119" i="21"/>
  <c r="W120" i="21"/>
  <c r="X120" i="21"/>
  <c r="Y120" i="21"/>
  <c r="Z120" i="21"/>
  <c r="AC120" i="21"/>
  <c r="AD120" i="21"/>
  <c r="AE120" i="21"/>
  <c r="AF120" i="21"/>
  <c r="AG120" i="21" s="1"/>
  <c r="AK120" i="21" s="1"/>
  <c r="AI120" i="21"/>
  <c r="AJ120" i="21"/>
  <c r="AL120" i="21" s="1"/>
  <c r="W121" i="21"/>
  <c r="X121" i="21"/>
  <c r="Y121" i="21"/>
  <c r="Z121" i="21"/>
  <c r="AB121" i="21" s="1"/>
  <c r="AA121" i="21"/>
  <c r="AC121" i="21"/>
  <c r="AD121" i="21"/>
  <c r="AE121" i="21"/>
  <c r="AF121" i="21"/>
  <c r="AG121" i="21"/>
  <c r="AI121" i="21"/>
  <c r="AJ121" i="21"/>
  <c r="W122" i="21"/>
  <c r="X122" i="21"/>
  <c r="Y122" i="21"/>
  <c r="Z122" i="21"/>
  <c r="AA122" i="21" s="1"/>
  <c r="AC122" i="21"/>
  <c r="AD122" i="21"/>
  <c r="AE122" i="21"/>
  <c r="AF122" i="21"/>
  <c r="AG122" i="21" s="1"/>
  <c r="AI122" i="21"/>
  <c r="AJ122" i="21"/>
  <c r="W123" i="21"/>
  <c r="X123" i="21"/>
  <c r="Y123" i="21"/>
  <c r="Z123" i="21"/>
  <c r="AA123" i="21" s="1"/>
  <c r="AB123" i="21" s="1"/>
  <c r="AC123" i="21"/>
  <c r="AD123" i="21"/>
  <c r="AE123" i="21"/>
  <c r="AF123" i="21"/>
  <c r="AG123" i="21" s="1"/>
  <c r="AI123" i="21"/>
  <c r="AJ123" i="21"/>
  <c r="W124" i="21"/>
  <c r="X124" i="21"/>
  <c r="Y124" i="21"/>
  <c r="Z124" i="21"/>
  <c r="AA124" i="21"/>
  <c r="AB124" i="21" s="1"/>
  <c r="AC124" i="21"/>
  <c r="AD124" i="21"/>
  <c r="AE124" i="21"/>
  <c r="AF124" i="21"/>
  <c r="AG124" i="21" s="1"/>
  <c r="AI124" i="21"/>
  <c r="AJ124" i="21"/>
  <c r="W125" i="21"/>
  <c r="X125" i="21"/>
  <c r="Y125" i="21"/>
  <c r="Z125" i="21"/>
  <c r="AA125" i="21" s="1"/>
  <c r="AC125" i="21"/>
  <c r="AD125" i="21"/>
  <c r="AE125" i="21"/>
  <c r="AF125" i="21"/>
  <c r="AG125" i="21"/>
  <c r="AH125" i="21"/>
  <c r="AI125" i="21"/>
  <c r="AJ125" i="21"/>
  <c r="AK125" i="21"/>
  <c r="AL125" i="21" s="1"/>
  <c r="AM125" i="21" s="1"/>
  <c r="W126" i="21"/>
  <c r="X126" i="21"/>
  <c r="Y126" i="21"/>
  <c r="Z126" i="21"/>
  <c r="AA126" i="21" s="1"/>
  <c r="AB126" i="21"/>
  <c r="AC126" i="21"/>
  <c r="AD126" i="21"/>
  <c r="AE126" i="21"/>
  <c r="AF126" i="21"/>
  <c r="AG126" i="21"/>
  <c r="AK126" i="21" s="1"/>
  <c r="AI126" i="21"/>
  <c r="AJ126" i="21"/>
  <c r="AL126" i="21" s="1"/>
  <c r="W127" i="21"/>
  <c r="X127" i="21"/>
  <c r="Y127" i="21"/>
  <c r="Z127" i="21"/>
  <c r="AA127" i="21"/>
  <c r="AC127" i="21"/>
  <c r="AD127" i="21"/>
  <c r="AE127" i="21"/>
  <c r="AF127" i="21"/>
  <c r="AG127" i="21" s="1"/>
  <c r="AI127" i="21"/>
  <c r="AJ127" i="21"/>
  <c r="W128" i="21"/>
  <c r="X128" i="21"/>
  <c r="Y128" i="21"/>
  <c r="Z128" i="21"/>
  <c r="AC128" i="21"/>
  <c r="AD128" i="21"/>
  <c r="AE128" i="21"/>
  <c r="AF128" i="21"/>
  <c r="AG128" i="21" s="1"/>
  <c r="AK128" i="21" s="1"/>
  <c r="AH128" i="21"/>
  <c r="AI128" i="21"/>
  <c r="AJ128" i="21"/>
  <c r="W129" i="21"/>
  <c r="X129" i="21"/>
  <c r="Y129" i="21"/>
  <c r="Z129" i="21"/>
  <c r="AA129" i="21" s="1"/>
  <c r="AC129" i="21"/>
  <c r="AD129" i="21"/>
  <c r="AE129" i="21"/>
  <c r="AF129" i="21"/>
  <c r="AG129" i="21"/>
  <c r="AI129" i="21"/>
  <c r="AJ129" i="21"/>
  <c r="W130" i="21"/>
  <c r="X130" i="21"/>
  <c r="Y130" i="21"/>
  <c r="Z130" i="21"/>
  <c r="AA130" i="21" s="1"/>
  <c r="AC130" i="21"/>
  <c r="AD130" i="21"/>
  <c r="AE130" i="21"/>
  <c r="AF130" i="21"/>
  <c r="AG130" i="21" s="1"/>
  <c r="AI130" i="21"/>
  <c r="AJ130" i="21"/>
  <c r="W131" i="21"/>
  <c r="X131" i="21"/>
  <c r="Y131" i="21"/>
  <c r="Z131" i="21"/>
  <c r="AA131" i="21" s="1"/>
  <c r="AB131" i="21" s="1"/>
  <c r="AC131" i="21"/>
  <c r="AD131" i="21"/>
  <c r="AE131" i="21"/>
  <c r="AF131" i="21"/>
  <c r="AG131" i="21" s="1"/>
  <c r="AI131" i="21"/>
  <c r="AJ131" i="21"/>
  <c r="W132" i="21"/>
  <c r="X132" i="21"/>
  <c r="Y132" i="21"/>
  <c r="Z132" i="21"/>
  <c r="AA132" i="21"/>
  <c r="AB132" i="21" s="1"/>
  <c r="AC132" i="21"/>
  <c r="AD132" i="21"/>
  <c r="AE132" i="21"/>
  <c r="AF132" i="21"/>
  <c r="AG132" i="21" s="1"/>
  <c r="AI132" i="21"/>
  <c r="AJ132" i="21"/>
  <c r="W133" i="21"/>
  <c r="X133" i="21"/>
  <c r="Y133" i="21"/>
  <c r="Z133" i="21"/>
  <c r="AA133" i="21" s="1"/>
  <c r="AC133" i="21"/>
  <c r="AD133" i="21"/>
  <c r="AE133" i="21"/>
  <c r="AF133" i="21"/>
  <c r="AG133" i="21"/>
  <c r="AH133" i="21"/>
  <c r="AI133" i="21"/>
  <c r="AJ133" i="21"/>
  <c r="AK133" i="21"/>
  <c r="AL133" i="21" s="1"/>
  <c r="AM133" i="21" s="1"/>
  <c r="W134" i="21"/>
  <c r="X134" i="21"/>
  <c r="Y134" i="21"/>
  <c r="Z134" i="21"/>
  <c r="AA134" i="21" s="1"/>
  <c r="AB134" i="21"/>
  <c r="AC134" i="21"/>
  <c r="AD134" i="21"/>
  <c r="AE134" i="21"/>
  <c r="AF134" i="21"/>
  <c r="AG134" i="21"/>
  <c r="AK134" i="21" s="1"/>
  <c r="AI134" i="21"/>
  <c r="AJ134" i="21"/>
  <c r="W135" i="21"/>
  <c r="X135" i="21"/>
  <c r="Y135" i="21"/>
  <c r="Z135" i="21"/>
  <c r="AB135" i="21" s="1"/>
  <c r="AA135" i="21"/>
  <c r="AC135" i="21"/>
  <c r="AD135" i="21"/>
  <c r="AE135" i="21"/>
  <c r="AF135" i="21"/>
  <c r="AG135" i="21" s="1"/>
  <c r="AI135" i="21"/>
  <c r="AJ135" i="21"/>
  <c r="W136" i="21"/>
  <c r="X136" i="21"/>
  <c r="Y136" i="21"/>
  <c r="Z136" i="21"/>
  <c r="AC136" i="21"/>
  <c r="AD136" i="21"/>
  <c r="AE136" i="21"/>
  <c r="AF136" i="21"/>
  <c r="AG136" i="21" s="1"/>
  <c r="AK136" i="21" s="1"/>
  <c r="AH136" i="21"/>
  <c r="AI136" i="21"/>
  <c r="AJ136" i="21"/>
  <c r="AL136" i="21" s="1"/>
  <c r="W137" i="21"/>
  <c r="X137" i="21"/>
  <c r="Y137" i="21"/>
  <c r="Z137" i="21"/>
  <c r="AA137" i="21" s="1"/>
  <c r="AC137" i="21"/>
  <c r="AD137" i="21"/>
  <c r="AE137" i="21"/>
  <c r="AF137" i="21"/>
  <c r="AG137" i="21"/>
  <c r="AI137" i="21"/>
  <c r="AJ137" i="21"/>
  <c r="W138" i="21"/>
  <c r="X138" i="21"/>
  <c r="Y138" i="21"/>
  <c r="Z138" i="21"/>
  <c r="AA138" i="21" s="1"/>
  <c r="AC138" i="21"/>
  <c r="AD138" i="21"/>
  <c r="AE138" i="21"/>
  <c r="AF138" i="21"/>
  <c r="AG138" i="21" s="1"/>
  <c r="AI138" i="21"/>
  <c r="AJ138" i="21"/>
  <c r="W139" i="21"/>
  <c r="X139" i="21"/>
  <c r="Y139" i="21"/>
  <c r="Z139" i="21"/>
  <c r="AA139" i="21" s="1"/>
  <c r="AB139" i="21" s="1"/>
  <c r="AC139" i="21"/>
  <c r="AD139" i="21"/>
  <c r="AE139" i="21"/>
  <c r="AF139" i="21"/>
  <c r="AG139" i="21" s="1"/>
  <c r="AI139" i="21"/>
  <c r="AJ139" i="21"/>
  <c r="W140" i="21"/>
  <c r="X140" i="21"/>
  <c r="Y140" i="21"/>
  <c r="Z140" i="21"/>
  <c r="AA140" i="21"/>
  <c r="AB140" i="21" s="1"/>
  <c r="AC140" i="21"/>
  <c r="AD140" i="21"/>
  <c r="AE140" i="21"/>
  <c r="AF140" i="21"/>
  <c r="AG140" i="21" s="1"/>
  <c r="AI140" i="21"/>
  <c r="AJ140" i="21"/>
  <c r="W141" i="21"/>
  <c r="X141" i="21"/>
  <c r="Y141" i="21"/>
  <c r="Z141" i="21"/>
  <c r="AA141" i="21" s="1"/>
  <c r="AC141" i="21"/>
  <c r="AD141" i="21"/>
  <c r="AE141" i="21"/>
  <c r="AF141" i="21"/>
  <c r="AG141" i="21"/>
  <c r="AH141" i="21"/>
  <c r="AI141" i="21"/>
  <c r="AJ141" i="21"/>
  <c r="AK141" i="21"/>
  <c r="AL141" i="21" s="1"/>
  <c r="AM141" i="21" s="1"/>
  <c r="W142" i="21"/>
  <c r="X142" i="21"/>
  <c r="Y142" i="21"/>
  <c r="Z142" i="21"/>
  <c r="AA142" i="21" s="1"/>
  <c r="AB142" i="21"/>
  <c r="AC142" i="21"/>
  <c r="AD142" i="21"/>
  <c r="AE142" i="21"/>
  <c r="AF142" i="21"/>
  <c r="AG142" i="21"/>
  <c r="AK142" i="21" s="1"/>
  <c r="AI142" i="21"/>
  <c r="AJ142" i="21"/>
  <c r="W143" i="21"/>
  <c r="X143" i="21"/>
  <c r="Y143" i="21"/>
  <c r="Z143" i="21"/>
  <c r="AB143" i="21" s="1"/>
  <c r="AA143" i="21"/>
  <c r="AC143" i="21"/>
  <c r="AD143" i="21"/>
  <c r="AE143" i="21"/>
  <c r="AF143" i="21"/>
  <c r="AG143" i="21" s="1"/>
  <c r="AI143" i="21"/>
  <c r="AJ143" i="21"/>
  <c r="W144" i="21"/>
  <c r="X144" i="21"/>
  <c r="Y144" i="21"/>
  <c r="Z144" i="21"/>
  <c r="AC144" i="21"/>
  <c r="AD144" i="21"/>
  <c r="AE144" i="21"/>
  <c r="AF144" i="21"/>
  <c r="AG144" i="21" s="1"/>
  <c r="AK144" i="21" s="1"/>
  <c r="AH144" i="21"/>
  <c r="AI144" i="21"/>
  <c r="AJ144" i="21"/>
  <c r="AL144" i="21" s="1"/>
  <c r="W145" i="21"/>
  <c r="X145" i="21"/>
  <c r="Y145" i="21"/>
  <c r="Z145" i="21"/>
  <c r="AA145" i="21" s="1"/>
  <c r="AC145" i="21"/>
  <c r="AD145" i="21"/>
  <c r="AE145" i="21"/>
  <c r="AF145" i="21"/>
  <c r="AG145" i="21"/>
  <c r="AI145" i="21"/>
  <c r="AJ145" i="21"/>
  <c r="W146" i="21"/>
  <c r="X146" i="21"/>
  <c r="Y146" i="21"/>
  <c r="Z146" i="21"/>
  <c r="AA146" i="21" s="1"/>
  <c r="AC146" i="21"/>
  <c r="AD146" i="21"/>
  <c r="AE146" i="21"/>
  <c r="AF146" i="21"/>
  <c r="AG146" i="21" s="1"/>
  <c r="AI146" i="21"/>
  <c r="AJ146" i="21"/>
  <c r="W147" i="21"/>
  <c r="X147" i="21"/>
  <c r="Y147" i="21"/>
  <c r="Z147" i="21"/>
  <c r="AA147" i="21" s="1"/>
  <c r="AB147" i="21" s="1"/>
  <c r="AC147" i="21"/>
  <c r="AD147" i="21"/>
  <c r="AE147" i="21"/>
  <c r="AF147" i="21"/>
  <c r="AG147" i="21" s="1"/>
  <c r="AI147" i="21"/>
  <c r="AJ147" i="21"/>
  <c r="W148" i="21"/>
  <c r="X148" i="21"/>
  <c r="Y148" i="21"/>
  <c r="Z148" i="21"/>
  <c r="AA148" i="21"/>
  <c r="AB148" i="21" s="1"/>
  <c r="AC148" i="21"/>
  <c r="AD148" i="21"/>
  <c r="AE148" i="21"/>
  <c r="AF148" i="21"/>
  <c r="AG148" i="21" s="1"/>
  <c r="AI148" i="21"/>
  <c r="AJ148" i="21"/>
  <c r="W149" i="21"/>
  <c r="X149" i="21"/>
  <c r="Y149" i="21"/>
  <c r="Z149" i="21"/>
  <c r="AA149" i="21" s="1"/>
  <c r="AC149" i="21"/>
  <c r="AD149" i="21"/>
  <c r="AE149" i="21"/>
  <c r="AF149" i="21"/>
  <c r="AG149" i="21"/>
  <c r="AH149" i="21"/>
  <c r="AI149" i="21"/>
  <c r="AJ149" i="21"/>
  <c r="AK149" i="21"/>
  <c r="AL149" i="21" s="1"/>
  <c r="W150" i="21"/>
  <c r="X150" i="21"/>
  <c r="Y150" i="21"/>
  <c r="Z150" i="21"/>
  <c r="AA150" i="21" s="1"/>
  <c r="AB150" i="21"/>
  <c r="AC150" i="21"/>
  <c r="AD150" i="21"/>
  <c r="AE150" i="21"/>
  <c r="AF150" i="21"/>
  <c r="AG150" i="21"/>
  <c r="AI150" i="21"/>
  <c r="AJ150" i="21"/>
  <c r="W151" i="21"/>
  <c r="X151" i="21"/>
  <c r="Y151" i="21"/>
  <c r="Z151" i="21"/>
  <c r="AB151" i="21" s="1"/>
  <c r="AA151" i="21"/>
  <c r="AC151" i="21"/>
  <c r="AD151" i="21"/>
  <c r="AE151" i="21"/>
  <c r="AF151" i="21"/>
  <c r="AG151" i="21" s="1"/>
  <c r="AI151" i="21"/>
  <c r="AJ151" i="21"/>
  <c r="W152" i="21"/>
  <c r="X152" i="21"/>
  <c r="Y152" i="21"/>
  <c r="Z152" i="21"/>
  <c r="AC152" i="21"/>
  <c r="AD152" i="21"/>
  <c r="AE152" i="21"/>
  <c r="AF152" i="21"/>
  <c r="AG152" i="21" s="1"/>
  <c r="AK152" i="21" s="1"/>
  <c r="AI152" i="21"/>
  <c r="AJ152" i="21"/>
  <c r="AL152" i="21" s="1"/>
  <c r="W153" i="21"/>
  <c r="X153" i="21"/>
  <c r="Y153" i="21"/>
  <c r="Z153" i="21"/>
  <c r="AA153" i="21" s="1"/>
  <c r="AC153" i="21"/>
  <c r="AD153" i="21"/>
  <c r="AE153" i="21"/>
  <c r="AF153" i="21"/>
  <c r="AG153" i="21"/>
  <c r="AI153" i="21"/>
  <c r="AJ153" i="21"/>
  <c r="W154" i="21"/>
  <c r="X154" i="21"/>
  <c r="Y154" i="21"/>
  <c r="Z154" i="21"/>
  <c r="AA154" i="21" s="1"/>
  <c r="AC154" i="21"/>
  <c r="AD154" i="21"/>
  <c r="AE154" i="21"/>
  <c r="AF154" i="21"/>
  <c r="AG154" i="21" s="1"/>
  <c r="AI154" i="21"/>
  <c r="AJ154" i="21"/>
  <c r="W155" i="21"/>
  <c r="X155" i="21"/>
  <c r="Y155" i="21"/>
  <c r="Z155" i="21"/>
  <c r="AA155" i="21" s="1"/>
  <c r="AB155" i="21" s="1"/>
  <c r="AC155" i="21"/>
  <c r="AD155" i="21"/>
  <c r="AE155" i="21"/>
  <c r="AF155" i="21"/>
  <c r="AG155" i="21" s="1"/>
  <c r="AI155" i="21"/>
  <c r="AJ155" i="21"/>
  <c r="W156" i="21"/>
  <c r="X156" i="21"/>
  <c r="Y156" i="21"/>
  <c r="Z156" i="21"/>
  <c r="AA156" i="21"/>
  <c r="AB156" i="21" s="1"/>
  <c r="AC156" i="21"/>
  <c r="AD156" i="21"/>
  <c r="AE156" i="21"/>
  <c r="AF156" i="21"/>
  <c r="AG156" i="21" s="1"/>
  <c r="AI156" i="21"/>
  <c r="AJ156" i="21"/>
  <c r="W157" i="21"/>
  <c r="X157" i="21"/>
  <c r="Y157" i="21"/>
  <c r="Z157" i="21"/>
  <c r="AC157" i="21"/>
  <c r="AD157" i="21"/>
  <c r="AE157" i="21"/>
  <c r="AF157" i="21"/>
  <c r="AG157" i="21"/>
  <c r="AH157" i="21"/>
  <c r="AI157" i="21"/>
  <c r="AJ157" i="21"/>
  <c r="AK157" i="21"/>
  <c r="AL157" i="21"/>
  <c r="AM157" i="21" s="1"/>
  <c r="W158" i="21"/>
  <c r="X158" i="21"/>
  <c r="Y158" i="21"/>
  <c r="Z158" i="21"/>
  <c r="AA158" i="21" s="1"/>
  <c r="AB158" i="21"/>
  <c r="AC158" i="21"/>
  <c r="AD158" i="21"/>
  <c r="AE158" i="21"/>
  <c r="AF158" i="21"/>
  <c r="AG158" i="21"/>
  <c r="AH158" i="21" s="1"/>
  <c r="AI158" i="21"/>
  <c r="AJ158" i="21"/>
  <c r="AK158" i="21"/>
  <c r="W159" i="21"/>
  <c r="X159" i="21"/>
  <c r="Y159" i="21"/>
  <c r="Z159" i="21"/>
  <c r="AA159" i="21"/>
  <c r="AB159" i="21"/>
  <c r="AC159" i="21"/>
  <c r="AD159" i="21"/>
  <c r="AE159" i="21"/>
  <c r="AF159" i="21"/>
  <c r="AG159" i="21"/>
  <c r="AI159" i="21"/>
  <c r="AJ159" i="21"/>
  <c r="W160" i="21"/>
  <c r="X160" i="21"/>
  <c r="Y160" i="21"/>
  <c r="Z160" i="21"/>
  <c r="AA160" i="21" s="1"/>
  <c r="AC160" i="21"/>
  <c r="AD160" i="21"/>
  <c r="AE160" i="21"/>
  <c r="AF160" i="21"/>
  <c r="AG160" i="21" s="1"/>
  <c r="AI160" i="21"/>
  <c r="AJ160" i="21"/>
  <c r="W161" i="21"/>
  <c r="X161" i="21"/>
  <c r="Y161" i="21"/>
  <c r="Z161" i="21"/>
  <c r="AC161" i="21"/>
  <c r="AD161" i="21"/>
  <c r="AE161" i="21"/>
  <c r="AF161" i="21"/>
  <c r="AG161" i="21"/>
  <c r="AK161" i="21" s="1"/>
  <c r="AL161" i="21" s="1"/>
  <c r="AI161" i="21"/>
  <c r="AJ161" i="21"/>
  <c r="W162" i="21"/>
  <c r="X162" i="21"/>
  <c r="Y162" i="21"/>
  <c r="Z162" i="21"/>
  <c r="AA162" i="21" s="1"/>
  <c r="AC162" i="21"/>
  <c r="AD162" i="21"/>
  <c r="AE162" i="21"/>
  <c r="AF162" i="21"/>
  <c r="AG162" i="21" s="1"/>
  <c r="AI162" i="21"/>
  <c r="AJ162" i="21"/>
  <c r="W163" i="21"/>
  <c r="X163" i="21"/>
  <c r="Y163" i="21"/>
  <c r="Z163" i="21"/>
  <c r="AA163" i="21" s="1"/>
  <c r="AB163" i="21" s="1"/>
  <c r="AC163" i="21"/>
  <c r="AD163" i="21"/>
  <c r="AE163" i="21"/>
  <c r="AF163" i="21"/>
  <c r="AG163" i="21" s="1"/>
  <c r="AI163" i="21"/>
  <c r="AJ163" i="21"/>
  <c r="W164" i="21"/>
  <c r="X164" i="21"/>
  <c r="Y164" i="21"/>
  <c r="Z164" i="21"/>
  <c r="AA164" i="21"/>
  <c r="AB164" i="21"/>
  <c r="AC164" i="21"/>
  <c r="AD164" i="21"/>
  <c r="AE164" i="21"/>
  <c r="AF164" i="21"/>
  <c r="AG164" i="21" s="1"/>
  <c r="AI164" i="21"/>
  <c r="AJ164" i="21"/>
  <c r="W165" i="21"/>
  <c r="X165" i="21"/>
  <c r="Y165" i="21"/>
  <c r="Z165" i="21"/>
  <c r="AA165" i="21"/>
  <c r="AC165" i="21"/>
  <c r="AD165" i="21"/>
  <c r="AE165" i="21"/>
  <c r="AF165" i="21"/>
  <c r="AG165" i="21"/>
  <c r="AH165" i="21"/>
  <c r="AI165" i="21"/>
  <c r="AJ165" i="21"/>
  <c r="AK165" i="21"/>
  <c r="AL165" i="21" s="1"/>
  <c r="AM165" i="21" s="1"/>
  <c r="W166" i="21"/>
  <c r="X166" i="21"/>
  <c r="Y166" i="21"/>
  <c r="Z166" i="21"/>
  <c r="AA166" i="21" s="1"/>
  <c r="AC166" i="21"/>
  <c r="AD166" i="21"/>
  <c r="AE166" i="21"/>
  <c r="AF166" i="21"/>
  <c r="AG166" i="21"/>
  <c r="AH166" i="21" s="1"/>
  <c r="AI166" i="21"/>
  <c r="AJ166" i="21"/>
  <c r="W167" i="21"/>
  <c r="X167" i="21"/>
  <c r="Y167" i="21"/>
  <c r="Z167" i="21"/>
  <c r="AA167" i="21"/>
  <c r="AB167" i="21"/>
  <c r="AC167" i="21"/>
  <c r="AD167" i="21"/>
  <c r="AE167" i="21"/>
  <c r="AF167" i="21"/>
  <c r="AG167" i="21"/>
  <c r="AI167" i="21"/>
  <c r="AJ167" i="21"/>
  <c r="W168" i="21"/>
  <c r="X168" i="21"/>
  <c r="Y168" i="21"/>
  <c r="Z168" i="21"/>
  <c r="AC168" i="21"/>
  <c r="AD168" i="21"/>
  <c r="AE168" i="21"/>
  <c r="AF168" i="21"/>
  <c r="AG168" i="21" s="1"/>
  <c r="AK168" i="21" s="1"/>
  <c r="AI168" i="21"/>
  <c r="AJ168" i="21"/>
  <c r="AL168" i="21" s="1"/>
  <c r="W169" i="21"/>
  <c r="X169" i="21"/>
  <c r="Y169" i="21"/>
  <c r="Z169" i="21"/>
  <c r="AC169" i="21"/>
  <c r="AD169" i="21"/>
  <c r="AE169" i="21"/>
  <c r="AF169" i="21"/>
  <c r="AG169" i="21"/>
  <c r="AK169" i="21" s="1"/>
  <c r="AL169" i="21" s="1"/>
  <c r="AI169" i="21"/>
  <c r="AJ169" i="21"/>
  <c r="W170" i="21"/>
  <c r="X170" i="21"/>
  <c r="Y170" i="21"/>
  <c r="Z170" i="21"/>
  <c r="AA170" i="21" s="1"/>
  <c r="AC170" i="21"/>
  <c r="AD170" i="21"/>
  <c r="AE170" i="21"/>
  <c r="AF170" i="21"/>
  <c r="AG170" i="21"/>
  <c r="AI170" i="21"/>
  <c r="AJ170" i="21"/>
  <c r="W171" i="21"/>
  <c r="X171" i="21"/>
  <c r="Y171" i="21"/>
  <c r="Z171" i="21"/>
  <c r="AA171" i="21" s="1"/>
  <c r="AB171" i="21" s="1"/>
  <c r="AC171" i="21"/>
  <c r="AD171" i="21"/>
  <c r="AE171" i="21"/>
  <c r="AF171" i="21"/>
  <c r="AG171" i="21" s="1"/>
  <c r="AI171" i="21"/>
  <c r="AJ171" i="21"/>
  <c r="W172" i="21"/>
  <c r="X172" i="21"/>
  <c r="Y172" i="21"/>
  <c r="Z172" i="21"/>
  <c r="AA172" i="21"/>
  <c r="AB172" i="21" s="1"/>
  <c r="AC172" i="21"/>
  <c r="AD172" i="21"/>
  <c r="AE172" i="21"/>
  <c r="AF172" i="21"/>
  <c r="AG172" i="21" s="1"/>
  <c r="AH172" i="21" s="1"/>
  <c r="AI172" i="21"/>
  <c r="AJ172" i="21"/>
  <c r="AL172" i="21" s="1"/>
  <c r="AM172" i="21" s="1"/>
  <c r="AK172" i="21"/>
  <c r="W173" i="21"/>
  <c r="X173" i="21"/>
  <c r="Y173" i="21"/>
  <c r="Z173" i="21"/>
  <c r="AA173" i="21" s="1"/>
  <c r="AB173" i="21"/>
  <c r="AC173" i="21"/>
  <c r="AD173" i="21"/>
  <c r="AE173" i="21"/>
  <c r="AF173" i="21"/>
  <c r="AG173" i="21"/>
  <c r="AH173" i="21"/>
  <c r="AI173" i="21"/>
  <c r="AJ173" i="21"/>
  <c r="AL173" i="21" s="1"/>
  <c r="AM173" i="21" s="1"/>
  <c r="AK173" i="21"/>
  <c r="W174" i="21"/>
  <c r="X174" i="21"/>
  <c r="Y174" i="21"/>
  <c r="Z174" i="21"/>
  <c r="AA174" i="21"/>
  <c r="AC174" i="21"/>
  <c r="AD174" i="21"/>
  <c r="AE174" i="21"/>
  <c r="AF174" i="21"/>
  <c r="AG174" i="21"/>
  <c r="AH174" i="21" s="1"/>
  <c r="AI174" i="21"/>
  <c r="AJ174" i="21"/>
  <c r="AK174" i="21"/>
  <c r="AL174" i="21" s="1"/>
  <c r="W175" i="21"/>
  <c r="X175" i="21"/>
  <c r="Y175" i="21"/>
  <c r="Z175" i="21"/>
  <c r="AB175" i="21" s="1"/>
  <c r="AA175" i="21"/>
  <c r="AC175" i="21"/>
  <c r="AD175" i="21"/>
  <c r="AE175" i="21"/>
  <c r="AF175" i="21"/>
  <c r="AG175" i="21" s="1"/>
  <c r="AI175" i="21"/>
  <c r="AJ175" i="21"/>
  <c r="W176" i="21"/>
  <c r="X176" i="21"/>
  <c r="Y176" i="21"/>
  <c r="Z176" i="21"/>
  <c r="AA176" i="21" s="1"/>
  <c r="AB176" i="21"/>
  <c r="AC176" i="21"/>
  <c r="AD176" i="21"/>
  <c r="AE176" i="21"/>
  <c r="AF176" i="21"/>
  <c r="AG176" i="21"/>
  <c r="AK176" i="21" s="1"/>
  <c r="AI176" i="21"/>
  <c r="AJ176" i="21"/>
  <c r="AL176" i="21" s="1"/>
  <c r="W177" i="21"/>
  <c r="X177" i="21"/>
  <c r="Y177" i="21"/>
  <c r="Z177" i="21"/>
  <c r="AA177" i="21" s="1"/>
  <c r="AC177" i="21"/>
  <c r="AD177" i="21"/>
  <c r="AE177" i="21"/>
  <c r="AF177" i="21"/>
  <c r="AG177" i="21" s="1"/>
  <c r="AI177" i="21"/>
  <c r="AJ177" i="21"/>
  <c r="W178" i="21"/>
  <c r="X178" i="21"/>
  <c r="Y178" i="21"/>
  <c r="Z178" i="21"/>
  <c r="AC178" i="21"/>
  <c r="AD178" i="21"/>
  <c r="AE178" i="21"/>
  <c r="AF178" i="21"/>
  <c r="AG178" i="21" s="1"/>
  <c r="AI178" i="21"/>
  <c r="AJ178" i="21"/>
  <c r="W179" i="21"/>
  <c r="X179" i="21"/>
  <c r="Y179" i="21"/>
  <c r="Z179" i="21"/>
  <c r="AA179" i="21" s="1"/>
  <c r="AB179" i="21" s="1"/>
  <c r="AC179" i="21"/>
  <c r="AD179" i="21"/>
  <c r="AE179" i="21"/>
  <c r="AF179" i="21"/>
  <c r="AG179" i="21" s="1"/>
  <c r="AI179" i="21"/>
  <c r="AJ179" i="21"/>
  <c r="W180" i="21"/>
  <c r="X180" i="21"/>
  <c r="Y180" i="21"/>
  <c r="Z180" i="21"/>
  <c r="AA180" i="21"/>
  <c r="AB180" i="21" s="1"/>
  <c r="AC180" i="21"/>
  <c r="AD180" i="21"/>
  <c r="AE180" i="21"/>
  <c r="AF180" i="21"/>
  <c r="AG180" i="21" s="1"/>
  <c r="AI180" i="21"/>
  <c r="AJ180" i="21"/>
  <c r="W181" i="21"/>
  <c r="X181" i="21"/>
  <c r="Y181" i="21"/>
  <c r="Z181" i="21"/>
  <c r="AA181" i="21" s="1"/>
  <c r="AB181" i="21" s="1"/>
  <c r="AC181" i="21"/>
  <c r="AD181" i="21"/>
  <c r="AE181" i="21"/>
  <c r="AF181" i="21"/>
  <c r="AG181" i="21"/>
  <c r="AH181" i="21" s="1"/>
  <c r="AI181" i="21"/>
  <c r="AJ181" i="21"/>
  <c r="W182" i="21"/>
  <c r="X182" i="21"/>
  <c r="Y182" i="21"/>
  <c r="Z182" i="21"/>
  <c r="AA182" i="21"/>
  <c r="AB182" i="21" s="1"/>
  <c r="AC182" i="21"/>
  <c r="AD182" i="21"/>
  <c r="AE182" i="21"/>
  <c r="AF182" i="21"/>
  <c r="AG182" i="21" s="1"/>
  <c r="AI182" i="21"/>
  <c r="AJ182" i="21"/>
  <c r="W183" i="21"/>
  <c r="X183" i="21"/>
  <c r="Y183" i="21"/>
  <c r="Z183" i="21"/>
  <c r="AA183" i="21" s="1"/>
  <c r="AC183" i="21"/>
  <c r="AD183" i="21"/>
  <c r="AE183" i="21"/>
  <c r="AF183" i="21"/>
  <c r="AG183" i="21" s="1"/>
  <c r="AH183" i="21" s="1"/>
  <c r="AI183" i="21"/>
  <c r="AJ183" i="21"/>
  <c r="AK183" i="21"/>
  <c r="W184" i="21"/>
  <c r="X184" i="21"/>
  <c r="Y184" i="21"/>
  <c r="Z184" i="21"/>
  <c r="AA184" i="21" s="1"/>
  <c r="AB184" i="21"/>
  <c r="AC184" i="21"/>
  <c r="AD184" i="21"/>
  <c r="AE184" i="21"/>
  <c r="AF184" i="21"/>
  <c r="AG184" i="21"/>
  <c r="AK184" i="21" s="1"/>
  <c r="AI184" i="21"/>
  <c r="AJ184" i="21"/>
  <c r="AL184" i="21" s="1"/>
  <c r="W185" i="21"/>
  <c r="X185" i="21"/>
  <c r="Y185" i="21"/>
  <c r="Z185" i="21"/>
  <c r="AB185" i="21" s="1"/>
  <c r="AA185" i="21"/>
  <c r="AC185" i="21"/>
  <c r="AD185" i="21"/>
  <c r="AE185" i="21"/>
  <c r="AF185" i="21"/>
  <c r="AG185" i="21" s="1"/>
  <c r="AI185" i="21"/>
  <c r="AJ185" i="21"/>
  <c r="W186" i="21"/>
  <c r="X186" i="21"/>
  <c r="Y186" i="21"/>
  <c r="Z186" i="21"/>
  <c r="AC186" i="21"/>
  <c r="AD186" i="21"/>
  <c r="AE186" i="21"/>
  <c r="AF186" i="21"/>
  <c r="AG186" i="21" s="1"/>
  <c r="AK186" i="21" s="1"/>
  <c r="AH186" i="21"/>
  <c r="AI186" i="21"/>
  <c r="AJ186" i="21"/>
  <c r="W187" i="21"/>
  <c r="X187" i="21"/>
  <c r="Y187" i="21"/>
  <c r="Z187" i="21"/>
  <c r="AA187" i="21"/>
  <c r="AB187" i="21" s="1"/>
  <c r="AC187" i="21"/>
  <c r="AD187" i="21"/>
  <c r="AE187" i="21"/>
  <c r="AF187" i="21"/>
  <c r="AG187" i="21"/>
  <c r="AI187" i="21"/>
  <c r="AJ187" i="21"/>
  <c r="W188" i="21"/>
  <c r="X188" i="21"/>
  <c r="Y188" i="21"/>
  <c r="Z188" i="21"/>
  <c r="AA188" i="21" s="1"/>
  <c r="AC188" i="21"/>
  <c r="AD188" i="21"/>
  <c r="AE188" i="21"/>
  <c r="AF188" i="21"/>
  <c r="AG188" i="21" s="1"/>
  <c r="AI188" i="21"/>
  <c r="AJ188" i="21"/>
  <c r="W189" i="21"/>
  <c r="X189" i="21"/>
  <c r="Y189" i="21"/>
  <c r="Z189" i="21"/>
  <c r="AA189" i="21" s="1"/>
  <c r="AB189" i="21" s="1"/>
  <c r="AC189" i="21"/>
  <c r="AD189" i="21"/>
  <c r="AE189" i="21"/>
  <c r="AF189" i="21"/>
  <c r="AG189" i="21"/>
  <c r="AH189" i="21" s="1"/>
  <c r="AI189" i="21"/>
  <c r="AJ189" i="21"/>
  <c r="W190" i="21"/>
  <c r="X190" i="21"/>
  <c r="Y190" i="21"/>
  <c r="Z190" i="21"/>
  <c r="AA190" i="21"/>
  <c r="AB190" i="21" s="1"/>
  <c r="AC190" i="21"/>
  <c r="AD190" i="21"/>
  <c r="AE190" i="21"/>
  <c r="AF190" i="21"/>
  <c r="AG190" i="21" s="1"/>
  <c r="AI190" i="21"/>
  <c r="AJ190" i="21"/>
  <c r="W191" i="21"/>
  <c r="X191" i="21"/>
  <c r="Y191" i="21"/>
  <c r="Z191" i="21"/>
  <c r="AA191" i="21" s="1"/>
  <c r="AC191" i="21"/>
  <c r="AD191" i="21"/>
  <c r="AE191" i="21"/>
  <c r="AF191" i="21"/>
  <c r="AG191" i="21" s="1"/>
  <c r="AI191" i="21"/>
  <c r="AJ191" i="21"/>
  <c r="W192" i="21"/>
  <c r="X192" i="21"/>
  <c r="Y192" i="21"/>
  <c r="Z192" i="21"/>
  <c r="AA192" i="21" s="1"/>
  <c r="AB192" i="21"/>
  <c r="AC192" i="21"/>
  <c r="AD192" i="21"/>
  <c r="AE192" i="21"/>
  <c r="AF192" i="21"/>
  <c r="AG192" i="21"/>
  <c r="AK192" i="21" s="1"/>
  <c r="AI192" i="21"/>
  <c r="AJ192" i="21"/>
  <c r="AL192" i="21" s="1"/>
  <c r="W193" i="21"/>
  <c r="X193" i="21"/>
  <c r="Y193" i="21"/>
  <c r="Z193" i="21"/>
  <c r="AB193" i="21" s="1"/>
  <c r="AA193" i="21"/>
  <c r="AC193" i="21"/>
  <c r="AD193" i="21"/>
  <c r="AE193" i="21"/>
  <c r="AF193" i="21"/>
  <c r="AG193" i="21" s="1"/>
  <c r="AI193" i="21"/>
  <c r="AJ193" i="21"/>
  <c r="W194" i="21"/>
  <c r="X194" i="21"/>
  <c r="Y194" i="21"/>
  <c r="Z194" i="21"/>
  <c r="AC194" i="21"/>
  <c r="AD194" i="21"/>
  <c r="AE194" i="21"/>
  <c r="AF194" i="21"/>
  <c r="AG194" i="21" s="1"/>
  <c r="AK194" i="21" s="1"/>
  <c r="AH194" i="21"/>
  <c r="AI194" i="21"/>
  <c r="AJ194" i="21"/>
  <c r="AL194" i="21" s="1"/>
  <c r="W195" i="21"/>
  <c r="X195" i="21"/>
  <c r="Y195" i="21"/>
  <c r="Z195" i="21"/>
  <c r="AA195" i="21"/>
  <c r="AB195" i="21" s="1"/>
  <c r="AC195" i="21"/>
  <c r="AD195" i="21"/>
  <c r="AE195" i="21"/>
  <c r="AF195" i="21"/>
  <c r="AG195" i="21"/>
  <c r="AI195" i="21"/>
  <c r="AJ195" i="21"/>
  <c r="W196" i="21"/>
  <c r="X196" i="21"/>
  <c r="Y196" i="21"/>
  <c r="Z196" i="21"/>
  <c r="AA196" i="21" s="1"/>
  <c r="AC196" i="21"/>
  <c r="AD196" i="21"/>
  <c r="AE196" i="21"/>
  <c r="AF196" i="21"/>
  <c r="AG196" i="21" s="1"/>
  <c r="AI196" i="21"/>
  <c r="AJ196" i="21"/>
  <c r="W197" i="21"/>
  <c r="X197" i="21"/>
  <c r="Y197" i="21"/>
  <c r="Z197" i="21"/>
  <c r="AA197" i="21" s="1"/>
  <c r="AB197" i="21" s="1"/>
  <c r="AC197" i="21"/>
  <c r="AD197" i="21"/>
  <c r="AE197" i="21"/>
  <c r="AF197" i="21"/>
  <c r="AG197" i="21"/>
  <c r="AH197" i="21" s="1"/>
  <c r="AI197" i="21"/>
  <c r="AJ197" i="21"/>
  <c r="W198" i="21"/>
  <c r="X198" i="21"/>
  <c r="Y198" i="21"/>
  <c r="Z198" i="21"/>
  <c r="AA198" i="21"/>
  <c r="AB198" i="21" s="1"/>
  <c r="AC198" i="21"/>
  <c r="AD198" i="21"/>
  <c r="AE198" i="21"/>
  <c r="AF198" i="21"/>
  <c r="AG198" i="21" s="1"/>
  <c r="AI198" i="21"/>
  <c r="AJ198" i="21"/>
  <c r="W199" i="21"/>
  <c r="X199" i="21"/>
  <c r="Y199" i="21"/>
  <c r="Z199" i="21"/>
  <c r="AA199" i="21" s="1"/>
  <c r="AC199" i="21"/>
  <c r="AD199" i="21"/>
  <c r="AE199" i="21"/>
  <c r="AF199" i="21"/>
  <c r="AG199" i="21" s="1"/>
  <c r="AH199" i="21" s="1"/>
  <c r="AI199" i="21"/>
  <c r="AJ199" i="21"/>
  <c r="AK199" i="21"/>
  <c r="W200" i="21"/>
  <c r="X200" i="21"/>
  <c r="Y200" i="21"/>
  <c r="Z200" i="21"/>
  <c r="AA200" i="21" s="1"/>
  <c r="AB200" i="21"/>
  <c r="AC200" i="21"/>
  <c r="AD200" i="21"/>
  <c r="AE200" i="21"/>
  <c r="AF200" i="21"/>
  <c r="AG200" i="21"/>
  <c r="AK200" i="21" s="1"/>
  <c r="AI200" i="21"/>
  <c r="AJ200" i="21"/>
  <c r="W201" i="21"/>
  <c r="X201" i="21"/>
  <c r="Y201" i="21"/>
  <c r="Z201" i="21"/>
  <c r="AB201" i="21" s="1"/>
  <c r="AA201" i="21"/>
  <c r="AC201" i="21"/>
  <c r="AD201" i="21"/>
  <c r="AE201" i="21"/>
  <c r="AF201" i="21"/>
  <c r="AG201" i="21" s="1"/>
  <c r="AI201" i="21"/>
  <c r="AJ201" i="21"/>
  <c r="W202" i="21"/>
  <c r="X202" i="21"/>
  <c r="Y202" i="21"/>
  <c r="Z202" i="21"/>
  <c r="AC202" i="21"/>
  <c r="AD202" i="21"/>
  <c r="AE202" i="21"/>
  <c r="AF202" i="21"/>
  <c r="AG202" i="21" s="1"/>
  <c r="AK202" i="21" s="1"/>
  <c r="AH202" i="21"/>
  <c r="AI202" i="21"/>
  <c r="AJ202" i="21"/>
  <c r="AL202" i="21" s="1"/>
  <c r="AM202" i="21" s="1"/>
  <c r="W203" i="21"/>
  <c r="X203" i="21"/>
  <c r="Y203" i="21"/>
  <c r="Z203" i="21"/>
  <c r="AA203" i="21"/>
  <c r="AB203" i="21" s="1"/>
  <c r="AC203" i="21"/>
  <c r="AD203" i="21"/>
  <c r="AE203" i="21"/>
  <c r="AF203" i="21"/>
  <c r="AG203" i="21"/>
  <c r="AI203" i="21"/>
  <c r="AJ203" i="21"/>
  <c r="W204" i="21"/>
  <c r="X204" i="21"/>
  <c r="Y204" i="21"/>
  <c r="Z204" i="21"/>
  <c r="AA204" i="21" s="1"/>
  <c r="AC204" i="21"/>
  <c r="AD204" i="21"/>
  <c r="AE204" i="21"/>
  <c r="AF204" i="21"/>
  <c r="AG204" i="21" s="1"/>
  <c r="AI204" i="21"/>
  <c r="AJ204" i="21"/>
  <c r="W205" i="21"/>
  <c r="X205" i="21"/>
  <c r="Y205" i="21"/>
  <c r="Z205" i="21"/>
  <c r="AA205" i="21" s="1"/>
  <c r="AB205" i="21" s="1"/>
  <c r="AC205" i="21"/>
  <c r="AD205" i="21"/>
  <c r="AE205" i="21"/>
  <c r="AF205" i="21"/>
  <c r="AG205" i="21"/>
  <c r="AI205" i="21"/>
  <c r="AJ205" i="21"/>
  <c r="W206" i="21"/>
  <c r="X206" i="21"/>
  <c r="Y206" i="21"/>
  <c r="Z206" i="21"/>
  <c r="AA206" i="21"/>
  <c r="AB206" i="21" s="1"/>
  <c r="AC206" i="21"/>
  <c r="AD206" i="21"/>
  <c r="AE206" i="21"/>
  <c r="AF206" i="21"/>
  <c r="AG206" i="21" s="1"/>
  <c r="AI206" i="21"/>
  <c r="AJ206" i="21"/>
  <c r="W207" i="21"/>
  <c r="X207" i="21"/>
  <c r="Y207" i="21"/>
  <c r="Z207" i="21"/>
  <c r="AA207" i="21" s="1"/>
  <c r="AC207" i="21"/>
  <c r="AD207" i="21"/>
  <c r="AE207" i="21"/>
  <c r="AF207" i="21"/>
  <c r="AG207" i="21" s="1"/>
  <c r="AH207" i="21" s="1"/>
  <c r="AI207" i="21"/>
  <c r="AJ207" i="21"/>
  <c r="W208" i="21"/>
  <c r="X208" i="21"/>
  <c r="Y208" i="21"/>
  <c r="Z208" i="21"/>
  <c r="AA208" i="21" s="1"/>
  <c r="AB208" i="21" s="1"/>
  <c r="AC208" i="21"/>
  <c r="AD208" i="21"/>
  <c r="AE208" i="21"/>
  <c r="AF208" i="21"/>
  <c r="AG208" i="21"/>
  <c r="AK208" i="21" s="1"/>
  <c r="AI208" i="21"/>
  <c r="AJ208" i="21"/>
  <c r="AL208" i="21" s="1"/>
  <c r="W209" i="21"/>
  <c r="X209" i="21"/>
  <c r="Y209" i="21"/>
  <c r="Z209" i="21"/>
  <c r="AB209" i="21" s="1"/>
  <c r="AA209" i="21"/>
  <c r="AC209" i="21"/>
  <c r="AD209" i="21"/>
  <c r="AE209" i="21"/>
  <c r="AF209" i="21"/>
  <c r="AG209" i="21" s="1"/>
  <c r="AI209" i="21"/>
  <c r="AJ209" i="21"/>
  <c r="W210" i="21"/>
  <c r="X210" i="21"/>
  <c r="Y210" i="21"/>
  <c r="Z210" i="21"/>
  <c r="AA210" i="21" s="1"/>
  <c r="AB210" i="21"/>
  <c r="AC210" i="21"/>
  <c r="AD210" i="21"/>
  <c r="AE210" i="21"/>
  <c r="AF210" i="21"/>
  <c r="AG210" i="21" s="1"/>
  <c r="AK210" i="21" s="1"/>
  <c r="AH210" i="21"/>
  <c r="AI210" i="21"/>
  <c r="AJ210" i="21"/>
  <c r="AL210" i="21" s="1"/>
  <c r="AM210" i="21" s="1"/>
  <c r="W211" i="21"/>
  <c r="X211" i="21"/>
  <c r="Y211" i="21"/>
  <c r="Z211" i="21"/>
  <c r="AA211" i="21"/>
  <c r="AB211" i="21" s="1"/>
  <c r="AC211" i="21"/>
  <c r="AD211" i="21"/>
  <c r="AE211" i="21"/>
  <c r="AF211" i="21"/>
  <c r="AG211" i="21"/>
  <c r="AI211" i="21"/>
  <c r="AJ211" i="21"/>
  <c r="W212" i="21"/>
  <c r="X212" i="21"/>
  <c r="Y212" i="21"/>
  <c r="Z212" i="21"/>
  <c r="AC212" i="21"/>
  <c r="AD212" i="21"/>
  <c r="AE212" i="21"/>
  <c r="AF212" i="21"/>
  <c r="AG212" i="21" s="1"/>
  <c r="AK212" i="21" s="1"/>
  <c r="AL212" i="21" s="1"/>
  <c r="AI212" i="21"/>
  <c r="AJ212" i="21"/>
  <c r="W213" i="21"/>
  <c r="X213" i="21"/>
  <c r="Y213" i="21"/>
  <c r="Z213" i="21"/>
  <c r="AA213" i="21" s="1"/>
  <c r="AB213" i="21" s="1"/>
  <c r="AC213" i="21"/>
  <c r="AD213" i="21"/>
  <c r="AE213" i="21"/>
  <c r="AF213" i="21"/>
  <c r="AG213" i="21"/>
  <c r="AI213" i="21"/>
  <c r="AJ213" i="21"/>
  <c r="W214" i="21"/>
  <c r="X214" i="21"/>
  <c r="Y214" i="21"/>
  <c r="Z214" i="21"/>
  <c r="AA214" i="21"/>
  <c r="AB214" i="21" s="1"/>
  <c r="AC214" i="21"/>
  <c r="AD214" i="21"/>
  <c r="AE214" i="21"/>
  <c r="AF214" i="21"/>
  <c r="AG214" i="21" s="1"/>
  <c r="AI214" i="21"/>
  <c r="AJ214" i="21"/>
  <c r="W215" i="21"/>
  <c r="X215" i="21"/>
  <c r="Y215" i="21"/>
  <c r="Z215" i="21"/>
  <c r="AA215" i="21" s="1"/>
  <c r="AC215" i="21"/>
  <c r="AD215" i="21"/>
  <c r="AE215" i="21"/>
  <c r="AF215" i="21"/>
  <c r="AG215" i="21" s="1"/>
  <c r="AH215" i="21" s="1"/>
  <c r="AI215" i="21"/>
  <c r="AJ215" i="21"/>
  <c r="W216" i="21"/>
  <c r="X216" i="21"/>
  <c r="Y216" i="21"/>
  <c r="Z216" i="21"/>
  <c r="AA216" i="21" s="1"/>
  <c r="AB216" i="21" s="1"/>
  <c r="AC216" i="21"/>
  <c r="AD216" i="21"/>
  <c r="AE216" i="21"/>
  <c r="AF216" i="21"/>
  <c r="AG216" i="21"/>
  <c r="AK216" i="21" s="1"/>
  <c r="AI216" i="21"/>
  <c r="AJ216" i="21"/>
  <c r="AL216" i="21" s="1"/>
  <c r="W217" i="21"/>
  <c r="X217" i="21"/>
  <c r="Y217" i="21"/>
  <c r="Z217" i="21"/>
  <c r="AB217" i="21" s="1"/>
  <c r="AA217" i="21"/>
  <c r="AC217" i="21"/>
  <c r="AD217" i="21"/>
  <c r="AE217" i="21"/>
  <c r="AF217" i="21"/>
  <c r="AG217" i="21" s="1"/>
  <c r="AI217" i="21"/>
  <c r="AJ217" i="21"/>
  <c r="W218" i="21"/>
  <c r="X218" i="21"/>
  <c r="Y218" i="21"/>
  <c r="Z218" i="21"/>
  <c r="AA218" i="21" s="1"/>
  <c r="AB218" i="21"/>
  <c r="AC218" i="21"/>
  <c r="AD218" i="21"/>
  <c r="AE218" i="21"/>
  <c r="AF218" i="21"/>
  <c r="AG218" i="21" s="1"/>
  <c r="AK218" i="21" s="1"/>
  <c r="AH218" i="21"/>
  <c r="AI218" i="21"/>
  <c r="AJ218" i="21"/>
  <c r="AL218" i="21" s="1"/>
  <c r="AM218" i="21" s="1"/>
  <c r="W219" i="21"/>
  <c r="X219" i="21"/>
  <c r="Y219" i="21"/>
  <c r="Z219" i="21"/>
  <c r="AA219" i="21"/>
  <c r="AB219" i="21" s="1"/>
  <c r="AC219" i="21"/>
  <c r="AD219" i="21"/>
  <c r="AE219" i="21"/>
  <c r="AF219" i="21"/>
  <c r="AG219" i="21"/>
  <c r="AI219" i="21"/>
  <c r="AJ219" i="21"/>
  <c r="W220" i="21"/>
  <c r="X220" i="21"/>
  <c r="Y220" i="21"/>
  <c r="Z220" i="21"/>
  <c r="AC220" i="21"/>
  <c r="AD220" i="21"/>
  <c r="AE220" i="21"/>
  <c r="AF220" i="21"/>
  <c r="AG220" i="21" s="1"/>
  <c r="AK220" i="21" s="1"/>
  <c r="AL220" i="21" s="1"/>
  <c r="AI220" i="21"/>
  <c r="AJ220" i="21"/>
  <c r="W221" i="21"/>
  <c r="X221" i="21"/>
  <c r="Y221" i="21"/>
  <c r="Z221" i="21"/>
  <c r="AA221" i="21" s="1"/>
  <c r="AB221" i="21" s="1"/>
  <c r="AC221" i="21"/>
  <c r="AD221" i="21"/>
  <c r="AE221" i="21"/>
  <c r="AF221" i="21"/>
  <c r="AG221" i="21"/>
  <c r="AI221" i="21"/>
  <c r="AJ221" i="21"/>
  <c r="W222" i="21"/>
  <c r="X222" i="21"/>
  <c r="Y222" i="21"/>
  <c r="Z222" i="21"/>
  <c r="AA222" i="21"/>
  <c r="AB222" i="21" s="1"/>
  <c r="AC222" i="21"/>
  <c r="AD222" i="21"/>
  <c r="AE222" i="21"/>
  <c r="AF222" i="21"/>
  <c r="AG222" i="21" s="1"/>
  <c r="AI222" i="21"/>
  <c r="AJ222" i="21"/>
  <c r="W223" i="21"/>
  <c r="X223" i="21"/>
  <c r="Y223" i="21"/>
  <c r="Z223" i="21"/>
  <c r="AA223" i="21" s="1"/>
  <c r="AC223" i="21"/>
  <c r="AD223" i="21"/>
  <c r="AE223" i="21"/>
  <c r="AF223" i="21"/>
  <c r="AG223" i="21" s="1"/>
  <c r="AH223" i="21" s="1"/>
  <c r="AI223" i="21"/>
  <c r="AJ223" i="21"/>
  <c r="AL223" i="21" s="1"/>
  <c r="AM223" i="21" s="1"/>
  <c r="AK223" i="21"/>
  <c r="W224" i="21"/>
  <c r="X224" i="21"/>
  <c r="Y224" i="21"/>
  <c r="Z224" i="21"/>
  <c r="AA224" i="21" s="1"/>
  <c r="AB224" i="21"/>
  <c r="AC224" i="21"/>
  <c r="AD224" i="21"/>
  <c r="AE224" i="21"/>
  <c r="AF224" i="21"/>
  <c r="AG224" i="21"/>
  <c r="AI224" i="21"/>
  <c r="AJ224" i="21"/>
  <c r="W225" i="21"/>
  <c r="X225" i="21"/>
  <c r="Y225" i="21"/>
  <c r="Z225" i="21"/>
  <c r="AB225" i="21" s="1"/>
  <c r="AA225" i="21"/>
  <c r="AC225" i="21"/>
  <c r="AD225" i="21"/>
  <c r="AE225" i="21"/>
  <c r="AF225" i="21"/>
  <c r="AG225" i="21" s="1"/>
  <c r="AI225" i="21"/>
  <c r="AJ225" i="21"/>
  <c r="W226" i="21"/>
  <c r="X226" i="21"/>
  <c r="Y226" i="21"/>
  <c r="Z226" i="21"/>
  <c r="AA226" i="21" s="1"/>
  <c r="AB226" i="21"/>
  <c r="AC226" i="21"/>
  <c r="AD226" i="21"/>
  <c r="AE226" i="21"/>
  <c r="AF226" i="21"/>
  <c r="AG226" i="21" s="1"/>
  <c r="AK226" i="21" s="1"/>
  <c r="AH226" i="21"/>
  <c r="AI226" i="21"/>
  <c r="AJ226" i="21"/>
  <c r="AL226" i="21" s="1"/>
  <c r="AM226" i="21"/>
  <c r="W227" i="21"/>
  <c r="X227" i="21"/>
  <c r="Y227" i="21"/>
  <c r="Z227" i="21"/>
  <c r="AA227" i="21"/>
  <c r="AB227" i="21" s="1"/>
  <c r="AC227" i="21"/>
  <c r="AD227" i="21"/>
  <c r="AE227" i="21"/>
  <c r="AF227" i="21"/>
  <c r="AG227" i="21"/>
  <c r="AI227" i="21"/>
  <c r="AJ227" i="21"/>
  <c r="W228" i="21"/>
  <c r="X228" i="21"/>
  <c r="Y228" i="21"/>
  <c r="Z228" i="21"/>
  <c r="AC228" i="21"/>
  <c r="AD228" i="21"/>
  <c r="AE228" i="21"/>
  <c r="AF228" i="21"/>
  <c r="AG228" i="21" s="1"/>
  <c r="AH228" i="21"/>
  <c r="AI228" i="21"/>
  <c r="AJ228" i="21"/>
  <c r="AK228" i="21"/>
  <c r="AL228" i="21" s="1"/>
  <c r="AM228" i="21" s="1"/>
  <c r="W229" i="21"/>
  <c r="X229" i="21"/>
  <c r="Y229" i="21"/>
  <c r="Z229" i="21"/>
  <c r="AA229" i="21" s="1"/>
  <c r="AB229" i="21"/>
  <c r="AC229" i="21"/>
  <c r="AD229" i="21"/>
  <c r="AE229" i="21"/>
  <c r="AF229" i="21"/>
  <c r="AG229" i="21"/>
  <c r="AI229" i="21"/>
  <c r="AJ229" i="21"/>
  <c r="W230" i="21"/>
  <c r="X230" i="21"/>
  <c r="Y230" i="21"/>
  <c r="Z230" i="21"/>
  <c r="AA230" i="21"/>
  <c r="AB230" i="21" s="1"/>
  <c r="AC230" i="21"/>
  <c r="AD230" i="21"/>
  <c r="AE230" i="21"/>
  <c r="AF230" i="21"/>
  <c r="AG230" i="21" s="1"/>
  <c r="AI230" i="21"/>
  <c r="AJ230" i="21"/>
  <c r="W231" i="21"/>
  <c r="X231" i="21"/>
  <c r="Y231" i="21"/>
  <c r="Z231" i="21"/>
  <c r="AC231" i="21"/>
  <c r="AD231" i="21"/>
  <c r="AE231" i="21"/>
  <c r="AF231" i="21"/>
  <c r="AG231" i="21" s="1"/>
  <c r="AH231" i="21"/>
  <c r="AI231" i="21"/>
  <c r="AJ231" i="21"/>
  <c r="AK231" i="21"/>
  <c r="W232" i="21"/>
  <c r="X232" i="21"/>
  <c r="Y232" i="21"/>
  <c r="Z232" i="21"/>
  <c r="AA232" i="21" s="1"/>
  <c r="AB232" i="21" s="1"/>
  <c r="AC232" i="21"/>
  <c r="AD232" i="21"/>
  <c r="AE232" i="21"/>
  <c r="AF232" i="21"/>
  <c r="AG232" i="21"/>
  <c r="AI232" i="21"/>
  <c r="AJ232" i="21"/>
  <c r="W233" i="21"/>
  <c r="X233" i="21"/>
  <c r="Y233" i="21"/>
  <c r="Z233" i="21"/>
  <c r="AB233" i="21" s="1"/>
  <c r="AA233" i="21"/>
  <c r="AC233" i="21"/>
  <c r="AD233" i="21"/>
  <c r="AE233" i="21"/>
  <c r="AF233" i="21"/>
  <c r="AG233" i="21" s="1"/>
  <c r="AH233" i="21" s="1"/>
  <c r="AI233" i="21"/>
  <c r="AJ233" i="21"/>
  <c r="AK233" i="21"/>
  <c r="AL233" i="21" s="1"/>
  <c r="AM233" i="21" s="1"/>
  <c r="W234" i="21"/>
  <c r="X234" i="21"/>
  <c r="Y234" i="21"/>
  <c r="Z234" i="21"/>
  <c r="AA234" i="21" s="1"/>
  <c r="AC234" i="21"/>
  <c r="AD234" i="21"/>
  <c r="AE234" i="21"/>
  <c r="AF234" i="21"/>
  <c r="AG234" i="21" s="1"/>
  <c r="AK234" i="21" s="1"/>
  <c r="AI234" i="21"/>
  <c r="AJ234" i="21"/>
  <c r="W235" i="21"/>
  <c r="X235" i="21"/>
  <c r="Y235" i="21"/>
  <c r="Z235" i="21"/>
  <c r="AA235" i="21"/>
  <c r="AB235" i="21" s="1"/>
  <c r="AC235" i="21"/>
  <c r="AD235" i="21"/>
  <c r="AE235" i="21"/>
  <c r="AF235" i="21"/>
  <c r="AG235" i="21"/>
  <c r="AI235" i="21"/>
  <c r="AJ235" i="21"/>
  <c r="W236" i="21"/>
  <c r="X236" i="21"/>
  <c r="Y236" i="21"/>
  <c r="Z236" i="21"/>
  <c r="AC236" i="21"/>
  <c r="AD236" i="21"/>
  <c r="AE236" i="21"/>
  <c r="AF236" i="21"/>
  <c r="AG236" i="21" s="1"/>
  <c r="AH236" i="21"/>
  <c r="AI236" i="21"/>
  <c r="AJ236" i="21"/>
  <c r="AK236" i="21"/>
  <c r="AL236" i="21" s="1"/>
  <c r="AM236" i="21" s="1"/>
  <c r="W237" i="21"/>
  <c r="X237" i="21"/>
  <c r="Y237" i="21"/>
  <c r="Z237" i="21"/>
  <c r="AA237" i="21" s="1"/>
  <c r="AB237" i="21"/>
  <c r="AC237" i="21"/>
  <c r="AD237" i="21"/>
  <c r="AE237" i="21"/>
  <c r="AF237" i="21"/>
  <c r="AG237" i="21"/>
  <c r="AI237" i="21"/>
  <c r="AJ237" i="21"/>
  <c r="W238" i="21"/>
  <c r="X238" i="21"/>
  <c r="Y238" i="21"/>
  <c r="Z238" i="21"/>
  <c r="AA238" i="21"/>
  <c r="AB238" i="21" s="1"/>
  <c r="AC238" i="21"/>
  <c r="AD238" i="21"/>
  <c r="AE238" i="21"/>
  <c r="AF238" i="21"/>
  <c r="AG238" i="21" s="1"/>
  <c r="AI238" i="21"/>
  <c r="AJ238" i="21"/>
  <c r="W239" i="21"/>
  <c r="X239" i="21"/>
  <c r="Y239" i="21"/>
  <c r="Z239" i="21"/>
  <c r="AC239" i="21"/>
  <c r="AD239" i="21"/>
  <c r="AE239" i="21"/>
  <c r="AF239" i="21"/>
  <c r="AG239" i="21" s="1"/>
  <c r="AK239" i="21" s="1"/>
  <c r="AH239" i="21"/>
  <c r="AI239" i="21"/>
  <c r="AJ239" i="21"/>
  <c r="W240" i="21"/>
  <c r="X240" i="21"/>
  <c r="Y240" i="21"/>
  <c r="Z240" i="21"/>
  <c r="AA240" i="21" s="1"/>
  <c r="AB240" i="21" s="1"/>
  <c r="AC240" i="21"/>
  <c r="AD240" i="21"/>
  <c r="AE240" i="21"/>
  <c r="AF240" i="21"/>
  <c r="AG240" i="21"/>
  <c r="AI240" i="21"/>
  <c r="AJ240" i="21"/>
  <c r="W241" i="21"/>
  <c r="X241" i="21"/>
  <c r="Y241" i="21"/>
  <c r="Z241" i="21"/>
  <c r="AA241" i="21"/>
  <c r="AC241" i="21"/>
  <c r="AD241" i="21"/>
  <c r="AE241" i="21"/>
  <c r="AF241" i="21"/>
  <c r="AG241" i="21" s="1"/>
  <c r="AH241" i="21" s="1"/>
  <c r="AI241" i="21"/>
  <c r="AJ241" i="21"/>
  <c r="W242" i="21"/>
  <c r="X242" i="21"/>
  <c r="Y242" i="21"/>
  <c r="Z242" i="21"/>
  <c r="AA242" i="21" s="1"/>
  <c r="AC242" i="21"/>
  <c r="AD242" i="21"/>
  <c r="AE242" i="21"/>
  <c r="AF242" i="21"/>
  <c r="AG242" i="21" s="1"/>
  <c r="AK242" i="21" s="1"/>
  <c r="AH242" i="21"/>
  <c r="AI242" i="21"/>
  <c r="AJ242" i="21"/>
  <c r="AL242" i="21" s="1"/>
  <c r="AM242" i="21" s="1"/>
  <c r="W243" i="21"/>
  <c r="X243" i="21"/>
  <c r="Y243" i="21"/>
  <c r="Z243" i="21"/>
  <c r="AA243" i="21"/>
  <c r="AB243" i="21" s="1"/>
  <c r="AC243" i="21"/>
  <c r="AD243" i="21"/>
  <c r="AE243" i="21"/>
  <c r="AF243" i="21"/>
  <c r="AG243" i="21"/>
  <c r="AI243" i="21"/>
  <c r="AJ243" i="21"/>
  <c r="W244" i="21"/>
  <c r="X244" i="21"/>
  <c r="Y244" i="21"/>
  <c r="Z244" i="21"/>
  <c r="AC244" i="21"/>
  <c r="AD244" i="21"/>
  <c r="AE244" i="21"/>
  <c r="AF244" i="21"/>
  <c r="AG244" i="21" s="1"/>
  <c r="AK244" i="21" s="1"/>
  <c r="AL244" i="21" s="1"/>
  <c r="AH244" i="21"/>
  <c r="AI244" i="21"/>
  <c r="AJ244" i="21"/>
  <c r="W245" i="21"/>
  <c r="X245" i="21"/>
  <c r="Y245" i="21"/>
  <c r="Z245" i="21"/>
  <c r="AA245" i="21" s="1"/>
  <c r="AB245" i="21"/>
  <c r="AC245" i="21"/>
  <c r="AD245" i="21"/>
  <c r="AE245" i="21"/>
  <c r="AF245" i="21"/>
  <c r="AG245" i="21"/>
  <c r="AI245" i="21"/>
  <c r="AJ245" i="21"/>
  <c r="W246" i="21"/>
  <c r="X246" i="21"/>
  <c r="Y246" i="21"/>
  <c r="Z246" i="21"/>
  <c r="AA246" i="21"/>
  <c r="AB246" i="21" s="1"/>
  <c r="AC246" i="21"/>
  <c r="AD246" i="21"/>
  <c r="AE246" i="21"/>
  <c r="AF246" i="21"/>
  <c r="AG246" i="21" s="1"/>
  <c r="AI246" i="21"/>
  <c r="AJ246" i="21"/>
  <c r="W247" i="21"/>
  <c r="X247" i="21"/>
  <c r="Y247" i="21"/>
  <c r="Z247" i="21"/>
  <c r="AC247" i="21"/>
  <c r="AD247" i="21"/>
  <c r="AE247" i="21"/>
  <c r="AF247" i="21"/>
  <c r="AG247" i="21" s="1"/>
  <c r="AH247" i="21"/>
  <c r="AI247" i="21"/>
  <c r="AJ247" i="21"/>
  <c r="AL247" i="21" s="1"/>
  <c r="AM247" i="21" s="1"/>
  <c r="AK247" i="21"/>
  <c r="W248" i="21"/>
  <c r="X248" i="21"/>
  <c r="Y248" i="21"/>
  <c r="Z248" i="21"/>
  <c r="AA248" i="21" s="1"/>
  <c r="AB248" i="21"/>
  <c r="AC248" i="21"/>
  <c r="AD248" i="21"/>
  <c r="AE248" i="21"/>
  <c r="AF248" i="21"/>
  <c r="AG248" i="21"/>
  <c r="AK248" i="21" s="1"/>
  <c r="AH248" i="21"/>
  <c r="AI248" i="21"/>
  <c r="AJ248" i="21"/>
  <c r="AL248" i="21"/>
  <c r="AM248" i="21" s="1"/>
  <c r="W249" i="21"/>
  <c r="X249" i="21"/>
  <c r="Y249" i="21"/>
  <c r="Z249" i="21"/>
  <c r="AA249" i="21"/>
  <c r="AC249" i="21"/>
  <c r="AD249" i="21"/>
  <c r="AE249" i="21"/>
  <c r="AF249" i="21"/>
  <c r="AG249" i="21"/>
  <c r="AH249" i="21" s="1"/>
  <c r="AI249" i="21"/>
  <c r="AJ249" i="21"/>
  <c r="AK249" i="21"/>
  <c r="AL249" i="21"/>
  <c r="AM249" i="21" s="1"/>
  <c r="W250" i="21"/>
  <c r="X250" i="21"/>
  <c r="Y250" i="21"/>
  <c r="Z250" i="21"/>
  <c r="AA250" i="21" s="1"/>
  <c r="AC250" i="21"/>
  <c r="AD250" i="21"/>
  <c r="AE250" i="21"/>
  <c r="AF250" i="21"/>
  <c r="AG250" i="21" s="1"/>
  <c r="AI250" i="21"/>
  <c r="AJ250" i="21"/>
  <c r="W251" i="21"/>
  <c r="X251" i="21"/>
  <c r="Y251" i="21"/>
  <c r="Z251" i="21"/>
  <c r="AA251" i="21"/>
  <c r="AB251" i="21"/>
  <c r="AC251" i="21"/>
  <c r="AD251" i="21"/>
  <c r="AE251" i="21"/>
  <c r="AF251" i="21"/>
  <c r="AG251" i="21"/>
  <c r="AI251" i="21"/>
  <c r="AJ251" i="21"/>
  <c r="W252" i="21"/>
  <c r="X252" i="21"/>
  <c r="Y252" i="21"/>
  <c r="Z252" i="21"/>
  <c r="AC252" i="21"/>
  <c r="AD252" i="21"/>
  <c r="AE252" i="21"/>
  <c r="AF252" i="21"/>
  <c r="AG252" i="21" s="1"/>
  <c r="AH252" i="21"/>
  <c r="AI252" i="21"/>
  <c r="AJ252" i="21"/>
  <c r="AK252" i="21"/>
  <c r="AL252" i="21" s="1"/>
  <c r="AM252" i="21" s="1"/>
  <c r="W253" i="21"/>
  <c r="X253" i="21"/>
  <c r="Y253" i="21"/>
  <c r="Z253" i="21"/>
  <c r="AA253" i="21" s="1"/>
  <c r="AC253" i="21"/>
  <c r="AD253" i="21"/>
  <c r="AE253" i="21"/>
  <c r="AF253" i="21"/>
  <c r="AG253" i="21"/>
  <c r="AH253" i="21"/>
  <c r="AI253" i="21"/>
  <c r="AJ253" i="21"/>
  <c r="AK253" i="21"/>
  <c r="W254" i="21"/>
  <c r="X254" i="21"/>
  <c r="Y254" i="21"/>
  <c r="Z254" i="21"/>
  <c r="AA254" i="21"/>
  <c r="AB254" i="21" s="1"/>
  <c r="AC254" i="21"/>
  <c r="AD254" i="21"/>
  <c r="AE254" i="21"/>
  <c r="AF254" i="21"/>
  <c r="AG254" i="21" s="1"/>
  <c r="AI254" i="21"/>
  <c r="AJ254" i="21"/>
  <c r="W255" i="21"/>
  <c r="X255" i="21"/>
  <c r="Y255" i="21"/>
  <c r="Z255" i="21"/>
  <c r="AA255" i="21" s="1"/>
  <c r="AC255" i="21"/>
  <c r="AD255" i="21"/>
  <c r="AE255" i="21"/>
  <c r="AF255" i="21"/>
  <c r="AG255" i="21" s="1"/>
  <c r="AI255" i="21"/>
  <c r="AJ255" i="21"/>
  <c r="W256" i="21"/>
  <c r="X256" i="21"/>
  <c r="Y256" i="21"/>
  <c r="Z256" i="21"/>
  <c r="AA256" i="21" s="1"/>
  <c r="AC256" i="21"/>
  <c r="AD256" i="21"/>
  <c r="AE256" i="21"/>
  <c r="AF256" i="21"/>
  <c r="AG256" i="21" s="1"/>
  <c r="AI256" i="21"/>
  <c r="AJ256" i="21"/>
  <c r="W257" i="21"/>
  <c r="X257" i="21"/>
  <c r="Y257" i="21"/>
  <c r="Z257" i="21"/>
  <c r="AA257" i="21"/>
  <c r="AC257" i="21"/>
  <c r="AD257" i="21"/>
  <c r="AE257" i="21"/>
  <c r="AF257" i="21"/>
  <c r="AG257" i="21"/>
  <c r="AI257" i="21"/>
  <c r="AJ257" i="21"/>
  <c r="W258" i="21"/>
  <c r="X258" i="21"/>
  <c r="Y258" i="21"/>
  <c r="Z258" i="21"/>
  <c r="AA258" i="21" s="1"/>
  <c r="AB258" i="21"/>
  <c r="AC258" i="21"/>
  <c r="AD258" i="21"/>
  <c r="AE258" i="21"/>
  <c r="AF258" i="21"/>
  <c r="AG258" i="21"/>
  <c r="AI258" i="21"/>
  <c r="AJ258" i="21"/>
  <c r="W259" i="21"/>
  <c r="X259" i="21"/>
  <c r="Y259" i="21"/>
  <c r="Z259" i="21"/>
  <c r="AA259" i="21"/>
  <c r="AB259" i="21" s="1"/>
  <c r="AC259" i="21"/>
  <c r="AD259" i="21"/>
  <c r="AE259" i="21"/>
  <c r="AF259" i="21"/>
  <c r="AG259" i="21" s="1"/>
  <c r="AI259" i="21"/>
  <c r="AJ259" i="21"/>
  <c r="W260" i="21"/>
  <c r="X260" i="21"/>
  <c r="Y260" i="21"/>
  <c r="Z260" i="21"/>
  <c r="AB260" i="21" s="1"/>
  <c r="AA260" i="21"/>
  <c r="AC260" i="21"/>
  <c r="AD260" i="21"/>
  <c r="AE260" i="21"/>
  <c r="AF260" i="21"/>
  <c r="AG260" i="21" s="1"/>
  <c r="AI260" i="21"/>
  <c r="AJ260" i="21"/>
  <c r="W261" i="21"/>
  <c r="X261" i="21"/>
  <c r="Y261" i="21"/>
  <c r="Z261" i="21"/>
  <c r="AB261" i="21" s="1"/>
  <c r="AA261" i="21"/>
  <c r="AC261" i="21"/>
  <c r="AD261" i="21"/>
  <c r="AE261" i="21"/>
  <c r="AF261" i="21"/>
  <c r="AG261" i="21"/>
  <c r="AH261" i="21" s="1"/>
  <c r="AI261" i="21"/>
  <c r="AJ261" i="21"/>
  <c r="W262" i="21"/>
  <c r="X262" i="21"/>
  <c r="Y262" i="21"/>
  <c r="Z262" i="21"/>
  <c r="AA262" i="21" s="1"/>
  <c r="AC262" i="21"/>
  <c r="AD262" i="21"/>
  <c r="AE262" i="21"/>
  <c r="AF262" i="21"/>
  <c r="AG262" i="21" s="1"/>
  <c r="AI262" i="21"/>
  <c r="AJ262" i="21"/>
  <c r="W263" i="21"/>
  <c r="X263" i="21"/>
  <c r="Y263" i="21"/>
  <c r="Z263" i="21"/>
  <c r="AA263" i="21" s="1"/>
  <c r="AC263" i="21"/>
  <c r="AD263" i="21"/>
  <c r="AE263" i="21"/>
  <c r="AF263" i="21"/>
  <c r="AG263" i="21" s="1"/>
  <c r="AI263" i="21"/>
  <c r="AJ263" i="21"/>
  <c r="W264" i="21"/>
  <c r="X264" i="21"/>
  <c r="Y264" i="21"/>
  <c r="Z264" i="21"/>
  <c r="AA264" i="21" s="1"/>
  <c r="AC264" i="21"/>
  <c r="AD264" i="21"/>
  <c r="AE264" i="21"/>
  <c r="AF264" i="21"/>
  <c r="AG264" i="21" s="1"/>
  <c r="AI264" i="21"/>
  <c r="AJ264" i="21"/>
  <c r="W265" i="21"/>
  <c r="X265" i="21"/>
  <c r="Y265" i="21"/>
  <c r="Z265" i="21"/>
  <c r="AA265" i="21" s="1"/>
  <c r="AC265" i="21"/>
  <c r="AD265" i="21"/>
  <c r="AE265" i="21"/>
  <c r="AF265" i="21"/>
  <c r="AG265" i="21" s="1"/>
  <c r="AI265" i="21"/>
  <c r="AJ265" i="21"/>
  <c r="W266" i="21"/>
  <c r="X266" i="21"/>
  <c r="Y266" i="21"/>
  <c r="Z266" i="21"/>
  <c r="AA266" i="21" s="1"/>
  <c r="AC266" i="21"/>
  <c r="AD266" i="21"/>
  <c r="AE266" i="21"/>
  <c r="AF266" i="21"/>
  <c r="AG266" i="21" s="1"/>
  <c r="AK266" i="21" s="1"/>
  <c r="AL266" i="21" s="1"/>
  <c r="AH266" i="21"/>
  <c r="AI266" i="21"/>
  <c r="AJ266" i="21"/>
  <c r="W267" i="21"/>
  <c r="X267" i="21"/>
  <c r="Y267" i="21"/>
  <c r="Z267" i="21"/>
  <c r="AA267" i="21"/>
  <c r="AB267" i="21" s="1"/>
  <c r="AC267" i="21"/>
  <c r="AD267" i="21"/>
  <c r="AE267" i="21"/>
  <c r="AF267" i="21"/>
  <c r="AG267" i="21"/>
  <c r="AI267" i="21"/>
  <c r="AJ267" i="21"/>
  <c r="W268" i="21"/>
  <c r="X268" i="21"/>
  <c r="Y268" i="21"/>
  <c r="Z268" i="21"/>
  <c r="AA268" i="21" s="1"/>
  <c r="AB268" i="21" s="1"/>
  <c r="AC268" i="21"/>
  <c r="AD268" i="21"/>
  <c r="AE268" i="21"/>
  <c r="AF268" i="21"/>
  <c r="AG268" i="21" s="1"/>
  <c r="AI268" i="21"/>
  <c r="AJ268" i="21"/>
  <c r="W269" i="21"/>
  <c r="X269" i="21"/>
  <c r="Y269" i="21"/>
  <c r="Z269" i="21"/>
  <c r="AA269" i="21"/>
  <c r="AB269" i="21" s="1"/>
  <c r="AC269" i="21"/>
  <c r="AD269" i="21"/>
  <c r="AE269" i="21"/>
  <c r="AM269" i="21" s="1"/>
  <c r="AF269" i="21"/>
  <c r="AG269" i="21" s="1"/>
  <c r="AH269" i="21" s="1"/>
  <c r="AI269" i="21"/>
  <c r="AJ269" i="21"/>
  <c r="AK269" i="21"/>
  <c r="AL269" i="21" s="1"/>
  <c r="W270" i="21"/>
  <c r="X270" i="21"/>
  <c r="Y270" i="21"/>
  <c r="Z270" i="21"/>
  <c r="AA270" i="21" s="1"/>
  <c r="AB270" i="21"/>
  <c r="AC270" i="21"/>
  <c r="AD270" i="21"/>
  <c r="AE270" i="21"/>
  <c r="AF270" i="21"/>
  <c r="AG270" i="21" s="1"/>
  <c r="AI270" i="21"/>
  <c r="AJ270" i="21"/>
  <c r="W271" i="21"/>
  <c r="X271" i="21"/>
  <c r="Y271" i="21"/>
  <c r="Z271" i="21"/>
  <c r="AA271" i="21"/>
  <c r="AB271" i="21" s="1"/>
  <c r="AC271" i="21"/>
  <c r="AD271" i="21"/>
  <c r="AE271" i="21"/>
  <c r="AF271" i="21"/>
  <c r="AG271" i="21"/>
  <c r="AH271" i="21" s="1"/>
  <c r="AI271" i="21"/>
  <c r="AJ271" i="21"/>
  <c r="AK271" i="21"/>
  <c r="AL271" i="21" s="1"/>
  <c r="AM271" i="21" s="1"/>
  <c r="W272" i="21"/>
  <c r="X272" i="21"/>
  <c r="Y272" i="21"/>
  <c r="Z272" i="21"/>
  <c r="AC272" i="21"/>
  <c r="AD272" i="21"/>
  <c r="AE272" i="21"/>
  <c r="AF272" i="21"/>
  <c r="AG272" i="21" s="1"/>
  <c r="AK272" i="21" s="1"/>
  <c r="AH272" i="21"/>
  <c r="AI272" i="21"/>
  <c r="AJ272" i="21"/>
  <c r="AL272" i="21" s="1"/>
  <c r="AM272" i="21" s="1"/>
  <c r="W273" i="21"/>
  <c r="X273" i="21"/>
  <c r="Y273" i="21"/>
  <c r="Z273" i="21"/>
  <c r="AA273" i="21"/>
  <c r="AB273" i="21" s="1"/>
  <c r="AC273" i="21"/>
  <c r="AD273" i="21"/>
  <c r="AE273" i="21"/>
  <c r="AF273" i="21"/>
  <c r="AG273" i="21"/>
  <c r="AI273" i="21"/>
  <c r="AJ273" i="21"/>
  <c r="W274" i="21"/>
  <c r="X274" i="21"/>
  <c r="Y274" i="21"/>
  <c r="Z274" i="21"/>
  <c r="AC274" i="21"/>
  <c r="AD274" i="21"/>
  <c r="AE274" i="21"/>
  <c r="AF274" i="21"/>
  <c r="AG274" i="21" s="1"/>
  <c r="AK274" i="21" s="1"/>
  <c r="AL274" i="21" s="1"/>
  <c r="AI274" i="21"/>
  <c r="AJ274" i="21"/>
  <c r="W275" i="21"/>
  <c r="X275" i="21"/>
  <c r="Y275" i="21"/>
  <c r="Z275" i="21"/>
  <c r="AA275" i="21" s="1"/>
  <c r="AC275" i="21"/>
  <c r="AD275" i="21"/>
  <c r="AE275" i="21"/>
  <c r="AF275" i="21"/>
  <c r="AG275" i="21"/>
  <c r="AI275" i="21"/>
  <c r="AJ275" i="21"/>
  <c r="W276" i="21"/>
  <c r="X276" i="21"/>
  <c r="Y276" i="21"/>
  <c r="Z276" i="21"/>
  <c r="AA276" i="21" s="1"/>
  <c r="AB276" i="21" s="1"/>
  <c r="AC276" i="21"/>
  <c r="AD276" i="21"/>
  <c r="AE276" i="21"/>
  <c r="AF276" i="21"/>
  <c r="AG276" i="21" s="1"/>
  <c r="AI276" i="21"/>
  <c r="AJ276" i="21"/>
  <c r="W277" i="21"/>
  <c r="X277" i="21"/>
  <c r="Y277" i="21"/>
  <c r="Z277" i="21"/>
  <c r="AA277" i="21"/>
  <c r="AB277" i="21" s="1"/>
  <c r="AC277" i="21"/>
  <c r="AD277" i="21"/>
  <c r="AE277" i="21"/>
  <c r="AM277" i="21" s="1"/>
  <c r="AF277" i="21"/>
  <c r="AG277" i="21" s="1"/>
  <c r="AH277" i="21" s="1"/>
  <c r="AI277" i="21"/>
  <c r="AJ277" i="21"/>
  <c r="AK277" i="21"/>
  <c r="AL277" i="21" s="1"/>
  <c r="W278" i="21"/>
  <c r="X278" i="21"/>
  <c r="Y278" i="21"/>
  <c r="Z278" i="21"/>
  <c r="AA278" i="21" s="1"/>
  <c r="AB278" i="21"/>
  <c r="AC278" i="21"/>
  <c r="AD278" i="21"/>
  <c r="AE278" i="21"/>
  <c r="AF278" i="21"/>
  <c r="AG278" i="21"/>
  <c r="AH278" i="21"/>
  <c r="AI278" i="21"/>
  <c r="AJ278" i="21"/>
  <c r="AL278" i="21" s="1"/>
  <c r="AM278" i="21" s="1"/>
  <c r="AK278" i="21"/>
  <c r="W279" i="21"/>
  <c r="X279" i="21"/>
  <c r="Y279" i="21"/>
  <c r="Z279" i="21"/>
  <c r="AA279" i="21"/>
  <c r="AB279" i="21" s="1"/>
  <c r="AC279" i="21"/>
  <c r="AD279" i="21"/>
  <c r="AE279" i="21"/>
  <c r="AF279" i="21"/>
  <c r="AG279" i="21"/>
  <c r="AH279" i="21" s="1"/>
  <c r="AI279" i="21"/>
  <c r="AJ279" i="21"/>
  <c r="AK279" i="21"/>
  <c r="AL279" i="21" s="1"/>
  <c r="W280" i="21"/>
  <c r="X280" i="21"/>
  <c r="Y280" i="21"/>
  <c r="Z280" i="21"/>
  <c r="AA280" i="21" s="1"/>
  <c r="AC280" i="21"/>
  <c r="AD280" i="21"/>
  <c r="AE280" i="21"/>
  <c r="AF280" i="21"/>
  <c r="AG280" i="21" s="1"/>
  <c r="AI280" i="21"/>
  <c r="AJ280" i="21"/>
  <c r="W281" i="21"/>
  <c r="X281" i="21"/>
  <c r="Y281" i="21"/>
  <c r="Z281" i="21"/>
  <c r="AA281" i="21"/>
  <c r="AB281" i="21" s="1"/>
  <c r="AC281" i="21"/>
  <c r="AD281" i="21"/>
  <c r="AE281" i="21"/>
  <c r="AF281" i="21"/>
  <c r="AG281" i="21"/>
  <c r="AI281" i="21"/>
  <c r="AJ281" i="21"/>
  <c r="W282" i="21"/>
  <c r="X282" i="21"/>
  <c r="Y282" i="21"/>
  <c r="Z282" i="21"/>
  <c r="AC282" i="21"/>
  <c r="AD282" i="21"/>
  <c r="AE282" i="21"/>
  <c r="AF282" i="21"/>
  <c r="AG282" i="21" s="1"/>
  <c r="AK282" i="21" s="1"/>
  <c r="AL282" i="21" s="1"/>
  <c r="AH282" i="21"/>
  <c r="AI282" i="21"/>
  <c r="AJ282" i="21"/>
  <c r="W283" i="21"/>
  <c r="X283" i="21"/>
  <c r="Y283" i="21"/>
  <c r="Z283" i="21"/>
  <c r="AA283" i="21" s="1"/>
  <c r="AC283" i="21"/>
  <c r="AD283" i="21"/>
  <c r="AE283" i="21"/>
  <c r="AF283" i="21"/>
  <c r="AG283" i="21"/>
  <c r="AI283" i="21"/>
  <c r="AJ283" i="21"/>
  <c r="W284" i="21"/>
  <c r="X284" i="21"/>
  <c r="Y284" i="21"/>
  <c r="Z284" i="21"/>
  <c r="AA284" i="21" s="1"/>
  <c r="AB284" i="21" s="1"/>
  <c r="AC284" i="21"/>
  <c r="AD284" i="21"/>
  <c r="AE284" i="21"/>
  <c r="AF284" i="21"/>
  <c r="AG284" i="21" s="1"/>
  <c r="AI284" i="21"/>
  <c r="AJ284" i="21"/>
  <c r="W285" i="21"/>
  <c r="X285" i="21"/>
  <c r="Y285" i="21"/>
  <c r="Z285" i="21"/>
  <c r="AA285" i="21"/>
  <c r="AB285" i="21" s="1"/>
  <c r="AC285" i="21"/>
  <c r="AD285" i="21"/>
  <c r="AE285" i="21"/>
  <c r="AF285" i="21"/>
  <c r="AG285" i="21" s="1"/>
  <c r="AH285" i="21" s="1"/>
  <c r="AI285" i="21"/>
  <c r="AJ285" i="21"/>
  <c r="W286" i="21"/>
  <c r="X286" i="21"/>
  <c r="Y286" i="21"/>
  <c r="Z286" i="21"/>
  <c r="AA286" i="21" s="1"/>
  <c r="AB286" i="21"/>
  <c r="AC286" i="21"/>
  <c r="AD286" i="21"/>
  <c r="AE286" i="21"/>
  <c r="AF286" i="21"/>
  <c r="AG286" i="21"/>
  <c r="AH286" i="21"/>
  <c r="AI286" i="21"/>
  <c r="AJ286" i="21"/>
  <c r="AL286" i="21" s="1"/>
  <c r="AM286" i="21" s="1"/>
  <c r="AK286" i="21"/>
  <c r="W287" i="21"/>
  <c r="X287" i="21"/>
  <c r="Y287" i="21"/>
  <c r="Z287" i="21"/>
  <c r="AA287" i="21"/>
  <c r="AB287" i="21" s="1"/>
  <c r="AC287" i="21"/>
  <c r="AD287" i="21"/>
  <c r="AE287" i="21"/>
  <c r="AF287" i="21"/>
  <c r="AG287" i="21"/>
  <c r="AH287" i="21" s="1"/>
  <c r="AI287" i="21"/>
  <c r="AJ287" i="21"/>
  <c r="AK287" i="21"/>
  <c r="AL287" i="21" s="1"/>
  <c r="AM287" i="21" s="1"/>
  <c r="W288" i="21"/>
  <c r="X288" i="21"/>
  <c r="Y288" i="21"/>
  <c r="Z288" i="21"/>
  <c r="AA288" i="21" s="1"/>
  <c r="AC288" i="21"/>
  <c r="AD288" i="21"/>
  <c r="AE288" i="21"/>
  <c r="AF288" i="21"/>
  <c r="AG288" i="21" s="1"/>
  <c r="AK288" i="21" s="1"/>
  <c r="AI288" i="21"/>
  <c r="AJ288" i="21"/>
  <c r="W289" i="21"/>
  <c r="X289" i="21"/>
  <c r="Y289" i="21"/>
  <c r="Z289" i="21"/>
  <c r="AA289" i="21"/>
  <c r="AB289" i="21" s="1"/>
  <c r="AC289" i="21"/>
  <c r="AD289" i="21"/>
  <c r="AE289" i="21"/>
  <c r="AF289" i="21"/>
  <c r="AG289" i="21"/>
  <c r="AI289" i="21"/>
  <c r="AJ289" i="21"/>
  <c r="W290" i="21"/>
  <c r="X290" i="21"/>
  <c r="Y290" i="21"/>
  <c r="Z290" i="21"/>
  <c r="AC290" i="21"/>
  <c r="AD290" i="21"/>
  <c r="AE290" i="21"/>
  <c r="AF290" i="21"/>
  <c r="AG290" i="21" s="1"/>
  <c r="AK290" i="21" s="1"/>
  <c r="AL290" i="21" s="1"/>
  <c r="AH290" i="21"/>
  <c r="AI290" i="21"/>
  <c r="AJ290" i="21"/>
  <c r="W291" i="21"/>
  <c r="X291" i="21"/>
  <c r="Y291" i="21"/>
  <c r="Z291" i="21"/>
  <c r="AA291" i="21" s="1"/>
  <c r="AC291" i="21"/>
  <c r="AD291" i="21"/>
  <c r="AE291" i="21"/>
  <c r="AF291" i="21"/>
  <c r="AG291" i="21"/>
  <c r="AI291" i="21"/>
  <c r="AJ291" i="21"/>
  <c r="W292" i="21"/>
  <c r="X292" i="21"/>
  <c r="Y292" i="21"/>
  <c r="Z292" i="21"/>
  <c r="AA292" i="21" s="1"/>
  <c r="AB292" i="21" s="1"/>
  <c r="AC292" i="21"/>
  <c r="AD292" i="21"/>
  <c r="AE292" i="21"/>
  <c r="AF292" i="21"/>
  <c r="AG292" i="21" s="1"/>
  <c r="AI292" i="21"/>
  <c r="AJ292" i="21"/>
  <c r="W293" i="21"/>
  <c r="X293" i="21"/>
  <c r="Y293" i="21"/>
  <c r="Z293" i="21"/>
  <c r="AA293" i="21"/>
  <c r="AB293" i="21" s="1"/>
  <c r="AC293" i="21"/>
  <c r="AD293" i="21"/>
  <c r="AE293" i="21"/>
  <c r="AF293" i="21"/>
  <c r="AG293" i="21" s="1"/>
  <c r="AH293" i="21" s="1"/>
  <c r="AI293" i="21"/>
  <c r="AJ293" i="21"/>
  <c r="AK293" i="21"/>
  <c r="AL293" i="21" s="1"/>
  <c r="AM293" i="21" s="1"/>
  <c r="W294" i="21"/>
  <c r="X294" i="21"/>
  <c r="Y294" i="21"/>
  <c r="Z294" i="21"/>
  <c r="AA294" i="21" s="1"/>
  <c r="AB294" i="21"/>
  <c r="AC294" i="21"/>
  <c r="AD294" i="21"/>
  <c r="AE294" i="21"/>
  <c r="AF294" i="21"/>
  <c r="AG294" i="21"/>
  <c r="AH294" i="21"/>
  <c r="AI294" i="21"/>
  <c r="AJ294" i="21"/>
  <c r="AK294" i="21"/>
  <c r="AL294" i="21"/>
  <c r="AM294" i="21" s="1"/>
  <c r="W295" i="21"/>
  <c r="X295" i="21"/>
  <c r="Y295" i="21"/>
  <c r="Z295" i="21"/>
  <c r="AA295" i="21"/>
  <c r="AB295" i="21" s="1"/>
  <c r="AC295" i="21"/>
  <c r="AD295" i="21"/>
  <c r="AE295" i="21"/>
  <c r="AF295" i="21"/>
  <c r="AG295" i="21"/>
  <c r="AH295" i="21" s="1"/>
  <c r="AI295" i="21"/>
  <c r="AJ295" i="21"/>
  <c r="AK295" i="21"/>
  <c r="AL295" i="21" s="1"/>
  <c r="W296" i="21"/>
  <c r="X296" i="21"/>
  <c r="Y296" i="21"/>
  <c r="Z296" i="21"/>
  <c r="AA296" i="21" s="1"/>
  <c r="AB296" i="21"/>
  <c r="AC296" i="21"/>
  <c r="AD296" i="21"/>
  <c r="AE296" i="21"/>
  <c r="AF296" i="21"/>
  <c r="AG296" i="21" s="1"/>
  <c r="AK296" i="21" s="1"/>
  <c r="AI296" i="21"/>
  <c r="AJ296" i="21"/>
  <c r="W297" i="21"/>
  <c r="X297" i="21"/>
  <c r="Y297" i="21"/>
  <c r="Z297" i="21"/>
  <c r="AA297" i="21"/>
  <c r="AB297" i="21" s="1"/>
  <c r="AC297" i="21"/>
  <c r="AD297" i="21"/>
  <c r="AE297" i="21"/>
  <c r="AF297" i="21"/>
  <c r="AG297" i="21"/>
  <c r="AI297" i="21"/>
  <c r="AJ297" i="21"/>
  <c r="W298" i="21"/>
  <c r="X298" i="21"/>
  <c r="Y298" i="21"/>
  <c r="Z298" i="21"/>
  <c r="AC298" i="21"/>
  <c r="AD298" i="21"/>
  <c r="AE298" i="21"/>
  <c r="AF298" i="21"/>
  <c r="AG298" i="21" s="1"/>
  <c r="AK298" i="21" s="1"/>
  <c r="AL298" i="21" s="1"/>
  <c r="AH298" i="21"/>
  <c r="AI298" i="21"/>
  <c r="AJ298" i="21"/>
  <c r="W299" i="21"/>
  <c r="X299" i="21"/>
  <c r="Y299" i="21"/>
  <c r="Z299" i="21"/>
  <c r="AA299" i="21" s="1"/>
  <c r="AC299" i="21"/>
  <c r="AD299" i="21"/>
  <c r="AE299" i="21"/>
  <c r="AF299" i="21"/>
  <c r="AG299" i="21"/>
  <c r="AI299" i="21"/>
  <c r="AJ299" i="21"/>
  <c r="W300" i="21"/>
  <c r="X300" i="21"/>
  <c r="Y300" i="21"/>
  <c r="Z300" i="21"/>
  <c r="AA300" i="21" s="1"/>
  <c r="AB300" i="21" s="1"/>
  <c r="AC300" i="21"/>
  <c r="AD300" i="21"/>
  <c r="AE300" i="21"/>
  <c r="AF300" i="21"/>
  <c r="AG300" i="21" s="1"/>
  <c r="AI300" i="21"/>
  <c r="AJ300" i="21"/>
  <c r="W301" i="21"/>
  <c r="X301" i="21"/>
  <c r="Y301" i="21"/>
  <c r="Z301" i="21"/>
  <c r="AA301" i="21"/>
  <c r="AB301" i="21" s="1"/>
  <c r="AC301" i="21"/>
  <c r="AD301" i="21"/>
  <c r="AE301" i="21"/>
  <c r="AF301" i="21"/>
  <c r="AG301" i="21" s="1"/>
  <c r="AI301" i="21"/>
  <c r="AJ301" i="21"/>
  <c r="W302" i="21"/>
  <c r="X302" i="21"/>
  <c r="Y302" i="21"/>
  <c r="Z302" i="21"/>
  <c r="AA302" i="21" s="1"/>
  <c r="AB302" i="21" s="1"/>
  <c r="AC302" i="21"/>
  <c r="AD302" i="21"/>
  <c r="AE302" i="21"/>
  <c r="AF302" i="21"/>
  <c r="AG302" i="21"/>
  <c r="AH302" i="21"/>
  <c r="AI302" i="21"/>
  <c r="AJ302" i="21"/>
  <c r="AK302" i="21"/>
  <c r="AL302" i="21"/>
  <c r="AM302" i="21" s="1"/>
  <c r="W303" i="21"/>
  <c r="X303" i="21"/>
  <c r="Y303" i="21"/>
  <c r="Z303" i="21"/>
  <c r="AA303" i="21"/>
  <c r="AB303" i="21" s="1"/>
  <c r="AC303" i="21"/>
  <c r="AD303" i="21"/>
  <c r="AE303" i="21"/>
  <c r="AF303" i="21"/>
  <c r="AG303" i="21"/>
  <c r="AH303" i="21" s="1"/>
  <c r="AI303" i="21"/>
  <c r="AJ303" i="21"/>
  <c r="AK303" i="21"/>
  <c r="AL303" i="21" s="1"/>
  <c r="AM303" i="21" s="1"/>
  <c r="W304" i="21"/>
  <c r="X304" i="21"/>
  <c r="Y304" i="21"/>
  <c r="Z304" i="21"/>
  <c r="AA304" i="21" s="1"/>
  <c r="AC304" i="21"/>
  <c r="AD304" i="21"/>
  <c r="AE304" i="21"/>
  <c r="AF304" i="21"/>
  <c r="AG304" i="21" s="1"/>
  <c r="AK304" i="21" s="1"/>
  <c r="AI304" i="21"/>
  <c r="AJ304" i="21"/>
  <c r="W305" i="21"/>
  <c r="X305" i="21"/>
  <c r="Y305" i="21"/>
  <c r="Z305" i="21"/>
  <c r="AA305" i="21"/>
  <c r="AB305" i="21" s="1"/>
  <c r="AC305" i="21"/>
  <c r="AD305" i="21"/>
  <c r="AE305" i="21"/>
  <c r="AF305" i="21"/>
  <c r="AG305" i="21"/>
  <c r="AI305" i="21"/>
  <c r="AJ305" i="21"/>
  <c r="W306" i="21"/>
  <c r="X306" i="21"/>
  <c r="Y306" i="21"/>
  <c r="Z306" i="21"/>
  <c r="AC306" i="21"/>
  <c r="AD306" i="21"/>
  <c r="AE306" i="21"/>
  <c r="AF306" i="21"/>
  <c r="AG306" i="21" s="1"/>
  <c r="AI306" i="21"/>
  <c r="AJ306" i="21"/>
  <c r="W307" i="21"/>
  <c r="X307" i="21"/>
  <c r="Y307" i="21"/>
  <c r="Z307" i="21"/>
  <c r="AA307" i="21" s="1"/>
  <c r="AC307" i="21"/>
  <c r="AD307" i="21"/>
  <c r="AE307" i="21"/>
  <c r="AF307" i="21"/>
  <c r="AG307" i="21" s="1"/>
  <c r="AI307" i="21"/>
  <c r="AJ307" i="21"/>
  <c r="W308" i="21"/>
  <c r="X308" i="21"/>
  <c r="Y308" i="21"/>
  <c r="Z308" i="21"/>
  <c r="AA308" i="21" s="1"/>
  <c r="AB308" i="21" s="1"/>
  <c r="AC308" i="21"/>
  <c r="AD308" i="21"/>
  <c r="AE308" i="21"/>
  <c r="AF308" i="21"/>
  <c r="AG308" i="21" s="1"/>
  <c r="AI308" i="21"/>
  <c r="AJ308" i="21"/>
  <c r="W309" i="21"/>
  <c r="X309" i="21"/>
  <c r="Y309" i="21"/>
  <c r="Z309" i="21"/>
  <c r="AA309" i="21"/>
  <c r="AB309" i="21" s="1"/>
  <c r="AC309" i="21"/>
  <c r="AD309" i="21"/>
  <c r="AE309" i="21"/>
  <c r="AF309" i="21"/>
  <c r="AG309" i="21" s="1"/>
  <c r="AH309" i="21" s="1"/>
  <c r="AI309" i="21"/>
  <c r="AJ309" i="21"/>
  <c r="AK309" i="21"/>
  <c r="AL309" i="21"/>
  <c r="AM309" i="21"/>
  <c r="W310" i="21"/>
  <c r="X310" i="21"/>
  <c r="Y310" i="21"/>
  <c r="Z310" i="21"/>
  <c r="AA310" i="21" s="1"/>
  <c r="AB310" i="21" s="1"/>
  <c r="AC310" i="21"/>
  <c r="AD310" i="21"/>
  <c r="AE310" i="21"/>
  <c r="AF310" i="21"/>
  <c r="AG310" i="21"/>
  <c r="AH310" i="21"/>
  <c r="AI310" i="21"/>
  <c r="AJ310" i="21"/>
  <c r="AK310" i="21"/>
  <c r="AL310" i="21"/>
  <c r="AM310" i="21"/>
  <c r="W311" i="21"/>
  <c r="X311" i="21"/>
  <c r="Y311" i="21"/>
  <c r="Z311" i="21"/>
  <c r="AA311" i="21"/>
  <c r="AB311" i="21" s="1"/>
  <c r="AC311" i="21"/>
  <c r="AD311" i="21"/>
  <c r="AE311" i="21"/>
  <c r="AF311" i="21"/>
  <c r="AG311" i="21"/>
  <c r="AH311" i="21" s="1"/>
  <c r="AI311" i="21"/>
  <c r="AJ311" i="21"/>
  <c r="AK311" i="21"/>
  <c r="AL311" i="21"/>
  <c r="AM311" i="21" s="1"/>
  <c r="W312" i="21"/>
  <c r="X312" i="21"/>
  <c r="Y312" i="21"/>
  <c r="Z312" i="21"/>
  <c r="AA312" i="21"/>
  <c r="AB312" i="21" s="1"/>
  <c r="AC312" i="21"/>
  <c r="AD312" i="21"/>
  <c r="AE312" i="21"/>
  <c r="AF312" i="21"/>
  <c r="AG312" i="21" s="1"/>
  <c r="AH312" i="21"/>
  <c r="AI312" i="21"/>
  <c r="AJ312" i="21"/>
  <c r="AL312" i="21" s="1"/>
  <c r="AM312" i="21" s="1"/>
  <c r="AK312" i="21"/>
  <c r="W313" i="21"/>
  <c r="X313" i="21"/>
  <c r="Y313" i="21"/>
  <c r="Z313" i="21"/>
  <c r="AA313" i="21"/>
  <c r="AB313" i="21" s="1"/>
  <c r="AC313" i="21"/>
  <c r="AD313" i="21"/>
  <c r="AE313" i="21"/>
  <c r="AF313" i="21"/>
  <c r="AG313" i="21"/>
  <c r="AK313" i="21" s="1"/>
  <c r="AI313" i="21"/>
  <c r="AJ313" i="21"/>
  <c r="W314" i="21"/>
  <c r="X314" i="21"/>
  <c r="Y314" i="21"/>
  <c r="Z314" i="21"/>
  <c r="AA314" i="21"/>
  <c r="AC314" i="21"/>
  <c r="AD314" i="21"/>
  <c r="AE314" i="21"/>
  <c r="AF314" i="21"/>
  <c r="AG314" i="21" s="1"/>
  <c r="AI314" i="21"/>
  <c r="AJ314" i="21"/>
  <c r="W315" i="21"/>
  <c r="X315" i="21"/>
  <c r="Y315" i="21"/>
  <c r="Z315" i="21"/>
  <c r="AC315" i="21"/>
  <c r="AD315" i="21"/>
  <c r="AE315" i="21"/>
  <c r="AF315" i="21"/>
  <c r="AG315" i="21" s="1"/>
  <c r="AI315" i="21"/>
  <c r="AJ315" i="21"/>
  <c r="W316" i="21"/>
  <c r="X316" i="21"/>
  <c r="Y316" i="21"/>
  <c r="Z316" i="21"/>
  <c r="AA316" i="21" s="1"/>
  <c r="AB316" i="21" s="1"/>
  <c r="AC316" i="21"/>
  <c r="AD316" i="21"/>
  <c r="AE316" i="21"/>
  <c r="AF316" i="21"/>
  <c r="AG316" i="21"/>
  <c r="AI316" i="21"/>
  <c r="AJ316" i="21"/>
  <c r="W317" i="21"/>
  <c r="X317" i="21"/>
  <c r="Y317" i="21"/>
  <c r="Z317" i="21"/>
  <c r="AA317" i="21"/>
  <c r="AB317" i="21" s="1"/>
  <c r="AC317" i="21"/>
  <c r="AD317" i="21"/>
  <c r="AE317" i="21"/>
  <c r="AF317" i="21"/>
  <c r="AG317" i="21" s="1"/>
  <c r="AH317" i="21" s="1"/>
  <c r="AI317" i="21"/>
  <c r="AJ317" i="21"/>
  <c r="W318" i="21"/>
  <c r="X318" i="21"/>
  <c r="Y318" i="21"/>
  <c r="Z318" i="21"/>
  <c r="AA318" i="21" s="1"/>
  <c r="AB318" i="21" s="1"/>
  <c r="AC318" i="21"/>
  <c r="AD318" i="21"/>
  <c r="AE318" i="21"/>
  <c r="AF318" i="21"/>
  <c r="AG318" i="21"/>
  <c r="AH318" i="21"/>
  <c r="AI318" i="21"/>
  <c r="AJ318" i="21"/>
  <c r="AK318" i="21"/>
  <c r="AL318" i="21"/>
  <c r="AM318" i="21"/>
  <c r="W319" i="21"/>
  <c r="X319" i="21"/>
  <c r="Y319" i="21"/>
  <c r="Z319" i="21"/>
  <c r="AA319" i="21"/>
  <c r="AB319" i="21"/>
  <c r="AC319" i="21"/>
  <c r="AD319" i="21"/>
  <c r="AE319" i="21"/>
  <c r="AF319" i="21"/>
  <c r="AG319" i="21"/>
  <c r="AH319" i="21" s="1"/>
  <c r="AI319" i="21"/>
  <c r="AJ319" i="21"/>
  <c r="AK319" i="21"/>
  <c r="AL319" i="21"/>
  <c r="AM319" i="21" s="1"/>
  <c r="W320" i="21"/>
  <c r="X320" i="21"/>
  <c r="Y320" i="21"/>
  <c r="Z320" i="21"/>
  <c r="AA320" i="21"/>
  <c r="AC320" i="21"/>
  <c r="AD320" i="21"/>
  <c r="AE320" i="21"/>
  <c r="AF320" i="21"/>
  <c r="AG320" i="21" s="1"/>
  <c r="AH320" i="21"/>
  <c r="AI320" i="21"/>
  <c r="AJ320" i="21"/>
  <c r="AL320" i="21" s="1"/>
  <c r="AM320" i="21" s="1"/>
  <c r="AK320" i="21"/>
  <c r="W321" i="21"/>
  <c r="X321" i="21"/>
  <c r="Y321" i="21"/>
  <c r="Z321" i="21"/>
  <c r="AA321" i="21"/>
  <c r="AB321" i="21"/>
  <c r="AC321" i="21"/>
  <c r="AD321" i="21"/>
  <c r="AE321" i="21"/>
  <c r="AF321" i="21"/>
  <c r="AG321" i="21"/>
  <c r="AK321" i="21" s="1"/>
  <c r="AI321" i="21"/>
  <c r="AJ321" i="21"/>
  <c r="W322" i="21"/>
  <c r="X322" i="21"/>
  <c r="Y322" i="21"/>
  <c r="Z322" i="21"/>
  <c r="AA322" i="21"/>
  <c r="AC322" i="21"/>
  <c r="AD322" i="21"/>
  <c r="AE322" i="21"/>
  <c r="AF322" i="21"/>
  <c r="AG322" i="21" s="1"/>
  <c r="AI322" i="21"/>
  <c r="AJ322" i="21"/>
  <c r="W323" i="21"/>
  <c r="X323" i="21"/>
  <c r="Y323" i="21"/>
  <c r="Z323" i="21"/>
  <c r="AC323" i="21"/>
  <c r="AD323" i="21"/>
  <c r="AE323" i="21"/>
  <c r="AF323" i="21"/>
  <c r="AG323" i="21" s="1"/>
  <c r="AI323" i="21"/>
  <c r="AJ323" i="21"/>
  <c r="W324" i="21"/>
  <c r="X324" i="21"/>
  <c r="Y324" i="21"/>
  <c r="Z324" i="21"/>
  <c r="AA324" i="21" s="1"/>
  <c r="AB324" i="21" s="1"/>
  <c r="AC324" i="21"/>
  <c r="AD324" i="21"/>
  <c r="AE324" i="21"/>
  <c r="AF324" i="21"/>
  <c r="AG324" i="21"/>
  <c r="AI324" i="21"/>
  <c r="AJ324" i="21"/>
  <c r="W325" i="21"/>
  <c r="X325" i="21"/>
  <c r="Y325" i="21"/>
  <c r="Z325" i="21"/>
  <c r="AA325" i="21"/>
  <c r="AB325" i="21" s="1"/>
  <c r="AC325" i="21"/>
  <c r="AD325" i="21"/>
  <c r="AE325" i="21"/>
  <c r="AF325" i="21"/>
  <c r="AG325" i="21" s="1"/>
  <c r="AH325" i="21" s="1"/>
  <c r="AI325" i="21"/>
  <c r="AJ325" i="21"/>
  <c r="W326" i="21"/>
  <c r="X326" i="21"/>
  <c r="Y326" i="21"/>
  <c r="Z326" i="21"/>
  <c r="AA326" i="21" s="1"/>
  <c r="AB326" i="21" s="1"/>
  <c r="AC326" i="21"/>
  <c r="AD326" i="21"/>
  <c r="AE326" i="21"/>
  <c r="AF326" i="21"/>
  <c r="AG326" i="21"/>
  <c r="AH326" i="21"/>
  <c r="AI326" i="21"/>
  <c r="AJ326" i="21"/>
  <c r="AK326" i="21"/>
  <c r="AL326" i="21"/>
  <c r="AM326" i="21"/>
  <c r="W327" i="21"/>
  <c r="X327" i="21"/>
  <c r="Y327" i="21"/>
  <c r="Z327" i="21"/>
  <c r="AA327" i="21"/>
  <c r="AB327" i="21"/>
  <c r="AC327" i="21"/>
  <c r="AD327" i="21"/>
  <c r="AE327" i="21"/>
  <c r="AF327" i="21"/>
  <c r="AG327" i="21"/>
  <c r="AK327" i="21" s="1"/>
  <c r="AL327" i="21" s="1"/>
  <c r="AM327" i="21" s="1"/>
  <c r="AH327" i="21"/>
  <c r="AI327" i="21"/>
  <c r="AJ327" i="21"/>
  <c r="W328" i="21"/>
  <c r="X328" i="21"/>
  <c r="Y328" i="21"/>
  <c r="Z328" i="21"/>
  <c r="AC328" i="21"/>
  <c r="AD328" i="21"/>
  <c r="AE328" i="21"/>
  <c r="AF328" i="21"/>
  <c r="AG328" i="21"/>
  <c r="AK328" i="21" s="1"/>
  <c r="AH328" i="21"/>
  <c r="AI328" i="21"/>
  <c r="AJ328" i="21"/>
  <c r="W329" i="21"/>
  <c r="X329" i="21"/>
  <c r="Y329" i="21"/>
  <c r="Z329" i="21"/>
  <c r="AB329" i="21" s="1"/>
  <c r="AA329" i="21"/>
  <c r="AC329" i="21"/>
  <c r="AD329" i="21"/>
  <c r="AE329" i="21"/>
  <c r="AF329" i="21"/>
  <c r="AG329" i="21"/>
  <c r="AK329" i="21" s="1"/>
  <c r="AH329" i="21"/>
  <c r="AI329" i="21"/>
  <c r="AJ329" i="21"/>
  <c r="W330" i="21"/>
  <c r="X330" i="21"/>
  <c r="Y330" i="21"/>
  <c r="Z330" i="21"/>
  <c r="AA330" i="21"/>
  <c r="AC330" i="21"/>
  <c r="AD330" i="21"/>
  <c r="AE330" i="21"/>
  <c r="AF330" i="21"/>
  <c r="AG330" i="21"/>
  <c r="AK330" i="21" s="1"/>
  <c r="AI330" i="21"/>
  <c r="AJ330" i="21"/>
  <c r="AL330" i="21"/>
  <c r="W331" i="21"/>
  <c r="X331" i="21"/>
  <c r="Y331" i="21"/>
  <c r="Z331" i="21"/>
  <c r="AC331" i="21"/>
  <c r="AD331" i="21"/>
  <c r="AE331" i="21"/>
  <c r="AF331" i="21"/>
  <c r="AG331" i="21"/>
  <c r="AH331" i="21"/>
  <c r="AI331" i="21"/>
  <c r="AJ331" i="21"/>
  <c r="AK331" i="21"/>
  <c r="AL331" i="21"/>
  <c r="AM331" i="21"/>
  <c r="W332" i="21"/>
  <c r="X332" i="21"/>
  <c r="Y332" i="21"/>
  <c r="Z332" i="21"/>
  <c r="AA332" i="21" s="1"/>
  <c r="AB332" i="21" s="1"/>
  <c r="AC332" i="21"/>
  <c r="AD332" i="21"/>
  <c r="AE332" i="21"/>
  <c r="AF332" i="21"/>
  <c r="AG332" i="21"/>
  <c r="AH332" i="21"/>
  <c r="AI332" i="21"/>
  <c r="AJ332" i="21"/>
  <c r="AK332" i="21"/>
  <c r="AL332" i="21"/>
  <c r="AM332" i="21"/>
  <c r="W333" i="21"/>
  <c r="X333" i="21"/>
  <c r="Y333" i="21"/>
  <c r="Z333" i="21"/>
  <c r="AA333" i="21" s="1"/>
  <c r="AC333" i="21"/>
  <c r="AD333" i="21"/>
  <c r="AE333" i="21"/>
  <c r="AF333" i="21"/>
  <c r="AG333" i="21"/>
  <c r="AH333" i="21"/>
  <c r="AI333" i="21"/>
  <c r="AJ333" i="21"/>
  <c r="AK333" i="21"/>
  <c r="AL333" i="21"/>
  <c r="AM333" i="21" s="1"/>
  <c r="W334" i="21"/>
  <c r="X334" i="21"/>
  <c r="Y334" i="21"/>
  <c r="Z334" i="21"/>
  <c r="AA334" i="21"/>
  <c r="AB334" i="21"/>
  <c r="AC334" i="21"/>
  <c r="AD334" i="21"/>
  <c r="AE334" i="21"/>
  <c r="AF334" i="21"/>
  <c r="AG334" i="21"/>
  <c r="AH334" i="21" s="1"/>
  <c r="AI334" i="21"/>
  <c r="AJ334" i="21"/>
  <c r="AL334" i="21" s="1"/>
  <c r="AK334" i="21"/>
  <c r="W335" i="21"/>
  <c r="X335" i="21"/>
  <c r="Y335" i="21"/>
  <c r="Z335" i="21"/>
  <c r="AA335" i="21"/>
  <c r="AB335" i="21"/>
  <c r="AC335" i="21"/>
  <c r="AD335" i="21"/>
  <c r="AE335" i="21"/>
  <c r="AF335" i="21"/>
  <c r="AG335" i="21" s="1"/>
  <c r="AI335" i="21"/>
  <c r="AJ335" i="21"/>
  <c r="W336" i="21"/>
  <c r="X336" i="21"/>
  <c r="Y336" i="21"/>
  <c r="Z336" i="21"/>
  <c r="AB336" i="21" s="1"/>
  <c r="AA336" i="21"/>
  <c r="AC336" i="21"/>
  <c r="AD336" i="21"/>
  <c r="AE336" i="21"/>
  <c r="AF336" i="21"/>
  <c r="AG336" i="21"/>
  <c r="AK336" i="21" s="1"/>
  <c r="AL336" i="21" s="1"/>
  <c r="AM336" i="21" s="1"/>
  <c r="AH336" i="21"/>
  <c r="AI336" i="21"/>
  <c r="AJ336" i="21"/>
  <c r="W337" i="21"/>
  <c r="X337" i="21"/>
  <c r="Y337" i="21"/>
  <c r="Z337" i="21"/>
  <c r="AC337" i="21"/>
  <c r="AD337" i="21"/>
  <c r="AE337" i="21"/>
  <c r="AF337" i="21"/>
  <c r="AG337" i="21"/>
  <c r="AK337" i="21" s="1"/>
  <c r="AL337" i="21" s="1"/>
  <c r="AM337" i="21" s="1"/>
  <c r="AH337" i="21"/>
  <c r="AI337" i="21"/>
  <c r="AJ337" i="21"/>
  <c r="W338" i="21"/>
  <c r="X338" i="21"/>
  <c r="Y338" i="21"/>
  <c r="Z338" i="21"/>
  <c r="AA338" i="21"/>
  <c r="AB338" i="21"/>
  <c r="AC338" i="21"/>
  <c r="AD338" i="21"/>
  <c r="AE338" i="21"/>
  <c r="AF338" i="21"/>
  <c r="AG338" i="21"/>
  <c r="AI338" i="21"/>
  <c r="AJ338" i="21"/>
  <c r="W339" i="21"/>
  <c r="X339" i="21"/>
  <c r="Y339" i="21"/>
  <c r="Z339" i="21"/>
  <c r="AA339" i="21"/>
  <c r="AB339" i="21"/>
  <c r="AC339" i="21"/>
  <c r="AD339" i="21"/>
  <c r="AE339" i="21"/>
  <c r="AF339" i="21"/>
  <c r="AG339" i="21" s="1"/>
  <c r="AI339" i="21"/>
  <c r="AJ339" i="21"/>
  <c r="W340" i="21"/>
  <c r="X340" i="21"/>
  <c r="Y340" i="21"/>
  <c r="Z340" i="21"/>
  <c r="AB340" i="21" s="1"/>
  <c r="AA340" i="21"/>
  <c r="AC340" i="21"/>
  <c r="AD340" i="21"/>
  <c r="AE340" i="21"/>
  <c r="AF340" i="21"/>
  <c r="AG340" i="21"/>
  <c r="AH340" i="21"/>
  <c r="AI340" i="21"/>
  <c r="AJ340" i="21"/>
  <c r="AK340" i="21"/>
  <c r="AL340" i="21"/>
  <c r="AM340" i="21"/>
  <c r="W341" i="21"/>
  <c r="X341" i="21"/>
  <c r="Y341" i="21"/>
  <c r="Z341" i="21"/>
  <c r="AA341" i="21" s="1"/>
  <c r="AC341" i="21"/>
  <c r="AD341" i="21"/>
  <c r="AE341" i="21"/>
  <c r="AF341" i="21"/>
  <c r="AG341" i="21"/>
  <c r="AH341" i="21"/>
  <c r="AI341" i="21"/>
  <c r="AJ341" i="21"/>
  <c r="AK341" i="21"/>
  <c r="AL341" i="21"/>
  <c r="AM341" i="21" s="1"/>
  <c r="W342" i="21"/>
  <c r="X342" i="21"/>
  <c r="Y342" i="21"/>
  <c r="Z342" i="21"/>
  <c r="AA342" i="21"/>
  <c r="AB342" i="21"/>
  <c r="AC342" i="21"/>
  <c r="AD342" i="21"/>
  <c r="AE342" i="21"/>
  <c r="AF342" i="21"/>
  <c r="AG342" i="21"/>
  <c r="AH342" i="21" s="1"/>
  <c r="AI342" i="21"/>
  <c r="AJ342" i="21"/>
  <c r="AK342" i="21"/>
  <c r="W343" i="21"/>
  <c r="X343" i="21"/>
  <c r="Y343" i="21"/>
  <c r="Z343" i="21"/>
  <c r="AA343" i="21"/>
  <c r="AB343" i="21"/>
  <c r="AC343" i="21"/>
  <c r="AD343" i="21"/>
  <c r="AE343" i="21"/>
  <c r="AF343" i="21"/>
  <c r="AG343" i="21" s="1"/>
  <c r="AI343" i="21"/>
  <c r="AJ343" i="21"/>
  <c r="W344" i="21"/>
  <c r="X344" i="21"/>
  <c r="Y344" i="21"/>
  <c r="Z344" i="21"/>
  <c r="AB344" i="21" s="1"/>
  <c r="AA344" i="21"/>
  <c r="AC344" i="21"/>
  <c r="AD344" i="21"/>
  <c r="AE344" i="21"/>
  <c r="AF344" i="21"/>
  <c r="AG344" i="21"/>
  <c r="AK344" i="21" s="1"/>
  <c r="AL344" i="21" s="1"/>
  <c r="AM344" i="21" s="1"/>
  <c r="AH344" i="21"/>
  <c r="AI344" i="21"/>
  <c r="AJ344" i="21"/>
  <c r="W345" i="21"/>
  <c r="X345" i="21"/>
  <c r="Y345" i="21"/>
  <c r="Z345" i="21"/>
  <c r="AC345" i="21"/>
  <c r="AD345" i="21"/>
  <c r="AE345" i="21"/>
  <c r="AF345" i="21"/>
  <c r="AG345" i="21"/>
  <c r="AK345" i="21" s="1"/>
  <c r="AL345" i="21" s="1"/>
  <c r="AM345" i="21" s="1"/>
  <c r="AH345" i="21"/>
  <c r="AI345" i="21"/>
  <c r="AJ345" i="21"/>
  <c r="W346" i="21"/>
  <c r="X346" i="21"/>
  <c r="Y346" i="21"/>
  <c r="Z346" i="21"/>
  <c r="AA346" i="21"/>
  <c r="AB346" i="21"/>
  <c r="AC346" i="21"/>
  <c r="AD346" i="21"/>
  <c r="AE346" i="21"/>
  <c r="AF346" i="21"/>
  <c r="AG346" i="21"/>
  <c r="AI346" i="21"/>
  <c r="AJ346" i="21"/>
  <c r="W347" i="21"/>
  <c r="X347" i="21"/>
  <c r="Y347" i="21"/>
  <c r="Z347" i="21"/>
  <c r="AA347" i="21"/>
  <c r="AB347" i="21"/>
  <c r="AC347" i="21"/>
  <c r="AD347" i="21"/>
  <c r="AE347" i="21"/>
  <c r="AF347" i="21"/>
  <c r="AG347" i="21" s="1"/>
  <c r="AI347" i="21"/>
  <c r="AJ347" i="21"/>
  <c r="W348" i="21"/>
  <c r="X348" i="21"/>
  <c r="Y348" i="21"/>
  <c r="Z348" i="21"/>
  <c r="AB348" i="21" s="1"/>
  <c r="AA348" i="21"/>
  <c r="AC348" i="21"/>
  <c r="AD348" i="21"/>
  <c r="AE348" i="21"/>
  <c r="AF348" i="21"/>
  <c r="AG348" i="21"/>
  <c r="AH348" i="21"/>
  <c r="AI348" i="21"/>
  <c r="AJ348" i="21"/>
  <c r="AK348" i="21"/>
  <c r="AL348" i="21"/>
  <c r="AM348" i="21"/>
  <c r="W349" i="21"/>
  <c r="X349" i="21"/>
  <c r="Y349" i="21"/>
  <c r="Z349" i="21"/>
  <c r="AA349" i="21" s="1"/>
  <c r="AC349" i="21"/>
  <c r="AD349" i="21"/>
  <c r="AE349" i="21"/>
  <c r="AF349" i="21"/>
  <c r="AG349" i="21"/>
  <c r="AH349" i="21"/>
  <c r="AI349" i="21"/>
  <c r="AJ349" i="21"/>
  <c r="AK349" i="21"/>
  <c r="AL349" i="21"/>
  <c r="AM349" i="21" s="1"/>
  <c r="W350" i="21"/>
  <c r="X350" i="21"/>
  <c r="Y350" i="21"/>
  <c r="Z350" i="21"/>
  <c r="AA350" i="21"/>
  <c r="AB350" i="21"/>
  <c r="AC350" i="21"/>
  <c r="AD350" i="21"/>
  <c r="AE350" i="21"/>
  <c r="AF350" i="21"/>
  <c r="AG350" i="21"/>
  <c r="AH350" i="21" s="1"/>
  <c r="AI350" i="21"/>
  <c r="AJ350" i="21"/>
  <c r="AK350" i="21"/>
  <c r="W351" i="21"/>
  <c r="X351" i="21"/>
  <c r="Y351" i="21"/>
  <c r="Z351" i="21"/>
  <c r="AA351" i="21"/>
  <c r="AB351" i="21"/>
  <c r="AC351" i="21"/>
  <c r="AD351" i="21"/>
  <c r="AE351" i="21"/>
  <c r="AF351" i="21"/>
  <c r="AG351" i="21" s="1"/>
  <c r="AI351" i="21"/>
  <c r="AJ351" i="21"/>
  <c r="W352" i="21"/>
  <c r="X352" i="21"/>
  <c r="Y352" i="21"/>
  <c r="Z352" i="21"/>
  <c r="AB352" i="21" s="1"/>
  <c r="AA352" i="21"/>
  <c r="AC352" i="21"/>
  <c r="AD352" i="21"/>
  <c r="AE352" i="21"/>
  <c r="AF352" i="21"/>
  <c r="AG352" i="21"/>
  <c r="AK352" i="21" s="1"/>
  <c r="AL352" i="21" s="1"/>
  <c r="AM352" i="21" s="1"/>
  <c r="AH352" i="21"/>
  <c r="AI352" i="21"/>
  <c r="AJ352" i="21"/>
  <c r="W353" i="21"/>
  <c r="X353" i="21"/>
  <c r="Y353" i="21"/>
  <c r="Z353" i="21"/>
  <c r="AC353" i="21"/>
  <c r="AD353" i="21"/>
  <c r="AE353" i="21"/>
  <c r="AF353" i="21"/>
  <c r="AG353" i="21"/>
  <c r="AK353" i="21" s="1"/>
  <c r="AL353" i="21" s="1"/>
  <c r="AH353" i="21"/>
  <c r="AI353" i="21"/>
  <c r="AJ353" i="21"/>
  <c r="W354" i="21"/>
  <c r="X354" i="21"/>
  <c r="Y354" i="21"/>
  <c r="Z354" i="21"/>
  <c r="AA354" i="21"/>
  <c r="AB354" i="21"/>
  <c r="AC354" i="21"/>
  <c r="AD354" i="21"/>
  <c r="AE354" i="21"/>
  <c r="AF354" i="21"/>
  <c r="AG354" i="21"/>
  <c r="AI354" i="21"/>
  <c r="AJ354" i="21"/>
  <c r="W355" i="21"/>
  <c r="X355" i="21"/>
  <c r="Y355" i="21"/>
  <c r="Z355" i="21"/>
  <c r="AA355" i="21"/>
  <c r="AB355" i="21"/>
  <c r="AC355" i="21"/>
  <c r="AD355" i="21"/>
  <c r="AE355" i="21"/>
  <c r="AF355" i="21"/>
  <c r="AG355" i="21" s="1"/>
  <c r="AI355" i="21"/>
  <c r="AJ355" i="21"/>
  <c r="W356" i="21"/>
  <c r="X356" i="21"/>
  <c r="Y356" i="21"/>
  <c r="Z356" i="21"/>
  <c r="AB356" i="21" s="1"/>
  <c r="AA356" i="21"/>
  <c r="AC356" i="21"/>
  <c r="AD356" i="21"/>
  <c r="AE356" i="21"/>
  <c r="AF356" i="21"/>
  <c r="AG356" i="21"/>
  <c r="AH356" i="21"/>
  <c r="AI356" i="21"/>
  <c r="AJ356" i="21"/>
  <c r="AK356" i="21"/>
  <c r="AL356" i="21"/>
  <c r="AM356" i="21"/>
  <c r="W357" i="21"/>
  <c r="X357" i="21"/>
  <c r="Y357" i="21"/>
  <c r="Z357" i="21"/>
  <c r="AA357" i="21" s="1"/>
  <c r="AC357" i="21"/>
  <c r="AD357" i="21"/>
  <c r="AE357" i="21"/>
  <c r="AF357" i="21"/>
  <c r="AG357" i="21"/>
  <c r="AH357" i="21"/>
  <c r="AI357" i="21"/>
  <c r="AJ357" i="21"/>
  <c r="AK357" i="21"/>
  <c r="AL357" i="21"/>
  <c r="AM357" i="21" s="1"/>
  <c r="W358" i="21"/>
  <c r="X358" i="21"/>
  <c r="Y358" i="21"/>
  <c r="Z358" i="21"/>
  <c r="AA358" i="21"/>
  <c r="AB358" i="21"/>
  <c r="AC358" i="21"/>
  <c r="AD358" i="21"/>
  <c r="AE358" i="21"/>
  <c r="AF358" i="21"/>
  <c r="AG358" i="21"/>
  <c r="AH358" i="21" s="1"/>
  <c r="AI358" i="21"/>
  <c r="AJ358" i="21"/>
  <c r="AL358" i="21" s="1"/>
  <c r="AM358" i="21" s="1"/>
  <c r="AK358" i="21"/>
  <c r="W359" i="21"/>
  <c r="X359" i="21"/>
  <c r="Y359" i="21"/>
  <c r="Z359" i="21"/>
  <c r="AA359" i="21"/>
  <c r="AB359" i="21"/>
  <c r="AC359" i="21"/>
  <c r="AD359" i="21"/>
  <c r="AE359" i="21"/>
  <c r="AF359" i="21"/>
  <c r="AG359" i="21" s="1"/>
  <c r="AI359" i="21"/>
  <c r="AJ359" i="21"/>
  <c r="W360" i="21"/>
  <c r="X360" i="21"/>
  <c r="Y360" i="21"/>
  <c r="Z360" i="21"/>
  <c r="AA360" i="21"/>
  <c r="AC360" i="21"/>
  <c r="AD360" i="21"/>
  <c r="AE360" i="21"/>
  <c r="AF360" i="21"/>
  <c r="AG360" i="21"/>
  <c r="AK360" i="21" s="1"/>
  <c r="AL360" i="21" s="1"/>
  <c r="AM360" i="21" s="1"/>
  <c r="AH360" i="21"/>
  <c r="AI360" i="21"/>
  <c r="AJ360" i="21"/>
  <c r="W361" i="21"/>
  <c r="X361" i="21"/>
  <c r="Y361" i="21"/>
  <c r="Z361" i="21"/>
  <c r="AC361" i="21"/>
  <c r="AD361" i="21"/>
  <c r="AE361" i="21"/>
  <c r="AF361" i="21"/>
  <c r="AG361" i="21"/>
  <c r="AK361" i="21" s="1"/>
  <c r="AL361" i="21" s="1"/>
  <c r="AI361" i="21"/>
  <c r="AJ361" i="21"/>
  <c r="W362" i="21"/>
  <c r="X362" i="21"/>
  <c r="Y362" i="21"/>
  <c r="Z362" i="21"/>
  <c r="AA362" i="21"/>
  <c r="AB362" i="21"/>
  <c r="AC362" i="21"/>
  <c r="AD362" i="21"/>
  <c r="AE362" i="21"/>
  <c r="AF362" i="21"/>
  <c r="AG362" i="21" s="1"/>
  <c r="AI362" i="21"/>
  <c r="AJ362" i="21"/>
  <c r="W363" i="21"/>
  <c r="X363" i="21"/>
  <c r="Y363" i="21"/>
  <c r="Z363" i="21"/>
  <c r="AA363" i="21"/>
  <c r="AB363" i="21"/>
  <c r="AC363" i="21"/>
  <c r="AD363" i="21"/>
  <c r="AE363" i="21"/>
  <c r="AF363" i="21"/>
  <c r="AG363" i="21" s="1"/>
  <c r="AI363" i="21"/>
  <c r="AJ363" i="21"/>
  <c r="W364" i="21"/>
  <c r="X364" i="21"/>
  <c r="Y364" i="21"/>
  <c r="Z364" i="21"/>
  <c r="AB364" i="21" s="1"/>
  <c r="AA364" i="21"/>
  <c r="AC364" i="21"/>
  <c r="AD364" i="21"/>
  <c r="AE364" i="21"/>
  <c r="AF364" i="21"/>
  <c r="AG364" i="21"/>
  <c r="AH364" i="21"/>
  <c r="AI364" i="21"/>
  <c r="AJ364" i="21"/>
  <c r="AK364" i="21"/>
  <c r="AL364" i="21"/>
  <c r="AM364" i="21" s="1"/>
  <c r="W365" i="21"/>
  <c r="X365" i="21"/>
  <c r="Y365" i="21"/>
  <c r="Z365" i="21"/>
  <c r="AA365" i="21" s="1"/>
  <c r="AC365" i="21"/>
  <c r="AD365" i="21"/>
  <c r="AE365" i="21"/>
  <c r="AF365" i="21"/>
  <c r="AG365" i="21"/>
  <c r="AH365" i="21"/>
  <c r="AI365" i="21"/>
  <c r="AJ365" i="21"/>
  <c r="AK365" i="21"/>
  <c r="AL365" i="21" s="1"/>
  <c r="AM365" i="21" s="1"/>
  <c r="W366" i="21"/>
  <c r="X366" i="21"/>
  <c r="Y366" i="21"/>
  <c r="Z366" i="21"/>
  <c r="AA366" i="21"/>
  <c r="AB366" i="21"/>
  <c r="AC366" i="21"/>
  <c r="AD366" i="21"/>
  <c r="AE366" i="21"/>
  <c r="AF366" i="21"/>
  <c r="AG366" i="21"/>
  <c r="AH366" i="21" s="1"/>
  <c r="AI366" i="21"/>
  <c r="AJ366" i="21"/>
  <c r="AL366" i="21" s="1"/>
  <c r="AK366" i="21"/>
  <c r="W367" i="21"/>
  <c r="X367" i="21"/>
  <c r="Y367" i="21"/>
  <c r="Z367" i="21"/>
  <c r="AA367" i="21"/>
  <c r="AB367" i="21"/>
  <c r="AC367" i="21"/>
  <c r="AD367" i="21"/>
  <c r="AE367" i="21"/>
  <c r="AF367" i="21"/>
  <c r="AG367" i="21" s="1"/>
  <c r="AI367" i="21"/>
  <c r="AJ367" i="21"/>
  <c r="W368" i="21"/>
  <c r="X368" i="21"/>
  <c r="Y368" i="21"/>
  <c r="Z368" i="21"/>
  <c r="AA368" i="21"/>
  <c r="AC368" i="21"/>
  <c r="AD368" i="21"/>
  <c r="AE368" i="21"/>
  <c r="AF368" i="21"/>
  <c r="AG368" i="21"/>
  <c r="AK368" i="21" s="1"/>
  <c r="AL368" i="21" s="1"/>
  <c r="AM368" i="21" s="1"/>
  <c r="AH368" i="21"/>
  <c r="AI368" i="21"/>
  <c r="AJ368" i="21"/>
  <c r="W369" i="21"/>
  <c r="X369" i="21"/>
  <c r="Y369" i="21"/>
  <c r="Z369" i="21"/>
  <c r="AC369" i="21"/>
  <c r="AD369" i="21"/>
  <c r="AE369" i="21"/>
  <c r="AF369" i="21"/>
  <c r="AG369" i="21"/>
  <c r="AK369" i="21" s="1"/>
  <c r="AL369" i="21" s="1"/>
  <c r="AH369" i="21"/>
  <c r="AI369" i="21"/>
  <c r="AJ369" i="21"/>
  <c r="W370" i="21"/>
  <c r="X370" i="21"/>
  <c r="Y370" i="21"/>
  <c r="Z370" i="21"/>
  <c r="AA370" i="21"/>
  <c r="AB370" i="21"/>
  <c r="AC370" i="21"/>
  <c r="AD370" i="21"/>
  <c r="AE370" i="21"/>
  <c r="AF370" i="21"/>
  <c r="AG370" i="21"/>
  <c r="AI370" i="21"/>
  <c r="AJ370" i="21"/>
  <c r="W371" i="21"/>
  <c r="X371" i="21"/>
  <c r="Y371" i="21"/>
  <c r="Z371" i="21"/>
  <c r="AA371" i="21"/>
  <c r="AB371" i="21"/>
  <c r="AC371" i="21"/>
  <c r="AD371" i="21"/>
  <c r="AE371" i="21"/>
  <c r="AF371" i="21"/>
  <c r="AG371" i="21" s="1"/>
  <c r="AI371" i="21"/>
  <c r="AJ371" i="21"/>
  <c r="W372" i="21"/>
  <c r="X372" i="21"/>
  <c r="Y372" i="21"/>
  <c r="Z372" i="21"/>
  <c r="AB372" i="21" s="1"/>
  <c r="AA372" i="21"/>
  <c r="AC372" i="21"/>
  <c r="AD372" i="21"/>
  <c r="AE372" i="21"/>
  <c r="AF372" i="21"/>
  <c r="AG372" i="21"/>
  <c r="AH372" i="21"/>
  <c r="AI372" i="21"/>
  <c r="AJ372" i="21"/>
  <c r="AK372" i="21"/>
  <c r="AL372" i="21"/>
  <c r="AM372" i="21" s="1"/>
  <c r="W373" i="21"/>
  <c r="X373" i="21"/>
  <c r="Y373" i="21"/>
  <c r="Z373" i="21"/>
  <c r="AA373" i="21" s="1"/>
  <c r="AC373" i="21"/>
  <c r="AD373" i="21"/>
  <c r="AE373" i="21"/>
  <c r="AF373" i="21"/>
  <c r="AG373" i="21"/>
  <c r="AH373" i="21"/>
  <c r="AI373" i="21"/>
  <c r="AJ373" i="21"/>
  <c r="AK373" i="21"/>
  <c r="AL373" i="21" s="1"/>
  <c r="AM373" i="21" s="1"/>
  <c r="W374" i="21"/>
  <c r="X374" i="21"/>
  <c r="Y374" i="21"/>
  <c r="Z374" i="21"/>
  <c r="AA374" i="21"/>
  <c r="AB374" i="21"/>
  <c r="AC374" i="21"/>
  <c r="AD374" i="21"/>
  <c r="AE374" i="21"/>
  <c r="AF374" i="21"/>
  <c r="AG374" i="21"/>
  <c r="AH374" i="21" s="1"/>
  <c r="AI374" i="21"/>
  <c r="AJ374" i="21"/>
  <c r="AK374" i="21"/>
  <c r="W375" i="21"/>
  <c r="X375" i="21"/>
  <c r="Y375" i="21"/>
  <c r="Z375" i="21"/>
  <c r="AA375" i="21"/>
  <c r="AB375" i="21" s="1"/>
  <c r="AC375" i="21"/>
  <c r="AD375" i="21"/>
  <c r="AE375" i="21"/>
  <c r="AF375" i="21"/>
  <c r="AG375" i="21" s="1"/>
  <c r="AI375" i="21"/>
  <c r="AJ375" i="21"/>
  <c r="W376" i="21"/>
  <c r="X376" i="21"/>
  <c r="Y376" i="21"/>
  <c r="Z376" i="21"/>
  <c r="AC376" i="21"/>
  <c r="AD376" i="21"/>
  <c r="AE376" i="21"/>
  <c r="AF376" i="21"/>
  <c r="AG376" i="21"/>
  <c r="AK376" i="21" s="1"/>
  <c r="AL376" i="21" s="1"/>
  <c r="AM376" i="21" s="1"/>
  <c r="AH376" i="21"/>
  <c r="AI376" i="21"/>
  <c r="AJ376" i="21"/>
  <c r="W377" i="21"/>
  <c r="X377" i="21"/>
  <c r="Y377" i="21"/>
  <c r="Z377" i="21"/>
  <c r="AC377" i="21"/>
  <c r="AD377" i="21"/>
  <c r="AE377" i="21"/>
  <c r="AF377" i="21"/>
  <c r="AG377" i="21"/>
  <c r="AK377" i="21" s="1"/>
  <c r="AL377" i="21" s="1"/>
  <c r="AI377" i="21"/>
  <c r="AJ377" i="21"/>
  <c r="W378" i="21"/>
  <c r="X378" i="21"/>
  <c r="Y378" i="21"/>
  <c r="Z378" i="21"/>
  <c r="AA378" i="21"/>
  <c r="AB378" i="21"/>
  <c r="AC378" i="21"/>
  <c r="AD378" i="21"/>
  <c r="AE378" i="21"/>
  <c r="AF378" i="21"/>
  <c r="AG378" i="21"/>
  <c r="AI378" i="21"/>
  <c r="AJ378" i="21"/>
  <c r="W379" i="21"/>
  <c r="X379" i="21"/>
  <c r="Y379" i="21"/>
  <c r="Z379" i="21"/>
  <c r="AA379" i="21"/>
  <c r="AB379" i="21"/>
  <c r="AC379" i="21"/>
  <c r="AD379" i="21"/>
  <c r="AE379" i="21"/>
  <c r="AF379" i="21"/>
  <c r="AG379" i="21" s="1"/>
  <c r="AI379" i="21"/>
  <c r="AJ379" i="21"/>
  <c r="W380" i="21"/>
  <c r="X380" i="21"/>
  <c r="Y380" i="21"/>
  <c r="Z380" i="21"/>
  <c r="AB380" i="21" s="1"/>
  <c r="AA380" i="21"/>
  <c r="AC380" i="21"/>
  <c r="AD380" i="21"/>
  <c r="AE380" i="21"/>
  <c r="AF380" i="21"/>
  <c r="AG380" i="21"/>
  <c r="AH380" i="21"/>
  <c r="AI380" i="21"/>
  <c r="AJ380" i="21"/>
  <c r="AK380" i="21"/>
  <c r="AL380" i="21"/>
  <c r="AM380" i="21" s="1"/>
  <c r="W381" i="21"/>
  <c r="X381" i="21"/>
  <c r="Y381" i="21"/>
  <c r="Z381" i="21"/>
  <c r="AA381" i="21" s="1"/>
  <c r="AC381" i="21"/>
  <c r="AD381" i="21"/>
  <c r="AE381" i="21"/>
  <c r="AF381" i="21"/>
  <c r="AG381" i="21"/>
  <c r="AH381" i="21"/>
  <c r="AI381" i="21"/>
  <c r="AJ381" i="21"/>
  <c r="AK381" i="21"/>
  <c r="AL381" i="21"/>
  <c r="AM381" i="21" s="1"/>
  <c r="W382" i="21"/>
  <c r="X382" i="21"/>
  <c r="Y382" i="21"/>
  <c r="Z382" i="21"/>
  <c r="AA382" i="21"/>
  <c r="AB382" i="21"/>
  <c r="AC382" i="21"/>
  <c r="AD382" i="21"/>
  <c r="AE382" i="21"/>
  <c r="AF382" i="21"/>
  <c r="AG382" i="21"/>
  <c r="AH382" i="21" s="1"/>
  <c r="AI382" i="21"/>
  <c r="AJ382" i="21"/>
  <c r="AL382" i="21" s="1"/>
  <c r="AK382" i="21"/>
  <c r="W383" i="21"/>
  <c r="X383" i="21"/>
  <c r="Y383" i="21"/>
  <c r="Z383" i="21"/>
  <c r="AA383" i="21"/>
  <c r="AB383" i="21" s="1"/>
  <c r="AC383" i="21"/>
  <c r="AD383" i="21"/>
  <c r="AE383" i="21"/>
  <c r="AF383" i="21"/>
  <c r="AG383" i="21" s="1"/>
  <c r="AI383" i="21"/>
  <c r="AJ383" i="21"/>
  <c r="W384" i="21"/>
  <c r="X384" i="21"/>
  <c r="Y384" i="21"/>
  <c r="Z384" i="21"/>
  <c r="AA384" i="21" s="1"/>
  <c r="AC384" i="21"/>
  <c r="AD384" i="21"/>
  <c r="AE384" i="21"/>
  <c r="AF384" i="21"/>
  <c r="AG384" i="21"/>
  <c r="AK384" i="21" s="1"/>
  <c r="AL384" i="21" s="1"/>
  <c r="AM384" i="21" s="1"/>
  <c r="AH384" i="21"/>
  <c r="AI384" i="21"/>
  <c r="AJ384" i="21"/>
  <c r="W385" i="21"/>
  <c r="X385" i="21"/>
  <c r="Y385" i="21"/>
  <c r="Z385" i="21"/>
  <c r="AC385" i="21"/>
  <c r="AD385" i="21"/>
  <c r="AE385" i="21"/>
  <c r="AF385" i="21"/>
  <c r="AG385" i="21"/>
  <c r="AK385" i="21" s="1"/>
  <c r="AL385" i="21" s="1"/>
  <c r="AI385" i="21"/>
  <c r="AJ385" i="21"/>
  <c r="W386" i="21"/>
  <c r="X386" i="21"/>
  <c r="Y386" i="21"/>
  <c r="Z386" i="21"/>
  <c r="AA386" i="21"/>
  <c r="AB386" i="21"/>
  <c r="AC386" i="21"/>
  <c r="AD386" i="21"/>
  <c r="AE386" i="21"/>
  <c r="AF386" i="21"/>
  <c r="AG386" i="21" s="1"/>
  <c r="AI386" i="21"/>
  <c r="AJ386" i="21"/>
  <c r="W387" i="21"/>
  <c r="X387" i="21"/>
  <c r="Y387" i="21"/>
  <c r="Z387" i="21"/>
  <c r="AA387" i="21"/>
  <c r="AB387" i="21"/>
  <c r="AC387" i="21"/>
  <c r="AD387" i="21"/>
  <c r="AE387" i="21"/>
  <c r="AF387" i="21"/>
  <c r="AG387" i="21" s="1"/>
  <c r="AI387" i="21"/>
  <c r="AJ387" i="21"/>
  <c r="W388" i="21"/>
  <c r="X388" i="21"/>
  <c r="Y388" i="21"/>
  <c r="Z388" i="21"/>
  <c r="AB388" i="21" s="1"/>
  <c r="AA388" i="21"/>
  <c r="AC388" i="21"/>
  <c r="AD388" i="21"/>
  <c r="AE388" i="21"/>
  <c r="AF388" i="21"/>
  <c r="AG388" i="21"/>
  <c r="AH388" i="21"/>
  <c r="AI388" i="21"/>
  <c r="AJ388" i="21"/>
  <c r="AK388" i="21"/>
  <c r="AL388" i="21"/>
  <c r="AM388" i="21" s="1"/>
  <c r="W389" i="21"/>
  <c r="X389" i="21"/>
  <c r="Y389" i="21"/>
  <c r="Z389" i="21"/>
  <c r="AA389" i="21" s="1"/>
  <c r="AC389" i="21"/>
  <c r="AD389" i="21"/>
  <c r="AE389" i="21"/>
  <c r="AF389" i="21"/>
  <c r="AG389" i="21"/>
  <c r="AH389" i="21"/>
  <c r="AI389" i="21"/>
  <c r="AJ389" i="21"/>
  <c r="AK389" i="21"/>
  <c r="AL389" i="21"/>
  <c r="AM389" i="21" s="1"/>
  <c r="W390" i="21"/>
  <c r="X390" i="21"/>
  <c r="Y390" i="21"/>
  <c r="Z390" i="21"/>
  <c r="AA390" i="21"/>
  <c r="AB390" i="21"/>
  <c r="AC390" i="21"/>
  <c r="AD390" i="21"/>
  <c r="AE390" i="21"/>
  <c r="AF390" i="21"/>
  <c r="AG390" i="21"/>
  <c r="AH390" i="21" s="1"/>
  <c r="AI390" i="21"/>
  <c r="AJ390" i="21"/>
  <c r="AL390" i="21" s="1"/>
  <c r="AM390" i="21" s="1"/>
  <c r="AK390" i="21"/>
  <c r="W391" i="21"/>
  <c r="X391" i="21"/>
  <c r="Y391" i="21"/>
  <c r="Z391" i="21"/>
  <c r="AA391" i="21"/>
  <c r="AB391" i="21" s="1"/>
  <c r="AC391" i="21"/>
  <c r="AD391" i="21"/>
  <c r="AE391" i="21"/>
  <c r="AF391" i="21"/>
  <c r="AG391" i="21" s="1"/>
  <c r="AI391" i="21"/>
  <c r="AJ391" i="21"/>
  <c r="W392" i="21"/>
  <c r="X392" i="21"/>
  <c r="Y392" i="21"/>
  <c r="Z392" i="21"/>
  <c r="AA392" i="21" s="1"/>
  <c r="AC392" i="21"/>
  <c r="AD392" i="21"/>
  <c r="AE392" i="21"/>
  <c r="AF392" i="21"/>
  <c r="AG392" i="21"/>
  <c r="AK392" i="21" s="1"/>
  <c r="AL392" i="21" s="1"/>
  <c r="AH392" i="21"/>
  <c r="AI392" i="21"/>
  <c r="AJ392" i="21"/>
  <c r="W393" i="21"/>
  <c r="X393" i="21"/>
  <c r="Y393" i="21"/>
  <c r="Z393" i="21"/>
  <c r="AC393" i="21"/>
  <c r="AD393" i="21"/>
  <c r="AE393" i="21"/>
  <c r="AF393" i="21"/>
  <c r="AG393" i="21"/>
  <c r="AI393" i="21"/>
  <c r="AJ393" i="21"/>
  <c r="W394" i="21"/>
  <c r="X394" i="21"/>
  <c r="Y394" i="21"/>
  <c r="Z394" i="21"/>
  <c r="AA394" i="21"/>
  <c r="AB394" i="21"/>
  <c r="AC394" i="21"/>
  <c r="AD394" i="21"/>
  <c r="AE394" i="21"/>
  <c r="AF394" i="21"/>
  <c r="AG394" i="21" s="1"/>
  <c r="AI394" i="21"/>
  <c r="AJ394" i="21"/>
  <c r="W395" i="21"/>
  <c r="X395" i="21"/>
  <c r="Y395" i="21"/>
  <c r="Z395" i="21"/>
  <c r="AA395" i="21"/>
  <c r="AB395" i="21"/>
  <c r="AC395" i="21"/>
  <c r="AD395" i="21"/>
  <c r="AE395" i="21"/>
  <c r="AF395" i="21"/>
  <c r="AG395" i="21" s="1"/>
  <c r="AI395" i="21"/>
  <c r="AJ395" i="21"/>
  <c r="W396" i="21"/>
  <c r="X396" i="21"/>
  <c r="Y396" i="21"/>
  <c r="Z396" i="21"/>
  <c r="AB396" i="21" s="1"/>
  <c r="AA396" i="21"/>
  <c r="AC396" i="21"/>
  <c r="AD396" i="21"/>
  <c r="AE396" i="21"/>
  <c r="AF396" i="21"/>
  <c r="AG396" i="21"/>
  <c r="AH396" i="21"/>
  <c r="AI396" i="21"/>
  <c r="AJ396" i="21"/>
  <c r="AK396" i="21"/>
  <c r="AL396" i="21"/>
  <c r="AM396" i="21"/>
  <c r="W397" i="21"/>
  <c r="X397" i="21"/>
  <c r="Y397" i="21"/>
  <c r="Z397" i="21"/>
  <c r="AA397" i="21" s="1"/>
  <c r="AC397" i="21"/>
  <c r="AD397" i="21"/>
  <c r="AE397" i="21"/>
  <c r="AF397" i="21"/>
  <c r="AG397" i="21"/>
  <c r="AH397" i="21"/>
  <c r="AI397" i="21"/>
  <c r="AJ397" i="21"/>
  <c r="AK397" i="21"/>
  <c r="AL397" i="21" s="1"/>
  <c r="AM397" i="21" s="1"/>
  <c r="W398" i="21"/>
  <c r="X398" i="21"/>
  <c r="Y398" i="21"/>
  <c r="Z398" i="21"/>
  <c r="AA398" i="21"/>
  <c r="AB398" i="21"/>
  <c r="AC398" i="21"/>
  <c r="AD398" i="21"/>
  <c r="AE398" i="21"/>
  <c r="AF398" i="21"/>
  <c r="AG398" i="21"/>
  <c r="AH398" i="21" s="1"/>
  <c r="AI398" i="21"/>
  <c r="AJ398" i="21"/>
  <c r="AL398" i="21" s="1"/>
  <c r="AM398" i="21" s="1"/>
  <c r="AK398" i="21"/>
  <c r="W399" i="21"/>
  <c r="X399" i="21"/>
  <c r="Y399" i="21"/>
  <c r="Z399" i="21"/>
  <c r="AA399" i="21"/>
  <c r="AB399" i="21" s="1"/>
  <c r="AC399" i="21"/>
  <c r="AD399" i="21"/>
  <c r="AE399" i="21"/>
  <c r="AF399" i="21"/>
  <c r="AG399" i="21" s="1"/>
  <c r="AI399" i="21"/>
  <c r="AJ399" i="21"/>
  <c r="W400" i="21"/>
  <c r="X400" i="21"/>
  <c r="Y400" i="21"/>
  <c r="Z400" i="21"/>
  <c r="AA400" i="21" s="1"/>
  <c r="AC400" i="21"/>
  <c r="AD400" i="21"/>
  <c r="AE400" i="21"/>
  <c r="AF400" i="21"/>
  <c r="AG400" i="21"/>
  <c r="AK400" i="21" s="1"/>
  <c r="AL400" i="21" s="1"/>
  <c r="AH400" i="21"/>
  <c r="AM400" i="21" s="1"/>
  <c r="AI400" i="21"/>
  <c r="AJ400" i="21"/>
  <c r="W401" i="21"/>
  <c r="X401" i="21"/>
  <c r="Y401" i="21"/>
  <c r="Z401" i="21"/>
  <c r="AC401" i="21"/>
  <c r="AD401" i="21"/>
  <c r="AE401" i="21"/>
  <c r="AF401" i="21"/>
  <c r="AG401" i="21"/>
  <c r="AK401" i="21" s="1"/>
  <c r="AH401" i="21"/>
  <c r="AI401" i="21"/>
  <c r="AJ401" i="21"/>
  <c r="AL401" i="21"/>
  <c r="AM401" i="21" s="1"/>
  <c r="W402" i="21"/>
  <c r="X402" i="21"/>
  <c r="Y402" i="21"/>
  <c r="Z402" i="21"/>
  <c r="AA402" i="21" s="1"/>
  <c r="AB402" i="21" s="1"/>
  <c r="AC402" i="21"/>
  <c r="AD402" i="21"/>
  <c r="AE402" i="21"/>
  <c r="AF402" i="21"/>
  <c r="AG402" i="21" s="1"/>
  <c r="AI402" i="21"/>
  <c r="AJ402" i="21"/>
  <c r="W403" i="21"/>
  <c r="X403" i="21"/>
  <c r="Y403" i="21"/>
  <c r="Z403" i="21"/>
  <c r="AA403" i="21"/>
  <c r="AB403" i="21"/>
  <c r="AC403" i="21"/>
  <c r="AD403" i="21"/>
  <c r="AE403" i="21"/>
  <c r="AF403" i="21"/>
  <c r="AG403" i="21" s="1"/>
  <c r="AI403" i="21"/>
  <c r="AJ403" i="21"/>
  <c r="W404" i="21"/>
  <c r="X404" i="21"/>
  <c r="Y404" i="21"/>
  <c r="Z404" i="21"/>
  <c r="AA404" i="21"/>
  <c r="AC404" i="21"/>
  <c r="AD404" i="21"/>
  <c r="AE404" i="21"/>
  <c r="AF404" i="21"/>
  <c r="AG404" i="21"/>
  <c r="AH404" i="21"/>
  <c r="AI404" i="21"/>
  <c r="AJ404" i="21"/>
  <c r="AK404" i="21"/>
  <c r="AL404" i="21"/>
  <c r="AM404" i="21" s="1"/>
  <c r="W405" i="21"/>
  <c r="X405" i="21"/>
  <c r="Y405" i="21"/>
  <c r="Z405" i="21"/>
  <c r="AC405" i="21"/>
  <c r="AD405" i="21"/>
  <c r="AE405" i="21"/>
  <c r="AF405" i="21"/>
  <c r="AG405" i="21"/>
  <c r="AH405" i="21"/>
  <c r="AI405" i="21"/>
  <c r="AJ405" i="21"/>
  <c r="AK405" i="21"/>
  <c r="AL405" i="21" s="1"/>
  <c r="AM405" i="21" s="1"/>
  <c r="W406" i="21"/>
  <c r="X406" i="21"/>
  <c r="Y406" i="21"/>
  <c r="Z406" i="21"/>
  <c r="AA406" i="21"/>
  <c r="AB406" i="21"/>
  <c r="AC406" i="21"/>
  <c r="AD406" i="21"/>
  <c r="AE406" i="21"/>
  <c r="AF406" i="21"/>
  <c r="AG406" i="21"/>
  <c r="AH406" i="21" s="1"/>
  <c r="AI406" i="21"/>
  <c r="AJ406" i="21"/>
  <c r="W407" i="21"/>
  <c r="X407" i="21"/>
  <c r="Y407" i="21"/>
  <c r="Z407" i="21"/>
  <c r="AA407" i="21"/>
  <c r="AB407" i="21" s="1"/>
  <c r="AC407" i="21"/>
  <c r="AD407" i="21"/>
  <c r="AE407" i="21"/>
  <c r="AF407" i="21"/>
  <c r="AG407" i="21" s="1"/>
  <c r="AI407" i="21"/>
  <c r="AJ407" i="21"/>
  <c r="W408" i="21"/>
  <c r="X408" i="21"/>
  <c r="Y408" i="21"/>
  <c r="Z408" i="21"/>
  <c r="AA408" i="21" s="1"/>
  <c r="AC408" i="21"/>
  <c r="AD408" i="21"/>
  <c r="AE408" i="21"/>
  <c r="AM408" i="21" s="1"/>
  <c r="AF408" i="21"/>
  <c r="AG408" i="21"/>
  <c r="AK408" i="21" s="1"/>
  <c r="AL408" i="21" s="1"/>
  <c r="AH408" i="21"/>
  <c r="AI408" i="21"/>
  <c r="AJ408" i="21"/>
  <c r="W409" i="21"/>
  <c r="X409" i="21"/>
  <c r="Y409" i="21"/>
  <c r="Z409" i="21"/>
  <c r="AC409" i="21"/>
  <c r="AD409" i="21"/>
  <c r="AE409" i="21"/>
  <c r="AF409" i="21"/>
  <c r="AG409" i="21"/>
  <c r="AI409" i="21"/>
  <c r="AJ409" i="21"/>
  <c r="W410" i="21"/>
  <c r="X410" i="21"/>
  <c r="Y410" i="21"/>
  <c r="Z410" i="21"/>
  <c r="AA410" i="21" s="1"/>
  <c r="AB410" i="21" s="1"/>
  <c r="AC410" i="21"/>
  <c r="AD410" i="21"/>
  <c r="AE410" i="21"/>
  <c r="AF410" i="21"/>
  <c r="AG410" i="21"/>
  <c r="AH410" i="21" s="1"/>
  <c r="AI410" i="21"/>
  <c r="AJ410" i="21"/>
  <c r="AK410" i="21"/>
  <c r="W411" i="21"/>
  <c r="X411" i="21"/>
  <c r="Y411" i="21"/>
  <c r="Z411" i="21"/>
  <c r="AA411" i="21"/>
  <c r="AB411" i="21"/>
  <c r="AC411" i="21"/>
  <c r="AD411" i="21"/>
  <c r="AE411" i="21"/>
  <c r="AF411" i="21"/>
  <c r="AG411" i="21" s="1"/>
  <c r="AI411" i="21"/>
  <c r="AJ411" i="21"/>
  <c r="W412" i="21"/>
  <c r="X412" i="21"/>
  <c r="Y412" i="21"/>
  <c r="Z412" i="21"/>
  <c r="AA412" i="21"/>
  <c r="AC412" i="21"/>
  <c r="AD412" i="21"/>
  <c r="AE412" i="21"/>
  <c r="AF412" i="21"/>
  <c r="AG412" i="21"/>
  <c r="AH412" i="21"/>
  <c r="AI412" i="21"/>
  <c r="AJ412" i="21"/>
  <c r="AK412" i="21"/>
  <c r="AL412" i="21"/>
  <c r="AM412" i="21"/>
  <c r="W413" i="21"/>
  <c r="X413" i="21"/>
  <c r="Y413" i="21"/>
  <c r="Z413" i="21"/>
  <c r="AC413" i="21"/>
  <c r="AD413" i="21"/>
  <c r="AE413" i="21"/>
  <c r="AF413" i="21"/>
  <c r="AG413" i="21"/>
  <c r="AH413" i="21" s="1"/>
  <c r="AI413" i="21"/>
  <c r="AJ413" i="21"/>
  <c r="AK413" i="21"/>
  <c r="AL413" i="21" s="1"/>
  <c r="AM413" i="21" s="1"/>
  <c r="W414" i="21"/>
  <c r="X414" i="21"/>
  <c r="Y414" i="21"/>
  <c r="Z414" i="21"/>
  <c r="AA414" i="21"/>
  <c r="AB414" i="21"/>
  <c r="AC414" i="21"/>
  <c r="AD414" i="21"/>
  <c r="AE414" i="21"/>
  <c r="AF414" i="21"/>
  <c r="AG414" i="21"/>
  <c r="AH414" i="21" s="1"/>
  <c r="AI414" i="21"/>
  <c r="AJ414" i="21"/>
  <c r="AL414" i="21" s="1"/>
  <c r="AM414" i="21" s="1"/>
  <c r="AK414" i="21"/>
  <c r="W415" i="21"/>
  <c r="X415" i="21"/>
  <c r="Y415" i="21"/>
  <c r="Z415" i="21"/>
  <c r="AA415" i="21"/>
  <c r="AB415" i="21" s="1"/>
  <c r="AC415" i="21"/>
  <c r="AD415" i="21"/>
  <c r="AE415" i="21"/>
  <c r="AF415" i="21"/>
  <c r="AG415" i="21" s="1"/>
  <c r="AK415" i="21" s="1"/>
  <c r="AI415" i="21"/>
  <c r="AJ415" i="21"/>
  <c r="AL415" i="21" s="1"/>
  <c r="W416" i="21"/>
  <c r="X416" i="21"/>
  <c r="Y416" i="21"/>
  <c r="Z416" i="21"/>
  <c r="AA416" i="21" s="1"/>
  <c r="AC416" i="21"/>
  <c r="AD416" i="21"/>
  <c r="AE416" i="21"/>
  <c r="AF416" i="21"/>
  <c r="AG416" i="21"/>
  <c r="AK416" i="21" s="1"/>
  <c r="AL416" i="21" s="1"/>
  <c r="AI416" i="21"/>
  <c r="AJ416" i="21"/>
  <c r="W417" i="21"/>
  <c r="X417" i="21"/>
  <c r="Y417" i="21"/>
  <c r="Z417" i="21"/>
  <c r="AC417" i="21"/>
  <c r="AD417" i="21"/>
  <c r="AE417" i="21"/>
  <c r="AF417" i="21"/>
  <c r="AG417" i="21" s="1"/>
  <c r="AK417" i="21" s="1"/>
  <c r="AL417" i="21" s="1"/>
  <c r="AI417" i="21"/>
  <c r="AJ417" i="21"/>
  <c r="W418" i="21"/>
  <c r="X418" i="21"/>
  <c r="Y418" i="21"/>
  <c r="Z418" i="21"/>
  <c r="AA418" i="21" s="1"/>
  <c r="AB418" i="21" s="1"/>
  <c r="AC418" i="21"/>
  <c r="AD418" i="21"/>
  <c r="AE418" i="21"/>
  <c r="AF418" i="21"/>
  <c r="AG418" i="21"/>
  <c r="AH418" i="21" s="1"/>
  <c r="AI418" i="21"/>
  <c r="AJ418" i="21"/>
  <c r="AL418" i="21" s="1"/>
  <c r="AM418" i="21" s="1"/>
  <c r="AK418" i="21"/>
  <c r="W419" i="21"/>
  <c r="X419" i="21"/>
  <c r="Y419" i="21"/>
  <c r="Z419" i="21"/>
  <c r="AA419" i="21"/>
  <c r="AB419" i="21"/>
  <c r="AC419" i="21"/>
  <c r="AD419" i="21"/>
  <c r="AE419" i="21"/>
  <c r="AF419" i="21"/>
  <c r="AG419" i="21" s="1"/>
  <c r="AI419" i="21"/>
  <c r="AJ419" i="21"/>
  <c r="W420" i="21"/>
  <c r="X420" i="21"/>
  <c r="Y420" i="21"/>
  <c r="Z420" i="21"/>
  <c r="AA420" i="21"/>
  <c r="AC420" i="21"/>
  <c r="AD420" i="21"/>
  <c r="AE420" i="21"/>
  <c r="AF420" i="21"/>
  <c r="AG420" i="21" s="1"/>
  <c r="AH420" i="21" s="1"/>
  <c r="AI420" i="21"/>
  <c r="AJ420" i="21"/>
  <c r="W421" i="21"/>
  <c r="X421" i="21"/>
  <c r="Y421" i="21"/>
  <c r="Z421" i="21"/>
  <c r="AA421" i="21" s="1"/>
  <c r="AC421" i="21"/>
  <c r="AD421" i="21"/>
  <c r="AE421" i="21"/>
  <c r="AF421" i="21"/>
  <c r="AG421" i="21"/>
  <c r="AH421" i="21" s="1"/>
  <c r="AI421" i="21"/>
  <c r="AJ421" i="21"/>
  <c r="W422" i="21"/>
  <c r="X422" i="21"/>
  <c r="Y422" i="21"/>
  <c r="Z422" i="21"/>
  <c r="AA422" i="21"/>
  <c r="AB422" i="21" s="1"/>
  <c r="AC422" i="21"/>
  <c r="AD422" i="21"/>
  <c r="AE422" i="21"/>
  <c r="AF422" i="21"/>
  <c r="AG422" i="21" s="1"/>
  <c r="AI422" i="21"/>
  <c r="AJ422" i="21"/>
  <c r="W423" i="21"/>
  <c r="X423" i="21"/>
  <c r="Y423" i="21"/>
  <c r="Z423" i="21"/>
  <c r="AA423" i="21" s="1"/>
  <c r="AC423" i="21"/>
  <c r="AD423" i="21"/>
  <c r="AE423" i="21"/>
  <c r="AF423" i="21"/>
  <c r="AG423" i="21"/>
  <c r="AI423" i="21"/>
  <c r="AJ423" i="21"/>
  <c r="W424" i="21"/>
  <c r="X424" i="21"/>
  <c r="Y424" i="21"/>
  <c r="Z424" i="21"/>
  <c r="AC424" i="21"/>
  <c r="AD424" i="21"/>
  <c r="AE424" i="21"/>
  <c r="AF424" i="21"/>
  <c r="AG424" i="21"/>
  <c r="AK424" i="21" s="1"/>
  <c r="AI424" i="21"/>
  <c r="AJ424" i="21"/>
  <c r="AL424" i="21"/>
  <c r="W425" i="21"/>
  <c r="X425" i="21"/>
  <c r="Y425" i="21"/>
  <c r="Z425" i="21"/>
  <c r="AC425" i="21"/>
  <c r="AD425" i="21"/>
  <c r="AE425" i="21"/>
  <c r="AF425" i="21"/>
  <c r="AG425" i="21" s="1"/>
  <c r="AH425" i="21" s="1"/>
  <c r="AI425" i="21"/>
  <c r="AJ425" i="21"/>
  <c r="W426" i="21"/>
  <c r="X426" i="21"/>
  <c r="Y426" i="21"/>
  <c r="Z426" i="21"/>
  <c r="AA426" i="21" s="1"/>
  <c r="AB426" i="21" s="1"/>
  <c r="AC426" i="21"/>
  <c r="AD426" i="21"/>
  <c r="AE426" i="21"/>
  <c r="AF426" i="21"/>
  <c r="AG426" i="21" s="1"/>
  <c r="AI426" i="21"/>
  <c r="AJ426" i="21"/>
  <c r="W427" i="21"/>
  <c r="X427" i="21"/>
  <c r="Y427" i="21"/>
  <c r="Z427" i="21"/>
  <c r="AA427" i="21"/>
  <c r="AB427" i="21" s="1"/>
  <c r="AC427" i="21"/>
  <c r="AD427" i="21"/>
  <c r="AE427" i="21"/>
  <c r="AF427" i="21"/>
  <c r="AG427" i="21" s="1"/>
  <c r="AI427" i="21"/>
  <c r="AJ427" i="21"/>
  <c r="W428" i="21"/>
  <c r="X428" i="21"/>
  <c r="Y428" i="21"/>
  <c r="Z428" i="21"/>
  <c r="AB428" i="21" s="1"/>
  <c r="AA428" i="21"/>
  <c r="AC428" i="21"/>
  <c r="AD428" i="21"/>
  <c r="AE428" i="21"/>
  <c r="AF428" i="21"/>
  <c r="AG428" i="21" s="1"/>
  <c r="AH428" i="21" s="1"/>
  <c r="AI428" i="21"/>
  <c r="AJ428" i="21"/>
  <c r="W429" i="21"/>
  <c r="X429" i="21"/>
  <c r="Y429" i="21"/>
  <c r="Z429" i="21"/>
  <c r="AA429" i="21" s="1"/>
  <c r="AC429" i="21"/>
  <c r="AD429" i="21"/>
  <c r="AE429" i="21"/>
  <c r="AF429" i="21"/>
  <c r="AG429" i="21"/>
  <c r="AH429" i="21"/>
  <c r="AI429" i="21"/>
  <c r="AJ429" i="21"/>
  <c r="AK429" i="21"/>
  <c r="AL429" i="21" s="1"/>
  <c r="AM429" i="21" s="1"/>
  <c r="W430" i="21"/>
  <c r="X430" i="21"/>
  <c r="Y430" i="21"/>
  <c r="Z430" i="21"/>
  <c r="AA430" i="21" s="1"/>
  <c r="AB430" i="21" s="1"/>
  <c r="AC430" i="21"/>
  <c r="AD430" i="21"/>
  <c r="AE430" i="21"/>
  <c r="AF430" i="21"/>
  <c r="AG430" i="21"/>
  <c r="AH430" i="21" s="1"/>
  <c r="AI430" i="21"/>
  <c r="AJ430" i="21"/>
  <c r="AL430" i="21" s="1"/>
  <c r="AM430" i="21" s="1"/>
  <c r="AK430" i="21"/>
  <c r="W431" i="21"/>
  <c r="X431" i="21"/>
  <c r="Y431" i="21"/>
  <c r="Z431" i="21"/>
  <c r="AA431" i="21" s="1"/>
  <c r="AB431" i="21" s="1"/>
  <c r="AC431" i="21"/>
  <c r="AD431" i="21"/>
  <c r="AE431" i="21"/>
  <c r="AF431" i="21"/>
  <c r="AG431" i="21"/>
  <c r="AH431" i="21" s="1"/>
  <c r="AI431" i="21"/>
  <c r="AJ431" i="21"/>
  <c r="AL431" i="21" s="1"/>
  <c r="AM431" i="21" s="1"/>
  <c r="AK431" i="21"/>
  <c r="W432" i="21"/>
  <c r="X432" i="21"/>
  <c r="Y432" i="21"/>
  <c r="Z432" i="21"/>
  <c r="AA432" i="21" s="1"/>
  <c r="AB432" i="21"/>
  <c r="AC432" i="21"/>
  <c r="AD432" i="21"/>
  <c r="AE432" i="21"/>
  <c r="AF432" i="21"/>
  <c r="AG432" i="21"/>
  <c r="AH432" i="21" s="1"/>
  <c r="AI432" i="21"/>
  <c r="AJ432" i="21"/>
  <c r="AL432" i="21" s="1"/>
  <c r="AK432" i="21"/>
  <c r="W433" i="21"/>
  <c r="X433" i="21"/>
  <c r="Y433" i="21"/>
  <c r="Z433" i="21"/>
  <c r="AA433" i="21"/>
  <c r="AB433" i="21" s="1"/>
  <c r="AC433" i="21"/>
  <c r="AD433" i="21"/>
  <c r="AE433" i="21"/>
  <c r="AF433" i="21"/>
  <c r="AG433" i="21"/>
  <c r="AK433" i="21" s="1"/>
  <c r="AI433" i="21"/>
  <c r="AJ433" i="21"/>
  <c r="W434" i="21"/>
  <c r="X434" i="21"/>
  <c r="Y434" i="21"/>
  <c r="Z434" i="21"/>
  <c r="AC434" i="21"/>
  <c r="AD434" i="21"/>
  <c r="AE434" i="21"/>
  <c r="AF434" i="21"/>
  <c r="AG434" i="21" s="1"/>
  <c r="AK434" i="21" s="1"/>
  <c r="AH434" i="21"/>
  <c r="AI434" i="21"/>
  <c r="AJ434" i="21"/>
  <c r="W435" i="21"/>
  <c r="X435" i="21"/>
  <c r="Y435" i="21"/>
  <c r="Z435" i="21"/>
  <c r="AA435" i="21" s="1"/>
  <c r="AC435" i="21"/>
  <c r="AD435" i="21"/>
  <c r="AE435" i="21"/>
  <c r="AF435" i="21"/>
  <c r="AG435" i="21"/>
  <c r="AI435" i="21"/>
  <c r="AJ435" i="21"/>
  <c r="W436" i="21"/>
  <c r="X436" i="21"/>
  <c r="Y436" i="21"/>
  <c r="Z436" i="21"/>
  <c r="AA436" i="21" s="1"/>
  <c r="AC436" i="21"/>
  <c r="AD436" i="21"/>
  <c r="AE436" i="21"/>
  <c r="AF436" i="21"/>
  <c r="AG436" i="21" s="1"/>
  <c r="AI436" i="21"/>
  <c r="AJ436" i="21"/>
  <c r="W437" i="21"/>
  <c r="X437" i="21"/>
  <c r="Y437" i="21"/>
  <c r="Z437" i="21"/>
  <c r="AA437" i="21" s="1"/>
  <c r="AB437" i="21" s="1"/>
  <c r="AC437" i="21"/>
  <c r="AD437" i="21"/>
  <c r="AE437" i="21"/>
  <c r="AF437" i="21"/>
  <c r="AG437" i="21" s="1"/>
  <c r="AI437" i="21"/>
  <c r="AJ437" i="21"/>
  <c r="W438" i="21"/>
  <c r="X438" i="21"/>
  <c r="Y438" i="21"/>
  <c r="Z438" i="21"/>
  <c r="AA438" i="21"/>
  <c r="AB438" i="21"/>
  <c r="AC438" i="21"/>
  <c r="AD438" i="21"/>
  <c r="AE438" i="21"/>
  <c r="AF438" i="21"/>
  <c r="AG438" i="21" s="1"/>
  <c r="AI438" i="21"/>
  <c r="AJ438" i="21"/>
  <c r="W439" i="21"/>
  <c r="X439" i="21"/>
  <c r="Y439" i="21"/>
  <c r="Z439" i="21"/>
  <c r="AA439" i="21" s="1"/>
  <c r="AC439" i="21"/>
  <c r="AD439" i="21"/>
  <c r="AE439" i="21"/>
  <c r="AF439" i="21"/>
  <c r="AG439" i="21" s="1"/>
  <c r="AH439" i="21" s="1"/>
  <c r="AI439" i="21"/>
  <c r="AJ439" i="21"/>
  <c r="W440" i="21"/>
  <c r="X440" i="21"/>
  <c r="Y440" i="21"/>
  <c r="Z440" i="21"/>
  <c r="AA440" i="21" s="1"/>
  <c r="AB440" i="21"/>
  <c r="AC440" i="21"/>
  <c r="AD440" i="21"/>
  <c r="AE440" i="21"/>
  <c r="AF440" i="21"/>
  <c r="AG440" i="21"/>
  <c r="AH440" i="21" s="1"/>
  <c r="AI440" i="21"/>
  <c r="AJ440" i="21"/>
  <c r="AL440" i="21" s="1"/>
  <c r="AM440" i="21" s="1"/>
  <c r="AK440" i="21"/>
  <c r="W441" i="21"/>
  <c r="X441" i="21"/>
  <c r="Y441" i="21"/>
  <c r="Z441" i="21"/>
  <c r="AA441" i="21"/>
  <c r="AB441" i="21" s="1"/>
  <c r="AC441" i="21"/>
  <c r="AD441" i="21"/>
  <c r="AE441" i="21"/>
  <c r="AF441" i="21"/>
  <c r="AG441" i="21"/>
  <c r="AK441" i="21" s="1"/>
  <c r="AI441" i="21"/>
  <c r="AJ441" i="21"/>
  <c r="W442" i="21"/>
  <c r="X442" i="21"/>
  <c r="Y442" i="21"/>
  <c r="Z442" i="21"/>
  <c r="AC442" i="21"/>
  <c r="AD442" i="21"/>
  <c r="AE442" i="21"/>
  <c r="AF442" i="21"/>
  <c r="AG442" i="21" s="1"/>
  <c r="AK442" i="21" s="1"/>
  <c r="AI442" i="21"/>
  <c r="AJ442" i="21"/>
  <c r="W443" i="21"/>
  <c r="X443" i="21"/>
  <c r="Y443" i="21"/>
  <c r="Z443" i="21"/>
  <c r="AA443" i="21" s="1"/>
  <c r="AC443" i="21"/>
  <c r="AD443" i="21"/>
  <c r="AE443" i="21"/>
  <c r="AF443" i="21"/>
  <c r="AG443" i="21"/>
  <c r="AI443" i="21"/>
  <c r="AJ443" i="21"/>
  <c r="W444" i="21"/>
  <c r="X444" i="21"/>
  <c r="Y444" i="21"/>
  <c r="Z444" i="21"/>
  <c r="AA444" i="21" s="1"/>
  <c r="AC444" i="21"/>
  <c r="AD444" i="21"/>
  <c r="AE444" i="21"/>
  <c r="AF444" i="21"/>
  <c r="AG444" i="21" s="1"/>
  <c r="AI444" i="21"/>
  <c r="AJ444" i="21"/>
  <c r="W445" i="21"/>
  <c r="X445" i="21"/>
  <c r="Y445" i="21"/>
  <c r="Z445" i="21"/>
  <c r="AA445" i="21" s="1"/>
  <c r="AB445" i="21" s="1"/>
  <c r="AC445" i="21"/>
  <c r="AD445" i="21"/>
  <c r="AE445" i="21"/>
  <c r="AF445" i="21"/>
  <c r="AG445" i="21" s="1"/>
  <c r="AI445" i="21"/>
  <c r="AJ445" i="21"/>
  <c r="W446" i="21"/>
  <c r="X446" i="21"/>
  <c r="Y446" i="21"/>
  <c r="Z446" i="21"/>
  <c r="AA446" i="21"/>
  <c r="AB446" i="21"/>
  <c r="AC446" i="21"/>
  <c r="AD446" i="21"/>
  <c r="AE446" i="21"/>
  <c r="AF446" i="21"/>
  <c r="AG446" i="21" s="1"/>
  <c r="AI446" i="21"/>
  <c r="AJ446" i="21"/>
  <c r="W447" i="21"/>
  <c r="X447" i="21"/>
  <c r="Y447" i="21"/>
  <c r="Z447" i="21"/>
  <c r="AA447" i="21" s="1"/>
  <c r="AC447" i="21"/>
  <c r="AD447" i="21"/>
  <c r="AE447" i="21"/>
  <c r="AF447" i="21"/>
  <c r="AG447" i="21" s="1"/>
  <c r="AH447" i="21" s="1"/>
  <c r="AI447" i="21"/>
  <c r="AJ447" i="21"/>
  <c r="AK447" i="21"/>
  <c r="AL447" i="21" s="1"/>
  <c r="AM447" i="21" s="1"/>
  <c r="W448" i="21"/>
  <c r="X448" i="21"/>
  <c r="Y448" i="21"/>
  <c r="Z448" i="21"/>
  <c r="AA448" i="21" s="1"/>
  <c r="AB448" i="21" s="1"/>
  <c r="AC448" i="21"/>
  <c r="AD448" i="21"/>
  <c r="AE448" i="21"/>
  <c r="AF448" i="21"/>
  <c r="AG448" i="21"/>
  <c r="AH448" i="21" s="1"/>
  <c r="AI448" i="21"/>
  <c r="AJ448" i="21"/>
  <c r="AL448" i="21" s="1"/>
  <c r="AM448" i="21" s="1"/>
  <c r="AK448" i="21"/>
  <c r="W449" i="21"/>
  <c r="X449" i="21"/>
  <c r="Y449" i="21"/>
  <c r="Z449" i="21"/>
  <c r="AA449" i="21"/>
  <c r="AB449" i="21" s="1"/>
  <c r="AC449" i="21"/>
  <c r="AD449" i="21"/>
  <c r="AE449" i="21"/>
  <c r="AF449" i="21"/>
  <c r="AG449" i="21" s="1"/>
  <c r="AI449" i="21"/>
  <c r="AJ449" i="21"/>
  <c r="W450" i="21"/>
  <c r="X450" i="21"/>
  <c r="Y450" i="21"/>
  <c r="Z450" i="21"/>
  <c r="AA450" i="21"/>
  <c r="AC450" i="21"/>
  <c r="AD450" i="21"/>
  <c r="AE450" i="21"/>
  <c r="AF450" i="21"/>
  <c r="AG450" i="21" s="1"/>
  <c r="AK450" i="21" s="1"/>
  <c r="AI450" i="21"/>
  <c r="AJ450" i="21"/>
  <c r="W451" i="21"/>
  <c r="X451" i="21"/>
  <c r="Y451" i="21"/>
  <c r="Z451" i="21"/>
  <c r="AC451" i="21"/>
  <c r="AD451" i="21"/>
  <c r="AE451" i="21"/>
  <c r="AF451" i="21"/>
  <c r="AG451" i="21"/>
  <c r="AK451" i="21" s="1"/>
  <c r="AL451" i="21" s="1"/>
  <c r="AH451" i="21"/>
  <c r="AI451" i="21"/>
  <c r="AJ451" i="21"/>
  <c r="W452" i="21"/>
  <c r="X452" i="21"/>
  <c r="Y452" i="21"/>
  <c r="Z452" i="21"/>
  <c r="AA452" i="21" s="1"/>
  <c r="AC452" i="21"/>
  <c r="AD452" i="21"/>
  <c r="AE452" i="21"/>
  <c r="AF452" i="21"/>
  <c r="AG452" i="21"/>
  <c r="AI452" i="21"/>
  <c r="AJ452" i="21"/>
  <c r="W453" i="21"/>
  <c r="X453" i="21"/>
  <c r="Y453" i="21"/>
  <c r="Z453" i="21"/>
  <c r="AA453" i="21" s="1"/>
  <c r="AB453" i="21" s="1"/>
  <c r="AC453" i="21"/>
  <c r="AD453" i="21"/>
  <c r="AE453" i="21"/>
  <c r="AF453" i="21"/>
  <c r="AG453" i="21" s="1"/>
  <c r="AI453" i="21"/>
  <c r="AJ453" i="21"/>
  <c r="W454" i="21"/>
  <c r="X454" i="21"/>
  <c r="Y454" i="21"/>
  <c r="Z454" i="21"/>
  <c r="AA454" i="21"/>
  <c r="AB454" i="21" s="1"/>
  <c r="AC454" i="21"/>
  <c r="AD454" i="21"/>
  <c r="AE454" i="21"/>
  <c r="AF454" i="21"/>
  <c r="AG454" i="21" s="1"/>
  <c r="AI454" i="21"/>
  <c r="AJ454" i="21"/>
  <c r="W455" i="21"/>
  <c r="X455" i="21"/>
  <c r="Y455" i="21"/>
  <c r="Z455" i="21"/>
  <c r="AA455" i="21" s="1"/>
  <c r="AC455" i="21"/>
  <c r="AD455" i="21"/>
  <c r="AE455" i="21"/>
  <c r="AF455" i="21"/>
  <c r="AG455" i="21" s="1"/>
  <c r="AH455" i="21" s="1"/>
  <c r="AI455" i="21"/>
  <c r="AJ455" i="21"/>
  <c r="AK455" i="21"/>
  <c r="AL455" i="21" s="1"/>
  <c r="AM455" i="21" s="1"/>
  <c r="W456" i="21"/>
  <c r="X456" i="21"/>
  <c r="Y456" i="21"/>
  <c r="Z456" i="21"/>
  <c r="AA456" i="21" s="1"/>
  <c r="AB456" i="21" s="1"/>
  <c r="AC456" i="21"/>
  <c r="AD456" i="21"/>
  <c r="AE456" i="21"/>
  <c r="AF456" i="21"/>
  <c r="AG456" i="21"/>
  <c r="AH456" i="21" s="1"/>
  <c r="AI456" i="21"/>
  <c r="AJ456" i="21"/>
  <c r="AL456" i="21" s="1"/>
  <c r="AM456" i="21" s="1"/>
  <c r="AK456" i="21"/>
  <c r="W457" i="21"/>
  <c r="X457" i="21"/>
  <c r="Y457" i="21"/>
  <c r="Z457" i="21"/>
  <c r="AA457" i="21"/>
  <c r="AB457" i="21" s="1"/>
  <c r="AC457" i="21"/>
  <c r="AD457" i="21"/>
  <c r="AE457" i="21"/>
  <c r="AF457" i="21"/>
  <c r="AG457" i="21"/>
  <c r="AK457" i="21" s="1"/>
  <c r="AI457" i="21"/>
  <c r="AJ457" i="21"/>
  <c r="W458" i="21"/>
  <c r="X458" i="21"/>
  <c r="Y458" i="21"/>
  <c r="Z458" i="21"/>
  <c r="AA458" i="21"/>
  <c r="AC458" i="21"/>
  <c r="AD458" i="21"/>
  <c r="AE458" i="21"/>
  <c r="AF458" i="21"/>
  <c r="AG458" i="21" s="1"/>
  <c r="AK458" i="21" s="1"/>
  <c r="AH458" i="21"/>
  <c r="AI458" i="21"/>
  <c r="AJ458" i="21"/>
  <c r="AL458" i="21" s="1"/>
  <c r="W459" i="21"/>
  <c r="X459" i="21"/>
  <c r="Y459" i="21"/>
  <c r="Z459" i="21"/>
  <c r="AC459" i="21"/>
  <c r="AD459" i="21"/>
  <c r="AE459" i="21"/>
  <c r="AF459" i="21"/>
  <c r="AG459" i="21"/>
  <c r="AI459" i="21"/>
  <c r="AJ459" i="21"/>
  <c r="W460" i="21"/>
  <c r="X460" i="21"/>
  <c r="Y460" i="21"/>
  <c r="Z460" i="21"/>
  <c r="AA460" i="21" s="1"/>
  <c r="AC460" i="21"/>
  <c r="AD460" i="21"/>
  <c r="AE460" i="21"/>
  <c r="AF460" i="21"/>
  <c r="AG460" i="21" s="1"/>
  <c r="AI460" i="21"/>
  <c r="AJ460" i="21"/>
  <c r="W461" i="21"/>
  <c r="X461" i="21"/>
  <c r="Y461" i="21"/>
  <c r="Z461" i="21"/>
  <c r="AA461" i="21" s="1"/>
  <c r="AB461" i="21" s="1"/>
  <c r="AC461" i="21"/>
  <c r="AD461" i="21"/>
  <c r="AE461" i="21"/>
  <c r="AF461" i="21"/>
  <c r="AG461" i="21" s="1"/>
  <c r="AI461" i="21"/>
  <c r="AJ461" i="21"/>
  <c r="W462" i="21"/>
  <c r="X462" i="21"/>
  <c r="Y462" i="21"/>
  <c r="Z462" i="21"/>
  <c r="AA462" i="21"/>
  <c r="AB462" i="21" s="1"/>
  <c r="AC462" i="21"/>
  <c r="AD462" i="21"/>
  <c r="AE462" i="21"/>
  <c r="AF462" i="21"/>
  <c r="AG462" i="21" s="1"/>
  <c r="AI462" i="21"/>
  <c r="AJ462" i="21"/>
  <c r="W463" i="21"/>
  <c r="X463" i="21"/>
  <c r="Y463" i="21"/>
  <c r="Z463" i="21"/>
  <c r="AA463" i="21" s="1"/>
  <c r="AC463" i="21"/>
  <c r="AD463" i="21"/>
  <c r="AE463" i="21"/>
  <c r="AF463" i="21"/>
  <c r="AG463" i="21" s="1"/>
  <c r="AH463" i="21" s="1"/>
  <c r="AI463" i="21"/>
  <c r="AJ463" i="21"/>
  <c r="AK463" i="21"/>
  <c r="AL463" i="21" s="1"/>
  <c r="AM463" i="21" s="1"/>
  <c r="W464" i="21"/>
  <c r="X464" i="21"/>
  <c r="Y464" i="21"/>
  <c r="Z464" i="21"/>
  <c r="AA464" i="21" s="1"/>
  <c r="AB464" i="21"/>
  <c r="AC464" i="21"/>
  <c r="AD464" i="21"/>
  <c r="AE464" i="21"/>
  <c r="AF464" i="21"/>
  <c r="AG464" i="21"/>
  <c r="AH464" i="21" s="1"/>
  <c r="AI464" i="21"/>
  <c r="AJ464" i="21"/>
  <c r="AK464" i="21"/>
  <c r="W465" i="21"/>
  <c r="X465" i="21"/>
  <c r="Y465" i="21"/>
  <c r="Z465" i="21"/>
  <c r="AA465" i="21"/>
  <c r="AB465" i="21"/>
  <c r="AC465" i="21"/>
  <c r="AD465" i="21"/>
  <c r="AE465" i="21"/>
  <c r="AF465" i="21"/>
  <c r="AG465" i="21"/>
  <c r="AK465" i="21" s="1"/>
  <c r="AI465" i="21"/>
  <c r="AJ465" i="21"/>
  <c r="W466" i="21"/>
  <c r="X466" i="21"/>
  <c r="Y466" i="21"/>
  <c r="Z466" i="21"/>
  <c r="AC466" i="21"/>
  <c r="AD466" i="21"/>
  <c r="AE466" i="21"/>
  <c r="AF466" i="21"/>
  <c r="AG466" i="21" s="1"/>
  <c r="AK466" i="21" s="1"/>
  <c r="AI466" i="21"/>
  <c r="AJ466" i="21"/>
  <c r="AL466" i="21" s="1"/>
  <c r="W467" i="21"/>
  <c r="X467" i="21"/>
  <c r="Y467" i="21"/>
  <c r="Z467" i="21"/>
  <c r="AC467" i="21"/>
  <c r="AD467" i="21"/>
  <c r="AE467" i="21"/>
  <c r="AF467" i="21"/>
  <c r="AG467" i="21"/>
  <c r="AK467" i="21" s="1"/>
  <c r="AL467" i="21" s="1"/>
  <c r="AI467" i="21"/>
  <c r="AJ467" i="21"/>
  <c r="W468" i="21"/>
  <c r="X468" i="21"/>
  <c r="Y468" i="21"/>
  <c r="Z468" i="21"/>
  <c r="AA468" i="21" s="1"/>
  <c r="AC468" i="21"/>
  <c r="AD468" i="21"/>
  <c r="AE468" i="21"/>
  <c r="AF468" i="21"/>
  <c r="AG468" i="21"/>
  <c r="AI468" i="21"/>
  <c r="AJ468" i="21"/>
  <c r="W469" i="21"/>
  <c r="X469" i="21"/>
  <c r="Y469" i="21"/>
  <c r="Z469" i="21"/>
  <c r="AA469" i="21" s="1"/>
  <c r="AB469" i="21" s="1"/>
  <c r="AC469" i="21"/>
  <c r="AD469" i="21"/>
  <c r="AE469" i="21"/>
  <c r="AF469" i="21"/>
  <c r="AG469" i="21" s="1"/>
  <c r="AI469" i="21"/>
  <c r="AJ469" i="21"/>
  <c r="W470" i="21"/>
  <c r="X470" i="21"/>
  <c r="Y470" i="21"/>
  <c r="Z470" i="21"/>
  <c r="AA470" i="21"/>
  <c r="AB470" i="21"/>
  <c r="AC470" i="21"/>
  <c r="AD470" i="21"/>
  <c r="AE470" i="21"/>
  <c r="AF470" i="21"/>
  <c r="AG470" i="21" s="1"/>
  <c r="AI470" i="21"/>
  <c r="AJ470" i="21"/>
  <c r="W471" i="21"/>
  <c r="X471" i="21"/>
  <c r="Y471" i="21"/>
  <c r="Z471" i="21"/>
  <c r="AA471" i="21" s="1"/>
  <c r="AC471" i="21"/>
  <c r="AD471" i="21"/>
  <c r="AE471" i="21"/>
  <c r="AF471" i="21"/>
  <c r="AG471" i="21" s="1"/>
  <c r="AI471" i="21"/>
  <c r="AJ471" i="21"/>
  <c r="W472" i="21"/>
  <c r="X472" i="21"/>
  <c r="Y472" i="21"/>
  <c r="Z472" i="21"/>
  <c r="AA472" i="21" s="1"/>
  <c r="AB472" i="21" s="1"/>
  <c r="AC472" i="21"/>
  <c r="AD472" i="21"/>
  <c r="AE472" i="21"/>
  <c r="AF472" i="21"/>
  <c r="AG472" i="21"/>
  <c r="AH472" i="21" s="1"/>
  <c r="AI472" i="21"/>
  <c r="AJ472" i="21"/>
  <c r="AL472" i="21" s="1"/>
  <c r="AM472" i="21" s="1"/>
  <c r="AK472" i="21"/>
  <c r="W473" i="21"/>
  <c r="X473" i="21"/>
  <c r="Y473" i="21"/>
  <c r="Z473" i="21"/>
  <c r="AA473" i="21"/>
  <c r="AB473" i="21"/>
  <c r="AC473" i="21"/>
  <c r="AD473" i="21"/>
  <c r="AE473" i="21"/>
  <c r="AF473" i="21"/>
  <c r="AG473" i="21" s="1"/>
  <c r="AI473" i="21"/>
  <c r="AJ473" i="21"/>
  <c r="W474" i="21"/>
  <c r="X474" i="21"/>
  <c r="Y474" i="21"/>
  <c r="Z474" i="21"/>
  <c r="AA474" i="21" s="1"/>
  <c r="AC474" i="21"/>
  <c r="AD474" i="21"/>
  <c r="AE474" i="21"/>
  <c r="AF474" i="21"/>
  <c r="AG474" i="21" s="1"/>
  <c r="AK474" i="21" s="1"/>
  <c r="AH474" i="21"/>
  <c r="AI474" i="21"/>
  <c r="AJ474" i="21"/>
  <c r="AL474" i="21" s="1"/>
  <c r="AM474" i="21" s="1"/>
  <c r="W475" i="21"/>
  <c r="X475" i="21"/>
  <c r="Y475" i="21"/>
  <c r="Z475" i="21"/>
  <c r="AC475" i="21"/>
  <c r="AD475" i="21"/>
  <c r="AE475" i="21"/>
  <c r="AF475" i="21"/>
  <c r="AG475" i="21"/>
  <c r="AK475" i="21" s="1"/>
  <c r="AL475" i="21" s="1"/>
  <c r="AH475" i="21"/>
  <c r="AI475" i="21"/>
  <c r="AJ475" i="21"/>
  <c r="W476" i="21"/>
  <c r="X476" i="21"/>
  <c r="Y476" i="21"/>
  <c r="Z476" i="21"/>
  <c r="AA476" i="21" s="1"/>
  <c r="AC476" i="21"/>
  <c r="AD476" i="21"/>
  <c r="AE476" i="21"/>
  <c r="AF476" i="21"/>
  <c r="AG476" i="21" s="1"/>
  <c r="AI476" i="21"/>
  <c r="AJ476" i="21"/>
  <c r="W477" i="21"/>
  <c r="X477" i="21"/>
  <c r="Y477" i="21"/>
  <c r="Z477" i="21"/>
  <c r="AA477" i="21" s="1"/>
  <c r="AB477" i="21" s="1"/>
  <c r="AC477" i="21"/>
  <c r="AD477" i="21"/>
  <c r="AE477" i="21"/>
  <c r="AF477" i="21"/>
  <c r="AG477" i="21" s="1"/>
  <c r="AI477" i="21"/>
  <c r="AJ477" i="21"/>
  <c r="W478" i="21"/>
  <c r="X478" i="21"/>
  <c r="Y478" i="21"/>
  <c r="Z478" i="21"/>
  <c r="AA478" i="21"/>
  <c r="AB478" i="21" s="1"/>
  <c r="AC478" i="21"/>
  <c r="AD478" i="21"/>
  <c r="AE478" i="21"/>
  <c r="AF478" i="21"/>
  <c r="AG478" i="21" s="1"/>
  <c r="AI478" i="21"/>
  <c r="AJ478" i="21"/>
  <c r="W479" i="21"/>
  <c r="X479" i="21"/>
  <c r="Y479" i="21"/>
  <c r="Z479" i="21"/>
  <c r="AA479" i="21" s="1"/>
  <c r="AC479" i="21"/>
  <c r="AD479" i="21"/>
  <c r="AE479" i="21"/>
  <c r="AF479" i="21"/>
  <c r="AG479" i="21" s="1"/>
  <c r="AI479" i="21"/>
  <c r="AJ479" i="21"/>
  <c r="W480" i="21"/>
  <c r="X480" i="21"/>
  <c r="Y480" i="21"/>
  <c r="Z480" i="21"/>
  <c r="AA480" i="21" s="1"/>
  <c r="AB480" i="21" s="1"/>
  <c r="AC480" i="21"/>
  <c r="AD480" i="21"/>
  <c r="AE480" i="21"/>
  <c r="AF480" i="21"/>
  <c r="AG480" i="21"/>
  <c r="AH480" i="21" s="1"/>
  <c r="AI480" i="21"/>
  <c r="AJ480" i="21"/>
  <c r="AL480" i="21" s="1"/>
  <c r="AM480" i="21" s="1"/>
  <c r="AK480" i="21"/>
  <c r="W481" i="21"/>
  <c r="X481" i="21"/>
  <c r="Y481" i="21"/>
  <c r="Z481" i="21"/>
  <c r="AA481" i="21"/>
  <c r="AB481" i="21"/>
  <c r="AC481" i="21"/>
  <c r="AD481" i="21"/>
  <c r="AE481" i="21"/>
  <c r="AF481" i="21"/>
  <c r="AG481" i="21"/>
  <c r="AK481" i="21" s="1"/>
  <c r="AI481" i="21"/>
  <c r="AJ481" i="21"/>
  <c r="AL481" i="21" s="1"/>
  <c r="W482" i="21"/>
  <c r="X482" i="21"/>
  <c r="Y482" i="21"/>
  <c r="Z482" i="21"/>
  <c r="AA482" i="21"/>
  <c r="AC482" i="21"/>
  <c r="AD482" i="21"/>
  <c r="AE482" i="21"/>
  <c r="AF482" i="21"/>
  <c r="AG482" i="21" s="1"/>
  <c r="AK482" i="21" s="1"/>
  <c r="AH482" i="21"/>
  <c r="AI482" i="21"/>
  <c r="AJ482" i="21"/>
  <c r="W483" i="21"/>
  <c r="X483" i="21"/>
  <c r="Y483" i="21"/>
  <c r="Z483" i="21"/>
  <c r="AC483" i="21"/>
  <c r="AD483" i="21"/>
  <c r="AE483" i="21"/>
  <c r="AF483" i="21"/>
  <c r="AG483" i="21"/>
  <c r="AK483" i="21" s="1"/>
  <c r="AL483" i="21" s="1"/>
  <c r="AI483" i="21"/>
  <c r="AJ483" i="21"/>
  <c r="W484" i="21"/>
  <c r="X484" i="21"/>
  <c r="Y484" i="21"/>
  <c r="Z484" i="21"/>
  <c r="AA484" i="21" s="1"/>
  <c r="AC484" i="21"/>
  <c r="AD484" i="21"/>
  <c r="AE484" i="21"/>
  <c r="AF484" i="21"/>
  <c r="AG484" i="21"/>
  <c r="AI484" i="21"/>
  <c r="AJ484" i="21"/>
  <c r="W485" i="21"/>
  <c r="X485" i="21"/>
  <c r="Y485" i="21"/>
  <c r="Z485" i="21"/>
  <c r="AA485" i="21" s="1"/>
  <c r="AB485" i="21" s="1"/>
  <c r="AC485" i="21"/>
  <c r="AD485" i="21"/>
  <c r="AE485" i="21"/>
  <c r="AF485" i="21"/>
  <c r="AG485" i="21" s="1"/>
  <c r="AI485" i="21"/>
  <c r="AJ485" i="21"/>
  <c r="W486" i="21"/>
  <c r="X486" i="21"/>
  <c r="Y486" i="21"/>
  <c r="Z486" i="21"/>
  <c r="AA486" i="21"/>
  <c r="AB486" i="21"/>
  <c r="AC486" i="21"/>
  <c r="AD486" i="21"/>
  <c r="AE486" i="21"/>
  <c r="AF486" i="21"/>
  <c r="AG486" i="21" s="1"/>
  <c r="AI486" i="21"/>
  <c r="AJ486" i="21"/>
  <c r="W487" i="21"/>
  <c r="X487" i="21"/>
  <c r="Y487" i="21"/>
  <c r="Z487" i="21"/>
  <c r="AA487" i="21" s="1"/>
  <c r="AC487" i="21"/>
  <c r="AD487" i="21"/>
  <c r="AE487" i="21"/>
  <c r="AF487" i="21"/>
  <c r="AG487" i="21" s="1"/>
  <c r="AH487" i="21" s="1"/>
  <c r="AI487" i="21"/>
  <c r="AJ487" i="21"/>
  <c r="AK487" i="21"/>
  <c r="AL487" i="21" s="1"/>
  <c r="AM487" i="21" s="1"/>
  <c r="W488" i="21"/>
  <c r="X488" i="21"/>
  <c r="Y488" i="21"/>
  <c r="Z488" i="21"/>
  <c r="AA488" i="21" s="1"/>
  <c r="AB488" i="21"/>
  <c r="AC488" i="21"/>
  <c r="AD488" i="21"/>
  <c r="AE488" i="21"/>
  <c r="AF488" i="21"/>
  <c r="AG488" i="21"/>
  <c r="AH488" i="21" s="1"/>
  <c r="AI488" i="21"/>
  <c r="AJ488" i="21"/>
  <c r="AK488" i="21"/>
  <c r="W489" i="21"/>
  <c r="X489" i="21"/>
  <c r="Y489" i="21"/>
  <c r="Z489" i="21"/>
  <c r="AA489" i="21"/>
  <c r="AB489" i="21" s="1"/>
  <c r="AC489" i="21"/>
  <c r="AD489" i="21"/>
  <c r="AE489" i="21"/>
  <c r="AF489" i="21"/>
  <c r="AG489" i="21"/>
  <c r="AK489" i="21" s="1"/>
  <c r="AI489" i="21"/>
  <c r="AJ489" i="21"/>
  <c r="AL489" i="21" s="1"/>
  <c r="W490" i="21"/>
  <c r="X490" i="21"/>
  <c r="Y490" i="21"/>
  <c r="Z490" i="21"/>
  <c r="AA490" i="21"/>
  <c r="AC490" i="21"/>
  <c r="AD490" i="21"/>
  <c r="AE490" i="21"/>
  <c r="AF490" i="21"/>
  <c r="AG490" i="21" s="1"/>
  <c r="AK490" i="21" s="1"/>
  <c r="AI490" i="21"/>
  <c r="AJ490" i="21"/>
  <c r="W491" i="21"/>
  <c r="X491" i="21"/>
  <c r="Y491" i="21"/>
  <c r="Z491" i="21"/>
  <c r="AC491" i="21"/>
  <c r="AD491" i="21"/>
  <c r="AE491" i="21"/>
  <c r="AF491" i="21"/>
  <c r="AG491" i="21"/>
  <c r="AK491" i="21" s="1"/>
  <c r="AL491" i="21" s="1"/>
  <c r="AI491" i="21"/>
  <c r="AJ491" i="21"/>
  <c r="W492" i="21"/>
  <c r="X492" i="21"/>
  <c r="Y492" i="21"/>
  <c r="Z492" i="21"/>
  <c r="AA492" i="21" s="1"/>
  <c r="AC492" i="21"/>
  <c r="AD492" i="21"/>
  <c r="AE492" i="21"/>
  <c r="AF492" i="21"/>
  <c r="AG492" i="21" s="1"/>
  <c r="AI492" i="21"/>
  <c r="AJ492" i="21"/>
  <c r="W493" i="21"/>
  <c r="X493" i="21"/>
  <c r="Y493" i="21"/>
  <c r="Z493" i="21"/>
  <c r="AA493" i="21" s="1"/>
  <c r="AB493" i="21" s="1"/>
  <c r="AC493" i="21"/>
  <c r="AD493" i="21"/>
  <c r="AE493" i="21"/>
  <c r="AF493" i="21"/>
  <c r="AG493" i="21" s="1"/>
  <c r="AI493" i="21"/>
  <c r="AJ493" i="21"/>
  <c r="W494" i="21"/>
  <c r="X494" i="21"/>
  <c r="Y494" i="21"/>
  <c r="Z494" i="21"/>
  <c r="AA494" i="21"/>
  <c r="AB494" i="21"/>
  <c r="AC494" i="21"/>
  <c r="AD494" i="21"/>
  <c r="AE494" i="21"/>
  <c r="AF494" i="21"/>
  <c r="AG494" i="21" s="1"/>
  <c r="AI494" i="21"/>
  <c r="AJ494" i="21"/>
  <c r="W495" i="21"/>
  <c r="X495" i="21"/>
  <c r="Y495" i="21"/>
  <c r="Z495" i="21"/>
  <c r="AA495" i="21" s="1"/>
  <c r="AC495" i="21"/>
  <c r="AD495" i="21"/>
  <c r="AE495" i="21"/>
  <c r="AF495" i="21"/>
  <c r="AG495" i="21" s="1"/>
  <c r="AH495" i="21"/>
  <c r="AI495" i="21"/>
  <c r="AJ495" i="21"/>
  <c r="AK495" i="21"/>
  <c r="AL495" i="21" s="1"/>
  <c r="AM495" i="21" s="1"/>
  <c r="W496" i="21"/>
  <c r="X496" i="21"/>
  <c r="Y496" i="21"/>
  <c r="Z496" i="21"/>
  <c r="AA496" i="21" s="1"/>
  <c r="AB496" i="21" s="1"/>
  <c r="AC496" i="21"/>
  <c r="AD496" i="21"/>
  <c r="AE496" i="21"/>
  <c r="AF496" i="21"/>
  <c r="AG496" i="21"/>
  <c r="AH496" i="21" s="1"/>
  <c r="AI496" i="21"/>
  <c r="AJ496" i="21"/>
  <c r="W497" i="21"/>
  <c r="X497" i="21"/>
  <c r="Y497" i="21"/>
  <c r="Z497" i="21"/>
  <c r="AA497" i="21"/>
  <c r="AB497" i="21"/>
  <c r="AC497" i="21"/>
  <c r="AD497" i="21"/>
  <c r="AE497" i="21"/>
  <c r="AF497" i="21"/>
  <c r="AG497" i="21" s="1"/>
  <c r="AI497" i="21"/>
  <c r="AJ497" i="21"/>
  <c r="W498" i="21"/>
  <c r="X498" i="21"/>
  <c r="Y498" i="21"/>
  <c r="Z498" i="21"/>
  <c r="AC498" i="21"/>
  <c r="AD498" i="21"/>
  <c r="AE498" i="21"/>
  <c r="AF498" i="21"/>
  <c r="AG498" i="21" s="1"/>
  <c r="AK498" i="21" s="1"/>
  <c r="AI498" i="21"/>
  <c r="AJ498" i="21"/>
  <c r="AL498" i="21" s="1"/>
  <c r="W499" i="21"/>
  <c r="X499" i="21"/>
  <c r="Y499" i="21"/>
  <c r="Z499" i="21"/>
  <c r="AC499" i="21"/>
  <c r="AD499" i="21"/>
  <c r="AE499" i="21"/>
  <c r="AF499" i="21"/>
  <c r="AG499" i="21"/>
  <c r="AK499" i="21" s="1"/>
  <c r="AL499" i="21" s="1"/>
  <c r="AH499" i="21"/>
  <c r="AI499" i="21"/>
  <c r="AJ499" i="21"/>
  <c r="W500" i="21"/>
  <c r="X500" i="21"/>
  <c r="Y500" i="21"/>
  <c r="Z500" i="21"/>
  <c r="AA500" i="21" s="1"/>
  <c r="AC500" i="21"/>
  <c r="AD500" i="21"/>
  <c r="AE500" i="21"/>
  <c r="AF500" i="21"/>
  <c r="AG500" i="21"/>
  <c r="AI500" i="21"/>
  <c r="AJ500" i="21"/>
  <c r="W501" i="21"/>
  <c r="X501" i="21"/>
  <c r="Y501" i="21"/>
  <c r="Z501" i="21"/>
  <c r="AA501" i="21" s="1"/>
  <c r="AB501" i="21" s="1"/>
  <c r="AC501" i="21"/>
  <c r="AD501" i="21"/>
  <c r="AE501" i="21"/>
  <c r="AF501" i="21"/>
  <c r="AG501" i="21" s="1"/>
  <c r="AI501" i="21"/>
  <c r="AJ501" i="21"/>
  <c r="W502" i="21"/>
  <c r="X502" i="21"/>
  <c r="Y502" i="21"/>
  <c r="Z502" i="21"/>
  <c r="AA502" i="21"/>
  <c r="AB502" i="21"/>
  <c r="AC502" i="21"/>
  <c r="AD502" i="21"/>
  <c r="AE502" i="21"/>
  <c r="AF502" i="21"/>
  <c r="AG502" i="21" s="1"/>
  <c r="AI502" i="21"/>
  <c r="AJ502" i="21"/>
  <c r="W503" i="21"/>
  <c r="X503" i="21"/>
  <c r="Y503" i="21"/>
  <c r="Z503" i="21"/>
  <c r="AA503" i="21"/>
  <c r="AC503" i="21"/>
  <c r="AD503" i="21"/>
  <c r="AE503" i="21"/>
  <c r="AF503" i="21"/>
  <c r="AG503" i="21" s="1"/>
  <c r="AH503" i="21" s="1"/>
  <c r="AI503" i="21"/>
  <c r="AJ503" i="21"/>
  <c r="AK503" i="21"/>
  <c r="AL503" i="21" s="1"/>
  <c r="W504" i="21"/>
  <c r="X504" i="21"/>
  <c r="Y504" i="21"/>
  <c r="Z504" i="21"/>
  <c r="AA504" i="21" s="1"/>
  <c r="AC504" i="21"/>
  <c r="AD504" i="21"/>
  <c r="AE504" i="21"/>
  <c r="AF504" i="21"/>
  <c r="AG504" i="21"/>
  <c r="AH504" i="21" s="1"/>
  <c r="AI504" i="21"/>
  <c r="AJ504" i="21"/>
  <c r="AL504" i="21" s="1"/>
  <c r="AM504" i="21" s="1"/>
  <c r="AK504" i="21"/>
  <c r="W505" i="21"/>
  <c r="X505" i="21"/>
  <c r="Y505" i="21"/>
  <c r="Z505" i="21"/>
  <c r="AA505" i="21"/>
  <c r="AB505" i="21" s="1"/>
  <c r="AC505" i="21"/>
  <c r="AD505" i="21"/>
  <c r="AE505" i="21"/>
  <c r="AF505" i="21"/>
  <c r="AG505" i="21" s="1"/>
  <c r="AI505" i="21"/>
  <c r="AJ505" i="21"/>
  <c r="W506" i="21"/>
  <c r="X506" i="21"/>
  <c r="Y506" i="21"/>
  <c r="Z506" i="21"/>
  <c r="AC506" i="21"/>
  <c r="AD506" i="21"/>
  <c r="AE506" i="21"/>
  <c r="AM506" i="21" s="1"/>
  <c r="AF506" i="21"/>
  <c r="AG506" i="21"/>
  <c r="AK506" i="21" s="1"/>
  <c r="AH506" i="21"/>
  <c r="AI506" i="21"/>
  <c r="AJ506" i="21"/>
  <c r="AL506" i="21" s="1"/>
  <c r="W507" i="21"/>
  <c r="X507" i="21"/>
  <c r="Y507" i="21"/>
  <c r="Z507" i="21"/>
  <c r="AA507" i="21"/>
  <c r="AB507" i="21" s="1"/>
  <c r="AC507" i="21"/>
  <c r="AD507" i="21"/>
  <c r="AE507" i="21"/>
  <c r="AF507" i="21"/>
  <c r="AG507" i="21" s="1"/>
  <c r="AI507" i="21"/>
  <c r="AJ507" i="21"/>
  <c r="W508" i="21"/>
  <c r="X508" i="21"/>
  <c r="Y508" i="21"/>
  <c r="Z508" i="21"/>
  <c r="AA508" i="21"/>
  <c r="AC508" i="21"/>
  <c r="AD508" i="21"/>
  <c r="AE508" i="21"/>
  <c r="AF508" i="21"/>
  <c r="AG508" i="21"/>
  <c r="AH508" i="21" s="1"/>
  <c r="AI508" i="21"/>
  <c r="AJ508" i="21"/>
  <c r="AK508" i="21"/>
  <c r="AL508" i="21" s="1"/>
  <c r="W509" i="21"/>
  <c r="X509" i="21"/>
  <c r="Y509" i="21"/>
  <c r="Z509" i="21"/>
  <c r="AA509" i="21" s="1"/>
  <c r="AB509" i="21"/>
  <c r="AC509" i="21"/>
  <c r="AD509" i="21"/>
  <c r="AE509" i="21"/>
  <c r="AF509" i="21"/>
  <c r="AG509" i="21"/>
  <c r="AH509" i="21" s="1"/>
  <c r="AI509" i="21"/>
  <c r="AJ509" i="21"/>
  <c r="AL509" i="21" s="1"/>
  <c r="AM509" i="21" s="1"/>
  <c r="AK509" i="21"/>
  <c r="W510" i="21"/>
  <c r="X510" i="21"/>
  <c r="Y510" i="21"/>
  <c r="Z510" i="21"/>
  <c r="AA510" i="21"/>
  <c r="AB510" i="21" s="1"/>
  <c r="AC510" i="21"/>
  <c r="AD510" i="21"/>
  <c r="AE510" i="21"/>
  <c r="AF510" i="21"/>
  <c r="AG510" i="21"/>
  <c r="AH510" i="21" s="1"/>
  <c r="AI510" i="21"/>
  <c r="AJ510" i="21"/>
  <c r="AL510" i="21" s="1"/>
  <c r="AM510" i="21" s="1"/>
  <c r="AK510" i="21"/>
  <c r="W511" i="21"/>
  <c r="X511" i="21"/>
  <c r="Y511" i="21"/>
  <c r="Z511" i="21"/>
  <c r="AA511" i="21"/>
  <c r="AC511" i="21"/>
  <c r="AD511" i="21"/>
  <c r="AE511" i="21"/>
  <c r="AF511" i="21"/>
  <c r="AG511" i="21" s="1"/>
  <c r="AH511" i="21"/>
  <c r="AI511" i="21"/>
  <c r="AJ511" i="21"/>
  <c r="AL511" i="21" s="1"/>
  <c r="AM511" i="21" s="1"/>
  <c r="AK511" i="21"/>
  <c r="W512" i="21"/>
  <c r="X512" i="21"/>
  <c r="Y512" i="21"/>
  <c r="Z512" i="21"/>
  <c r="AA512" i="21"/>
  <c r="AC512" i="21"/>
  <c r="AD512" i="21"/>
  <c r="AE512" i="21"/>
  <c r="AF512" i="21"/>
  <c r="AG512" i="21"/>
  <c r="AK512" i="21" s="1"/>
  <c r="AH512" i="21"/>
  <c r="AI512" i="21"/>
  <c r="AJ512" i="21"/>
  <c r="AL512" i="21" s="1"/>
  <c r="AM512" i="21" s="1"/>
  <c r="W513" i="21"/>
  <c r="X513" i="21"/>
  <c r="Y513" i="21"/>
  <c r="Z513" i="21"/>
  <c r="AC513" i="21"/>
  <c r="AD513" i="21"/>
  <c r="AE513" i="21"/>
  <c r="AF513" i="21"/>
  <c r="AG513" i="21"/>
  <c r="AK513" i="21" s="1"/>
  <c r="AH513" i="21"/>
  <c r="AI513" i="21"/>
  <c r="AJ513" i="21"/>
  <c r="W514" i="21"/>
  <c r="X514" i="21"/>
  <c r="Y514" i="21"/>
  <c r="Z514" i="21"/>
  <c r="AC514" i="21"/>
  <c r="AD514" i="21"/>
  <c r="AE514" i="21"/>
  <c r="AF514" i="21"/>
  <c r="AG514" i="21"/>
  <c r="AK514" i="21" s="1"/>
  <c r="AH514" i="21"/>
  <c r="AI514" i="21"/>
  <c r="AJ514" i="21"/>
  <c r="W515" i="21"/>
  <c r="X515" i="21"/>
  <c r="Y515" i="21"/>
  <c r="Z515" i="21"/>
  <c r="AC515" i="21"/>
  <c r="AD515" i="21"/>
  <c r="AE515" i="21"/>
  <c r="AF515" i="21"/>
  <c r="AG515" i="21"/>
  <c r="AK515" i="21" s="1"/>
  <c r="AL515" i="21" s="1"/>
  <c r="AH515" i="21"/>
  <c r="AI515" i="21"/>
  <c r="AJ515" i="21"/>
  <c r="W516" i="21"/>
  <c r="X516" i="21"/>
  <c r="Y516" i="21"/>
  <c r="Z516" i="21"/>
  <c r="AC516" i="21"/>
  <c r="AD516" i="21"/>
  <c r="AE516" i="21"/>
  <c r="AF516" i="21"/>
  <c r="AG516" i="21"/>
  <c r="AK516" i="21" s="1"/>
  <c r="AL516" i="21" s="1"/>
  <c r="AM516" i="21" s="1"/>
  <c r="AH516" i="21"/>
  <c r="AI516" i="21"/>
  <c r="AJ516" i="21"/>
  <c r="W517" i="21"/>
  <c r="X517" i="21"/>
  <c r="Y517" i="21"/>
  <c r="Z517" i="21"/>
  <c r="AC517" i="21"/>
  <c r="AD517" i="21"/>
  <c r="AE517" i="21"/>
  <c r="AF517" i="21"/>
  <c r="AG517" i="21"/>
  <c r="AK517" i="21" s="1"/>
  <c r="AH517" i="21"/>
  <c r="AI517" i="21"/>
  <c r="AJ517" i="21"/>
  <c r="AL517" i="21" s="1"/>
  <c r="AM517" i="21" s="1"/>
  <c r="W518" i="21"/>
  <c r="X518" i="21"/>
  <c r="Y518" i="21"/>
  <c r="Z518" i="21"/>
  <c r="AA518" i="21"/>
  <c r="AB518" i="21" s="1"/>
  <c r="AC518" i="21"/>
  <c r="AD518" i="21"/>
  <c r="AE518" i="21"/>
  <c r="AF518" i="21"/>
  <c r="AG518" i="21"/>
  <c r="AH518" i="21" s="1"/>
  <c r="AI518" i="21"/>
  <c r="AJ518" i="21"/>
  <c r="W519" i="21"/>
  <c r="X519" i="21"/>
  <c r="Y519" i="21"/>
  <c r="Z519" i="21"/>
  <c r="AC519" i="21"/>
  <c r="AD519" i="21"/>
  <c r="AE519" i="21"/>
  <c r="AF519" i="21"/>
  <c r="AG519" i="21"/>
  <c r="AK519" i="21" s="1"/>
  <c r="AH519" i="21"/>
  <c r="AI519" i="21"/>
  <c r="AJ519" i="21"/>
  <c r="AL519" i="21" s="1"/>
  <c r="AM519" i="21" s="1"/>
  <c r="W520" i="21"/>
  <c r="X520" i="21"/>
  <c r="Y520" i="21"/>
  <c r="Z520" i="21"/>
  <c r="AA520" i="21" s="1"/>
  <c r="AC520" i="21"/>
  <c r="AD520" i="21"/>
  <c r="AE520" i="21"/>
  <c r="AF520" i="21"/>
  <c r="AG520" i="21"/>
  <c r="AI520" i="21"/>
  <c r="AJ520" i="21"/>
  <c r="W521" i="21"/>
  <c r="X521" i="21"/>
  <c r="Y521" i="21"/>
  <c r="Z521" i="21"/>
  <c r="AA521" i="21" s="1"/>
  <c r="AC521" i="21"/>
  <c r="AD521" i="21"/>
  <c r="AE521" i="21"/>
  <c r="AF521" i="21"/>
  <c r="AG521" i="21" s="1"/>
  <c r="AI521" i="21"/>
  <c r="AJ521" i="21"/>
  <c r="W522" i="21"/>
  <c r="X522" i="21"/>
  <c r="Y522" i="21"/>
  <c r="Z522" i="21"/>
  <c r="AA522" i="21" s="1"/>
  <c r="AB522" i="21" s="1"/>
  <c r="AC522" i="21"/>
  <c r="AD522" i="21"/>
  <c r="AE522" i="21"/>
  <c r="AF522" i="21"/>
  <c r="AG522" i="21" s="1"/>
  <c r="AI522" i="21"/>
  <c r="AJ522" i="21"/>
  <c r="W523" i="21"/>
  <c r="X523" i="21"/>
  <c r="Y523" i="21"/>
  <c r="Z523" i="21"/>
  <c r="AA523" i="21"/>
  <c r="AB523" i="21"/>
  <c r="AC523" i="21"/>
  <c r="AD523" i="21"/>
  <c r="AE523" i="21"/>
  <c r="AF523" i="21"/>
  <c r="AG523" i="21"/>
  <c r="AH523" i="21" s="1"/>
  <c r="AI523" i="21"/>
  <c r="AJ523" i="21"/>
  <c r="AK523" i="21"/>
  <c r="AL523" i="21"/>
  <c r="W524" i="21"/>
  <c r="X524" i="21"/>
  <c r="Y524" i="21"/>
  <c r="Z524" i="21"/>
  <c r="AA524" i="21"/>
  <c r="AB524" i="21"/>
  <c r="AC524" i="21"/>
  <c r="AD524" i="21"/>
  <c r="AE524" i="21"/>
  <c r="AF524" i="21"/>
  <c r="AG524" i="21" s="1"/>
  <c r="AH524" i="21" s="1"/>
  <c r="AI524" i="21"/>
  <c r="AJ524" i="21"/>
  <c r="AK524" i="21"/>
  <c r="W525" i="21"/>
  <c r="X525" i="21"/>
  <c r="Y525" i="21"/>
  <c r="Z525" i="21"/>
  <c r="AA525" i="21"/>
  <c r="AB525" i="21"/>
  <c r="AC525" i="21"/>
  <c r="AD525" i="21"/>
  <c r="AE525" i="21"/>
  <c r="AF525" i="21"/>
  <c r="AG525" i="21"/>
  <c r="AH525" i="21"/>
  <c r="AI525" i="21"/>
  <c r="AJ525" i="21"/>
  <c r="AL525" i="21" s="1"/>
  <c r="AM525" i="21" s="1"/>
  <c r="AK525" i="21"/>
  <c r="W526" i="21"/>
  <c r="X526" i="21"/>
  <c r="Y526" i="21"/>
  <c r="Z526" i="21"/>
  <c r="AA526" i="21"/>
  <c r="AC526" i="21"/>
  <c r="AD526" i="21"/>
  <c r="AE526" i="21"/>
  <c r="AF526" i="21"/>
  <c r="AG526" i="21"/>
  <c r="AK526" i="21" s="1"/>
  <c r="AH526" i="21"/>
  <c r="AI526" i="21"/>
  <c r="AJ526" i="21"/>
  <c r="AL526" i="21" s="1"/>
  <c r="AM526" i="21" s="1"/>
  <c r="W527" i="21"/>
  <c r="X527" i="21"/>
  <c r="Y527" i="21"/>
  <c r="Z527" i="21"/>
  <c r="AC527" i="21"/>
  <c r="AD527" i="21"/>
  <c r="AE527" i="21"/>
  <c r="AF527" i="21"/>
  <c r="AG527" i="21"/>
  <c r="AK527" i="21" s="1"/>
  <c r="AL527" i="21" s="1"/>
  <c r="AM527" i="21" s="1"/>
  <c r="AH527" i="21"/>
  <c r="AI527" i="21"/>
  <c r="AJ527" i="21"/>
  <c r="W528" i="21"/>
  <c r="X528" i="21"/>
  <c r="Y528" i="21"/>
  <c r="Z528" i="21"/>
  <c r="AA528" i="21" s="1"/>
  <c r="AC528" i="21"/>
  <c r="AD528" i="21"/>
  <c r="AE528" i="21"/>
  <c r="AF528" i="21"/>
  <c r="AG528" i="21"/>
  <c r="AI528" i="21"/>
  <c r="AJ528" i="21"/>
  <c r="W529" i="21"/>
  <c r="X529" i="21"/>
  <c r="Y529" i="21"/>
  <c r="Z529" i="21"/>
  <c r="AA529" i="21" s="1"/>
  <c r="AC529" i="21"/>
  <c r="AD529" i="21"/>
  <c r="AE529" i="21"/>
  <c r="AF529" i="21"/>
  <c r="AG529" i="21" s="1"/>
  <c r="AI529" i="21"/>
  <c r="AJ529" i="21"/>
  <c r="W530" i="21"/>
  <c r="X530" i="21"/>
  <c r="Y530" i="21"/>
  <c r="Z530" i="21"/>
  <c r="AA530" i="21" s="1"/>
  <c r="AC530" i="21"/>
  <c r="AD530" i="21"/>
  <c r="AE530" i="21"/>
  <c r="AF530" i="21"/>
  <c r="AG530" i="21" s="1"/>
  <c r="AI530" i="21"/>
  <c r="AJ530" i="21"/>
  <c r="W531" i="21"/>
  <c r="X531" i="21"/>
  <c r="Y531" i="21"/>
  <c r="Z531" i="21"/>
  <c r="AA531" i="21" s="1"/>
  <c r="AB531" i="21" s="1"/>
  <c r="AC531" i="21"/>
  <c r="AD531" i="21"/>
  <c r="AE531" i="21"/>
  <c r="AF531" i="21"/>
  <c r="AG531" i="21"/>
  <c r="AH531" i="21" s="1"/>
  <c r="AI531" i="21"/>
  <c r="AJ531" i="21"/>
  <c r="AK531" i="21"/>
  <c r="AL531" i="21"/>
  <c r="W532" i="21"/>
  <c r="X532" i="21"/>
  <c r="Y532" i="21"/>
  <c r="Z532" i="21"/>
  <c r="AA532" i="21"/>
  <c r="AB532" i="21"/>
  <c r="AC532" i="21"/>
  <c r="AD532" i="21"/>
  <c r="AE532" i="21"/>
  <c r="AF532" i="21"/>
  <c r="AG532" i="21" s="1"/>
  <c r="AH532" i="21" s="1"/>
  <c r="AI532" i="21"/>
  <c r="AJ532" i="21"/>
  <c r="W533" i="21"/>
  <c r="X533" i="21"/>
  <c r="Y533" i="21"/>
  <c r="Z533" i="21"/>
  <c r="AA533" i="21"/>
  <c r="AB533" i="21"/>
  <c r="AC533" i="21"/>
  <c r="AD533" i="21"/>
  <c r="AE533" i="21"/>
  <c r="AF533" i="21"/>
  <c r="AG533" i="21"/>
  <c r="AH533" i="21"/>
  <c r="AI533" i="21"/>
  <c r="AJ533" i="21"/>
  <c r="AL533" i="21" s="1"/>
  <c r="AM533" i="21" s="1"/>
  <c r="AK533" i="21"/>
  <c r="W534" i="21"/>
  <c r="X534" i="21"/>
  <c r="Y534" i="21"/>
  <c r="Z534" i="21"/>
  <c r="AB534" i="21" s="1"/>
  <c r="AA534" i="21"/>
  <c r="AC534" i="21"/>
  <c r="AD534" i="21"/>
  <c r="AE534" i="21"/>
  <c r="AF534" i="21"/>
  <c r="AG534" i="21"/>
  <c r="AK534" i="21" s="1"/>
  <c r="AH534" i="21"/>
  <c r="AI534" i="21"/>
  <c r="AJ534" i="21"/>
  <c r="W535" i="21"/>
  <c r="X535" i="21"/>
  <c r="Y535" i="21"/>
  <c r="Z535" i="21"/>
  <c r="AC535" i="21"/>
  <c r="AD535" i="21"/>
  <c r="AE535" i="21"/>
  <c r="AF535" i="21"/>
  <c r="AG535" i="21"/>
  <c r="AK535" i="21" s="1"/>
  <c r="AL535" i="21" s="1"/>
  <c r="AH535" i="21"/>
  <c r="AI535" i="21"/>
  <c r="AJ535" i="21"/>
  <c r="W536" i="21"/>
  <c r="X536" i="21"/>
  <c r="Y536" i="21"/>
  <c r="Z536" i="21"/>
  <c r="AA536" i="21" s="1"/>
  <c r="AC536" i="21"/>
  <c r="AD536" i="21"/>
  <c r="AE536" i="21"/>
  <c r="AF536" i="21"/>
  <c r="AG536" i="21"/>
  <c r="AI536" i="21"/>
  <c r="AJ536" i="21"/>
  <c r="W537" i="21"/>
  <c r="X537" i="21"/>
  <c r="Y537" i="21"/>
  <c r="Z537" i="21"/>
  <c r="AA537" i="21" s="1"/>
  <c r="AC537" i="21"/>
  <c r="AD537" i="21"/>
  <c r="AE537" i="21"/>
  <c r="AF537" i="21"/>
  <c r="AG537" i="21" s="1"/>
  <c r="AI537" i="21"/>
  <c r="AJ537" i="21"/>
  <c r="W538" i="21"/>
  <c r="X538" i="21"/>
  <c r="Y538" i="21"/>
  <c r="Z538" i="21"/>
  <c r="AA538" i="21" s="1"/>
  <c r="AC538" i="21"/>
  <c r="AD538" i="21"/>
  <c r="AE538" i="21"/>
  <c r="AF538" i="21"/>
  <c r="AG538" i="21" s="1"/>
  <c r="AI538" i="21"/>
  <c r="AJ538" i="21"/>
  <c r="W539" i="21"/>
  <c r="X539" i="21"/>
  <c r="Y539" i="21"/>
  <c r="Z539" i="21"/>
  <c r="AA539" i="21" s="1"/>
  <c r="AB539" i="21" s="1"/>
  <c r="AC539" i="21"/>
  <c r="AD539" i="21"/>
  <c r="AE539" i="21"/>
  <c r="AF539" i="21"/>
  <c r="AG539" i="21"/>
  <c r="AH539" i="21" s="1"/>
  <c r="AI539" i="21"/>
  <c r="AJ539" i="21"/>
  <c r="AK539" i="21"/>
  <c r="AL539" i="21"/>
  <c r="W540" i="21"/>
  <c r="X540" i="21"/>
  <c r="Y540" i="21"/>
  <c r="Z540" i="21"/>
  <c r="AA540" i="21"/>
  <c r="AB540" i="21"/>
  <c r="AC540" i="21"/>
  <c r="AD540" i="21"/>
  <c r="AE540" i="21"/>
  <c r="AF540" i="21"/>
  <c r="AG540" i="21" s="1"/>
  <c r="AH540" i="21" s="1"/>
  <c r="AI540" i="21"/>
  <c r="AJ540" i="21"/>
  <c r="AK540" i="21"/>
  <c r="W541" i="21"/>
  <c r="X541" i="21"/>
  <c r="Y541" i="21"/>
  <c r="Z541" i="21"/>
  <c r="AA541" i="21"/>
  <c r="AB541" i="21"/>
  <c r="AC541" i="21"/>
  <c r="AD541" i="21"/>
  <c r="AE541" i="21"/>
  <c r="AF541" i="21"/>
  <c r="AG541" i="21"/>
  <c r="AH541" i="21"/>
  <c r="AI541" i="21"/>
  <c r="AJ541" i="21"/>
  <c r="AL541" i="21" s="1"/>
  <c r="AM541" i="21" s="1"/>
  <c r="AK541" i="21"/>
  <c r="W542" i="21"/>
  <c r="X542" i="21"/>
  <c r="Y542" i="21"/>
  <c r="Z542" i="21"/>
  <c r="AA542" i="21"/>
  <c r="AC542" i="21"/>
  <c r="AD542" i="21"/>
  <c r="AE542" i="21"/>
  <c r="AF542" i="21"/>
  <c r="AG542" i="21"/>
  <c r="AK542" i="21" s="1"/>
  <c r="AH542" i="21"/>
  <c r="AI542" i="21"/>
  <c r="AJ542" i="21"/>
  <c r="AL542" i="21" s="1"/>
  <c r="AM542" i="21" s="1"/>
  <c r="W543" i="21"/>
  <c r="X543" i="21"/>
  <c r="Y543" i="21"/>
  <c r="Z543" i="21"/>
  <c r="AC543" i="21"/>
  <c r="AD543" i="21"/>
  <c r="AE543" i="21"/>
  <c r="AF543" i="21"/>
  <c r="AG543" i="21"/>
  <c r="AK543" i="21" s="1"/>
  <c r="AL543" i="21" s="1"/>
  <c r="AM543" i="21" s="1"/>
  <c r="AH543" i="21"/>
  <c r="AI543" i="21"/>
  <c r="AJ543" i="21"/>
  <c r="W544" i="21"/>
  <c r="X544" i="21"/>
  <c r="Y544" i="21"/>
  <c r="Z544" i="21"/>
  <c r="AA544" i="21" s="1"/>
  <c r="AC544" i="21"/>
  <c r="AD544" i="21"/>
  <c r="AE544" i="21"/>
  <c r="AF544" i="21"/>
  <c r="AG544" i="21"/>
  <c r="AI544" i="21"/>
  <c r="AJ544" i="21"/>
  <c r="W545" i="21"/>
  <c r="X545" i="21"/>
  <c r="Y545" i="21"/>
  <c r="Z545" i="21"/>
  <c r="AA545" i="21" s="1"/>
  <c r="AC545" i="21"/>
  <c r="AD545" i="21"/>
  <c r="AE545" i="21"/>
  <c r="AF545" i="21"/>
  <c r="AG545" i="21" s="1"/>
  <c r="AI545" i="21"/>
  <c r="AJ545" i="21"/>
  <c r="W546" i="21"/>
  <c r="X546" i="21"/>
  <c r="Y546" i="21"/>
  <c r="Z546" i="21"/>
  <c r="AA546" i="21" s="1"/>
  <c r="AC546" i="21"/>
  <c r="AD546" i="21"/>
  <c r="AE546" i="21"/>
  <c r="AF546" i="21"/>
  <c r="AG546" i="21" s="1"/>
  <c r="AI546" i="21"/>
  <c r="AJ546" i="21"/>
  <c r="W547" i="21"/>
  <c r="X547" i="21"/>
  <c r="Y547" i="21"/>
  <c r="Z547" i="21"/>
  <c r="AA547" i="21" s="1"/>
  <c r="AB547" i="21" s="1"/>
  <c r="AC547" i="21"/>
  <c r="AD547" i="21"/>
  <c r="AE547" i="21"/>
  <c r="AF547" i="21"/>
  <c r="AG547" i="21"/>
  <c r="AH547" i="21" s="1"/>
  <c r="AI547" i="21"/>
  <c r="AJ547" i="21"/>
  <c r="AK547" i="21"/>
  <c r="AL547" i="21"/>
  <c r="AM547" i="21" s="1"/>
  <c r="W548" i="21"/>
  <c r="X548" i="21"/>
  <c r="Y548" i="21"/>
  <c r="Z548" i="21"/>
  <c r="AA548" i="21"/>
  <c r="AB548" i="21"/>
  <c r="AC548" i="21"/>
  <c r="AD548" i="21"/>
  <c r="AE548" i="21"/>
  <c r="AF548" i="21"/>
  <c r="AG548" i="21" s="1"/>
  <c r="AH548" i="21" s="1"/>
  <c r="AI548" i="21"/>
  <c r="AJ548" i="21"/>
  <c r="W549" i="21"/>
  <c r="X549" i="21"/>
  <c r="Y549" i="21"/>
  <c r="Z549" i="21"/>
  <c r="AA549" i="21"/>
  <c r="AB549" i="21"/>
  <c r="AC549" i="21"/>
  <c r="AD549" i="21"/>
  <c r="AE549" i="21"/>
  <c r="AF549" i="21"/>
  <c r="AG549" i="21"/>
  <c r="AH549" i="21"/>
  <c r="AI549" i="21"/>
  <c r="AJ549" i="21"/>
  <c r="AL549" i="21" s="1"/>
  <c r="AM549" i="21" s="1"/>
  <c r="AK549" i="21"/>
  <c r="W550" i="21"/>
  <c r="X550" i="21"/>
  <c r="Y550" i="21"/>
  <c r="Z550" i="21"/>
  <c r="AB550" i="21" s="1"/>
  <c r="AA550" i="21"/>
  <c r="AC550" i="21"/>
  <c r="AD550" i="21"/>
  <c r="AE550" i="21"/>
  <c r="AF550" i="21"/>
  <c r="AG550" i="21"/>
  <c r="AK550" i="21" s="1"/>
  <c r="AH550" i="21"/>
  <c r="AI550" i="21"/>
  <c r="AJ550" i="21"/>
  <c r="W551" i="21"/>
  <c r="X551" i="21"/>
  <c r="Y551" i="21"/>
  <c r="Z551" i="21"/>
  <c r="AC551" i="21"/>
  <c r="AD551" i="21"/>
  <c r="AE551" i="21"/>
  <c r="AF551" i="21"/>
  <c r="AG551" i="21"/>
  <c r="AK551" i="21" s="1"/>
  <c r="AL551" i="21" s="1"/>
  <c r="AH551" i="21"/>
  <c r="AI551" i="21"/>
  <c r="AJ551" i="21"/>
  <c r="W552" i="21"/>
  <c r="X552" i="21"/>
  <c r="Y552" i="21"/>
  <c r="Z552" i="21"/>
  <c r="AA552" i="21" s="1"/>
  <c r="AC552" i="21"/>
  <c r="AD552" i="21"/>
  <c r="AE552" i="21"/>
  <c r="AF552" i="21"/>
  <c r="AG552" i="21"/>
  <c r="AI552" i="21"/>
  <c r="AJ552" i="21"/>
  <c r="W553" i="21"/>
  <c r="X553" i="21"/>
  <c r="Y553" i="21"/>
  <c r="Z553" i="21"/>
  <c r="AA553" i="21" s="1"/>
  <c r="AC553" i="21"/>
  <c r="AD553" i="21"/>
  <c r="AE553" i="21"/>
  <c r="AF553" i="21"/>
  <c r="AG553" i="21" s="1"/>
  <c r="AI553" i="21"/>
  <c r="AJ553" i="21"/>
  <c r="W554" i="21"/>
  <c r="X554" i="21"/>
  <c r="Y554" i="21"/>
  <c r="Z554" i="21"/>
  <c r="AA554" i="21" s="1"/>
  <c r="AC554" i="21"/>
  <c r="AD554" i="21"/>
  <c r="AE554" i="21"/>
  <c r="AF554" i="21"/>
  <c r="AG554" i="21" s="1"/>
  <c r="AI554" i="21"/>
  <c r="AJ554" i="21"/>
  <c r="W555" i="21"/>
  <c r="X555" i="21"/>
  <c r="Y555" i="21"/>
  <c r="Z555" i="21"/>
  <c r="AA555" i="21" s="1"/>
  <c r="AB555" i="21" s="1"/>
  <c r="AC555" i="21"/>
  <c r="AD555" i="21"/>
  <c r="AE555" i="21"/>
  <c r="AF555" i="21"/>
  <c r="AG555" i="21"/>
  <c r="AH555" i="21" s="1"/>
  <c r="AI555" i="21"/>
  <c r="AJ555" i="21"/>
  <c r="AK555" i="21"/>
  <c r="AL555" i="21"/>
  <c r="W556" i="21"/>
  <c r="X556" i="21"/>
  <c r="Y556" i="21"/>
  <c r="Z556" i="21"/>
  <c r="AA556" i="21"/>
  <c r="AB556" i="21"/>
  <c r="AC556" i="21"/>
  <c r="AD556" i="21"/>
  <c r="AE556" i="21"/>
  <c r="AF556" i="21"/>
  <c r="AG556" i="21" s="1"/>
  <c r="AH556" i="21" s="1"/>
  <c r="AI556" i="21"/>
  <c r="AJ556" i="21"/>
  <c r="AK556" i="21"/>
  <c r="W557" i="21"/>
  <c r="X557" i="21"/>
  <c r="Y557" i="21"/>
  <c r="Z557" i="21"/>
  <c r="AA557" i="21"/>
  <c r="AB557" i="21"/>
  <c r="AC557" i="21"/>
  <c r="AD557" i="21"/>
  <c r="AE557" i="21"/>
  <c r="AF557" i="21"/>
  <c r="AG557" i="21"/>
  <c r="AH557" i="21"/>
  <c r="AI557" i="21"/>
  <c r="AJ557" i="21"/>
  <c r="AL557" i="21" s="1"/>
  <c r="AM557" i="21" s="1"/>
  <c r="AK557" i="21"/>
  <c r="W558" i="21"/>
  <c r="X558" i="21"/>
  <c r="Y558" i="21"/>
  <c r="Z558" i="21"/>
  <c r="AA558" i="21"/>
  <c r="AC558" i="21"/>
  <c r="AD558" i="21"/>
  <c r="AE558" i="21"/>
  <c r="AF558" i="21"/>
  <c r="AG558" i="21"/>
  <c r="AK558" i="21" s="1"/>
  <c r="AH558" i="21"/>
  <c r="AI558" i="21"/>
  <c r="AJ558" i="21"/>
  <c r="AL558" i="21" s="1"/>
  <c r="AM558" i="21" s="1"/>
  <c r="W559" i="21"/>
  <c r="X559" i="21"/>
  <c r="Y559" i="21"/>
  <c r="Z559" i="21"/>
  <c r="AC559" i="21"/>
  <c r="AD559" i="21"/>
  <c r="AE559" i="21"/>
  <c r="AF559" i="21"/>
  <c r="AG559" i="21"/>
  <c r="AK559" i="21" s="1"/>
  <c r="AL559" i="21" s="1"/>
  <c r="AM559" i="21" s="1"/>
  <c r="AH559" i="21"/>
  <c r="AI559" i="21"/>
  <c r="AJ559" i="21"/>
  <c r="W560" i="21"/>
  <c r="X560" i="21"/>
  <c r="Y560" i="21"/>
  <c r="Z560" i="21"/>
  <c r="AA560" i="21" s="1"/>
  <c r="AC560" i="21"/>
  <c r="AD560" i="21"/>
  <c r="AE560" i="21"/>
  <c r="AF560" i="21"/>
  <c r="AG560" i="21"/>
  <c r="AI560" i="21"/>
  <c r="AJ560" i="21"/>
  <c r="W561" i="21"/>
  <c r="X561" i="21"/>
  <c r="Y561" i="21"/>
  <c r="Z561" i="21"/>
  <c r="AA561" i="21" s="1"/>
  <c r="AC561" i="21"/>
  <c r="AD561" i="21"/>
  <c r="AE561" i="21"/>
  <c r="AF561" i="21"/>
  <c r="AG561" i="21" s="1"/>
  <c r="AI561" i="21"/>
  <c r="AJ561" i="21"/>
  <c r="W562" i="21"/>
  <c r="X562" i="21"/>
  <c r="Y562" i="21"/>
  <c r="Z562" i="21"/>
  <c r="AA562" i="21" s="1"/>
  <c r="AC562" i="21"/>
  <c r="AD562" i="21"/>
  <c r="AE562" i="21"/>
  <c r="AF562" i="21"/>
  <c r="AG562" i="21" s="1"/>
  <c r="AI562" i="21"/>
  <c r="AJ562" i="21"/>
  <c r="W563" i="21"/>
  <c r="X563" i="21"/>
  <c r="Y563" i="21"/>
  <c r="Z563" i="21"/>
  <c r="AA563" i="21" s="1"/>
  <c r="AB563" i="21" s="1"/>
  <c r="AC563" i="21"/>
  <c r="AD563" i="21"/>
  <c r="AE563" i="21"/>
  <c r="AF563" i="21"/>
  <c r="AG563" i="21"/>
  <c r="AH563" i="21" s="1"/>
  <c r="AI563" i="21"/>
  <c r="AJ563" i="21"/>
  <c r="AK563" i="21"/>
  <c r="AL563" i="21"/>
  <c r="W564" i="21"/>
  <c r="X564" i="21"/>
  <c r="Y564" i="21"/>
  <c r="Z564" i="21"/>
  <c r="AA564" i="21"/>
  <c r="AB564" i="21"/>
  <c r="AC564" i="21"/>
  <c r="AD564" i="21"/>
  <c r="AE564" i="21"/>
  <c r="AF564" i="21"/>
  <c r="AG564" i="21" s="1"/>
  <c r="AH564" i="21" s="1"/>
  <c r="AI564" i="21"/>
  <c r="AJ564" i="21"/>
  <c r="W565" i="21"/>
  <c r="X565" i="21"/>
  <c r="Y565" i="21"/>
  <c r="Z565" i="21"/>
  <c r="AA565" i="21"/>
  <c r="AB565" i="21"/>
  <c r="AC565" i="21"/>
  <c r="AD565" i="21"/>
  <c r="AE565" i="21"/>
  <c r="AF565" i="21"/>
  <c r="AG565" i="21"/>
  <c r="AH565" i="21"/>
  <c r="AI565" i="21"/>
  <c r="AJ565" i="21"/>
  <c r="AL565" i="21" s="1"/>
  <c r="AM565" i="21" s="1"/>
  <c r="AK565" i="21"/>
  <c r="W566" i="21"/>
  <c r="X566" i="21"/>
  <c r="Y566" i="21"/>
  <c r="Z566" i="21"/>
  <c r="AB566" i="21" s="1"/>
  <c r="AA566" i="21"/>
  <c r="AC566" i="21"/>
  <c r="AD566" i="21"/>
  <c r="AE566" i="21"/>
  <c r="AF566" i="21"/>
  <c r="AG566" i="21"/>
  <c r="AK566" i="21" s="1"/>
  <c r="AH566" i="21"/>
  <c r="AI566" i="21"/>
  <c r="AJ566" i="21"/>
  <c r="W567" i="21"/>
  <c r="X567" i="21"/>
  <c r="Y567" i="21"/>
  <c r="Z567" i="21"/>
  <c r="AC567" i="21"/>
  <c r="AD567" i="21"/>
  <c r="AE567" i="21"/>
  <c r="AF567" i="21"/>
  <c r="AG567" i="21"/>
  <c r="AK567" i="21" s="1"/>
  <c r="AL567" i="21" s="1"/>
  <c r="AH567" i="21"/>
  <c r="AI567" i="21"/>
  <c r="AJ567" i="21"/>
  <c r="W568" i="21"/>
  <c r="X568" i="21"/>
  <c r="Y568" i="21"/>
  <c r="Z568" i="21"/>
  <c r="AA568" i="21" s="1"/>
  <c r="AC568" i="21"/>
  <c r="AD568" i="21"/>
  <c r="AE568" i="21"/>
  <c r="AF568" i="21"/>
  <c r="AG568" i="21"/>
  <c r="AI568" i="21"/>
  <c r="AJ568" i="21"/>
  <c r="W569" i="21"/>
  <c r="X569" i="21"/>
  <c r="Y569" i="21"/>
  <c r="Z569" i="21"/>
  <c r="AB569" i="21" s="1"/>
  <c r="AA569" i="21"/>
  <c r="AC569" i="21"/>
  <c r="AD569" i="21"/>
  <c r="AE569" i="21"/>
  <c r="AF569" i="21"/>
  <c r="AG569" i="21" s="1"/>
  <c r="AI569" i="21"/>
  <c r="AJ569" i="21"/>
  <c r="W570" i="21"/>
  <c r="X570" i="21"/>
  <c r="Y570" i="21"/>
  <c r="Z570" i="21"/>
  <c r="AA570" i="21" s="1"/>
  <c r="AC570" i="21"/>
  <c r="AD570" i="21"/>
  <c r="AE570" i="21"/>
  <c r="AF570" i="21"/>
  <c r="AG570" i="21" s="1"/>
  <c r="AI570" i="21"/>
  <c r="AJ570" i="21"/>
  <c r="W571" i="21"/>
  <c r="X571" i="21"/>
  <c r="Y571" i="21"/>
  <c r="Z571" i="21"/>
  <c r="AA571" i="21" s="1"/>
  <c r="AB571" i="21" s="1"/>
  <c r="AC571" i="21"/>
  <c r="AD571" i="21"/>
  <c r="AE571" i="21"/>
  <c r="AF571" i="21"/>
  <c r="AG571" i="21"/>
  <c r="AH571" i="21" s="1"/>
  <c r="AI571" i="21"/>
  <c r="AJ571" i="21"/>
  <c r="AK571" i="21"/>
  <c r="AL571" i="21"/>
  <c r="AM571" i="21" s="1"/>
  <c r="W572" i="21"/>
  <c r="X572" i="21"/>
  <c r="Y572" i="21"/>
  <c r="Z572" i="21"/>
  <c r="AA572" i="21"/>
  <c r="AB572" i="21"/>
  <c r="AC572" i="21"/>
  <c r="AD572" i="21"/>
  <c r="AE572" i="21"/>
  <c r="AF572" i="21"/>
  <c r="AG572" i="21" s="1"/>
  <c r="AH572" i="21" s="1"/>
  <c r="AI572" i="21"/>
  <c r="AJ572" i="21"/>
  <c r="AL572" i="21" s="1"/>
  <c r="AM572" i="21" s="1"/>
  <c r="AK572" i="21"/>
  <c r="W573" i="21"/>
  <c r="X573" i="21"/>
  <c r="Y573" i="21"/>
  <c r="Z573" i="21"/>
  <c r="AA573" i="21"/>
  <c r="AB573" i="21"/>
  <c r="AC573" i="21"/>
  <c r="AD573" i="21"/>
  <c r="AE573" i="21"/>
  <c r="AF573" i="21"/>
  <c r="AG573" i="21"/>
  <c r="AH573" i="21"/>
  <c r="AI573" i="21"/>
  <c r="AJ573" i="21"/>
  <c r="AL573" i="21" s="1"/>
  <c r="AM573" i="21" s="1"/>
  <c r="AK573" i="21"/>
  <c r="W574" i="21"/>
  <c r="X574" i="21"/>
  <c r="Y574" i="21"/>
  <c r="Z574" i="21"/>
  <c r="AB574" i="21" s="1"/>
  <c r="AA574" i="21"/>
  <c r="AC574" i="21"/>
  <c r="AD574" i="21"/>
  <c r="AE574" i="21"/>
  <c r="AF574" i="21"/>
  <c r="AG574" i="21"/>
  <c r="AK574" i="21" s="1"/>
  <c r="AH574" i="21"/>
  <c r="AI574" i="21"/>
  <c r="AJ574" i="21"/>
  <c r="AL574" i="21" s="1"/>
  <c r="AM574" i="21" s="1"/>
  <c r="W575" i="21"/>
  <c r="X575" i="21"/>
  <c r="Y575" i="21"/>
  <c r="Z575" i="21"/>
  <c r="AC575" i="21"/>
  <c r="AD575" i="21"/>
  <c r="AE575" i="21"/>
  <c r="AF575" i="21"/>
  <c r="AG575" i="21"/>
  <c r="AK575" i="21" s="1"/>
  <c r="AL575" i="21" s="1"/>
  <c r="AH575" i="21"/>
  <c r="AI575" i="21"/>
  <c r="AJ575" i="21"/>
  <c r="W576" i="21"/>
  <c r="X576" i="21"/>
  <c r="Y576" i="21"/>
  <c r="Z576" i="21"/>
  <c r="AA576" i="21" s="1"/>
  <c r="AC576" i="21"/>
  <c r="AD576" i="21"/>
  <c r="AE576" i="21"/>
  <c r="AF576" i="21"/>
  <c r="AG576" i="21"/>
  <c r="AI576" i="21"/>
  <c r="AJ576" i="21"/>
  <c r="W577" i="21"/>
  <c r="X577" i="21"/>
  <c r="Y577" i="21"/>
  <c r="Z577" i="21"/>
  <c r="AB577" i="21" s="1"/>
  <c r="AA577" i="21"/>
  <c r="AC577" i="21"/>
  <c r="AD577" i="21"/>
  <c r="AE577" i="21"/>
  <c r="AF577" i="21"/>
  <c r="AG577" i="21" s="1"/>
  <c r="AI577" i="21"/>
  <c r="AJ577" i="21"/>
  <c r="W578" i="21"/>
  <c r="X578" i="21"/>
  <c r="Y578" i="21"/>
  <c r="Z578" i="21"/>
  <c r="AA578" i="21" s="1"/>
  <c r="AC578" i="21"/>
  <c r="AD578" i="21"/>
  <c r="AE578" i="21"/>
  <c r="AF578" i="21"/>
  <c r="AG578" i="21" s="1"/>
  <c r="AI578" i="21"/>
  <c r="AJ578" i="21"/>
  <c r="W579" i="21"/>
  <c r="X579" i="21"/>
  <c r="Y579" i="21"/>
  <c r="Z579" i="21"/>
  <c r="AA579" i="21" s="1"/>
  <c r="AB579" i="21" s="1"/>
  <c r="AC579" i="21"/>
  <c r="AD579" i="21"/>
  <c r="AE579" i="21"/>
  <c r="AF579" i="21"/>
  <c r="AG579" i="21"/>
  <c r="AH579" i="21" s="1"/>
  <c r="AI579" i="21"/>
  <c r="AJ579" i="21"/>
  <c r="AK579" i="21"/>
  <c r="AL579" i="21"/>
  <c r="AM579" i="21" s="1"/>
  <c r="W580" i="21"/>
  <c r="X580" i="21"/>
  <c r="Y580" i="21"/>
  <c r="Z580" i="21"/>
  <c r="AA580" i="21"/>
  <c r="AB580" i="21"/>
  <c r="AC580" i="21"/>
  <c r="AD580" i="21"/>
  <c r="AE580" i="21"/>
  <c r="AF580" i="21"/>
  <c r="AG580" i="21" s="1"/>
  <c r="AH580" i="21" s="1"/>
  <c r="AI580" i="21"/>
  <c r="AJ580" i="21"/>
  <c r="AK580" i="21"/>
  <c r="W581" i="21"/>
  <c r="X581" i="21"/>
  <c r="Y581" i="21"/>
  <c r="Z581" i="21"/>
  <c r="AA581" i="21"/>
  <c r="AB581" i="21"/>
  <c r="AC581" i="21"/>
  <c r="AD581" i="21"/>
  <c r="AE581" i="21"/>
  <c r="AF581" i="21"/>
  <c r="AG581" i="21"/>
  <c r="AH581" i="21"/>
  <c r="AI581" i="21"/>
  <c r="AJ581" i="21"/>
  <c r="AL581" i="21" s="1"/>
  <c r="AM581" i="21" s="1"/>
  <c r="AK581" i="21"/>
  <c r="W582" i="21"/>
  <c r="X582" i="21"/>
  <c r="Y582" i="21"/>
  <c r="Z582" i="21"/>
  <c r="AA582" i="21"/>
  <c r="AC582" i="21"/>
  <c r="AD582" i="21"/>
  <c r="AE582" i="21"/>
  <c r="AF582" i="21"/>
  <c r="AG582" i="21"/>
  <c r="AK582" i="21" s="1"/>
  <c r="AH582" i="21"/>
  <c r="AI582" i="21"/>
  <c r="AJ582" i="21"/>
  <c r="AL582" i="21" s="1"/>
  <c r="AM582" i="21" s="1"/>
  <c r="W583" i="21"/>
  <c r="X583" i="21"/>
  <c r="Y583" i="21"/>
  <c r="Z583" i="21"/>
  <c r="AC583" i="21"/>
  <c r="AD583" i="21"/>
  <c r="AE583" i="21"/>
  <c r="AF583" i="21"/>
  <c r="AG583" i="21"/>
  <c r="AK583" i="21" s="1"/>
  <c r="AL583" i="21" s="1"/>
  <c r="AM583" i="21" s="1"/>
  <c r="AH583" i="21"/>
  <c r="AI583" i="21"/>
  <c r="AJ583" i="21"/>
  <c r="W584" i="21"/>
  <c r="X584" i="21"/>
  <c r="Y584" i="21"/>
  <c r="Z584" i="21"/>
  <c r="AA584" i="21" s="1"/>
  <c r="AC584" i="21"/>
  <c r="AD584" i="21"/>
  <c r="AE584" i="21"/>
  <c r="AF584" i="21"/>
  <c r="AG584" i="21"/>
  <c r="AI584" i="21"/>
  <c r="AJ584" i="21"/>
  <c r="W585" i="21"/>
  <c r="X585" i="21"/>
  <c r="Y585" i="21"/>
  <c r="Z585" i="21"/>
  <c r="AA585" i="21"/>
  <c r="AB585" i="21" s="1"/>
  <c r="AC585" i="21"/>
  <c r="AD585" i="21"/>
  <c r="AE585" i="21"/>
  <c r="AF585" i="21"/>
  <c r="AG585" i="21" s="1"/>
  <c r="AI585" i="21"/>
  <c r="AJ585" i="21"/>
  <c r="W586" i="21"/>
  <c r="X586" i="21"/>
  <c r="Y586" i="21"/>
  <c r="Z586" i="21"/>
  <c r="AA586" i="21" s="1"/>
  <c r="AC586" i="21"/>
  <c r="AD586" i="21"/>
  <c r="AE586" i="21"/>
  <c r="AF586" i="21"/>
  <c r="AG586" i="21" s="1"/>
  <c r="AI586" i="21"/>
  <c r="AJ586" i="21"/>
  <c r="W587" i="21"/>
  <c r="X587" i="21"/>
  <c r="Y587" i="21"/>
  <c r="Z587" i="21"/>
  <c r="AA587" i="21" s="1"/>
  <c r="AB587" i="21" s="1"/>
  <c r="AC587" i="21"/>
  <c r="AD587" i="21"/>
  <c r="AE587" i="21"/>
  <c r="AF587" i="21"/>
  <c r="AG587" i="21"/>
  <c r="AH587" i="21" s="1"/>
  <c r="AI587" i="21"/>
  <c r="AJ587" i="21"/>
  <c r="AK587" i="21"/>
  <c r="AL587" i="21"/>
  <c r="W588" i="21"/>
  <c r="X588" i="21"/>
  <c r="Y588" i="21"/>
  <c r="Z588" i="21"/>
  <c r="AA588" i="21"/>
  <c r="AB588" i="21"/>
  <c r="AC588" i="21"/>
  <c r="AD588" i="21"/>
  <c r="AE588" i="21"/>
  <c r="AF588" i="21"/>
  <c r="AG588" i="21" s="1"/>
  <c r="AH588" i="21" s="1"/>
  <c r="AI588" i="21"/>
  <c r="AJ588" i="21"/>
  <c r="W589" i="21"/>
  <c r="X589" i="21"/>
  <c r="Y589" i="21"/>
  <c r="Z589" i="21"/>
  <c r="AA589" i="21"/>
  <c r="AB589" i="21"/>
  <c r="AC589" i="21"/>
  <c r="AD589" i="21"/>
  <c r="AE589" i="21"/>
  <c r="AF589" i="21"/>
  <c r="AG589" i="21"/>
  <c r="AH589" i="21"/>
  <c r="AI589" i="21"/>
  <c r="AJ589" i="21"/>
  <c r="AL589" i="21" s="1"/>
  <c r="AM589" i="21" s="1"/>
  <c r="AK589" i="21"/>
  <c r="W590" i="21"/>
  <c r="X590" i="21"/>
  <c r="Y590" i="21"/>
  <c r="Z590" i="21"/>
  <c r="AA590" i="21"/>
  <c r="AC590" i="21"/>
  <c r="AD590" i="21"/>
  <c r="AE590" i="21"/>
  <c r="AF590" i="21"/>
  <c r="AG590" i="21"/>
  <c r="AK590" i="21" s="1"/>
  <c r="AH590" i="21"/>
  <c r="AI590" i="21"/>
  <c r="AJ590" i="21"/>
  <c r="W591" i="21"/>
  <c r="X591" i="21"/>
  <c r="Y591" i="21"/>
  <c r="Z591" i="21"/>
  <c r="AC591" i="21"/>
  <c r="AD591" i="21"/>
  <c r="AE591" i="21"/>
  <c r="AF591" i="21"/>
  <c r="AG591" i="21"/>
  <c r="AK591" i="21" s="1"/>
  <c r="AL591" i="21" s="1"/>
  <c r="AM591" i="21" s="1"/>
  <c r="AH591" i="21"/>
  <c r="AI591" i="21"/>
  <c r="AJ591" i="21"/>
  <c r="W592" i="21"/>
  <c r="X592" i="21"/>
  <c r="Y592" i="21"/>
  <c r="Z592" i="21"/>
  <c r="AA592" i="21" s="1"/>
  <c r="AC592" i="21"/>
  <c r="AD592" i="21"/>
  <c r="AE592" i="21"/>
  <c r="AF592" i="21"/>
  <c r="AG592" i="21"/>
  <c r="AI592" i="21"/>
  <c r="AJ592" i="21"/>
  <c r="W593" i="21"/>
  <c r="X593" i="21"/>
  <c r="Y593" i="21"/>
  <c r="Z593" i="21"/>
  <c r="AB593" i="21" s="1"/>
  <c r="AA593" i="21"/>
  <c r="AC593" i="21"/>
  <c r="AD593" i="21"/>
  <c r="AE593" i="21"/>
  <c r="AF593" i="21"/>
  <c r="AG593" i="21" s="1"/>
  <c r="AI593" i="21"/>
  <c r="AJ593" i="21"/>
  <c r="W594" i="21"/>
  <c r="X594" i="21"/>
  <c r="Y594" i="21"/>
  <c r="Z594" i="21"/>
  <c r="AA594" i="21" s="1"/>
  <c r="AC594" i="21"/>
  <c r="AD594" i="21"/>
  <c r="AE594" i="21"/>
  <c r="AF594" i="21"/>
  <c r="AG594" i="21" s="1"/>
  <c r="AI594" i="21"/>
  <c r="AJ594" i="21"/>
  <c r="W595" i="21"/>
  <c r="X595" i="21"/>
  <c r="Y595" i="21"/>
  <c r="Z595" i="21"/>
  <c r="AA595" i="21"/>
  <c r="AB595" i="21"/>
  <c r="AC595" i="21"/>
  <c r="AD595" i="21"/>
  <c r="AE595" i="21"/>
  <c r="AF595" i="21"/>
  <c r="AG595" i="21"/>
  <c r="AH595" i="21" s="1"/>
  <c r="AI595" i="21"/>
  <c r="AJ595" i="21"/>
  <c r="AK595" i="21"/>
  <c r="AL595" i="21"/>
  <c r="AM595" i="21" s="1"/>
  <c r="W596" i="21"/>
  <c r="X596" i="21"/>
  <c r="Y596" i="21"/>
  <c r="Z596" i="21"/>
  <c r="AA596" i="21"/>
  <c r="AB596" i="21"/>
  <c r="AC596" i="21"/>
  <c r="AD596" i="21"/>
  <c r="AE596" i="21"/>
  <c r="AF596" i="21"/>
  <c r="AG596" i="21" s="1"/>
  <c r="AH596" i="21" s="1"/>
  <c r="AI596" i="21"/>
  <c r="AJ596" i="21"/>
  <c r="AK596" i="21"/>
  <c r="W597" i="21"/>
  <c r="X597" i="21"/>
  <c r="Y597" i="21"/>
  <c r="Z597" i="21"/>
  <c r="AA597" i="21"/>
  <c r="AB597" i="21"/>
  <c r="AC597" i="21"/>
  <c r="AD597" i="21"/>
  <c r="AE597" i="21"/>
  <c r="AF597" i="21"/>
  <c r="AG597" i="21"/>
  <c r="AH597" i="21"/>
  <c r="AI597" i="21"/>
  <c r="AJ597" i="21"/>
  <c r="AL597" i="21" s="1"/>
  <c r="AM597" i="21" s="1"/>
  <c r="AK597" i="21"/>
  <c r="W598" i="21"/>
  <c r="X598" i="21"/>
  <c r="Y598" i="21"/>
  <c r="Z598" i="21"/>
  <c r="AA598" i="21"/>
  <c r="AC598" i="21"/>
  <c r="AD598" i="21"/>
  <c r="AE598" i="21"/>
  <c r="AF598" i="21"/>
  <c r="AG598" i="21"/>
  <c r="AK598" i="21" s="1"/>
  <c r="AH598" i="21"/>
  <c r="AI598" i="21"/>
  <c r="AJ598" i="21"/>
  <c r="AL598" i="21" s="1"/>
  <c r="AM598" i="21" s="1"/>
  <c r="W599" i="21"/>
  <c r="X599" i="21"/>
  <c r="Y599" i="21"/>
  <c r="Z599" i="21"/>
  <c r="AC599" i="21"/>
  <c r="AD599" i="21"/>
  <c r="AE599" i="21"/>
  <c r="AF599" i="21"/>
  <c r="AG599" i="21"/>
  <c r="AK599" i="21" s="1"/>
  <c r="AL599" i="21" s="1"/>
  <c r="AM599" i="21" s="1"/>
  <c r="AH599" i="21"/>
  <c r="AI599" i="21"/>
  <c r="AJ599" i="21"/>
  <c r="W600" i="21"/>
  <c r="X600" i="21"/>
  <c r="Y600" i="21"/>
  <c r="Z600" i="21"/>
  <c r="AA600" i="21" s="1"/>
  <c r="AC600" i="21"/>
  <c r="AD600" i="21"/>
  <c r="AE600" i="21"/>
  <c r="AF600" i="21"/>
  <c r="AG600" i="21"/>
  <c r="AK600" i="21" s="1"/>
  <c r="AL600" i="21" s="1"/>
  <c r="AI600" i="21"/>
  <c r="AJ600" i="21"/>
  <c r="W601" i="21"/>
  <c r="X601" i="21"/>
  <c r="Y601" i="21"/>
  <c r="Z601" i="21"/>
  <c r="AB601" i="21" s="1"/>
  <c r="AA601" i="21"/>
  <c r="AC601" i="21"/>
  <c r="AD601" i="21"/>
  <c r="AE601" i="21"/>
  <c r="AF601" i="21"/>
  <c r="AG601" i="21" s="1"/>
  <c r="AI601" i="21"/>
  <c r="AJ601" i="21"/>
  <c r="W602" i="21"/>
  <c r="X602" i="21"/>
  <c r="Y602" i="21"/>
  <c r="Z602" i="21"/>
  <c r="AA602" i="21" s="1"/>
  <c r="AC602" i="21"/>
  <c r="AD602" i="21"/>
  <c r="AE602" i="21"/>
  <c r="AF602" i="21"/>
  <c r="AG602" i="21" s="1"/>
  <c r="AI602" i="21"/>
  <c r="AJ602" i="21"/>
  <c r="W603" i="21"/>
  <c r="X603" i="21"/>
  <c r="Y603" i="21"/>
  <c r="Z603" i="21"/>
  <c r="AA603" i="21"/>
  <c r="AB603" i="21"/>
  <c r="AC603" i="21"/>
  <c r="AD603" i="21"/>
  <c r="AE603" i="21"/>
  <c r="AM603" i="21" s="1"/>
  <c r="AF603" i="21"/>
  <c r="AG603" i="21"/>
  <c r="AH603" i="21" s="1"/>
  <c r="AI603" i="21"/>
  <c r="AJ603" i="21"/>
  <c r="AK603" i="21"/>
  <c r="AL603" i="21"/>
  <c r="W604" i="21"/>
  <c r="X604" i="21"/>
  <c r="Y604" i="21"/>
  <c r="Z604" i="21"/>
  <c r="AA604" i="21"/>
  <c r="AB604" i="21"/>
  <c r="AC604" i="21"/>
  <c r="AD604" i="21"/>
  <c r="AE604" i="21"/>
  <c r="AF604" i="21"/>
  <c r="AG604" i="21" s="1"/>
  <c r="AH604" i="21" s="1"/>
  <c r="AI604" i="21"/>
  <c r="AJ604" i="21"/>
  <c r="AK604" i="21"/>
  <c r="AL604" i="21" s="1"/>
  <c r="AM604" i="21" s="1"/>
  <c r="W605" i="21"/>
  <c r="X605" i="21"/>
  <c r="Y605" i="21"/>
  <c r="Z605" i="21"/>
  <c r="AA605" i="21"/>
  <c r="AB605" i="21"/>
  <c r="AC605" i="21"/>
  <c r="AD605" i="21"/>
  <c r="AE605" i="21"/>
  <c r="AF605" i="21"/>
  <c r="AG605" i="21"/>
  <c r="AH605" i="21"/>
  <c r="AI605" i="21"/>
  <c r="AJ605" i="21"/>
  <c r="AK605" i="21"/>
  <c r="W606" i="21"/>
  <c r="X606" i="21"/>
  <c r="Y606" i="21"/>
  <c r="Z606" i="21"/>
  <c r="AA606" i="21"/>
  <c r="AB606" i="21" s="1"/>
  <c r="AC606" i="21"/>
  <c r="AD606" i="21"/>
  <c r="AE606" i="21"/>
  <c r="AF606" i="21"/>
  <c r="AG606" i="21"/>
  <c r="AK606" i="21" s="1"/>
  <c r="AH606" i="21"/>
  <c r="AI606" i="21"/>
  <c r="AJ606" i="21"/>
  <c r="W607" i="21"/>
  <c r="X607" i="21"/>
  <c r="Y607" i="21"/>
  <c r="Z607" i="21"/>
  <c r="AA607" i="21"/>
  <c r="AC607" i="21"/>
  <c r="AD607" i="21"/>
  <c r="AE607" i="21"/>
  <c r="AF607" i="21"/>
  <c r="AG607" i="21"/>
  <c r="AK607" i="21" s="1"/>
  <c r="AL607" i="21" s="1"/>
  <c r="AM607" i="21" s="1"/>
  <c r="AH607" i="21"/>
  <c r="AI607" i="21"/>
  <c r="AJ607" i="21"/>
  <c r="W608" i="21"/>
  <c r="X608" i="21"/>
  <c r="Y608" i="21"/>
  <c r="Z608" i="21"/>
  <c r="AC608" i="21"/>
  <c r="AD608" i="21"/>
  <c r="AE608" i="21"/>
  <c r="AF608" i="21"/>
  <c r="AG608" i="21"/>
  <c r="AK608" i="21" s="1"/>
  <c r="AL608" i="21" s="1"/>
  <c r="AI608" i="21"/>
  <c r="AJ608" i="21"/>
  <c r="W609" i="21"/>
  <c r="X609" i="21"/>
  <c r="Y609" i="21"/>
  <c r="Z609" i="21"/>
  <c r="AB609" i="21" s="1"/>
  <c r="AA609" i="21"/>
  <c r="AC609" i="21"/>
  <c r="AD609" i="21"/>
  <c r="AE609" i="21"/>
  <c r="AF609" i="21"/>
  <c r="AG609" i="21" s="1"/>
  <c r="AI609" i="21"/>
  <c r="AJ609" i="21"/>
  <c r="W610" i="21"/>
  <c r="X610" i="21"/>
  <c r="Y610" i="21"/>
  <c r="Z610" i="21"/>
  <c r="AA610" i="21" s="1"/>
  <c r="AB610" i="21" s="1"/>
  <c r="AC610" i="21"/>
  <c r="AD610" i="21"/>
  <c r="AE610" i="21"/>
  <c r="AF610" i="21"/>
  <c r="AG610" i="21" s="1"/>
  <c r="AI610" i="21"/>
  <c r="AJ610" i="21"/>
  <c r="W611" i="21"/>
  <c r="X611" i="21"/>
  <c r="Y611" i="21"/>
  <c r="Z611" i="21"/>
  <c r="AA611" i="21"/>
  <c r="AB611" i="21"/>
  <c r="AC611" i="21"/>
  <c r="AD611" i="21"/>
  <c r="AE611" i="21"/>
  <c r="AM611" i="21" s="1"/>
  <c r="AF611" i="21"/>
  <c r="AG611" i="21"/>
  <c r="AH611" i="21" s="1"/>
  <c r="AI611" i="21"/>
  <c r="AJ611" i="21"/>
  <c r="AK611" i="21"/>
  <c r="AL611" i="21"/>
  <c r="W612" i="21"/>
  <c r="X612" i="21"/>
  <c r="Y612" i="21"/>
  <c r="Z612" i="21"/>
  <c r="AA612" i="21"/>
  <c r="AB612" i="21"/>
  <c r="AC612" i="21"/>
  <c r="AD612" i="21"/>
  <c r="AE612" i="21"/>
  <c r="AF612" i="21"/>
  <c r="AG612" i="21" s="1"/>
  <c r="AH612" i="21" s="1"/>
  <c r="AI612" i="21"/>
  <c r="AJ612" i="21"/>
  <c r="W613" i="21"/>
  <c r="X613" i="21"/>
  <c r="Y613" i="21"/>
  <c r="Z613" i="21"/>
  <c r="AA613" i="21"/>
  <c r="AB613" i="21"/>
  <c r="AC613" i="21"/>
  <c r="AD613" i="21"/>
  <c r="AE613" i="21"/>
  <c r="AF613" i="21"/>
  <c r="AG613" i="21"/>
  <c r="AH613" i="21"/>
  <c r="AI613" i="21"/>
  <c r="AJ613" i="21"/>
  <c r="AK613" i="21"/>
  <c r="W614" i="21"/>
  <c r="X614" i="21"/>
  <c r="Y614" i="21"/>
  <c r="Z614" i="21"/>
  <c r="AA614" i="21"/>
  <c r="AB614" i="21" s="1"/>
  <c r="AC614" i="21"/>
  <c r="AD614" i="21"/>
  <c r="AE614" i="21"/>
  <c r="AF614" i="21"/>
  <c r="AG614" i="21"/>
  <c r="AK614" i="21" s="1"/>
  <c r="AH614" i="21"/>
  <c r="AI614" i="21"/>
  <c r="AJ614" i="21"/>
  <c r="W615" i="21"/>
  <c r="X615" i="21"/>
  <c r="Y615" i="21"/>
  <c r="Z615" i="21"/>
  <c r="AA615" i="21" s="1"/>
  <c r="AC615" i="21"/>
  <c r="AD615" i="21"/>
  <c r="AE615" i="21"/>
  <c r="AF615" i="21"/>
  <c r="AG615" i="21"/>
  <c r="AK615" i="21" s="1"/>
  <c r="AL615" i="21" s="1"/>
  <c r="AH615" i="21"/>
  <c r="AI615" i="21"/>
  <c r="AJ615" i="21"/>
  <c r="W616" i="21"/>
  <c r="X616" i="21"/>
  <c r="Y616" i="21"/>
  <c r="Z616" i="21"/>
  <c r="AC616" i="21"/>
  <c r="AD616" i="21"/>
  <c r="AE616" i="21"/>
  <c r="AF616" i="21"/>
  <c r="AG616" i="21"/>
  <c r="AK616" i="21" s="1"/>
  <c r="AL616" i="21" s="1"/>
  <c r="AH616" i="21"/>
  <c r="AI616" i="21"/>
  <c r="AJ616" i="21"/>
  <c r="W617" i="21"/>
  <c r="X617" i="21"/>
  <c r="Y617" i="21"/>
  <c r="Z617" i="21"/>
  <c r="AA617" i="21"/>
  <c r="AB617" i="21" s="1"/>
  <c r="AC617" i="21"/>
  <c r="AD617" i="21"/>
  <c r="AE617" i="21"/>
  <c r="AF617" i="21"/>
  <c r="AG617" i="21"/>
  <c r="AI617" i="21"/>
  <c r="AJ617" i="21"/>
  <c r="W618" i="21"/>
  <c r="X618" i="21"/>
  <c r="Y618" i="21"/>
  <c r="Z618" i="21"/>
  <c r="AA618" i="21" s="1"/>
  <c r="AC618" i="21"/>
  <c r="AD618" i="21"/>
  <c r="AE618" i="21"/>
  <c r="AF618" i="21"/>
  <c r="AG618" i="21" s="1"/>
  <c r="AI618" i="21"/>
  <c r="AJ618" i="21"/>
  <c r="W619" i="21"/>
  <c r="X619" i="21"/>
  <c r="Y619" i="21"/>
  <c r="Z619" i="21"/>
  <c r="AA619" i="21"/>
  <c r="AB619" i="21"/>
  <c r="AC619" i="21"/>
  <c r="AD619" i="21"/>
  <c r="AE619" i="21"/>
  <c r="AM619" i="21" s="1"/>
  <c r="AF619" i="21"/>
  <c r="AG619" i="21"/>
  <c r="AH619" i="21" s="1"/>
  <c r="AI619" i="21"/>
  <c r="AJ619" i="21"/>
  <c r="AK619" i="21"/>
  <c r="AL619" i="21"/>
  <c r="W620" i="21"/>
  <c r="X620" i="21"/>
  <c r="Y620" i="21"/>
  <c r="Z620" i="21"/>
  <c r="AA620" i="21"/>
  <c r="AB620" i="21"/>
  <c r="AC620" i="21"/>
  <c r="AD620" i="21"/>
  <c r="AE620" i="21"/>
  <c r="AF620" i="21"/>
  <c r="AG620" i="21" s="1"/>
  <c r="AH620" i="21" s="1"/>
  <c r="AI620" i="21"/>
  <c r="AJ620" i="21"/>
  <c r="W621" i="21"/>
  <c r="X621" i="21"/>
  <c r="Y621" i="21"/>
  <c r="Z621" i="21"/>
  <c r="AA621" i="21"/>
  <c r="AB621" i="21"/>
  <c r="AC621" i="21"/>
  <c r="AD621" i="21"/>
  <c r="AE621" i="21"/>
  <c r="AF621" i="21"/>
  <c r="AG621" i="21"/>
  <c r="AH621" i="21"/>
  <c r="AI621" i="21"/>
  <c r="AJ621" i="21"/>
  <c r="AL621" i="21" s="1"/>
  <c r="AM621" i="21" s="1"/>
  <c r="AK621" i="21"/>
  <c r="W622" i="21"/>
  <c r="X622" i="21"/>
  <c r="Y622" i="21"/>
  <c r="Z622" i="21"/>
  <c r="AA622" i="21"/>
  <c r="AB622" i="21"/>
  <c r="AC622" i="21"/>
  <c r="AD622" i="21"/>
  <c r="AE622" i="21"/>
  <c r="AF622" i="21"/>
  <c r="AG622" i="21"/>
  <c r="AK622" i="21" s="1"/>
  <c r="AH622" i="21"/>
  <c r="AI622" i="21"/>
  <c r="AJ622" i="21"/>
  <c r="AL622" i="21" s="1"/>
  <c r="AM622" i="21" s="1"/>
  <c r="W623" i="21"/>
  <c r="X623" i="21"/>
  <c r="Y623" i="21"/>
  <c r="Z623" i="21"/>
  <c r="AC623" i="21"/>
  <c r="AD623" i="21"/>
  <c r="AE623" i="21"/>
  <c r="AF623" i="21"/>
  <c r="AG623" i="21"/>
  <c r="AK623" i="21" s="1"/>
  <c r="AL623" i="21" s="1"/>
  <c r="AH623" i="21"/>
  <c r="AI623" i="21"/>
  <c r="AJ623" i="21"/>
  <c r="W624" i="21"/>
  <c r="X624" i="21"/>
  <c r="Y624" i="21"/>
  <c r="Z624" i="21"/>
  <c r="AC624" i="21"/>
  <c r="AD624" i="21"/>
  <c r="AE624" i="21"/>
  <c r="AF624" i="21"/>
  <c r="AG624" i="21"/>
  <c r="AK624" i="21" s="1"/>
  <c r="AL624" i="21" s="1"/>
  <c r="AH624" i="21"/>
  <c r="AI624" i="21"/>
  <c r="AJ624" i="21"/>
  <c r="W625" i="21"/>
  <c r="X625" i="21"/>
  <c r="Y625" i="21"/>
  <c r="Z625" i="21"/>
  <c r="AA625" i="21"/>
  <c r="AB625" i="21" s="1"/>
  <c r="AC625" i="21"/>
  <c r="AD625" i="21"/>
  <c r="AE625" i="21"/>
  <c r="AF625" i="21"/>
  <c r="AG625" i="21"/>
  <c r="AI625" i="21"/>
  <c r="AJ625" i="21"/>
  <c r="W626" i="21"/>
  <c r="X626" i="21"/>
  <c r="Y626" i="21"/>
  <c r="Z626" i="21"/>
  <c r="AA626" i="21" s="1"/>
  <c r="AB626" i="21" s="1"/>
  <c r="AC626" i="21"/>
  <c r="AD626" i="21"/>
  <c r="AE626" i="21"/>
  <c r="AF626" i="21"/>
  <c r="AG626" i="21" s="1"/>
  <c r="AI626" i="21"/>
  <c r="AJ626" i="21"/>
  <c r="W627" i="21"/>
  <c r="X627" i="21"/>
  <c r="Y627" i="21"/>
  <c r="Z627" i="21"/>
  <c r="AA627" i="21"/>
  <c r="AB627" i="21"/>
  <c r="AC627" i="21"/>
  <c r="AD627" i="21"/>
  <c r="AE627" i="21"/>
  <c r="AM627" i="21" s="1"/>
  <c r="AF627" i="21"/>
  <c r="AG627" i="21"/>
  <c r="AH627" i="21" s="1"/>
  <c r="AI627" i="21"/>
  <c r="AJ627" i="21"/>
  <c r="AK627" i="21"/>
  <c r="AL627" i="21" s="1"/>
  <c r="W628" i="21"/>
  <c r="X628" i="21"/>
  <c r="Y628" i="21"/>
  <c r="Z628" i="21"/>
  <c r="AA628" i="21"/>
  <c r="AB628" i="21"/>
  <c r="AC628" i="21"/>
  <c r="AD628" i="21"/>
  <c r="AE628" i="21"/>
  <c r="AF628" i="21"/>
  <c r="AG628" i="21" s="1"/>
  <c r="AH628" i="21" s="1"/>
  <c r="AI628" i="21"/>
  <c r="AJ628" i="21"/>
  <c r="W629" i="21"/>
  <c r="X629" i="21"/>
  <c r="Y629" i="21"/>
  <c r="Z629" i="21"/>
  <c r="AA629" i="21"/>
  <c r="AB629" i="21"/>
  <c r="AC629" i="21"/>
  <c r="AD629" i="21"/>
  <c r="AE629" i="21"/>
  <c r="AF629" i="21"/>
  <c r="AG629" i="21"/>
  <c r="AH629" i="21"/>
  <c r="AI629" i="21"/>
  <c r="AJ629" i="21"/>
  <c r="AK629" i="21"/>
  <c r="W630" i="21"/>
  <c r="X630" i="21"/>
  <c r="Y630" i="21"/>
  <c r="Z630" i="21"/>
  <c r="AB630" i="21" s="1"/>
  <c r="AA630" i="21"/>
  <c r="AC630" i="21"/>
  <c r="AD630" i="21"/>
  <c r="AE630" i="21"/>
  <c r="AF630" i="21"/>
  <c r="AG630" i="21"/>
  <c r="AK630" i="21" s="1"/>
  <c r="AH630" i="21"/>
  <c r="AI630" i="21"/>
  <c r="AJ630" i="21"/>
  <c r="AL630" i="21" s="1"/>
  <c r="W631" i="21"/>
  <c r="X631" i="21"/>
  <c r="Y631" i="21"/>
  <c r="Z631" i="21"/>
  <c r="AA631" i="21" s="1"/>
  <c r="AC631" i="21"/>
  <c r="AD631" i="21"/>
  <c r="AE631" i="21"/>
  <c r="AF631" i="21"/>
  <c r="AG631" i="21"/>
  <c r="AK631" i="21" s="1"/>
  <c r="AL631" i="21" s="1"/>
  <c r="AH631" i="21"/>
  <c r="AI631" i="21"/>
  <c r="AJ631" i="21"/>
  <c r="W632" i="21"/>
  <c r="X632" i="21"/>
  <c r="Y632" i="21"/>
  <c r="Z632" i="21"/>
  <c r="AC632" i="21"/>
  <c r="AD632" i="21"/>
  <c r="AE632" i="21"/>
  <c r="AF632" i="21"/>
  <c r="AG632" i="21"/>
  <c r="AK632" i="21" s="1"/>
  <c r="AL632" i="21" s="1"/>
  <c r="AH632" i="21"/>
  <c r="AI632" i="21"/>
  <c r="AJ632" i="21"/>
  <c r="W633" i="21"/>
  <c r="X633" i="21"/>
  <c r="Y633" i="21"/>
  <c r="Z633" i="21"/>
  <c r="AA633" i="21"/>
  <c r="AB633" i="21" s="1"/>
  <c r="AC633" i="21"/>
  <c r="AD633" i="21"/>
  <c r="AE633" i="21"/>
  <c r="AF633" i="21"/>
  <c r="AG633" i="21"/>
  <c r="AI633" i="21"/>
  <c r="AJ633" i="21"/>
  <c r="W634" i="21"/>
  <c r="X634" i="21"/>
  <c r="Y634" i="21"/>
  <c r="Z634" i="21"/>
  <c r="AA634" i="21" s="1"/>
  <c r="AB634" i="21" s="1"/>
  <c r="AC634" i="21"/>
  <c r="AD634" i="21"/>
  <c r="AE634" i="21"/>
  <c r="AF634" i="21"/>
  <c r="AG634" i="21" s="1"/>
  <c r="AI634" i="21"/>
  <c r="AJ634" i="21"/>
  <c r="W635" i="21"/>
  <c r="X635" i="21"/>
  <c r="Y635" i="21"/>
  <c r="Z635" i="21"/>
  <c r="AA635" i="21"/>
  <c r="AB635" i="21"/>
  <c r="AC635" i="21"/>
  <c r="AD635" i="21"/>
  <c r="AE635" i="21"/>
  <c r="AM635" i="21" s="1"/>
  <c r="AF635" i="21"/>
  <c r="AG635" i="21"/>
  <c r="AH635" i="21" s="1"/>
  <c r="AI635" i="21"/>
  <c r="AJ635" i="21"/>
  <c r="AK635" i="21"/>
  <c r="AL635" i="21"/>
  <c r="W636" i="21"/>
  <c r="X636" i="21"/>
  <c r="Y636" i="21"/>
  <c r="Z636" i="21"/>
  <c r="AA636" i="21"/>
  <c r="AB636" i="21"/>
  <c r="AC636" i="21"/>
  <c r="AD636" i="21"/>
  <c r="AE636" i="21"/>
  <c r="AF636" i="21"/>
  <c r="AG636" i="21" s="1"/>
  <c r="AH636" i="21" s="1"/>
  <c r="AI636" i="21"/>
  <c r="AJ636" i="21"/>
  <c r="AL636" i="21" s="1"/>
  <c r="AM636" i="21" s="1"/>
  <c r="AK636" i="21"/>
  <c r="W637" i="21"/>
  <c r="X637" i="21"/>
  <c r="Y637" i="21"/>
  <c r="Z637" i="21"/>
  <c r="AA637" i="21"/>
  <c r="AB637" i="21"/>
  <c r="AC637" i="21"/>
  <c r="AD637" i="21"/>
  <c r="AE637" i="21"/>
  <c r="AF637" i="21"/>
  <c r="AG637" i="21"/>
  <c r="AH637" i="21"/>
  <c r="AI637" i="21"/>
  <c r="AJ637" i="21"/>
  <c r="AK637" i="21"/>
  <c r="W638" i="21"/>
  <c r="X638" i="21"/>
  <c r="Y638" i="21"/>
  <c r="Z638" i="21"/>
  <c r="AA638" i="21" s="1"/>
  <c r="AC638" i="21"/>
  <c r="AD638" i="21"/>
  <c r="AE638" i="21"/>
  <c r="AF638" i="21"/>
  <c r="AG638" i="21"/>
  <c r="AK638" i="21" s="1"/>
  <c r="AH638" i="21"/>
  <c r="AI638" i="21"/>
  <c r="AJ638" i="21"/>
  <c r="W639" i="21"/>
  <c r="X639" i="21"/>
  <c r="Y639" i="21"/>
  <c r="Z639" i="21"/>
  <c r="AA639" i="21" s="1"/>
  <c r="AC639" i="21"/>
  <c r="AD639" i="21"/>
  <c r="AE639" i="21"/>
  <c r="AF639" i="21"/>
  <c r="AG639" i="21"/>
  <c r="AK639" i="21" s="1"/>
  <c r="AL639" i="21" s="1"/>
  <c r="AI639" i="21"/>
  <c r="AJ639" i="21"/>
  <c r="W640" i="21"/>
  <c r="X640" i="21"/>
  <c r="Y640" i="21"/>
  <c r="Z640" i="21"/>
  <c r="AC640" i="21"/>
  <c r="AD640" i="21"/>
  <c r="AE640" i="21"/>
  <c r="AF640" i="21"/>
  <c r="AG640" i="21"/>
  <c r="AK640" i="21" s="1"/>
  <c r="AL640" i="21" s="1"/>
  <c r="AI640" i="21"/>
  <c r="AJ640" i="21"/>
  <c r="W641" i="21"/>
  <c r="X641" i="21"/>
  <c r="Y641" i="21"/>
  <c r="Z641" i="21"/>
  <c r="AA641" i="21"/>
  <c r="AB641" i="21" s="1"/>
  <c r="AC641" i="21"/>
  <c r="AD641" i="21"/>
  <c r="AE641" i="21"/>
  <c r="AF641" i="21"/>
  <c r="AG641" i="21" s="1"/>
  <c r="AI641" i="21"/>
  <c r="AJ641" i="21"/>
  <c r="W642" i="21"/>
  <c r="X642" i="21"/>
  <c r="Y642" i="21"/>
  <c r="Z642" i="21"/>
  <c r="AA642" i="21" s="1"/>
  <c r="AB642" i="21" s="1"/>
  <c r="AC642" i="21"/>
  <c r="AD642" i="21"/>
  <c r="AE642" i="21"/>
  <c r="AF642" i="21"/>
  <c r="AG642" i="21" s="1"/>
  <c r="AI642" i="21"/>
  <c r="AJ642" i="21"/>
  <c r="W643" i="21"/>
  <c r="X643" i="21"/>
  <c r="Y643" i="21"/>
  <c r="Z643" i="21"/>
  <c r="AA643" i="21"/>
  <c r="AB643" i="21"/>
  <c r="AC643" i="21"/>
  <c r="AD643" i="21"/>
  <c r="AE643" i="21"/>
  <c r="AF643" i="21"/>
  <c r="AG643" i="21"/>
  <c r="AH643" i="21" s="1"/>
  <c r="AI643" i="21"/>
  <c r="AJ643" i="21"/>
  <c r="AK643" i="21"/>
  <c r="AL643" i="21"/>
  <c r="AM643" i="21"/>
  <c r="W644" i="21"/>
  <c r="X644" i="21"/>
  <c r="Y644" i="21"/>
  <c r="Z644" i="21"/>
  <c r="AA644" i="21"/>
  <c r="AB644" i="21"/>
  <c r="AC644" i="21"/>
  <c r="AD644" i="21"/>
  <c r="AE644" i="21"/>
  <c r="AF644" i="21"/>
  <c r="AG644" i="21"/>
  <c r="AH644" i="21"/>
  <c r="AI644" i="21"/>
  <c r="AJ644" i="21"/>
  <c r="AK644" i="21"/>
  <c r="AL644" i="21"/>
  <c r="AM644" i="21" s="1"/>
  <c r="W645" i="21"/>
  <c r="X645" i="21"/>
  <c r="Y645" i="21"/>
  <c r="Z645" i="21"/>
  <c r="AA645" i="21"/>
  <c r="AB645" i="21" s="1"/>
  <c r="AC645" i="21"/>
  <c r="AD645" i="21"/>
  <c r="AE645" i="21"/>
  <c r="AF645" i="21"/>
  <c r="AG645" i="21"/>
  <c r="AH645" i="21"/>
  <c r="AI645" i="21"/>
  <c r="AJ645" i="21"/>
  <c r="AK645" i="21"/>
  <c r="W646" i="21"/>
  <c r="X646" i="21"/>
  <c r="Y646" i="21"/>
  <c r="Z646" i="21"/>
  <c r="AA646" i="21"/>
  <c r="AB646" i="21" s="1"/>
  <c r="AC646" i="21"/>
  <c r="AD646" i="21"/>
  <c r="AE646" i="21"/>
  <c r="AF646" i="21"/>
  <c r="AG646" i="21"/>
  <c r="AK646" i="21" s="1"/>
  <c r="AH646" i="21"/>
  <c r="AI646" i="21"/>
  <c r="AJ646" i="21"/>
  <c r="AL646" i="21" s="1"/>
  <c r="AM646" i="21" s="1"/>
  <c r="W647" i="21"/>
  <c r="X647" i="21"/>
  <c r="Y647" i="21"/>
  <c r="Z647" i="21"/>
  <c r="AA647" i="21"/>
  <c r="AC647" i="21"/>
  <c r="AD647" i="21"/>
  <c r="AE647" i="21"/>
  <c r="AF647" i="21"/>
  <c r="AG647" i="21"/>
  <c r="AK647" i="21" s="1"/>
  <c r="AL647" i="21" s="1"/>
  <c r="AH647" i="21"/>
  <c r="AI647" i="21"/>
  <c r="AJ647" i="21"/>
  <c r="W648" i="21"/>
  <c r="X648" i="21"/>
  <c r="Y648" i="21"/>
  <c r="Z648" i="21"/>
  <c r="AC648" i="21"/>
  <c r="AD648" i="21"/>
  <c r="AE648" i="21"/>
  <c r="AF648" i="21"/>
  <c r="AG648" i="21" s="1"/>
  <c r="AI648" i="21"/>
  <c r="AJ648" i="21"/>
  <c r="W649" i="21"/>
  <c r="X649" i="21"/>
  <c r="Y649" i="21"/>
  <c r="Z649" i="21"/>
  <c r="AA649" i="21"/>
  <c r="AB649" i="21" s="1"/>
  <c r="AC649" i="21"/>
  <c r="AD649" i="21"/>
  <c r="AE649" i="21"/>
  <c r="AF649" i="21"/>
  <c r="AG649" i="21"/>
  <c r="AI649" i="21"/>
  <c r="AJ649" i="21"/>
  <c r="W650" i="21"/>
  <c r="X650" i="21"/>
  <c r="Y650" i="21"/>
  <c r="Z650" i="21"/>
  <c r="AA650" i="21" s="1"/>
  <c r="AB650" i="21" s="1"/>
  <c r="AC650" i="21"/>
  <c r="AD650" i="21"/>
  <c r="AE650" i="21"/>
  <c r="AF650" i="21"/>
  <c r="AG650" i="21" s="1"/>
  <c r="AH650" i="21" s="1"/>
  <c r="AI650" i="21"/>
  <c r="AJ650" i="21"/>
  <c r="W651" i="21"/>
  <c r="X651" i="21"/>
  <c r="Y651" i="21"/>
  <c r="Z651" i="21"/>
  <c r="AA651" i="21"/>
  <c r="AB651" i="21"/>
  <c r="AC651" i="21"/>
  <c r="AD651" i="21"/>
  <c r="AE651" i="21"/>
  <c r="AF651" i="21"/>
  <c r="AG651" i="21"/>
  <c r="AH651" i="21" s="1"/>
  <c r="AI651" i="21"/>
  <c r="AJ651" i="21"/>
  <c r="AK651" i="21"/>
  <c r="AL651" i="21"/>
  <c r="AM651" i="21" s="1"/>
  <c r="W652" i="21"/>
  <c r="X652" i="21"/>
  <c r="Y652" i="21"/>
  <c r="Z652" i="21"/>
  <c r="AA652" i="21"/>
  <c r="AB652" i="21"/>
  <c r="AC652" i="21"/>
  <c r="AD652" i="21"/>
  <c r="AE652" i="21"/>
  <c r="AF652" i="21"/>
  <c r="AG652" i="21" s="1"/>
  <c r="AH652" i="21" s="1"/>
  <c r="AI652" i="21"/>
  <c r="AJ652" i="21"/>
  <c r="W653" i="21"/>
  <c r="X653" i="21"/>
  <c r="Y653" i="21"/>
  <c r="Z653" i="21"/>
  <c r="AA653" i="21"/>
  <c r="AB653" i="21"/>
  <c r="AC653" i="21"/>
  <c r="AD653" i="21"/>
  <c r="AE653" i="21"/>
  <c r="AF653" i="21"/>
  <c r="AG653" i="21"/>
  <c r="AH653" i="21" s="1"/>
  <c r="AI653" i="21"/>
  <c r="AJ653" i="21"/>
  <c r="W654" i="21"/>
  <c r="X654" i="21"/>
  <c r="Y654" i="21"/>
  <c r="Z654" i="21"/>
  <c r="AA654" i="21" s="1"/>
  <c r="AB654" i="21" s="1"/>
  <c r="AC654" i="21"/>
  <c r="AD654" i="21"/>
  <c r="AE654" i="21"/>
  <c r="AF654" i="21"/>
  <c r="AG654" i="21" s="1"/>
  <c r="AI654" i="21"/>
  <c r="AJ654" i="21"/>
  <c r="W655" i="21"/>
  <c r="X655" i="21"/>
  <c r="Y655" i="21"/>
  <c r="Z655" i="21"/>
  <c r="AC655" i="21"/>
  <c r="AD655" i="21"/>
  <c r="AE655" i="21"/>
  <c r="AF655" i="21"/>
  <c r="AG655" i="21" s="1"/>
  <c r="AI655" i="21"/>
  <c r="AJ655" i="21"/>
  <c r="W656" i="21"/>
  <c r="X656" i="21"/>
  <c r="Y656" i="21"/>
  <c r="Z656" i="21"/>
  <c r="AC656" i="21"/>
  <c r="AD656" i="21"/>
  <c r="AE656" i="21"/>
  <c r="AF656" i="21"/>
  <c r="AG656" i="21" s="1"/>
  <c r="AI656" i="21"/>
  <c r="AJ656" i="21"/>
  <c r="W657" i="21"/>
  <c r="X657" i="21"/>
  <c r="Y657" i="21"/>
  <c r="Z657" i="21"/>
  <c r="AA657" i="21"/>
  <c r="AB657" i="21" s="1"/>
  <c r="AC657" i="21"/>
  <c r="AD657" i="21"/>
  <c r="AE657" i="21"/>
  <c r="AF657" i="21"/>
  <c r="AG657" i="21" s="1"/>
  <c r="AI657" i="21"/>
  <c r="AJ657" i="21"/>
  <c r="W658" i="21"/>
  <c r="X658" i="21"/>
  <c r="Y658" i="21"/>
  <c r="Z658" i="21"/>
  <c r="AA658" i="21" s="1"/>
  <c r="AB658" i="21"/>
  <c r="AC658" i="21"/>
  <c r="AD658" i="21"/>
  <c r="AE658" i="21"/>
  <c r="AF658" i="21"/>
  <c r="AG658" i="21" s="1"/>
  <c r="AH658" i="21" s="1"/>
  <c r="AI658" i="21"/>
  <c r="AJ658" i="21"/>
  <c r="W659" i="21"/>
  <c r="X659" i="21"/>
  <c r="Y659" i="21"/>
  <c r="Z659" i="21"/>
  <c r="AA659" i="21"/>
  <c r="AB659" i="21"/>
  <c r="AC659" i="21"/>
  <c r="AD659" i="21"/>
  <c r="AE659" i="21"/>
  <c r="AF659" i="21"/>
  <c r="AG659" i="21"/>
  <c r="AH659" i="21" s="1"/>
  <c r="AI659" i="21"/>
  <c r="AJ659" i="21"/>
  <c r="W660" i="21"/>
  <c r="X660" i="21"/>
  <c r="Y660" i="21"/>
  <c r="Z660" i="21"/>
  <c r="AA660" i="21" s="1"/>
  <c r="AC660" i="21"/>
  <c r="AD660" i="21"/>
  <c r="AE660" i="21"/>
  <c r="AF660" i="21"/>
  <c r="AG660" i="21"/>
  <c r="AH660" i="21" s="1"/>
  <c r="AI660" i="21"/>
  <c r="AJ660" i="21"/>
  <c r="W661" i="21"/>
  <c r="X661" i="21"/>
  <c r="Y661" i="21"/>
  <c r="Z661" i="21"/>
  <c r="AA661" i="21" s="1"/>
  <c r="AC661" i="21"/>
  <c r="AD661" i="21"/>
  <c r="AE661" i="21"/>
  <c r="AF661" i="21"/>
  <c r="AG661" i="21"/>
  <c r="AH661" i="21" s="1"/>
  <c r="AI661" i="21"/>
  <c r="AJ661" i="21"/>
  <c r="W662" i="21"/>
  <c r="X662" i="21"/>
  <c r="Y662" i="21"/>
  <c r="Z662" i="21"/>
  <c r="AA662" i="21" s="1"/>
  <c r="AC662" i="21"/>
  <c r="AD662" i="21"/>
  <c r="AE662" i="21"/>
  <c r="AF662" i="21"/>
  <c r="AG662" i="21"/>
  <c r="AK662" i="21" s="1"/>
  <c r="AL662" i="21" s="1"/>
  <c r="AI662" i="21"/>
  <c r="AJ662" i="21"/>
  <c r="W663" i="21"/>
  <c r="X663" i="21"/>
  <c r="Y663" i="21"/>
  <c r="Z663" i="21"/>
  <c r="AA663" i="21" s="1"/>
  <c r="AC663" i="21"/>
  <c r="AD663" i="21"/>
  <c r="AE663" i="21"/>
  <c r="AF663" i="21"/>
  <c r="AG663" i="21"/>
  <c r="AH663" i="21"/>
  <c r="AM663" i="21" s="1"/>
  <c r="AI663" i="21"/>
  <c r="AJ663" i="21"/>
  <c r="AK663" i="21"/>
  <c r="AL663" i="21"/>
  <c r="W664" i="21"/>
  <c r="X664" i="21"/>
  <c r="Y664" i="21"/>
  <c r="Z664" i="21"/>
  <c r="AA664" i="21" s="1"/>
  <c r="AC664" i="21"/>
  <c r="AD664" i="21"/>
  <c r="AE664" i="21"/>
  <c r="AF664" i="21"/>
  <c r="AG664" i="21"/>
  <c r="AH664" i="21"/>
  <c r="AM664" i="21" s="1"/>
  <c r="AI664" i="21"/>
  <c r="AJ664" i="21"/>
  <c r="AK664" i="21"/>
  <c r="AL664" i="21"/>
  <c r="W665" i="21"/>
  <c r="X665" i="21"/>
  <c r="Y665" i="21"/>
  <c r="Z665" i="21"/>
  <c r="AA665" i="21"/>
  <c r="AB665" i="21"/>
  <c r="AC665" i="21"/>
  <c r="AD665" i="21"/>
  <c r="AE665" i="21"/>
  <c r="AF665" i="21"/>
  <c r="AG665" i="21"/>
  <c r="AH665" i="21" s="1"/>
  <c r="AI665" i="21"/>
  <c r="AJ665" i="21"/>
  <c r="W666" i="21"/>
  <c r="X666" i="21"/>
  <c r="Y666" i="21"/>
  <c r="Z666" i="21"/>
  <c r="AA666" i="21" s="1"/>
  <c r="AC666" i="21"/>
  <c r="AD666" i="21"/>
  <c r="AE666" i="21"/>
  <c r="AF666" i="21"/>
  <c r="AG666" i="21" s="1"/>
  <c r="AI666" i="21"/>
  <c r="AJ666" i="21"/>
  <c r="W667" i="21"/>
  <c r="X667" i="21"/>
  <c r="Y667" i="21"/>
  <c r="Z667" i="21"/>
  <c r="AA667" i="21" s="1"/>
  <c r="AB667" i="21" s="1"/>
  <c r="AC667" i="21"/>
  <c r="AD667" i="21"/>
  <c r="AE667" i="21"/>
  <c r="AF667" i="21"/>
  <c r="AG667" i="21" s="1"/>
  <c r="AI667" i="21"/>
  <c r="AJ667" i="21"/>
  <c r="W668" i="21"/>
  <c r="X668" i="21"/>
  <c r="Y668" i="21"/>
  <c r="Z668" i="21"/>
  <c r="AB668" i="21" s="1"/>
  <c r="AA668" i="21"/>
  <c r="AC668" i="21"/>
  <c r="AD668" i="21"/>
  <c r="AE668" i="21"/>
  <c r="AF668" i="21"/>
  <c r="AG668" i="21"/>
  <c r="AH668" i="21" s="1"/>
  <c r="AI668" i="21"/>
  <c r="AJ668" i="21"/>
  <c r="W669" i="21"/>
  <c r="X669" i="21"/>
  <c r="Y669" i="21"/>
  <c r="Z669" i="21"/>
  <c r="AA669" i="21" s="1"/>
  <c r="AC669" i="21"/>
  <c r="AD669" i="21"/>
  <c r="AE669" i="21"/>
  <c r="AF669" i="21"/>
  <c r="AG669" i="21"/>
  <c r="AH669" i="21"/>
  <c r="AI669" i="21"/>
  <c r="AJ669" i="21"/>
  <c r="AK669" i="21"/>
  <c r="AL669" i="21" s="1"/>
  <c r="AM669" i="21" s="1"/>
  <c r="W670" i="21"/>
  <c r="X670" i="21"/>
  <c r="Y670" i="21"/>
  <c r="Z670" i="21"/>
  <c r="AA670" i="21" s="1"/>
  <c r="AB670" i="21" s="1"/>
  <c r="AC670" i="21"/>
  <c r="AD670" i="21"/>
  <c r="AE670" i="21"/>
  <c r="AF670" i="21"/>
  <c r="AG670" i="21"/>
  <c r="AH670" i="21" s="1"/>
  <c r="AI670" i="21"/>
  <c r="AJ670" i="21"/>
  <c r="AL670" i="21" s="1"/>
  <c r="AM670" i="21" s="1"/>
  <c r="AK670" i="21"/>
  <c r="W671" i="21"/>
  <c r="X671" i="21"/>
  <c r="Y671" i="21"/>
  <c r="Z671" i="21"/>
  <c r="AA671" i="21"/>
  <c r="AB671" i="21" s="1"/>
  <c r="AC671" i="21"/>
  <c r="AD671" i="21"/>
  <c r="AE671" i="21"/>
  <c r="AF671" i="21"/>
  <c r="AG671" i="21" s="1"/>
  <c r="AI671" i="21"/>
  <c r="AJ671" i="21"/>
  <c r="W672" i="21"/>
  <c r="X672" i="21"/>
  <c r="Y672" i="21"/>
  <c r="Z672" i="21"/>
  <c r="AA672" i="21" s="1"/>
  <c r="AC672" i="21"/>
  <c r="AD672" i="21"/>
  <c r="AE672" i="21"/>
  <c r="AF672" i="21"/>
  <c r="AG672" i="21"/>
  <c r="AH672" i="21"/>
  <c r="AM672" i="21" s="1"/>
  <c r="AI672" i="21"/>
  <c r="AJ672" i="21"/>
  <c r="AK672" i="21"/>
  <c r="AL672" i="21"/>
  <c r="W673" i="21"/>
  <c r="X673" i="21"/>
  <c r="Y673" i="21"/>
  <c r="Z673" i="21"/>
  <c r="AA673" i="21" s="1"/>
  <c r="AC673" i="21"/>
  <c r="AD673" i="21"/>
  <c r="AE673" i="21"/>
  <c r="AF673" i="21"/>
  <c r="AG673" i="21"/>
  <c r="AH673" i="21" s="1"/>
  <c r="AI673" i="21"/>
  <c r="AJ673" i="21"/>
  <c r="W674" i="21"/>
  <c r="X674" i="21"/>
  <c r="Y674" i="21"/>
  <c r="Z674" i="21"/>
  <c r="AA674" i="21" s="1"/>
  <c r="AC674" i="21"/>
  <c r="AD674" i="21"/>
  <c r="AE674" i="21"/>
  <c r="AF674" i="21"/>
  <c r="AG674" i="21" s="1"/>
  <c r="AI674" i="21"/>
  <c r="AJ674" i="21"/>
  <c r="W675" i="21"/>
  <c r="X675" i="21"/>
  <c r="Y675" i="21"/>
  <c r="Z675" i="21"/>
  <c r="AA675" i="21" s="1"/>
  <c r="AB675" i="21" s="1"/>
  <c r="AC675" i="21"/>
  <c r="AD675" i="21"/>
  <c r="AE675" i="21"/>
  <c r="AF675" i="21"/>
  <c r="AG675" i="21" s="1"/>
  <c r="AI675" i="21"/>
  <c r="AJ675" i="21"/>
  <c r="W676" i="21"/>
  <c r="X676" i="21"/>
  <c r="Y676" i="21"/>
  <c r="Z676" i="21"/>
  <c r="AB676" i="21" s="1"/>
  <c r="AA676" i="21"/>
  <c r="AC676" i="21"/>
  <c r="AD676" i="21"/>
  <c r="AE676" i="21"/>
  <c r="AF676" i="21"/>
  <c r="AG676" i="21"/>
  <c r="AH676" i="21" s="1"/>
  <c r="AI676" i="21"/>
  <c r="AJ676" i="21"/>
  <c r="W677" i="21"/>
  <c r="X677" i="21"/>
  <c r="Y677" i="21"/>
  <c r="Z677" i="21"/>
  <c r="AA677" i="21" s="1"/>
  <c r="AC677" i="21"/>
  <c r="AD677" i="21"/>
  <c r="AE677" i="21"/>
  <c r="AF677" i="21"/>
  <c r="AG677" i="21"/>
  <c r="AH677" i="21"/>
  <c r="AI677" i="21"/>
  <c r="AJ677" i="21"/>
  <c r="AK677" i="21"/>
  <c r="AL677" i="21" s="1"/>
  <c r="AM677" i="21" s="1"/>
  <c r="W678" i="21"/>
  <c r="X678" i="21"/>
  <c r="Y678" i="21"/>
  <c r="Z678" i="21"/>
  <c r="AA678" i="21" s="1"/>
  <c r="AB678" i="21" s="1"/>
  <c r="AC678" i="21"/>
  <c r="AD678" i="21"/>
  <c r="AE678" i="21"/>
  <c r="AF678" i="21"/>
  <c r="AG678" i="21"/>
  <c r="AH678" i="21" s="1"/>
  <c r="AI678" i="21"/>
  <c r="AJ678" i="21"/>
  <c r="AL678" i="21" s="1"/>
  <c r="AM678" i="21" s="1"/>
  <c r="AK678" i="21"/>
  <c r="W679" i="21"/>
  <c r="X679" i="21"/>
  <c r="Y679" i="21"/>
  <c r="Z679" i="21"/>
  <c r="AA679" i="21"/>
  <c r="AB679" i="21" s="1"/>
  <c r="AC679" i="21"/>
  <c r="AD679" i="21"/>
  <c r="AE679" i="21"/>
  <c r="AF679" i="21"/>
  <c r="AG679" i="21" s="1"/>
  <c r="AI679" i="21"/>
  <c r="AJ679" i="21"/>
  <c r="W680" i="21"/>
  <c r="X680" i="21"/>
  <c r="Y680" i="21"/>
  <c r="Z680" i="21"/>
  <c r="AA680" i="21" s="1"/>
  <c r="AC680" i="21"/>
  <c r="AD680" i="21"/>
  <c r="AE680" i="21"/>
  <c r="AF680" i="21"/>
  <c r="AG680" i="21"/>
  <c r="AH680" i="21"/>
  <c r="AM680" i="21" s="1"/>
  <c r="AI680" i="21"/>
  <c r="AJ680" i="21"/>
  <c r="AK680" i="21"/>
  <c r="AL680" i="21"/>
  <c r="W681" i="21"/>
  <c r="X681" i="21"/>
  <c r="Y681" i="21"/>
  <c r="Z681" i="21"/>
  <c r="AA681" i="21" s="1"/>
  <c r="AC681" i="21"/>
  <c r="AD681" i="21"/>
  <c r="AE681" i="21"/>
  <c r="AF681" i="21"/>
  <c r="AG681" i="21"/>
  <c r="AH681" i="21" s="1"/>
  <c r="AI681" i="21"/>
  <c r="AJ681" i="21"/>
  <c r="W682" i="21"/>
  <c r="X682" i="21"/>
  <c r="Y682" i="21"/>
  <c r="Z682" i="21"/>
  <c r="AA682" i="21" s="1"/>
  <c r="AC682" i="21"/>
  <c r="AD682" i="21"/>
  <c r="AE682" i="21"/>
  <c r="AF682" i="21"/>
  <c r="AG682" i="21" s="1"/>
  <c r="AI682" i="21"/>
  <c r="AJ682" i="21"/>
  <c r="W683" i="21"/>
  <c r="X683" i="21"/>
  <c r="Y683" i="21"/>
  <c r="Z683" i="21"/>
  <c r="AA683" i="21" s="1"/>
  <c r="AB683" i="21" s="1"/>
  <c r="AC683" i="21"/>
  <c r="AD683" i="21"/>
  <c r="AE683" i="21"/>
  <c r="AF683" i="21"/>
  <c r="AG683" i="21" s="1"/>
  <c r="AI683" i="21"/>
  <c r="AJ683" i="21"/>
  <c r="W684" i="21"/>
  <c r="X684" i="21"/>
  <c r="Y684" i="21"/>
  <c r="Z684" i="21"/>
  <c r="AB684" i="21" s="1"/>
  <c r="AA684" i="21"/>
  <c r="AC684" i="21"/>
  <c r="AD684" i="21"/>
  <c r="AE684" i="21"/>
  <c r="AF684" i="21"/>
  <c r="AG684" i="21"/>
  <c r="AH684" i="21" s="1"/>
  <c r="AI684" i="21"/>
  <c r="AJ684" i="21"/>
  <c r="W685" i="21"/>
  <c r="X685" i="21"/>
  <c r="Y685" i="21"/>
  <c r="Z685" i="21"/>
  <c r="AA685" i="21" s="1"/>
  <c r="AC685" i="21"/>
  <c r="AD685" i="21"/>
  <c r="AE685" i="21"/>
  <c r="AF685" i="21"/>
  <c r="AG685" i="21"/>
  <c r="AH685" i="21"/>
  <c r="AI685" i="21"/>
  <c r="AJ685" i="21"/>
  <c r="AK685" i="21"/>
  <c r="AL685" i="21" s="1"/>
  <c r="AM685" i="21" s="1"/>
  <c r="W686" i="21"/>
  <c r="X686" i="21"/>
  <c r="Y686" i="21"/>
  <c r="Z686" i="21"/>
  <c r="AA686" i="21" s="1"/>
  <c r="AB686" i="21" s="1"/>
  <c r="AC686" i="21"/>
  <c r="AD686" i="21"/>
  <c r="AE686" i="21"/>
  <c r="AF686" i="21"/>
  <c r="AG686" i="21"/>
  <c r="AH686" i="21" s="1"/>
  <c r="AI686" i="21"/>
  <c r="AJ686" i="21"/>
  <c r="AL686" i="21" s="1"/>
  <c r="AK686" i="21"/>
  <c r="W687" i="21"/>
  <c r="X687" i="21"/>
  <c r="Y687" i="21"/>
  <c r="Z687" i="21"/>
  <c r="AA687" i="21"/>
  <c r="AB687" i="21" s="1"/>
  <c r="AC687" i="21"/>
  <c r="AD687" i="21"/>
  <c r="AE687" i="21"/>
  <c r="AF687" i="21"/>
  <c r="AG687" i="21" s="1"/>
  <c r="AI687" i="21"/>
  <c r="AJ687" i="21"/>
  <c r="W688" i="21"/>
  <c r="X688" i="21"/>
  <c r="Y688" i="21"/>
  <c r="Z688" i="21"/>
  <c r="AA688" i="21" s="1"/>
  <c r="AC688" i="21"/>
  <c r="AD688" i="21"/>
  <c r="AE688" i="21"/>
  <c r="AF688" i="21"/>
  <c r="AG688" i="21"/>
  <c r="AH688" i="21"/>
  <c r="AM688" i="21" s="1"/>
  <c r="AI688" i="21"/>
  <c r="AJ688" i="21"/>
  <c r="AK688" i="21"/>
  <c r="AL688" i="21"/>
  <c r="W689" i="21"/>
  <c r="X689" i="21"/>
  <c r="Y689" i="21"/>
  <c r="Z689" i="21"/>
  <c r="AA689" i="21" s="1"/>
  <c r="AC689" i="21"/>
  <c r="AD689" i="21"/>
  <c r="AE689" i="21"/>
  <c r="AF689" i="21"/>
  <c r="AG689" i="21"/>
  <c r="AH689" i="21" s="1"/>
  <c r="AI689" i="21"/>
  <c r="AJ689" i="21"/>
  <c r="W690" i="21"/>
  <c r="X690" i="21"/>
  <c r="Y690" i="21"/>
  <c r="Z690" i="21"/>
  <c r="AA690" i="21" s="1"/>
  <c r="AC690" i="21"/>
  <c r="AD690" i="21"/>
  <c r="AE690" i="21"/>
  <c r="AF690" i="21"/>
  <c r="AG690" i="21" s="1"/>
  <c r="AI690" i="21"/>
  <c r="AJ690" i="21"/>
  <c r="W691" i="21"/>
  <c r="X691" i="21"/>
  <c r="Y691" i="21"/>
  <c r="Z691" i="21"/>
  <c r="AA691" i="21" s="1"/>
  <c r="AB691" i="21" s="1"/>
  <c r="AC691" i="21"/>
  <c r="AD691" i="21"/>
  <c r="AE691" i="21"/>
  <c r="AF691" i="21"/>
  <c r="AG691" i="21" s="1"/>
  <c r="AI691" i="21"/>
  <c r="AJ691" i="21"/>
  <c r="W692" i="21"/>
  <c r="X692" i="21"/>
  <c r="Y692" i="21"/>
  <c r="Z692" i="21"/>
  <c r="AB692" i="21" s="1"/>
  <c r="AA692" i="21"/>
  <c r="AC692" i="21"/>
  <c r="AD692" i="21"/>
  <c r="AE692" i="21"/>
  <c r="AF692" i="21"/>
  <c r="AG692" i="21"/>
  <c r="AH692" i="21" s="1"/>
  <c r="AI692" i="21"/>
  <c r="AJ692" i="21"/>
  <c r="W693" i="21"/>
  <c r="X693" i="21"/>
  <c r="Y693" i="21"/>
  <c r="Z693" i="21"/>
  <c r="AA693" i="21" s="1"/>
  <c r="AC693" i="21"/>
  <c r="AD693" i="21"/>
  <c r="AE693" i="21"/>
  <c r="AF693" i="21"/>
  <c r="AG693" i="21"/>
  <c r="AH693" i="21"/>
  <c r="AI693" i="21"/>
  <c r="AJ693" i="21"/>
  <c r="AK693" i="21"/>
  <c r="AL693" i="21" s="1"/>
  <c r="AM693" i="21" s="1"/>
  <c r="W694" i="21"/>
  <c r="X694" i="21"/>
  <c r="Y694" i="21"/>
  <c r="Z694" i="21"/>
  <c r="AA694" i="21" s="1"/>
  <c r="AB694" i="21" s="1"/>
  <c r="AC694" i="21"/>
  <c r="AD694" i="21"/>
  <c r="AE694" i="21"/>
  <c r="AF694" i="21"/>
  <c r="AG694" i="21"/>
  <c r="AH694" i="21" s="1"/>
  <c r="AI694" i="21"/>
  <c r="AJ694" i="21"/>
  <c r="AL694" i="21" s="1"/>
  <c r="AK694" i="21"/>
  <c r="W695" i="21"/>
  <c r="X695" i="21"/>
  <c r="Y695" i="21"/>
  <c r="Z695" i="21"/>
  <c r="AA695" i="21"/>
  <c r="AB695" i="21" s="1"/>
  <c r="AC695" i="21"/>
  <c r="AD695" i="21"/>
  <c r="AE695" i="21"/>
  <c r="AF695" i="21"/>
  <c r="AG695" i="21" s="1"/>
  <c r="AI695" i="21"/>
  <c r="AJ695" i="21"/>
  <c r="W696" i="21"/>
  <c r="X696" i="21"/>
  <c r="Y696" i="21"/>
  <c r="Z696" i="21"/>
  <c r="AA696" i="21" s="1"/>
  <c r="AC696" i="21"/>
  <c r="AD696" i="21"/>
  <c r="AE696" i="21"/>
  <c r="AF696" i="21"/>
  <c r="AG696" i="21"/>
  <c r="AH696" i="21"/>
  <c r="AM696" i="21" s="1"/>
  <c r="AI696" i="21"/>
  <c r="AJ696" i="21"/>
  <c r="AK696" i="21"/>
  <c r="AL696" i="21"/>
  <c r="W697" i="21"/>
  <c r="X697" i="21"/>
  <c r="Y697" i="21"/>
  <c r="Z697" i="21"/>
  <c r="AA697" i="21" s="1"/>
  <c r="AC697" i="21"/>
  <c r="AD697" i="21"/>
  <c r="AE697" i="21"/>
  <c r="AF697" i="21"/>
  <c r="AG697" i="21"/>
  <c r="AH697" i="21" s="1"/>
  <c r="AI697" i="21"/>
  <c r="AJ697" i="21"/>
  <c r="W698" i="21"/>
  <c r="X698" i="21"/>
  <c r="Y698" i="21"/>
  <c r="Z698" i="21"/>
  <c r="AA698" i="21" s="1"/>
  <c r="AC698" i="21"/>
  <c r="AD698" i="21"/>
  <c r="AE698" i="21"/>
  <c r="AF698" i="21"/>
  <c r="AG698" i="21" s="1"/>
  <c r="AI698" i="21"/>
  <c r="AJ698" i="21"/>
  <c r="W699" i="21"/>
  <c r="X699" i="21"/>
  <c r="Y699" i="21"/>
  <c r="Z699" i="21"/>
  <c r="AA699" i="21" s="1"/>
  <c r="AB699" i="21" s="1"/>
  <c r="AC699" i="21"/>
  <c r="AD699" i="21"/>
  <c r="AE699" i="21"/>
  <c r="AF699" i="21"/>
  <c r="AG699" i="21" s="1"/>
  <c r="AI699" i="21"/>
  <c r="AJ699" i="21"/>
  <c r="W700" i="21"/>
  <c r="X700" i="21"/>
  <c r="Y700" i="21"/>
  <c r="Z700" i="21"/>
  <c r="AB700" i="21" s="1"/>
  <c r="AA700" i="21"/>
  <c r="AC700" i="21"/>
  <c r="AD700" i="21"/>
  <c r="AE700" i="21"/>
  <c r="AF700" i="21"/>
  <c r="AG700" i="21"/>
  <c r="AH700" i="21" s="1"/>
  <c r="AI700" i="21"/>
  <c r="AJ700" i="21"/>
  <c r="W701" i="21"/>
  <c r="X701" i="21"/>
  <c r="Y701" i="21"/>
  <c r="Z701" i="21"/>
  <c r="AA701" i="21" s="1"/>
  <c r="AC701" i="21"/>
  <c r="AD701" i="21"/>
  <c r="AE701" i="21"/>
  <c r="AF701" i="21"/>
  <c r="AG701" i="21"/>
  <c r="AH701" i="21"/>
  <c r="AI701" i="21"/>
  <c r="AJ701" i="21"/>
  <c r="AK701" i="21"/>
  <c r="AL701" i="21" s="1"/>
  <c r="AM701" i="21" s="1"/>
  <c r="W702" i="21"/>
  <c r="X702" i="21"/>
  <c r="Y702" i="21"/>
  <c r="Z702" i="21"/>
  <c r="AA702" i="21" s="1"/>
  <c r="AB702" i="21" s="1"/>
  <c r="AC702" i="21"/>
  <c r="AD702" i="21"/>
  <c r="AE702" i="21"/>
  <c r="AF702" i="21"/>
  <c r="AG702" i="21"/>
  <c r="AH702" i="21" s="1"/>
  <c r="AI702" i="21"/>
  <c r="AJ702" i="21"/>
  <c r="AL702" i="21" s="1"/>
  <c r="AK702" i="21"/>
  <c r="W703" i="21"/>
  <c r="X703" i="21"/>
  <c r="Y703" i="21"/>
  <c r="Z703" i="21"/>
  <c r="AA703" i="21"/>
  <c r="AB703" i="21" s="1"/>
  <c r="AC703" i="21"/>
  <c r="AD703" i="21"/>
  <c r="AE703" i="21"/>
  <c r="AF703" i="21"/>
  <c r="AG703" i="21" s="1"/>
  <c r="AI703" i="21"/>
  <c r="AJ703" i="21"/>
  <c r="W704" i="21"/>
  <c r="X704" i="21"/>
  <c r="Y704" i="21"/>
  <c r="Z704" i="21"/>
  <c r="AA704" i="21" s="1"/>
  <c r="AC704" i="21"/>
  <c r="AD704" i="21"/>
  <c r="AE704" i="21"/>
  <c r="AF704" i="21"/>
  <c r="AG704" i="21"/>
  <c r="AH704" i="21"/>
  <c r="AM704" i="21" s="1"/>
  <c r="AI704" i="21"/>
  <c r="AJ704" i="21"/>
  <c r="AK704" i="21"/>
  <c r="AL704" i="21"/>
  <c r="W705" i="21"/>
  <c r="X705" i="21"/>
  <c r="Y705" i="21"/>
  <c r="Z705" i="21"/>
  <c r="AA705" i="21" s="1"/>
  <c r="AC705" i="21"/>
  <c r="AD705" i="21"/>
  <c r="AE705" i="21"/>
  <c r="AF705" i="21"/>
  <c r="AG705" i="21"/>
  <c r="AH705" i="21" s="1"/>
  <c r="AI705" i="21"/>
  <c r="AJ705" i="21"/>
  <c r="W706" i="21"/>
  <c r="X706" i="21"/>
  <c r="Y706" i="21"/>
  <c r="Z706" i="21"/>
  <c r="AA706" i="21" s="1"/>
  <c r="AC706" i="21"/>
  <c r="AD706" i="21"/>
  <c r="AE706" i="21"/>
  <c r="AF706" i="21"/>
  <c r="AG706" i="21" s="1"/>
  <c r="AI706" i="21"/>
  <c r="AJ706" i="21"/>
  <c r="W707" i="21"/>
  <c r="X707" i="21"/>
  <c r="Y707" i="21"/>
  <c r="Z707" i="21"/>
  <c r="AA707" i="21" s="1"/>
  <c r="AB707" i="21" s="1"/>
  <c r="AC707" i="21"/>
  <c r="AD707" i="21"/>
  <c r="AE707" i="21"/>
  <c r="AF707" i="21"/>
  <c r="AG707" i="21" s="1"/>
  <c r="AI707" i="21"/>
  <c r="AJ707" i="21"/>
  <c r="W708" i="21"/>
  <c r="X708" i="21"/>
  <c r="Y708" i="21"/>
  <c r="Z708" i="21"/>
  <c r="AB708" i="21" s="1"/>
  <c r="AA708" i="21"/>
  <c r="AC708" i="21"/>
  <c r="AD708" i="21"/>
  <c r="AE708" i="21"/>
  <c r="AF708" i="21"/>
  <c r="AG708" i="21"/>
  <c r="AH708" i="21" s="1"/>
  <c r="AI708" i="21"/>
  <c r="AJ708" i="21"/>
  <c r="W709" i="21"/>
  <c r="X709" i="21"/>
  <c r="Y709" i="21"/>
  <c r="Z709" i="21"/>
  <c r="AA709" i="21" s="1"/>
  <c r="AC709" i="21"/>
  <c r="AD709" i="21"/>
  <c r="AE709" i="21"/>
  <c r="AF709" i="21"/>
  <c r="AG709" i="21"/>
  <c r="AH709" i="21"/>
  <c r="AI709" i="21"/>
  <c r="AJ709" i="21"/>
  <c r="AK709" i="21"/>
  <c r="AL709" i="21" s="1"/>
  <c r="AM709" i="21" s="1"/>
  <c r="W710" i="21"/>
  <c r="X710" i="21"/>
  <c r="Y710" i="21"/>
  <c r="Z710" i="21"/>
  <c r="AA710" i="21" s="1"/>
  <c r="AB710" i="21" s="1"/>
  <c r="AC710" i="21"/>
  <c r="AD710" i="21"/>
  <c r="AE710" i="21"/>
  <c r="AF710" i="21"/>
  <c r="AG710" i="21"/>
  <c r="AH710" i="21" s="1"/>
  <c r="AI710" i="21"/>
  <c r="AJ710" i="21"/>
  <c r="AL710" i="21" s="1"/>
  <c r="AM710" i="21" s="1"/>
  <c r="AK710" i="21"/>
  <c r="W711" i="21"/>
  <c r="X711" i="21"/>
  <c r="Y711" i="21"/>
  <c r="Z711" i="21"/>
  <c r="AA711" i="21"/>
  <c r="AB711" i="21" s="1"/>
  <c r="AC711" i="21"/>
  <c r="AD711" i="21"/>
  <c r="AE711" i="21"/>
  <c r="AF711" i="21"/>
  <c r="AG711" i="21" s="1"/>
  <c r="AI711" i="21"/>
  <c r="AJ711" i="21"/>
  <c r="W712" i="21"/>
  <c r="X712" i="21"/>
  <c r="Y712" i="21"/>
  <c r="Z712" i="21"/>
  <c r="AA712" i="21" s="1"/>
  <c r="AC712" i="21"/>
  <c r="AD712" i="21"/>
  <c r="AE712" i="21"/>
  <c r="AF712" i="21"/>
  <c r="AG712" i="21"/>
  <c r="AH712" i="21"/>
  <c r="AM712" i="21" s="1"/>
  <c r="AI712" i="21"/>
  <c r="AJ712" i="21"/>
  <c r="AK712" i="21"/>
  <c r="AL712" i="21"/>
  <c r="W713" i="21"/>
  <c r="X713" i="21"/>
  <c r="Y713" i="21"/>
  <c r="Z713" i="21"/>
  <c r="AA713" i="21" s="1"/>
  <c r="AC713" i="21"/>
  <c r="AD713" i="21"/>
  <c r="AE713" i="21"/>
  <c r="AF713" i="21"/>
  <c r="AG713" i="21"/>
  <c r="AH713" i="21" s="1"/>
  <c r="AI713" i="21"/>
  <c r="AJ713" i="21"/>
  <c r="W714" i="21"/>
  <c r="X714" i="21"/>
  <c r="Y714" i="21"/>
  <c r="Z714" i="21"/>
  <c r="AA714" i="21" s="1"/>
  <c r="AB714" i="21" s="1"/>
  <c r="AC714" i="21"/>
  <c r="AD714" i="21"/>
  <c r="AE714" i="21"/>
  <c r="AF714" i="21"/>
  <c r="AG714" i="21" s="1"/>
  <c r="AI714" i="21"/>
  <c r="AJ714" i="21"/>
  <c r="W715" i="21"/>
  <c r="X715" i="21"/>
  <c r="Y715" i="21"/>
  <c r="Z715" i="21"/>
  <c r="AA715" i="21" s="1"/>
  <c r="AB715" i="21" s="1"/>
  <c r="AC715" i="21"/>
  <c r="AD715" i="21"/>
  <c r="AE715" i="21"/>
  <c r="AF715" i="21"/>
  <c r="AG715" i="21" s="1"/>
  <c r="AI715" i="21"/>
  <c r="AJ715" i="21"/>
  <c r="W716" i="21"/>
  <c r="X716" i="21"/>
  <c r="Y716" i="21"/>
  <c r="Z716" i="21"/>
  <c r="AB716" i="21" s="1"/>
  <c r="AA716" i="21"/>
  <c r="AC716" i="21"/>
  <c r="AD716" i="21"/>
  <c r="AE716" i="21"/>
  <c r="AF716" i="21"/>
  <c r="AG716" i="21"/>
  <c r="AH716" i="21" s="1"/>
  <c r="AI716" i="21"/>
  <c r="AJ716" i="21"/>
  <c r="W717" i="21"/>
  <c r="X717" i="21"/>
  <c r="Y717" i="21"/>
  <c r="Z717" i="21"/>
  <c r="AA717" i="21" s="1"/>
  <c r="AC717" i="21"/>
  <c r="AD717" i="21"/>
  <c r="AE717" i="21"/>
  <c r="AF717" i="21"/>
  <c r="AG717" i="21"/>
  <c r="AH717" i="21"/>
  <c r="AI717" i="21"/>
  <c r="AJ717" i="21"/>
  <c r="AK717" i="21"/>
  <c r="AL717" i="21" s="1"/>
  <c r="AM717" i="21" s="1"/>
  <c r="W718" i="21"/>
  <c r="X718" i="21"/>
  <c r="Y718" i="21"/>
  <c r="Z718" i="21"/>
  <c r="AA718" i="21" s="1"/>
  <c r="AB718" i="21" s="1"/>
  <c r="AC718" i="21"/>
  <c r="AD718" i="21"/>
  <c r="AE718" i="21"/>
  <c r="AF718" i="21"/>
  <c r="AG718" i="21"/>
  <c r="AH718" i="21" s="1"/>
  <c r="AI718" i="21"/>
  <c r="AJ718" i="21"/>
  <c r="AL718" i="21" s="1"/>
  <c r="AM718" i="21" s="1"/>
  <c r="AK718" i="21"/>
  <c r="W719" i="21"/>
  <c r="X719" i="21"/>
  <c r="Y719" i="21"/>
  <c r="Z719" i="21"/>
  <c r="AA719" i="21"/>
  <c r="AB719" i="21" s="1"/>
  <c r="AC719" i="21"/>
  <c r="AD719" i="21"/>
  <c r="AE719" i="21"/>
  <c r="AF719" i="21"/>
  <c r="AG719" i="21" s="1"/>
  <c r="AI719" i="21"/>
  <c r="AJ719" i="21"/>
  <c r="W720" i="21"/>
  <c r="X720" i="21"/>
  <c r="Y720" i="21"/>
  <c r="Z720" i="21"/>
  <c r="AA720" i="21" s="1"/>
  <c r="AC720" i="21"/>
  <c r="AD720" i="21"/>
  <c r="AE720" i="21"/>
  <c r="AF720" i="21"/>
  <c r="AG720" i="21"/>
  <c r="AK720" i="21" s="1"/>
  <c r="AL720" i="21" s="1"/>
  <c r="AM720" i="21" s="1"/>
  <c r="AH720" i="21"/>
  <c r="AI720" i="21"/>
  <c r="AJ720" i="21"/>
  <c r="W721" i="21"/>
  <c r="X721" i="21"/>
  <c r="Y721" i="21"/>
  <c r="Z721" i="21"/>
  <c r="AA721" i="21" s="1"/>
  <c r="AC721" i="21"/>
  <c r="AD721" i="21"/>
  <c r="AE721" i="21"/>
  <c r="AF721" i="21"/>
  <c r="AG721" i="21"/>
  <c r="AH721" i="21" s="1"/>
  <c r="AI721" i="21"/>
  <c r="AJ721" i="21"/>
  <c r="W722" i="21"/>
  <c r="X722" i="21"/>
  <c r="Y722" i="21"/>
  <c r="Z722" i="21"/>
  <c r="AA722" i="21" s="1"/>
  <c r="AC722" i="21"/>
  <c r="AD722" i="21"/>
  <c r="AE722" i="21"/>
  <c r="AF722" i="21"/>
  <c r="AG722" i="21" s="1"/>
  <c r="AI722" i="21"/>
  <c r="AJ722" i="21"/>
  <c r="W723" i="21"/>
  <c r="X723" i="21"/>
  <c r="Y723" i="21"/>
  <c r="Z723" i="21"/>
  <c r="AA723" i="21" s="1"/>
  <c r="AB723" i="21" s="1"/>
  <c r="AC723" i="21"/>
  <c r="AD723" i="21"/>
  <c r="AE723" i="21"/>
  <c r="AF723" i="21"/>
  <c r="AG723" i="21" s="1"/>
  <c r="AI723" i="21"/>
  <c r="AJ723" i="21"/>
  <c r="W724" i="21"/>
  <c r="X724" i="21"/>
  <c r="Y724" i="21"/>
  <c r="Z724" i="21"/>
  <c r="AB724" i="21" s="1"/>
  <c r="AA724" i="21"/>
  <c r="AC724" i="21"/>
  <c r="AD724" i="21"/>
  <c r="AE724" i="21"/>
  <c r="AF724" i="21"/>
  <c r="AG724" i="21"/>
  <c r="AH724" i="21" s="1"/>
  <c r="AI724" i="21"/>
  <c r="AJ724" i="21"/>
  <c r="W725" i="21"/>
  <c r="X725" i="21"/>
  <c r="Y725" i="21"/>
  <c r="Z725" i="21"/>
  <c r="AA725" i="21" s="1"/>
  <c r="AC725" i="21"/>
  <c r="AD725" i="21"/>
  <c r="AE725" i="21"/>
  <c r="AF725" i="21"/>
  <c r="AG725" i="21"/>
  <c r="AH725" i="21"/>
  <c r="AI725" i="21"/>
  <c r="AJ725" i="21"/>
  <c r="AK725" i="21"/>
  <c r="AL725" i="21" s="1"/>
  <c r="AM725" i="21" s="1"/>
  <c r="W726" i="21"/>
  <c r="X726" i="21"/>
  <c r="Y726" i="21"/>
  <c r="Z726" i="21"/>
  <c r="AA726" i="21" s="1"/>
  <c r="AB726" i="21" s="1"/>
  <c r="AC726" i="21"/>
  <c r="AD726" i="21"/>
  <c r="AE726" i="21"/>
  <c r="AF726" i="21"/>
  <c r="AG726" i="21"/>
  <c r="AH726" i="21" s="1"/>
  <c r="AI726" i="21"/>
  <c r="AJ726" i="21"/>
  <c r="AL726" i="21" s="1"/>
  <c r="AK726" i="21"/>
  <c r="W727" i="21"/>
  <c r="X727" i="21"/>
  <c r="Y727" i="21"/>
  <c r="Z727" i="21"/>
  <c r="AA727" i="21"/>
  <c r="AB727" i="21" s="1"/>
  <c r="AC727" i="21"/>
  <c r="AD727" i="21"/>
  <c r="AE727" i="21"/>
  <c r="AF727" i="21"/>
  <c r="AG727" i="21" s="1"/>
  <c r="AI727" i="21"/>
  <c r="AJ727" i="21"/>
  <c r="W728" i="21"/>
  <c r="X728" i="21"/>
  <c r="Y728" i="21"/>
  <c r="Z728" i="21"/>
  <c r="AA728" i="21" s="1"/>
  <c r="AC728" i="21"/>
  <c r="AD728" i="21"/>
  <c r="AE728" i="21"/>
  <c r="AF728" i="21"/>
  <c r="AG728" i="21"/>
  <c r="AK728" i="21" s="1"/>
  <c r="AL728" i="21" s="1"/>
  <c r="AM728" i="21" s="1"/>
  <c r="AH728" i="21"/>
  <c r="AI728" i="21"/>
  <c r="AJ728" i="21"/>
  <c r="W729" i="21"/>
  <c r="X729" i="21"/>
  <c r="Y729" i="21"/>
  <c r="Z729" i="21"/>
  <c r="AA729" i="21" s="1"/>
  <c r="AC729" i="21"/>
  <c r="AD729" i="21"/>
  <c r="AE729" i="21"/>
  <c r="AF729" i="21"/>
  <c r="AG729" i="21"/>
  <c r="AH729" i="21" s="1"/>
  <c r="AI729" i="21"/>
  <c r="AJ729" i="21"/>
  <c r="W730" i="21"/>
  <c r="X730" i="21"/>
  <c r="Y730" i="21"/>
  <c r="Z730" i="21"/>
  <c r="AA730" i="21" s="1"/>
  <c r="AC730" i="21"/>
  <c r="AD730" i="21"/>
  <c r="AE730" i="21"/>
  <c r="AF730" i="21"/>
  <c r="AG730" i="21" s="1"/>
  <c r="AI730" i="21"/>
  <c r="AJ730" i="21"/>
  <c r="W731" i="21"/>
  <c r="X731" i="21"/>
  <c r="Y731" i="21"/>
  <c r="Z731" i="21"/>
  <c r="AA731" i="21" s="1"/>
  <c r="AB731" i="21" s="1"/>
  <c r="AC731" i="21"/>
  <c r="AD731" i="21"/>
  <c r="AE731" i="21"/>
  <c r="AF731" i="21"/>
  <c r="AG731" i="21" s="1"/>
  <c r="AI731" i="21"/>
  <c r="AJ731" i="21"/>
  <c r="W732" i="21"/>
  <c r="X732" i="21"/>
  <c r="Y732" i="21"/>
  <c r="Z732" i="21"/>
  <c r="AB732" i="21" s="1"/>
  <c r="AA732" i="21"/>
  <c r="AC732" i="21"/>
  <c r="AD732" i="21"/>
  <c r="AE732" i="21"/>
  <c r="AF732" i="21"/>
  <c r="AG732" i="21"/>
  <c r="AH732" i="21" s="1"/>
  <c r="AI732" i="21"/>
  <c r="AJ732" i="21"/>
  <c r="W733" i="21"/>
  <c r="X733" i="21"/>
  <c r="Y733" i="21"/>
  <c r="Z733" i="21"/>
  <c r="AA733" i="21" s="1"/>
  <c r="AC733" i="21"/>
  <c r="AD733" i="21"/>
  <c r="AE733" i="21"/>
  <c r="AF733" i="21"/>
  <c r="AG733" i="21"/>
  <c r="AH733" i="21"/>
  <c r="AI733" i="21"/>
  <c r="AJ733" i="21"/>
  <c r="AK733" i="21"/>
  <c r="AL733" i="21" s="1"/>
  <c r="AM733" i="21" s="1"/>
  <c r="W734" i="21"/>
  <c r="X734" i="21"/>
  <c r="Y734" i="21"/>
  <c r="Z734" i="21"/>
  <c r="AA734" i="21" s="1"/>
  <c r="AB734" i="21" s="1"/>
  <c r="AC734" i="21"/>
  <c r="AD734" i="21"/>
  <c r="AE734" i="21"/>
  <c r="AF734" i="21"/>
  <c r="AG734" i="21"/>
  <c r="AH734" i="21" s="1"/>
  <c r="AI734" i="21"/>
  <c r="AJ734" i="21"/>
  <c r="AL734" i="21" s="1"/>
  <c r="AK734" i="21"/>
  <c r="W735" i="21"/>
  <c r="X735" i="21"/>
  <c r="Y735" i="21"/>
  <c r="Z735" i="21"/>
  <c r="AA735" i="21"/>
  <c r="AB735" i="21" s="1"/>
  <c r="AC735" i="21"/>
  <c r="AD735" i="21"/>
  <c r="AE735" i="21"/>
  <c r="AF735" i="21"/>
  <c r="AG735" i="21" s="1"/>
  <c r="AI735" i="21"/>
  <c r="AJ735" i="21"/>
  <c r="W736" i="21"/>
  <c r="X736" i="21"/>
  <c r="Y736" i="21"/>
  <c r="Z736" i="21"/>
  <c r="AA736" i="21" s="1"/>
  <c r="AC736" i="21"/>
  <c r="AD736" i="21"/>
  <c r="AE736" i="21"/>
  <c r="AF736" i="21"/>
  <c r="AG736" i="21"/>
  <c r="AK736" i="21" s="1"/>
  <c r="AL736" i="21" s="1"/>
  <c r="AM736" i="21" s="1"/>
  <c r="AH736" i="21"/>
  <c r="AI736" i="21"/>
  <c r="AJ736" i="21"/>
  <c r="W737" i="21"/>
  <c r="X737" i="21"/>
  <c r="Y737" i="21"/>
  <c r="Z737" i="21"/>
  <c r="AA737" i="21" s="1"/>
  <c r="AC737" i="21"/>
  <c r="AD737" i="21"/>
  <c r="AE737" i="21"/>
  <c r="AF737" i="21"/>
  <c r="AG737" i="21"/>
  <c r="AH737" i="21" s="1"/>
  <c r="AI737" i="21"/>
  <c r="AJ737" i="21"/>
  <c r="W738" i="21"/>
  <c r="X738" i="21"/>
  <c r="Y738" i="21"/>
  <c r="Z738" i="21"/>
  <c r="AA738" i="21" s="1"/>
  <c r="AC738" i="21"/>
  <c r="AD738" i="21"/>
  <c r="AE738" i="21"/>
  <c r="AF738" i="21"/>
  <c r="AG738" i="21" s="1"/>
  <c r="AI738" i="21"/>
  <c r="AJ738" i="21"/>
  <c r="W739" i="21"/>
  <c r="X739" i="21"/>
  <c r="Y739" i="21"/>
  <c r="Z739" i="21"/>
  <c r="AA739" i="21" s="1"/>
  <c r="AB739" i="21" s="1"/>
  <c r="AC739" i="21"/>
  <c r="AD739" i="21"/>
  <c r="AE739" i="21"/>
  <c r="AF739" i="21"/>
  <c r="AG739" i="21" s="1"/>
  <c r="AI739" i="21"/>
  <c r="AJ739" i="21"/>
  <c r="W740" i="21"/>
  <c r="X740" i="21"/>
  <c r="Y740" i="21"/>
  <c r="Z740" i="21"/>
  <c r="AB740" i="21" s="1"/>
  <c r="AA740" i="21"/>
  <c r="AC740" i="21"/>
  <c r="AD740" i="21"/>
  <c r="AE740" i="21"/>
  <c r="AF740" i="21"/>
  <c r="AG740" i="21"/>
  <c r="AH740" i="21" s="1"/>
  <c r="AI740" i="21"/>
  <c r="AJ740" i="21"/>
  <c r="W741" i="21"/>
  <c r="X741" i="21"/>
  <c r="Y741" i="21"/>
  <c r="Z741" i="21"/>
  <c r="AA741" i="21" s="1"/>
  <c r="AC741" i="21"/>
  <c r="AD741" i="21"/>
  <c r="AE741" i="21"/>
  <c r="AF741" i="21"/>
  <c r="AG741" i="21"/>
  <c r="AH741" i="21"/>
  <c r="AI741" i="21"/>
  <c r="AJ741" i="21"/>
  <c r="AK741" i="21"/>
  <c r="AL741" i="21" s="1"/>
  <c r="AM741" i="21" s="1"/>
  <c r="W742" i="21"/>
  <c r="X742" i="21"/>
  <c r="Y742" i="21"/>
  <c r="Z742" i="21"/>
  <c r="AA742" i="21" s="1"/>
  <c r="AB742" i="21" s="1"/>
  <c r="AC742" i="21"/>
  <c r="AD742" i="21"/>
  <c r="AE742" i="21"/>
  <c r="AF742" i="21"/>
  <c r="AG742" i="21"/>
  <c r="AH742" i="21" s="1"/>
  <c r="AI742" i="21"/>
  <c r="AJ742" i="21"/>
  <c r="AL742" i="21" s="1"/>
  <c r="AK742" i="21"/>
  <c r="W743" i="21"/>
  <c r="X743" i="21"/>
  <c r="Y743" i="21"/>
  <c r="Z743" i="21"/>
  <c r="AA743" i="21"/>
  <c r="AB743" i="21" s="1"/>
  <c r="AC743" i="21"/>
  <c r="AD743" i="21"/>
  <c r="AE743" i="21"/>
  <c r="AF743" i="21"/>
  <c r="AG743" i="21" s="1"/>
  <c r="AI743" i="21"/>
  <c r="AJ743" i="21"/>
  <c r="W744" i="21"/>
  <c r="X744" i="21"/>
  <c r="Y744" i="21"/>
  <c r="Z744" i="21"/>
  <c r="AA744" i="21" s="1"/>
  <c r="AC744" i="21"/>
  <c r="AD744" i="21"/>
  <c r="AE744" i="21"/>
  <c r="AF744" i="21"/>
  <c r="AG744" i="21"/>
  <c r="AK744" i="21" s="1"/>
  <c r="AL744" i="21" s="1"/>
  <c r="AM744" i="21" s="1"/>
  <c r="AH744" i="21"/>
  <c r="AI744" i="21"/>
  <c r="AJ744" i="21"/>
  <c r="W745" i="21"/>
  <c r="X745" i="21"/>
  <c r="Y745" i="21"/>
  <c r="Z745" i="21"/>
  <c r="AA745" i="21" s="1"/>
  <c r="AC745" i="21"/>
  <c r="AD745" i="21"/>
  <c r="AE745" i="21"/>
  <c r="AF745" i="21"/>
  <c r="AG745" i="21"/>
  <c r="AH745" i="21" s="1"/>
  <c r="AI745" i="21"/>
  <c r="AJ745" i="21"/>
  <c r="W746" i="21"/>
  <c r="X746" i="21"/>
  <c r="Y746" i="21"/>
  <c r="Z746" i="21"/>
  <c r="AA746" i="21" s="1"/>
  <c r="AC746" i="21"/>
  <c r="AD746" i="21"/>
  <c r="AE746" i="21"/>
  <c r="AF746" i="21"/>
  <c r="AG746" i="21" s="1"/>
  <c r="AI746" i="21"/>
  <c r="AJ746" i="21"/>
  <c r="W747" i="21"/>
  <c r="X747" i="21"/>
  <c r="Y747" i="21"/>
  <c r="Z747" i="21"/>
  <c r="AA747" i="21" s="1"/>
  <c r="AB747" i="21" s="1"/>
  <c r="AC747" i="21"/>
  <c r="AD747" i="21"/>
  <c r="AE747" i="21"/>
  <c r="AF747" i="21"/>
  <c r="AG747" i="21" s="1"/>
  <c r="AI747" i="21"/>
  <c r="AJ747" i="21"/>
  <c r="W748" i="21"/>
  <c r="X748" i="21"/>
  <c r="Y748" i="21"/>
  <c r="Z748" i="21"/>
  <c r="AB748" i="21" s="1"/>
  <c r="AA748" i="21"/>
  <c r="AC748" i="21"/>
  <c r="AD748" i="21"/>
  <c r="AE748" i="21"/>
  <c r="AF748" i="21"/>
  <c r="AG748" i="21" s="1"/>
  <c r="AI748" i="21"/>
  <c r="AJ748" i="21"/>
  <c r="W749" i="21"/>
  <c r="X749" i="21"/>
  <c r="Y749" i="21"/>
  <c r="Z749" i="21"/>
  <c r="AA749" i="21" s="1"/>
  <c r="AC749" i="21"/>
  <c r="AD749" i="21"/>
  <c r="AE749" i="21"/>
  <c r="AF749" i="21"/>
  <c r="AG749" i="21"/>
  <c r="AH749" i="21"/>
  <c r="AI749" i="21"/>
  <c r="AJ749" i="21"/>
  <c r="AK749" i="21"/>
  <c r="AL749" i="21" s="1"/>
  <c r="AM749" i="21" s="1"/>
  <c r="W750" i="21"/>
  <c r="X750" i="21"/>
  <c r="Y750" i="21"/>
  <c r="Z750" i="21"/>
  <c r="AA750" i="21" s="1"/>
  <c r="AB750" i="21" s="1"/>
  <c r="AC750" i="21"/>
  <c r="AD750" i="21"/>
  <c r="AE750" i="21"/>
  <c r="AF750" i="21"/>
  <c r="AG750" i="21"/>
  <c r="AH750" i="21" s="1"/>
  <c r="AI750" i="21"/>
  <c r="AJ750" i="21"/>
  <c r="AL750" i="21" s="1"/>
  <c r="AK750" i="21"/>
  <c r="W751" i="21"/>
  <c r="X751" i="21"/>
  <c r="Y751" i="21"/>
  <c r="Z751" i="21"/>
  <c r="AA751" i="21"/>
  <c r="AB751" i="21" s="1"/>
  <c r="AC751" i="21"/>
  <c r="AD751" i="21"/>
  <c r="AE751" i="21"/>
  <c r="AF751" i="21"/>
  <c r="AG751" i="21" s="1"/>
  <c r="AI751" i="21"/>
  <c r="AJ751" i="21"/>
  <c r="W752" i="21"/>
  <c r="X752" i="21"/>
  <c r="Y752" i="21"/>
  <c r="Z752" i="21"/>
  <c r="AA752" i="21" s="1"/>
  <c r="AC752" i="21"/>
  <c r="AD752" i="21"/>
  <c r="AE752" i="21"/>
  <c r="AF752" i="21"/>
  <c r="AG752" i="21"/>
  <c r="AK752" i="21" s="1"/>
  <c r="AL752" i="21" s="1"/>
  <c r="AM752" i="21" s="1"/>
  <c r="AH752" i="21"/>
  <c r="AI752" i="21"/>
  <c r="AJ752" i="21"/>
  <c r="W753" i="21"/>
  <c r="X753" i="21"/>
  <c r="Y753" i="21"/>
  <c r="Z753" i="21"/>
  <c r="AA753" i="21" s="1"/>
  <c r="AC753" i="21"/>
  <c r="AD753" i="21"/>
  <c r="AE753" i="21"/>
  <c r="AF753" i="21"/>
  <c r="AG753" i="21"/>
  <c r="AH753" i="21" s="1"/>
  <c r="AI753" i="21"/>
  <c r="AJ753" i="21"/>
  <c r="W754" i="21"/>
  <c r="X754" i="21"/>
  <c r="Y754" i="21"/>
  <c r="Z754" i="21"/>
  <c r="AA754" i="21" s="1"/>
  <c r="AC754" i="21"/>
  <c r="AD754" i="21"/>
  <c r="AE754" i="21"/>
  <c r="AF754" i="21"/>
  <c r="AG754" i="21" s="1"/>
  <c r="AI754" i="21"/>
  <c r="AJ754" i="21"/>
  <c r="W755" i="21"/>
  <c r="X755" i="21"/>
  <c r="Y755" i="21"/>
  <c r="Z755" i="21"/>
  <c r="AA755" i="21" s="1"/>
  <c r="AB755" i="21" s="1"/>
  <c r="AC755" i="21"/>
  <c r="AD755" i="21"/>
  <c r="AE755" i="21"/>
  <c r="AF755" i="21"/>
  <c r="AG755" i="21" s="1"/>
  <c r="AI755" i="21"/>
  <c r="AJ755" i="21"/>
  <c r="W756" i="21"/>
  <c r="X756" i="21"/>
  <c r="Y756" i="21"/>
  <c r="Z756" i="21"/>
  <c r="AB756" i="21" s="1"/>
  <c r="AA756" i="21"/>
  <c r="AC756" i="21"/>
  <c r="AD756" i="21"/>
  <c r="AE756" i="21"/>
  <c r="AF756" i="21"/>
  <c r="AG756" i="21" s="1"/>
  <c r="AI756" i="21"/>
  <c r="AJ756" i="21"/>
  <c r="W757" i="21"/>
  <c r="X757" i="21"/>
  <c r="Y757" i="21"/>
  <c r="Z757" i="21"/>
  <c r="AA757" i="21" s="1"/>
  <c r="AC757" i="21"/>
  <c r="AD757" i="21"/>
  <c r="AE757" i="21"/>
  <c r="AF757" i="21"/>
  <c r="AG757" i="21"/>
  <c r="AH757" i="21"/>
  <c r="AI757" i="21"/>
  <c r="AJ757" i="21"/>
  <c r="AK757" i="21"/>
  <c r="AL757" i="21" s="1"/>
  <c r="AM757" i="21" s="1"/>
  <c r="W758" i="21"/>
  <c r="X758" i="21"/>
  <c r="Y758" i="21"/>
  <c r="Z758" i="21"/>
  <c r="AA758" i="21" s="1"/>
  <c r="AB758" i="21" s="1"/>
  <c r="AC758" i="21"/>
  <c r="AD758" i="21"/>
  <c r="AE758" i="21"/>
  <c r="AF758" i="21"/>
  <c r="AG758" i="21"/>
  <c r="AH758" i="21" s="1"/>
  <c r="AI758" i="21"/>
  <c r="AJ758" i="21"/>
  <c r="AL758" i="21" s="1"/>
  <c r="AK758" i="21"/>
  <c r="W759" i="21"/>
  <c r="X759" i="21"/>
  <c r="Y759" i="21"/>
  <c r="Z759" i="21"/>
  <c r="AA759" i="21"/>
  <c r="AB759" i="21" s="1"/>
  <c r="AC759" i="21"/>
  <c r="AD759" i="21"/>
  <c r="AE759" i="21"/>
  <c r="AF759" i="21"/>
  <c r="AG759" i="21" s="1"/>
  <c r="AI759" i="21"/>
  <c r="AJ759" i="21"/>
  <c r="W760" i="21"/>
  <c r="X760" i="21"/>
  <c r="Y760" i="21"/>
  <c r="Z760" i="21"/>
  <c r="AA760" i="21" s="1"/>
  <c r="AC760" i="21"/>
  <c r="AD760" i="21"/>
  <c r="AE760" i="21"/>
  <c r="AF760" i="21"/>
  <c r="AG760" i="21"/>
  <c r="AH760" i="21"/>
  <c r="AM760" i="21" s="1"/>
  <c r="AI760" i="21"/>
  <c r="AJ760" i="21"/>
  <c r="AK760" i="21"/>
  <c r="AL760" i="21"/>
  <c r="W761" i="21"/>
  <c r="X761" i="21"/>
  <c r="Y761" i="21"/>
  <c r="Z761" i="21"/>
  <c r="AA761" i="21" s="1"/>
  <c r="AC761" i="21"/>
  <c r="AD761" i="21"/>
  <c r="AE761" i="21"/>
  <c r="AF761" i="21"/>
  <c r="AG761" i="21"/>
  <c r="AH761" i="21" s="1"/>
  <c r="AI761" i="21"/>
  <c r="AJ761" i="21"/>
  <c r="W762" i="21"/>
  <c r="X762" i="21"/>
  <c r="Y762" i="21"/>
  <c r="Z762" i="21"/>
  <c r="AA762" i="21" s="1"/>
  <c r="AC762" i="21"/>
  <c r="AD762" i="21"/>
  <c r="AE762" i="21"/>
  <c r="AF762" i="21"/>
  <c r="AG762" i="21" s="1"/>
  <c r="AI762" i="21"/>
  <c r="AJ762" i="21"/>
  <c r="W763" i="21"/>
  <c r="X763" i="21"/>
  <c r="Y763" i="21"/>
  <c r="Z763" i="21"/>
  <c r="AA763" i="21" s="1"/>
  <c r="AB763" i="21" s="1"/>
  <c r="AC763" i="21"/>
  <c r="AD763" i="21"/>
  <c r="AE763" i="21"/>
  <c r="AF763" i="21"/>
  <c r="AG763" i="21" s="1"/>
  <c r="AI763" i="21"/>
  <c r="AJ763" i="21"/>
  <c r="W764" i="21"/>
  <c r="X764" i="21"/>
  <c r="Y764" i="21"/>
  <c r="Z764" i="21"/>
  <c r="AB764" i="21" s="1"/>
  <c r="AA764" i="21"/>
  <c r="AC764" i="21"/>
  <c r="AD764" i="21"/>
  <c r="AE764" i="21"/>
  <c r="AF764" i="21"/>
  <c r="AG764" i="21"/>
  <c r="AH764" i="21" s="1"/>
  <c r="AI764" i="21"/>
  <c r="AJ764" i="21"/>
  <c r="W765" i="21"/>
  <c r="X765" i="21"/>
  <c r="Y765" i="21"/>
  <c r="Z765" i="21"/>
  <c r="AA765" i="21" s="1"/>
  <c r="AC765" i="21"/>
  <c r="AD765" i="21"/>
  <c r="AE765" i="21"/>
  <c r="AF765" i="21"/>
  <c r="AG765" i="21"/>
  <c r="AH765" i="21"/>
  <c r="AI765" i="21"/>
  <c r="AJ765" i="21"/>
  <c r="AK765" i="21"/>
  <c r="AL765" i="21" s="1"/>
  <c r="AM765" i="21" s="1"/>
  <c r="W766" i="21"/>
  <c r="X766" i="21"/>
  <c r="Y766" i="21"/>
  <c r="Z766" i="21"/>
  <c r="AA766" i="21" s="1"/>
  <c r="AB766" i="21" s="1"/>
  <c r="AC766" i="21"/>
  <c r="AD766" i="21"/>
  <c r="AE766" i="21"/>
  <c r="AF766" i="21"/>
  <c r="AG766" i="21"/>
  <c r="AH766" i="21" s="1"/>
  <c r="AI766" i="21"/>
  <c r="AJ766" i="21"/>
  <c r="AL766" i="21" s="1"/>
  <c r="AM766" i="21" s="1"/>
  <c r="AK766" i="21"/>
  <c r="W767" i="21"/>
  <c r="X767" i="21"/>
  <c r="Y767" i="21"/>
  <c r="Z767" i="21"/>
  <c r="AA767" i="21"/>
  <c r="AB767" i="21" s="1"/>
  <c r="AC767" i="21"/>
  <c r="AD767" i="21"/>
  <c r="AE767" i="21"/>
  <c r="AF767" i="21"/>
  <c r="AG767" i="21" s="1"/>
  <c r="AI767" i="21"/>
  <c r="AJ767" i="21"/>
  <c r="W768" i="21"/>
  <c r="X768" i="21"/>
  <c r="Y768" i="21"/>
  <c r="Z768" i="21"/>
  <c r="AA768" i="21" s="1"/>
  <c r="AC768" i="21"/>
  <c r="AD768" i="21"/>
  <c r="AE768" i="21"/>
  <c r="AF768" i="21"/>
  <c r="AG768" i="21"/>
  <c r="AH768" i="21"/>
  <c r="AM768" i="21" s="1"/>
  <c r="AI768" i="21"/>
  <c r="AJ768" i="21"/>
  <c r="AK768" i="21"/>
  <c r="AL768" i="21"/>
  <c r="W769" i="21"/>
  <c r="X769" i="21"/>
  <c r="Y769" i="21"/>
  <c r="Z769" i="21"/>
  <c r="AA769" i="21" s="1"/>
  <c r="AC769" i="21"/>
  <c r="AD769" i="21"/>
  <c r="AE769" i="21"/>
  <c r="AF769" i="21"/>
  <c r="AG769" i="21"/>
  <c r="AI769" i="21"/>
  <c r="AJ769" i="21"/>
  <c r="W770" i="21"/>
  <c r="X770" i="21"/>
  <c r="Y770" i="21"/>
  <c r="Z770" i="21"/>
  <c r="AA770" i="21" s="1"/>
  <c r="AC770" i="21"/>
  <c r="AD770" i="21"/>
  <c r="AE770" i="21"/>
  <c r="AF770" i="21"/>
  <c r="AG770" i="21" s="1"/>
  <c r="AI770" i="21"/>
  <c r="AJ770" i="21"/>
  <c r="W771" i="21"/>
  <c r="X771" i="21"/>
  <c r="Y771" i="21"/>
  <c r="Z771" i="21"/>
  <c r="AA771" i="21" s="1"/>
  <c r="AB771" i="21" s="1"/>
  <c r="AC771" i="21"/>
  <c r="AD771" i="21"/>
  <c r="AE771" i="21"/>
  <c r="AF771" i="21"/>
  <c r="AG771" i="21" s="1"/>
  <c r="AI771" i="21"/>
  <c r="AJ771" i="21"/>
  <c r="W772" i="21"/>
  <c r="X772" i="21"/>
  <c r="Y772" i="21"/>
  <c r="Z772" i="21"/>
  <c r="AB772" i="21" s="1"/>
  <c r="AA772" i="21"/>
  <c r="AC772" i="21"/>
  <c r="AD772" i="21"/>
  <c r="AE772" i="21"/>
  <c r="AF772" i="21"/>
  <c r="AG772" i="21"/>
  <c r="AH772" i="21" s="1"/>
  <c r="AI772" i="21"/>
  <c r="AJ772" i="21"/>
  <c r="W773" i="21"/>
  <c r="X773" i="21"/>
  <c r="Y773" i="21"/>
  <c r="Z773" i="21"/>
  <c r="AA773" i="21" s="1"/>
  <c r="AC773" i="21"/>
  <c r="AD773" i="21"/>
  <c r="AE773" i="21"/>
  <c r="AF773" i="21"/>
  <c r="AG773" i="21"/>
  <c r="AH773" i="21"/>
  <c r="AI773" i="21"/>
  <c r="AJ773" i="21"/>
  <c r="AK773" i="21"/>
  <c r="AL773" i="21" s="1"/>
  <c r="AM773" i="21" s="1"/>
  <c r="W774" i="21"/>
  <c r="X774" i="21"/>
  <c r="Y774" i="21"/>
  <c r="Z774" i="21"/>
  <c r="AA774" i="21" s="1"/>
  <c r="AB774" i="21" s="1"/>
  <c r="AC774" i="21"/>
  <c r="AD774" i="21"/>
  <c r="AE774" i="21"/>
  <c r="AF774" i="21"/>
  <c r="AG774" i="21"/>
  <c r="AH774" i="21" s="1"/>
  <c r="AI774" i="21"/>
  <c r="AJ774" i="21"/>
  <c r="AL774" i="21" s="1"/>
  <c r="AM774" i="21" s="1"/>
  <c r="AK774" i="21"/>
  <c r="W775" i="21"/>
  <c r="X775" i="21"/>
  <c r="Y775" i="21"/>
  <c r="Z775" i="21"/>
  <c r="AA775" i="21"/>
  <c r="AB775" i="21" s="1"/>
  <c r="AC775" i="21"/>
  <c r="AD775" i="21"/>
  <c r="AE775" i="21"/>
  <c r="AF775" i="21"/>
  <c r="AG775" i="21" s="1"/>
  <c r="AI775" i="21"/>
  <c r="AJ775" i="21"/>
  <c r="W776" i="21"/>
  <c r="X776" i="21"/>
  <c r="Y776" i="21"/>
  <c r="Z776" i="21"/>
  <c r="AC776" i="21"/>
  <c r="AD776" i="21"/>
  <c r="AE776" i="21"/>
  <c r="AF776" i="21"/>
  <c r="AG776" i="21"/>
  <c r="AH776" i="21"/>
  <c r="AM776" i="21" s="1"/>
  <c r="AI776" i="21"/>
  <c r="AJ776" i="21"/>
  <c r="AK776" i="21"/>
  <c r="AL776" i="21"/>
  <c r="W777" i="21"/>
  <c r="X777" i="21"/>
  <c r="Y777" i="21"/>
  <c r="Z777" i="21"/>
  <c r="AA777" i="21" s="1"/>
  <c r="AC777" i="21"/>
  <c r="AD777" i="21"/>
  <c r="AE777" i="21"/>
  <c r="AF777" i="21"/>
  <c r="AG777" i="21"/>
  <c r="AI777" i="21"/>
  <c r="AJ777" i="21"/>
  <c r="W778" i="21"/>
  <c r="X778" i="21"/>
  <c r="Y778" i="21"/>
  <c r="Z778" i="21"/>
  <c r="AA778" i="21" s="1"/>
  <c r="AC778" i="21"/>
  <c r="AD778" i="21"/>
  <c r="AE778" i="21"/>
  <c r="AF778" i="21"/>
  <c r="AG778" i="21" s="1"/>
  <c r="AI778" i="21"/>
  <c r="AJ778" i="21"/>
  <c r="W779" i="21"/>
  <c r="X779" i="21"/>
  <c r="Y779" i="21"/>
  <c r="Z779" i="21"/>
  <c r="AA779" i="21" s="1"/>
  <c r="AB779" i="21" s="1"/>
  <c r="AC779" i="21"/>
  <c r="AD779" i="21"/>
  <c r="AE779" i="21"/>
  <c r="AF779" i="21"/>
  <c r="AG779" i="21" s="1"/>
  <c r="AI779" i="21"/>
  <c r="AJ779" i="21"/>
  <c r="W780" i="21"/>
  <c r="X780" i="21"/>
  <c r="Y780" i="21"/>
  <c r="Z780" i="21"/>
  <c r="AB780" i="21" s="1"/>
  <c r="AA780" i="21"/>
  <c r="AC780" i="21"/>
  <c r="AD780" i="21"/>
  <c r="AE780" i="21"/>
  <c r="AF780" i="21"/>
  <c r="AG780" i="21"/>
  <c r="AH780" i="21" s="1"/>
  <c r="AI780" i="21"/>
  <c r="AJ780" i="21"/>
  <c r="W781" i="21"/>
  <c r="X781" i="21"/>
  <c r="Y781" i="21"/>
  <c r="Z781" i="21"/>
  <c r="AA781" i="21" s="1"/>
  <c r="AC781" i="21"/>
  <c r="AD781" i="21"/>
  <c r="AE781" i="21"/>
  <c r="AF781" i="21"/>
  <c r="AG781" i="21"/>
  <c r="AH781" i="21"/>
  <c r="AI781" i="21"/>
  <c r="AJ781" i="21"/>
  <c r="AK781" i="21"/>
  <c r="AL781" i="21" s="1"/>
  <c r="AM781" i="21" s="1"/>
  <c r="W782" i="21"/>
  <c r="X782" i="21"/>
  <c r="Y782" i="21"/>
  <c r="Z782" i="21"/>
  <c r="AA782" i="21" s="1"/>
  <c r="AB782" i="21" s="1"/>
  <c r="AC782" i="21"/>
  <c r="AD782" i="21"/>
  <c r="AE782" i="21"/>
  <c r="AF782" i="21"/>
  <c r="AG782" i="21"/>
  <c r="AH782" i="21" s="1"/>
  <c r="AI782" i="21"/>
  <c r="AJ782" i="21"/>
  <c r="AL782" i="21" s="1"/>
  <c r="AM782" i="21" s="1"/>
  <c r="AK782" i="21"/>
  <c r="W783" i="21"/>
  <c r="X783" i="21"/>
  <c r="Y783" i="21"/>
  <c r="Z783" i="21"/>
  <c r="AA783" i="21"/>
  <c r="AB783" i="21" s="1"/>
  <c r="AC783" i="21"/>
  <c r="AD783" i="21"/>
  <c r="AE783" i="21"/>
  <c r="AF783" i="21"/>
  <c r="AG783" i="21" s="1"/>
  <c r="AI783" i="21"/>
  <c r="AJ783" i="21"/>
  <c r="W784" i="21"/>
  <c r="X784" i="21"/>
  <c r="Y784" i="21"/>
  <c r="Z784" i="21"/>
  <c r="AC784" i="21"/>
  <c r="AD784" i="21"/>
  <c r="AE784" i="21"/>
  <c r="AF784" i="21"/>
  <c r="AG784" i="21"/>
  <c r="AH784" i="21"/>
  <c r="AM784" i="21" s="1"/>
  <c r="AI784" i="21"/>
  <c r="AJ784" i="21"/>
  <c r="AK784" i="21"/>
  <c r="AL784" i="21"/>
  <c r="W785" i="21"/>
  <c r="X785" i="21"/>
  <c r="Y785" i="21"/>
  <c r="Z785" i="21"/>
  <c r="AA785" i="21" s="1"/>
  <c r="AC785" i="21"/>
  <c r="AD785" i="21"/>
  <c r="AE785" i="21"/>
  <c r="AF785" i="21"/>
  <c r="AG785" i="21"/>
  <c r="AI785" i="21"/>
  <c r="AJ785" i="21"/>
  <c r="W786" i="21"/>
  <c r="X786" i="21"/>
  <c r="Y786" i="21"/>
  <c r="Z786" i="21"/>
  <c r="AA786" i="21" s="1"/>
  <c r="AC786" i="21"/>
  <c r="AD786" i="21"/>
  <c r="AE786" i="21"/>
  <c r="AF786" i="21"/>
  <c r="AG786" i="21" s="1"/>
  <c r="AI786" i="21"/>
  <c r="AJ786" i="21"/>
  <c r="W787" i="21"/>
  <c r="X787" i="21"/>
  <c r="Y787" i="21"/>
  <c r="Z787" i="21"/>
  <c r="AA787" i="21" s="1"/>
  <c r="AB787" i="21" s="1"/>
  <c r="AC787" i="21"/>
  <c r="AD787" i="21"/>
  <c r="AE787" i="21"/>
  <c r="AF787" i="21"/>
  <c r="AG787" i="21" s="1"/>
  <c r="AI787" i="21"/>
  <c r="AJ787" i="21"/>
  <c r="W788" i="21"/>
  <c r="X788" i="21"/>
  <c r="Y788" i="21"/>
  <c r="Z788" i="21"/>
  <c r="AB788" i="21" s="1"/>
  <c r="AA788" i="21"/>
  <c r="AC788" i="21"/>
  <c r="AD788" i="21"/>
  <c r="AE788" i="21"/>
  <c r="AF788" i="21"/>
  <c r="AG788" i="21"/>
  <c r="AH788" i="21" s="1"/>
  <c r="AI788" i="21"/>
  <c r="AJ788" i="21"/>
  <c r="W789" i="21"/>
  <c r="X789" i="21"/>
  <c r="Y789" i="21"/>
  <c r="Z789" i="21"/>
  <c r="AA789" i="21" s="1"/>
  <c r="AC789" i="21"/>
  <c r="AD789" i="21"/>
  <c r="AE789" i="21"/>
  <c r="AF789" i="21"/>
  <c r="AG789" i="21"/>
  <c r="AH789" i="21"/>
  <c r="AI789" i="21"/>
  <c r="AJ789" i="21"/>
  <c r="AK789" i="21"/>
  <c r="AL789" i="21" s="1"/>
  <c r="AM789" i="21" s="1"/>
  <c r="W790" i="21"/>
  <c r="X790" i="21"/>
  <c r="Y790" i="21"/>
  <c r="Z790" i="21"/>
  <c r="AA790" i="21" s="1"/>
  <c r="AB790" i="21" s="1"/>
  <c r="AC790" i="21"/>
  <c r="AD790" i="21"/>
  <c r="AE790" i="21"/>
  <c r="AF790" i="21"/>
  <c r="AG790" i="21"/>
  <c r="AH790" i="21" s="1"/>
  <c r="AI790" i="21"/>
  <c r="AJ790" i="21"/>
  <c r="AL790" i="21" s="1"/>
  <c r="AM790" i="21" s="1"/>
  <c r="AK790" i="21"/>
  <c r="W791" i="21"/>
  <c r="X791" i="21"/>
  <c r="Y791" i="21"/>
  <c r="Z791" i="21"/>
  <c r="AA791" i="21"/>
  <c r="AB791" i="21" s="1"/>
  <c r="AC791" i="21"/>
  <c r="AD791" i="21"/>
  <c r="AE791" i="21"/>
  <c r="AF791" i="21"/>
  <c r="AG791" i="21" s="1"/>
  <c r="AI791" i="21"/>
  <c r="AJ791" i="21"/>
  <c r="W792" i="21"/>
  <c r="X792" i="21"/>
  <c r="Y792" i="21"/>
  <c r="Z792" i="21"/>
  <c r="AC792" i="21"/>
  <c r="AD792" i="21"/>
  <c r="AE792" i="21"/>
  <c r="AF792" i="21"/>
  <c r="AG792" i="21"/>
  <c r="AH792" i="21"/>
  <c r="AM792" i="21" s="1"/>
  <c r="AI792" i="21"/>
  <c r="AJ792" i="21"/>
  <c r="AK792" i="21"/>
  <c r="AL792" i="21"/>
  <c r="W793" i="21"/>
  <c r="X793" i="21"/>
  <c r="Y793" i="21"/>
  <c r="Z793" i="21"/>
  <c r="AA793" i="21" s="1"/>
  <c r="AC793" i="21"/>
  <c r="AD793" i="21"/>
  <c r="AE793" i="21"/>
  <c r="AF793" i="21"/>
  <c r="AG793" i="21"/>
  <c r="AI793" i="21"/>
  <c r="AJ793" i="21"/>
  <c r="W794" i="21"/>
  <c r="X794" i="21"/>
  <c r="Y794" i="21"/>
  <c r="Z794" i="21"/>
  <c r="AA794" i="21" s="1"/>
  <c r="AC794" i="21"/>
  <c r="AD794" i="21"/>
  <c r="AE794" i="21"/>
  <c r="AF794" i="21"/>
  <c r="AG794" i="21" s="1"/>
  <c r="AI794" i="21"/>
  <c r="AJ794" i="21"/>
  <c r="W795" i="21"/>
  <c r="X795" i="21"/>
  <c r="Y795" i="21"/>
  <c r="Z795" i="21"/>
  <c r="AA795" i="21" s="1"/>
  <c r="AB795" i="21" s="1"/>
  <c r="AC795" i="21"/>
  <c r="AD795" i="21"/>
  <c r="AE795" i="21"/>
  <c r="AF795" i="21"/>
  <c r="AG795" i="21" s="1"/>
  <c r="AI795" i="21"/>
  <c r="AJ795" i="21"/>
  <c r="W796" i="21"/>
  <c r="X796" i="21"/>
  <c r="Y796" i="21"/>
  <c r="Z796" i="21"/>
  <c r="AB796" i="21" s="1"/>
  <c r="AA796" i="21"/>
  <c r="AC796" i="21"/>
  <c r="AD796" i="21"/>
  <c r="AE796" i="21"/>
  <c r="AF796" i="21"/>
  <c r="AG796" i="21"/>
  <c r="AH796" i="21" s="1"/>
  <c r="AI796" i="21"/>
  <c r="AJ796" i="21"/>
  <c r="W797" i="21"/>
  <c r="X797" i="21"/>
  <c r="Y797" i="21"/>
  <c r="Z797" i="21"/>
  <c r="AA797" i="21" s="1"/>
  <c r="AC797" i="21"/>
  <c r="AD797" i="21"/>
  <c r="AE797" i="21"/>
  <c r="AF797" i="21"/>
  <c r="AG797" i="21"/>
  <c r="AH797" i="21"/>
  <c r="AI797" i="21"/>
  <c r="AJ797" i="21"/>
  <c r="AK797" i="21"/>
  <c r="AL797" i="21" s="1"/>
  <c r="AM797" i="21" s="1"/>
  <c r="W798" i="21"/>
  <c r="X798" i="21"/>
  <c r="Y798" i="21"/>
  <c r="Z798" i="21"/>
  <c r="AA798" i="21" s="1"/>
  <c r="AB798" i="21" s="1"/>
  <c r="AC798" i="21"/>
  <c r="AD798" i="21"/>
  <c r="AE798" i="21"/>
  <c r="AF798" i="21"/>
  <c r="AG798" i="21"/>
  <c r="AH798" i="21" s="1"/>
  <c r="AI798" i="21"/>
  <c r="AJ798" i="21"/>
  <c r="AL798" i="21" s="1"/>
  <c r="AM798" i="21" s="1"/>
  <c r="AK798" i="21"/>
  <c r="W799" i="21"/>
  <c r="X799" i="21"/>
  <c r="Y799" i="21"/>
  <c r="Z799" i="21"/>
  <c r="AA799" i="21"/>
  <c r="AB799" i="21"/>
  <c r="AC799" i="21"/>
  <c r="AD799" i="21"/>
  <c r="AE799" i="21"/>
  <c r="AF799" i="21"/>
  <c r="AG799" i="21" s="1"/>
  <c r="AI799" i="21"/>
  <c r="AJ799" i="21"/>
  <c r="W800" i="21"/>
  <c r="X800" i="21"/>
  <c r="Y800" i="21"/>
  <c r="Z800" i="21"/>
  <c r="AA800" i="21"/>
  <c r="AC800" i="21"/>
  <c r="AD800" i="21"/>
  <c r="AE800" i="21"/>
  <c r="AF800" i="21"/>
  <c r="AG800" i="21"/>
  <c r="AH800" i="21"/>
  <c r="AM800" i="21" s="1"/>
  <c r="AI800" i="21"/>
  <c r="AJ800" i="21"/>
  <c r="AK800" i="21"/>
  <c r="AL800" i="21"/>
  <c r="W801" i="21"/>
  <c r="X801" i="21"/>
  <c r="Y801" i="21"/>
  <c r="Z801" i="21"/>
  <c r="AC801" i="21"/>
  <c r="AD801" i="21"/>
  <c r="AE801" i="21"/>
  <c r="AF801" i="21"/>
  <c r="AG801" i="21"/>
  <c r="AK801" i="21" s="1"/>
  <c r="AL801" i="21" s="1"/>
  <c r="AI801" i="21"/>
  <c r="AJ801" i="21"/>
  <c r="W802" i="21"/>
  <c r="X802" i="21"/>
  <c r="Y802" i="21"/>
  <c r="Z802" i="21"/>
  <c r="AA802" i="21" s="1"/>
  <c r="AC802" i="21"/>
  <c r="AD802" i="21"/>
  <c r="AE802" i="21"/>
  <c r="AF802" i="21"/>
  <c r="AG802" i="21" s="1"/>
  <c r="AI802" i="21"/>
  <c r="AJ802" i="21"/>
  <c r="W803" i="21"/>
  <c r="X803" i="21"/>
  <c r="Y803" i="21"/>
  <c r="Z803" i="21"/>
  <c r="AA803" i="21" s="1"/>
  <c r="AB803" i="21" s="1"/>
  <c r="AC803" i="21"/>
  <c r="AD803" i="21"/>
  <c r="AE803" i="21"/>
  <c r="AF803" i="21"/>
  <c r="AG803" i="21" s="1"/>
  <c r="AI803" i="21"/>
  <c r="AJ803" i="21"/>
  <c r="W804" i="21"/>
  <c r="X804" i="21"/>
  <c r="Y804" i="21"/>
  <c r="Z804" i="21"/>
  <c r="AB804" i="21" s="1"/>
  <c r="AA804" i="21"/>
  <c r="AC804" i="21"/>
  <c r="AD804" i="21"/>
  <c r="AE804" i="21"/>
  <c r="AF804" i="21"/>
  <c r="AG804" i="21"/>
  <c r="AH804" i="21" s="1"/>
  <c r="AI804" i="21"/>
  <c r="AJ804" i="21"/>
  <c r="W805" i="21"/>
  <c r="X805" i="21"/>
  <c r="Y805" i="21"/>
  <c r="Z805" i="21"/>
  <c r="AA805" i="21" s="1"/>
  <c r="AC805" i="21"/>
  <c r="AD805" i="21"/>
  <c r="AE805" i="21"/>
  <c r="AF805" i="21"/>
  <c r="AG805" i="21"/>
  <c r="AH805" i="21"/>
  <c r="AI805" i="21"/>
  <c r="AJ805" i="21"/>
  <c r="AK805" i="21"/>
  <c r="AL805" i="21"/>
  <c r="AM805" i="21" s="1"/>
  <c r="W806" i="21"/>
  <c r="X806" i="21"/>
  <c r="Y806" i="21"/>
  <c r="Z806" i="21"/>
  <c r="AA806" i="21" s="1"/>
  <c r="AB806" i="21"/>
  <c r="AC806" i="21"/>
  <c r="AD806" i="21"/>
  <c r="AE806" i="21"/>
  <c r="AF806" i="21"/>
  <c r="AG806" i="21"/>
  <c r="AH806" i="21" s="1"/>
  <c r="AI806" i="21"/>
  <c r="AJ806" i="21"/>
  <c r="AK806" i="21"/>
  <c r="W807" i="21"/>
  <c r="X807" i="21"/>
  <c r="Y807" i="21"/>
  <c r="Z807" i="21"/>
  <c r="AA807" i="21"/>
  <c r="AB807" i="21"/>
  <c r="AC807" i="21"/>
  <c r="AD807" i="21"/>
  <c r="AE807" i="21"/>
  <c r="AF807" i="21"/>
  <c r="AG807" i="21" s="1"/>
  <c r="AI807" i="21"/>
  <c r="AJ807" i="21"/>
  <c r="W808" i="21"/>
  <c r="X808" i="21"/>
  <c r="Y808" i="21"/>
  <c r="Z808" i="21"/>
  <c r="AA808" i="21" s="1"/>
  <c r="AC808" i="21"/>
  <c r="AD808" i="21"/>
  <c r="AE808" i="21"/>
  <c r="AF808" i="21"/>
  <c r="AG808" i="21"/>
  <c r="AH808" i="21"/>
  <c r="AI808" i="21"/>
  <c r="AJ808" i="21"/>
  <c r="AK808" i="21"/>
  <c r="AL808" i="21"/>
  <c r="AM808" i="21"/>
  <c r="W809" i="21"/>
  <c r="X809" i="21"/>
  <c r="Y809" i="21"/>
  <c r="Z809" i="21"/>
  <c r="AC809" i="21"/>
  <c r="AD809" i="21"/>
  <c r="AE809" i="21"/>
  <c r="AF809" i="21"/>
  <c r="AG809" i="21"/>
  <c r="AK809" i="21" s="1"/>
  <c r="AH809" i="21"/>
  <c r="AI809" i="21"/>
  <c r="AJ809" i="21"/>
  <c r="AL809" i="21"/>
  <c r="W810" i="21"/>
  <c r="X810" i="21"/>
  <c r="Y810" i="21"/>
  <c r="Z810" i="21"/>
  <c r="AA810" i="21" s="1"/>
  <c r="AB810" i="21" s="1"/>
  <c r="AC810" i="21"/>
  <c r="AD810" i="21"/>
  <c r="AE810" i="21"/>
  <c r="AF810" i="21"/>
  <c r="AG810" i="21" s="1"/>
  <c r="AI810" i="21"/>
  <c r="AJ810" i="21"/>
  <c r="W811" i="21"/>
  <c r="X811" i="21"/>
  <c r="Y811" i="21"/>
  <c r="Z811" i="21"/>
  <c r="AA811" i="21" s="1"/>
  <c r="AB811" i="21" s="1"/>
  <c r="AC811" i="21"/>
  <c r="AD811" i="21"/>
  <c r="AE811" i="21"/>
  <c r="AF811" i="21"/>
  <c r="AG811" i="21" s="1"/>
  <c r="AI811" i="21"/>
  <c r="AJ811" i="21"/>
  <c r="W812" i="21"/>
  <c r="X812" i="21"/>
  <c r="Y812" i="21"/>
  <c r="Z812" i="21"/>
  <c r="AA812" i="21"/>
  <c r="AC812" i="21"/>
  <c r="AD812" i="21"/>
  <c r="AE812" i="21"/>
  <c r="AF812" i="21"/>
  <c r="AG812" i="21"/>
  <c r="AI812" i="21"/>
  <c r="AJ812" i="21"/>
  <c r="W813" i="21"/>
  <c r="X813" i="21"/>
  <c r="Y813" i="21"/>
  <c r="Z813" i="21"/>
  <c r="AC813" i="21"/>
  <c r="AD813" i="21"/>
  <c r="AE813" i="21"/>
  <c r="AF813" i="21"/>
  <c r="AG813" i="21"/>
  <c r="AH813" i="21" s="1"/>
  <c r="AI813" i="21"/>
  <c r="AJ813" i="21"/>
  <c r="W814" i="21"/>
  <c r="X814" i="21"/>
  <c r="Y814" i="21"/>
  <c r="Z814" i="21"/>
  <c r="AA814" i="21" s="1"/>
  <c r="AB814" i="21" s="1"/>
  <c r="AC814" i="21"/>
  <c r="AD814" i="21"/>
  <c r="AE814" i="21"/>
  <c r="AF814" i="21"/>
  <c r="AG814" i="21" s="1"/>
  <c r="AI814" i="21"/>
  <c r="AJ814" i="21"/>
  <c r="W815" i="21"/>
  <c r="X815" i="21"/>
  <c r="Y815" i="21"/>
  <c r="Z815" i="21"/>
  <c r="AA815" i="21"/>
  <c r="AB815" i="21" s="1"/>
  <c r="AC815" i="21"/>
  <c r="AD815" i="21"/>
  <c r="AE815" i="21"/>
  <c r="AF815" i="21"/>
  <c r="AG815" i="21" s="1"/>
  <c r="AI815" i="21"/>
  <c r="AJ815" i="21"/>
  <c r="W816" i="21"/>
  <c r="X816" i="21"/>
  <c r="Y816" i="21"/>
  <c r="Z816" i="21"/>
  <c r="AA816" i="21"/>
  <c r="AC816" i="21"/>
  <c r="AD816" i="21"/>
  <c r="AE816" i="21"/>
  <c r="AF816" i="21"/>
  <c r="AG816" i="21"/>
  <c r="AH816" i="21" s="1"/>
  <c r="AI816" i="21"/>
  <c r="AJ816" i="21"/>
  <c r="W817" i="21"/>
  <c r="X817" i="21"/>
  <c r="Y817" i="21"/>
  <c r="Z817" i="21"/>
  <c r="AA817" i="21" s="1"/>
  <c r="AB817" i="21"/>
  <c r="AC817" i="21"/>
  <c r="AD817" i="21"/>
  <c r="AE817" i="21"/>
  <c r="AF817" i="21"/>
  <c r="AG817" i="21"/>
  <c r="AH817" i="21" s="1"/>
  <c r="AI817" i="21"/>
  <c r="AJ817" i="21"/>
  <c r="W818" i="21"/>
  <c r="X818" i="21"/>
  <c r="Y818" i="21"/>
  <c r="Z818" i="21"/>
  <c r="AA818" i="21"/>
  <c r="AB818" i="21"/>
  <c r="AC818" i="21"/>
  <c r="AD818" i="21"/>
  <c r="AE818" i="21"/>
  <c r="AF818" i="21"/>
  <c r="AG818" i="21"/>
  <c r="AH818" i="21" s="1"/>
  <c r="AI818" i="21"/>
  <c r="AJ818" i="21"/>
  <c r="W819" i="21"/>
  <c r="X819" i="21"/>
  <c r="Y819" i="21"/>
  <c r="Z819" i="21"/>
  <c r="AA819" i="21" s="1"/>
  <c r="AB819" i="21" s="1"/>
  <c r="AC819" i="21"/>
  <c r="AD819" i="21"/>
  <c r="AE819" i="21"/>
  <c r="AF819" i="21"/>
  <c r="AG819" i="21"/>
  <c r="AK819" i="21" s="1"/>
  <c r="AI819" i="21"/>
  <c r="AJ819" i="21"/>
  <c r="AL819" i="21" s="1"/>
  <c r="W820" i="21"/>
  <c r="X820" i="21"/>
  <c r="Y820" i="21"/>
  <c r="Z820" i="21"/>
  <c r="AA820" i="21" s="1"/>
  <c r="AC820" i="21"/>
  <c r="AD820" i="21"/>
  <c r="AE820" i="21"/>
  <c r="AF820" i="21"/>
  <c r="AG820" i="21"/>
  <c r="AH820" i="21"/>
  <c r="AI820" i="21"/>
  <c r="AJ820" i="21"/>
  <c r="AK820" i="21"/>
  <c r="AL820" i="21" s="1"/>
  <c r="AM820" i="21" s="1"/>
  <c r="W821" i="21"/>
  <c r="X821" i="21"/>
  <c r="Y821" i="21"/>
  <c r="Z821" i="21"/>
  <c r="AA821" i="21" s="1"/>
  <c r="AC821" i="21"/>
  <c r="AD821" i="21"/>
  <c r="AE821" i="21"/>
  <c r="AF821" i="21"/>
  <c r="AG821" i="21"/>
  <c r="AH821" i="21"/>
  <c r="AI821" i="21"/>
  <c r="AJ821" i="21"/>
  <c r="AL821" i="21" s="1"/>
  <c r="AM821" i="21" s="1"/>
  <c r="AK821" i="21"/>
  <c r="W822" i="21"/>
  <c r="X822" i="21"/>
  <c r="Y822" i="21"/>
  <c r="Z822" i="21"/>
  <c r="AA822" i="21" s="1"/>
  <c r="AC822" i="21"/>
  <c r="AD822" i="21"/>
  <c r="AE822" i="21"/>
  <c r="AF822" i="21"/>
  <c r="AG822" i="21"/>
  <c r="AH822" i="21" s="1"/>
  <c r="AI822" i="21"/>
  <c r="AJ822" i="21"/>
  <c r="W823" i="21"/>
  <c r="X823" i="21"/>
  <c r="Y823" i="21"/>
  <c r="Z823" i="21"/>
  <c r="AB823" i="21" s="1"/>
  <c r="AA823" i="21"/>
  <c r="AC823" i="21"/>
  <c r="AD823" i="21"/>
  <c r="AE823" i="21"/>
  <c r="AF823" i="21"/>
  <c r="AG823" i="21" s="1"/>
  <c r="AI823" i="21"/>
  <c r="AJ823" i="21"/>
  <c r="W824" i="21"/>
  <c r="X824" i="21"/>
  <c r="Y824" i="21"/>
  <c r="Z824" i="21"/>
  <c r="AC824" i="21"/>
  <c r="AD824" i="21"/>
  <c r="AE824" i="21"/>
  <c r="AF824" i="21"/>
  <c r="AG824" i="21" s="1"/>
  <c r="AI824" i="21"/>
  <c r="AJ824" i="21"/>
  <c r="W825" i="21"/>
  <c r="X825" i="21"/>
  <c r="Y825" i="21"/>
  <c r="Z825" i="21"/>
  <c r="AB825" i="21" s="1"/>
  <c r="AA825" i="21"/>
  <c r="AC825" i="21"/>
  <c r="AD825" i="21"/>
  <c r="AE825" i="21"/>
  <c r="AF825" i="21"/>
  <c r="AG825" i="21"/>
  <c r="AK825" i="21" s="1"/>
  <c r="AL825" i="21" s="1"/>
  <c r="AI825" i="21"/>
  <c r="AJ825" i="21"/>
  <c r="W826" i="21"/>
  <c r="X826" i="21"/>
  <c r="Y826" i="21"/>
  <c r="Z826" i="21"/>
  <c r="AA826" i="21" s="1"/>
  <c r="AC826" i="21"/>
  <c r="AD826" i="21"/>
  <c r="AE826" i="21"/>
  <c r="AF826" i="21"/>
  <c r="AG826" i="21" s="1"/>
  <c r="AI826" i="21"/>
  <c r="AJ826" i="21"/>
  <c r="W827" i="21"/>
  <c r="X827" i="21"/>
  <c r="Y827" i="21"/>
  <c r="Z827" i="21"/>
  <c r="AA827" i="21" s="1"/>
  <c r="AB827" i="21" s="1"/>
  <c r="AC827" i="21"/>
  <c r="AD827" i="21"/>
  <c r="AE827" i="21"/>
  <c r="AF827" i="21"/>
  <c r="AG827" i="21"/>
  <c r="AH827" i="21" s="1"/>
  <c r="AI827" i="21"/>
  <c r="AJ827" i="21"/>
  <c r="AL827" i="21" s="1"/>
  <c r="AM827" i="21" s="1"/>
  <c r="AK827" i="21"/>
  <c r="W828" i="21"/>
  <c r="X828" i="21"/>
  <c r="Y828" i="21"/>
  <c r="Z828" i="21"/>
  <c r="AA828" i="21"/>
  <c r="AB828" i="21" s="1"/>
  <c r="AC828" i="21"/>
  <c r="AD828" i="21"/>
  <c r="AE828" i="21"/>
  <c r="AF828" i="21"/>
  <c r="AG828" i="21" s="1"/>
  <c r="AI828" i="21"/>
  <c r="AJ828" i="21"/>
  <c r="W829" i="21"/>
  <c r="X829" i="21"/>
  <c r="Y829" i="21"/>
  <c r="Z829" i="21"/>
  <c r="AA829" i="21" s="1"/>
  <c r="AC829" i="21"/>
  <c r="AD829" i="21"/>
  <c r="AE829" i="21"/>
  <c r="AF829" i="21"/>
  <c r="AG829" i="21"/>
  <c r="AH829" i="21"/>
  <c r="AI829" i="21"/>
  <c r="AJ829" i="21"/>
  <c r="AL829" i="21" s="1"/>
  <c r="AM829" i="21" s="1"/>
  <c r="AK829" i="21"/>
  <c r="W830" i="21"/>
  <c r="X830" i="21"/>
  <c r="Y830" i="21"/>
  <c r="Z830" i="21"/>
  <c r="AA830" i="21" s="1"/>
  <c r="AC830" i="21"/>
  <c r="AD830" i="21"/>
  <c r="AE830" i="21"/>
  <c r="AF830" i="21"/>
  <c r="AG830" i="21"/>
  <c r="AH830" i="21" s="1"/>
  <c r="AI830" i="21"/>
  <c r="AJ830" i="21"/>
  <c r="W831" i="21"/>
  <c r="X831" i="21"/>
  <c r="Y831" i="21"/>
  <c r="Z831" i="21"/>
  <c r="AB831" i="21" s="1"/>
  <c r="AA831" i="21"/>
  <c r="AC831" i="21"/>
  <c r="AD831" i="21"/>
  <c r="AE831" i="21"/>
  <c r="AF831" i="21"/>
  <c r="AG831" i="21" s="1"/>
  <c r="AI831" i="21"/>
  <c r="AJ831" i="21"/>
  <c r="W832" i="21"/>
  <c r="X832" i="21"/>
  <c r="Y832" i="21"/>
  <c r="Z832" i="21"/>
  <c r="AC832" i="21"/>
  <c r="AD832" i="21"/>
  <c r="AE832" i="21"/>
  <c r="AF832" i="21"/>
  <c r="AG832" i="21" s="1"/>
  <c r="AI832" i="21"/>
  <c r="AJ832" i="21"/>
  <c r="W833" i="21"/>
  <c r="X833" i="21"/>
  <c r="Y833" i="21"/>
  <c r="Z833" i="21"/>
  <c r="AB833" i="21" s="1"/>
  <c r="AA833" i="21"/>
  <c r="AC833" i="21"/>
  <c r="AD833" i="21"/>
  <c r="AE833" i="21"/>
  <c r="AF833" i="21"/>
  <c r="AG833" i="21"/>
  <c r="AK833" i="21" s="1"/>
  <c r="AL833" i="21" s="1"/>
  <c r="AI833" i="21"/>
  <c r="AJ833" i="21"/>
  <c r="W834" i="21"/>
  <c r="X834" i="21"/>
  <c r="Y834" i="21"/>
  <c r="Z834" i="21"/>
  <c r="AA834" i="21" s="1"/>
  <c r="AC834" i="21"/>
  <c r="AD834" i="21"/>
  <c r="AE834" i="21"/>
  <c r="AF834" i="21"/>
  <c r="AG834" i="21" s="1"/>
  <c r="AI834" i="21"/>
  <c r="AJ834" i="21"/>
  <c r="W835" i="21"/>
  <c r="X835" i="21"/>
  <c r="Y835" i="21"/>
  <c r="Z835" i="21"/>
  <c r="AA835" i="21" s="1"/>
  <c r="AB835" i="21" s="1"/>
  <c r="AC835" i="21"/>
  <c r="AD835" i="21"/>
  <c r="AE835" i="21"/>
  <c r="AF835" i="21"/>
  <c r="AG835" i="21"/>
  <c r="AH835" i="21" s="1"/>
  <c r="AI835" i="21"/>
  <c r="AJ835" i="21"/>
  <c r="AL835" i="21" s="1"/>
  <c r="AK835" i="21"/>
  <c r="W836" i="21"/>
  <c r="X836" i="21"/>
  <c r="Y836" i="21"/>
  <c r="Z836" i="21"/>
  <c r="AA836" i="21"/>
  <c r="AB836" i="21" s="1"/>
  <c r="AC836" i="21"/>
  <c r="AD836" i="21"/>
  <c r="AE836" i="21"/>
  <c r="AF836" i="21"/>
  <c r="AG836" i="21" s="1"/>
  <c r="AI836" i="21"/>
  <c r="AJ836" i="21"/>
  <c r="W837" i="21"/>
  <c r="X837" i="21"/>
  <c r="Y837" i="21"/>
  <c r="Z837" i="21"/>
  <c r="AA837" i="21" s="1"/>
  <c r="AC837" i="21"/>
  <c r="AD837" i="21"/>
  <c r="AE837" i="21"/>
  <c r="AF837" i="21"/>
  <c r="AG837" i="21"/>
  <c r="AH837" i="21"/>
  <c r="AI837" i="21"/>
  <c r="AJ837" i="21"/>
  <c r="AL837" i="21" s="1"/>
  <c r="AM837" i="21" s="1"/>
  <c r="AK837" i="21"/>
  <c r="W838" i="21"/>
  <c r="X838" i="21"/>
  <c r="Y838" i="21"/>
  <c r="Z838" i="21"/>
  <c r="AA838" i="21" s="1"/>
  <c r="AC838" i="21"/>
  <c r="AD838" i="21"/>
  <c r="AE838" i="21"/>
  <c r="AF838" i="21"/>
  <c r="AG838" i="21"/>
  <c r="AH838" i="21" s="1"/>
  <c r="AI838" i="21"/>
  <c r="AJ838" i="21"/>
  <c r="W839" i="21"/>
  <c r="X839" i="21"/>
  <c r="Y839" i="21"/>
  <c r="Z839" i="21"/>
  <c r="AB839" i="21" s="1"/>
  <c r="AA839" i="21"/>
  <c r="AC839" i="21"/>
  <c r="AD839" i="21"/>
  <c r="AE839" i="21"/>
  <c r="AF839" i="21"/>
  <c r="AG839" i="21" s="1"/>
  <c r="AI839" i="21"/>
  <c r="AJ839" i="21"/>
  <c r="W840" i="21"/>
  <c r="X840" i="21"/>
  <c r="Y840" i="21"/>
  <c r="Z840" i="21"/>
  <c r="AC840" i="21"/>
  <c r="AD840" i="21"/>
  <c r="AE840" i="21"/>
  <c r="AF840" i="21"/>
  <c r="AG840" i="21" s="1"/>
  <c r="AI840" i="21"/>
  <c r="AJ840" i="21"/>
  <c r="W841" i="21"/>
  <c r="X841" i="21"/>
  <c r="Y841" i="21"/>
  <c r="Z841" i="21"/>
  <c r="AB841" i="21" s="1"/>
  <c r="AA841" i="21"/>
  <c r="AC841" i="21"/>
  <c r="AD841" i="21"/>
  <c r="AE841" i="21"/>
  <c r="AF841" i="21"/>
  <c r="AG841" i="21"/>
  <c r="AK841" i="21" s="1"/>
  <c r="AL841" i="21" s="1"/>
  <c r="AI841" i="21"/>
  <c r="AJ841" i="21"/>
  <c r="W842" i="21"/>
  <c r="X842" i="21"/>
  <c r="Y842" i="21"/>
  <c r="Z842" i="21"/>
  <c r="AA842" i="21" s="1"/>
  <c r="AC842" i="21"/>
  <c r="AD842" i="21"/>
  <c r="AE842" i="21"/>
  <c r="AF842" i="21"/>
  <c r="AG842" i="21" s="1"/>
  <c r="AI842" i="21"/>
  <c r="AJ842" i="21"/>
  <c r="W843" i="21"/>
  <c r="X843" i="21"/>
  <c r="Y843" i="21"/>
  <c r="Z843" i="21"/>
  <c r="AA843" i="21" s="1"/>
  <c r="AB843" i="21" s="1"/>
  <c r="AC843" i="21"/>
  <c r="AD843" i="21"/>
  <c r="AE843" i="21"/>
  <c r="AF843" i="21"/>
  <c r="AG843" i="21"/>
  <c r="AH843" i="21" s="1"/>
  <c r="AI843" i="21"/>
  <c r="AJ843" i="21"/>
  <c r="AL843" i="21" s="1"/>
  <c r="AK843" i="21"/>
  <c r="W844" i="21"/>
  <c r="X844" i="21"/>
  <c r="Y844" i="21"/>
  <c r="Z844" i="21"/>
  <c r="AA844" i="21"/>
  <c r="AB844" i="21" s="1"/>
  <c r="AC844" i="21"/>
  <c r="AD844" i="21"/>
  <c r="AE844" i="21"/>
  <c r="AF844" i="21"/>
  <c r="AG844" i="21" s="1"/>
  <c r="AI844" i="21"/>
  <c r="AJ844" i="21"/>
  <c r="W845" i="21"/>
  <c r="X845" i="21"/>
  <c r="Y845" i="21"/>
  <c r="Z845" i="21"/>
  <c r="AA845" i="21" s="1"/>
  <c r="AC845" i="21"/>
  <c r="AD845" i="21"/>
  <c r="AE845" i="21"/>
  <c r="AF845" i="21"/>
  <c r="AG845" i="21" s="1"/>
  <c r="AI845" i="21"/>
  <c r="AJ845" i="21"/>
  <c r="W846" i="21"/>
  <c r="X846" i="21"/>
  <c r="Y846" i="21"/>
  <c r="Z846" i="21"/>
  <c r="AA846" i="21" s="1"/>
  <c r="AC846" i="21"/>
  <c r="AD846" i="21"/>
  <c r="AE846" i="21"/>
  <c r="AF846" i="21"/>
  <c r="AG846" i="21"/>
  <c r="AH846" i="21" s="1"/>
  <c r="AI846" i="21"/>
  <c r="AJ846" i="21"/>
  <c r="W847" i="21"/>
  <c r="X847" i="21"/>
  <c r="Y847" i="21"/>
  <c r="Z847" i="21"/>
  <c r="AB847" i="21" s="1"/>
  <c r="AA847" i="21"/>
  <c r="AC847" i="21"/>
  <c r="AD847" i="21"/>
  <c r="AE847" i="21"/>
  <c r="AF847" i="21"/>
  <c r="AG847" i="21" s="1"/>
  <c r="AI847" i="21"/>
  <c r="AJ847" i="21"/>
  <c r="W848" i="21"/>
  <c r="X848" i="21"/>
  <c r="Y848" i="21"/>
  <c r="Z848" i="21"/>
  <c r="AC848" i="21"/>
  <c r="AD848" i="21"/>
  <c r="AE848" i="21"/>
  <c r="AF848" i="21"/>
  <c r="AG848" i="21" s="1"/>
  <c r="AI848" i="21"/>
  <c r="AJ848" i="21"/>
  <c r="W849" i="21"/>
  <c r="X849" i="21"/>
  <c r="Y849" i="21"/>
  <c r="Z849" i="21"/>
  <c r="AB849" i="21" s="1"/>
  <c r="AA849" i="21"/>
  <c r="AC849" i="21"/>
  <c r="AD849" i="21"/>
  <c r="AE849" i="21"/>
  <c r="AF849" i="21"/>
  <c r="AG849" i="21"/>
  <c r="AK849" i="21" s="1"/>
  <c r="AL849" i="21" s="1"/>
  <c r="AI849" i="21"/>
  <c r="AJ849" i="21"/>
  <c r="W850" i="21"/>
  <c r="X850" i="21"/>
  <c r="Y850" i="21"/>
  <c r="Z850" i="21"/>
  <c r="AA850" i="21" s="1"/>
  <c r="AC850" i="21"/>
  <c r="AD850" i="21"/>
  <c r="AE850" i="21"/>
  <c r="AF850" i="21"/>
  <c r="AG850" i="21" s="1"/>
  <c r="AI850" i="21"/>
  <c r="AJ850" i="21"/>
  <c r="W851" i="21"/>
  <c r="X851" i="21"/>
  <c r="Y851" i="21"/>
  <c r="Z851" i="21"/>
  <c r="AA851" i="21" s="1"/>
  <c r="AB851" i="21" s="1"/>
  <c r="AC851" i="21"/>
  <c r="AD851" i="21"/>
  <c r="AE851" i="21"/>
  <c r="AF851" i="21"/>
  <c r="AG851" i="21"/>
  <c r="AH851" i="21" s="1"/>
  <c r="AI851" i="21"/>
  <c r="AJ851" i="21"/>
  <c r="AL851" i="21" s="1"/>
  <c r="AM851" i="21" s="1"/>
  <c r="AK851" i="21"/>
  <c r="W852" i="21"/>
  <c r="X852" i="21"/>
  <c r="Y852" i="21"/>
  <c r="Z852" i="21"/>
  <c r="AA852" i="21"/>
  <c r="AB852" i="21" s="1"/>
  <c r="AC852" i="21"/>
  <c r="AD852" i="21"/>
  <c r="AE852" i="21"/>
  <c r="AF852" i="21"/>
  <c r="AG852" i="21" s="1"/>
  <c r="AI852" i="21"/>
  <c r="AJ852" i="21"/>
  <c r="W853" i="21"/>
  <c r="X853" i="21"/>
  <c r="Y853" i="21"/>
  <c r="Z853" i="21"/>
  <c r="AA853" i="21" s="1"/>
  <c r="AC853" i="21"/>
  <c r="AD853" i="21"/>
  <c r="AE853" i="21"/>
  <c r="AF853" i="21"/>
  <c r="AG853" i="21" s="1"/>
  <c r="AI853" i="21"/>
  <c r="AJ853" i="21"/>
  <c r="W854" i="21"/>
  <c r="X854" i="21"/>
  <c r="Y854" i="21"/>
  <c r="Z854" i="21"/>
  <c r="AA854" i="21" s="1"/>
  <c r="AC854" i="21"/>
  <c r="AD854" i="21"/>
  <c r="AE854" i="21"/>
  <c r="AF854" i="21"/>
  <c r="AG854" i="21"/>
  <c r="AH854" i="21" s="1"/>
  <c r="AI854" i="21"/>
  <c r="AJ854" i="21"/>
  <c r="W855" i="21"/>
  <c r="X855" i="21"/>
  <c r="Y855" i="21"/>
  <c r="Z855" i="21"/>
  <c r="AB855" i="21" s="1"/>
  <c r="AA855" i="21"/>
  <c r="AC855" i="21"/>
  <c r="AD855" i="21"/>
  <c r="AE855" i="21"/>
  <c r="AF855" i="21"/>
  <c r="AG855" i="21" s="1"/>
  <c r="AI855" i="21"/>
  <c r="AJ855" i="21"/>
  <c r="W856" i="21"/>
  <c r="X856" i="21"/>
  <c r="Y856" i="21"/>
  <c r="Z856" i="21"/>
  <c r="AC856" i="21"/>
  <c r="AD856" i="21"/>
  <c r="AE856" i="21"/>
  <c r="AF856" i="21"/>
  <c r="AG856" i="21" s="1"/>
  <c r="AI856" i="21"/>
  <c r="AJ856" i="21"/>
  <c r="W857" i="21"/>
  <c r="X857" i="21"/>
  <c r="Y857" i="21"/>
  <c r="Z857" i="21"/>
  <c r="AA857" i="21"/>
  <c r="AB857" i="21" s="1"/>
  <c r="AC857" i="21"/>
  <c r="AD857" i="21"/>
  <c r="AE857" i="21"/>
  <c r="AF857" i="21"/>
  <c r="AG857" i="21"/>
  <c r="AK857" i="21" s="1"/>
  <c r="AL857" i="21" s="1"/>
  <c r="AI857" i="21"/>
  <c r="AJ857" i="21"/>
  <c r="W858" i="21"/>
  <c r="X858" i="21"/>
  <c r="Y858" i="21"/>
  <c r="Z858" i="21"/>
  <c r="AA858" i="21" s="1"/>
  <c r="AC858" i="21"/>
  <c r="AD858" i="21"/>
  <c r="AE858" i="21"/>
  <c r="AF858" i="21"/>
  <c r="AG858" i="21" s="1"/>
  <c r="AI858" i="21"/>
  <c r="AJ858" i="21"/>
  <c r="W859" i="21"/>
  <c r="X859" i="21"/>
  <c r="Y859" i="21"/>
  <c r="Z859" i="21"/>
  <c r="AA859" i="21" s="1"/>
  <c r="AB859" i="21" s="1"/>
  <c r="AC859" i="21"/>
  <c r="AD859" i="21"/>
  <c r="AE859" i="21"/>
  <c r="AF859" i="21"/>
  <c r="AG859" i="21"/>
  <c r="AH859" i="21" s="1"/>
  <c r="AI859" i="21"/>
  <c r="AJ859" i="21"/>
  <c r="AL859" i="21" s="1"/>
  <c r="AK859" i="21"/>
  <c r="W860" i="21"/>
  <c r="X860" i="21"/>
  <c r="Y860" i="21"/>
  <c r="Z860" i="21"/>
  <c r="AA860" i="21"/>
  <c r="AB860" i="21" s="1"/>
  <c r="AC860" i="21"/>
  <c r="AD860" i="21"/>
  <c r="AE860" i="21"/>
  <c r="AF860" i="21"/>
  <c r="AG860" i="21" s="1"/>
  <c r="AI860" i="21"/>
  <c r="AJ860" i="21"/>
  <c r="W861" i="21"/>
  <c r="X861" i="21"/>
  <c r="Y861" i="21"/>
  <c r="Z861" i="21"/>
  <c r="AA861" i="21" s="1"/>
  <c r="AC861" i="21"/>
  <c r="AD861" i="21"/>
  <c r="AE861" i="21"/>
  <c r="AF861" i="21"/>
  <c r="AG861" i="21" s="1"/>
  <c r="AK861" i="21" s="1"/>
  <c r="AL861" i="21" s="1"/>
  <c r="AH861" i="21"/>
  <c r="AI861" i="21"/>
  <c r="AJ861" i="21"/>
  <c r="W862" i="21"/>
  <c r="X862" i="21"/>
  <c r="Y862" i="21"/>
  <c r="Z862" i="21"/>
  <c r="AA862" i="21" s="1"/>
  <c r="AC862" i="21"/>
  <c r="AD862" i="21"/>
  <c r="AE862" i="21"/>
  <c r="AF862" i="21"/>
  <c r="AG862" i="21"/>
  <c r="AI862" i="21"/>
  <c r="AJ862" i="21"/>
  <c r="W863" i="21"/>
  <c r="X863" i="21"/>
  <c r="Y863" i="21"/>
  <c r="Z863" i="21"/>
  <c r="AB863" i="21" s="1"/>
  <c r="AA863" i="21"/>
  <c r="AC863" i="21"/>
  <c r="AD863" i="21"/>
  <c r="AE863" i="21"/>
  <c r="AF863" i="21"/>
  <c r="AG863" i="21" s="1"/>
  <c r="AI863" i="21"/>
  <c r="AJ863" i="21"/>
  <c r="W864" i="21"/>
  <c r="X864" i="21"/>
  <c r="Y864" i="21"/>
  <c r="Z864" i="21"/>
  <c r="AC864" i="21"/>
  <c r="AD864" i="21"/>
  <c r="AE864" i="21"/>
  <c r="AF864" i="21"/>
  <c r="AG864" i="21" s="1"/>
  <c r="AI864" i="21"/>
  <c r="AJ864" i="21"/>
  <c r="W865" i="21"/>
  <c r="X865" i="21"/>
  <c r="Y865" i="21"/>
  <c r="Z865" i="21"/>
  <c r="AA865" i="21"/>
  <c r="AB865" i="21" s="1"/>
  <c r="AC865" i="21"/>
  <c r="AD865" i="21"/>
  <c r="AE865" i="21"/>
  <c r="AF865" i="21"/>
  <c r="AG865" i="21"/>
  <c r="AK865" i="21" s="1"/>
  <c r="AL865" i="21" s="1"/>
  <c r="AI865" i="21"/>
  <c r="AJ865" i="21"/>
  <c r="W866" i="21"/>
  <c r="X866" i="21"/>
  <c r="Y866" i="21"/>
  <c r="Z866" i="21"/>
  <c r="AA866" i="21" s="1"/>
  <c r="AC866" i="21"/>
  <c r="AD866" i="21"/>
  <c r="AE866" i="21"/>
  <c r="AF866" i="21"/>
  <c r="AG866" i="21" s="1"/>
  <c r="AH866" i="21" s="1"/>
  <c r="AI866" i="21"/>
  <c r="AJ866" i="21"/>
  <c r="W867" i="21"/>
  <c r="X867" i="21"/>
  <c r="Y867" i="21"/>
  <c r="Z867" i="21"/>
  <c r="AA867" i="21" s="1"/>
  <c r="AB867" i="21"/>
  <c r="AC867" i="21"/>
  <c r="AD867" i="21"/>
  <c r="AE867" i="21"/>
  <c r="AF867" i="21"/>
  <c r="AG867" i="21"/>
  <c r="AH867" i="21" s="1"/>
  <c r="AI867" i="21"/>
  <c r="AJ867" i="21"/>
  <c r="AL867" i="21" s="1"/>
  <c r="AK867" i="21"/>
  <c r="W868" i="21"/>
  <c r="X868" i="21"/>
  <c r="Y868" i="21"/>
  <c r="Z868" i="21"/>
  <c r="AA868" i="21"/>
  <c r="AB868" i="21" s="1"/>
  <c r="AC868" i="21"/>
  <c r="AD868" i="21"/>
  <c r="AE868" i="21"/>
  <c r="AF868" i="21"/>
  <c r="AG868" i="21" s="1"/>
  <c r="AI868" i="21"/>
  <c r="AJ868" i="21"/>
  <c r="W869" i="21"/>
  <c r="X869" i="21"/>
  <c r="Y869" i="21"/>
  <c r="Z869" i="21"/>
  <c r="AC869" i="21"/>
  <c r="AD869" i="21"/>
  <c r="AE869" i="21"/>
  <c r="AF869" i="21"/>
  <c r="AG869" i="21" s="1"/>
  <c r="AK869" i="21" s="1"/>
  <c r="AL869" i="21" s="1"/>
  <c r="AH869" i="21"/>
  <c r="AI869" i="21"/>
  <c r="AJ869" i="21"/>
  <c r="W870" i="21"/>
  <c r="X870" i="21"/>
  <c r="Y870" i="21"/>
  <c r="Z870" i="21"/>
  <c r="AA870" i="21" s="1"/>
  <c r="AC870" i="21"/>
  <c r="AD870" i="21"/>
  <c r="AE870" i="21"/>
  <c r="AF870" i="21"/>
  <c r="AG870" i="21"/>
  <c r="AK870" i="21" s="1"/>
  <c r="AI870" i="21"/>
  <c r="AJ870" i="21"/>
  <c r="W871" i="21"/>
  <c r="X871" i="21"/>
  <c r="Y871" i="21"/>
  <c r="Z871" i="21"/>
  <c r="AB871" i="21" s="1"/>
  <c r="AA871" i="21"/>
  <c r="AC871" i="21"/>
  <c r="AD871" i="21"/>
  <c r="AE871" i="21"/>
  <c r="AF871" i="21"/>
  <c r="AG871" i="21"/>
  <c r="AI871" i="21"/>
  <c r="AJ871" i="21"/>
  <c r="W872" i="21"/>
  <c r="X872" i="21"/>
  <c r="Y872" i="21"/>
  <c r="Z872" i="21"/>
  <c r="AC872" i="21"/>
  <c r="AD872" i="21"/>
  <c r="AE872" i="21"/>
  <c r="AF872" i="21"/>
  <c r="AG872" i="21" s="1"/>
  <c r="AI872" i="21"/>
  <c r="AJ872" i="21"/>
  <c r="W873" i="21"/>
  <c r="X873" i="21"/>
  <c r="Y873" i="21"/>
  <c r="Z873" i="21"/>
  <c r="AA873" i="21"/>
  <c r="AB873" i="21" s="1"/>
  <c r="AC873" i="21"/>
  <c r="AD873" i="21"/>
  <c r="AE873" i="21"/>
  <c r="AF873" i="21"/>
  <c r="AG873" i="21"/>
  <c r="AK873" i="21" s="1"/>
  <c r="AI873" i="21"/>
  <c r="AJ873" i="21"/>
  <c r="AL873" i="21"/>
  <c r="W874" i="21"/>
  <c r="X874" i="21"/>
  <c r="Y874" i="21"/>
  <c r="Z874" i="21"/>
  <c r="AA874" i="21" s="1"/>
  <c r="AC874" i="21"/>
  <c r="AD874" i="21"/>
  <c r="AE874" i="21"/>
  <c r="AF874" i="21"/>
  <c r="AG874" i="21" s="1"/>
  <c r="AH874" i="21" s="1"/>
  <c r="AI874" i="21"/>
  <c r="AJ874" i="21"/>
  <c r="W875" i="21"/>
  <c r="X875" i="21"/>
  <c r="Y875" i="21"/>
  <c r="Z875" i="21"/>
  <c r="AA875" i="21" s="1"/>
  <c r="AB875" i="21" s="1"/>
  <c r="AC875" i="21"/>
  <c r="AD875" i="21"/>
  <c r="AE875" i="21"/>
  <c r="AF875" i="21"/>
  <c r="AG875" i="21"/>
  <c r="AH875" i="21" s="1"/>
  <c r="AI875" i="21"/>
  <c r="AJ875" i="21"/>
  <c r="AL875" i="21" s="1"/>
  <c r="AK875" i="21"/>
  <c r="W876" i="21"/>
  <c r="X876" i="21"/>
  <c r="Y876" i="21"/>
  <c r="Z876" i="21"/>
  <c r="AA876" i="21"/>
  <c r="AB876" i="21"/>
  <c r="AC876" i="21"/>
  <c r="AD876" i="21"/>
  <c r="AE876" i="21"/>
  <c r="AF876" i="21"/>
  <c r="AG876" i="21" s="1"/>
  <c r="AI876" i="21"/>
  <c r="AJ876" i="21"/>
  <c r="W877" i="21"/>
  <c r="X877" i="21"/>
  <c r="Y877" i="21"/>
  <c r="Z877" i="21"/>
  <c r="AC877" i="21"/>
  <c r="AD877" i="21"/>
  <c r="AE877" i="21"/>
  <c r="AF877" i="21"/>
  <c r="AG877" i="21" s="1"/>
  <c r="AK877" i="21" s="1"/>
  <c r="AL877" i="21" s="1"/>
  <c r="AI877" i="21"/>
  <c r="AJ877" i="21"/>
  <c r="W878" i="21"/>
  <c r="X878" i="21"/>
  <c r="Y878" i="21"/>
  <c r="Z878" i="21"/>
  <c r="AA878" i="21" s="1"/>
  <c r="AC878" i="21"/>
  <c r="AD878" i="21"/>
  <c r="AE878" i="21"/>
  <c r="AF878" i="21"/>
  <c r="AG878" i="21"/>
  <c r="AK878" i="21" s="1"/>
  <c r="AI878" i="21"/>
  <c r="AJ878" i="21"/>
  <c r="W879" i="21"/>
  <c r="X879" i="21"/>
  <c r="Y879" i="21"/>
  <c r="Z879" i="21"/>
  <c r="AA879" i="21"/>
  <c r="AC879" i="21"/>
  <c r="AD879" i="21"/>
  <c r="AE879" i="21"/>
  <c r="AF879" i="21"/>
  <c r="AG879" i="21"/>
  <c r="AI879" i="21"/>
  <c r="AJ879" i="21"/>
  <c r="W880" i="21"/>
  <c r="X880" i="21"/>
  <c r="Y880" i="21"/>
  <c r="Z880" i="21"/>
  <c r="AC880" i="21"/>
  <c r="AD880" i="21"/>
  <c r="AE880" i="21"/>
  <c r="AM880" i="21" s="1"/>
  <c r="AF880" i="21"/>
  <c r="AG880" i="21" s="1"/>
  <c r="AK880" i="21" s="1"/>
  <c r="AH880" i="21"/>
  <c r="AI880" i="21"/>
  <c r="AJ880" i="21"/>
  <c r="AL880" i="21" s="1"/>
  <c r="W881" i="21"/>
  <c r="X881" i="21"/>
  <c r="Y881" i="21"/>
  <c r="Z881" i="21"/>
  <c r="AA881" i="21"/>
  <c r="AB881" i="21" s="1"/>
  <c r="AC881" i="21"/>
  <c r="AD881" i="21"/>
  <c r="AE881" i="21"/>
  <c r="AF881" i="21"/>
  <c r="AG881" i="21"/>
  <c r="AI881" i="21"/>
  <c r="AJ881" i="21"/>
  <c r="W882" i="21"/>
  <c r="X882" i="21"/>
  <c r="Y882" i="21"/>
  <c r="Z882" i="21"/>
  <c r="AA882" i="21" s="1"/>
  <c r="AC882" i="21"/>
  <c r="AD882" i="21"/>
  <c r="AE882" i="21"/>
  <c r="AF882" i="21"/>
  <c r="AG882" i="21" s="1"/>
  <c r="AK882" i="21" s="1"/>
  <c r="AL882" i="21" s="1"/>
  <c r="AM882" i="21" s="1"/>
  <c r="AH882" i="21"/>
  <c r="AI882" i="21"/>
  <c r="AJ882" i="21"/>
  <c r="W883" i="21"/>
  <c r="X883" i="21"/>
  <c r="Y883" i="21"/>
  <c r="Z883" i="21"/>
  <c r="AA883" i="21" s="1"/>
  <c r="AB883" i="21" s="1"/>
  <c r="AC883" i="21"/>
  <c r="AD883" i="21"/>
  <c r="AE883" i="21"/>
  <c r="AF883" i="21"/>
  <c r="AG883" i="21"/>
  <c r="AH883" i="21" s="1"/>
  <c r="AI883" i="21"/>
  <c r="AJ883" i="21"/>
  <c r="W884" i="21"/>
  <c r="X884" i="21"/>
  <c r="Y884" i="21"/>
  <c r="Z884" i="21"/>
  <c r="AA884" i="21"/>
  <c r="AB884" i="21" s="1"/>
  <c r="AC884" i="21"/>
  <c r="AD884" i="21"/>
  <c r="AE884" i="21"/>
  <c r="AF884" i="21"/>
  <c r="AG884" i="21"/>
  <c r="AI884" i="21"/>
  <c r="AJ884" i="21"/>
  <c r="W885" i="21"/>
  <c r="X885" i="21"/>
  <c r="Y885" i="21"/>
  <c r="Z885" i="21"/>
  <c r="AA885" i="21" s="1"/>
  <c r="AC885" i="21"/>
  <c r="AD885" i="21"/>
  <c r="AE885" i="21"/>
  <c r="AF885" i="21"/>
  <c r="AG885" i="21"/>
  <c r="AH885" i="21" s="1"/>
  <c r="AI885" i="21"/>
  <c r="AJ885" i="21"/>
  <c r="AK885" i="21"/>
  <c r="AL885" i="21" s="1"/>
  <c r="AM885" i="21" s="1"/>
  <c r="W886" i="21"/>
  <c r="X886" i="21"/>
  <c r="Y886" i="21"/>
  <c r="Z886" i="21"/>
  <c r="AA886" i="21" s="1"/>
  <c r="AC886" i="21"/>
  <c r="AD886" i="21"/>
  <c r="AE886" i="21"/>
  <c r="AF886" i="21"/>
  <c r="AG886" i="21"/>
  <c r="AH886" i="21" s="1"/>
  <c r="AI886" i="21"/>
  <c r="AJ886" i="21"/>
  <c r="AL886" i="21" s="1"/>
  <c r="AK886" i="21"/>
  <c r="W887" i="21"/>
  <c r="X887" i="21"/>
  <c r="Y887" i="21"/>
  <c r="Z887" i="21"/>
  <c r="AA887" i="21"/>
  <c r="AB887" i="21" s="1"/>
  <c r="AC887" i="21"/>
  <c r="AD887" i="21"/>
  <c r="AE887" i="21"/>
  <c r="AF887" i="21"/>
  <c r="AG887" i="21" s="1"/>
  <c r="AI887" i="21"/>
  <c r="AJ887" i="21"/>
  <c r="W888" i="21"/>
  <c r="X888" i="21"/>
  <c r="Y888" i="21"/>
  <c r="Z888" i="21"/>
  <c r="AA888" i="21" s="1"/>
  <c r="AC888" i="21"/>
  <c r="AD888" i="21"/>
  <c r="AE888" i="21"/>
  <c r="AF888" i="21"/>
  <c r="AG888" i="21"/>
  <c r="AH888" i="21" s="1"/>
  <c r="AI888" i="21"/>
  <c r="AJ888" i="21"/>
  <c r="W889" i="21"/>
  <c r="X889" i="21"/>
  <c r="Y889" i="21"/>
  <c r="Z889" i="21"/>
  <c r="AA889" i="21" s="1"/>
  <c r="AC889" i="21"/>
  <c r="AD889" i="21"/>
  <c r="AE889" i="21"/>
  <c r="AF889" i="21"/>
  <c r="AG889" i="21" s="1"/>
  <c r="AI889" i="21"/>
  <c r="AJ889" i="21"/>
  <c r="W890" i="21"/>
  <c r="X890" i="21"/>
  <c r="Y890" i="21"/>
  <c r="Z890" i="21"/>
  <c r="AA890" i="21" s="1"/>
  <c r="AC890" i="21"/>
  <c r="AD890" i="21"/>
  <c r="AE890" i="21"/>
  <c r="AF890" i="21"/>
  <c r="AG890" i="21"/>
  <c r="AK890" i="21" s="1"/>
  <c r="AI890" i="21"/>
  <c r="AJ890" i="21"/>
  <c r="W891" i="21"/>
  <c r="X891" i="21"/>
  <c r="Y891" i="21"/>
  <c r="Z891" i="21"/>
  <c r="AA891" i="21"/>
  <c r="AB891" i="21"/>
  <c r="AC891" i="21"/>
  <c r="AD891" i="21"/>
  <c r="AE891" i="21"/>
  <c r="AF891" i="21"/>
  <c r="AG891" i="21" s="1"/>
  <c r="AI891" i="21"/>
  <c r="AJ891" i="21"/>
  <c r="W892" i="21"/>
  <c r="X892" i="21"/>
  <c r="Y892" i="21"/>
  <c r="Z892" i="21"/>
  <c r="AA892" i="21" s="1"/>
  <c r="AC892" i="21"/>
  <c r="AD892" i="21"/>
  <c r="AE892" i="21"/>
  <c r="AF892" i="21"/>
  <c r="AG892" i="21" s="1"/>
  <c r="AI892" i="21"/>
  <c r="AJ892" i="21"/>
  <c r="W893" i="21"/>
  <c r="X893" i="21"/>
  <c r="Y893" i="21"/>
  <c r="Z893" i="21"/>
  <c r="AA893" i="21" s="1"/>
  <c r="AB893" i="21" s="1"/>
  <c r="AC893" i="21"/>
  <c r="AD893" i="21"/>
  <c r="AE893" i="21"/>
  <c r="AF893" i="21"/>
  <c r="AG893" i="21"/>
  <c r="AH893" i="21" s="1"/>
  <c r="AI893" i="21"/>
  <c r="AJ893" i="21"/>
  <c r="AL893" i="21" s="1"/>
  <c r="AM893" i="21" s="1"/>
  <c r="AK893" i="21"/>
  <c r="W894" i="21"/>
  <c r="X894" i="21"/>
  <c r="Y894" i="21"/>
  <c r="Z894" i="21"/>
  <c r="AA894" i="21"/>
  <c r="AB894" i="21" s="1"/>
  <c r="AC894" i="21"/>
  <c r="AD894" i="21"/>
  <c r="AE894" i="21"/>
  <c r="AF894" i="21"/>
  <c r="AG894" i="21"/>
  <c r="AH894" i="21" s="1"/>
  <c r="AI894" i="21"/>
  <c r="AJ894" i="21"/>
  <c r="AL894" i="21" s="1"/>
  <c r="AM894" i="21" s="1"/>
  <c r="AK894" i="21"/>
  <c r="W895" i="21"/>
  <c r="X895" i="21"/>
  <c r="Y895" i="21"/>
  <c r="Z895" i="21"/>
  <c r="AA895" i="21" s="1"/>
  <c r="AC895" i="21"/>
  <c r="AD895" i="21"/>
  <c r="AE895" i="21"/>
  <c r="AF895" i="21"/>
  <c r="AG895" i="21" s="1"/>
  <c r="AI895" i="21"/>
  <c r="AJ895" i="21"/>
  <c r="W896" i="21"/>
  <c r="X896" i="21"/>
  <c r="Y896" i="21"/>
  <c r="Z896" i="21"/>
  <c r="AB896" i="21" s="1"/>
  <c r="AA896" i="21"/>
  <c r="AC896" i="21"/>
  <c r="AD896" i="21"/>
  <c r="AE896" i="21"/>
  <c r="AF896" i="21"/>
  <c r="AG896" i="21"/>
  <c r="AH896" i="21" s="1"/>
  <c r="AI896" i="21"/>
  <c r="AJ896" i="21"/>
  <c r="W897" i="21"/>
  <c r="X897" i="21"/>
  <c r="Y897" i="21"/>
  <c r="Z897" i="21"/>
  <c r="AA897" i="21" s="1"/>
  <c r="AC897" i="21"/>
  <c r="AD897" i="21"/>
  <c r="AE897" i="21"/>
  <c r="AF897" i="21"/>
  <c r="AG897" i="21" s="1"/>
  <c r="AI897" i="21"/>
  <c r="AJ897" i="21"/>
  <c r="W898" i="21"/>
  <c r="X898" i="21"/>
  <c r="Y898" i="21"/>
  <c r="Z898" i="21"/>
  <c r="AA898" i="21" s="1"/>
  <c r="AC898" i="21"/>
  <c r="AD898" i="21"/>
  <c r="AE898" i="21"/>
  <c r="AF898" i="21"/>
  <c r="AG898" i="21"/>
  <c r="AK898" i="21" s="1"/>
  <c r="AI898" i="21"/>
  <c r="AJ898" i="21"/>
  <c r="AL898" i="21" s="1"/>
  <c r="W899" i="21"/>
  <c r="X899" i="21"/>
  <c r="Y899" i="21"/>
  <c r="Z899" i="21"/>
  <c r="AA899" i="21"/>
  <c r="AB899" i="21"/>
  <c r="AC899" i="21"/>
  <c r="AD899" i="21"/>
  <c r="AE899" i="21"/>
  <c r="AF899" i="21"/>
  <c r="AG899" i="21" s="1"/>
  <c r="AI899" i="21"/>
  <c r="AJ899" i="21"/>
  <c r="W900" i="21"/>
  <c r="X900" i="21"/>
  <c r="Y900" i="21"/>
  <c r="Z900" i="21"/>
  <c r="AA900" i="21" s="1"/>
  <c r="AC900" i="21"/>
  <c r="AD900" i="21"/>
  <c r="AE900" i="21"/>
  <c r="AF900" i="21"/>
  <c r="AG900" i="21" s="1"/>
  <c r="AI900" i="21"/>
  <c r="AJ900" i="21"/>
  <c r="W901" i="21"/>
  <c r="X901" i="21"/>
  <c r="Y901" i="21"/>
  <c r="Z901" i="21"/>
  <c r="AA901" i="21" s="1"/>
  <c r="AB901" i="21" s="1"/>
  <c r="AC901" i="21"/>
  <c r="AD901" i="21"/>
  <c r="AE901" i="21"/>
  <c r="AF901" i="21"/>
  <c r="AG901" i="21"/>
  <c r="AH901" i="21" s="1"/>
  <c r="AI901" i="21"/>
  <c r="AJ901" i="21"/>
  <c r="AL901" i="21" s="1"/>
  <c r="AK901" i="21"/>
  <c r="W902" i="21"/>
  <c r="X902" i="21"/>
  <c r="Y902" i="21"/>
  <c r="Z902" i="21"/>
  <c r="AA902" i="21"/>
  <c r="AB902" i="21" s="1"/>
  <c r="AC902" i="21"/>
  <c r="AD902" i="21"/>
  <c r="AE902" i="21"/>
  <c r="AF902" i="21"/>
  <c r="AG902" i="21"/>
  <c r="AH902" i="21" s="1"/>
  <c r="AI902" i="21"/>
  <c r="AJ902" i="21"/>
  <c r="AL902" i="21" s="1"/>
  <c r="AK902" i="21"/>
  <c r="W903" i="21"/>
  <c r="X903" i="21"/>
  <c r="Y903" i="21"/>
  <c r="Z903" i="21"/>
  <c r="AA903" i="21" s="1"/>
  <c r="AC903" i="21"/>
  <c r="AD903" i="21"/>
  <c r="AE903" i="21"/>
  <c r="AF903" i="21"/>
  <c r="AG903" i="21" s="1"/>
  <c r="AI903" i="21"/>
  <c r="AJ903" i="21"/>
  <c r="W904" i="21"/>
  <c r="X904" i="21"/>
  <c r="Y904" i="21"/>
  <c r="Z904" i="21"/>
  <c r="AB904" i="21" s="1"/>
  <c r="AA904" i="21"/>
  <c r="AC904" i="21"/>
  <c r="AD904" i="21"/>
  <c r="AE904" i="21"/>
  <c r="AF904" i="21"/>
  <c r="AG904" i="21"/>
  <c r="AH904" i="21" s="1"/>
  <c r="AI904" i="21"/>
  <c r="AJ904" i="21"/>
  <c r="W905" i="21"/>
  <c r="X905" i="21"/>
  <c r="Y905" i="21"/>
  <c r="Z905" i="21"/>
  <c r="AA905" i="21" s="1"/>
  <c r="AC905" i="21"/>
  <c r="AD905" i="21"/>
  <c r="AE905" i="21"/>
  <c r="AF905" i="21"/>
  <c r="AG905" i="21" s="1"/>
  <c r="AI905" i="21"/>
  <c r="AJ905" i="21"/>
  <c r="W906" i="21"/>
  <c r="X906" i="21"/>
  <c r="Y906" i="21"/>
  <c r="Z906" i="21"/>
  <c r="AA906" i="21" s="1"/>
  <c r="AC906" i="21"/>
  <c r="AD906" i="21"/>
  <c r="AE906" i="21"/>
  <c r="AF906" i="21"/>
  <c r="AG906" i="21"/>
  <c r="AK906" i="21" s="1"/>
  <c r="AI906" i="21"/>
  <c r="AJ906" i="21"/>
  <c r="W907" i="21"/>
  <c r="X907" i="21"/>
  <c r="Y907" i="21"/>
  <c r="Z907" i="21"/>
  <c r="AA907" i="21"/>
  <c r="AB907" i="21"/>
  <c r="AC907" i="21"/>
  <c r="AD907" i="21"/>
  <c r="AE907" i="21"/>
  <c r="AF907" i="21"/>
  <c r="AG907" i="21" s="1"/>
  <c r="AI907" i="21"/>
  <c r="AJ907" i="21"/>
  <c r="W908" i="21"/>
  <c r="X908" i="21"/>
  <c r="Y908" i="21"/>
  <c r="Z908" i="21"/>
  <c r="AB908" i="21" s="1"/>
  <c r="AA908" i="21"/>
  <c r="AC908" i="21"/>
  <c r="AD908" i="21"/>
  <c r="AE908" i="21"/>
  <c r="AF908" i="21"/>
  <c r="AG908" i="21" s="1"/>
  <c r="AI908" i="21"/>
  <c r="AJ908" i="21"/>
  <c r="W909" i="21"/>
  <c r="X909" i="21"/>
  <c r="Y909" i="21"/>
  <c r="Z909" i="21"/>
  <c r="AA909" i="21" s="1"/>
  <c r="AB909" i="21" s="1"/>
  <c r="AC909" i="21"/>
  <c r="AD909" i="21"/>
  <c r="AE909" i="21"/>
  <c r="AF909" i="21"/>
  <c r="AG909" i="21"/>
  <c r="AH909" i="21"/>
  <c r="AI909" i="21"/>
  <c r="AJ909" i="21"/>
  <c r="AL909" i="21" s="1"/>
  <c r="AM909" i="21" s="1"/>
  <c r="AK909" i="21"/>
  <c r="W910" i="21"/>
  <c r="X910" i="21"/>
  <c r="Y910" i="21"/>
  <c r="Z910" i="21"/>
  <c r="AA910" i="21"/>
  <c r="AB910" i="21" s="1"/>
  <c r="AC910" i="21"/>
  <c r="AD910" i="21"/>
  <c r="AE910" i="21"/>
  <c r="AF910" i="21"/>
  <c r="AG910" i="21"/>
  <c r="AH910" i="21" s="1"/>
  <c r="AI910" i="21"/>
  <c r="AJ910" i="21"/>
  <c r="AL910" i="21" s="1"/>
  <c r="AK910" i="21"/>
  <c r="W911" i="21"/>
  <c r="X911" i="21"/>
  <c r="Y911" i="21"/>
  <c r="Z911" i="21"/>
  <c r="AA911" i="21" s="1"/>
  <c r="AC911" i="21"/>
  <c r="AD911" i="21"/>
  <c r="AE911" i="21"/>
  <c r="AF911" i="21"/>
  <c r="AG911" i="21" s="1"/>
  <c r="AI911" i="21"/>
  <c r="AJ911" i="21"/>
  <c r="W912" i="21"/>
  <c r="X912" i="21"/>
  <c r="Y912" i="21"/>
  <c r="Z912" i="21"/>
  <c r="AB912" i="21" s="1"/>
  <c r="AA912" i="21"/>
  <c r="AC912" i="21"/>
  <c r="AD912" i="21"/>
  <c r="AE912" i="21"/>
  <c r="AF912" i="21"/>
  <c r="AG912" i="21"/>
  <c r="AH912" i="21" s="1"/>
  <c r="AI912" i="21"/>
  <c r="AJ912" i="21"/>
  <c r="W913" i="21"/>
  <c r="X913" i="21"/>
  <c r="Y913" i="21"/>
  <c r="Z913" i="21"/>
  <c r="AA913" i="21" s="1"/>
  <c r="AC913" i="21"/>
  <c r="AD913" i="21"/>
  <c r="AE913" i="21"/>
  <c r="AF913" i="21"/>
  <c r="AG913" i="21" s="1"/>
  <c r="AI913" i="21"/>
  <c r="AJ913" i="21"/>
  <c r="W914" i="21"/>
  <c r="X914" i="21"/>
  <c r="Y914" i="21"/>
  <c r="Z914" i="21"/>
  <c r="AA914" i="21" s="1"/>
  <c r="AC914" i="21"/>
  <c r="AD914" i="21"/>
  <c r="AE914" i="21"/>
  <c r="AF914" i="21"/>
  <c r="AG914" i="21"/>
  <c r="AK914" i="21" s="1"/>
  <c r="AI914" i="21"/>
  <c r="AJ914" i="21"/>
  <c r="W915" i="21"/>
  <c r="X915" i="21"/>
  <c r="Y915" i="21"/>
  <c r="Z915" i="21"/>
  <c r="AA915" i="21"/>
  <c r="AB915" i="21"/>
  <c r="AC915" i="21"/>
  <c r="AD915" i="21"/>
  <c r="AE915" i="21"/>
  <c r="AF915" i="21"/>
  <c r="AG915" i="21" s="1"/>
  <c r="AI915" i="21"/>
  <c r="AJ915" i="21"/>
  <c r="W916" i="21"/>
  <c r="X916" i="21"/>
  <c r="Y916" i="21"/>
  <c r="Z916" i="21"/>
  <c r="AB916" i="21" s="1"/>
  <c r="AA916" i="21"/>
  <c r="AC916" i="21"/>
  <c r="AD916" i="21"/>
  <c r="AE916" i="21"/>
  <c r="AF916" i="21"/>
  <c r="AG916" i="21" s="1"/>
  <c r="AI916" i="21"/>
  <c r="AJ916" i="21"/>
  <c r="W917" i="21"/>
  <c r="X917" i="21"/>
  <c r="Y917" i="21"/>
  <c r="Z917" i="21"/>
  <c r="AA917" i="21" s="1"/>
  <c r="AB917" i="21" s="1"/>
  <c r="AC917" i="21"/>
  <c r="AD917" i="21"/>
  <c r="AE917" i="21"/>
  <c r="AF917" i="21"/>
  <c r="AG917" i="21"/>
  <c r="AH917" i="21"/>
  <c r="AI917" i="21"/>
  <c r="AJ917" i="21"/>
  <c r="AL917" i="21" s="1"/>
  <c r="AM917" i="21" s="1"/>
  <c r="AK917" i="21"/>
  <c r="W918" i="21"/>
  <c r="X918" i="21"/>
  <c r="Y918" i="21"/>
  <c r="Z918" i="21"/>
  <c r="AA918" i="21"/>
  <c r="AB918" i="21" s="1"/>
  <c r="AC918" i="21"/>
  <c r="AD918" i="21"/>
  <c r="AE918" i="21"/>
  <c r="AF918" i="21"/>
  <c r="AG918" i="21"/>
  <c r="AH918" i="21" s="1"/>
  <c r="AI918" i="21"/>
  <c r="AJ918" i="21"/>
  <c r="AL918" i="21" s="1"/>
  <c r="AM918" i="21" s="1"/>
  <c r="AK918" i="21"/>
  <c r="W919" i="21"/>
  <c r="X919" i="21"/>
  <c r="Y919" i="21"/>
  <c r="Z919" i="21"/>
  <c r="AA919" i="21" s="1"/>
  <c r="AC919" i="21"/>
  <c r="AD919" i="21"/>
  <c r="AE919" i="21"/>
  <c r="AF919" i="21"/>
  <c r="AG919" i="21" s="1"/>
  <c r="AI919" i="21"/>
  <c r="AJ919" i="21"/>
  <c r="W920" i="21"/>
  <c r="X920" i="21"/>
  <c r="Y920" i="21"/>
  <c r="Z920" i="21"/>
  <c r="AB920" i="21" s="1"/>
  <c r="AA920" i="21"/>
  <c r="AC920" i="21"/>
  <c r="AD920" i="21"/>
  <c r="AE920" i="21"/>
  <c r="AF920" i="21"/>
  <c r="AG920" i="21"/>
  <c r="AH920" i="21" s="1"/>
  <c r="AI920" i="21"/>
  <c r="AJ920" i="21"/>
  <c r="W921" i="21"/>
  <c r="X921" i="21"/>
  <c r="Y921" i="21"/>
  <c r="Z921" i="21"/>
  <c r="AA921" i="21" s="1"/>
  <c r="AC921" i="21"/>
  <c r="AD921" i="21"/>
  <c r="AE921" i="21"/>
  <c r="AF921" i="21"/>
  <c r="AG921" i="21" s="1"/>
  <c r="AI921" i="21"/>
  <c r="AJ921" i="21"/>
  <c r="W922" i="21"/>
  <c r="X922" i="21"/>
  <c r="Y922" i="21"/>
  <c r="Z922" i="21"/>
  <c r="AA922" i="21" s="1"/>
  <c r="AC922" i="21"/>
  <c r="AD922" i="21"/>
  <c r="AE922" i="21"/>
  <c r="AF922" i="21"/>
  <c r="AG922" i="21"/>
  <c r="AK922" i="21" s="1"/>
  <c r="AI922" i="21"/>
  <c r="AJ922" i="21"/>
  <c r="W923" i="21"/>
  <c r="X923" i="21"/>
  <c r="Y923" i="21"/>
  <c r="Z923" i="21"/>
  <c r="AA923" i="21"/>
  <c r="AB923" i="21"/>
  <c r="AC923" i="21"/>
  <c r="AD923" i="21"/>
  <c r="AE923" i="21"/>
  <c r="AF923" i="21"/>
  <c r="AG923" i="21" s="1"/>
  <c r="AI923" i="21"/>
  <c r="AJ923" i="21"/>
  <c r="W924" i="21"/>
  <c r="X924" i="21"/>
  <c r="Y924" i="21"/>
  <c r="Z924" i="21"/>
  <c r="AB924" i="21" s="1"/>
  <c r="AA924" i="21"/>
  <c r="AC924" i="21"/>
  <c r="AD924" i="21"/>
  <c r="AE924" i="21"/>
  <c r="AF924" i="21"/>
  <c r="AG924" i="21" s="1"/>
  <c r="AI924" i="21"/>
  <c r="AJ924" i="21"/>
  <c r="W925" i="21"/>
  <c r="X925" i="21"/>
  <c r="Y925" i="21"/>
  <c r="Z925" i="21"/>
  <c r="AA925" i="21" s="1"/>
  <c r="AB925" i="21" s="1"/>
  <c r="AC925" i="21"/>
  <c r="AD925" i="21"/>
  <c r="AE925" i="21"/>
  <c r="AF925" i="21"/>
  <c r="AG925" i="21"/>
  <c r="AH925" i="21"/>
  <c r="AI925" i="21"/>
  <c r="AJ925" i="21"/>
  <c r="AL925" i="21" s="1"/>
  <c r="AM925" i="21" s="1"/>
  <c r="AK925" i="21"/>
  <c r="W926" i="21"/>
  <c r="X926" i="21"/>
  <c r="Y926" i="21"/>
  <c r="Z926" i="21"/>
  <c r="AA926" i="21"/>
  <c r="AB926" i="21" s="1"/>
  <c r="AC926" i="21"/>
  <c r="AD926" i="21"/>
  <c r="AE926" i="21"/>
  <c r="AF926" i="21"/>
  <c r="AG926" i="21"/>
  <c r="AH926" i="21" s="1"/>
  <c r="AI926" i="21"/>
  <c r="AJ926" i="21"/>
  <c r="AL926" i="21" s="1"/>
  <c r="AK926" i="21"/>
  <c r="W927" i="21"/>
  <c r="X927" i="21"/>
  <c r="Y927" i="21"/>
  <c r="Z927" i="21"/>
  <c r="AA927" i="21" s="1"/>
  <c r="AC927" i="21"/>
  <c r="AD927" i="21"/>
  <c r="AE927" i="21"/>
  <c r="AF927" i="21"/>
  <c r="AG927" i="21" s="1"/>
  <c r="AI927" i="21"/>
  <c r="AJ927" i="21"/>
  <c r="W928" i="21"/>
  <c r="X928" i="21"/>
  <c r="Y928" i="21"/>
  <c r="Z928" i="21"/>
  <c r="AB928" i="21" s="1"/>
  <c r="AA928" i="21"/>
  <c r="AC928" i="21"/>
  <c r="AD928" i="21"/>
  <c r="AE928" i="21"/>
  <c r="AF928" i="21"/>
  <c r="AG928" i="21"/>
  <c r="AH928" i="21" s="1"/>
  <c r="AI928" i="21"/>
  <c r="AJ928" i="21"/>
  <c r="W929" i="21"/>
  <c r="X929" i="21"/>
  <c r="Y929" i="21"/>
  <c r="Z929" i="21"/>
  <c r="AA929" i="21" s="1"/>
  <c r="AC929" i="21"/>
  <c r="AD929" i="21"/>
  <c r="AE929" i="21"/>
  <c r="AF929" i="21"/>
  <c r="AG929" i="21" s="1"/>
  <c r="AI929" i="21"/>
  <c r="AJ929" i="21"/>
  <c r="W930" i="21"/>
  <c r="X930" i="21"/>
  <c r="Y930" i="21"/>
  <c r="Z930" i="21"/>
  <c r="AA930" i="21" s="1"/>
  <c r="AB930" i="21" s="1"/>
  <c r="AC930" i="21"/>
  <c r="AD930" i="21"/>
  <c r="AE930" i="21"/>
  <c r="AF930" i="21"/>
  <c r="AG930" i="21"/>
  <c r="AK930" i="21" s="1"/>
  <c r="AI930" i="21"/>
  <c r="AJ930" i="21"/>
  <c r="AL930" i="21" s="1"/>
  <c r="W931" i="21"/>
  <c r="X931" i="21"/>
  <c r="Y931" i="21"/>
  <c r="Z931" i="21"/>
  <c r="AA931" i="21"/>
  <c r="AB931" i="21" s="1"/>
  <c r="AC931" i="21"/>
  <c r="AD931" i="21"/>
  <c r="AE931" i="21"/>
  <c r="AF931" i="21"/>
  <c r="AG931" i="21" s="1"/>
  <c r="AI931" i="21"/>
  <c r="AJ931" i="21"/>
  <c r="W932" i="21"/>
  <c r="X932" i="21"/>
  <c r="Y932" i="21"/>
  <c r="Z932" i="21"/>
  <c r="AC932" i="21"/>
  <c r="AD932" i="21"/>
  <c r="AE932" i="21"/>
  <c r="AF932" i="21"/>
  <c r="AG932" i="21"/>
  <c r="AH932" i="21"/>
  <c r="AI932" i="21"/>
  <c r="AJ932" i="21"/>
  <c r="AK932" i="21"/>
  <c r="AL932" i="21" s="1"/>
  <c r="AM932" i="21" s="1"/>
  <c r="W933" i="21"/>
  <c r="X933" i="21"/>
  <c r="Y933" i="21"/>
  <c r="Z933" i="21"/>
  <c r="AA933" i="21" s="1"/>
  <c r="AB933" i="21" s="1"/>
  <c r="AC933" i="21"/>
  <c r="AD933" i="21"/>
  <c r="AE933" i="21"/>
  <c r="AF933" i="21"/>
  <c r="AG933" i="21"/>
  <c r="AI933" i="21"/>
  <c r="AJ933" i="21"/>
  <c r="W934" i="21"/>
  <c r="X934" i="21"/>
  <c r="Y934" i="21"/>
  <c r="Z934" i="21"/>
  <c r="AA934" i="21"/>
  <c r="AB934" i="21" s="1"/>
  <c r="AC934" i="21"/>
  <c r="AD934" i="21"/>
  <c r="AE934" i="21"/>
  <c r="AF934" i="21"/>
  <c r="AG934" i="21" s="1"/>
  <c r="AI934" i="21"/>
  <c r="AJ934" i="21"/>
  <c r="W935" i="21"/>
  <c r="X935" i="21"/>
  <c r="Y935" i="21"/>
  <c r="Z935" i="21"/>
  <c r="AA935" i="21" s="1"/>
  <c r="AC935" i="21"/>
  <c r="AD935" i="21"/>
  <c r="AE935" i="21"/>
  <c r="AF935" i="21"/>
  <c r="AG935" i="21" s="1"/>
  <c r="AI935" i="21"/>
  <c r="AJ935" i="21"/>
  <c r="W936" i="21"/>
  <c r="X936" i="21"/>
  <c r="Y936" i="21"/>
  <c r="Z936" i="21"/>
  <c r="AB936" i="21" s="1"/>
  <c r="AA936" i="21"/>
  <c r="AC936" i="21"/>
  <c r="AD936" i="21"/>
  <c r="AE936" i="21"/>
  <c r="AF936" i="21"/>
  <c r="AG936" i="21"/>
  <c r="AH936" i="21" s="1"/>
  <c r="AI936" i="21"/>
  <c r="AJ936" i="21"/>
  <c r="W937" i="21"/>
  <c r="X937" i="21"/>
  <c r="Y937" i="21"/>
  <c r="Z937" i="21"/>
  <c r="AA937" i="21" s="1"/>
  <c r="AC937" i="21"/>
  <c r="AD937" i="21"/>
  <c r="AE937" i="21"/>
  <c r="AF937" i="21"/>
  <c r="AG937" i="21" s="1"/>
  <c r="AH937" i="21" s="1"/>
  <c r="AI937" i="21"/>
  <c r="AJ937" i="21"/>
  <c r="W938" i="21"/>
  <c r="X938" i="21"/>
  <c r="Y938" i="21"/>
  <c r="Z938" i="21"/>
  <c r="AA938" i="21"/>
  <c r="AB938" i="21"/>
  <c r="AC938" i="21"/>
  <c r="AD938" i="21"/>
  <c r="AE938" i="21"/>
  <c r="AF938" i="21"/>
  <c r="AG938" i="21"/>
  <c r="AK938" i="21" s="1"/>
  <c r="AI938" i="21"/>
  <c r="AJ938" i="21"/>
  <c r="AL938" i="21" s="1"/>
  <c r="W939" i="21"/>
  <c r="X939" i="21"/>
  <c r="Y939" i="21"/>
  <c r="Z939" i="21"/>
  <c r="AA939" i="21"/>
  <c r="AC939" i="21"/>
  <c r="AD939" i="21"/>
  <c r="AE939" i="21"/>
  <c r="AF939" i="21"/>
  <c r="AG939" i="21" s="1"/>
  <c r="AI939" i="21"/>
  <c r="AJ939" i="21"/>
  <c r="W940" i="21"/>
  <c r="X940" i="21"/>
  <c r="Y940" i="21"/>
  <c r="Z940" i="21"/>
  <c r="AC940" i="21"/>
  <c r="AD940" i="21"/>
  <c r="AE940" i="21"/>
  <c r="AF940" i="21"/>
  <c r="AG940" i="21"/>
  <c r="AH940" i="21"/>
  <c r="AI940" i="21"/>
  <c r="AJ940" i="21"/>
  <c r="AK940" i="21"/>
  <c r="AL940" i="21" s="1"/>
  <c r="W941" i="21"/>
  <c r="X941" i="21"/>
  <c r="Y941" i="21"/>
  <c r="Z941" i="21"/>
  <c r="AA941" i="21" s="1"/>
  <c r="AB941" i="21" s="1"/>
  <c r="AC941" i="21"/>
  <c r="AD941" i="21"/>
  <c r="AE941" i="21"/>
  <c r="AF941" i="21"/>
  <c r="AG941" i="21"/>
  <c r="AI941" i="21"/>
  <c r="AJ941" i="21"/>
  <c r="W942" i="21"/>
  <c r="X942" i="21"/>
  <c r="Y942" i="21"/>
  <c r="Z942" i="21"/>
  <c r="AA942" i="21"/>
  <c r="AB942" i="21" s="1"/>
  <c r="AC942" i="21"/>
  <c r="AD942" i="21"/>
  <c r="AE942" i="21"/>
  <c r="AF942" i="21"/>
  <c r="AG942" i="21" s="1"/>
  <c r="AI942" i="21"/>
  <c r="AJ942" i="21"/>
  <c r="W943" i="21"/>
  <c r="X943" i="21"/>
  <c r="Y943" i="21"/>
  <c r="Z943" i="21"/>
  <c r="AA943" i="21" s="1"/>
  <c r="AC943" i="21"/>
  <c r="AD943" i="21"/>
  <c r="AE943" i="21"/>
  <c r="AF943" i="21"/>
  <c r="AG943" i="21" s="1"/>
  <c r="AI943" i="21"/>
  <c r="AJ943" i="21"/>
  <c r="W944" i="21"/>
  <c r="X944" i="21"/>
  <c r="Y944" i="21"/>
  <c r="Z944" i="21"/>
  <c r="AB944" i="21" s="1"/>
  <c r="AA944" i="21"/>
  <c r="AC944" i="21"/>
  <c r="AD944" i="21"/>
  <c r="AE944" i="21"/>
  <c r="AF944" i="21"/>
  <c r="AG944" i="21"/>
  <c r="AH944" i="21" s="1"/>
  <c r="AI944" i="21"/>
  <c r="AJ944" i="21"/>
  <c r="W945" i="21"/>
  <c r="X945" i="21"/>
  <c r="Y945" i="21"/>
  <c r="Z945" i="21"/>
  <c r="AA945" i="21" s="1"/>
  <c r="AC945" i="21"/>
  <c r="AD945" i="21"/>
  <c r="AE945" i="21"/>
  <c r="AF945" i="21"/>
  <c r="AG945" i="21" s="1"/>
  <c r="AH945" i="21" s="1"/>
  <c r="AI945" i="21"/>
  <c r="AJ945" i="21"/>
  <c r="AK945" i="21"/>
  <c r="W946" i="21"/>
  <c r="X946" i="21"/>
  <c r="Y946" i="21"/>
  <c r="Z946" i="21"/>
  <c r="AA946" i="21"/>
  <c r="AB946" i="21"/>
  <c r="AC946" i="21"/>
  <c r="AD946" i="21"/>
  <c r="AE946" i="21"/>
  <c r="AF946" i="21"/>
  <c r="AG946" i="21"/>
  <c r="AK946" i="21" s="1"/>
  <c r="AI946" i="21"/>
  <c r="AJ946" i="21"/>
  <c r="AL946" i="21" s="1"/>
  <c r="W947" i="21"/>
  <c r="X947" i="21"/>
  <c r="Y947" i="21"/>
  <c r="Z947" i="21"/>
  <c r="AA947" i="21"/>
  <c r="AC947" i="21"/>
  <c r="AD947" i="21"/>
  <c r="AE947" i="21"/>
  <c r="AF947" i="21"/>
  <c r="AG947" i="21" s="1"/>
  <c r="AI947" i="21"/>
  <c r="AJ947" i="21"/>
  <c r="W948" i="21"/>
  <c r="X948" i="21"/>
  <c r="Y948" i="21"/>
  <c r="Z948" i="21"/>
  <c r="AC948" i="21"/>
  <c r="AD948" i="21"/>
  <c r="AE948" i="21"/>
  <c r="AF948" i="21"/>
  <c r="AG948" i="21"/>
  <c r="AH948" i="21"/>
  <c r="AI948" i="21"/>
  <c r="AJ948" i="21"/>
  <c r="AK948" i="21"/>
  <c r="AL948" i="21" s="1"/>
  <c r="W949" i="21"/>
  <c r="X949" i="21"/>
  <c r="Y949" i="21"/>
  <c r="Z949" i="21"/>
  <c r="AA949" i="21" s="1"/>
  <c r="AB949" i="21" s="1"/>
  <c r="AC949" i="21"/>
  <c r="AD949" i="21"/>
  <c r="AE949" i="21"/>
  <c r="AF949" i="21"/>
  <c r="AG949" i="21"/>
  <c r="AI949" i="21"/>
  <c r="AJ949" i="21"/>
  <c r="W950" i="21"/>
  <c r="X950" i="21"/>
  <c r="Y950" i="21"/>
  <c r="Z950" i="21"/>
  <c r="AA950" i="21"/>
  <c r="AB950" i="21" s="1"/>
  <c r="AC950" i="21"/>
  <c r="AD950" i="21"/>
  <c r="AE950" i="21"/>
  <c r="AF950" i="21"/>
  <c r="AG950" i="21" s="1"/>
  <c r="AI950" i="21"/>
  <c r="AJ950" i="21"/>
  <c r="W951" i="21"/>
  <c r="X951" i="21"/>
  <c r="Y951" i="21"/>
  <c r="Z951" i="21"/>
  <c r="AA951" i="21" s="1"/>
  <c r="AC951" i="21"/>
  <c r="AD951" i="21"/>
  <c r="AE951" i="21"/>
  <c r="AF951" i="21"/>
  <c r="AG951" i="21" s="1"/>
  <c r="AI951" i="21"/>
  <c r="AJ951" i="21"/>
  <c r="W952" i="21"/>
  <c r="X952" i="21"/>
  <c r="Y952" i="21"/>
  <c r="Z952" i="21"/>
  <c r="AB952" i="21" s="1"/>
  <c r="AA952" i="21"/>
  <c r="AC952" i="21"/>
  <c r="AD952" i="21"/>
  <c r="AE952" i="21"/>
  <c r="AF952" i="21"/>
  <c r="AG952" i="21"/>
  <c r="AI952" i="21"/>
  <c r="AJ952" i="21"/>
  <c r="W953" i="21"/>
  <c r="X953" i="21"/>
  <c r="Y953" i="21"/>
  <c r="Z953" i="21"/>
  <c r="AA953" i="21" s="1"/>
  <c r="AC953" i="21"/>
  <c r="AD953" i="21"/>
  <c r="AE953" i="21"/>
  <c r="AF953" i="21"/>
  <c r="AG953" i="21" s="1"/>
  <c r="AH953" i="21" s="1"/>
  <c r="AI953" i="21"/>
  <c r="AJ953" i="21"/>
  <c r="AK953" i="21"/>
  <c r="W954" i="21"/>
  <c r="X954" i="21"/>
  <c r="Y954" i="21"/>
  <c r="Z954" i="21"/>
  <c r="AA954" i="21"/>
  <c r="AB954" i="21"/>
  <c r="AC954" i="21"/>
  <c r="AD954" i="21"/>
  <c r="AE954" i="21"/>
  <c r="AF954" i="21"/>
  <c r="AG954" i="21"/>
  <c r="AK954" i="21" s="1"/>
  <c r="AI954" i="21"/>
  <c r="AJ954" i="21"/>
  <c r="W955" i="21"/>
  <c r="X955" i="21"/>
  <c r="Y955" i="21"/>
  <c r="Z955" i="21"/>
  <c r="AB955" i="21" s="1"/>
  <c r="AA955" i="21"/>
  <c r="AC955" i="21"/>
  <c r="AD955" i="21"/>
  <c r="AE955" i="21"/>
  <c r="AF955" i="21"/>
  <c r="AG955" i="21" s="1"/>
  <c r="AI955" i="21"/>
  <c r="AJ955" i="21"/>
  <c r="W956" i="21"/>
  <c r="X956" i="21"/>
  <c r="Y956" i="21"/>
  <c r="Z956" i="21"/>
  <c r="AC956" i="21"/>
  <c r="AD956" i="21"/>
  <c r="AE956" i="21"/>
  <c r="AF956" i="21"/>
  <c r="AG956" i="21"/>
  <c r="AH956" i="21"/>
  <c r="AI956" i="21"/>
  <c r="AJ956" i="21"/>
  <c r="AK956" i="21"/>
  <c r="AL956" i="21" s="1"/>
  <c r="W957" i="21"/>
  <c r="X957" i="21"/>
  <c r="Y957" i="21"/>
  <c r="Z957" i="21"/>
  <c r="AA957" i="21" s="1"/>
  <c r="AB957" i="21"/>
  <c r="AC957" i="21"/>
  <c r="AD957" i="21"/>
  <c r="AE957" i="21"/>
  <c r="AF957" i="21"/>
  <c r="AG957" i="21"/>
  <c r="AI957" i="21"/>
  <c r="AJ957" i="21"/>
  <c r="W958" i="21"/>
  <c r="X958" i="21"/>
  <c r="Y958" i="21"/>
  <c r="Z958" i="21"/>
  <c r="AA958" i="21"/>
  <c r="AB958" i="21" s="1"/>
  <c r="AC958" i="21"/>
  <c r="AD958" i="21"/>
  <c r="AE958" i="21"/>
  <c r="AF958" i="21"/>
  <c r="AG958" i="21" s="1"/>
  <c r="AI958" i="21"/>
  <c r="AJ958" i="21"/>
  <c r="W959" i="21"/>
  <c r="X959" i="21"/>
  <c r="Y959" i="21"/>
  <c r="Z959" i="21"/>
  <c r="AC959" i="21"/>
  <c r="AD959" i="21"/>
  <c r="AE959" i="21"/>
  <c r="AF959" i="21"/>
  <c r="AG959" i="21" s="1"/>
  <c r="AK959" i="21" s="1"/>
  <c r="AI959" i="21"/>
  <c r="AJ959" i="21"/>
  <c r="W960" i="21"/>
  <c r="X960" i="21"/>
  <c r="Y960" i="21"/>
  <c r="Z960" i="21"/>
  <c r="AB960" i="21" s="1"/>
  <c r="AA960" i="21"/>
  <c r="AC960" i="21"/>
  <c r="AD960" i="21"/>
  <c r="AE960" i="21"/>
  <c r="AF960" i="21"/>
  <c r="AG960" i="21"/>
  <c r="AI960" i="21"/>
  <c r="AJ960" i="21"/>
  <c r="W961" i="21"/>
  <c r="X961" i="21"/>
  <c r="Y961" i="21"/>
  <c r="Z961" i="21"/>
  <c r="AA961" i="21" s="1"/>
  <c r="AC961" i="21"/>
  <c r="AD961" i="21"/>
  <c r="AE961" i="21"/>
  <c r="AF961" i="21"/>
  <c r="AG961" i="21" s="1"/>
  <c r="AH961" i="21" s="1"/>
  <c r="AI961" i="21"/>
  <c r="AJ961" i="21"/>
  <c r="AK961" i="21"/>
  <c r="W962" i="21"/>
  <c r="X962" i="21"/>
  <c r="Y962" i="21"/>
  <c r="Z962" i="21"/>
  <c r="AA962" i="21"/>
  <c r="AB962" i="21"/>
  <c r="AC962" i="21"/>
  <c r="AD962" i="21"/>
  <c r="AE962" i="21"/>
  <c r="AF962" i="21"/>
  <c r="AG962" i="21"/>
  <c r="AK962" i="21" s="1"/>
  <c r="AI962" i="21"/>
  <c r="AJ962" i="21"/>
  <c r="W963" i="21"/>
  <c r="X963" i="21"/>
  <c r="Y963" i="21"/>
  <c r="Z963" i="21"/>
  <c r="AB963" i="21" s="1"/>
  <c r="AA963" i="21"/>
  <c r="AC963" i="21"/>
  <c r="AD963" i="21"/>
  <c r="AE963" i="21"/>
  <c r="AF963" i="21"/>
  <c r="AG963" i="21" s="1"/>
  <c r="AI963" i="21"/>
  <c r="AJ963" i="21"/>
  <c r="W964" i="21"/>
  <c r="X964" i="21"/>
  <c r="Y964" i="21"/>
  <c r="Z964" i="21"/>
  <c r="AC964" i="21"/>
  <c r="AD964" i="21"/>
  <c r="AE964" i="21"/>
  <c r="AF964" i="21"/>
  <c r="AG964" i="21"/>
  <c r="AH964" i="21"/>
  <c r="AI964" i="21"/>
  <c r="AJ964" i="21"/>
  <c r="AK964" i="21"/>
  <c r="AL964" i="21" s="1"/>
  <c r="W965" i="21"/>
  <c r="X965" i="21"/>
  <c r="Y965" i="21"/>
  <c r="Z965" i="21"/>
  <c r="AA965" i="21" s="1"/>
  <c r="AB965" i="21"/>
  <c r="AC965" i="21"/>
  <c r="AD965" i="21"/>
  <c r="AE965" i="21"/>
  <c r="AF965" i="21"/>
  <c r="AG965" i="21"/>
  <c r="AI965" i="21"/>
  <c r="AJ965" i="21"/>
  <c r="W966" i="21"/>
  <c r="X966" i="21"/>
  <c r="Y966" i="21"/>
  <c r="Z966" i="21"/>
  <c r="AA966" i="21"/>
  <c r="AB966" i="21" s="1"/>
  <c r="AC966" i="21"/>
  <c r="AD966" i="21"/>
  <c r="AE966" i="21"/>
  <c r="AF966" i="21"/>
  <c r="AG966" i="21" s="1"/>
  <c r="AI966" i="21"/>
  <c r="AJ966" i="21"/>
  <c r="W967" i="21"/>
  <c r="X967" i="21"/>
  <c r="Y967" i="21"/>
  <c r="Z967" i="21"/>
  <c r="AC967" i="21"/>
  <c r="AD967" i="21"/>
  <c r="AE967" i="21"/>
  <c r="AF967" i="21"/>
  <c r="AG967" i="21" s="1"/>
  <c r="AK967" i="21" s="1"/>
  <c r="AI967" i="21"/>
  <c r="AJ967" i="21"/>
  <c r="W968" i="21"/>
  <c r="X968" i="21"/>
  <c r="Y968" i="21"/>
  <c r="Z968" i="21"/>
  <c r="AB968" i="21" s="1"/>
  <c r="AA968" i="21"/>
  <c r="AC968" i="21"/>
  <c r="AD968" i="21"/>
  <c r="AE968" i="21"/>
  <c r="AF968" i="21"/>
  <c r="AG968" i="21"/>
  <c r="AI968" i="21"/>
  <c r="AJ968" i="21"/>
  <c r="W969" i="21"/>
  <c r="X969" i="21"/>
  <c r="Y969" i="21"/>
  <c r="Z969" i="21"/>
  <c r="AA969" i="21" s="1"/>
  <c r="AC969" i="21"/>
  <c r="AD969" i="21"/>
  <c r="AE969" i="21"/>
  <c r="AF969" i="21"/>
  <c r="AG969" i="21" s="1"/>
  <c r="AH969" i="21" s="1"/>
  <c r="AI969" i="21"/>
  <c r="AJ969" i="21"/>
  <c r="AK969" i="21"/>
  <c r="W970" i="21"/>
  <c r="X970" i="21"/>
  <c r="Y970" i="21"/>
  <c r="Z970" i="21"/>
  <c r="AA970" i="21"/>
  <c r="AB970" i="21"/>
  <c r="AC970" i="21"/>
  <c r="AD970" i="21"/>
  <c r="AE970" i="21"/>
  <c r="AF970" i="21"/>
  <c r="AG970" i="21"/>
  <c r="AK970" i="21" s="1"/>
  <c r="AI970" i="21"/>
  <c r="AJ970" i="21"/>
  <c r="W971" i="21"/>
  <c r="X971" i="21"/>
  <c r="Y971" i="21"/>
  <c r="Z971" i="21"/>
  <c r="AB971" i="21" s="1"/>
  <c r="AA971" i="21"/>
  <c r="AC971" i="21"/>
  <c r="AD971" i="21"/>
  <c r="AE971" i="21"/>
  <c r="AF971" i="21"/>
  <c r="AG971" i="21" s="1"/>
  <c r="AI971" i="21"/>
  <c r="AJ971" i="21"/>
  <c r="W972" i="21"/>
  <c r="X972" i="21"/>
  <c r="Y972" i="21"/>
  <c r="Z972" i="21"/>
  <c r="AC972" i="21"/>
  <c r="AD972" i="21"/>
  <c r="AE972" i="21"/>
  <c r="AF972" i="21"/>
  <c r="AG972" i="21"/>
  <c r="AH972" i="21"/>
  <c r="AI972" i="21"/>
  <c r="AJ972" i="21"/>
  <c r="AK972" i="21"/>
  <c r="AL972" i="21" s="1"/>
  <c r="W973" i="21"/>
  <c r="X973" i="21"/>
  <c r="Y973" i="21"/>
  <c r="Z973" i="21"/>
  <c r="AA973" i="21" s="1"/>
  <c r="AB973" i="21"/>
  <c r="AC973" i="21"/>
  <c r="AD973" i="21"/>
  <c r="AE973" i="21"/>
  <c r="AF973" i="21"/>
  <c r="AG973" i="21"/>
  <c r="AI973" i="21"/>
  <c r="AJ973" i="21"/>
  <c r="W974" i="21"/>
  <c r="X974" i="21"/>
  <c r="Y974" i="21"/>
  <c r="Z974" i="21"/>
  <c r="AA974" i="21"/>
  <c r="AB974" i="21" s="1"/>
  <c r="AC974" i="21"/>
  <c r="AD974" i="21"/>
  <c r="AE974" i="21"/>
  <c r="AF974" i="21"/>
  <c r="AG974" i="21" s="1"/>
  <c r="AI974" i="21"/>
  <c r="AJ974" i="21"/>
  <c r="W975" i="21"/>
  <c r="X975" i="21"/>
  <c r="Y975" i="21"/>
  <c r="Z975" i="21"/>
  <c r="AC975" i="21"/>
  <c r="AD975" i="21"/>
  <c r="AE975" i="21"/>
  <c r="AF975" i="21"/>
  <c r="AG975" i="21" s="1"/>
  <c r="AK975" i="21" s="1"/>
  <c r="AI975" i="21"/>
  <c r="AJ975" i="21"/>
  <c r="W976" i="21"/>
  <c r="X976" i="21"/>
  <c r="Y976" i="21"/>
  <c r="Z976" i="21"/>
  <c r="AB976" i="21" s="1"/>
  <c r="AA976" i="21"/>
  <c r="AC976" i="21"/>
  <c r="AD976" i="21"/>
  <c r="AE976" i="21"/>
  <c r="AF976" i="21"/>
  <c r="AG976" i="21"/>
  <c r="AI976" i="21"/>
  <c r="AJ976" i="21"/>
  <c r="W977" i="21"/>
  <c r="X977" i="21"/>
  <c r="Y977" i="21"/>
  <c r="Z977" i="21"/>
  <c r="AA977" i="21" s="1"/>
  <c r="AC977" i="21"/>
  <c r="AD977" i="21"/>
  <c r="AE977" i="21"/>
  <c r="AF977" i="21"/>
  <c r="AG977" i="21" s="1"/>
  <c r="AH977" i="21" s="1"/>
  <c r="AI977" i="21"/>
  <c r="AJ977" i="21"/>
  <c r="AK977" i="21"/>
  <c r="W978" i="21"/>
  <c r="X978" i="21"/>
  <c r="Y978" i="21"/>
  <c r="Z978" i="21"/>
  <c r="AA978" i="21"/>
  <c r="AB978" i="21"/>
  <c r="AC978" i="21"/>
  <c r="AD978" i="21"/>
  <c r="AE978" i="21"/>
  <c r="AF978" i="21"/>
  <c r="AG978" i="21"/>
  <c r="AK978" i="21" s="1"/>
  <c r="AI978" i="21"/>
  <c r="AJ978" i="21"/>
  <c r="W979" i="21"/>
  <c r="X979" i="21"/>
  <c r="Y979" i="21"/>
  <c r="Z979" i="21"/>
  <c r="AB979" i="21" s="1"/>
  <c r="AA979" i="21"/>
  <c r="AC979" i="21"/>
  <c r="AD979" i="21"/>
  <c r="AE979" i="21"/>
  <c r="AF979" i="21"/>
  <c r="AG979" i="21" s="1"/>
  <c r="AI979" i="21"/>
  <c r="AJ979" i="21"/>
  <c r="W980" i="21"/>
  <c r="X980" i="21"/>
  <c r="Y980" i="21"/>
  <c r="Z980" i="21"/>
  <c r="AC980" i="21"/>
  <c r="AD980" i="21"/>
  <c r="AE980" i="21"/>
  <c r="AF980" i="21"/>
  <c r="AG980" i="21"/>
  <c r="AH980" i="21"/>
  <c r="AI980" i="21"/>
  <c r="AJ980" i="21"/>
  <c r="AK980" i="21"/>
  <c r="AL980" i="21" s="1"/>
  <c r="W981" i="21"/>
  <c r="X981" i="21"/>
  <c r="Y981" i="21"/>
  <c r="Z981" i="21"/>
  <c r="AA981" i="21" s="1"/>
  <c r="AB981" i="21"/>
  <c r="AC981" i="21"/>
  <c r="AD981" i="21"/>
  <c r="AE981" i="21"/>
  <c r="AF981" i="21"/>
  <c r="AG981" i="21"/>
  <c r="AI981" i="21"/>
  <c r="AJ981" i="21"/>
  <c r="W982" i="21"/>
  <c r="X982" i="21"/>
  <c r="Y982" i="21"/>
  <c r="Z982" i="21"/>
  <c r="AA982" i="21"/>
  <c r="AB982" i="21" s="1"/>
  <c r="AC982" i="21"/>
  <c r="AD982" i="21"/>
  <c r="AE982" i="21"/>
  <c r="AF982" i="21"/>
  <c r="AG982" i="21" s="1"/>
  <c r="AI982" i="21"/>
  <c r="AJ982" i="21"/>
  <c r="W983" i="21"/>
  <c r="X983" i="21"/>
  <c r="Y983" i="21"/>
  <c r="Z983" i="21"/>
  <c r="AC983" i="21"/>
  <c r="AD983" i="21"/>
  <c r="AE983" i="21"/>
  <c r="AF983" i="21"/>
  <c r="AG983" i="21" s="1"/>
  <c r="AK983" i="21" s="1"/>
  <c r="AI983" i="21"/>
  <c r="AJ983" i="21"/>
  <c r="W984" i="21"/>
  <c r="X984" i="21"/>
  <c r="Y984" i="21"/>
  <c r="Z984" i="21"/>
  <c r="AB984" i="21" s="1"/>
  <c r="AA984" i="21"/>
  <c r="AC984" i="21"/>
  <c r="AD984" i="21"/>
  <c r="AE984" i="21"/>
  <c r="AF984" i="21"/>
  <c r="AG984" i="21"/>
  <c r="AI984" i="21"/>
  <c r="AJ984" i="21"/>
  <c r="W985" i="21"/>
  <c r="X985" i="21"/>
  <c r="Y985" i="21"/>
  <c r="Z985" i="21"/>
  <c r="AA985" i="21" s="1"/>
  <c r="AC985" i="21"/>
  <c r="AD985" i="21"/>
  <c r="AE985" i="21"/>
  <c r="AF985" i="21"/>
  <c r="AG985" i="21" s="1"/>
  <c r="AH985" i="21" s="1"/>
  <c r="AI985" i="21"/>
  <c r="AJ985" i="21"/>
  <c r="AK985" i="21"/>
  <c r="W986" i="21"/>
  <c r="X986" i="21"/>
  <c r="Y986" i="21"/>
  <c r="Z986" i="21"/>
  <c r="AA986" i="21"/>
  <c r="AB986" i="21"/>
  <c r="AC986" i="21"/>
  <c r="AD986" i="21"/>
  <c r="AE986" i="21"/>
  <c r="AF986" i="21"/>
  <c r="AG986" i="21"/>
  <c r="AK986" i="21" s="1"/>
  <c r="AI986" i="21"/>
  <c r="AJ986" i="21"/>
  <c r="AL986" i="21" s="1"/>
  <c r="W987" i="21"/>
  <c r="X987" i="21"/>
  <c r="Y987" i="21"/>
  <c r="Z987" i="21"/>
  <c r="AB987" i="21" s="1"/>
  <c r="AA987" i="21"/>
  <c r="AC987" i="21"/>
  <c r="AD987" i="21"/>
  <c r="AE987" i="21"/>
  <c r="AF987" i="21"/>
  <c r="AG987" i="21" s="1"/>
  <c r="AI987" i="21"/>
  <c r="AJ987" i="21"/>
  <c r="W988" i="21"/>
  <c r="X988" i="21"/>
  <c r="Y988" i="21"/>
  <c r="Z988" i="21"/>
  <c r="AC988" i="21"/>
  <c r="AD988" i="21"/>
  <c r="AE988" i="21"/>
  <c r="AF988" i="21"/>
  <c r="AG988" i="21"/>
  <c r="AH988" i="21"/>
  <c r="AI988" i="21"/>
  <c r="AJ988" i="21"/>
  <c r="AK988" i="21"/>
  <c r="AL988" i="21" s="1"/>
  <c r="W989" i="21"/>
  <c r="X989" i="21"/>
  <c r="Y989" i="21"/>
  <c r="Z989" i="21"/>
  <c r="AA989" i="21" s="1"/>
  <c r="AB989" i="21"/>
  <c r="AC989" i="21"/>
  <c r="AD989" i="21"/>
  <c r="AE989" i="21"/>
  <c r="AF989" i="21"/>
  <c r="AG989" i="21"/>
  <c r="AI989" i="21"/>
  <c r="AJ989" i="21"/>
  <c r="W990" i="21"/>
  <c r="X990" i="21"/>
  <c r="Y990" i="21"/>
  <c r="Z990" i="21"/>
  <c r="AA990" i="21"/>
  <c r="AB990" i="21" s="1"/>
  <c r="AC990" i="21"/>
  <c r="AD990" i="21"/>
  <c r="AE990" i="21"/>
  <c r="AF990" i="21"/>
  <c r="AG990" i="21" s="1"/>
  <c r="AI990" i="21"/>
  <c r="AJ990" i="21"/>
  <c r="W991" i="21"/>
  <c r="X991" i="21"/>
  <c r="Y991" i="21"/>
  <c r="Z991" i="21"/>
  <c r="AC991" i="21"/>
  <c r="AD991" i="21"/>
  <c r="AE991" i="21"/>
  <c r="AF991" i="21"/>
  <c r="AG991" i="21" s="1"/>
  <c r="AK991" i="21" s="1"/>
  <c r="AI991" i="21"/>
  <c r="AJ991" i="21"/>
  <c r="W992" i="21"/>
  <c r="X992" i="21"/>
  <c r="Y992" i="21"/>
  <c r="Z992" i="21"/>
  <c r="AB992" i="21" s="1"/>
  <c r="AA992" i="21"/>
  <c r="AC992" i="21"/>
  <c r="AD992" i="21"/>
  <c r="AE992" i="21"/>
  <c r="AF992" i="21"/>
  <c r="AG992" i="21"/>
  <c r="AI992" i="21"/>
  <c r="AJ992" i="21"/>
  <c r="W993" i="21"/>
  <c r="X993" i="21"/>
  <c r="Y993" i="21"/>
  <c r="Z993" i="21"/>
  <c r="AA993" i="21" s="1"/>
  <c r="AC993" i="21"/>
  <c r="AD993" i="21"/>
  <c r="AE993" i="21"/>
  <c r="AF993" i="21"/>
  <c r="AG993" i="21" s="1"/>
  <c r="AH993" i="21" s="1"/>
  <c r="AI993" i="21"/>
  <c r="AJ993" i="21"/>
  <c r="AK993" i="21"/>
  <c r="W994" i="21"/>
  <c r="X994" i="21"/>
  <c r="Y994" i="21"/>
  <c r="Z994" i="21"/>
  <c r="AA994" i="21"/>
  <c r="AB994" i="21"/>
  <c r="AC994" i="21"/>
  <c r="AD994" i="21"/>
  <c r="AE994" i="21"/>
  <c r="AF994" i="21"/>
  <c r="AG994" i="21"/>
  <c r="AK994" i="21" s="1"/>
  <c r="AI994" i="21"/>
  <c r="AJ994" i="21"/>
  <c r="W995" i="21"/>
  <c r="X995" i="21"/>
  <c r="Y995" i="21"/>
  <c r="Z995" i="21"/>
  <c r="AB995" i="21" s="1"/>
  <c r="AA995" i="21"/>
  <c r="AC995" i="21"/>
  <c r="AD995" i="21"/>
  <c r="AE995" i="21"/>
  <c r="AF995" i="21"/>
  <c r="AG995" i="21" s="1"/>
  <c r="AI995" i="21"/>
  <c r="AJ995" i="21"/>
  <c r="W996" i="21"/>
  <c r="X996" i="21"/>
  <c r="Y996" i="21"/>
  <c r="Z996" i="21"/>
  <c r="AC996" i="21"/>
  <c r="AD996" i="21"/>
  <c r="AE996" i="21"/>
  <c r="AF996" i="21"/>
  <c r="AG996" i="21"/>
  <c r="AH996" i="21"/>
  <c r="AI996" i="21"/>
  <c r="AJ996" i="21"/>
  <c r="AK996" i="21"/>
  <c r="AL996" i="21" s="1"/>
  <c r="W997" i="21"/>
  <c r="X997" i="21"/>
  <c r="Y997" i="21"/>
  <c r="Z997" i="21"/>
  <c r="AA997" i="21" s="1"/>
  <c r="AB997" i="21"/>
  <c r="AC997" i="21"/>
  <c r="AD997" i="21"/>
  <c r="AE997" i="21"/>
  <c r="AF997" i="21"/>
  <c r="AG997" i="21"/>
  <c r="AI997" i="21"/>
  <c r="AJ997" i="21"/>
  <c r="W998" i="21"/>
  <c r="X998" i="21"/>
  <c r="Y998" i="21"/>
  <c r="Z998" i="21"/>
  <c r="AA998" i="21"/>
  <c r="AB998" i="21" s="1"/>
  <c r="AC998" i="21"/>
  <c r="AD998" i="21"/>
  <c r="AE998" i="21"/>
  <c r="AF998" i="21"/>
  <c r="AG998" i="21" s="1"/>
  <c r="AI998" i="21"/>
  <c r="AJ998" i="21"/>
  <c r="W999" i="21"/>
  <c r="X999" i="21"/>
  <c r="Y999" i="21"/>
  <c r="Z999" i="21"/>
  <c r="AC999" i="21"/>
  <c r="AD999" i="21"/>
  <c r="AE999" i="21"/>
  <c r="AF999" i="21"/>
  <c r="AG999" i="21" s="1"/>
  <c r="AK999" i="21" s="1"/>
  <c r="AI999" i="21"/>
  <c r="AJ999" i="21"/>
  <c r="W1000" i="21"/>
  <c r="X1000" i="21"/>
  <c r="Y1000" i="21"/>
  <c r="Z1000" i="21"/>
  <c r="AB1000" i="21" s="1"/>
  <c r="AA1000" i="21"/>
  <c r="AC1000" i="21"/>
  <c r="AD1000" i="21"/>
  <c r="AE1000" i="21"/>
  <c r="AF1000" i="21"/>
  <c r="AG1000" i="21"/>
  <c r="AI1000" i="21"/>
  <c r="AJ1000" i="21"/>
  <c r="W1001" i="21"/>
  <c r="X1001" i="21"/>
  <c r="Y1001" i="21"/>
  <c r="Z1001" i="21"/>
  <c r="AA1001" i="21" s="1"/>
  <c r="AC1001" i="21"/>
  <c r="AD1001" i="21"/>
  <c r="AE1001" i="21"/>
  <c r="AF1001" i="21"/>
  <c r="AG1001" i="21" s="1"/>
  <c r="AH1001" i="21" s="1"/>
  <c r="AI1001" i="21"/>
  <c r="AJ1001" i="21"/>
  <c r="AK1001" i="21"/>
  <c r="W1002" i="21"/>
  <c r="X1002" i="21"/>
  <c r="Y1002" i="21"/>
  <c r="Z1002" i="21"/>
  <c r="AA1002" i="21"/>
  <c r="AB1002" i="21"/>
  <c r="AC1002" i="21"/>
  <c r="AD1002" i="21"/>
  <c r="AE1002" i="21"/>
  <c r="AF1002" i="21"/>
  <c r="AG1002" i="21"/>
  <c r="AK1002" i="21" s="1"/>
  <c r="AI1002" i="21"/>
  <c r="AJ1002" i="21"/>
  <c r="W1003" i="21"/>
  <c r="X1003" i="21"/>
  <c r="Y1003" i="21"/>
  <c r="Z1003" i="21"/>
  <c r="AB1003" i="21" s="1"/>
  <c r="AA1003" i="21"/>
  <c r="AC1003" i="21"/>
  <c r="AD1003" i="21"/>
  <c r="AE1003" i="21"/>
  <c r="AF1003" i="21"/>
  <c r="AG1003" i="21" s="1"/>
  <c r="AI1003" i="21"/>
  <c r="AJ1003" i="21"/>
  <c r="W1004" i="21"/>
  <c r="X1004" i="21"/>
  <c r="Y1004" i="21"/>
  <c r="Z1004" i="21"/>
  <c r="AC1004" i="21"/>
  <c r="AD1004" i="21"/>
  <c r="AE1004" i="21"/>
  <c r="AF1004" i="21"/>
  <c r="AG1004" i="21"/>
  <c r="AH1004" i="21"/>
  <c r="AI1004" i="21"/>
  <c r="AJ1004" i="21"/>
  <c r="AK1004" i="21"/>
  <c r="AL1004" i="21" s="1"/>
  <c r="W1005" i="21"/>
  <c r="X1005" i="21"/>
  <c r="Y1005" i="21"/>
  <c r="Z1005" i="21"/>
  <c r="AA1005" i="21" s="1"/>
  <c r="AB1005" i="21"/>
  <c r="AC1005" i="21"/>
  <c r="AD1005" i="21"/>
  <c r="AE1005" i="21"/>
  <c r="AF1005" i="21"/>
  <c r="AG1005" i="21"/>
  <c r="AI1005" i="21"/>
  <c r="AJ1005" i="21"/>
  <c r="W1006" i="21"/>
  <c r="X1006" i="21"/>
  <c r="Y1006" i="21"/>
  <c r="Z1006" i="21"/>
  <c r="AA1006" i="21"/>
  <c r="AB1006" i="21" s="1"/>
  <c r="AC1006" i="21"/>
  <c r="AD1006" i="21"/>
  <c r="AE1006" i="21"/>
  <c r="AF1006" i="21"/>
  <c r="AG1006" i="21" s="1"/>
  <c r="AI1006" i="21"/>
  <c r="AJ1006" i="21"/>
  <c r="W1007" i="21"/>
  <c r="X1007" i="21"/>
  <c r="Y1007" i="21"/>
  <c r="Z1007" i="21"/>
  <c r="AC1007" i="21"/>
  <c r="AD1007" i="21"/>
  <c r="AE1007" i="21"/>
  <c r="AF1007" i="21"/>
  <c r="AG1007" i="21" s="1"/>
  <c r="AK1007" i="21" s="1"/>
  <c r="AI1007" i="21"/>
  <c r="AJ1007" i="21"/>
  <c r="W1008" i="21"/>
  <c r="X1008" i="21"/>
  <c r="Y1008" i="21"/>
  <c r="Z1008" i="21"/>
  <c r="AB1008" i="21" s="1"/>
  <c r="AA1008" i="21"/>
  <c r="AC1008" i="21"/>
  <c r="AD1008" i="21"/>
  <c r="AE1008" i="21"/>
  <c r="AF1008" i="21"/>
  <c r="AG1008" i="21"/>
  <c r="AI1008" i="21"/>
  <c r="AJ1008" i="21"/>
  <c r="W1009" i="21"/>
  <c r="X1009" i="21"/>
  <c r="Y1009" i="21"/>
  <c r="Z1009" i="21"/>
  <c r="AA1009" i="21" s="1"/>
  <c r="AC1009" i="21"/>
  <c r="AD1009" i="21"/>
  <c r="AE1009" i="21"/>
  <c r="AF1009" i="21"/>
  <c r="AG1009" i="21" s="1"/>
  <c r="AH1009" i="21" s="1"/>
  <c r="AI1009" i="21"/>
  <c r="AJ1009" i="21"/>
  <c r="AK1009" i="21"/>
  <c r="W1010" i="21"/>
  <c r="X1010" i="21"/>
  <c r="Y1010" i="21"/>
  <c r="Z1010" i="21"/>
  <c r="AA1010" i="21"/>
  <c r="AB1010" i="21"/>
  <c r="AC1010" i="21"/>
  <c r="AD1010" i="21"/>
  <c r="AE1010" i="21"/>
  <c r="AF1010" i="21"/>
  <c r="AG1010" i="21"/>
  <c r="AK1010" i="21" s="1"/>
  <c r="AI1010" i="21"/>
  <c r="AJ1010" i="21"/>
  <c r="W1011" i="21"/>
  <c r="X1011" i="21"/>
  <c r="Y1011" i="21"/>
  <c r="Z1011" i="21"/>
  <c r="AB1011" i="21" s="1"/>
  <c r="AA1011" i="21"/>
  <c r="AC1011" i="21"/>
  <c r="AD1011" i="21"/>
  <c r="AE1011" i="21"/>
  <c r="AF1011" i="21"/>
  <c r="AG1011" i="21" s="1"/>
  <c r="AI1011" i="21"/>
  <c r="AJ1011" i="21"/>
  <c r="W1012" i="21"/>
  <c r="X1012" i="21"/>
  <c r="Y1012" i="21"/>
  <c r="Z1012" i="21"/>
  <c r="AC1012" i="21"/>
  <c r="AD1012" i="21"/>
  <c r="AE1012" i="21"/>
  <c r="AF1012" i="21"/>
  <c r="AG1012" i="21"/>
  <c r="AH1012" i="21"/>
  <c r="AI1012" i="21"/>
  <c r="AJ1012" i="21"/>
  <c r="AK1012" i="21"/>
  <c r="AL1012" i="21" s="1"/>
  <c r="W1013" i="21"/>
  <c r="X1013" i="21"/>
  <c r="Y1013" i="21"/>
  <c r="Z1013" i="21"/>
  <c r="AA1013" i="21" s="1"/>
  <c r="AB1013" i="21"/>
  <c r="AC1013" i="21"/>
  <c r="AD1013" i="21"/>
  <c r="AE1013" i="21"/>
  <c r="AF1013" i="21"/>
  <c r="AG1013" i="21"/>
  <c r="AI1013" i="21"/>
  <c r="AJ1013" i="21"/>
  <c r="W1014" i="21"/>
  <c r="X1014" i="21"/>
  <c r="Y1014" i="21"/>
  <c r="Z1014" i="21"/>
  <c r="AA1014" i="21"/>
  <c r="AB1014" i="21" s="1"/>
  <c r="AC1014" i="21"/>
  <c r="AD1014" i="21"/>
  <c r="AE1014" i="21"/>
  <c r="AF1014" i="21"/>
  <c r="AG1014" i="21" s="1"/>
  <c r="AI1014" i="21"/>
  <c r="AJ1014" i="21"/>
  <c r="W1015" i="21"/>
  <c r="X1015" i="21"/>
  <c r="Y1015" i="21"/>
  <c r="Z1015" i="21"/>
  <c r="AC1015" i="21"/>
  <c r="AD1015" i="21"/>
  <c r="AE1015" i="21"/>
  <c r="AF1015" i="21"/>
  <c r="AG1015" i="21" s="1"/>
  <c r="AK1015" i="21" s="1"/>
  <c r="AI1015" i="21"/>
  <c r="AJ1015" i="21"/>
  <c r="W1016" i="21"/>
  <c r="X1016" i="21"/>
  <c r="Y1016" i="21"/>
  <c r="Z1016" i="21"/>
  <c r="AB1016" i="21" s="1"/>
  <c r="AA1016" i="21"/>
  <c r="AC1016" i="21"/>
  <c r="AD1016" i="21"/>
  <c r="AE1016" i="21"/>
  <c r="AF1016" i="21"/>
  <c r="AG1016" i="21"/>
  <c r="AI1016" i="21"/>
  <c r="AJ1016" i="21"/>
  <c r="W1017" i="21"/>
  <c r="X1017" i="21"/>
  <c r="Y1017" i="21"/>
  <c r="Z1017" i="21"/>
  <c r="AA1017" i="21" s="1"/>
  <c r="AC1017" i="21"/>
  <c r="AD1017" i="21"/>
  <c r="AE1017" i="21"/>
  <c r="AF1017" i="21"/>
  <c r="AG1017" i="21" s="1"/>
  <c r="AH1017" i="21" s="1"/>
  <c r="AI1017" i="21"/>
  <c r="AJ1017" i="21"/>
  <c r="AK1017" i="21"/>
  <c r="W1018" i="21"/>
  <c r="X1018" i="21"/>
  <c r="Y1018" i="21"/>
  <c r="Z1018" i="21"/>
  <c r="AA1018" i="21"/>
  <c r="AB1018" i="21"/>
  <c r="AC1018" i="21"/>
  <c r="AD1018" i="21"/>
  <c r="AE1018" i="21"/>
  <c r="AF1018" i="21"/>
  <c r="AG1018" i="21"/>
  <c r="AK1018" i="21" s="1"/>
  <c r="AI1018" i="21"/>
  <c r="AJ1018" i="21"/>
  <c r="AL1018" i="21" s="1"/>
  <c r="W1019" i="21"/>
  <c r="X1019" i="21"/>
  <c r="Y1019" i="21"/>
  <c r="Z1019" i="21"/>
  <c r="AB1019" i="21" s="1"/>
  <c r="AA1019" i="21"/>
  <c r="AC1019" i="21"/>
  <c r="AD1019" i="21"/>
  <c r="AE1019" i="21"/>
  <c r="AF1019" i="21"/>
  <c r="AG1019" i="21" s="1"/>
  <c r="AI1019" i="21"/>
  <c r="AJ1019" i="21"/>
  <c r="W1020" i="21"/>
  <c r="X1020" i="21"/>
  <c r="Y1020" i="21"/>
  <c r="Z1020" i="21"/>
  <c r="AC1020" i="21"/>
  <c r="AD1020" i="21"/>
  <c r="AE1020" i="21"/>
  <c r="AF1020" i="21"/>
  <c r="AG1020" i="21"/>
  <c r="AH1020" i="21"/>
  <c r="AI1020" i="21"/>
  <c r="AJ1020" i="21"/>
  <c r="AK1020" i="21"/>
  <c r="AL1020" i="21" s="1"/>
  <c r="W1021" i="21"/>
  <c r="X1021" i="21"/>
  <c r="Y1021" i="21"/>
  <c r="Z1021" i="21"/>
  <c r="AA1021" i="21" s="1"/>
  <c r="AB1021" i="21"/>
  <c r="AC1021" i="21"/>
  <c r="AD1021" i="21"/>
  <c r="AE1021" i="21"/>
  <c r="AF1021" i="21"/>
  <c r="AG1021" i="21"/>
  <c r="AI1021" i="21"/>
  <c r="AJ1021" i="21"/>
  <c r="W1022" i="21"/>
  <c r="X1022" i="21"/>
  <c r="Y1022" i="21"/>
  <c r="Z1022" i="21"/>
  <c r="AA1022" i="21"/>
  <c r="AB1022" i="21" s="1"/>
  <c r="AC1022" i="21"/>
  <c r="AD1022" i="21"/>
  <c r="AE1022" i="21"/>
  <c r="AF1022" i="21"/>
  <c r="AG1022" i="21" s="1"/>
  <c r="AI1022" i="21"/>
  <c r="AJ1022" i="21"/>
  <c r="W1023" i="21"/>
  <c r="X1023" i="21"/>
  <c r="Y1023" i="21"/>
  <c r="Z1023" i="21"/>
  <c r="AC1023" i="21"/>
  <c r="AD1023" i="21"/>
  <c r="AE1023" i="21"/>
  <c r="AF1023" i="21"/>
  <c r="AG1023" i="21" s="1"/>
  <c r="AK1023" i="21" s="1"/>
  <c r="AI1023" i="21"/>
  <c r="AJ1023" i="21"/>
  <c r="W1024" i="21"/>
  <c r="X1024" i="21"/>
  <c r="Y1024" i="21"/>
  <c r="Z1024" i="21"/>
  <c r="AB1024" i="21" s="1"/>
  <c r="AA1024" i="21"/>
  <c r="AC1024" i="21"/>
  <c r="AD1024" i="21"/>
  <c r="AE1024" i="21"/>
  <c r="AF1024" i="21"/>
  <c r="AG1024" i="21"/>
  <c r="AI1024" i="21"/>
  <c r="AJ1024" i="21"/>
  <c r="W1025" i="21"/>
  <c r="X1025" i="21"/>
  <c r="Y1025" i="21"/>
  <c r="Z1025" i="21"/>
  <c r="AA1025" i="21" s="1"/>
  <c r="AC1025" i="21"/>
  <c r="AD1025" i="21"/>
  <c r="AE1025" i="21"/>
  <c r="AF1025" i="21"/>
  <c r="AG1025" i="21" s="1"/>
  <c r="AH1025" i="21" s="1"/>
  <c r="AI1025" i="21"/>
  <c r="AJ1025" i="21"/>
  <c r="AK1025" i="21"/>
  <c r="W1026" i="21"/>
  <c r="X1026" i="21"/>
  <c r="Y1026" i="21"/>
  <c r="Z1026" i="21"/>
  <c r="AA1026" i="21"/>
  <c r="AB1026" i="21"/>
  <c r="AC1026" i="21"/>
  <c r="AD1026" i="21"/>
  <c r="AE1026" i="21"/>
  <c r="AF1026" i="21"/>
  <c r="AG1026" i="21"/>
  <c r="AK1026" i="21" s="1"/>
  <c r="AI1026" i="21"/>
  <c r="AJ1026" i="21"/>
  <c r="W1027" i="21"/>
  <c r="X1027" i="21"/>
  <c r="Y1027" i="21"/>
  <c r="Z1027" i="21"/>
  <c r="AB1027" i="21" s="1"/>
  <c r="AA1027" i="21"/>
  <c r="AC1027" i="21"/>
  <c r="AD1027" i="21"/>
  <c r="AE1027" i="21"/>
  <c r="AF1027" i="21"/>
  <c r="AG1027" i="21" s="1"/>
  <c r="AI1027" i="21"/>
  <c r="AJ1027" i="21"/>
  <c r="W1028" i="21"/>
  <c r="X1028" i="21"/>
  <c r="Y1028" i="21"/>
  <c r="Z1028" i="21"/>
  <c r="AC1028" i="21"/>
  <c r="AD1028" i="21"/>
  <c r="AE1028" i="21"/>
  <c r="AF1028" i="21"/>
  <c r="AG1028" i="21"/>
  <c r="AH1028" i="21"/>
  <c r="AI1028" i="21"/>
  <c r="AJ1028" i="21"/>
  <c r="AK1028" i="21"/>
  <c r="AL1028" i="21" s="1"/>
  <c r="W1029" i="21"/>
  <c r="X1029" i="21"/>
  <c r="Y1029" i="21"/>
  <c r="Z1029" i="21"/>
  <c r="AA1029" i="21" s="1"/>
  <c r="AB1029" i="21"/>
  <c r="AC1029" i="21"/>
  <c r="AD1029" i="21"/>
  <c r="AE1029" i="21"/>
  <c r="AF1029" i="21"/>
  <c r="AG1029" i="21"/>
  <c r="AI1029" i="21"/>
  <c r="AJ1029" i="21"/>
  <c r="W1030" i="21"/>
  <c r="X1030" i="21"/>
  <c r="Y1030" i="21"/>
  <c r="Z1030" i="21"/>
  <c r="AA1030" i="21"/>
  <c r="AB1030" i="21" s="1"/>
  <c r="AC1030" i="21"/>
  <c r="AD1030" i="21"/>
  <c r="AE1030" i="21"/>
  <c r="AF1030" i="21"/>
  <c r="AG1030" i="21" s="1"/>
  <c r="AI1030" i="21"/>
  <c r="AJ1030" i="21"/>
  <c r="W1031" i="21"/>
  <c r="X1031" i="21"/>
  <c r="Y1031" i="21"/>
  <c r="Z1031" i="21"/>
  <c r="AC1031" i="21"/>
  <c r="AD1031" i="21"/>
  <c r="AE1031" i="21"/>
  <c r="AF1031" i="21"/>
  <c r="AG1031" i="21" s="1"/>
  <c r="AK1031" i="21" s="1"/>
  <c r="AI1031" i="21"/>
  <c r="AJ1031" i="21"/>
  <c r="W1032" i="21"/>
  <c r="X1032" i="21"/>
  <c r="Y1032" i="21"/>
  <c r="Z1032" i="21"/>
  <c r="AB1032" i="21" s="1"/>
  <c r="AA1032" i="21"/>
  <c r="AC1032" i="21"/>
  <c r="AD1032" i="21"/>
  <c r="AE1032" i="21"/>
  <c r="AF1032" i="21"/>
  <c r="AG1032" i="21"/>
  <c r="AI1032" i="21"/>
  <c r="AJ1032" i="21"/>
  <c r="W1033" i="21"/>
  <c r="X1033" i="21"/>
  <c r="Y1033" i="21"/>
  <c r="Z1033" i="21"/>
  <c r="AC1033" i="21"/>
  <c r="AD1033" i="21"/>
  <c r="AE1033" i="21"/>
  <c r="AF1033" i="21"/>
  <c r="AG1033" i="21"/>
  <c r="AH1033" i="21" s="1"/>
  <c r="AI1033" i="21"/>
  <c r="AJ1033" i="21"/>
  <c r="AK1033" i="21"/>
  <c r="W1034" i="21"/>
  <c r="X1034" i="21"/>
  <c r="Y1034" i="21"/>
  <c r="Z1034" i="21"/>
  <c r="AA1034" i="21"/>
  <c r="AB1034" i="21"/>
  <c r="AC1034" i="21"/>
  <c r="AD1034" i="21"/>
  <c r="AE1034" i="21"/>
  <c r="AF1034" i="21"/>
  <c r="AG1034" i="21" s="1"/>
  <c r="AI1034" i="21"/>
  <c r="AJ1034" i="21"/>
  <c r="W1035" i="21"/>
  <c r="X1035" i="21"/>
  <c r="Y1035" i="21"/>
  <c r="Z1035" i="21"/>
  <c r="AB1035" i="21" s="1"/>
  <c r="AA1035" i="21"/>
  <c r="AC1035" i="21"/>
  <c r="AD1035" i="21"/>
  <c r="AE1035" i="21"/>
  <c r="AF1035" i="21"/>
  <c r="AG1035" i="21" s="1"/>
  <c r="AI1035" i="21"/>
  <c r="AJ1035" i="21"/>
  <c r="W1036" i="21"/>
  <c r="X1036" i="21"/>
  <c r="Y1036" i="21"/>
  <c r="Z1036" i="21"/>
  <c r="AC1036" i="21"/>
  <c r="AD1036" i="21"/>
  <c r="AE1036" i="21"/>
  <c r="AF1036" i="21"/>
  <c r="AG1036" i="21"/>
  <c r="AH1036" i="21" s="1"/>
  <c r="AI1036" i="21"/>
  <c r="AJ1036" i="21"/>
  <c r="AK1036" i="21"/>
  <c r="AL1036" i="21" s="1"/>
  <c r="AM1036" i="21" s="1"/>
  <c r="W1037" i="21"/>
  <c r="X1037" i="21"/>
  <c r="Y1037" i="21"/>
  <c r="Z1037" i="21"/>
  <c r="AA1037" i="21" s="1"/>
  <c r="AB1037" i="21" s="1"/>
  <c r="AC1037" i="21"/>
  <c r="AD1037" i="21"/>
  <c r="AE1037" i="21"/>
  <c r="AF1037" i="21"/>
  <c r="AG1037" i="21"/>
  <c r="AH1037" i="21" s="1"/>
  <c r="AI1037" i="21"/>
  <c r="AJ1037" i="21"/>
  <c r="W1038" i="21"/>
  <c r="X1038" i="21"/>
  <c r="Y1038" i="21"/>
  <c r="Z1038" i="21"/>
  <c r="AA1038" i="21"/>
  <c r="AB1038" i="21"/>
  <c r="AC1038" i="21"/>
  <c r="AD1038" i="21"/>
  <c r="AE1038" i="21"/>
  <c r="AF1038" i="21"/>
  <c r="AG1038" i="21" s="1"/>
  <c r="AH1038" i="21" s="1"/>
  <c r="AI1038" i="21"/>
  <c r="AJ1038" i="21"/>
  <c r="W1039" i="21"/>
  <c r="X1039" i="21"/>
  <c r="Y1039" i="21"/>
  <c r="Z1039" i="21"/>
  <c r="AA1039" i="21" s="1"/>
  <c r="AC1039" i="21"/>
  <c r="AD1039" i="21"/>
  <c r="AE1039" i="21"/>
  <c r="AF1039" i="21"/>
  <c r="AG1039" i="21" s="1"/>
  <c r="AK1039" i="21" s="1"/>
  <c r="AL1039" i="21" s="1"/>
  <c r="AI1039" i="21"/>
  <c r="AJ1039" i="21"/>
  <c r="W1040" i="21"/>
  <c r="X1040" i="21"/>
  <c r="Y1040" i="21"/>
  <c r="Z1040" i="21"/>
  <c r="AA1040" i="21"/>
  <c r="AC1040" i="21"/>
  <c r="AD1040" i="21"/>
  <c r="AE1040" i="21"/>
  <c r="AF1040" i="21"/>
  <c r="AG1040" i="21"/>
  <c r="AK1040" i="21" s="1"/>
  <c r="AL1040" i="21" s="1"/>
  <c r="AM1040" i="21" s="1"/>
  <c r="AH1040" i="21"/>
  <c r="AI1040" i="21"/>
  <c r="AJ1040" i="21"/>
  <c r="W1041" i="21"/>
  <c r="X1041" i="21"/>
  <c r="Y1041" i="21"/>
  <c r="Z1041" i="21"/>
  <c r="AA1041" i="21" s="1"/>
  <c r="AC1041" i="21"/>
  <c r="AD1041" i="21"/>
  <c r="AE1041" i="21"/>
  <c r="AF1041" i="21"/>
  <c r="AG1041" i="21"/>
  <c r="AH1041" i="21" s="1"/>
  <c r="AI1041" i="21"/>
  <c r="AJ1041" i="21"/>
  <c r="AK1041" i="21"/>
  <c r="W1042" i="21"/>
  <c r="X1042" i="21"/>
  <c r="Y1042" i="21"/>
  <c r="Z1042" i="21"/>
  <c r="AA1042" i="21"/>
  <c r="AB1042" i="21"/>
  <c r="AC1042" i="21"/>
  <c r="AD1042" i="21"/>
  <c r="AE1042" i="21"/>
  <c r="AF1042" i="21"/>
  <c r="AG1042" i="21" s="1"/>
  <c r="AI1042" i="21"/>
  <c r="AJ1042" i="21"/>
  <c r="W1043" i="21"/>
  <c r="X1043" i="21"/>
  <c r="Y1043" i="21"/>
  <c r="Z1043" i="21"/>
  <c r="AA1043" i="21" s="1"/>
  <c r="AC1043" i="21"/>
  <c r="AD1043" i="21"/>
  <c r="AE1043" i="21"/>
  <c r="AM1043" i="21" s="1"/>
  <c r="AF1043" i="21"/>
  <c r="AG1043" i="21" s="1"/>
  <c r="AK1043" i="21" s="1"/>
  <c r="AH1043" i="21"/>
  <c r="AI1043" i="21"/>
  <c r="AJ1043" i="21"/>
  <c r="AL1043" i="21"/>
  <c r="W1044" i="21"/>
  <c r="X1044" i="21"/>
  <c r="Y1044" i="21"/>
  <c r="Z1044" i="21"/>
  <c r="AC1044" i="21"/>
  <c r="AD1044" i="21"/>
  <c r="AE1044" i="21"/>
  <c r="AF1044" i="21"/>
  <c r="AG1044" i="21"/>
  <c r="AK1044" i="21" s="1"/>
  <c r="AL1044" i="21" s="1"/>
  <c r="AM1044" i="21" s="1"/>
  <c r="AH1044" i="21"/>
  <c r="AI1044" i="21"/>
  <c r="AJ1044" i="21"/>
  <c r="W1045" i="21"/>
  <c r="X1045" i="21"/>
  <c r="Y1045" i="21"/>
  <c r="Z1045" i="21"/>
  <c r="AA1045" i="21" s="1"/>
  <c r="AB1045" i="21"/>
  <c r="AC1045" i="21"/>
  <c r="AD1045" i="21"/>
  <c r="AE1045" i="21"/>
  <c r="AF1045" i="21"/>
  <c r="AG1045" i="21" s="1"/>
  <c r="AI1045" i="21"/>
  <c r="AJ1045" i="21"/>
  <c r="W1046" i="21"/>
  <c r="X1046" i="21"/>
  <c r="Y1046" i="21"/>
  <c r="Z1046" i="21"/>
  <c r="AA1046" i="21"/>
  <c r="AB1046" i="21" s="1"/>
  <c r="AC1046" i="21"/>
  <c r="AD1046" i="21"/>
  <c r="AE1046" i="21"/>
  <c r="AF1046" i="21"/>
  <c r="AG1046" i="21" s="1"/>
  <c r="AH1046" i="21" s="1"/>
  <c r="AI1046" i="21"/>
  <c r="AJ1046" i="21"/>
  <c r="AK1046" i="21"/>
  <c r="W1047" i="21"/>
  <c r="X1047" i="21"/>
  <c r="Y1047" i="21"/>
  <c r="Z1047" i="21"/>
  <c r="AA1047" i="21"/>
  <c r="AB1047" i="21" s="1"/>
  <c r="AC1047" i="21"/>
  <c r="AD1047" i="21"/>
  <c r="AE1047" i="21"/>
  <c r="AF1047" i="21"/>
  <c r="AG1047" i="21" s="1"/>
  <c r="AK1047" i="21" s="1"/>
  <c r="AH1047" i="21"/>
  <c r="AI1047" i="21"/>
  <c r="AJ1047" i="21"/>
  <c r="AL1047" i="21" s="1"/>
  <c r="AM1047" i="21" s="1"/>
  <c r="W1048" i="21"/>
  <c r="X1048" i="21"/>
  <c r="Y1048" i="21"/>
  <c r="Z1048" i="21"/>
  <c r="AA1048" i="21" s="1"/>
  <c r="AC1048" i="21"/>
  <c r="AD1048" i="21"/>
  <c r="AE1048" i="21"/>
  <c r="AF1048" i="21"/>
  <c r="AG1048" i="21"/>
  <c r="AK1048" i="21" s="1"/>
  <c r="AL1048" i="21" s="1"/>
  <c r="AI1048" i="21"/>
  <c r="AJ1048" i="21"/>
  <c r="W1049" i="21"/>
  <c r="X1049" i="21"/>
  <c r="Y1049" i="21"/>
  <c r="Z1049" i="21"/>
  <c r="AA1049" i="21" s="1"/>
  <c r="AB1049" i="21"/>
  <c r="AC1049" i="21"/>
  <c r="AD1049" i="21"/>
  <c r="AE1049" i="21"/>
  <c r="AF1049" i="21"/>
  <c r="AG1049" i="21" s="1"/>
  <c r="AI1049" i="21"/>
  <c r="AJ1049" i="21"/>
  <c r="W1050" i="21"/>
  <c r="X1050" i="21"/>
  <c r="Y1050" i="21"/>
  <c r="Z1050" i="21"/>
  <c r="AA1050" i="21"/>
  <c r="AB1050" i="21" s="1"/>
  <c r="AC1050" i="21"/>
  <c r="AD1050" i="21"/>
  <c r="AE1050" i="21"/>
  <c r="AF1050" i="21"/>
  <c r="AG1050" i="21"/>
  <c r="AI1050" i="21"/>
  <c r="AJ1050" i="21"/>
  <c r="W1051" i="21"/>
  <c r="X1051" i="21"/>
  <c r="Y1051" i="21"/>
  <c r="Z1051" i="21"/>
  <c r="AA1051" i="21"/>
  <c r="AC1051" i="21"/>
  <c r="AD1051" i="21"/>
  <c r="AE1051" i="21"/>
  <c r="AF1051" i="21"/>
  <c r="AG1051" i="21" s="1"/>
  <c r="AK1051" i="21" s="1"/>
  <c r="AI1051" i="21"/>
  <c r="AJ1051" i="21"/>
  <c r="AL1051" i="21"/>
  <c r="W1052" i="21"/>
  <c r="X1052" i="21"/>
  <c r="Y1052" i="21"/>
  <c r="Z1052" i="21"/>
  <c r="AC1052" i="21"/>
  <c r="AD1052" i="21"/>
  <c r="AE1052" i="21"/>
  <c r="AF1052" i="21"/>
  <c r="AG1052" i="21"/>
  <c r="AK1052" i="21" s="1"/>
  <c r="AL1052" i="21" s="1"/>
  <c r="AI1052" i="21"/>
  <c r="AJ1052" i="21"/>
  <c r="W1053" i="21"/>
  <c r="X1053" i="21"/>
  <c r="Y1053" i="21"/>
  <c r="Z1053" i="21"/>
  <c r="AA1053" i="21" s="1"/>
  <c r="AB1053" i="21" s="1"/>
  <c r="AC1053" i="21"/>
  <c r="AD1053" i="21"/>
  <c r="AE1053" i="21"/>
  <c r="AF1053" i="21"/>
  <c r="AG1053" i="21"/>
  <c r="AK1053" i="21" s="1"/>
  <c r="AL1053" i="21" s="1"/>
  <c r="AI1053" i="21"/>
  <c r="AJ1053" i="21"/>
  <c r="W1054" i="21"/>
  <c r="X1054" i="21"/>
  <c r="Y1054" i="21"/>
  <c r="Z1054" i="21"/>
  <c r="AA1054" i="21"/>
  <c r="AB1054" i="21" s="1"/>
  <c r="AC1054" i="21"/>
  <c r="AD1054" i="21"/>
  <c r="AE1054" i="21"/>
  <c r="AF1054" i="21"/>
  <c r="AG1054" i="21"/>
  <c r="AH1054" i="21" s="1"/>
  <c r="AI1054" i="21"/>
  <c r="AJ1054" i="21"/>
  <c r="W1055" i="21"/>
  <c r="X1055" i="21"/>
  <c r="Y1055" i="21"/>
  <c r="Z1055" i="21"/>
  <c r="AA1055" i="21" s="1"/>
  <c r="AC1055" i="21"/>
  <c r="AD1055" i="21"/>
  <c r="AE1055" i="21"/>
  <c r="AF1055" i="21"/>
  <c r="AG1055" i="21" s="1"/>
  <c r="AK1055" i="21" s="1"/>
  <c r="AL1055" i="21" s="1"/>
  <c r="AI1055" i="21"/>
  <c r="AJ1055" i="21"/>
  <c r="W1056" i="21"/>
  <c r="X1056" i="21"/>
  <c r="Y1056" i="21"/>
  <c r="Z1056" i="21"/>
  <c r="AA1056" i="21"/>
  <c r="AC1056" i="21"/>
  <c r="AD1056" i="21"/>
  <c r="AE1056" i="21"/>
  <c r="AF1056" i="21"/>
  <c r="AG1056" i="21"/>
  <c r="AK1056" i="21" s="1"/>
  <c r="AL1056" i="21" s="1"/>
  <c r="AM1056" i="21" s="1"/>
  <c r="AH1056" i="21"/>
  <c r="AI1056" i="21"/>
  <c r="AJ1056" i="21"/>
  <c r="W1057" i="21"/>
  <c r="X1057" i="21"/>
  <c r="Y1057" i="21"/>
  <c r="Z1057" i="21"/>
  <c r="AA1057" i="21" s="1"/>
  <c r="AB1057" i="21"/>
  <c r="AC1057" i="21"/>
  <c r="AD1057" i="21"/>
  <c r="AE1057" i="21"/>
  <c r="AF1057" i="21"/>
  <c r="AG1057" i="21" s="1"/>
  <c r="AI1057" i="21"/>
  <c r="AJ1057" i="21"/>
  <c r="W1058" i="21"/>
  <c r="X1058" i="21"/>
  <c r="Y1058" i="21"/>
  <c r="Z1058" i="21"/>
  <c r="AA1058" i="21"/>
  <c r="AB1058" i="21"/>
  <c r="AC1058" i="21"/>
  <c r="AD1058" i="21"/>
  <c r="AE1058" i="21"/>
  <c r="AF1058" i="21"/>
  <c r="AG1058" i="21" s="1"/>
  <c r="AI1058" i="21"/>
  <c r="AJ1058" i="21"/>
  <c r="W1059" i="21"/>
  <c r="X1059" i="21"/>
  <c r="Y1059" i="21"/>
  <c r="Z1059" i="21"/>
  <c r="AB1059" i="21" s="1"/>
  <c r="AA1059" i="21"/>
  <c r="AC1059" i="21"/>
  <c r="AD1059" i="21"/>
  <c r="AE1059" i="21"/>
  <c r="AF1059" i="21"/>
  <c r="AG1059" i="21" s="1"/>
  <c r="AK1059" i="21" s="1"/>
  <c r="AH1059" i="21"/>
  <c r="AI1059" i="21"/>
  <c r="AJ1059" i="21"/>
  <c r="AL1059" i="21" s="1"/>
  <c r="AM1059" i="21" s="1"/>
  <c r="W1060" i="21"/>
  <c r="X1060" i="21"/>
  <c r="Y1060" i="21"/>
  <c r="Z1060" i="21"/>
  <c r="AA1060" i="21" s="1"/>
  <c r="AC1060" i="21"/>
  <c r="AD1060" i="21"/>
  <c r="AE1060" i="21"/>
  <c r="AF1060" i="21"/>
  <c r="AG1060" i="21"/>
  <c r="AH1060" i="21" s="1"/>
  <c r="AI1060" i="21"/>
  <c r="AJ1060" i="21"/>
  <c r="AK1060" i="21"/>
  <c r="AL1060" i="21" s="1"/>
  <c r="W1061" i="21"/>
  <c r="X1061" i="21"/>
  <c r="Y1061" i="21"/>
  <c r="Z1061" i="21"/>
  <c r="AA1061" i="21" s="1"/>
  <c r="AC1061" i="21"/>
  <c r="AD1061" i="21"/>
  <c r="AE1061" i="21"/>
  <c r="AF1061" i="21"/>
  <c r="AG1061" i="21"/>
  <c r="AH1061" i="21" s="1"/>
  <c r="AI1061" i="21"/>
  <c r="AJ1061" i="21"/>
  <c r="AL1061" i="21" s="1"/>
  <c r="AK1061" i="21"/>
  <c r="W1062" i="21"/>
  <c r="X1062" i="21"/>
  <c r="Y1062" i="21"/>
  <c r="Z1062" i="21"/>
  <c r="AA1062" i="21"/>
  <c r="AB1062" i="21" s="1"/>
  <c r="AC1062" i="21"/>
  <c r="AD1062" i="21"/>
  <c r="AE1062" i="21"/>
  <c r="AF1062" i="21"/>
  <c r="AG1062" i="21"/>
  <c r="AH1062" i="21" s="1"/>
  <c r="AI1062" i="21"/>
  <c r="AJ1062" i="21"/>
  <c r="W1063" i="21"/>
  <c r="X1063" i="21"/>
  <c r="Y1063" i="21"/>
  <c r="Z1063" i="21"/>
  <c r="AA1063" i="21" s="1"/>
  <c r="AB1063" i="21" s="1"/>
  <c r="AC1063" i="21"/>
  <c r="AD1063" i="21"/>
  <c r="AE1063" i="21"/>
  <c r="AF1063" i="21"/>
  <c r="AG1063" i="21" s="1"/>
  <c r="AK1063" i="21" s="1"/>
  <c r="AI1063" i="21"/>
  <c r="AJ1063" i="21"/>
  <c r="AL1063" i="21"/>
  <c r="W1064" i="21"/>
  <c r="X1064" i="21"/>
  <c r="Y1064" i="21"/>
  <c r="Z1064" i="21"/>
  <c r="AA1064" i="21"/>
  <c r="AC1064" i="21"/>
  <c r="AD1064" i="21"/>
  <c r="AE1064" i="21"/>
  <c r="AF1064" i="21"/>
  <c r="AG1064" i="21" s="1"/>
  <c r="AI1064" i="21"/>
  <c r="AJ1064" i="21"/>
  <c r="W1065" i="21"/>
  <c r="X1065" i="21"/>
  <c r="Y1065" i="21"/>
  <c r="Z1065" i="21"/>
  <c r="AA1065" i="21"/>
  <c r="AB1065" i="21" s="1"/>
  <c r="AC1065" i="21"/>
  <c r="AD1065" i="21"/>
  <c r="AE1065" i="21"/>
  <c r="AF1065" i="21"/>
  <c r="AG1065" i="21"/>
  <c r="AK1065" i="21" s="1"/>
  <c r="AL1065" i="21" s="1"/>
  <c r="AI1065" i="21"/>
  <c r="AJ1065" i="21"/>
  <c r="W1066" i="21"/>
  <c r="X1066" i="21"/>
  <c r="Y1066" i="21"/>
  <c r="Z1066" i="21"/>
  <c r="AA1066" i="21" s="1"/>
  <c r="AB1066" i="21" s="1"/>
  <c r="AC1066" i="21"/>
  <c r="AD1066" i="21"/>
  <c r="AE1066" i="21"/>
  <c r="AF1066" i="21"/>
  <c r="AG1066" i="21" s="1"/>
  <c r="AI1066" i="21"/>
  <c r="AJ1066" i="21"/>
  <c r="W1067" i="21"/>
  <c r="X1067" i="21"/>
  <c r="Y1067" i="21"/>
  <c r="Z1067" i="21"/>
  <c r="AA1067" i="21"/>
  <c r="AB1067" i="21" s="1"/>
  <c r="AC1067" i="21"/>
  <c r="AD1067" i="21"/>
  <c r="AE1067" i="21"/>
  <c r="AF1067" i="21"/>
  <c r="AG1067" i="21"/>
  <c r="AH1067" i="21" s="1"/>
  <c r="AI1067" i="21"/>
  <c r="AJ1067" i="21"/>
  <c r="AL1067" i="21" s="1"/>
  <c r="AK1067" i="21"/>
  <c r="W1068" i="21"/>
  <c r="X1068" i="21"/>
  <c r="Y1068" i="21"/>
  <c r="Z1068" i="21"/>
  <c r="AA1068" i="21" s="1"/>
  <c r="AB1068" i="21" s="1"/>
  <c r="AC1068" i="21"/>
  <c r="AD1068" i="21"/>
  <c r="AE1068" i="21"/>
  <c r="AF1068" i="21"/>
  <c r="AG1068" i="21" s="1"/>
  <c r="AI1068" i="21"/>
  <c r="AJ1068" i="21"/>
  <c r="W1069" i="21"/>
  <c r="X1069" i="21"/>
  <c r="Y1069" i="21"/>
  <c r="Z1069" i="21"/>
  <c r="AB1069" i="21" s="1"/>
  <c r="AA1069" i="21"/>
  <c r="AC1069" i="21"/>
  <c r="AD1069" i="21"/>
  <c r="AE1069" i="21"/>
  <c r="AF1069" i="21"/>
  <c r="AG1069" i="21"/>
  <c r="AH1069" i="21" s="1"/>
  <c r="AI1069" i="21"/>
  <c r="AJ1069" i="21"/>
  <c r="W1070" i="21"/>
  <c r="X1070" i="21"/>
  <c r="Y1070" i="21"/>
  <c r="Z1070" i="21"/>
  <c r="AA1070" i="21" s="1"/>
  <c r="AC1070" i="21"/>
  <c r="AD1070" i="21"/>
  <c r="AE1070" i="21"/>
  <c r="AF1070" i="21"/>
  <c r="AG1070" i="21" s="1"/>
  <c r="AI1070" i="21"/>
  <c r="AJ1070" i="21"/>
  <c r="W1071" i="21"/>
  <c r="X1071" i="21"/>
  <c r="Y1071" i="21"/>
  <c r="Z1071" i="21"/>
  <c r="AA1071" i="21"/>
  <c r="AB1071" i="21" s="1"/>
  <c r="AC1071" i="21"/>
  <c r="AD1071" i="21"/>
  <c r="AE1071" i="21"/>
  <c r="AF1071" i="21"/>
  <c r="AG1071" i="21"/>
  <c r="AH1071" i="21" s="1"/>
  <c r="AI1071" i="21"/>
  <c r="AJ1071" i="21"/>
  <c r="W1072" i="21"/>
  <c r="X1072" i="21"/>
  <c r="Y1072" i="21"/>
  <c r="Z1072" i="21"/>
  <c r="AA1072" i="21" s="1"/>
  <c r="AC1072" i="21"/>
  <c r="AD1072" i="21"/>
  <c r="AE1072" i="21"/>
  <c r="AF1072" i="21"/>
  <c r="AG1072" i="21" s="1"/>
  <c r="AI1072" i="21"/>
  <c r="AJ1072" i="21"/>
  <c r="W1073" i="21"/>
  <c r="X1073" i="21"/>
  <c r="Y1073" i="21"/>
  <c r="Z1073" i="21"/>
  <c r="AB1073" i="21" s="1"/>
  <c r="AA1073" i="21"/>
  <c r="AC1073" i="21"/>
  <c r="AD1073" i="21"/>
  <c r="AE1073" i="21"/>
  <c r="AF1073" i="21"/>
  <c r="AG1073" i="21"/>
  <c r="AK1073" i="21" s="1"/>
  <c r="AL1073" i="21" s="1"/>
  <c r="AI1073" i="21"/>
  <c r="AJ1073" i="21"/>
  <c r="W1074" i="21"/>
  <c r="X1074" i="21"/>
  <c r="Y1074" i="21"/>
  <c r="Z1074" i="21"/>
  <c r="AA1074" i="21" s="1"/>
  <c r="AB1074" i="21" s="1"/>
  <c r="AC1074" i="21"/>
  <c r="AD1074" i="21"/>
  <c r="AE1074" i="21"/>
  <c r="AF1074" i="21"/>
  <c r="AG1074" i="21" s="1"/>
  <c r="AI1074" i="21"/>
  <c r="AJ1074" i="21"/>
  <c r="W1075" i="21"/>
  <c r="X1075" i="21"/>
  <c r="Y1075" i="21"/>
  <c r="Z1075" i="21"/>
  <c r="AA1075" i="21"/>
  <c r="AB1075" i="21" s="1"/>
  <c r="AC1075" i="21"/>
  <c r="AD1075" i="21"/>
  <c r="AE1075" i="21"/>
  <c r="AF1075" i="21"/>
  <c r="AG1075" i="21"/>
  <c r="AH1075" i="21" s="1"/>
  <c r="AI1075" i="21"/>
  <c r="AJ1075" i="21"/>
  <c r="AL1075" i="21" s="1"/>
  <c r="AM1075" i="21" s="1"/>
  <c r="AK1075" i="21"/>
  <c r="W1076" i="21"/>
  <c r="X1076" i="21"/>
  <c r="Y1076" i="21"/>
  <c r="Z1076" i="21"/>
  <c r="AA1076" i="21" s="1"/>
  <c r="AB1076" i="21" s="1"/>
  <c r="AC1076" i="21"/>
  <c r="AD1076" i="21"/>
  <c r="AE1076" i="21"/>
  <c r="AF1076" i="21"/>
  <c r="AG1076" i="21" s="1"/>
  <c r="AI1076" i="21"/>
  <c r="AJ1076" i="21"/>
  <c r="W1077" i="21"/>
  <c r="X1077" i="21"/>
  <c r="Y1077" i="21"/>
  <c r="Z1077" i="21"/>
  <c r="AB1077" i="21" s="1"/>
  <c r="AA1077" i="21"/>
  <c r="AC1077" i="21"/>
  <c r="AD1077" i="21"/>
  <c r="AE1077" i="21"/>
  <c r="AF1077" i="21"/>
  <c r="AG1077" i="21"/>
  <c r="AH1077" i="21" s="1"/>
  <c r="AI1077" i="21"/>
  <c r="AJ1077" i="21"/>
  <c r="W1078" i="21"/>
  <c r="X1078" i="21"/>
  <c r="Y1078" i="21"/>
  <c r="Z1078" i="21"/>
  <c r="AA1078" i="21" s="1"/>
  <c r="AC1078" i="21"/>
  <c r="AD1078" i="21"/>
  <c r="AE1078" i="21"/>
  <c r="AF1078" i="21"/>
  <c r="AG1078" i="21" s="1"/>
  <c r="AI1078" i="21"/>
  <c r="AJ1078" i="21"/>
  <c r="W1079" i="21"/>
  <c r="X1079" i="21"/>
  <c r="Y1079" i="21"/>
  <c r="Z1079" i="21"/>
  <c r="AA1079" i="21"/>
  <c r="AB1079" i="21" s="1"/>
  <c r="AC1079" i="21"/>
  <c r="AD1079" i="21"/>
  <c r="AE1079" i="21"/>
  <c r="AF1079" i="21"/>
  <c r="AG1079" i="21"/>
  <c r="AH1079" i="21" s="1"/>
  <c r="AI1079" i="21"/>
  <c r="AJ1079" i="21"/>
  <c r="W1080" i="21"/>
  <c r="X1080" i="21"/>
  <c r="Y1080" i="21"/>
  <c r="Z1080" i="21"/>
  <c r="AA1080" i="21" s="1"/>
  <c r="AC1080" i="21"/>
  <c r="AD1080" i="21"/>
  <c r="AE1080" i="21"/>
  <c r="AF1080" i="21"/>
  <c r="AG1080" i="21" s="1"/>
  <c r="AI1080" i="21"/>
  <c r="AJ1080" i="21"/>
  <c r="W1081" i="21"/>
  <c r="X1081" i="21"/>
  <c r="Y1081" i="21"/>
  <c r="Z1081" i="21"/>
  <c r="AA1081" i="21"/>
  <c r="AB1081" i="21" s="1"/>
  <c r="AC1081" i="21"/>
  <c r="AD1081" i="21"/>
  <c r="AE1081" i="21"/>
  <c r="AF1081" i="21"/>
  <c r="AG1081" i="21"/>
  <c r="AK1081" i="21" s="1"/>
  <c r="AL1081" i="21" s="1"/>
  <c r="AI1081" i="21"/>
  <c r="AJ1081" i="21"/>
  <c r="W1082" i="21"/>
  <c r="X1082" i="21"/>
  <c r="Y1082" i="21"/>
  <c r="Z1082" i="21"/>
  <c r="AA1082" i="21" s="1"/>
  <c r="AB1082" i="21" s="1"/>
  <c r="AC1082" i="21"/>
  <c r="AD1082" i="21"/>
  <c r="AE1082" i="21"/>
  <c r="AF1082" i="21"/>
  <c r="AG1082" i="21" s="1"/>
  <c r="AI1082" i="21"/>
  <c r="AJ1082" i="21"/>
  <c r="W1083" i="21"/>
  <c r="X1083" i="21"/>
  <c r="Y1083" i="21"/>
  <c r="Z1083" i="21"/>
  <c r="AA1083" i="21"/>
  <c r="AB1083" i="21" s="1"/>
  <c r="AC1083" i="21"/>
  <c r="AD1083" i="21"/>
  <c r="AE1083" i="21"/>
  <c r="AF1083" i="21"/>
  <c r="AG1083" i="21"/>
  <c r="AH1083" i="21" s="1"/>
  <c r="AI1083" i="21"/>
  <c r="AJ1083" i="21"/>
  <c r="AL1083" i="21" s="1"/>
  <c r="AK1083" i="21"/>
  <c r="W1084" i="21"/>
  <c r="X1084" i="21"/>
  <c r="Y1084" i="21"/>
  <c r="Z1084" i="21"/>
  <c r="AA1084" i="21" s="1"/>
  <c r="AB1084" i="21" s="1"/>
  <c r="AC1084" i="21"/>
  <c r="AD1084" i="21"/>
  <c r="AE1084" i="21"/>
  <c r="AF1084" i="21"/>
  <c r="AG1084" i="21" s="1"/>
  <c r="AI1084" i="21"/>
  <c r="AJ1084" i="21"/>
  <c r="W1085" i="21"/>
  <c r="X1085" i="21"/>
  <c r="Y1085" i="21"/>
  <c r="Z1085" i="21"/>
  <c r="AB1085" i="21" s="1"/>
  <c r="AA1085" i="21"/>
  <c r="AC1085" i="21"/>
  <c r="AD1085" i="21"/>
  <c r="AE1085" i="21"/>
  <c r="AF1085" i="21"/>
  <c r="AG1085" i="21"/>
  <c r="AH1085" i="21" s="1"/>
  <c r="AI1085" i="21"/>
  <c r="AJ1085" i="21"/>
  <c r="W1086" i="21"/>
  <c r="X1086" i="21"/>
  <c r="Y1086" i="21"/>
  <c r="Z1086" i="21"/>
  <c r="AA1086" i="21" s="1"/>
  <c r="AC1086" i="21"/>
  <c r="AD1086" i="21"/>
  <c r="AE1086" i="21"/>
  <c r="AF1086" i="21"/>
  <c r="AG1086" i="21" s="1"/>
  <c r="AI1086" i="21"/>
  <c r="AJ1086" i="21"/>
  <c r="W1087" i="21"/>
  <c r="X1087" i="21"/>
  <c r="Y1087" i="21"/>
  <c r="Z1087" i="21"/>
  <c r="AA1087" i="21"/>
  <c r="AB1087" i="21" s="1"/>
  <c r="AC1087" i="21"/>
  <c r="AD1087" i="21"/>
  <c r="AE1087" i="21"/>
  <c r="AF1087" i="21"/>
  <c r="AG1087" i="21"/>
  <c r="AH1087" i="21" s="1"/>
  <c r="AI1087" i="21"/>
  <c r="AJ1087" i="21"/>
  <c r="W1088" i="21"/>
  <c r="X1088" i="21"/>
  <c r="Y1088" i="21"/>
  <c r="Z1088" i="21"/>
  <c r="AA1088" i="21" s="1"/>
  <c r="AC1088" i="21"/>
  <c r="AD1088" i="21"/>
  <c r="AE1088" i="21"/>
  <c r="AF1088" i="21"/>
  <c r="AG1088" i="21" s="1"/>
  <c r="AI1088" i="21"/>
  <c r="AJ1088" i="21"/>
  <c r="W1089" i="21"/>
  <c r="X1089" i="21"/>
  <c r="Y1089" i="21"/>
  <c r="Z1089" i="21"/>
  <c r="AA1089" i="21"/>
  <c r="AB1089" i="21" s="1"/>
  <c r="AC1089" i="21"/>
  <c r="AD1089" i="21"/>
  <c r="AE1089" i="21"/>
  <c r="AF1089" i="21"/>
  <c r="AG1089" i="21"/>
  <c r="AK1089" i="21" s="1"/>
  <c r="AL1089" i="21" s="1"/>
  <c r="AI1089" i="21"/>
  <c r="AJ1089" i="21"/>
  <c r="W1090" i="21"/>
  <c r="X1090" i="21"/>
  <c r="Y1090" i="21"/>
  <c r="Z1090" i="21"/>
  <c r="AA1090" i="21" s="1"/>
  <c r="AB1090" i="21" s="1"/>
  <c r="AC1090" i="21"/>
  <c r="AD1090" i="21"/>
  <c r="AE1090" i="21"/>
  <c r="AF1090" i="21"/>
  <c r="AG1090" i="21" s="1"/>
  <c r="AI1090" i="21"/>
  <c r="AJ1090" i="21"/>
  <c r="W1091" i="21"/>
  <c r="X1091" i="21"/>
  <c r="Y1091" i="21"/>
  <c r="Z1091" i="21"/>
  <c r="AA1091" i="21"/>
  <c r="AB1091" i="21" s="1"/>
  <c r="AC1091" i="21"/>
  <c r="AD1091" i="21"/>
  <c r="AE1091" i="21"/>
  <c r="AF1091" i="21"/>
  <c r="AG1091" i="21"/>
  <c r="AH1091" i="21" s="1"/>
  <c r="AI1091" i="21"/>
  <c r="AJ1091" i="21"/>
  <c r="AL1091" i="21" s="1"/>
  <c r="AK1091" i="21"/>
  <c r="W1092" i="21"/>
  <c r="X1092" i="21"/>
  <c r="Y1092" i="21"/>
  <c r="Z1092" i="21"/>
  <c r="AA1092" i="21" s="1"/>
  <c r="AB1092" i="21" s="1"/>
  <c r="AC1092" i="21"/>
  <c r="AD1092" i="21"/>
  <c r="AE1092" i="21"/>
  <c r="AF1092" i="21"/>
  <c r="AG1092" i="21" s="1"/>
  <c r="AI1092" i="21"/>
  <c r="AJ1092" i="21"/>
  <c r="W1093" i="21"/>
  <c r="X1093" i="21"/>
  <c r="Y1093" i="21"/>
  <c r="Z1093" i="21"/>
  <c r="AB1093" i="21" s="1"/>
  <c r="AA1093" i="21"/>
  <c r="AC1093" i="21"/>
  <c r="AD1093" i="21"/>
  <c r="AE1093" i="21"/>
  <c r="AF1093" i="21"/>
  <c r="AG1093" i="21"/>
  <c r="AH1093" i="21" s="1"/>
  <c r="AI1093" i="21"/>
  <c r="AJ1093" i="21"/>
  <c r="W1094" i="21"/>
  <c r="X1094" i="21"/>
  <c r="Y1094" i="21"/>
  <c r="Z1094" i="21"/>
  <c r="AA1094" i="21" s="1"/>
  <c r="AC1094" i="21"/>
  <c r="AD1094" i="21"/>
  <c r="AE1094" i="21"/>
  <c r="AF1094" i="21"/>
  <c r="AG1094" i="21" s="1"/>
  <c r="AI1094" i="21"/>
  <c r="AJ1094" i="21"/>
  <c r="W1095" i="21"/>
  <c r="X1095" i="21"/>
  <c r="Y1095" i="21"/>
  <c r="Z1095" i="21"/>
  <c r="AA1095" i="21"/>
  <c r="AB1095" i="21" s="1"/>
  <c r="AC1095" i="21"/>
  <c r="AD1095" i="21"/>
  <c r="AE1095" i="21"/>
  <c r="AF1095" i="21"/>
  <c r="AG1095" i="21"/>
  <c r="AH1095" i="21" s="1"/>
  <c r="AI1095" i="21"/>
  <c r="AJ1095" i="21"/>
  <c r="W1096" i="21"/>
  <c r="X1096" i="21"/>
  <c r="Y1096" i="21"/>
  <c r="Z1096" i="21"/>
  <c r="AA1096" i="21" s="1"/>
  <c r="AC1096" i="21"/>
  <c r="AD1096" i="21"/>
  <c r="AE1096" i="21"/>
  <c r="AF1096" i="21"/>
  <c r="AG1096" i="21" s="1"/>
  <c r="AI1096" i="21"/>
  <c r="AJ1096" i="21"/>
  <c r="W1097" i="21"/>
  <c r="X1097" i="21"/>
  <c r="Y1097" i="21"/>
  <c r="Z1097" i="21"/>
  <c r="AA1097" i="21"/>
  <c r="AB1097" i="21" s="1"/>
  <c r="AC1097" i="21"/>
  <c r="AD1097" i="21"/>
  <c r="AE1097" i="21"/>
  <c r="AF1097" i="21"/>
  <c r="AG1097" i="21"/>
  <c r="AK1097" i="21" s="1"/>
  <c r="AL1097" i="21" s="1"/>
  <c r="AI1097" i="21"/>
  <c r="AJ1097" i="21"/>
  <c r="W1098" i="21"/>
  <c r="X1098" i="21"/>
  <c r="Y1098" i="21"/>
  <c r="Z1098" i="21"/>
  <c r="AA1098" i="21" s="1"/>
  <c r="AB1098" i="21" s="1"/>
  <c r="AC1098" i="21"/>
  <c r="AD1098" i="21"/>
  <c r="AE1098" i="21"/>
  <c r="AF1098" i="21"/>
  <c r="AG1098" i="21" s="1"/>
  <c r="AI1098" i="21"/>
  <c r="AJ1098" i="21"/>
  <c r="W1099" i="21"/>
  <c r="X1099" i="21"/>
  <c r="Y1099" i="21"/>
  <c r="Z1099" i="21"/>
  <c r="AA1099" i="21"/>
  <c r="AB1099" i="21" s="1"/>
  <c r="AC1099" i="21"/>
  <c r="AD1099" i="21"/>
  <c r="AE1099" i="21"/>
  <c r="AF1099" i="21"/>
  <c r="AG1099" i="21"/>
  <c r="AH1099" i="21" s="1"/>
  <c r="AI1099" i="21"/>
  <c r="AJ1099" i="21"/>
  <c r="AL1099" i="21" s="1"/>
  <c r="AM1099" i="21" s="1"/>
  <c r="AK1099" i="21"/>
  <c r="W1100" i="21"/>
  <c r="X1100" i="21"/>
  <c r="Y1100" i="21"/>
  <c r="Z1100" i="21"/>
  <c r="AA1100" i="21" s="1"/>
  <c r="AB1100" i="21" s="1"/>
  <c r="AC1100" i="21"/>
  <c r="AD1100" i="21"/>
  <c r="AE1100" i="21"/>
  <c r="AF1100" i="21"/>
  <c r="AG1100" i="21" s="1"/>
  <c r="AI1100" i="21"/>
  <c r="AJ1100" i="21"/>
  <c r="W1101" i="21"/>
  <c r="X1101" i="21"/>
  <c r="Y1101" i="21"/>
  <c r="Z1101" i="21"/>
  <c r="AB1101" i="21" s="1"/>
  <c r="AA1101" i="21"/>
  <c r="AC1101" i="21"/>
  <c r="AD1101" i="21"/>
  <c r="AE1101" i="21"/>
  <c r="AF1101" i="21"/>
  <c r="AG1101" i="21"/>
  <c r="AH1101" i="21" s="1"/>
  <c r="AI1101" i="21"/>
  <c r="AJ1101" i="21"/>
  <c r="W1102" i="21"/>
  <c r="X1102" i="21"/>
  <c r="Y1102" i="21"/>
  <c r="Z1102" i="21"/>
  <c r="AA1102" i="21" s="1"/>
  <c r="AC1102" i="21"/>
  <c r="AD1102" i="21"/>
  <c r="AE1102" i="21"/>
  <c r="AF1102" i="21"/>
  <c r="AG1102" i="21" s="1"/>
  <c r="AI1102" i="21"/>
  <c r="AJ1102" i="21"/>
  <c r="W1103" i="21"/>
  <c r="X1103" i="21"/>
  <c r="Y1103" i="21"/>
  <c r="Z1103" i="21"/>
  <c r="AA1103" i="21"/>
  <c r="AB1103" i="21" s="1"/>
  <c r="AC1103" i="21"/>
  <c r="AD1103" i="21"/>
  <c r="AE1103" i="21"/>
  <c r="AF1103" i="21"/>
  <c r="AG1103" i="21"/>
  <c r="AH1103" i="21" s="1"/>
  <c r="AI1103" i="21"/>
  <c r="AJ1103" i="21"/>
  <c r="W1104" i="21"/>
  <c r="X1104" i="21"/>
  <c r="Y1104" i="21"/>
  <c r="Z1104" i="21"/>
  <c r="AA1104" i="21" s="1"/>
  <c r="AC1104" i="21"/>
  <c r="AD1104" i="21"/>
  <c r="AE1104" i="21"/>
  <c r="AF1104" i="21"/>
  <c r="AG1104" i="21" s="1"/>
  <c r="AI1104" i="21"/>
  <c r="AJ1104" i="21"/>
  <c r="W1105" i="21"/>
  <c r="X1105" i="21"/>
  <c r="Y1105" i="21"/>
  <c r="Z1105" i="21"/>
  <c r="AA1105" i="21"/>
  <c r="AB1105" i="21" s="1"/>
  <c r="AC1105" i="21"/>
  <c r="AD1105" i="21"/>
  <c r="AE1105" i="21"/>
  <c r="AF1105" i="21"/>
  <c r="AG1105" i="21"/>
  <c r="AK1105" i="21" s="1"/>
  <c r="AL1105" i="21" s="1"/>
  <c r="AI1105" i="21"/>
  <c r="AJ1105" i="21"/>
  <c r="W1106" i="21"/>
  <c r="X1106" i="21"/>
  <c r="Y1106" i="21"/>
  <c r="Z1106" i="21"/>
  <c r="AA1106" i="21" s="1"/>
  <c r="AB1106" i="21" s="1"/>
  <c r="AC1106" i="21"/>
  <c r="AD1106" i="21"/>
  <c r="AE1106" i="21"/>
  <c r="AF1106" i="21"/>
  <c r="AG1106" i="21" s="1"/>
  <c r="AI1106" i="21"/>
  <c r="AJ1106" i="21"/>
  <c r="W1107" i="21"/>
  <c r="X1107" i="21"/>
  <c r="Y1107" i="21"/>
  <c r="Z1107" i="21"/>
  <c r="AA1107" i="21"/>
  <c r="AB1107" i="21" s="1"/>
  <c r="AC1107" i="21"/>
  <c r="AD1107" i="21"/>
  <c r="AE1107" i="21"/>
  <c r="AF1107" i="21"/>
  <c r="AG1107" i="21"/>
  <c r="AH1107" i="21" s="1"/>
  <c r="AI1107" i="21"/>
  <c r="AJ1107" i="21"/>
  <c r="AL1107" i="21" s="1"/>
  <c r="AM1107" i="21" s="1"/>
  <c r="AK1107" i="21"/>
  <c r="W1108" i="21"/>
  <c r="X1108" i="21"/>
  <c r="Y1108" i="21"/>
  <c r="Z1108" i="21"/>
  <c r="AA1108" i="21" s="1"/>
  <c r="AB1108" i="21" s="1"/>
  <c r="AC1108" i="21"/>
  <c r="AD1108" i="21"/>
  <c r="AE1108" i="21"/>
  <c r="AF1108" i="21"/>
  <c r="AG1108" i="21" s="1"/>
  <c r="AI1108" i="21"/>
  <c r="AJ1108" i="21"/>
  <c r="W1109" i="21"/>
  <c r="X1109" i="21"/>
  <c r="Y1109" i="21"/>
  <c r="Z1109" i="21"/>
  <c r="AB1109" i="21" s="1"/>
  <c r="AA1109" i="21"/>
  <c r="AC1109" i="21"/>
  <c r="AD1109" i="21"/>
  <c r="AE1109" i="21"/>
  <c r="AF1109" i="21"/>
  <c r="AG1109" i="21"/>
  <c r="AH1109" i="21" s="1"/>
  <c r="AI1109" i="21"/>
  <c r="AJ1109" i="21"/>
  <c r="W1110" i="21"/>
  <c r="X1110" i="21"/>
  <c r="Y1110" i="21"/>
  <c r="Z1110" i="21"/>
  <c r="AA1110" i="21" s="1"/>
  <c r="AC1110" i="21"/>
  <c r="AD1110" i="21"/>
  <c r="AE1110" i="21"/>
  <c r="AF1110" i="21"/>
  <c r="AG1110" i="21" s="1"/>
  <c r="AI1110" i="21"/>
  <c r="AJ1110" i="21"/>
  <c r="W1111" i="21"/>
  <c r="X1111" i="21"/>
  <c r="Y1111" i="21"/>
  <c r="Z1111" i="21"/>
  <c r="AA1111" i="21"/>
  <c r="AB1111" i="21" s="1"/>
  <c r="AC1111" i="21"/>
  <c r="AD1111" i="21"/>
  <c r="AE1111" i="21"/>
  <c r="AF1111" i="21"/>
  <c r="AG1111" i="21"/>
  <c r="AH1111" i="21" s="1"/>
  <c r="AI1111" i="21"/>
  <c r="AJ1111" i="21"/>
  <c r="W1112" i="21"/>
  <c r="X1112" i="21"/>
  <c r="Y1112" i="21"/>
  <c r="Z1112" i="21"/>
  <c r="AA1112" i="21" s="1"/>
  <c r="AC1112" i="21"/>
  <c r="AD1112" i="21"/>
  <c r="AE1112" i="21"/>
  <c r="AF1112" i="21"/>
  <c r="AG1112" i="21" s="1"/>
  <c r="AI1112" i="21"/>
  <c r="AJ1112" i="21"/>
  <c r="W1113" i="21"/>
  <c r="X1113" i="21"/>
  <c r="Y1113" i="21"/>
  <c r="Z1113" i="21"/>
  <c r="AA1113" i="21"/>
  <c r="AB1113" i="21" s="1"/>
  <c r="AC1113" i="21"/>
  <c r="AD1113" i="21"/>
  <c r="AE1113" i="21"/>
  <c r="AF1113" i="21"/>
  <c r="AG1113" i="21"/>
  <c r="AK1113" i="21" s="1"/>
  <c r="AL1113" i="21" s="1"/>
  <c r="AI1113" i="21"/>
  <c r="AJ1113" i="21"/>
  <c r="W1114" i="21"/>
  <c r="X1114" i="21"/>
  <c r="Y1114" i="21"/>
  <c r="Z1114" i="21"/>
  <c r="AA1114" i="21" s="1"/>
  <c r="AB1114" i="21" s="1"/>
  <c r="AC1114" i="21"/>
  <c r="AD1114" i="21"/>
  <c r="AE1114" i="21"/>
  <c r="AF1114" i="21"/>
  <c r="AG1114" i="21" s="1"/>
  <c r="AI1114" i="21"/>
  <c r="AJ1114" i="21"/>
  <c r="W1115" i="21"/>
  <c r="X1115" i="21"/>
  <c r="Y1115" i="21"/>
  <c r="Z1115" i="21"/>
  <c r="AA1115" i="21"/>
  <c r="AB1115" i="21" s="1"/>
  <c r="AC1115" i="21"/>
  <c r="AD1115" i="21"/>
  <c r="AE1115" i="21"/>
  <c r="AF1115" i="21"/>
  <c r="AG1115" i="21"/>
  <c r="AH1115" i="21" s="1"/>
  <c r="AI1115" i="21"/>
  <c r="AJ1115" i="21"/>
  <c r="AL1115" i="21" s="1"/>
  <c r="AM1115" i="21" s="1"/>
  <c r="AK1115" i="21"/>
  <c r="W1116" i="21"/>
  <c r="X1116" i="21"/>
  <c r="Y1116" i="21"/>
  <c r="Z1116" i="21"/>
  <c r="AA1116" i="21" s="1"/>
  <c r="AB1116" i="21" s="1"/>
  <c r="AC1116" i="21"/>
  <c r="AD1116" i="21"/>
  <c r="AE1116" i="21"/>
  <c r="AF1116" i="21"/>
  <c r="AG1116" i="21" s="1"/>
  <c r="AI1116" i="21"/>
  <c r="AJ1116" i="21"/>
  <c r="W1117" i="21"/>
  <c r="X1117" i="21"/>
  <c r="Y1117" i="21"/>
  <c r="Z1117" i="21"/>
  <c r="AB1117" i="21" s="1"/>
  <c r="AA1117" i="21"/>
  <c r="AC1117" i="21"/>
  <c r="AD1117" i="21"/>
  <c r="AE1117" i="21"/>
  <c r="AF1117" i="21"/>
  <c r="AG1117" i="21"/>
  <c r="AH1117" i="21" s="1"/>
  <c r="AI1117" i="21"/>
  <c r="AJ1117" i="21"/>
  <c r="W1118" i="21"/>
  <c r="X1118" i="21"/>
  <c r="Y1118" i="21"/>
  <c r="Z1118" i="21"/>
  <c r="AA1118" i="21" s="1"/>
  <c r="AC1118" i="21"/>
  <c r="AD1118" i="21"/>
  <c r="AE1118" i="21"/>
  <c r="AF1118" i="21"/>
  <c r="AG1118" i="21" s="1"/>
  <c r="AI1118" i="21"/>
  <c r="AJ1118" i="21"/>
  <c r="W1119" i="21"/>
  <c r="X1119" i="21"/>
  <c r="Y1119" i="21"/>
  <c r="Z1119" i="21"/>
  <c r="AA1119" i="21"/>
  <c r="AB1119" i="21" s="1"/>
  <c r="AC1119" i="21"/>
  <c r="AD1119" i="21"/>
  <c r="AE1119" i="21"/>
  <c r="AF1119" i="21"/>
  <c r="AG1119" i="21"/>
  <c r="AH1119" i="21" s="1"/>
  <c r="AI1119" i="21"/>
  <c r="AJ1119" i="21"/>
  <c r="W1120" i="21"/>
  <c r="X1120" i="21"/>
  <c r="Y1120" i="21"/>
  <c r="Z1120" i="21"/>
  <c r="AA1120" i="21" s="1"/>
  <c r="AC1120" i="21"/>
  <c r="AD1120" i="21"/>
  <c r="AE1120" i="21"/>
  <c r="AF1120" i="21"/>
  <c r="AG1120" i="21" s="1"/>
  <c r="AI1120" i="21"/>
  <c r="AJ1120" i="21"/>
  <c r="W1121" i="21"/>
  <c r="X1121" i="21"/>
  <c r="Y1121" i="21"/>
  <c r="Z1121" i="21"/>
  <c r="AA1121" i="21"/>
  <c r="AB1121" i="21" s="1"/>
  <c r="AC1121" i="21"/>
  <c r="AD1121" i="21"/>
  <c r="AE1121" i="21"/>
  <c r="AF1121" i="21"/>
  <c r="AG1121" i="21"/>
  <c r="AK1121" i="21" s="1"/>
  <c r="AL1121" i="21" s="1"/>
  <c r="AI1121" i="21"/>
  <c r="AJ1121" i="21"/>
  <c r="W1122" i="21"/>
  <c r="X1122" i="21"/>
  <c r="Y1122" i="21"/>
  <c r="Z1122" i="21"/>
  <c r="AA1122" i="21" s="1"/>
  <c r="AB1122" i="21" s="1"/>
  <c r="AC1122" i="21"/>
  <c r="AD1122" i="21"/>
  <c r="AE1122" i="21"/>
  <c r="AF1122" i="21"/>
  <c r="AG1122" i="21" s="1"/>
  <c r="AI1122" i="21"/>
  <c r="AJ1122" i="21"/>
  <c r="W1123" i="21"/>
  <c r="X1123" i="21"/>
  <c r="Y1123" i="21"/>
  <c r="Z1123" i="21"/>
  <c r="AB1123" i="21" s="1"/>
  <c r="AA1123" i="21"/>
  <c r="AC1123" i="21"/>
  <c r="AD1123" i="21"/>
  <c r="AE1123" i="21"/>
  <c r="AF1123" i="21"/>
  <c r="AG1123" i="21"/>
  <c r="AH1123" i="21" s="1"/>
  <c r="AI1123" i="21"/>
  <c r="AJ1123" i="21"/>
  <c r="AL1123" i="21" s="1"/>
  <c r="AK1123" i="21"/>
  <c r="W1124" i="21"/>
  <c r="X1124" i="21"/>
  <c r="Y1124" i="21"/>
  <c r="Z1124" i="21"/>
  <c r="AA1124" i="21" s="1"/>
  <c r="AB1124" i="21" s="1"/>
  <c r="AC1124" i="21"/>
  <c r="AD1124" i="21"/>
  <c r="AE1124" i="21"/>
  <c r="AF1124" i="21"/>
  <c r="AG1124" i="21" s="1"/>
  <c r="AI1124" i="21"/>
  <c r="AJ1124" i="21"/>
  <c r="W1125" i="21"/>
  <c r="X1125" i="21"/>
  <c r="Y1125" i="21"/>
  <c r="Z1125" i="21"/>
  <c r="AB1125" i="21" s="1"/>
  <c r="AA1125" i="21"/>
  <c r="AC1125" i="21"/>
  <c r="AD1125" i="21"/>
  <c r="AE1125" i="21"/>
  <c r="AF1125" i="21"/>
  <c r="AG1125" i="21"/>
  <c r="AH1125" i="21" s="1"/>
  <c r="AI1125" i="21"/>
  <c r="AJ1125" i="21"/>
  <c r="W1126" i="21"/>
  <c r="X1126" i="21"/>
  <c r="Y1126" i="21"/>
  <c r="Z1126" i="21"/>
  <c r="AA1126" i="21" s="1"/>
  <c r="AC1126" i="21"/>
  <c r="AD1126" i="21"/>
  <c r="AE1126" i="21"/>
  <c r="AF1126" i="21"/>
  <c r="AG1126" i="21" s="1"/>
  <c r="AK1126" i="21" s="1"/>
  <c r="AI1126" i="21"/>
  <c r="AJ1126" i="21"/>
  <c r="AL1126" i="21" s="1"/>
  <c r="W1127" i="21"/>
  <c r="X1127" i="21"/>
  <c r="Y1127" i="21"/>
  <c r="Z1127" i="21"/>
  <c r="AA1127" i="21"/>
  <c r="AB1127" i="21" s="1"/>
  <c r="AC1127" i="21"/>
  <c r="AD1127" i="21"/>
  <c r="AE1127" i="21"/>
  <c r="AF1127" i="21"/>
  <c r="AG1127" i="21"/>
  <c r="AI1127" i="21"/>
  <c r="AJ1127" i="21"/>
  <c r="W1128" i="21"/>
  <c r="X1128" i="21"/>
  <c r="Y1128" i="21"/>
  <c r="Z1128" i="21"/>
  <c r="AA1128" i="21" s="1"/>
  <c r="AC1128" i="21"/>
  <c r="AD1128" i="21"/>
  <c r="AE1128" i="21"/>
  <c r="AF1128" i="21"/>
  <c r="AG1128" i="21" s="1"/>
  <c r="AI1128" i="21"/>
  <c r="AJ1128" i="21"/>
  <c r="W1129" i="21"/>
  <c r="X1129" i="21"/>
  <c r="Y1129" i="21"/>
  <c r="Z1129" i="21"/>
  <c r="AA1129" i="21"/>
  <c r="AB1129" i="21" s="1"/>
  <c r="AC1129" i="21"/>
  <c r="AD1129" i="21"/>
  <c r="AE1129" i="21"/>
  <c r="AF1129" i="21"/>
  <c r="AG1129" i="21"/>
  <c r="AK1129" i="21" s="1"/>
  <c r="AL1129" i="21" s="1"/>
  <c r="AI1129" i="21"/>
  <c r="AJ1129" i="21"/>
  <c r="W1130" i="21"/>
  <c r="X1130" i="21"/>
  <c r="Y1130" i="21"/>
  <c r="Z1130" i="21"/>
  <c r="AA1130" i="21" s="1"/>
  <c r="AB1130" i="21" s="1"/>
  <c r="AC1130" i="21"/>
  <c r="AD1130" i="21"/>
  <c r="AE1130" i="21"/>
  <c r="AF1130" i="21"/>
  <c r="AG1130" i="21" s="1"/>
  <c r="AI1130" i="21"/>
  <c r="AJ1130" i="21"/>
  <c r="W1131" i="21"/>
  <c r="X1131" i="21"/>
  <c r="Y1131" i="21"/>
  <c r="Z1131" i="21"/>
  <c r="AA1131" i="21"/>
  <c r="AB1131" i="21" s="1"/>
  <c r="AC1131" i="21"/>
  <c r="AD1131" i="21"/>
  <c r="AE1131" i="21"/>
  <c r="AF1131" i="21"/>
  <c r="AG1131" i="21"/>
  <c r="AH1131" i="21" s="1"/>
  <c r="AI1131" i="21"/>
  <c r="AJ1131" i="21"/>
  <c r="AK1131" i="21"/>
  <c r="W1132" i="21"/>
  <c r="X1132" i="21"/>
  <c r="Y1132" i="21"/>
  <c r="Z1132" i="21"/>
  <c r="AA1132" i="21" s="1"/>
  <c r="AB1132" i="21"/>
  <c r="AC1132" i="21"/>
  <c r="AD1132" i="21"/>
  <c r="AE1132" i="21"/>
  <c r="AF1132" i="21"/>
  <c r="AG1132" i="21" s="1"/>
  <c r="AI1132" i="21"/>
  <c r="AJ1132" i="21"/>
  <c r="W1133" i="21"/>
  <c r="X1133" i="21"/>
  <c r="Y1133" i="21"/>
  <c r="Z1133" i="21"/>
  <c r="AA1133" i="21"/>
  <c r="AC1133" i="21"/>
  <c r="AD1133" i="21"/>
  <c r="AE1133" i="21"/>
  <c r="AF1133" i="21"/>
  <c r="AG1133" i="21"/>
  <c r="AH1133" i="21" s="1"/>
  <c r="AI1133" i="21"/>
  <c r="AJ1133" i="21"/>
  <c r="W1134" i="21"/>
  <c r="X1134" i="21"/>
  <c r="Y1134" i="21"/>
  <c r="Z1134" i="21"/>
  <c r="AC1134" i="21"/>
  <c r="AD1134" i="21"/>
  <c r="AE1134" i="21"/>
  <c r="AF1134" i="21"/>
  <c r="AG1134" i="21" s="1"/>
  <c r="AK1134" i="21" s="1"/>
  <c r="AH1134" i="21"/>
  <c r="AI1134" i="21"/>
  <c r="AJ1134" i="21"/>
  <c r="AL1134" i="21" s="1"/>
  <c r="W1135" i="21"/>
  <c r="X1135" i="21"/>
  <c r="Y1135" i="21"/>
  <c r="Z1135" i="21"/>
  <c r="AA1135" i="21"/>
  <c r="AB1135" i="21" s="1"/>
  <c r="AC1135" i="21"/>
  <c r="AD1135" i="21"/>
  <c r="AE1135" i="21"/>
  <c r="AF1135" i="21"/>
  <c r="AG1135" i="21"/>
  <c r="AI1135" i="21"/>
  <c r="AJ1135" i="21"/>
  <c r="W1136" i="21"/>
  <c r="X1136" i="21"/>
  <c r="Y1136" i="21"/>
  <c r="Z1136" i="21"/>
  <c r="AA1136" i="21" s="1"/>
  <c r="AC1136" i="21"/>
  <c r="AD1136" i="21"/>
  <c r="AE1136" i="21"/>
  <c r="AF1136" i="21"/>
  <c r="AG1136" i="21" s="1"/>
  <c r="AI1136" i="21"/>
  <c r="AJ1136" i="21"/>
  <c r="W1137" i="21"/>
  <c r="X1137" i="21"/>
  <c r="Y1137" i="21"/>
  <c r="Z1137" i="21"/>
  <c r="AA1137" i="21"/>
  <c r="AB1137" i="21" s="1"/>
  <c r="AC1137" i="21"/>
  <c r="AD1137" i="21"/>
  <c r="AE1137" i="21"/>
  <c r="AM1137" i="21" s="1"/>
  <c r="AF1137" i="21"/>
  <c r="AG1137" i="21"/>
  <c r="AH1137" i="21" s="1"/>
  <c r="AI1137" i="21"/>
  <c r="AJ1137" i="21"/>
  <c r="AK1137" i="21"/>
  <c r="AL1137" i="21" s="1"/>
  <c r="W1138" i="21"/>
  <c r="X1138" i="21"/>
  <c r="Y1138" i="21"/>
  <c r="Z1138" i="21"/>
  <c r="AA1138" i="21" s="1"/>
  <c r="AB1138" i="21" s="1"/>
  <c r="AC1138" i="21"/>
  <c r="AD1138" i="21"/>
  <c r="AE1138" i="21"/>
  <c r="AF1138" i="21"/>
  <c r="AG1138" i="21" s="1"/>
  <c r="AI1138" i="21"/>
  <c r="AJ1138" i="21"/>
  <c r="W1139" i="21"/>
  <c r="X1139" i="21"/>
  <c r="Y1139" i="21"/>
  <c r="Z1139" i="21"/>
  <c r="AA1139" i="21"/>
  <c r="AB1139" i="21" s="1"/>
  <c r="AC1139" i="21"/>
  <c r="AD1139" i="21"/>
  <c r="AE1139" i="21"/>
  <c r="AF1139" i="21"/>
  <c r="AG1139" i="21"/>
  <c r="AH1139" i="21" s="1"/>
  <c r="AI1139" i="21"/>
  <c r="AJ1139" i="21"/>
  <c r="AL1139" i="21" s="1"/>
  <c r="AM1139" i="21" s="1"/>
  <c r="AK1139" i="21"/>
  <c r="W1140" i="21"/>
  <c r="X1140" i="21"/>
  <c r="Y1140" i="21"/>
  <c r="Z1140" i="21"/>
  <c r="AA1140" i="21" s="1"/>
  <c r="AB1140" i="21"/>
  <c r="AC1140" i="21"/>
  <c r="AD1140" i="21"/>
  <c r="AE1140" i="21"/>
  <c r="AF1140" i="21"/>
  <c r="AG1140" i="21" s="1"/>
  <c r="AI1140" i="21"/>
  <c r="AJ1140" i="21"/>
  <c r="W1141" i="21"/>
  <c r="X1141" i="21"/>
  <c r="Y1141" i="21"/>
  <c r="Z1141" i="21"/>
  <c r="AB1141" i="21" s="1"/>
  <c r="AA1141" i="21"/>
  <c r="AC1141" i="21"/>
  <c r="AD1141" i="21"/>
  <c r="AE1141" i="21"/>
  <c r="AF1141" i="21"/>
  <c r="AG1141" i="21"/>
  <c r="AI1141" i="21"/>
  <c r="AJ1141" i="21"/>
  <c r="W1142" i="21"/>
  <c r="X1142" i="21"/>
  <c r="Y1142" i="21"/>
  <c r="Z1142" i="21"/>
  <c r="AC1142" i="21"/>
  <c r="AD1142" i="21"/>
  <c r="AE1142" i="21"/>
  <c r="AF1142" i="21"/>
  <c r="AG1142" i="21" s="1"/>
  <c r="AK1142" i="21" s="1"/>
  <c r="AI1142" i="21"/>
  <c r="AJ1142" i="21"/>
  <c r="W1143" i="21"/>
  <c r="X1143" i="21"/>
  <c r="Y1143" i="21"/>
  <c r="Z1143" i="21"/>
  <c r="AA1143" i="21"/>
  <c r="AB1143" i="21" s="1"/>
  <c r="AC1143" i="21"/>
  <c r="AD1143" i="21"/>
  <c r="AE1143" i="21"/>
  <c r="AF1143" i="21"/>
  <c r="AG1143" i="21"/>
  <c r="AI1143" i="21"/>
  <c r="AJ1143" i="21"/>
  <c r="W1144" i="21"/>
  <c r="X1144" i="21"/>
  <c r="Y1144" i="21"/>
  <c r="Z1144" i="21"/>
  <c r="AA1144" i="21" s="1"/>
  <c r="AC1144" i="21"/>
  <c r="AD1144" i="21"/>
  <c r="AE1144" i="21"/>
  <c r="AF1144" i="21"/>
  <c r="AG1144" i="21" s="1"/>
  <c r="AI1144" i="21"/>
  <c r="AJ1144" i="21"/>
  <c r="W1145" i="21"/>
  <c r="X1145" i="21"/>
  <c r="Y1145" i="21"/>
  <c r="Z1145" i="21"/>
  <c r="AA1145" i="21"/>
  <c r="AB1145" i="21" s="1"/>
  <c r="AC1145" i="21"/>
  <c r="AD1145" i="21"/>
  <c r="AE1145" i="21"/>
  <c r="AM1145" i="21" s="1"/>
  <c r="AF1145" i="21"/>
  <c r="AG1145" i="21"/>
  <c r="AH1145" i="21" s="1"/>
  <c r="AI1145" i="21"/>
  <c r="AJ1145" i="21"/>
  <c r="AK1145" i="21"/>
  <c r="AL1145" i="21" s="1"/>
  <c r="W1146" i="21"/>
  <c r="X1146" i="21"/>
  <c r="Y1146" i="21"/>
  <c r="Z1146" i="21"/>
  <c r="AA1146" i="21" s="1"/>
  <c r="AB1146" i="21"/>
  <c r="AC1146" i="21"/>
  <c r="AD1146" i="21"/>
  <c r="AE1146" i="21"/>
  <c r="AF1146" i="21"/>
  <c r="AG1146" i="21" s="1"/>
  <c r="AI1146" i="21"/>
  <c r="AJ1146" i="21"/>
  <c r="W1147" i="21"/>
  <c r="X1147" i="21"/>
  <c r="Y1147" i="21"/>
  <c r="Z1147" i="21"/>
  <c r="AA1147" i="21"/>
  <c r="AB1147" i="21" s="1"/>
  <c r="AC1147" i="21"/>
  <c r="AD1147" i="21"/>
  <c r="AE1147" i="21"/>
  <c r="AF1147" i="21"/>
  <c r="AG1147" i="21"/>
  <c r="AH1147" i="21" s="1"/>
  <c r="AI1147" i="21"/>
  <c r="AJ1147" i="21"/>
  <c r="AK1147" i="21"/>
  <c r="W1148" i="21"/>
  <c r="X1148" i="21"/>
  <c r="Y1148" i="21"/>
  <c r="Z1148" i="21"/>
  <c r="AA1148" i="21" s="1"/>
  <c r="AB1148" i="21"/>
  <c r="AC1148" i="21"/>
  <c r="AD1148" i="21"/>
  <c r="AE1148" i="21"/>
  <c r="AF1148" i="21"/>
  <c r="AG1148" i="21" s="1"/>
  <c r="AK1148" i="21" s="1"/>
  <c r="AI1148" i="21"/>
  <c r="AJ1148" i="21"/>
  <c r="AL1148" i="21"/>
  <c r="W1149" i="21"/>
  <c r="X1149" i="21"/>
  <c r="Y1149" i="21"/>
  <c r="Z1149" i="21"/>
  <c r="AB1149" i="21" s="1"/>
  <c r="AA1149" i="21"/>
  <c r="AC1149" i="21"/>
  <c r="AD1149" i="21"/>
  <c r="AE1149" i="21"/>
  <c r="AF1149" i="21"/>
  <c r="AG1149" i="21"/>
  <c r="AH1149" i="21" s="1"/>
  <c r="AI1149" i="21"/>
  <c r="AJ1149" i="21"/>
  <c r="AK1149" i="21"/>
  <c r="AL1149" i="21" s="1"/>
  <c r="AM1149" i="21" s="1"/>
  <c r="W1150" i="21"/>
  <c r="X1150" i="21"/>
  <c r="Y1150" i="21"/>
  <c r="Z1150" i="21"/>
  <c r="AA1150" i="21" s="1"/>
  <c r="AC1150" i="21"/>
  <c r="AD1150" i="21"/>
  <c r="AE1150" i="21"/>
  <c r="AF1150" i="21"/>
  <c r="AG1150" i="21" s="1"/>
  <c r="AK1150" i="21" s="1"/>
  <c r="AI1150" i="21"/>
  <c r="AJ1150" i="21"/>
  <c r="W1151" i="21"/>
  <c r="X1151" i="21"/>
  <c r="Y1151" i="21"/>
  <c r="Z1151" i="21"/>
  <c r="AA1151" i="21"/>
  <c r="AB1151" i="21" s="1"/>
  <c r="AC1151" i="21"/>
  <c r="AD1151" i="21"/>
  <c r="AE1151" i="21"/>
  <c r="AF1151" i="21"/>
  <c r="AG1151" i="21"/>
  <c r="AI1151" i="21"/>
  <c r="AJ1151" i="21"/>
  <c r="W1152" i="21"/>
  <c r="X1152" i="21"/>
  <c r="Y1152" i="21"/>
  <c r="Z1152" i="21"/>
  <c r="AC1152" i="21"/>
  <c r="AD1152" i="21"/>
  <c r="AE1152" i="21"/>
  <c r="AF1152" i="21"/>
  <c r="AG1152" i="21" s="1"/>
  <c r="AK1152" i="21" s="1"/>
  <c r="AL1152" i="21" s="1"/>
  <c r="AI1152" i="21"/>
  <c r="AJ1152" i="21"/>
  <c r="W1153" i="21"/>
  <c r="X1153" i="21"/>
  <c r="Y1153" i="21"/>
  <c r="Z1153" i="21"/>
  <c r="AA1153" i="21"/>
  <c r="AB1153" i="21" s="1"/>
  <c r="AC1153" i="21"/>
  <c r="AD1153" i="21"/>
  <c r="AE1153" i="21"/>
  <c r="AF1153" i="21"/>
  <c r="AG1153" i="21"/>
  <c r="AH1153" i="21" s="1"/>
  <c r="AI1153" i="21"/>
  <c r="AJ1153" i="21"/>
  <c r="W1154" i="21"/>
  <c r="X1154" i="21"/>
  <c r="Y1154" i="21"/>
  <c r="Z1154" i="21"/>
  <c r="AA1154" i="21" s="1"/>
  <c r="AB1154" i="21" s="1"/>
  <c r="AC1154" i="21"/>
  <c r="AD1154" i="21"/>
  <c r="AE1154" i="21"/>
  <c r="AF1154" i="21"/>
  <c r="AG1154" i="21" s="1"/>
  <c r="AK1154" i="21" s="1"/>
  <c r="AH1154" i="21"/>
  <c r="AI1154" i="21"/>
  <c r="AJ1154" i="21"/>
  <c r="AL1154" i="21" s="1"/>
  <c r="AM1154" i="21" s="1"/>
  <c r="W1155" i="21"/>
  <c r="X1155" i="21"/>
  <c r="Y1155" i="21"/>
  <c r="Z1155" i="21"/>
  <c r="AA1155" i="21"/>
  <c r="AC1155" i="21"/>
  <c r="AD1155" i="21"/>
  <c r="AE1155" i="21"/>
  <c r="AF1155" i="21"/>
  <c r="AG1155" i="21"/>
  <c r="AH1155" i="21" s="1"/>
  <c r="AI1155" i="21"/>
  <c r="AJ1155" i="21"/>
  <c r="W1156" i="21"/>
  <c r="X1156" i="21"/>
  <c r="Y1156" i="21"/>
  <c r="Z1156" i="21"/>
  <c r="AA1156" i="21" s="1"/>
  <c r="AB1156" i="21"/>
  <c r="AC1156" i="21"/>
  <c r="AD1156" i="21"/>
  <c r="AE1156" i="21"/>
  <c r="AF1156" i="21"/>
  <c r="AG1156" i="21" s="1"/>
  <c r="AK1156" i="21" s="1"/>
  <c r="AI1156" i="21"/>
  <c r="AJ1156" i="21"/>
  <c r="AL1156" i="21"/>
  <c r="W1157" i="21"/>
  <c r="X1157" i="21"/>
  <c r="Y1157" i="21"/>
  <c r="Z1157" i="21"/>
  <c r="AB1157" i="21" s="1"/>
  <c r="AA1157" i="21"/>
  <c r="AC1157" i="21"/>
  <c r="AD1157" i="21"/>
  <c r="AE1157" i="21"/>
  <c r="AM1157" i="21" s="1"/>
  <c r="AF1157" i="21"/>
  <c r="AG1157" i="21"/>
  <c r="AH1157" i="21" s="1"/>
  <c r="AI1157" i="21"/>
  <c r="AJ1157" i="21"/>
  <c r="AK1157" i="21"/>
  <c r="AL1157" i="21" s="1"/>
  <c r="W1158" i="21"/>
  <c r="X1158" i="21"/>
  <c r="Y1158" i="21"/>
  <c r="Z1158" i="21"/>
  <c r="AA1158" i="21" s="1"/>
  <c r="AB1158" i="21"/>
  <c r="AC1158" i="21"/>
  <c r="AD1158" i="21"/>
  <c r="AE1158" i="21"/>
  <c r="AF1158" i="21"/>
  <c r="AG1158" i="21" s="1"/>
  <c r="AK1158" i="21" s="1"/>
  <c r="AH1158" i="21"/>
  <c r="AI1158" i="21"/>
  <c r="AJ1158" i="21"/>
  <c r="AL1158" i="21"/>
  <c r="AM1158" i="21" s="1"/>
  <c r="W1159" i="21"/>
  <c r="X1159" i="21"/>
  <c r="Y1159" i="21"/>
  <c r="Z1159" i="21"/>
  <c r="AA1159" i="21"/>
  <c r="AB1159" i="21" s="1"/>
  <c r="AC1159" i="21"/>
  <c r="AD1159" i="21"/>
  <c r="AE1159" i="21"/>
  <c r="AM1159" i="21" s="1"/>
  <c r="AF1159" i="21"/>
  <c r="AG1159" i="21"/>
  <c r="AH1159" i="21" s="1"/>
  <c r="AI1159" i="21"/>
  <c r="AJ1159" i="21"/>
  <c r="AK1159" i="21"/>
  <c r="AL1159" i="21" s="1"/>
  <c r="W1160" i="21"/>
  <c r="X1160" i="21"/>
  <c r="Y1160" i="21"/>
  <c r="Z1160" i="21"/>
  <c r="AA1160" i="21" s="1"/>
  <c r="AB1160" i="21"/>
  <c r="AC1160" i="21"/>
  <c r="AD1160" i="21"/>
  <c r="AE1160" i="21"/>
  <c r="AF1160" i="21"/>
  <c r="AG1160" i="21" s="1"/>
  <c r="AK1160" i="21" s="1"/>
  <c r="AH1160" i="21"/>
  <c r="AI1160" i="21"/>
  <c r="AJ1160" i="21"/>
  <c r="AL1160" i="21"/>
  <c r="AM1160" i="21" s="1"/>
  <c r="W1161" i="21"/>
  <c r="X1161" i="21"/>
  <c r="Y1161" i="21"/>
  <c r="Z1161" i="21"/>
  <c r="AA1161" i="21"/>
  <c r="AB1161" i="21" s="1"/>
  <c r="AC1161" i="21"/>
  <c r="AD1161" i="21"/>
  <c r="AE1161" i="21"/>
  <c r="AM1161" i="21" s="1"/>
  <c r="AF1161" i="21"/>
  <c r="AG1161" i="21"/>
  <c r="AH1161" i="21" s="1"/>
  <c r="AI1161" i="21"/>
  <c r="AJ1161" i="21"/>
  <c r="AK1161" i="21"/>
  <c r="AL1161" i="21" s="1"/>
  <c r="W1162" i="21"/>
  <c r="X1162" i="21"/>
  <c r="Y1162" i="21"/>
  <c r="Z1162" i="21"/>
  <c r="AA1162" i="21" s="1"/>
  <c r="AC1162" i="21"/>
  <c r="AD1162" i="21"/>
  <c r="AE1162" i="21"/>
  <c r="AF1162" i="21"/>
  <c r="AG1162" i="21" s="1"/>
  <c r="AK1162" i="21" s="1"/>
  <c r="AH1162" i="21"/>
  <c r="AI1162" i="21"/>
  <c r="AJ1162" i="21"/>
  <c r="AL1162" i="21" s="1"/>
  <c r="AM1162" i="21" s="1"/>
  <c r="W1163" i="21"/>
  <c r="X1163" i="21"/>
  <c r="Y1163" i="21"/>
  <c r="Z1163" i="21"/>
  <c r="AA1163" i="21"/>
  <c r="AC1163" i="21"/>
  <c r="AD1163" i="21"/>
  <c r="AE1163" i="21"/>
  <c r="AF1163" i="21"/>
  <c r="AG1163" i="21"/>
  <c r="AH1163" i="21" s="1"/>
  <c r="AI1163" i="21"/>
  <c r="AJ1163" i="21"/>
  <c r="AK1163" i="21"/>
  <c r="W1164" i="21"/>
  <c r="X1164" i="21"/>
  <c r="Y1164" i="21"/>
  <c r="Z1164" i="21"/>
  <c r="AA1164" i="21" s="1"/>
  <c r="AC1164" i="21"/>
  <c r="AD1164" i="21"/>
  <c r="AE1164" i="21"/>
  <c r="AF1164" i="21"/>
  <c r="AG1164" i="21" s="1"/>
  <c r="AK1164" i="21" s="1"/>
  <c r="AI1164" i="21"/>
  <c r="AJ1164" i="21"/>
  <c r="AL1164" i="21" s="1"/>
  <c r="W1165" i="21"/>
  <c r="X1165" i="21"/>
  <c r="Y1165" i="21"/>
  <c r="Z1165" i="21"/>
  <c r="AB1165" i="21" s="1"/>
  <c r="AA1165" i="21"/>
  <c r="AC1165" i="21"/>
  <c r="AD1165" i="21"/>
  <c r="AE1165" i="21"/>
  <c r="AF1165" i="21"/>
  <c r="AG1165" i="21"/>
  <c r="AH1165" i="21" s="1"/>
  <c r="AI1165" i="21"/>
  <c r="AJ1165" i="21"/>
  <c r="W1166" i="21"/>
  <c r="X1166" i="21"/>
  <c r="Y1166" i="21"/>
  <c r="Z1166" i="21"/>
  <c r="AA1166" i="21" s="1"/>
  <c r="AC1166" i="21"/>
  <c r="AD1166" i="21"/>
  <c r="AE1166" i="21"/>
  <c r="AF1166" i="21"/>
  <c r="AG1166" i="21" s="1"/>
  <c r="AK1166" i="21" s="1"/>
  <c r="AI1166" i="21"/>
  <c r="AJ1166" i="21"/>
  <c r="AL1166" i="21" s="1"/>
  <c r="W1167" i="21"/>
  <c r="X1167" i="21"/>
  <c r="Y1167" i="21"/>
  <c r="Z1167" i="21"/>
  <c r="AA1167" i="21"/>
  <c r="AB1167" i="21" s="1"/>
  <c r="AC1167" i="21"/>
  <c r="AD1167" i="21"/>
  <c r="AE1167" i="21"/>
  <c r="AM1167" i="21" s="1"/>
  <c r="AF1167" i="21"/>
  <c r="AG1167" i="21"/>
  <c r="AH1167" i="21" s="1"/>
  <c r="AI1167" i="21"/>
  <c r="AJ1167" i="21"/>
  <c r="AK1167" i="21"/>
  <c r="AL1167" i="21" s="1"/>
  <c r="W1168" i="21"/>
  <c r="X1168" i="21"/>
  <c r="Y1168" i="21"/>
  <c r="Z1168" i="21"/>
  <c r="AA1168" i="21" s="1"/>
  <c r="AB1168" i="21"/>
  <c r="AC1168" i="21"/>
  <c r="AD1168" i="21"/>
  <c r="AE1168" i="21"/>
  <c r="AF1168" i="21"/>
  <c r="AG1168" i="21" s="1"/>
  <c r="AK1168" i="21" s="1"/>
  <c r="AL1168" i="21" s="1"/>
  <c r="AI1168" i="21"/>
  <c r="AJ1168" i="21"/>
  <c r="W1169" i="21"/>
  <c r="X1169" i="21"/>
  <c r="Y1169" i="21"/>
  <c r="Z1169" i="21"/>
  <c r="AA1169" i="21"/>
  <c r="AB1169" i="21" s="1"/>
  <c r="AC1169" i="21"/>
  <c r="AD1169" i="21"/>
  <c r="AE1169" i="21"/>
  <c r="AF1169" i="21"/>
  <c r="AG1169" i="21"/>
  <c r="AH1169" i="21" s="1"/>
  <c r="AI1169" i="21"/>
  <c r="AJ1169" i="21"/>
  <c r="W1170" i="21"/>
  <c r="X1170" i="21"/>
  <c r="Y1170" i="21"/>
  <c r="Z1170" i="21"/>
  <c r="AA1170" i="21" s="1"/>
  <c r="AC1170" i="21"/>
  <c r="AD1170" i="21"/>
  <c r="AE1170" i="21"/>
  <c r="AF1170" i="21"/>
  <c r="AG1170" i="21" s="1"/>
  <c r="AK1170" i="21" s="1"/>
  <c r="AH1170" i="21"/>
  <c r="AI1170" i="21"/>
  <c r="AJ1170" i="21"/>
  <c r="AL1170" i="21" s="1"/>
  <c r="AM1170" i="21" s="1"/>
  <c r="W1171" i="21"/>
  <c r="X1171" i="21"/>
  <c r="Y1171" i="21"/>
  <c r="Z1171" i="21"/>
  <c r="AA1171" i="21"/>
  <c r="AC1171" i="21"/>
  <c r="AD1171" i="21"/>
  <c r="AE1171" i="21"/>
  <c r="AF1171" i="21"/>
  <c r="AG1171" i="21"/>
  <c r="AH1171" i="21" s="1"/>
  <c r="AI1171" i="21"/>
  <c r="AJ1171" i="21"/>
  <c r="AK1171" i="21"/>
  <c r="W1172" i="21"/>
  <c r="X1172" i="21"/>
  <c r="Y1172" i="21"/>
  <c r="Z1172" i="21"/>
  <c r="AA1172" i="21" s="1"/>
  <c r="AB1172" i="21"/>
  <c r="AC1172" i="21"/>
  <c r="AD1172" i="21"/>
  <c r="AE1172" i="21"/>
  <c r="AF1172" i="21"/>
  <c r="AG1172" i="21" s="1"/>
  <c r="AK1172" i="21" s="1"/>
  <c r="AI1172" i="21"/>
  <c r="AJ1172" i="21"/>
  <c r="AL1172" i="21"/>
  <c r="W1173" i="21"/>
  <c r="X1173" i="21"/>
  <c r="Y1173" i="21"/>
  <c r="Z1173" i="21"/>
  <c r="AB1173" i="21" s="1"/>
  <c r="AA1173" i="21"/>
  <c r="AC1173" i="21"/>
  <c r="AD1173" i="21"/>
  <c r="AE1173" i="21"/>
  <c r="AM1173" i="21" s="1"/>
  <c r="AF1173" i="21"/>
  <c r="AG1173" i="21"/>
  <c r="AH1173" i="21" s="1"/>
  <c r="AI1173" i="21"/>
  <c r="AJ1173" i="21"/>
  <c r="AK1173" i="21"/>
  <c r="AL1173" i="21" s="1"/>
  <c r="W1174" i="21"/>
  <c r="X1174" i="21"/>
  <c r="Y1174" i="21"/>
  <c r="Z1174" i="21"/>
  <c r="AA1174" i="21" s="1"/>
  <c r="AB1174" i="21"/>
  <c r="AC1174" i="21"/>
  <c r="AD1174" i="21"/>
  <c r="AE1174" i="21"/>
  <c r="AF1174" i="21"/>
  <c r="AG1174" i="21" s="1"/>
  <c r="AK1174" i="21" s="1"/>
  <c r="AH1174" i="21"/>
  <c r="AI1174" i="21"/>
  <c r="AJ1174" i="21"/>
  <c r="AL1174" i="21"/>
  <c r="AM1174" i="21" s="1"/>
  <c r="W1175" i="21"/>
  <c r="X1175" i="21"/>
  <c r="Y1175" i="21"/>
  <c r="Z1175" i="21"/>
  <c r="AA1175" i="21"/>
  <c r="AB1175" i="21" s="1"/>
  <c r="AC1175" i="21"/>
  <c r="AD1175" i="21"/>
  <c r="AE1175" i="21"/>
  <c r="AM1175" i="21" s="1"/>
  <c r="AF1175" i="21"/>
  <c r="AG1175" i="21"/>
  <c r="AH1175" i="21" s="1"/>
  <c r="AI1175" i="21"/>
  <c r="AJ1175" i="21"/>
  <c r="AK1175" i="21"/>
  <c r="AL1175" i="21" s="1"/>
  <c r="W1176" i="21"/>
  <c r="X1176" i="21"/>
  <c r="Y1176" i="21"/>
  <c r="Z1176" i="21"/>
  <c r="AA1176" i="21" s="1"/>
  <c r="AB1176" i="21"/>
  <c r="AC1176" i="21"/>
  <c r="AD1176" i="21"/>
  <c r="AE1176" i="21"/>
  <c r="AF1176" i="21"/>
  <c r="AG1176" i="21" s="1"/>
  <c r="AK1176" i="21" s="1"/>
  <c r="AH1176" i="21"/>
  <c r="AI1176" i="21"/>
  <c r="AJ1176" i="21"/>
  <c r="AL1176" i="21"/>
  <c r="W1177" i="21"/>
  <c r="X1177" i="21"/>
  <c r="Y1177" i="21"/>
  <c r="Z1177" i="21"/>
  <c r="AA1177" i="21"/>
  <c r="AB1177" i="21" s="1"/>
  <c r="AC1177" i="21"/>
  <c r="AD1177" i="21"/>
  <c r="AE1177" i="21"/>
  <c r="AM1177" i="21" s="1"/>
  <c r="AF1177" i="21"/>
  <c r="AG1177" i="21"/>
  <c r="AH1177" i="21" s="1"/>
  <c r="AI1177" i="21"/>
  <c r="AJ1177" i="21"/>
  <c r="AK1177" i="21"/>
  <c r="AL1177" i="21" s="1"/>
  <c r="W1178" i="21"/>
  <c r="X1178" i="21"/>
  <c r="Y1178" i="21"/>
  <c r="Z1178" i="21"/>
  <c r="AA1178" i="21" s="1"/>
  <c r="AC1178" i="21"/>
  <c r="AD1178" i="21"/>
  <c r="AE1178" i="21"/>
  <c r="AF1178" i="21"/>
  <c r="AG1178" i="21" s="1"/>
  <c r="AK1178" i="21" s="1"/>
  <c r="AH1178" i="21"/>
  <c r="AI1178" i="21"/>
  <c r="AJ1178" i="21"/>
  <c r="AL1178" i="21" s="1"/>
  <c r="AM1178" i="21" s="1"/>
  <c r="W1179" i="21"/>
  <c r="X1179" i="21"/>
  <c r="Y1179" i="21"/>
  <c r="Z1179" i="21"/>
  <c r="AA1179" i="21"/>
  <c r="AC1179" i="21"/>
  <c r="AD1179" i="21"/>
  <c r="AE1179" i="21"/>
  <c r="AF1179" i="21"/>
  <c r="AG1179" i="21"/>
  <c r="AH1179" i="21" s="1"/>
  <c r="AI1179" i="21"/>
  <c r="AJ1179" i="21"/>
  <c r="W1180" i="21"/>
  <c r="X1180" i="21"/>
  <c r="Y1180" i="21"/>
  <c r="Z1180" i="21"/>
  <c r="AA1180" i="21" s="1"/>
  <c r="AC1180" i="21"/>
  <c r="AD1180" i="21"/>
  <c r="AE1180" i="21"/>
  <c r="AF1180" i="21"/>
  <c r="AG1180" i="21" s="1"/>
  <c r="AK1180" i="21" s="1"/>
  <c r="AI1180" i="21"/>
  <c r="AJ1180" i="21"/>
  <c r="AL1180" i="21" s="1"/>
  <c r="W1181" i="21"/>
  <c r="X1181" i="21"/>
  <c r="Y1181" i="21"/>
  <c r="Z1181" i="21"/>
  <c r="AB1181" i="21" s="1"/>
  <c r="AA1181" i="21"/>
  <c r="AC1181" i="21"/>
  <c r="AD1181" i="21"/>
  <c r="AE1181" i="21"/>
  <c r="AF1181" i="21"/>
  <c r="AG1181" i="21"/>
  <c r="AH1181" i="21" s="1"/>
  <c r="AI1181" i="21"/>
  <c r="AJ1181" i="21"/>
  <c r="W1182" i="21"/>
  <c r="X1182" i="21"/>
  <c r="Y1182" i="21"/>
  <c r="Z1182" i="21"/>
  <c r="AA1182" i="21" s="1"/>
  <c r="AC1182" i="21"/>
  <c r="AD1182" i="21"/>
  <c r="AE1182" i="21"/>
  <c r="AF1182" i="21"/>
  <c r="AG1182" i="21" s="1"/>
  <c r="AK1182" i="21" s="1"/>
  <c r="AI1182" i="21"/>
  <c r="AJ1182" i="21"/>
  <c r="AL1182" i="21" s="1"/>
  <c r="W1183" i="21"/>
  <c r="X1183" i="21"/>
  <c r="Y1183" i="21"/>
  <c r="Z1183" i="21"/>
  <c r="AA1183" i="21"/>
  <c r="AB1183" i="21" s="1"/>
  <c r="AC1183" i="21"/>
  <c r="AD1183" i="21"/>
  <c r="AE1183" i="21"/>
  <c r="AM1183" i="21" s="1"/>
  <c r="AF1183" i="21"/>
  <c r="AG1183" i="21"/>
  <c r="AH1183" i="21" s="1"/>
  <c r="AI1183" i="21"/>
  <c r="AJ1183" i="21"/>
  <c r="AK1183" i="21"/>
  <c r="AL1183" i="21" s="1"/>
  <c r="W1184" i="21"/>
  <c r="X1184" i="21"/>
  <c r="Y1184" i="21"/>
  <c r="Z1184" i="21"/>
  <c r="AA1184" i="21" s="1"/>
  <c r="AB1184" i="21"/>
  <c r="AC1184" i="21"/>
  <c r="AD1184" i="21"/>
  <c r="AE1184" i="21"/>
  <c r="AF1184" i="21"/>
  <c r="AG1184" i="21" s="1"/>
  <c r="AK1184" i="21" s="1"/>
  <c r="AL1184" i="21" s="1"/>
  <c r="AI1184" i="21"/>
  <c r="AJ1184" i="21"/>
  <c r="W1185" i="21"/>
  <c r="X1185" i="21"/>
  <c r="Y1185" i="21"/>
  <c r="Z1185" i="21"/>
  <c r="AA1185" i="21"/>
  <c r="AB1185" i="21" s="1"/>
  <c r="AC1185" i="21"/>
  <c r="AD1185" i="21"/>
  <c r="AE1185" i="21"/>
  <c r="AF1185" i="21"/>
  <c r="AG1185" i="21"/>
  <c r="AH1185" i="21" s="1"/>
  <c r="AI1185" i="21"/>
  <c r="AJ1185" i="21"/>
  <c r="W1186" i="21"/>
  <c r="X1186" i="21"/>
  <c r="Y1186" i="21"/>
  <c r="Z1186" i="21"/>
  <c r="AA1186" i="21" s="1"/>
  <c r="AC1186" i="21"/>
  <c r="AD1186" i="21"/>
  <c r="AE1186" i="21"/>
  <c r="AF1186" i="21"/>
  <c r="AG1186" i="21" s="1"/>
  <c r="AK1186" i="21" s="1"/>
  <c r="AH1186" i="21"/>
  <c r="AI1186" i="21"/>
  <c r="AJ1186" i="21"/>
  <c r="AL1186" i="21" s="1"/>
  <c r="AM1186" i="21" s="1"/>
  <c r="W1187" i="21"/>
  <c r="X1187" i="21"/>
  <c r="Y1187" i="21"/>
  <c r="Z1187" i="21"/>
  <c r="AA1187" i="21"/>
  <c r="AC1187" i="21"/>
  <c r="AD1187" i="21"/>
  <c r="AE1187" i="21"/>
  <c r="AF1187" i="21"/>
  <c r="AG1187" i="21"/>
  <c r="AH1187" i="21" s="1"/>
  <c r="AI1187" i="21"/>
  <c r="AJ1187" i="21"/>
  <c r="AK1187" i="21"/>
  <c r="W1188" i="21"/>
  <c r="X1188" i="21"/>
  <c r="Y1188" i="21"/>
  <c r="Z1188" i="21"/>
  <c r="AA1188" i="21" s="1"/>
  <c r="AB1188" i="21"/>
  <c r="AC1188" i="21"/>
  <c r="AD1188" i="21"/>
  <c r="AE1188" i="21"/>
  <c r="AF1188" i="21"/>
  <c r="AG1188" i="21" s="1"/>
  <c r="AK1188" i="21" s="1"/>
  <c r="AI1188" i="21"/>
  <c r="AJ1188" i="21"/>
  <c r="AL1188" i="21"/>
  <c r="W1189" i="21"/>
  <c r="X1189" i="21"/>
  <c r="Y1189" i="21"/>
  <c r="Z1189" i="21"/>
  <c r="AB1189" i="21" s="1"/>
  <c r="AA1189" i="21"/>
  <c r="AC1189" i="21"/>
  <c r="AD1189" i="21"/>
  <c r="AE1189" i="21"/>
  <c r="AF1189" i="21"/>
  <c r="AG1189" i="21"/>
  <c r="AH1189" i="21" s="1"/>
  <c r="AI1189" i="21"/>
  <c r="AJ1189" i="21"/>
  <c r="W1190" i="21"/>
  <c r="X1190" i="21"/>
  <c r="Y1190" i="21"/>
  <c r="Z1190" i="21"/>
  <c r="AA1190" i="21" s="1"/>
  <c r="AB1190" i="21"/>
  <c r="AC1190" i="21"/>
  <c r="AD1190" i="21"/>
  <c r="AE1190" i="21"/>
  <c r="AF1190" i="21"/>
  <c r="AG1190" i="21" s="1"/>
  <c r="AK1190" i="21" s="1"/>
  <c r="AH1190" i="21"/>
  <c r="AI1190" i="21"/>
  <c r="AJ1190" i="21"/>
  <c r="AL1190" i="21"/>
  <c r="AM1190" i="21" s="1"/>
  <c r="W1191" i="21"/>
  <c r="X1191" i="21"/>
  <c r="Y1191" i="21"/>
  <c r="Z1191" i="21"/>
  <c r="AA1191" i="21"/>
  <c r="AB1191" i="21" s="1"/>
  <c r="AC1191" i="21"/>
  <c r="AD1191" i="21"/>
  <c r="AE1191" i="21"/>
  <c r="AM1191" i="21" s="1"/>
  <c r="AF1191" i="21"/>
  <c r="AG1191" i="21"/>
  <c r="AH1191" i="21" s="1"/>
  <c r="AI1191" i="21"/>
  <c r="AJ1191" i="21"/>
  <c r="AK1191" i="21"/>
  <c r="AL1191" i="21" s="1"/>
  <c r="W1192" i="21"/>
  <c r="X1192" i="21"/>
  <c r="Y1192" i="21"/>
  <c r="Z1192" i="21"/>
  <c r="AA1192" i="21" s="1"/>
  <c r="AB1192" i="21"/>
  <c r="AC1192" i="21"/>
  <c r="AD1192" i="21"/>
  <c r="AE1192" i="21"/>
  <c r="AF1192" i="21"/>
  <c r="AG1192" i="21" s="1"/>
  <c r="AK1192" i="21" s="1"/>
  <c r="AH1192" i="21"/>
  <c r="AI1192" i="21"/>
  <c r="AJ1192" i="21"/>
  <c r="AL1192" i="21"/>
  <c r="W1193" i="21"/>
  <c r="X1193" i="21"/>
  <c r="Y1193" i="21"/>
  <c r="Z1193" i="21"/>
  <c r="AA1193" i="21"/>
  <c r="AB1193" i="21" s="1"/>
  <c r="AC1193" i="21"/>
  <c r="AD1193" i="21"/>
  <c r="AE1193" i="21"/>
  <c r="AM1193" i="21" s="1"/>
  <c r="AF1193" i="21"/>
  <c r="AG1193" i="21"/>
  <c r="AH1193" i="21" s="1"/>
  <c r="AI1193" i="21"/>
  <c r="AJ1193" i="21"/>
  <c r="AK1193" i="21"/>
  <c r="AL1193" i="21" s="1"/>
  <c r="W1194" i="21"/>
  <c r="X1194" i="21"/>
  <c r="Y1194" i="21"/>
  <c r="Z1194" i="21"/>
  <c r="AA1194" i="21" s="1"/>
  <c r="AC1194" i="21"/>
  <c r="AD1194" i="21"/>
  <c r="AE1194" i="21"/>
  <c r="AF1194" i="21"/>
  <c r="AG1194" i="21" s="1"/>
  <c r="AK1194" i="21" s="1"/>
  <c r="AH1194" i="21"/>
  <c r="AI1194" i="21"/>
  <c r="AJ1194" i="21"/>
  <c r="AL1194" i="21" s="1"/>
  <c r="AM1194" i="21" s="1"/>
  <c r="W1195" i="21"/>
  <c r="X1195" i="21"/>
  <c r="Y1195" i="21"/>
  <c r="Z1195" i="21"/>
  <c r="AA1195" i="21"/>
  <c r="AC1195" i="21"/>
  <c r="AD1195" i="21"/>
  <c r="AE1195" i="21"/>
  <c r="AF1195" i="21"/>
  <c r="AG1195" i="21"/>
  <c r="AK1195" i="21" s="1"/>
  <c r="AI1195" i="21"/>
  <c r="AJ1195" i="21"/>
  <c r="W1196" i="21"/>
  <c r="X1196" i="21"/>
  <c r="Y1196" i="21"/>
  <c r="Z1196" i="21"/>
  <c r="AA1196" i="21" s="1"/>
  <c r="AC1196" i="21"/>
  <c r="AD1196" i="21"/>
  <c r="AE1196" i="21"/>
  <c r="AF1196" i="21"/>
  <c r="AG1196" i="21"/>
  <c r="AK1196" i="21" s="1"/>
  <c r="AH1196" i="21"/>
  <c r="AI1196" i="21"/>
  <c r="AJ1196" i="21"/>
  <c r="AL1196" i="21"/>
  <c r="W1197" i="21"/>
  <c r="X1197" i="21"/>
  <c r="Y1197" i="21"/>
  <c r="Z1197" i="21"/>
  <c r="AA1197" i="21"/>
  <c r="AC1197" i="21"/>
  <c r="AD1197" i="21"/>
  <c r="AE1197" i="21"/>
  <c r="AF1197" i="21"/>
  <c r="AG1197" i="21"/>
  <c r="AH1197" i="21" s="1"/>
  <c r="AI1197" i="21"/>
  <c r="AJ1197" i="21"/>
  <c r="AK1197" i="21"/>
  <c r="AL1197" i="21" s="1"/>
  <c r="W1198" i="21"/>
  <c r="X1198" i="21"/>
  <c r="Y1198" i="21"/>
  <c r="Z1198" i="21"/>
  <c r="AA1198" i="21" s="1"/>
  <c r="AC1198" i="21"/>
  <c r="AD1198" i="21"/>
  <c r="AE1198" i="21"/>
  <c r="AF1198" i="21"/>
  <c r="AG1198" i="21" s="1"/>
  <c r="AI1198" i="21"/>
  <c r="AJ1198" i="21"/>
  <c r="W1199" i="21"/>
  <c r="X1199" i="21"/>
  <c r="Y1199" i="21"/>
  <c r="Z1199" i="21"/>
  <c r="AA1199" i="21"/>
  <c r="AB1199" i="21" s="1"/>
  <c r="AC1199" i="21"/>
  <c r="AD1199" i="21"/>
  <c r="AE1199" i="21"/>
  <c r="AF1199" i="21"/>
  <c r="AG1199" i="21"/>
  <c r="AH1199" i="21" s="1"/>
  <c r="AI1199" i="21"/>
  <c r="AJ1199" i="21"/>
  <c r="AK1199" i="21"/>
  <c r="AL1199" i="21" s="1"/>
  <c r="AM1199" i="21" s="1"/>
  <c r="W1200" i="21"/>
  <c r="X1200" i="21"/>
  <c r="Y1200" i="21"/>
  <c r="Z1200" i="21"/>
  <c r="AA1200" i="21" s="1"/>
  <c r="AB1200" i="21"/>
  <c r="AC1200" i="21"/>
  <c r="AD1200" i="21"/>
  <c r="AE1200" i="21"/>
  <c r="AF1200" i="21"/>
  <c r="AG1200" i="21" s="1"/>
  <c r="AH1200" i="21" s="1"/>
  <c r="AI1200" i="21"/>
  <c r="AJ1200" i="21"/>
  <c r="AL1200" i="21" s="1"/>
  <c r="AK1200" i="21"/>
  <c r="W1201" i="21"/>
  <c r="X1201" i="21"/>
  <c r="Y1201" i="21"/>
  <c r="Z1201" i="21"/>
  <c r="AA1201" i="21"/>
  <c r="AB1201" i="21"/>
  <c r="AC1201" i="21"/>
  <c r="AD1201" i="21"/>
  <c r="AE1201" i="21"/>
  <c r="AF1201" i="21"/>
  <c r="AG1201" i="21"/>
  <c r="AH1201" i="21" s="1"/>
  <c r="AI1201" i="21"/>
  <c r="AJ1201" i="21"/>
  <c r="AL1201" i="21" s="1"/>
  <c r="AK1201" i="21"/>
  <c r="W1202" i="21"/>
  <c r="X1202" i="21"/>
  <c r="Y1202" i="21"/>
  <c r="Z1202" i="21"/>
  <c r="AB1202" i="21" s="1"/>
  <c r="AA1202" i="21"/>
  <c r="AC1202" i="21"/>
  <c r="AD1202" i="21"/>
  <c r="AE1202" i="21"/>
  <c r="AF1202" i="21"/>
  <c r="AG1202" i="21"/>
  <c r="AK1202" i="21" s="1"/>
  <c r="AL1202" i="21" s="1"/>
  <c r="AM1202" i="21" s="1"/>
  <c r="AH1202" i="21"/>
  <c r="AI1202" i="21"/>
  <c r="AJ1202" i="21"/>
  <c r="W1203" i="21"/>
  <c r="X1203" i="21"/>
  <c r="Y1203" i="21"/>
  <c r="Z1203" i="21"/>
  <c r="AA1203" i="21" s="1"/>
  <c r="AC1203" i="21"/>
  <c r="AD1203" i="21"/>
  <c r="AE1203" i="21"/>
  <c r="AF1203" i="21"/>
  <c r="AG1203" i="21"/>
  <c r="AK1203" i="21" s="1"/>
  <c r="AH1203" i="21"/>
  <c r="AI1203" i="21"/>
  <c r="AJ1203" i="21"/>
  <c r="W1204" i="21"/>
  <c r="X1204" i="21"/>
  <c r="Y1204" i="21"/>
  <c r="Z1204" i="21"/>
  <c r="AA1204" i="21" s="1"/>
  <c r="AC1204" i="21"/>
  <c r="AD1204" i="21"/>
  <c r="AE1204" i="21"/>
  <c r="AF1204" i="21"/>
  <c r="AG1204" i="21"/>
  <c r="AK1204" i="21" s="1"/>
  <c r="AH1204" i="21"/>
  <c r="AI1204" i="21"/>
  <c r="AJ1204" i="21"/>
  <c r="AL1204" i="21" s="1"/>
  <c r="AM1204" i="21" s="1"/>
  <c r="W1205" i="21"/>
  <c r="X1205" i="21"/>
  <c r="Y1205" i="21"/>
  <c r="Z1205" i="21"/>
  <c r="AA1205" i="21" s="1"/>
  <c r="AC1205" i="21"/>
  <c r="AD1205" i="21"/>
  <c r="AE1205" i="21"/>
  <c r="AF1205" i="21"/>
  <c r="AG1205" i="21" s="1"/>
  <c r="AI1205" i="21"/>
  <c r="AJ1205" i="21"/>
  <c r="W1206" i="21"/>
  <c r="X1206" i="21"/>
  <c r="Y1206" i="21"/>
  <c r="Z1206" i="21"/>
  <c r="AA1206" i="21" s="1"/>
  <c r="AC1206" i="21"/>
  <c r="AD1206" i="21"/>
  <c r="AE1206" i="21"/>
  <c r="AF1206" i="21"/>
  <c r="AG1206" i="21" s="1"/>
  <c r="AI1206" i="21"/>
  <c r="AJ1206" i="21"/>
  <c r="W1207" i="21"/>
  <c r="X1207" i="21"/>
  <c r="Y1207" i="21"/>
  <c r="Z1207" i="21"/>
  <c r="AA1207" i="21" s="1"/>
  <c r="AC1207" i="21"/>
  <c r="AD1207" i="21"/>
  <c r="AE1207" i="21"/>
  <c r="AF1207" i="21"/>
  <c r="AG1207" i="21"/>
  <c r="AK1207" i="21" s="1"/>
  <c r="AL1207" i="21" s="1"/>
  <c r="AM1207" i="21" s="1"/>
  <c r="AH1207" i="21"/>
  <c r="AI1207" i="21"/>
  <c r="AJ1207" i="21"/>
  <c r="W1208" i="21"/>
  <c r="X1208" i="21"/>
  <c r="Y1208" i="21"/>
  <c r="Z1208" i="21"/>
  <c r="AA1208" i="21" s="1"/>
  <c r="AC1208" i="21"/>
  <c r="AD1208" i="21"/>
  <c r="AE1208" i="21"/>
  <c r="AF1208" i="21"/>
  <c r="AG1208" i="21"/>
  <c r="AH1208" i="21" s="1"/>
  <c r="AI1208" i="21"/>
  <c r="AJ1208" i="21"/>
  <c r="W1209" i="21"/>
  <c r="X1209" i="21"/>
  <c r="Y1209" i="21"/>
  <c r="Z1209" i="21"/>
  <c r="AA1209" i="21" s="1"/>
  <c r="AC1209" i="21"/>
  <c r="AD1209" i="21"/>
  <c r="AE1209" i="21"/>
  <c r="AF1209" i="21"/>
  <c r="AG1209" i="21" s="1"/>
  <c r="AI1209" i="21"/>
  <c r="AJ1209" i="21"/>
  <c r="W1210" i="21"/>
  <c r="X1210" i="21"/>
  <c r="Y1210" i="21"/>
  <c r="Z1210" i="21"/>
  <c r="AA1210" i="21"/>
  <c r="AB1210" i="21" s="1"/>
  <c r="AC1210" i="21"/>
  <c r="AD1210" i="21"/>
  <c r="AE1210" i="21"/>
  <c r="AF1210" i="21"/>
  <c r="AG1210" i="21" s="1"/>
  <c r="AI1210" i="21"/>
  <c r="AJ1210" i="21"/>
  <c r="W1211" i="21"/>
  <c r="X1211" i="21"/>
  <c r="Y1211" i="21"/>
  <c r="Z1211" i="21"/>
  <c r="AA1211" i="21" s="1"/>
  <c r="AC1211" i="21"/>
  <c r="AD1211" i="21"/>
  <c r="AE1211" i="21"/>
  <c r="AF1211" i="21"/>
  <c r="AG1211" i="21" s="1"/>
  <c r="AI1211" i="21"/>
  <c r="AJ1211" i="21"/>
  <c r="W1212" i="21"/>
  <c r="X1212" i="21"/>
  <c r="Y1212" i="21"/>
  <c r="Z1212" i="21"/>
  <c r="AA1212" i="21" s="1"/>
  <c r="AB1212" i="21" s="1"/>
  <c r="AC1212" i="21"/>
  <c r="AD1212" i="21"/>
  <c r="AE1212" i="21"/>
  <c r="AF1212" i="21"/>
  <c r="AG1212" i="21"/>
  <c r="AH1212" i="21" s="1"/>
  <c r="AI1212" i="21"/>
  <c r="AJ1212" i="21"/>
  <c r="AL1212" i="21" s="1"/>
  <c r="AK1212" i="21"/>
  <c r="W1213" i="21"/>
  <c r="X1213" i="21"/>
  <c r="Y1213" i="21"/>
  <c r="Z1213" i="21"/>
  <c r="AA1213" i="21"/>
  <c r="AB1213" i="21"/>
  <c r="AC1213" i="21"/>
  <c r="AD1213" i="21"/>
  <c r="AE1213" i="21"/>
  <c r="AF1213" i="21"/>
  <c r="AG1213" i="21" s="1"/>
  <c r="AI1213" i="21"/>
  <c r="AJ1213" i="21"/>
  <c r="W1214" i="21"/>
  <c r="X1214" i="21"/>
  <c r="Y1214" i="21"/>
  <c r="Z1214" i="21"/>
  <c r="AB1214" i="21" s="1"/>
  <c r="AA1214" i="21"/>
  <c r="AC1214" i="21"/>
  <c r="AD1214" i="21"/>
  <c r="AE1214" i="21"/>
  <c r="AF1214" i="21"/>
  <c r="AG1214" i="21" s="1"/>
  <c r="AI1214" i="21"/>
  <c r="AJ1214" i="21"/>
  <c r="W1215" i="21"/>
  <c r="X1215" i="21"/>
  <c r="Y1215" i="21"/>
  <c r="Z1215" i="21"/>
  <c r="AA1215" i="21" s="1"/>
  <c r="AC1215" i="21"/>
  <c r="AD1215" i="21"/>
  <c r="AE1215" i="21"/>
  <c r="AF1215" i="21"/>
  <c r="AG1215" i="21"/>
  <c r="AK1215" i="21" s="1"/>
  <c r="AL1215" i="21" s="1"/>
  <c r="AM1215" i="21" s="1"/>
  <c r="AH1215" i="21"/>
  <c r="AI1215" i="21"/>
  <c r="AJ1215" i="21"/>
  <c r="W1216" i="21"/>
  <c r="X1216" i="21"/>
  <c r="Y1216" i="21"/>
  <c r="Z1216" i="21"/>
  <c r="AA1216" i="21" s="1"/>
  <c r="AC1216" i="21"/>
  <c r="AD1216" i="21"/>
  <c r="AE1216" i="21"/>
  <c r="AF1216" i="21"/>
  <c r="AG1216" i="21"/>
  <c r="AH1216" i="21" s="1"/>
  <c r="AI1216" i="21"/>
  <c r="AJ1216" i="21"/>
  <c r="W1217" i="21"/>
  <c r="X1217" i="21"/>
  <c r="Y1217" i="21"/>
  <c r="Z1217" i="21"/>
  <c r="AA1217" i="21" s="1"/>
  <c r="AC1217" i="21"/>
  <c r="AD1217" i="21"/>
  <c r="AE1217" i="21"/>
  <c r="AF1217" i="21"/>
  <c r="AG1217" i="21" s="1"/>
  <c r="AI1217" i="21"/>
  <c r="AJ1217" i="21"/>
  <c r="W1218" i="21"/>
  <c r="X1218" i="21"/>
  <c r="Y1218" i="21"/>
  <c r="Z1218" i="21"/>
  <c r="AA1218" i="21"/>
  <c r="AB1218" i="21" s="1"/>
  <c r="AC1218" i="21"/>
  <c r="AD1218" i="21"/>
  <c r="AE1218" i="21"/>
  <c r="AF1218" i="21"/>
  <c r="AG1218" i="21" s="1"/>
  <c r="AI1218" i="21"/>
  <c r="AJ1218" i="21"/>
  <c r="W1219" i="21"/>
  <c r="X1219" i="21"/>
  <c r="Y1219" i="21"/>
  <c r="Z1219" i="21"/>
  <c r="AA1219" i="21" s="1"/>
  <c r="AC1219" i="21"/>
  <c r="AD1219" i="21"/>
  <c r="AE1219" i="21"/>
  <c r="AF1219" i="21"/>
  <c r="AG1219" i="21" s="1"/>
  <c r="AI1219" i="21"/>
  <c r="AJ1219" i="21"/>
  <c r="W1220" i="21"/>
  <c r="X1220" i="21"/>
  <c r="Y1220" i="21"/>
  <c r="Z1220" i="21"/>
  <c r="AA1220" i="21" s="1"/>
  <c r="AB1220" i="21" s="1"/>
  <c r="AC1220" i="21"/>
  <c r="AD1220" i="21"/>
  <c r="AE1220" i="21"/>
  <c r="AF1220" i="21"/>
  <c r="AG1220" i="21"/>
  <c r="AH1220" i="21" s="1"/>
  <c r="AI1220" i="21"/>
  <c r="AJ1220" i="21"/>
  <c r="AL1220" i="21" s="1"/>
  <c r="AK1220" i="21"/>
  <c r="W1221" i="21"/>
  <c r="X1221" i="21"/>
  <c r="Y1221" i="21"/>
  <c r="Z1221" i="21"/>
  <c r="AA1221" i="21"/>
  <c r="AB1221" i="21"/>
  <c r="AC1221" i="21"/>
  <c r="AD1221" i="21"/>
  <c r="AE1221" i="21"/>
  <c r="AF1221" i="21"/>
  <c r="AG1221" i="21" s="1"/>
  <c r="AI1221" i="21"/>
  <c r="AJ1221" i="21"/>
  <c r="W1222" i="21"/>
  <c r="X1222" i="21"/>
  <c r="Y1222" i="21"/>
  <c r="Z1222" i="21"/>
  <c r="AB1222" i="21" s="1"/>
  <c r="AA1222" i="21"/>
  <c r="AC1222" i="21"/>
  <c r="AD1222" i="21"/>
  <c r="AE1222" i="21"/>
  <c r="AF1222" i="21"/>
  <c r="AG1222" i="21" s="1"/>
  <c r="AI1222" i="21"/>
  <c r="AJ1222" i="21"/>
  <c r="W1223" i="21"/>
  <c r="X1223" i="21"/>
  <c r="Y1223" i="21"/>
  <c r="Z1223" i="21"/>
  <c r="AA1223" i="21" s="1"/>
  <c r="AC1223" i="21"/>
  <c r="AD1223" i="21"/>
  <c r="AE1223" i="21"/>
  <c r="AF1223" i="21"/>
  <c r="AG1223" i="21"/>
  <c r="AK1223" i="21" s="1"/>
  <c r="AL1223" i="21" s="1"/>
  <c r="AM1223" i="21" s="1"/>
  <c r="AH1223" i="21"/>
  <c r="AI1223" i="21"/>
  <c r="AJ1223" i="21"/>
  <c r="W1224" i="21"/>
  <c r="X1224" i="21"/>
  <c r="Y1224" i="21"/>
  <c r="Z1224" i="21"/>
  <c r="AA1224" i="21" s="1"/>
  <c r="AC1224" i="21"/>
  <c r="AD1224" i="21"/>
  <c r="AE1224" i="21"/>
  <c r="AF1224" i="21"/>
  <c r="AG1224" i="21"/>
  <c r="AH1224" i="21" s="1"/>
  <c r="AI1224" i="21"/>
  <c r="AJ1224" i="21"/>
  <c r="W1225" i="21"/>
  <c r="X1225" i="21"/>
  <c r="Y1225" i="21"/>
  <c r="Z1225" i="21"/>
  <c r="AA1225" i="21" s="1"/>
  <c r="AB1225" i="21" s="1"/>
  <c r="AC1225" i="21"/>
  <c r="AD1225" i="21"/>
  <c r="AE1225" i="21"/>
  <c r="AF1225" i="21"/>
  <c r="AG1225" i="21" s="1"/>
  <c r="AI1225" i="21"/>
  <c r="AJ1225" i="21"/>
  <c r="W1226" i="21"/>
  <c r="X1226" i="21"/>
  <c r="Y1226" i="21"/>
  <c r="Z1226" i="21"/>
  <c r="AA1226" i="21"/>
  <c r="AB1226" i="21" s="1"/>
  <c r="AC1226" i="21"/>
  <c r="AD1226" i="21"/>
  <c r="AE1226" i="21"/>
  <c r="AF1226" i="21"/>
  <c r="AG1226" i="21" s="1"/>
  <c r="AI1226" i="21"/>
  <c r="AJ1226" i="21"/>
  <c r="W1227" i="21"/>
  <c r="X1227" i="21"/>
  <c r="Y1227" i="21"/>
  <c r="Z1227" i="21"/>
  <c r="AA1227" i="21" s="1"/>
  <c r="AC1227" i="21"/>
  <c r="AD1227" i="21"/>
  <c r="AE1227" i="21"/>
  <c r="AF1227" i="21"/>
  <c r="AG1227" i="21" s="1"/>
  <c r="AI1227" i="21"/>
  <c r="AJ1227" i="21"/>
  <c r="W1228" i="21"/>
  <c r="X1228" i="21"/>
  <c r="Y1228" i="21"/>
  <c r="Z1228" i="21"/>
  <c r="AA1228" i="21" s="1"/>
  <c r="AB1228" i="21" s="1"/>
  <c r="AC1228" i="21"/>
  <c r="AD1228" i="21"/>
  <c r="AE1228" i="21"/>
  <c r="AF1228" i="21"/>
  <c r="AG1228" i="21"/>
  <c r="AH1228" i="21" s="1"/>
  <c r="AI1228" i="21"/>
  <c r="AJ1228" i="21"/>
  <c r="AL1228" i="21" s="1"/>
  <c r="AM1228" i="21" s="1"/>
  <c r="AK1228" i="21"/>
  <c r="W1229" i="21"/>
  <c r="X1229" i="21"/>
  <c r="Y1229" i="21"/>
  <c r="Z1229" i="21"/>
  <c r="AA1229" i="21"/>
  <c r="AB1229" i="21"/>
  <c r="AC1229" i="21"/>
  <c r="AD1229" i="21"/>
  <c r="AE1229" i="21"/>
  <c r="AF1229" i="21"/>
  <c r="AG1229" i="21" s="1"/>
  <c r="AI1229" i="21"/>
  <c r="AJ1229" i="21"/>
  <c r="W1230" i="21"/>
  <c r="X1230" i="21"/>
  <c r="Y1230" i="21"/>
  <c r="Z1230" i="21"/>
  <c r="AB1230" i="21" s="1"/>
  <c r="AA1230" i="21"/>
  <c r="AC1230" i="21"/>
  <c r="AD1230" i="21"/>
  <c r="AE1230" i="21"/>
  <c r="AF1230" i="21"/>
  <c r="AG1230" i="21" s="1"/>
  <c r="AI1230" i="21"/>
  <c r="AJ1230" i="21"/>
  <c r="W1231" i="21"/>
  <c r="X1231" i="21"/>
  <c r="Y1231" i="21"/>
  <c r="Z1231" i="21"/>
  <c r="AA1231" i="21" s="1"/>
  <c r="AC1231" i="21"/>
  <c r="AD1231" i="21"/>
  <c r="AE1231" i="21"/>
  <c r="AF1231" i="21"/>
  <c r="AG1231" i="21"/>
  <c r="AK1231" i="21" s="1"/>
  <c r="AL1231" i="21" s="1"/>
  <c r="AM1231" i="21" s="1"/>
  <c r="AH1231" i="21"/>
  <c r="AI1231" i="21"/>
  <c r="AJ1231" i="21"/>
  <c r="W1232" i="21"/>
  <c r="X1232" i="21"/>
  <c r="Y1232" i="21"/>
  <c r="Z1232" i="21"/>
  <c r="AA1232" i="21" s="1"/>
  <c r="AC1232" i="21"/>
  <c r="AD1232" i="21"/>
  <c r="AE1232" i="21"/>
  <c r="AF1232" i="21"/>
  <c r="AG1232" i="21"/>
  <c r="AH1232" i="21" s="1"/>
  <c r="AI1232" i="21"/>
  <c r="AJ1232" i="21"/>
  <c r="W1233" i="21"/>
  <c r="X1233" i="21"/>
  <c r="Y1233" i="21"/>
  <c r="Z1233" i="21"/>
  <c r="AA1233" i="21" s="1"/>
  <c r="AB1233" i="21" s="1"/>
  <c r="AC1233" i="21"/>
  <c r="AD1233" i="21"/>
  <c r="AE1233" i="21"/>
  <c r="AF1233" i="21"/>
  <c r="AG1233" i="21" s="1"/>
  <c r="AI1233" i="21"/>
  <c r="AJ1233" i="21"/>
  <c r="W1234" i="21"/>
  <c r="X1234" i="21"/>
  <c r="Y1234" i="21"/>
  <c r="Z1234" i="21"/>
  <c r="AA1234" i="21"/>
  <c r="AB1234" i="21" s="1"/>
  <c r="AC1234" i="21"/>
  <c r="AD1234" i="21"/>
  <c r="AE1234" i="21"/>
  <c r="AF1234" i="21"/>
  <c r="AG1234" i="21" s="1"/>
  <c r="AI1234" i="21"/>
  <c r="AJ1234" i="21"/>
  <c r="W1235" i="21"/>
  <c r="X1235" i="21"/>
  <c r="Y1235" i="21"/>
  <c r="Z1235" i="21"/>
  <c r="AA1235" i="21" s="1"/>
  <c r="AC1235" i="21"/>
  <c r="AD1235" i="21"/>
  <c r="AE1235" i="21"/>
  <c r="AF1235" i="21"/>
  <c r="AG1235" i="21" s="1"/>
  <c r="AI1235" i="21"/>
  <c r="AJ1235" i="21"/>
  <c r="W1236" i="21"/>
  <c r="X1236" i="21"/>
  <c r="Y1236" i="21"/>
  <c r="Z1236" i="21"/>
  <c r="AA1236" i="21" s="1"/>
  <c r="AB1236" i="21" s="1"/>
  <c r="AC1236" i="21"/>
  <c r="AD1236" i="21"/>
  <c r="AE1236" i="21"/>
  <c r="AF1236" i="21"/>
  <c r="AG1236" i="21"/>
  <c r="AH1236" i="21" s="1"/>
  <c r="AI1236" i="21"/>
  <c r="AJ1236" i="21"/>
  <c r="AL1236" i="21" s="1"/>
  <c r="AM1236" i="21" s="1"/>
  <c r="AK1236" i="21"/>
  <c r="W1237" i="21"/>
  <c r="X1237" i="21"/>
  <c r="Y1237" i="21"/>
  <c r="Z1237" i="21"/>
  <c r="AA1237" i="21"/>
  <c r="AB1237" i="21"/>
  <c r="AC1237" i="21"/>
  <c r="AD1237" i="21"/>
  <c r="AE1237" i="21"/>
  <c r="AF1237" i="21"/>
  <c r="AG1237" i="21" s="1"/>
  <c r="AI1237" i="21"/>
  <c r="AJ1237" i="21"/>
  <c r="W1238" i="21"/>
  <c r="X1238" i="21"/>
  <c r="Y1238" i="21"/>
  <c r="Z1238" i="21"/>
  <c r="AB1238" i="21" s="1"/>
  <c r="AA1238" i="21"/>
  <c r="AC1238" i="21"/>
  <c r="AD1238" i="21"/>
  <c r="AE1238" i="21"/>
  <c r="AF1238" i="21"/>
  <c r="AG1238" i="21" s="1"/>
  <c r="AI1238" i="21"/>
  <c r="AJ1238" i="21"/>
  <c r="W1239" i="21"/>
  <c r="X1239" i="21"/>
  <c r="Y1239" i="21"/>
  <c r="Z1239" i="21"/>
  <c r="AA1239" i="21" s="1"/>
  <c r="AC1239" i="21"/>
  <c r="AD1239" i="21"/>
  <c r="AE1239" i="21"/>
  <c r="AF1239" i="21"/>
  <c r="AG1239" i="21"/>
  <c r="AK1239" i="21" s="1"/>
  <c r="AL1239" i="21" s="1"/>
  <c r="AM1239" i="21" s="1"/>
  <c r="AH1239" i="21"/>
  <c r="AI1239" i="21"/>
  <c r="AJ1239" i="21"/>
  <c r="W1240" i="21"/>
  <c r="X1240" i="21"/>
  <c r="Y1240" i="21"/>
  <c r="Z1240" i="21"/>
  <c r="AA1240" i="21" s="1"/>
  <c r="AC1240" i="21"/>
  <c r="AD1240" i="21"/>
  <c r="AE1240" i="21"/>
  <c r="AF1240" i="21"/>
  <c r="AG1240" i="21"/>
  <c r="AH1240" i="21" s="1"/>
  <c r="AI1240" i="21"/>
  <c r="AJ1240" i="21"/>
  <c r="W1241" i="21"/>
  <c r="X1241" i="21"/>
  <c r="Y1241" i="21"/>
  <c r="Z1241" i="21"/>
  <c r="AA1241" i="21" s="1"/>
  <c r="AB1241" i="21" s="1"/>
  <c r="AC1241" i="21"/>
  <c r="AD1241" i="21"/>
  <c r="AE1241" i="21"/>
  <c r="AF1241" i="21"/>
  <c r="AG1241" i="21" s="1"/>
  <c r="AI1241" i="21"/>
  <c r="AJ1241" i="21"/>
  <c r="W1242" i="21"/>
  <c r="X1242" i="21"/>
  <c r="Y1242" i="21"/>
  <c r="Z1242" i="21"/>
  <c r="AA1242" i="21"/>
  <c r="AB1242" i="21" s="1"/>
  <c r="AC1242" i="21"/>
  <c r="AD1242" i="21"/>
  <c r="AE1242" i="21"/>
  <c r="AF1242" i="21"/>
  <c r="AG1242" i="21" s="1"/>
  <c r="AI1242" i="21"/>
  <c r="AJ1242" i="21"/>
  <c r="W1243" i="21"/>
  <c r="X1243" i="21"/>
  <c r="Y1243" i="21"/>
  <c r="Z1243" i="21"/>
  <c r="AA1243" i="21" s="1"/>
  <c r="AC1243" i="21"/>
  <c r="AD1243" i="21"/>
  <c r="AE1243" i="21"/>
  <c r="AF1243" i="21"/>
  <c r="AG1243" i="21" s="1"/>
  <c r="AI1243" i="21"/>
  <c r="AJ1243" i="21"/>
  <c r="W1244" i="21"/>
  <c r="X1244" i="21"/>
  <c r="Y1244" i="21"/>
  <c r="Z1244" i="21"/>
  <c r="AA1244" i="21" s="1"/>
  <c r="AB1244" i="21" s="1"/>
  <c r="AC1244" i="21"/>
  <c r="AD1244" i="21"/>
  <c r="AE1244" i="21"/>
  <c r="AF1244" i="21"/>
  <c r="AG1244" i="21"/>
  <c r="AH1244" i="21" s="1"/>
  <c r="AI1244" i="21"/>
  <c r="AJ1244" i="21"/>
  <c r="AL1244" i="21" s="1"/>
  <c r="AK1244" i="21"/>
  <c r="W1245" i="21"/>
  <c r="X1245" i="21"/>
  <c r="Y1245" i="21"/>
  <c r="Z1245" i="21"/>
  <c r="AA1245" i="21"/>
  <c r="AB1245" i="21"/>
  <c r="AC1245" i="21"/>
  <c r="AD1245" i="21"/>
  <c r="AE1245" i="21"/>
  <c r="AF1245" i="21"/>
  <c r="AG1245" i="21" s="1"/>
  <c r="AI1245" i="21"/>
  <c r="AJ1245" i="21"/>
  <c r="W1246" i="21"/>
  <c r="X1246" i="21"/>
  <c r="Y1246" i="21"/>
  <c r="Z1246" i="21"/>
  <c r="AB1246" i="21" s="1"/>
  <c r="AA1246" i="21"/>
  <c r="AC1246" i="21"/>
  <c r="AD1246" i="21"/>
  <c r="AE1246" i="21"/>
  <c r="AF1246" i="21"/>
  <c r="AG1246" i="21" s="1"/>
  <c r="AI1246" i="21"/>
  <c r="AJ1246" i="21"/>
  <c r="W1247" i="21"/>
  <c r="X1247" i="21"/>
  <c r="Y1247" i="21"/>
  <c r="Z1247" i="21"/>
  <c r="AA1247" i="21" s="1"/>
  <c r="AC1247" i="21"/>
  <c r="AD1247" i="21"/>
  <c r="AE1247" i="21"/>
  <c r="AF1247" i="21"/>
  <c r="AG1247" i="21"/>
  <c r="AK1247" i="21" s="1"/>
  <c r="AL1247" i="21" s="1"/>
  <c r="AM1247" i="21" s="1"/>
  <c r="AH1247" i="21"/>
  <c r="AI1247" i="21"/>
  <c r="AJ1247" i="21"/>
  <c r="W1248" i="21"/>
  <c r="X1248" i="21"/>
  <c r="Y1248" i="21"/>
  <c r="Z1248" i="21"/>
  <c r="AA1248" i="21" s="1"/>
  <c r="AC1248" i="21"/>
  <c r="AD1248" i="21"/>
  <c r="AE1248" i="21"/>
  <c r="AF1248" i="21"/>
  <c r="AG1248" i="21"/>
  <c r="AH1248" i="21" s="1"/>
  <c r="AI1248" i="21"/>
  <c r="AJ1248" i="21"/>
  <c r="W1249" i="21"/>
  <c r="X1249" i="21"/>
  <c r="Y1249" i="21"/>
  <c r="Z1249" i="21"/>
  <c r="AA1249" i="21" s="1"/>
  <c r="AB1249" i="21" s="1"/>
  <c r="AC1249" i="21"/>
  <c r="AD1249" i="21"/>
  <c r="AE1249" i="21"/>
  <c r="AF1249" i="21"/>
  <c r="AG1249" i="21" s="1"/>
  <c r="AI1249" i="21"/>
  <c r="AJ1249" i="21"/>
  <c r="W1250" i="21"/>
  <c r="X1250" i="21"/>
  <c r="Y1250" i="21"/>
  <c r="Z1250" i="21"/>
  <c r="AA1250" i="21"/>
  <c r="AB1250" i="21" s="1"/>
  <c r="AC1250" i="21"/>
  <c r="AD1250" i="21"/>
  <c r="AE1250" i="21"/>
  <c r="AF1250" i="21"/>
  <c r="AG1250" i="21" s="1"/>
  <c r="AI1250" i="21"/>
  <c r="AJ1250" i="21"/>
  <c r="W1251" i="21"/>
  <c r="X1251" i="21"/>
  <c r="Y1251" i="21"/>
  <c r="Z1251" i="21"/>
  <c r="AA1251" i="21" s="1"/>
  <c r="AC1251" i="21"/>
  <c r="AD1251" i="21"/>
  <c r="AE1251" i="21"/>
  <c r="AF1251" i="21"/>
  <c r="AG1251" i="21" s="1"/>
  <c r="AI1251" i="21"/>
  <c r="AJ1251" i="21"/>
  <c r="W1252" i="21"/>
  <c r="X1252" i="21"/>
  <c r="Y1252" i="21"/>
  <c r="Z1252" i="21"/>
  <c r="AA1252" i="21" s="1"/>
  <c r="AB1252" i="21" s="1"/>
  <c r="AC1252" i="21"/>
  <c r="AD1252" i="21"/>
  <c r="AE1252" i="21"/>
  <c r="AF1252" i="21"/>
  <c r="AG1252" i="21"/>
  <c r="AH1252" i="21" s="1"/>
  <c r="AI1252" i="21"/>
  <c r="AJ1252" i="21"/>
  <c r="AL1252" i="21" s="1"/>
  <c r="AK1252" i="21"/>
  <c r="W1253" i="21"/>
  <c r="X1253" i="21"/>
  <c r="Y1253" i="21"/>
  <c r="Z1253" i="21"/>
  <c r="AA1253" i="21"/>
  <c r="AB1253" i="21"/>
  <c r="AC1253" i="21"/>
  <c r="AD1253" i="21"/>
  <c r="AE1253" i="21"/>
  <c r="AF1253" i="21"/>
  <c r="AG1253" i="21" s="1"/>
  <c r="AI1253" i="21"/>
  <c r="AJ1253" i="21"/>
  <c r="W1254" i="21"/>
  <c r="X1254" i="21"/>
  <c r="Y1254" i="21"/>
  <c r="Z1254" i="21"/>
  <c r="AB1254" i="21" s="1"/>
  <c r="AA1254" i="21"/>
  <c r="AC1254" i="21"/>
  <c r="AD1254" i="21"/>
  <c r="AE1254" i="21"/>
  <c r="AF1254" i="21"/>
  <c r="AG1254" i="21" s="1"/>
  <c r="AI1254" i="21"/>
  <c r="AJ1254" i="21"/>
  <c r="W1255" i="21"/>
  <c r="X1255" i="21"/>
  <c r="Y1255" i="21"/>
  <c r="Z1255" i="21"/>
  <c r="AA1255" i="21" s="1"/>
  <c r="AC1255" i="21"/>
  <c r="AD1255" i="21"/>
  <c r="AE1255" i="21"/>
  <c r="AF1255" i="21"/>
  <c r="AG1255" i="21"/>
  <c r="AK1255" i="21" s="1"/>
  <c r="AL1255" i="21" s="1"/>
  <c r="AM1255" i="21" s="1"/>
  <c r="AH1255" i="21"/>
  <c r="AI1255" i="21"/>
  <c r="AJ1255" i="21"/>
  <c r="W1256" i="21"/>
  <c r="X1256" i="21"/>
  <c r="Y1256" i="21"/>
  <c r="Z1256" i="21"/>
  <c r="AA1256" i="21" s="1"/>
  <c r="AC1256" i="21"/>
  <c r="AD1256" i="21"/>
  <c r="AE1256" i="21"/>
  <c r="AF1256" i="21"/>
  <c r="AG1256" i="21"/>
  <c r="AH1256" i="21" s="1"/>
  <c r="AI1256" i="21"/>
  <c r="AJ1256" i="21"/>
  <c r="W1257" i="21"/>
  <c r="X1257" i="21"/>
  <c r="Y1257" i="21"/>
  <c r="Z1257" i="21"/>
  <c r="AA1257" i="21" s="1"/>
  <c r="AB1257" i="21" s="1"/>
  <c r="AC1257" i="21"/>
  <c r="AD1257" i="21"/>
  <c r="AE1257" i="21"/>
  <c r="AF1257" i="21"/>
  <c r="AG1257" i="21" s="1"/>
  <c r="AI1257" i="21"/>
  <c r="AJ1257" i="21"/>
  <c r="W1258" i="21"/>
  <c r="X1258" i="21"/>
  <c r="Y1258" i="21"/>
  <c r="Z1258" i="21"/>
  <c r="AA1258" i="21"/>
  <c r="AB1258" i="21" s="1"/>
  <c r="AC1258" i="21"/>
  <c r="AD1258" i="21"/>
  <c r="AE1258" i="21"/>
  <c r="AF1258" i="21"/>
  <c r="AG1258" i="21" s="1"/>
  <c r="AI1258" i="21"/>
  <c r="AJ1258" i="21"/>
  <c r="W1259" i="21"/>
  <c r="X1259" i="21"/>
  <c r="Y1259" i="21"/>
  <c r="Z1259" i="21"/>
  <c r="AA1259" i="21" s="1"/>
  <c r="AC1259" i="21"/>
  <c r="AD1259" i="21"/>
  <c r="AE1259" i="21"/>
  <c r="AF1259" i="21"/>
  <c r="AG1259" i="21" s="1"/>
  <c r="AI1259" i="21"/>
  <c r="AJ1259" i="21"/>
  <c r="W1260" i="21"/>
  <c r="X1260" i="21"/>
  <c r="Y1260" i="21"/>
  <c r="Z1260" i="21"/>
  <c r="AA1260" i="21" s="1"/>
  <c r="AB1260" i="21" s="1"/>
  <c r="AC1260" i="21"/>
  <c r="AD1260" i="21"/>
  <c r="AE1260" i="21"/>
  <c r="AF1260" i="21"/>
  <c r="AG1260" i="21"/>
  <c r="AH1260" i="21" s="1"/>
  <c r="AI1260" i="21"/>
  <c r="AJ1260" i="21"/>
  <c r="AL1260" i="21" s="1"/>
  <c r="AM1260" i="21" s="1"/>
  <c r="AK1260" i="21"/>
  <c r="W1261" i="21"/>
  <c r="X1261" i="21"/>
  <c r="Y1261" i="21"/>
  <c r="Z1261" i="21"/>
  <c r="AA1261" i="21"/>
  <c r="AB1261" i="21"/>
  <c r="AC1261" i="21"/>
  <c r="AD1261" i="21"/>
  <c r="AE1261" i="21"/>
  <c r="AF1261" i="21"/>
  <c r="AG1261" i="21" s="1"/>
  <c r="AI1261" i="21"/>
  <c r="AJ1261" i="21"/>
  <c r="W1262" i="21"/>
  <c r="X1262" i="21"/>
  <c r="Y1262" i="21"/>
  <c r="Z1262" i="21"/>
  <c r="AB1262" i="21" s="1"/>
  <c r="AA1262" i="21"/>
  <c r="AC1262" i="21"/>
  <c r="AD1262" i="21"/>
  <c r="AE1262" i="21"/>
  <c r="AF1262" i="21"/>
  <c r="AG1262" i="21" s="1"/>
  <c r="AI1262" i="21"/>
  <c r="AJ1262" i="21"/>
  <c r="W1263" i="21"/>
  <c r="X1263" i="21"/>
  <c r="Y1263" i="21"/>
  <c r="Z1263" i="21"/>
  <c r="AA1263" i="21" s="1"/>
  <c r="AC1263" i="21"/>
  <c r="AD1263" i="21"/>
  <c r="AE1263" i="21"/>
  <c r="AF1263" i="21"/>
  <c r="AG1263" i="21"/>
  <c r="AK1263" i="21" s="1"/>
  <c r="AL1263" i="21" s="1"/>
  <c r="AM1263" i="21" s="1"/>
  <c r="AH1263" i="21"/>
  <c r="AI1263" i="21"/>
  <c r="AJ1263" i="21"/>
  <c r="W1264" i="21"/>
  <c r="X1264" i="21"/>
  <c r="Y1264" i="21"/>
  <c r="Z1264" i="21"/>
  <c r="AA1264" i="21" s="1"/>
  <c r="AC1264" i="21"/>
  <c r="AD1264" i="21"/>
  <c r="AE1264" i="21"/>
  <c r="AF1264" i="21"/>
  <c r="AG1264" i="21"/>
  <c r="AH1264" i="21" s="1"/>
  <c r="AI1264" i="21"/>
  <c r="AJ1264" i="21"/>
  <c r="W1265" i="21"/>
  <c r="X1265" i="21"/>
  <c r="Y1265" i="21"/>
  <c r="Z1265" i="21"/>
  <c r="AA1265" i="21" s="1"/>
  <c r="AB1265" i="21" s="1"/>
  <c r="AC1265" i="21"/>
  <c r="AD1265" i="21"/>
  <c r="AE1265" i="21"/>
  <c r="AF1265" i="21"/>
  <c r="AG1265" i="21" s="1"/>
  <c r="AI1265" i="21"/>
  <c r="AJ1265" i="21"/>
  <c r="W1266" i="21"/>
  <c r="X1266" i="21"/>
  <c r="Y1266" i="21"/>
  <c r="Z1266" i="21"/>
  <c r="AA1266" i="21"/>
  <c r="AB1266" i="21" s="1"/>
  <c r="AC1266" i="21"/>
  <c r="AD1266" i="21"/>
  <c r="AE1266" i="21"/>
  <c r="AF1266" i="21"/>
  <c r="AG1266" i="21" s="1"/>
  <c r="AI1266" i="21"/>
  <c r="AJ1266" i="21"/>
  <c r="W1267" i="21"/>
  <c r="X1267" i="21"/>
  <c r="Y1267" i="21"/>
  <c r="Z1267" i="21"/>
  <c r="AA1267" i="21" s="1"/>
  <c r="AC1267" i="21"/>
  <c r="AD1267" i="21"/>
  <c r="AE1267" i="21"/>
  <c r="AF1267" i="21"/>
  <c r="AG1267" i="21" s="1"/>
  <c r="AI1267" i="21"/>
  <c r="AJ1267" i="21"/>
  <c r="W1268" i="21"/>
  <c r="X1268" i="21"/>
  <c r="Y1268" i="21"/>
  <c r="Z1268" i="21"/>
  <c r="AA1268" i="21" s="1"/>
  <c r="AB1268" i="21" s="1"/>
  <c r="AC1268" i="21"/>
  <c r="AD1268" i="21"/>
  <c r="AE1268" i="21"/>
  <c r="AF1268" i="21"/>
  <c r="AG1268" i="21"/>
  <c r="AH1268" i="21" s="1"/>
  <c r="AI1268" i="21"/>
  <c r="AJ1268" i="21"/>
  <c r="AL1268" i="21" s="1"/>
  <c r="AM1268" i="21" s="1"/>
  <c r="AK1268" i="21"/>
  <c r="W1269" i="21"/>
  <c r="X1269" i="21"/>
  <c r="Y1269" i="21"/>
  <c r="Z1269" i="21"/>
  <c r="AA1269" i="21"/>
  <c r="AB1269" i="21"/>
  <c r="AC1269" i="21"/>
  <c r="AD1269" i="21"/>
  <c r="AE1269" i="21"/>
  <c r="AF1269" i="21"/>
  <c r="AG1269" i="21" s="1"/>
  <c r="AI1269" i="21"/>
  <c r="AJ1269" i="21"/>
  <c r="W1270" i="21"/>
  <c r="X1270" i="21"/>
  <c r="Y1270" i="21"/>
  <c r="Z1270" i="21"/>
  <c r="AB1270" i="21" s="1"/>
  <c r="AA1270" i="21"/>
  <c r="AC1270" i="21"/>
  <c r="AD1270" i="21"/>
  <c r="AE1270" i="21"/>
  <c r="AF1270" i="21"/>
  <c r="AG1270" i="21" s="1"/>
  <c r="AI1270" i="21"/>
  <c r="AJ1270" i="21"/>
  <c r="W1271" i="21"/>
  <c r="X1271" i="21"/>
  <c r="Y1271" i="21"/>
  <c r="Z1271" i="21"/>
  <c r="AA1271" i="21" s="1"/>
  <c r="AC1271" i="21"/>
  <c r="AD1271" i="21"/>
  <c r="AE1271" i="21"/>
  <c r="AF1271" i="21"/>
  <c r="AG1271" i="21"/>
  <c r="AK1271" i="21" s="1"/>
  <c r="AL1271" i="21" s="1"/>
  <c r="AM1271" i="21" s="1"/>
  <c r="AH1271" i="21"/>
  <c r="AI1271" i="21"/>
  <c r="AJ1271" i="21"/>
  <c r="W1272" i="21"/>
  <c r="X1272" i="21"/>
  <c r="Y1272" i="21"/>
  <c r="Z1272" i="21"/>
  <c r="AA1272" i="21" s="1"/>
  <c r="AC1272" i="21"/>
  <c r="AD1272" i="21"/>
  <c r="AE1272" i="21"/>
  <c r="AF1272" i="21"/>
  <c r="AG1272" i="21"/>
  <c r="AH1272" i="21" s="1"/>
  <c r="AI1272" i="21"/>
  <c r="AJ1272" i="21"/>
  <c r="W1273" i="21"/>
  <c r="X1273" i="21"/>
  <c r="Y1273" i="21"/>
  <c r="Z1273" i="21"/>
  <c r="AA1273" i="21" s="1"/>
  <c r="AB1273" i="21" s="1"/>
  <c r="AC1273" i="21"/>
  <c r="AD1273" i="21"/>
  <c r="AE1273" i="21"/>
  <c r="AF1273" i="21"/>
  <c r="AG1273" i="21" s="1"/>
  <c r="AI1273" i="21"/>
  <c r="AJ1273" i="21"/>
  <c r="W1274" i="21"/>
  <c r="X1274" i="21"/>
  <c r="Y1274" i="21"/>
  <c r="Z1274" i="21"/>
  <c r="AA1274" i="21"/>
  <c r="AB1274" i="21" s="1"/>
  <c r="AC1274" i="21"/>
  <c r="AD1274" i="21"/>
  <c r="AE1274" i="21"/>
  <c r="AF1274" i="21"/>
  <c r="AG1274" i="21" s="1"/>
  <c r="AI1274" i="21"/>
  <c r="AJ1274" i="21"/>
  <c r="W1275" i="21"/>
  <c r="X1275" i="21"/>
  <c r="Y1275" i="21"/>
  <c r="Z1275" i="21"/>
  <c r="AA1275" i="21" s="1"/>
  <c r="AC1275" i="21"/>
  <c r="AD1275" i="21"/>
  <c r="AE1275" i="21"/>
  <c r="AF1275" i="21"/>
  <c r="AG1275" i="21" s="1"/>
  <c r="AI1275" i="21"/>
  <c r="AJ1275" i="21"/>
  <c r="W1276" i="21"/>
  <c r="X1276" i="21"/>
  <c r="Y1276" i="21"/>
  <c r="Z1276" i="21"/>
  <c r="AA1276" i="21" s="1"/>
  <c r="AB1276" i="21" s="1"/>
  <c r="AC1276" i="21"/>
  <c r="AD1276" i="21"/>
  <c r="AE1276" i="21"/>
  <c r="AF1276" i="21"/>
  <c r="AG1276" i="21"/>
  <c r="AH1276" i="21" s="1"/>
  <c r="AI1276" i="21"/>
  <c r="AJ1276" i="21"/>
  <c r="AL1276" i="21" s="1"/>
  <c r="AK1276" i="21"/>
  <c r="W1277" i="21"/>
  <c r="X1277" i="21"/>
  <c r="Y1277" i="21"/>
  <c r="Z1277" i="21"/>
  <c r="AA1277" i="21"/>
  <c r="AB1277" i="21"/>
  <c r="AC1277" i="21"/>
  <c r="AD1277" i="21"/>
  <c r="AE1277" i="21"/>
  <c r="AF1277" i="21"/>
  <c r="AG1277" i="21" s="1"/>
  <c r="AI1277" i="21"/>
  <c r="AJ1277" i="21"/>
  <c r="W1278" i="21"/>
  <c r="X1278" i="21"/>
  <c r="Y1278" i="21"/>
  <c r="Z1278" i="21"/>
  <c r="AB1278" i="21" s="1"/>
  <c r="AA1278" i="21"/>
  <c r="AC1278" i="21"/>
  <c r="AD1278" i="21"/>
  <c r="AE1278" i="21"/>
  <c r="AF1278" i="21"/>
  <c r="AG1278" i="21" s="1"/>
  <c r="AI1278" i="21"/>
  <c r="AJ1278" i="21"/>
  <c r="W1279" i="21"/>
  <c r="X1279" i="21"/>
  <c r="Y1279" i="21"/>
  <c r="Z1279" i="21"/>
  <c r="AA1279" i="21" s="1"/>
  <c r="AC1279" i="21"/>
  <c r="AD1279" i="21"/>
  <c r="AE1279" i="21"/>
  <c r="AF1279" i="21"/>
  <c r="AG1279" i="21"/>
  <c r="AK1279" i="21" s="1"/>
  <c r="AL1279" i="21" s="1"/>
  <c r="AM1279" i="21" s="1"/>
  <c r="AH1279" i="21"/>
  <c r="AI1279" i="21"/>
  <c r="AJ1279" i="21"/>
  <c r="W1280" i="21"/>
  <c r="X1280" i="21"/>
  <c r="Y1280" i="21"/>
  <c r="Z1280" i="21"/>
  <c r="AA1280" i="21" s="1"/>
  <c r="AC1280" i="21"/>
  <c r="AD1280" i="21"/>
  <c r="AE1280" i="21"/>
  <c r="AF1280" i="21"/>
  <c r="AG1280" i="21"/>
  <c r="AH1280" i="21" s="1"/>
  <c r="AI1280" i="21"/>
  <c r="AJ1280" i="21"/>
  <c r="W1281" i="21"/>
  <c r="X1281" i="21"/>
  <c r="Y1281" i="21"/>
  <c r="Z1281" i="21"/>
  <c r="AA1281" i="21" s="1"/>
  <c r="AB1281" i="21" s="1"/>
  <c r="AC1281" i="21"/>
  <c r="AD1281" i="21"/>
  <c r="AE1281" i="21"/>
  <c r="AF1281" i="21"/>
  <c r="AG1281" i="21" s="1"/>
  <c r="AI1281" i="21"/>
  <c r="AJ1281" i="21"/>
  <c r="W1282" i="21"/>
  <c r="X1282" i="21"/>
  <c r="Y1282" i="21"/>
  <c r="Z1282" i="21"/>
  <c r="AA1282" i="21"/>
  <c r="AB1282" i="21" s="1"/>
  <c r="AC1282" i="21"/>
  <c r="AD1282" i="21"/>
  <c r="AE1282" i="21"/>
  <c r="AF1282" i="21"/>
  <c r="AG1282" i="21" s="1"/>
  <c r="AI1282" i="21"/>
  <c r="AJ1282" i="21"/>
  <c r="W1283" i="21"/>
  <c r="X1283" i="21"/>
  <c r="Y1283" i="21"/>
  <c r="Z1283" i="21"/>
  <c r="AA1283" i="21" s="1"/>
  <c r="AC1283" i="21"/>
  <c r="AD1283" i="21"/>
  <c r="AE1283" i="21"/>
  <c r="AF1283" i="21"/>
  <c r="AG1283" i="21" s="1"/>
  <c r="AI1283" i="21"/>
  <c r="AJ1283" i="21"/>
  <c r="W1284" i="21"/>
  <c r="X1284" i="21"/>
  <c r="Y1284" i="21"/>
  <c r="Z1284" i="21"/>
  <c r="AA1284" i="21" s="1"/>
  <c r="AB1284" i="21" s="1"/>
  <c r="AC1284" i="21"/>
  <c r="AD1284" i="21"/>
  <c r="AE1284" i="21"/>
  <c r="AF1284" i="21"/>
  <c r="AG1284" i="21"/>
  <c r="AH1284" i="21" s="1"/>
  <c r="AI1284" i="21"/>
  <c r="AJ1284" i="21"/>
  <c r="AL1284" i="21" s="1"/>
  <c r="AK1284" i="21"/>
  <c r="W1285" i="21"/>
  <c r="X1285" i="21"/>
  <c r="Y1285" i="21"/>
  <c r="Z1285" i="21"/>
  <c r="AA1285" i="21"/>
  <c r="AB1285" i="21"/>
  <c r="AC1285" i="21"/>
  <c r="AD1285" i="21"/>
  <c r="AE1285" i="21"/>
  <c r="AF1285" i="21"/>
  <c r="AG1285" i="21" s="1"/>
  <c r="AI1285" i="21"/>
  <c r="AJ1285" i="21"/>
  <c r="W1286" i="21"/>
  <c r="X1286" i="21"/>
  <c r="Y1286" i="21"/>
  <c r="Z1286" i="21"/>
  <c r="AB1286" i="21" s="1"/>
  <c r="AA1286" i="21"/>
  <c r="AC1286" i="21"/>
  <c r="AD1286" i="21"/>
  <c r="AE1286" i="21"/>
  <c r="AF1286" i="21"/>
  <c r="AG1286" i="21" s="1"/>
  <c r="AI1286" i="21"/>
  <c r="AJ1286" i="21"/>
  <c r="W1287" i="21"/>
  <c r="X1287" i="21"/>
  <c r="Y1287" i="21"/>
  <c r="Z1287" i="21"/>
  <c r="AA1287" i="21" s="1"/>
  <c r="AC1287" i="21"/>
  <c r="AD1287" i="21"/>
  <c r="AE1287" i="21"/>
  <c r="AF1287" i="21"/>
  <c r="AG1287" i="21"/>
  <c r="AK1287" i="21" s="1"/>
  <c r="AL1287" i="21" s="1"/>
  <c r="AM1287" i="21" s="1"/>
  <c r="AH1287" i="21"/>
  <c r="AI1287" i="21"/>
  <c r="AJ1287" i="21"/>
  <c r="W1288" i="21"/>
  <c r="X1288" i="21"/>
  <c r="Y1288" i="21"/>
  <c r="Z1288" i="21"/>
  <c r="AA1288" i="21" s="1"/>
  <c r="AC1288" i="21"/>
  <c r="AD1288" i="21"/>
  <c r="AE1288" i="21"/>
  <c r="AF1288" i="21"/>
  <c r="AG1288" i="21"/>
  <c r="AH1288" i="21" s="1"/>
  <c r="AI1288" i="21"/>
  <c r="AJ1288" i="21"/>
  <c r="W1289" i="21"/>
  <c r="X1289" i="21"/>
  <c r="Y1289" i="21"/>
  <c r="Z1289" i="21"/>
  <c r="AA1289" i="21" s="1"/>
  <c r="AB1289" i="21" s="1"/>
  <c r="AC1289" i="21"/>
  <c r="AD1289" i="21"/>
  <c r="AE1289" i="21"/>
  <c r="AF1289" i="21"/>
  <c r="AG1289" i="21" s="1"/>
  <c r="AI1289" i="21"/>
  <c r="AJ1289" i="21"/>
  <c r="W1290" i="21"/>
  <c r="X1290" i="21"/>
  <c r="Y1290" i="21"/>
  <c r="Z1290" i="21"/>
  <c r="AA1290" i="21"/>
  <c r="AB1290" i="21" s="1"/>
  <c r="AC1290" i="21"/>
  <c r="AD1290" i="21"/>
  <c r="AE1290" i="21"/>
  <c r="AF1290" i="21"/>
  <c r="AG1290" i="21" s="1"/>
  <c r="AI1290" i="21"/>
  <c r="AJ1290" i="21"/>
  <c r="W1291" i="21"/>
  <c r="X1291" i="21"/>
  <c r="Y1291" i="21"/>
  <c r="Z1291" i="21"/>
  <c r="AA1291" i="21" s="1"/>
  <c r="AC1291" i="21"/>
  <c r="AD1291" i="21"/>
  <c r="AE1291" i="21"/>
  <c r="AF1291" i="21"/>
  <c r="AG1291" i="21" s="1"/>
  <c r="AI1291" i="21"/>
  <c r="AJ1291" i="21"/>
  <c r="W1292" i="21"/>
  <c r="X1292" i="21"/>
  <c r="Y1292" i="21"/>
  <c r="Z1292" i="21"/>
  <c r="AA1292" i="21" s="1"/>
  <c r="AB1292" i="21" s="1"/>
  <c r="AC1292" i="21"/>
  <c r="AD1292" i="21"/>
  <c r="AE1292" i="21"/>
  <c r="AF1292" i="21"/>
  <c r="AG1292" i="21"/>
  <c r="AH1292" i="21" s="1"/>
  <c r="AI1292" i="21"/>
  <c r="AJ1292" i="21"/>
  <c r="AL1292" i="21" s="1"/>
  <c r="AM1292" i="21" s="1"/>
  <c r="AK1292" i="21"/>
  <c r="W1293" i="21"/>
  <c r="X1293" i="21"/>
  <c r="Y1293" i="21"/>
  <c r="Z1293" i="21"/>
  <c r="AA1293" i="21"/>
  <c r="AB1293" i="21"/>
  <c r="AC1293" i="21"/>
  <c r="AD1293" i="21"/>
  <c r="AE1293" i="21"/>
  <c r="AF1293" i="21"/>
  <c r="AG1293" i="21" s="1"/>
  <c r="AI1293" i="21"/>
  <c r="AJ1293" i="21"/>
  <c r="W1294" i="21"/>
  <c r="X1294" i="21"/>
  <c r="Y1294" i="21"/>
  <c r="Z1294" i="21"/>
  <c r="AB1294" i="21" s="1"/>
  <c r="AA1294" i="21"/>
  <c r="AC1294" i="21"/>
  <c r="AD1294" i="21"/>
  <c r="AE1294" i="21"/>
  <c r="AF1294" i="21"/>
  <c r="AG1294" i="21" s="1"/>
  <c r="AI1294" i="21"/>
  <c r="AJ1294" i="21"/>
  <c r="W1295" i="21"/>
  <c r="X1295" i="21"/>
  <c r="Y1295" i="21"/>
  <c r="Z1295" i="21"/>
  <c r="AA1295" i="21" s="1"/>
  <c r="AC1295" i="21"/>
  <c r="AD1295" i="21"/>
  <c r="AE1295" i="21"/>
  <c r="AF1295" i="21"/>
  <c r="AG1295" i="21"/>
  <c r="AK1295" i="21" s="1"/>
  <c r="AL1295" i="21" s="1"/>
  <c r="AM1295" i="21" s="1"/>
  <c r="AH1295" i="21"/>
  <c r="AI1295" i="21"/>
  <c r="AJ1295" i="21"/>
  <c r="W1296" i="21"/>
  <c r="X1296" i="21"/>
  <c r="Y1296" i="21"/>
  <c r="Z1296" i="21"/>
  <c r="AA1296" i="21" s="1"/>
  <c r="AC1296" i="21"/>
  <c r="AD1296" i="21"/>
  <c r="AE1296" i="21"/>
  <c r="AF1296" i="21"/>
  <c r="AG1296" i="21"/>
  <c r="AH1296" i="21" s="1"/>
  <c r="AI1296" i="21"/>
  <c r="AJ1296" i="21"/>
  <c r="W1297" i="21"/>
  <c r="X1297" i="21"/>
  <c r="Y1297" i="21"/>
  <c r="Z1297" i="21"/>
  <c r="AA1297" i="21" s="1"/>
  <c r="AB1297" i="21" s="1"/>
  <c r="AC1297" i="21"/>
  <c r="AD1297" i="21"/>
  <c r="AE1297" i="21"/>
  <c r="AF1297" i="21"/>
  <c r="AG1297" i="21" s="1"/>
  <c r="AI1297" i="21"/>
  <c r="AJ1297" i="21"/>
  <c r="W1298" i="21"/>
  <c r="X1298" i="21"/>
  <c r="Y1298" i="21"/>
  <c r="Z1298" i="21"/>
  <c r="AA1298" i="21"/>
  <c r="AB1298" i="21" s="1"/>
  <c r="AC1298" i="21"/>
  <c r="AD1298" i="21"/>
  <c r="AE1298" i="21"/>
  <c r="AF1298" i="21"/>
  <c r="AG1298" i="21" s="1"/>
  <c r="AI1298" i="21"/>
  <c r="AJ1298" i="21"/>
  <c r="W1299" i="21"/>
  <c r="X1299" i="21"/>
  <c r="Y1299" i="21"/>
  <c r="Z1299" i="21"/>
  <c r="AA1299" i="21" s="1"/>
  <c r="AC1299" i="21"/>
  <c r="AD1299" i="21"/>
  <c r="AE1299" i="21"/>
  <c r="AF1299" i="21"/>
  <c r="AG1299" i="21" s="1"/>
  <c r="AI1299" i="21"/>
  <c r="AJ1299" i="21"/>
  <c r="W1300" i="21"/>
  <c r="X1300" i="21"/>
  <c r="Y1300" i="21"/>
  <c r="Z1300" i="21"/>
  <c r="AA1300" i="21" s="1"/>
  <c r="AB1300" i="21" s="1"/>
  <c r="AC1300" i="21"/>
  <c r="AD1300" i="21"/>
  <c r="AE1300" i="21"/>
  <c r="AF1300" i="21"/>
  <c r="AG1300" i="21"/>
  <c r="AH1300" i="21" s="1"/>
  <c r="AI1300" i="21"/>
  <c r="AJ1300" i="21"/>
  <c r="AL1300" i="21" s="1"/>
  <c r="AM1300" i="21" s="1"/>
  <c r="AK1300" i="21"/>
  <c r="W1301" i="21"/>
  <c r="X1301" i="21"/>
  <c r="Y1301" i="21"/>
  <c r="Z1301" i="21"/>
  <c r="AA1301" i="21"/>
  <c r="AB1301" i="21"/>
  <c r="AC1301" i="21"/>
  <c r="AD1301" i="21"/>
  <c r="AE1301" i="21"/>
  <c r="AF1301" i="21"/>
  <c r="AG1301" i="21" s="1"/>
  <c r="AI1301" i="21"/>
  <c r="AJ1301" i="21"/>
  <c r="W1302" i="21"/>
  <c r="X1302" i="21"/>
  <c r="Y1302" i="21"/>
  <c r="Z1302" i="21"/>
  <c r="AB1302" i="21" s="1"/>
  <c r="AA1302" i="21"/>
  <c r="AC1302" i="21"/>
  <c r="AD1302" i="21"/>
  <c r="AE1302" i="21"/>
  <c r="AF1302" i="21"/>
  <c r="AG1302" i="21" s="1"/>
  <c r="AI1302" i="21"/>
  <c r="AJ1302" i="21"/>
  <c r="W1303" i="21"/>
  <c r="X1303" i="21"/>
  <c r="Y1303" i="21"/>
  <c r="Z1303" i="21"/>
  <c r="AA1303" i="21" s="1"/>
  <c r="AC1303" i="21"/>
  <c r="AD1303" i="21"/>
  <c r="AE1303" i="21"/>
  <c r="AF1303" i="21"/>
  <c r="AG1303" i="21"/>
  <c r="AK1303" i="21" s="1"/>
  <c r="AL1303" i="21" s="1"/>
  <c r="AM1303" i="21" s="1"/>
  <c r="AH1303" i="21"/>
  <c r="AI1303" i="21"/>
  <c r="AJ1303" i="21"/>
  <c r="W1304" i="21"/>
  <c r="X1304" i="21"/>
  <c r="Y1304" i="21"/>
  <c r="Z1304" i="21"/>
  <c r="AA1304" i="21" s="1"/>
  <c r="AC1304" i="21"/>
  <c r="AD1304" i="21"/>
  <c r="AE1304" i="21"/>
  <c r="AF1304" i="21"/>
  <c r="AG1304" i="21"/>
  <c r="AH1304" i="21" s="1"/>
  <c r="AI1304" i="21"/>
  <c r="AJ1304" i="21"/>
  <c r="W1305" i="21"/>
  <c r="X1305" i="21"/>
  <c r="Y1305" i="21"/>
  <c r="Z1305" i="21"/>
  <c r="AA1305" i="21" s="1"/>
  <c r="AC1305" i="21"/>
  <c r="AD1305" i="21"/>
  <c r="AE1305" i="21"/>
  <c r="AF1305" i="21"/>
  <c r="AG1305" i="21" s="1"/>
  <c r="AI1305" i="21"/>
  <c r="AJ1305" i="21"/>
  <c r="W1306" i="21"/>
  <c r="X1306" i="21"/>
  <c r="Y1306" i="21"/>
  <c r="Z1306" i="21"/>
  <c r="AA1306" i="21"/>
  <c r="AB1306" i="21" s="1"/>
  <c r="AC1306" i="21"/>
  <c r="AD1306" i="21"/>
  <c r="AE1306" i="21"/>
  <c r="AF1306" i="21"/>
  <c r="AG1306" i="21" s="1"/>
  <c r="AI1306" i="21"/>
  <c r="AJ1306" i="21"/>
  <c r="W1307" i="21"/>
  <c r="X1307" i="21"/>
  <c r="Y1307" i="21"/>
  <c r="Z1307" i="21"/>
  <c r="AA1307" i="21" s="1"/>
  <c r="AC1307" i="21"/>
  <c r="AD1307" i="21"/>
  <c r="AE1307" i="21"/>
  <c r="AF1307" i="21"/>
  <c r="AG1307" i="21" s="1"/>
  <c r="AI1307" i="21"/>
  <c r="AJ1307" i="21"/>
  <c r="W1308" i="21"/>
  <c r="X1308" i="21"/>
  <c r="Y1308" i="21"/>
  <c r="Z1308" i="21"/>
  <c r="AA1308" i="21" s="1"/>
  <c r="AB1308" i="21" s="1"/>
  <c r="AC1308" i="21"/>
  <c r="AD1308" i="21"/>
  <c r="AE1308" i="21"/>
  <c r="AF1308" i="21"/>
  <c r="AG1308" i="21"/>
  <c r="AH1308" i="21" s="1"/>
  <c r="AI1308" i="21"/>
  <c r="AJ1308" i="21"/>
  <c r="AL1308" i="21" s="1"/>
  <c r="AK1308" i="21"/>
  <c r="W1309" i="21"/>
  <c r="X1309" i="21"/>
  <c r="Y1309" i="21"/>
  <c r="Z1309" i="21"/>
  <c r="AA1309" i="21"/>
  <c r="AB1309" i="21"/>
  <c r="AC1309" i="21"/>
  <c r="AD1309" i="21"/>
  <c r="AE1309" i="21"/>
  <c r="AF1309" i="21"/>
  <c r="AG1309" i="21" s="1"/>
  <c r="AI1309" i="21"/>
  <c r="AJ1309" i="21"/>
  <c r="W1310" i="21"/>
  <c r="X1310" i="21"/>
  <c r="Y1310" i="21"/>
  <c r="Z1310" i="21"/>
  <c r="AB1310" i="21" s="1"/>
  <c r="AA1310" i="21"/>
  <c r="AC1310" i="21"/>
  <c r="AD1310" i="21"/>
  <c r="AE1310" i="21"/>
  <c r="AF1310" i="21"/>
  <c r="AG1310" i="21" s="1"/>
  <c r="AI1310" i="21"/>
  <c r="AJ1310" i="21"/>
  <c r="W1311" i="21"/>
  <c r="X1311" i="21"/>
  <c r="Y1311" i="21"/>
  <c r="Z1311" i="21"/>
  <c r="AA1311" i="21" s="1"/>
  <c r="AC1311" i="21"/>
  <c r="AD1311" i="21"/>
  <c r="AE1311" i="21"/>
  <c r="AF1311" i="21"/>
  <c r="AG1311" i="21"/>
  <c r="AK1311" i="21" s="1"/>
  <c r="AL1311" i="21" s="1"/>
  <c r="AM1311" i="21" s="1"/>
  <c r="AH1311" i="21"/>
  <c r="AI1311" i="21"/>
  <c r="AJ1311" i="21"/>
  <c r="W1312" i="21"/>
  <c r="X1312" i="21"/>
  <c r="Y1312" i="21"/>
  <c r="Z1312" i="21"/>
  <c r="AA1312" i="21" s="1"/>
  <c r="AC1312" i="21"/>
  <c r="AD1312" i="21"/>
  <c r="AE1312" i="21"/>
  <c r="AF1312" i="21"/>
  <c r="AG1312" i="21"/>
  <c r="AH1312" i="21" s="1"/>
  <c r="AI1312" i="21"/>
  <c r="AJ1312" i="21"/>
  <c r="W1313" i="21"/>
  <c r="X1313" i="21"/>
  <c r="Y1313" i="21"/>
  <c r="Z1313" i="21"/>
  <c r="AA1313" i="21" s="1"/>
  <c r="AB1313" i="21" s="1"/>
  <c r="AC1313" i="21"/>
  <c r="AD1313" i="21"/>
  <c r="AE1313" i="21"/>
  <c r="AF1313" i="21"/>
  <c r="AG1313" i="21" s="1"/>
  <c r="AI1313" i="21"/>
  <c r="AJ1313" i="21"/>
  <c r="W1314" i="21"/>
  <c r="X1314" i="21"/>
  <c r="Y1314" i="21"/>
  <c r="Z1314" i="21"/>
  <c r="AB1314" i="21" s="1"/>
  <c r="AA1314" i="21"/>
  <c r="AC1314" i="21"/>
  <c r="AD1314" i="21"/>
  <c r="AE1314" i="21"/>
  <c r="AF1314" i="21"/>
  <c r="AG1314" i="21" s="1"/>
  <c r="AI1314" i="21"/>
  <c r="AJ1314" i="21"/>
  <c r="W1315" i="21"/>
  <c r="X1315" i="21"/>
  <c r="Y1315" i="21"/>
  <c r="Z1315" i="21"/>
  <c r="AA1315" i="21" s="1"/>
  <c r="AC1315" i="21"/>
  <c r="AD1315" i="21"/>
  <c r="AE1315" i="21"/>
  <c r="AF1315" i="21"/>
  <c r="AG1315" i="21" s="1"/>
  <c r="AI1315" i="21"/>
  <c r="AJ1315" i="21"/>
  <c r="W1316" i="21"/>
  <c r="X1316" i="21"/>
  <c r="Y1316" i="21"/>
  <c r="Z1316" i="21"/>
  <c r="AA1316" i="21" s="1"/>
  <c r="AB1316" i="21" s="1"/>
  <c r="AC1316" i="21"/>
  <c r="AD1316" i="21"/>
  <c r="AE1316" i="21"/>
  <c r="AF1316" i="21"/>
  <c r="AG1316" i="21"/>
  <c r="AH1316" i="21" s="1"/>
  <c r="AI1316" i="21"/>
  <c r="AJ1316" i="21"/>
  <c r="AL1316" i="21" s="1"/>
  <c r="AK1316" i="21"/>
  <c r="W1317" i="21"/>
  <c r="X1317" i="21"/>
  <c r="Y1317" i="21"/>
  <c r="Z1317" i="21"/>
  <c r="AA1317" i="21"/>
  <c r="AB1317" i="21"/>
  <c r="AC1317" i="21"/>
  <c r="AD1317" i="21"/>
  <c r="AE1317" i="21"/>
  <c r="AF1317" i="21"/>
  <c r="AG1317" i="21" s="1"/>
  <c r="AI1317" i="21"/>
  <c r="AJ1317" i="21"/>
  <c r="W1318" i="21"/>
  <c r="X1318" i="21"/>
  <c r="Y1318" i="21"/>
  <c r="Z1318" i="21"/>
  <c r="AB1318" i="21" s="1"/>
  <c r="AA1318" i="21"/>
  <c r="AC1318" i="21"/>
  <c r="AD1318" i="21"/>
  <c r="AE1318" i="21"/>
  <c r="AF1318" i="21"/>
  <c r="AG1318" i="21" s="1"/>
  <c r="AI1318" i="21"/>
  <c r="AJ1318" i="21"/>
  <c r="W1319" i="21"/>
  <c r="X1319" i="21"/>
  <c r="Y1319" i="21"/>
  <c r="Z1319" i="21"/>
  <c r="AA1319" i="21" s="1"/>
  <c r="AC1319" i="21"/>
  <c r="AD1319" i="21"/>
  <c r="AE1319" i="21"/>
  <c r="AF1319" i="21"/>
  <c r="AG1319" i="21"/>
  <c r="AK1319" i="21" s="1"/>
  <c r="AL1319" i="21" s="1"/>
  <c r="AM1319" i="21" s="1"/>
  <c r="AH1319" i="21"/>
  <c r="AI1319" i="21"/>
  <c r="AJ1319" i="21"/>
  <c r="W1320" i="21"/>
  <c r="X1320" i="21"/>
  <c r="Y1320" i="21"/>
  <c r="Z1320" i="21"/>
  <c r="AA1320" i="21" s="1"/>
  <c r="AC1320" i="21"/>
  <c r="AD1320" i="21"/>
  <c r="AE1320" i="21"/>
  <c r="AF1320" i="21"/>
  <c r="AG1320" i="21"/>
  <c r="AH1320" i="21" s="1"/>
  <c r="AI1320" i="21"/>
  <c r="AJ1320" i="21"/>
  <c r="W1321" i="21"/>
  <c r="X1321" i="21"/>
  <c r="Y1321" i="21"/>
  <c r="Z1321" i="21"/>
  <c r="AA1321" i="21" s="1"/>
  <c r="AC1321" i="21"/>
  <c r="AD1321" i="21"/>
  <c r="AE1321" i="21"/>
  <c r="AF1321" i="21"/>
  <c r="AG1321" i="21" s="1"/>
  <c r="AI1321" i="21"/>
  <c r="AJ1321" i="21"/>
  <c r="W1322" i="21"/>
  <c r="X1322" i="21"/>
  <c r="Y1322" i="21"/>
  <c r="Z1322" i="21"/>
  <c r="AA1322" i="21"/>
  <c r="AB1322" i="21" s="1"/>
  <c r="AC1322" i="21"/>
  <c r="AD1322" i="21"/>
  <c r="AE1322" i="21"/>
  <c r="AF1322" i="21"/>
  <c r="AG1322" i="21" s="1"/>
  <c r="AI1322" i="21"/>
  <c r="AJ1322" i="21"/>
  <c r="W1323" i="21"/>
  <c r="X1323" i="21"/>
  <c r="Y1323" i="21"/>
  <c r="Z1323" i="21"/>
  <c r="AA1323" i="21" s="1"/>
  <c r="AC1323" i="21"/>
  <c r="AD1323" i="21"/>
  <c r="AE1323" i="21"/>
  <c r="AF1323" i="21"/>
  <c r="AG1323" i="21" s="1"/>
  <c r="AI1323" i="21"/>
  <c r="AJ1323" i="21"/>
  <c r="W1324" i="21"/>
  <c r="X1324" i="21"/>
  <c r="Y1324" i="21"/>
  <c r="Z1324" i="21"/>
  <c r="AA1324" i="21" s="1"/>
  <c r="AB1324" i="21" s="1"/>
  <c r="AC1324" i="21"/>
  <c r="AD1324" i="21"/>
  <c r="AE1324" i="21"/>
  <c r="AF1324" i="21"/>
  <c r="AG1324" i="21"/>
  <c r="AH1324" i="21" s="1"/>
  <c r="AI1324" i="21"/>
  <c r="AJ1324" i="21"/>
  <c r="AL1324" i="21" s="1"/>
  <c r="AM1324" i="21" s="1"/>
  <c r="AK1324" i="21"/>
  <c r="W1325" i="21"/>
  <c r="X1325" i="21"/>
  <c r="Y1325" i="21"/>
  <c r="Z1325" i="21"/>
  <c r="AA1325" i="21"/>
  <c r="AB1325" i="21"/>
  <c r="AC1325" i="21"/>
  <c r="AD1325" i="21"/>
  <c r="AE1325" i="21"/>
  <c r="AF1325" i="21"/>
  <c r="AG1325" i="21" s="1"/>
  <c r="AI1325" i="21"/>
  <c r="AJ1325" i="21"/>
  <c r="W1326" i="21"/>
  <c r="X1326" i="21"/>
  <c r="Y1326" i="21"/>
  <c r="Z1326" i="21"/>
  <c r="AB1326" i="21" s="1"/>
  <c r="AA1326" i="21"/>
  <c r="AC1326" i="21"/>
  <c r="AD1326" i="21"/>
  <c r="AE1326" i="21"/>
  <c r="AF1326" i="21"/>
  <c r="AG1326" i="21"/>
  <c r="AK1326" i="21" s="1"/>
  <c r="AH1326" i="21"/>
  <c r="AI1326" i="21"/>
  <c r="AJ1326" i="21"/>
  <c r="W1327" i="21"/>
  <c r="X1327" i="21"/>
  <c r="Y1327" i="21"/>
  <c r="Z1327" i="21"/>
  <c r="AA1327" i="21" s="1"/>
  <c r="AC1327" i="21"/>
  <c r="AD1327" i="21"/>
  <c r="AE1327" i="21"/>
  <c r="AF1327" i="21"/>
  <c r="AG1327" i="21"/>
  <c r="AK1327" i="21" s="1"/>
  <c r="AL1327" i="21" s="1"/>
  <c r="AM1327" i="21" s="1"/>
  <c r="AH1327" i="21"/>
  <c r="AI1327" i="21"/>
  <c r="AJ1327" i="21"/>
  <c r="W1328" i="21"/>
  <c r="X1328" i="21"/>
  <c r="Y1328" i="21"/>
  <c r="Z1328" i="21"/>
  <c r="AA1328" i="21" s="1"/>
  <c r="AC1328" i="21"/>
  <c r="AD1328" i="21"/>
  <c r="AE1328" i="21"/>
  <c r="AF1328" i="21"/>
  <c r="AG1328" i="21"/>
  <c r="AH1328" i="21" s="1"/>
  <c r="AI1328" i="21"/>
  <c r="AJ1328" i="21"/>
  <c r="W1329" i="21"/>
  <c r="X1329" i="21"/>
  <c r="Y1329" i="21"/>
  <c r="Z1329" i="21"/>
  <c r="AA1329" i="21" s="1"/>
  <c r="AB1329" i="21" s="1"/>
  <c r="AC1329" i="21"/>
  <c r="AD1329" i="21"/>
  <c r="AE1329" i="21"/>
  <c r="AF1329" i="21"/>
  <c r="AG1329" i="21" s="1"/>
  <c r="AI1329" i="21"/>
  <c r="AJ1329" i="21"/>
  <c r="W1330" i="21"/>
  <c r="X1330" i="21"/>
  <c r="Y1330" i="21"/>
  <c r="Z1330" i="21"/>
  <c r="AB1330" i="21" s="1"/>
  <c r="AA1330" i="21"/>
  <c r="AC1330" i="21"/>
  <c r="AD1330" i="21"/>
  <c r="AE1330" i="21"/>
  <c r="AF1330" i="21"/>
  <c r="AG1330" i="21" s="1"/>
  <c r="AI1330" i="21"/>
  <c r="AJ1330" i="21"/>
  <c r="W1331" i="21"/>
  <c r="X1331" i="21"/>
  <c r="Y1331" i="21"/>
  <c r="Z1331" i="21"/>
  <c r="AA1331" i="21" s="1"/>
  <c r="AC1331" i="21"/>
  <c r="AD1331" i="21"/>
  <c r="AE1331" i="21"/>
  <c r="AF1331" i="21"/>
  <c r="AG1331" i="21" s="1"/>
  <c r="AI1331" i="21"/>
  <c r="AJ1331" i="21"/>
  <c r="W1332" i="21"/>
  <c r="X1332" i="21"/>
  <c r="Y1332" i="21"/>
  <c r="Z1332" i="21"/>
  <c r="AA1332" i="21" s="1"/>
  <c r="AB1332" i="21" s="1"/>
  <c r="AC1332" i="21"/>
  <c r="AD1332" i="21"/>
  <c r="AE1332" i="21"/>
  <c r="AF1332" i="21"/>
  <c r="AG1332" i="21"/>
  <c r="AH1332" i="21" s="1"/>
  <c r="AI1332" i="21"/>
  <c r="AJ1332" i="21"/>
  <c r="AL1332" i="21" s="1"/>
  <c r="AK1332" i="21"/>
  <c r="W1333" i="21"/>
  <c r="X1333" i="21"/>
  <c r="Y1333" i="21"/>
  <c r="Z1333" i="21"/>
  <c r="AA1333" i="21"/>
  <c r="AB1333" i="21"/>
  <c r="AC1333" i="21"/>
  <c r="AD1333" i="21"/>
  <c r="AE1333" i="21"/>
  <c r="AF1333" i="21"/>
  <c r="AG1333" i="21" s="1"/>
  <c r="AI1333" i="21"/>
  <c r="AJ1333" i="21"/>
  <c r="W1334" i="21"/>
  <c r="X1334" i="21"/>
  <c r="Y1334" i="21"/>
  <c r="Z1334" i="21"/>
  <c r="AB1334" i="21" s="1"/>
  <c r="AA1334" i="21"/>
  <c r="AC1334" i="21"/>
  <c r="AD1334" i="21"/>
  <c r="AE1334" i="21"/>
  <c r="AF1334" i="21"/>
  <c r="AG1334" i="21"/>
  <c r="AK1334" i="21" s="1"/>
  <c r="AH1334" i="21"/>
  <c r="AI1334" i="21"/>
  <c r="AJ1334" i="21"/>
  <c r="AL1334" i="21" s="1"/>
  <c r="AM1334" i="21" s="1"/>
  <c r="W1335" i="21"/>
  <c r="X1335" i="21"/>
  <c r="Y1335" i="21"/>
  <c r="Z1335" i="21"/>
  <c r="AA1335" i="21" s="1"/>
  <c r="AC1335" i="21"/>
  <c r="AD1335" i="21"/>
  <c r="AE1335" i="21"/>
  <c r="AF1335" i="21"/>
  <c r="AG1335" i="21"/>
  <c r="AK1335" i="21" s="1"/>
  <c r="AL1335" i="21" s="1"/>
  <c r="AM1335" i="21" s="1"/>
  <c r="AH1335" i="21"/>
  <c r="AI1335" i="21"/>
  <c r="AJ1335" i="21"/>
  <c r="W1336" i="21"/>
  <c r="X1336" i="21"/>
  <c r="Y1336" i="21"/>
  <c r="Z1336" i="21"/>
  <c r="AA1336" i="21" s="1"/>
  <c r="AC1336" i="21"/>
  <c r="AD1336" i="21"/>
  <c r="AE1336" i="21"/>
  <c r="AF1336" i="21"/>
  <c r="AG1336" i="21"/>
  <c r="AH1336" i="21" s="1"/>
  <c r="AI1336" i="21"/>
  <c r="AJ1336" i="21"/>
  <c r="W1337" i="21"/>
  <c r="X1337" i="21"/>
  <c r="Y1337" i="21"/>
  <c r="Z1337" i="21"/>
  <c r="AA1337" i="21" s="1"/>
  <c r="AB1337" i="21" s="1"/>
  <c r="AC1337" i="21"/>
  <c r="AD1337" i="21"/>
  <c r="AE1337" i="21"/>
  <c r="AF1337" i="21"/>
  <c r="AG1337" i="21" s="1"/>
  <c r="AI1337" i="21"/>
  <c r="AJ1337" i="21"/>
  <c r="W1338" i="21"/>
  <c r="X1338" i="21"/>
  <c r="Y1338" i="21"/>
  <c r="Z1338" i="21"/>
  <c r="AB1338" i="21" s="1"/>
  <c r="AA1338" i="21"/>
  <c r="AC1338" i="21"/>
  <c r="AD1338" i="21"/>
  <c r="AE1338" i="21"/>
  <c r="AF1338" i="21"/>
  <c r="AG1338" i="21" s="1"/>
  <c r="AI1338" i="21"/>
  <c r="AJ1338" i="21"/>
  <c r="W1339" i="21"/>
  <c r="X1339" i="21"/>
  <c r="Y1339" i="21"/>
  <c r="Z1339" i="21"/>
  <c r="AA1339" i="21" s="1"/>
  <c r="AC1339" i="21"/>
  <c r="AD1339" i="21"/>
  <c r="AE1339" i="21"/>
  <c r="AF1339" i="21"/>
  <c r="AG1339" i="21" s="1"/>
  <c r="AI1339" i="21"/>
  <c r="AJ1339" i="21"/>
  <c r="W1340" i="21"/>
  <c r="X1340" i="21"/>
  <c r="Y1340" i="21"/>
  <c r="Z1340" i="21"/>
  <c r="AA1340" i="21" s="1"/>
  <c r="AB1340" i="21" s="1"/>
  <c r="AC1340" i="21"/>
  <c r="AD1340" i="21"/>
  <c r="AE1340" i="21"/>
  <c r="AF1340" i="21"/>
  <c r="AG1340" i="21"/>
  <c r="AH1340" i="21" s="1"/>
  <c r="AI1340" i="21"/>
  <c r="AJ1340" i="21"/>
  <c r="AL1340" i="21" s="1"/>
  <c r="AK1340" i="21"/>
  <c r="W1341" i="21"/>
  <c r="X1341" i="21"/>
  <c r="Y1341" i="21"/>
  <c r="Z1341" i="21"/>
  <c r="AA1341" i="21"/>
  <c r="AB1341" i="21"/>
  <c r="AC1341" i="21"/>
  <c r="AD1341" i="21"/>
  <c r="AE1341" i="21"/>
  <c r="AF1341" i="21"/>
  <c r="AG1341" i="21" s="1"/>
  <c r="AI1341" i="21"/>
  <c r="AJ1341" i="21"/>
  <c r="W1342" i="21"/>
  <c r="X1342" i="21"/>
  <c r="Y1342" i="21"/>
  <c r="Z1342" i="21"/>
  <c r="AB1342" i="21" s="1"/>
  <c r="AA1342" i="21"/>
  <c r="AC1342" i="21"/>
  <c r="AD1342" i="21"/>
  <c r="AE1342" i="21"/>
  <c r="AF1342" i="21"/>
  <c r="AG1342" i="21"/>
  <c r="AK1342" i="21" s="1"/>
  <c r="AH1342" i="21"/>
  <c r="AI1342" i="21"/>
  <c r="AJ1342" i="21"/>
  <c r="W1343" i="21"/>
  <c r="X1343" i="21"/>
  <c r="Y1343" i="21"/>
  <c r="Z1343" i="21"/>
  <c r="AA1343" i="21" s="1"/>
  <c r="AC1343" i="21"/>
  <c r="AD1343" i="21"/>
  <c r="AE1343" i="21"/>
  <c r="AF1343" i="21"/>
  <c r="AG1343" i="21"/>
  <c r="AK1343" i="21" s="1"/>
  <c r="AL1343" i="21" s="1"/>
  <c r="AM1343" i="21" s="1"/>
  <c r="AH1343" i="21"/>
  <c r="AI1343" i="21"/>
  <c r="AJ1343" i="21"/>
  <c r="W1344" i="21"/>
  <c r="X1344" i="21"/>
  <c r="Y1344" i="21"/>
  <c r="Z1344" i="21"/>
  <c r="AA1344" i="21" s="1"/>
  <c r="AC1344" i="21"/>
  <c r="AD1344" i="21"/>
  <c r="AE1344" i="21"/>
  <c r="AF1344" i="21"/>
  <c r="AG1344" i="21"/>
  <c r="AI1344" i="21"/>
  <c r="AJ1344" i="21"/>
  <c r="W1345" i="21"/>
  <c r="X1345" i="21"/>
  <c r="Y1345" i="21"/>
  <c r="Z1345" i="21"/>
  <c r="AA1345" i="21" s="1"/>
  <c r="AB1345" i="21" s="1"/>
  <c r="AC1345" i="21"/>
  <c r="AD1345" i="21"/>
  <c r="AE1345" i="21"/>
  <c r="AF1345" i="21"/>
  <c r="AG1345" i="21" s="1"/>
  <c r="AI1345" i="21"/>
  <c r="AJ1345" i="21"/>
  <c r="W1346" i="21"/>
  <c r="X1346" i="21"/>
  <c r="Y1346" i="21"/>
  <c r="Z1346" i="21"/>
  <c r="AB1346" i="21" s="1"/>
  <c r="AA1346" i="21"/>
  <c r="AC1346" i="21"/>
  <c r="AD1346" i="21"/>
  <c r="AE1346" i="21"/>
  <c r="AF1346" i="21"/>
  <c r="AG1346" i="21" s="1"/>
  <c r="AI1346" i="21"/>
  <c r="AJ1346" i="21"/>
  <c r="W1347" i="21"/>
  <c r="X1347" i="21"/>
  <c r="Y1347" i="21"/>
  <c r="Z1347" i="21"/>
  <c r="AA1347" i="21" s="1"/>
  <c r="AC1347" i="21"/>
  <c r="AD1347" i="21"/>
  <c r="AE1347" i="21"/>
  <c r="AF1347" i="21"/>
  <c r="AG1347" i="21" s="1"/>
  <c r="AI1347" i="21"/>
  <c r="AJ1347" i="21"/>
  <c r="W1348" i="21"/>
  <c r="X1348" i="21"/>
  <c r="Y1348" i="21"/>
  <c r="Z1348" i="21"/>
  <c r="AA1348" i="21" s="1"/>
  <c r="AB1348" i="21" s="1"/>
  <c r="AC1348" i="21"/>
  <c r="AD1348" i="21"/>
  <c r="AE1348" i="21"/>
  <c r="AF1348" i="21"/>
  <c r="AG1348" i="21"/>
  <c r="AH1348" i="21" s="1"/>
  <c r="AI1348" i="21"/>
  <c r="AJ1348" i="21"/>
  <c r="AK1348" i="21"/>
  <c r="W1349" i="21"/>
  <c r="X1349" i="21"/>
  <c r="Y1349" i="21"/>
  <c r="Z1349" i="21"/>
  <c r="AA1349" i="21"/>
  <c r="AB1349" i="21"/>
  <c r="AC1349" i="21"/>
  <c r="AD1349" i="21"/>
  <c r="AE1349" i="21"/>
  <c r="AF1349" i="21"/>
  <c r="AG1349" i="21" s="1"/>
  <c r="AI1349" i="21"/>
  <c r="AJ1349" i="21"/>
  <c r="W1350" i="21"/>
  <c r="X1350" i="21"/>
  <c r="Y1350" i="21"/>
  <c r="Z1350" i="21"/>
  <c r="AA1350" i="21"/>
  <c r="AC1350" i="21"/>
  <c r="AD1350" i="21"/>
  <c r="AE1350" i="21"/>
  <c r="AF1350" i="21"/>
  <c r="AG1350" i="21" s="1"/>
  <c r="AK1350" i="21" s="1"/>
  <c r="AI1350" i="21"/>
  <c r="AJ1350" i="21"/>
  <c r="W1351" i="21"/>
  <c r="X1351" i="21"/>
  <c r="Y1351" i="21"/>
  <c r="Z1351" i="21"/>
  <c r="AC1351" i="21"/>
  <c r="AD1351" i="21"/>
  <c r="AE1351" i="21"/>
  <c r="AF1351" i="21"/>
  <c r="AG1351" i="21"/>
  <c r="AK1351" i="21" s="1"/>
  <c r="AL1351" i="21" s="1"/>
  <c r="AI1351" i="21"/>
  <c r="AJ1351" i="21"/>
  <c r="W1352" i="21"/>
  <c r="X1352" i="21"/>
  <c r="Y1352" i="21"/>
  <c r="Z1352" i="21"/>
  <c r="AA1352" i="21" s="1"/>
  <c r="AC1352" i="21"/>
  <c r="AD1352" i="21"/>
  <c r="AE1352" i="21"/>
  <c r="AF1352" i="21"/>
  <c r="AG1352" i="21" s="1"/>
  <c r="AI1352" i="21"/>
  <c r="AJ1352" i="21"/>
  <c r="W1353" i="21"/>
  <c r="X1353" i="21"/>
  <c r="Y1353" i="21"/>
  <c r="Z1353" i="21"/>
  <c r="AA1353" i="21" s="1"/>
  <c r="AB1353" i="21" s="1"/>
  <c r="AC1353" i="21"/>
  <c r="AD1353" i="21"/>
  <c r="AE1353" i="21"/>
  <c r="AF1353" i="21"/>
  <c r="AG1353" i="21" s="1"/>
  <c r="AI1353" i="21"/>
  <c r="AJ1353" i="21"/>
  <c r="W1354" i="21"/>
  <c r="X1354" i="21"/>
  <c r="Y1354" i="21"/>
  <c r="Z1354" i="21"/>
  <c r="AB1354" i="21" s="1"/>
  <c r="AA1354" i="21"/>
  <c r="AC1354" i="21"/>
  <c r="AD1354" i="21"/>
  <c r="AE1354" i="21"/>
  <c r="AF1354" i="21"/>
  <c r="AG1354" i="21" s="1"/>
  <c r="AI1354" i="21"/>
  <c r="AJ1354" i="21"/>
  <c r="W1355" i="21"/>
  <c r="X1355" i="21"/>
  <c r="Y1355" i="21"/>
  <c r="Z1355" i="21"/>
  <c r="AA1355" i="21" s="1"/>
  <c r="AC1355" i="21"/>
  <c r="AD1355" i="21"/>
  <c r="AE1355" i="21"/>
  <c r="AF1355" i="21"/>
  <c r="AG1355" i="21" s="1"/>
  <c r="AH1355" i="21" s="1"/>
  <c r="AI1355" i="21"/>
  <c r="AJ1355" i="21"/>
  <c r="W1356" i="21"/>
  <c r="X1356" i="21"/>
  <c r="Y1356" i="21"/>
  <c r="Z1356" i="21"/>
  <c r="AA1356" i="21" s="1"/>
  <c r="AB1356" i="21" s="1"/>
  <c r="AC1356" i="21"/>
  <c r="AD1356" i="21"/>
  <c r="AE1356" i="21"/>
  <c r="AF1356" i="21"/>
  <c r="AG1356" i="21"/>
  <c r="AH1356" i="21" s="1"/>
  <c r="AI1356" i="21"/>
  <c r="AJ1356" i="21"/>
  <c r="AL1356" i="21" s="1"/>
  <c r="AM1356" i="21" s="1"/>
  <c r="AK1356" i="21"/>
  <c r="W1357" i="21"/>
  <c r="X1357" i="21"/>
  <c r="Y1357" i="21"/>
  <c r="Z1357" i="21"/>
  <c r="AA1357" i="21"/>
  <c r="AB1357" i="21" s="1"/>
  <c r="AC1357" i="21"/>
  <c r="AD1357" i="21"/>
  <c r="AE1357" i="21"/>
  <c r="AF1357" i="21"/>
  <c r="AG1357" i="21" s="1"/>
  <c r="AI1357" i="21"/>
  <c r="AJ1357" i="21"/>
  <c r="W1358" i="21"/>
  <c r="X1358" i="21"/>
  <c r="Y1358" i="21"/>
  <c r="Z1358" i="21"/>
  <c r="AA1358" i="21" s="1"/>
  <c r="AC1358" i="21"/>
  <c r="AD1358" i="21"/>
  <c r="AE1358" i="21"/>
  <c r="AF1358" i="21"/>
  <c r="AG1358" i="21" s="1"/>
  <c r="AK1358" i="21" s="1"/>
  <c r="AI1358" i="21"/>
  <c r="AJ1358" i="21"/>
  <c r="AL1358" i="21" s="1"/>
  <c r="W1359" i="21"/>
  <c r="X1359" i="21"/>
  <c r="Y1359" i="21"/>
  <c r="Z1359" i="21"/>
  <c r="AC1359" i="21"/>
  <c r="AD1359" i="21"/>
  <c r="AE1359" i="21"/>
  <c r="AF1359" i="21"/>
  <c r="AG1359" i="21"/>
  <c r="AK1359" i="21" s="1"/>
  <c r="AL1359" i="21" s="1"/>
  <c r="AI1359" i="21"/>
  <c r="AJ1359" i="21"/>
  <c r="W1360" i="21"/>
  <c r="X1360" i="21"/>
  <c r="Y1360" i="21"/>
  <c r="Z1360" i="21"/>
  <c r="AA1360" i="21" s="1"/>
  <c r="AC1360" i="21"/>
  <c r="AD1360" i="21"/>
  <c r="AE1360" i="21"/>
  <c r="AF1360" i="21"/>
  <c r="AG1360" i="21" s="1"/>
  <c r="AI1360" i="21"/>
  <c r="AJ1360" i="21"/>
  <c r="W1361" i="21"/>
  <c r="X1361" i="21"/>
  <c r="Y1361" i="21"/>
  <c r="Z1361" i="21"/>
  <c r="AA1361" i="21" s="1"/>
  <c r="AB1361" i="21" s="1"/>
  <c r="AC1361" i="21"/>
  <c r="AD1361" i="21"/>
  <c r="AE1361" i="21"/>
  <c r="AF1361" i="21"/>
  <c r="AG1361" i="21" s="1"/>
  <c r="AI1361" i="21"/>
  <c r="AJ1361" i="21"/>
  <c r="W1362" i="21"/>
  <c r="X1362" i="21"/>
  <c r="Y1362" i="21"/>
  <c r="Z1362" i="21"/>
  <c r="AA1362" i="21"/>
  <c r="AB1362" i="21" s="1"/>
  <c r="AC1362" i="21"/>
  <c r="AD1362" i="21"/>
  <c r="AE1362" i="21"/>
  <c r="AF1362" i="21"/>
  <c r="AG1362" i="21" s="1"/>
  <c r="AI1362" i="21"/>
  <c r="AJ1362" i="21"/>
  <c r="W1363" i="21"/>
  <c r="X1363" i="21"/>
  <c r="Y1363" i="21"/>
  <c r="Z1363" i="21"/>
  <c r="AA1363" i="21" s="1"/>
  <c r="AC1363" i="21"/>
  <c r="AD1363" i="21"/>
  <c r="AE1363" i="21"/>
  <c r="AF1363" i="21"/>
  <c r="AG1363" i="21" s="1"/>
  <c r="AH1363" i="21" s="1"/>
  <c r="AI1363" i="21"/>
  <c r="AJ1363" i="21"/>
  <c r="AK1363" i="21"/>
  <c r="AL1363" i="21" s="1"/>
  <c r="W1364" i="21"/>
  <c r="X1364" i="21"/>
  <c r="Y1364" i="21"/>
  <c r="Z1364" i="21"/>
  <c r="AA1364" i="21" s="1"/>
  <c r="AB1364" i="21" s="1"/>
  <c r="AC1364" i="21"/>
  <c r="AD1364" i="21"/>
  <c r="AE1364" i="21"/>
  <c r="AF1364" i="21"/>
  <c r="AG1364" i="21"/>
  <c r="AH1364" i="21" s="1"/>
  <c r="AI1364" i="21"/>
  <c r="AJ1364" i="21"/>
  <c r="AL1364" i="21" s="1"/>
  <c r="AM1364" i="21" s="1"/>
  <c r="AK1364" i="21"/>
  <c r="W1365" i="21"/>
  <c r="X1365" i="21"/>
  <c r="Y1365" i="21"/>
  <c r="Z1365" i="21"/>
  <c r="AA1365" i="21"/>
  <c r="AB1365" i="21" s="1"/>
  <c r="AC1365" i="21"/>
  <c r="AD1365" i="21"/>
  <c r="AE1365" i="21"/>
  <c r="AF1365" i="21"/>
  <c r="AG1365" i="21"/>
  <c r="AH1365" i="21" s="1"/>
  <c r="AI1365" i="21"/>
  <c r="AJ1365" i="21"/>
  <c r="W1366" i="21"/>
  <c r="X1366" i="21"/>
  <c r="Y1366" i="21"/>
  <c r="Z1366" i="21"/>
  <c r="AA1366" i="21"/>
  <c r="AB1366" i="21" s="1"/>
  <c r="AC1366" i="21"/>
  <c r="AD1366" i="21"/>
  <c r="AE1366" i="21"/>
  <c r="AF1366" i="21"/>
  <c r="AG1366" i="21" s="1"/>
  <c r="AI1366" i="21"/>
  <c r="AJ1366" i="21"/>
  <c r="W1367" i="21"/>
  <c r="X1367" i="21"/>
  <c r="Y1367" i="21"/>
  <c r="Z1367" i="21"/>
  <c r="AB1367" i="21" s="1"/>
  <c r="AA1367" i="21"/>
  <c r="AC1367" i="21"/>
  <c r="AD1367" i="21"/>
  <c r="AE1367" i="21"/>
  <c r="AF1367" i="21"/>
  <c r="AG1367" i="21"/>
  <c r="AK1367" i="21" s="1"/>
  <c r="AH1367" i="21"/>
  <c r="AI1367" i="21"/>
  <c r="AJ1367" i="21"/>
  <c r="AL1367" i="21" s="1"/>
  <c r="W1368" i="21"/>
  <c r="X1368" i="21"/>
  <c r="Y1368" i="21"/>
  <c r="Z1368" i="21"/>
  <c r="AA1368" i="21" s="1"/>
  <c r="AC1368" i="21"/>
  <c r="AD1368" i="21"/>
  <c r="AE1368" i="21"/>
  <c r="AF1368" i="21"/>
  <c r="AG1368" i="21" s="1"/>
  <c r="AI1368" i="21"/>
  <c r="AJ1368" i="21"/>
  <c r="W1369" i="21"/>
  <c r="X1369" i="21"/>
  <c r="Y1369" i="21"/>
  <c r="Z1369" i="21"/>
  <c r="AA1369" i="21" s="1"/>
  <c r="AC1369" i="21"/>
  <c r="AD1369" i="21"/>
  <c r="AE1369" i="21"/>
  <c r="AF1369" i="21"/>
  <c r="AG1369" i="21"/>
  <c r="AK1369" i="21" s="1"/>
  <c r="AH1369" i="21"/>
  <c r="AI1369" i="21"/>
  <c r="AJ1369" i="21"/>
  <c r="AL1369" i="21" s="1"/>
  <c r="AM1369" i="21" s="1"/>
  <c r="W1370" i="21"/>
  <c r="X1370" i="21"/>
  <c r="Y1370" i="21"/>
  <c r="Z1370" i="21"/>
  <c r="AA1370" i="21" s="1"/>
  <c r="AC1370" i="21"/>
  <c r="AD1370" i="21"/>
  <c r="AE1370" i="21"/>
  <c r="AF1370" i="21"/>
  <c r="AG1370" i="21"/>
  <c r="AH1370" i="21" s="1"/>
  <c r="AI1370" i="21"/>
  <c r="AJ1370" i="21"/>
  <c r="W1371" i="21"/>
  <c r="X1371" i="21"/>
  <c r="Y1371" i="21"/>
  <c r="Z1371" i="21"/>
  <c r="AA1371" i="21" s="1"/>
  <c r="AC1371" i="21"/>
  <c r="AD1371" i="21"/>
  <c r="AE1371" i="21"/>
  <c r="AF1371" i="21"/>
  <c r="AG1371" i="21" s="1"/>
  <c r="AI1371" i="21"/>
  <c r="AJ1371" i="21"/>
  <c r="W1372" i="21"/>
  <c r="X1372" i="21"/>
  <c r="Y1372" i="21"/>
  <c r="Z1372" i="21"/>
  <c r="AA1372" i="21" s="1"/>
  <c r="AB1372" i="21" s="1"/>
  <c r="AC1372" i="21"/>
  <c r="AD1372" i="21"/>
  <c r="AE1372" i="21"/>
  <c r="AF1372" i="21"/>
  <c r="AG1372" i="21" s="1"/>
  <c r="AI1372" i="21"/>
  <c r="AJ1372" i="21"/>
  <c r="W1373" i="21"/>
  <c r="X1373" i="21"/>
  <c r="Y1373" i="21"/>
  <c r="Z1373" i="21"/>
  <c r="AA1373" i="21"/>
  <c r="AB1373" i="21" s="1"/>
  <c r="AC1373" i="21"/>
  <c r="AD1373" i="21"/>
  <c r="AE1373" i="21"/>
  <c r="AF1373" i="21"/>
  <c r="AG1373" i="21" s="1"/>
  <c r="AI1373" i="21"/>
  <c r="AJ1373" i="21"/>
  <c r="W1374" i="21"/>
  <c r="X1374" i="21"/>
  <c r="Y1374" i="21"/>
  <c r="Z1374" i="21"/>
  <c r="AA1374" i="21" s="1"/>
  <c r="AB1374" i="21" s="1"/>
  <c r="AC1374" i="21"/>
  <c r="AD1374" i="21"/>
  <c r="AE1374" i="21"/>
  <c r="AF1374" i="21"/>
  <c r="AG1374" i="21" s="1"/>
  <c r="AI1374" i="21"/>
  <c r="AJ1374" i="21"/>
  <c r="W1375" i="21"/>
  <c r="X1375" i="21"/>
  <c r="Y1375" i="21"/>
  <c r="Z1375" i="21"/>
  <c r="AA1375" i="21"/>
  <c r="AB1375" i="21"/>
  <c r="AC1375" i="21"/>
  <c r="AD1375" i="21"/>
  <c r="AE1375" i="21"/>
  <c r="AF1375" i="21"/>
  <c r="AG1375" i="21"/>
  <c r="AH1375" i="21" s="1"/>
  <c r="AI1375" i="21"/>
  <c r="AJ1375" i="21"/>
  <c r="AL1375" i="21" s="1"/>
  <c r="AM1375" i="21" s="1"/>
  <c r="AK1375" i="21"/>
  <c r="W1376" i="21"/>
  <c r="X1376" i="21"/>
  <c r="Y1376" i="21"/>
  <c r="Z1376" i="21"/>
  <c r="AA1376" i="21"/>
  <c r="AB1376" i="21" s="1"/>
  <c r="AC1376" i="21"/>
  <c r="AD1376" i="21"/>
  <c r="AE1376" i="21"/>
  <c r="AF1376" i="21"/>
  <c r="AG1376" i="21" s="1"/>
  <c r="AI1376" i="21"/>
  <c r="AJ1376" i="21"/>
  <c r="W1377" i="21"/>
  <c r="X1377" i="21"/>
  <c r="Y1377" i="21"/>
  <c r="Z1377" i="21"/>
  <c r="AA1377" i="21" s="1"/>
  <c r="AC1377" i="21"/>
  <c r="AD1377" i="21"/>
  <c r="AE1377" i="21"/>
  <c r="AF1377" i="21"/>
  <c r="AG1377" i="21"/>
  <c r="AK1377" i="21" s="1"/>
  <c r="AH1377" i="21"/>
  <c r="AI1377" i="21"/>
  <c r="AJ1377" i="21"/>
  <c r="AL1377" i="21" s="1"/>
  <c r="AM1377" i="21" s="1"/>
  <c r="W1378" i="21"/>
  <c r="X1378" i="21"/>
  <c r="Y1378" i="21"/>
  <c r="Z1378" i="21"/>
  <c r="AA1378" i="21" s="1"/>
  <c r="AC1378" i="21"/>
  <c r="AD1378" i="21"/>
  <c r="AE1378" i="21"/>
  <c r="AF1378" i="21"/>
  <c r="AG1378" i="21"/>
  <c r="AH1378" i="21" s="1"/>
  <c r="AI1378" i="21"/>
  <c r="AJ1378" i="21"/>
  <c r="W1379" i="21"/>
  <c r="X1379" i="21"/>
  <c r="Y1379" i="21"/>
  <c r="Z1379" i="21"/>
  <c r="AA1379" i="21" s="1"/>
  <c r="AC1379" i="21"/>
  <c r="AD1379" i="21"/>
  <c r="AE1379" i="21"/>
  <c r="AF1379" i="21"/>
  <c r="AG1379" i="21" s="1"/>
  <c r="AI1379" i="21"/>
  <c r="AJ1379" i="21"/>
  <c r="W1380" i="21"/>
  <c r="X1380" i="21"/>
  <c r="Y1380" i="21"/>
  <c r="Z1380" i="21"/>
  <c r="AA1380" i="21" s="1"/>
  <c r="AB1380" i="21" s="1"/>
  <c r="AC1380" i="21"/>
  <c r="AD1380" i="21"/>
  <c r="AE1380" i="21"/>
  <c r="AF1380" i="21"/>
  <c r="AG1380" i="21" s="1"/>
  <c r="AI1380" i="21"/>
  <c r="AJ1380" i="21"/>
  <c r="W1381" i="21"/>
  <c r="X1381" i="21"/>
  <c r="Y1381" i="21"/>
  <c r="Z1381" i="21"/>
  <c r="AA1381" i="21"/>
  <c r="AB1381" i="21" s="1"/>
  <c r="AC1381" i="21"/>
  <c r="AD1381" i="21"/>
  <c r="AE1381" i="21"/>
  <c r="AF1381" i="21"/>
  <c r="AG1381" i="21" s="1"/>
  <c r="AI1381" i="21"/>
  <c r="AJ1381" i="21"/>
  <c r="W1382" i="21"/>
  <c r="X1382" i="21"/>
  <c r="Y1382" i="21"/>
  <c r="Z1382" i="21"/>
  <c r="AA1382" i="21" s="1"/>
  <c r="AB1382" i="21" s="1"/>
  <c r="AC1382" i="21"/>
  <c r="AD1382" i="21"/>
  <c r="AE1382" i="21"/>
  <c r="AF1382" i="21"/>
  <c r="AG1382" i="21" s="1"/>
  <c r="AI1382" i="21"/>
  <c r="AJ1382" i="21"/>
  <c r="W1383" i="21"/>
  <c r="X1383" i="21"/>
  <c r="Y1383" i="21"/>
  <c r="Z1383" i="21"/>
  <c r="AA1383" i="21"/>
  <c r="AB1383" i="21"/>
  <c r="AC1383" i="21"/>
  <c r="AD1383" i="21"/>
  <c r="AE1383" i="21"/>
  <c r="AF1383" i="21"/>
  <c r="AG1383" i="21"/>
  <c r="AH1383" i="21" s="1"/>
  <c r="AI1383" i="21"/>
  <c r="AJ1383" i="21"/>
  <c r="AL1383" i="21" s="1"/>
  <c r="AK1383" i="21"/>
  <c r="W1384" i="21"/>
  <c r="X1384" i="21"/>
  <c r="Y1384" i="21"/>
  <c r="Z1384" i="21"/>
  <c r="AA1384" i="21"/>
  <c r="AB1384" i="21" s="1"/>
  <c r="AC1384" i="21"/>
  <c r="AD1384" i="21"/>
  <c r="AE1384" i="21"/>
  <c r="AF1384" i="21"/>
  <c r="AG1384" i="21" s="1"/>
  <c r="AI1384" i="21"/>
  <c r="AJ1384" i="21"/>
  <c r="W1385" i="21"/>
  <c r="X1385" i="21"/>
  <c r="Y1385" i="21"/>
  <c r="Z1385" i="21"/>
  <c r="AA1385" i="21" s="1"/>
  <c r="AC1385" i="21"/>
  <c r="AD1385" i="21"/>
  <c r="AE1385" i="21"/>
  <c r="AF1385" i="21"/>
  <c r="AG1385" i="21"/>
  <c r="AK1385" i="21" s="1"/>
  <c r="AH1385" i="21"/>
  <c r="AI1385" i="21"/>
  <c r="AJ1385" i="21"/>
  <c r="AL1385" i="21" s="1"/>
  <c r="AM1385" i="21" s="1"/>
  <c r="W1386" i="21"/>
  <c r="X1386" i="21"/>
  <c r="Y1386" i="21"/>
  <c r="Z1386" i="21"/>
  <c r="AA1386" i="21" s="1"/>
  <c r="AC1386" i="21"/>
  <c r="AD1386" i="21"/>
  <c r="AE1386" i="21"/>
  <c r="AF1386" i="21"/>
  <c r="AG1386" i="21"/>
  <c r="AH1386" i="21" s="1"/>
  <c r="AI1386" i="21"/>
  <c r="AJ1386" i="21"/>
  <c r="W1387" i="21"/>
  <c r="X1387" i="21"/>
  <c r="Y1387" i="21"/>
  <c r="Z1387" i="21"/>
  <c r="AA1387" i="21" s="1"/>
  <c r="AC1387" i="21"/>
  <c r="AD1387" i="21"/>
  <c r="AE1387" i="21"/>
  <c r="AF1387" i="21"/>
  <c r="AG1387" i="21" s="1"/>
  <c r="AI1387" i="21"/>
  <c r="AJ1387" i="21"/>
  <c r="W1388" i="21"/>
  <c r="X1388" i="21"/>
  <c r="Y1388" i="21"/>
  <c r="Z1388" i="21"/>
  <c r="AA1388" i="21" s="1"/>
  <c r="AB1388" i="21" s="1"/>
  <c r="AC1388" i="21"/>
  <c r="AD1388" i="21"/>
  <c r="AE1388" i="21"/>
  <c r="AF1388" i="21"/>
  <c r="AG1388" i="21" s="1"/>
  <c r="AI1388" i="21"/>
  <c r="AJ1388" i="21"/>
  <c r="W1389" i="21"/>
  <c r="X1389" i="21"/>
  <c r="Y1389" i="21"/>
  <c r="Z1389" i="21"/>
  <c r="AA1389" i="21"/>
  <c r="AB1389" i="21" s="1"/>
  <c r="AC1389" i="21"/>
  <c r="AD1389" i="21"/>
  <c r="AE1389" i="21"/>
  <c r="AF1389" i="21"/>
  <c r="AG1389" i="21" s="1"/>
  <c r="AI1389" i="21"/>
  <c r="AJ1389" i="21"/>
  <c r="W1390" i="21"/>
  <c r="X1390" i="21"/>
  <c r="Y1390" i="21"/>
  <c r="Z1390" i="21"/>
  <c r="AA1390" i="21" s="1"/>
  <c r="AB1390" i="21" s="1"/>
  <c r="AC1390" i="21"/>
  <c r="AD1390" i="21"/>
  <c r="AE1390" i="21"/>
  <c r="AF1390" i="21"/>
  <c r="AG1390" i="21" s="1"/>
  <c r="AI1390" i="21"/>
  <c r="AJ1390" i="21"/>
  <c r="W1391" i="21"/>
  <c r="X1391" i="21"/>
  <c r="Y1391" i="21"/>
  <c r="Z1391" i="21"/>
  <c r="AA1391" i="21"/>
  <c r="AB1391" i="21"/>
  <c r="AC1391" i="21"/>
  <c r="AD1391" i="21"/>
  <c r="AE1391" i="21"/>
  <c r="AF1391" i="21"/>
  <c r="AG1391" i="21"/>
  <c r="AH1391" i="21" s="1"/>
  <c r="AI1391" i="21"/>
  <c r="AJ1391" i="21"/>
  <c r="AL1391" i="21" s="1"/>
  <c r="AM1391" i="21" s="1"/>
  <c r="AK1391" i="21"/>
  <c r="W1392" i="21"/>
  <c r="X1392" i="21"/>
  <c r="Y1392" i="21"/>
  <c r="Z1392" i="21"/>
  <c r="AA1392" i="21"/>
  <c r="AB1392" i="21" s="1"/>
  <c r="AC1392" i="21"/>
  <c r="AD1392" i="21"/>
  <c r="AE1392" i="21"/>
  <c r="AF1392" i="21"/>
  <c r="AG1392" i="21" s="1"/>
  <c r="AI1392" i="21"/>
  <c r="AJ1392" i="21"/>
  <c r="W1393" i="21"/>
  <c r="X1393" i="21"/>
  <c r="Y1393" i="21"/>
  <c r="Z1393" i="21"/>
  <c r="AA1393" i="21" s="1"/>
  <c r="AC1393" i="21"/>
  <c r="AD1393" i="21"/>
  <c r="AE1393" i="21"/>
  <c r="AF1393" i="21"/>
  <c r="AG1393" i="21"/>
  <c r="AK1393" i="21" s="1"/>
  <c r="AH1393" i="21"/>
  <c r="AI1393" i="21"/>
  <c r="AJ1393" i="21"/>
  <c r="W1394" i="21"/>
  <c r="X1394" i="21"/>
  <c r="Y1394" i="21"/>
  <c r="Z1394" i="21"/>
  <c r="AA1394" i="21" s="1"/>
  <c r="AC1394" i="21"/>
  <c r="AD1394" i="21"/>
  <c r="AE1394" i="21"/>
  <c r="AF1394" i="21"/>
  <c r="AG1394" i="21"/>
  <c r="AH1394" i="21" s="1"/>
  <c r="AI1394" i="21"/>
  <c r="AJ1394" i="21"/>
  <c r="W1395" i="21"/>
  <c r="X1395" i="21"/>
  <c r="Y1395" i="21"/>
  <c r="Z1395" i="21"/>
  <c r="AA1395" i="21" s="1"/>
  <c r="AC1395" i="21"/>
  <c r="AD1395" i="21"/>
  <c r="AE1395" i="21"/>
  <c r="AF1395" i="21"/>
  <c r="AG1395" i="21" s="1"/>
  <c r="AI1395" i="21"/>
  <c r="AJ1395" i="21"/>
  <c r="W1396" i="21"/>
  <c r="X1396" i="21"/>
  <c r="Y1396" i="21"/>
  <c r="Z1396" i="21"/>
  <c r="AA1396" i="21" s="1"/>
  <c r="AB1396" i="21" s="1"/>
  <c r="AC1396" i="21"/>
  <c r="AD1396" i="21"/>
  <c r="AE1396" i="21"/>
  <c r="AF1396" i="21"/>
  <c r="AG1396" i="21" s="1"/>
  <c r="AI1396" i="21"/>
  <c r="AJ1396" i="21"/>
  <c r="W1397" i="21"/>
  <c r="X1397" i="21"/>
  <c r="Y1397" i="21"/>
  <c r="Z1397" i="21"/>
  <c r="AA1397" i="21"/>
  <c r="AB1397" i="21" s="1"/>
  <c r="AC1397" i="21"/>
  <c r="AD1397" i="21"/>
  <c r="AE1397" i="21"/>
  <c r="AF1397" i="21"/>
  <c r="AG1397" i="21" s="1"/>
  <c r="AI1397" i="21"/>
  <c r="AJ1397" i="21"/>
  <c r="W1398" i="21"/>
  <c r="X1398" i="21"/>
  <c r="Y1398" i="21"/>
  <c r="Z1398" i="21"/>
  <c r="AA1398" i="21" s="1"/>
  <c r="AB1398" i="21" s="1"/>
  <c r="AC1398" i="21"/>
  <c r="AD1398" i="21"/>
  <c r="AE1398" i="21"/>
  <c r="AF1398" i="21"/>
  <c r="AG1398" i="21" s="1"/>
  <c r="AI1398" i="21"/>
  <c r="AJ1398" i="21"/>
  <c r="W1399" i="21"/>
  <c r="X1399" i="21"/>
  <c r="Y1399" i="21"/>
  <c r="Z1399" i="21"/>
  <c r="AA1399" i="21"/>
  <c r="AB1399" i="21"/>
  <c r="AC1399" i="21"/>
  <c r="AD1399" i="21"/>
  <c r="AE1399" i="21"/>
  <c r="AF1399" i="21"/>
  <c r="AG1399" i="21"/>
  <c r="AH1399" i="21" s="1"/>
  <c r="AI1399" i="21"/>
  <c r="AJ1399" i="21"/>
  <c r="AL1399" i="21" s="1"/>
  <c r="AK1399" i="21"/>
  <c r="W1400" i="21"/>
  <c r="X1400" i="21"/>
  <c r="Y1400" i="21"/>
  <c r="Z1400" i="21"/>
  <c r="AA1400" i="21"/>
  <c r="AB1400" i="21" s="1"/>
  <c r="AC1400" i="21"/>
  <c r="AD1400" i="21"/>
  <c r="AE1400" i="21"/>
  <c r="AF1400" i="21"/>
  <c r="AG1400" i="21" s="1"/>
  <c r="AI1400" i="21"/>
  <c r="AJ1400" i="21"/>
  <c r="W1401" i="21"/>
  <c r="X1401" i="21"/>
  <c r="Y1401" i="21"/>
  <c r="Z1401" i="21"/>
  <c r="AA1401" i="21" s="1"/>
  <c r="AC1401" i="21"/>
  <c r="AD1401" i="21"/>
  <c r="AE1401" i="21"/>
  <c r="AF1401" i="21"/>
  <c r="AG1401" i="21"/>
  <c r="AK1401" i="21" s="1"/>
  <c r="AH1401" i="21"/>
  <c r="AI1401" i="21"/>
  <c r="AJ1401" i="21"/>
  <c r="AL1401" i="21" s="1"/>
  <c r="AM1401" i="21" s="1"/>
  <c r="W1402" i="21"/>
  <c r="X1402" i="21"/>
  <c r="Y1402" i="21"/>
  <c r="Z1402" i="21"/>
  <c r="AA1402" i="21" s="1"/>
  <c r="AC1402" i="21"/>
  <c r="AD1402" i="21"/>
  <c r="AE1402" i="21"/>
  <c r="AF1402" i="21"/>
  <c r="AG1402" i="21"/>
  <c r="AH1402" i="21" s="1"/>
  <c r="AI1402" i="21"/>
  <c r="AJ1402" i="21"/>
  <c r="W1403" i="21"/>
  <c r="X1403" i="21"/>
  <c r="Y1403" i="21"/>
  <c r="Z1403" i="21"/>
  <c r="AA1403" i="21" s="1"/>
  <c r="AC1403" i="21"/>
  <c r="AD1403" i="21"/>
  <c r="AE1403" i="21"/>
  <c r="AF1403" i="21"/>
  <c r="AG1403" i="21" s="1"/>
  <c r="AI1403" i="21"/>
  <c r="AJ1403" i="21"/>
  <c r="W1404" i="21"/>
  <c r="X1404" i="21"/>
  <c r="Y1404" i="21"/>
  <c r="Z1404" i="21"/>
  <c r="AA1404" i="21" s="1"/>
  <c r="AB1404" i="21" s="1"/>
  <c r="AC1404" i="21"/>
  <c r="AD1404" i="21"/>
  <c r="AE1404" i="21"/>
  <c r="AF1404" i="21"/>
  <c r="AG1404" i="21" s="1"/>
  <c r="AI1404" i="21"/>
  <c r="AJ1404" i="21"/>
  <c r="W1405" i="21"/>
  <c r="X1405" i="21"/>
  <c r="Y1405" i="21"/>
  <c r="Z1405" i="21"/>
  <c r="AA1405" i="21"/>
  <c r="AB1405" i="21" s="1"/>
  <c r="AC1405" i="21"/>
  <c r="AD1405" i="21"/>
  <c r="AE1405" i="21"/>
  <c r="AF1405" i="21"/>
  <c r="AG1405" i="21" s="1"/>
  <c r="AI1405" i="21"/>
  <c r="AJ1405" i="21"/>
  <c r="W1406" i="21"/>
  <c r="X1406" i="21"/>
  <c r="Y1406" i="21"/>
  <c r="Z1406" i="21"/>
  <c r="AA1406" i="21" s="1"/>
  <c r="AB1406" i="21" s="1"/>
  <c r="AC1406" i="21"/>
  <c r="AD1406" i="21"/>
  <c r="AE1406" i="21"/>
  <c r="AF1406" i="21"/>
  <c r="AG1406" i="21" s="1"/>
  <c r="AI1406" i="21"/>
  <c r="AJ1406" i="21"/>
  <c r="W1407" i="21"/>
  <c r="X1407" i="21"/>
  <c r="Y1407" i="21"/>
  <c r="Z1407" i="21"/>
  <c r="AA1407" i="21"/>
  <c r="AB1407" i="21"/>
  <c r="AC1407" i="21"/>
  <c r="AD1407" i="21"/>
  <c r="AE1407" i="21"/>
  <c r="AF1407" i="21"/>
  <c r="AG1407" i="21"/>
  <c r="AH1407" i="21" s="1"/>
  <c r="AI1407" i="21"/>
  <c r="AJ1407" i="21"/>
  <c r="AL1407" i="21" s="1"/>
  <c r="AK1407" i="21"/>
  <c r="W1408" i="21"/>
  <c r="X1408" i="21"/>
  <c r="Y1408" i="21"/>
  <c r="Z1408" i="21"/>
  <c r="AB1408" i="21" s="1"/>
  <c r="AA1408" i="21"/>
  <c r="AC1408" i="21"/>
  <c r="AD1408" i="21"/>
  <c r="AE1408" i="21"/>
  <c r="AF1408" i="21"/>
  <c r="AG1408" i="21" s="1"/>
  <c r="AI1408" i="21"/>
  <c r="AJ1408" i="21"/>
  <c r="W1409" i="21"/>
  <c r="X1409" i="21"/>
  <c r="Y1409" i="21"/>
  <c r="Z1409" i="21"/>
  <c r="AA1409" i="21" s="1"/>
  <c r="AC1409" i="21"/>
  <c r="AD1409" i="21"/>
  <c r="AE1409" i="21"/>
  <c r="AF1409" i="21"/>
  <c r="AG1409" i="21"/>
  <c r="AK1409" i="21" s="1"/>
  <c r="AH1409" i="21"/>
  <c r="AI1409" i="21"/>
  <c r="AJ1409" i="21"/>
  <c r="W1410" i="21"/>
  <c r="X1410" i="21"/>
  <c r="Y1410" i="21"/>
  <c r="Z1410" i="21"/>
  <c r="AA1410" i="21" s="1"/>
  <c r="AC1410" i="21"/>
  <c r="AD1410" i="21"/>
  <c r="AE1410" i="21"/>
  <c r="AF1410" i="21"/>
  <c r="AG1410" i="21"/>
  <c r="AH1410" i="21" s="1"/>
  <c r="AI1410" i="21"/>
  <c r="AJ1410" i="21"/>
  <c r="W1411" i="21"/>
  <c r="X1411" i="21"/>
  <c r="Y1411" i="21"/>
  <c r="Z1411" i="21"/>
  <c r="AA1411" i="21" s="1"/>
  <c r="AC1411" i="21"/>
  <c r="AD1411" i="21"/>
  <c r="AE1411" i="21"/>
  <c r="AF1411" i="21"/>
  <c r="AG1411" i="21" s="1"/>
  <c r="AI1411" i="21"/>
  <c r="AJ1411" i="21"/>
  <c r="W1412" i="21"/>
  <c r="X1412" i="21"/>
  <c r="Y1412" i="21"/>
  <c r="Z1412" i="21"/>
  <c r="AA1412" i="21" s="1"/>
  <c r="AB1412" i="21" s="1"/>
  <c r="AC1412" i="21"/>
  <c r="AD1412" i="21"/>
  <c r="AE1412" i="21"/>
  <c r="AF1412" i="21"/>
  <c r="AG1412" i="21" s="1"/>
  <c r="AI1412" i="21"/>
  <c r="AJ1412" i="21"/>
  <c r="W1413" i="21"/>
  <c r="X1413" i="21"/>
  <c r="Y1413" i="21"/>
  <c r="Z1413" i="21"/>
  <c r="AB1413" i="21" s="1"/>
  <c r="AA1413" i="21"/>
  <c r="AC1413" i="21"/>
  <c r="AD1413" i="21"/>
  <c r="AE1413" i="21"/>
  <c r="AF1413" i="21"/>
  <c r="AG1413" i="21" s="1"/>
  <c r="AI1413" i="21"/>
  <c r="AJ1413" i="21"/>
  <c r="W1414" i="21"/>
  <c r="X1414" i="21"/>
  <c r="Y1414" i="21"/>
  <c r="Z1414" i="21"/>
  <c r="AA1414" i="21" s="1"/>
  <c r="AB1414" i="21" s="1"/>
  <c r="AC1414" i="21"/>
  <c r="AD1414" i="21"/>
  <c r="AE1414" i="21"/>
  <c r="AF1414" i="21"/>
  <c r="AG1414" i="21" s="1"/>
  <c r="AI1414" i="21"/>
  <c r="AJ1414" i="21"/>
  <c r="W1415" i="21"/>
  <c r="X1415" i="21"/>
  <c r="Y1415" i="21"/>
  <c r="Z1415" i="21"/>
  <c r="AA1415" i="21"/>
  <c r="AB1415" i="21"/>
  <c r="AC1415" i="21"/>
  <c r="AD1415" i="21"/>
  <c r="AE1415" i="21"/>
  <c r="AF1415" i="21"/>
  <c r="AG1415" i="21"/>
  <c r="AH1415" i="21" s="1"/>
  <c r="AI1415" i="21"/>
  <c r="AJ1415" i="21"/>
  <c r="AL1415" i="21" s="1"/>
  <c r="AM1415" i="21" s="1"/>
  <c r="AK1415" i="21"/>
  <c r="W1416" i="21"/>
  <c r="X1416" i="21"/>
  <c r="Y1416" i="21"/>
  <c r="Z1416" i="21"/>
  <c r="AA1416" i="21"/>
  <c r="AB1416" i="21" s="1"/>
  <c r="AC1416" i="21"/>
  <c r="AD1416" i="21"/>
  <c r="AE1416" i="21"/>
  <c r="AF1416" i="21"/>
  <c r="AG1416" i="21" s="1"/>
  <c r="AI1416" i="21"/>
  <c r="AJ1416" i="21"/>
  <c r="W1417" i="21"/>
  <c r="X1417" i="21"/>
  <c r="Y1417" i="21"/>
  <c r="Z1417" i="21"/>
  <c r="AA1417" i="21" s="1"/>
  <c r="AC1417" i="21"/>
  <c r="AD1417" i="21"/>
  <c r="AE1417" i="21"/>
  <c r="AF1417" i="21"/>
  <c r="AG1417" i="21"/>
  <c r="AK1417" i="21" s="1"/>
  <c r="AH1417" i="21"/>
  <c r="AI1417" i="21"/>
  <c r="AJ1417" i="21"/>
  <c r="AL1417" i="21" s="1"/>
  <c r="AM1417" i="21" s="1"/>
  <c r="W1418" i="21"/>
  <c r="X1418" i="21"/>
  <c r="Y1418" i="21"/>
  <c r="Z1418" i="21"/>
  <c r="AA1418" i="21" s="1"/>
  <c r="AC1418" i="21"/>
  <c r="AD1418" i="21"/>
  <c r="AE1418" i="21"/>
  <c r="AF1418" i="21"/>
  <c r="AG1418" i="21"/>
  <c r="AH1418" i="21" s="1"/>
  <c r="AI1418" i="21"/>
  <c r="AJ1418" i="21"/>
  <c r="W1419" i="21"/>
  <c r="X1419" i="21"/>
  <c r="Y1419" i="21"/>
  <c r="Z1419" i="21"/>
  <c r="AA1419" i="21" s="1"/>
  <c r="AC1419" i="21"/>
  <c r="AD1419" i="21"/>
  <c r="AE1419" i="21"/>
  <c r="AF1419" i="21"/>
  <c r="AG1419" i="21" s="1"/>
  <c r="AI1419" i="21"/>
  <c r="AJ1419" i="21"/>
  <c r="W1420" i="21"/>
  <c r="X1420" i="21"/>
  <c r="Y1420" i="21"/>
  <c r="Z1420" i="21"/>
  <c r="AC1420" i="21"/>
  <c r="AD1420" i="21"/>
  <c r="AE1420" i="21"/>
  <c r="AF1420" i="21"/>
  <c r="AG1420" i="21" s="1"/>
  <c r="AI1420" i="21"/>
  <c r="AJ1420" i="21"/>
  <c r="W1421" i="21"/>
  <c r="X1421" i="21"/>
  <c r="Y1421" i="21"/>
  <c r="Z1421" i="21"/>
  <c r="AB1421" i="21" s="1"/>
  <c r="AA1421" i="21"/>
  <c r="AC1421" i="21"/>
  <c r="AD1421" i="21"/>
  <c r="AE1421" i="21"/>
  <c r="AF1421" i="21"/>
  <c r="AG1421" i="21" s="1"/>
  <c r="AI1421" i="21"/>
  <c r="AJ1421" i="21"/>
  <c r="W1422" i="21"/>
  <c r="X1422" i="21"/>
  <c r="Y1422" i="21"/>
  <c r="Z1422" i="21"/>
  <c r="AA1422" i="21" s="1"/>
  <c r="AB1422" i="21" s="1"/>
  <c r="AC1422" i="21"/>
  <c r="AD1422" i="21"/>
  <c r="AE1422" i="21"/>
  <c r="AF1422" i="21"/>
  <c r="AG1422" i="21" s="1"/>
  <c r="AI1422" i="21"/>
  <c r="AJ1422" i="21"/>
  <c r="W1423" i="21"/>
  <c r="X1423" i="21"/>
  <c r="Y1423" i="21"/>
  <c r="Z1423" i="21"/>
  <c r="AA1423" i="21"/>
  <c r="AB1423" i="21"/>
  <c r="AC1423" i="21"/>
  <c r="AD1423" i="21"/>
  <c r="AE1423" i="21"/>
  <c r="AF1423" i="21"/>
  <c r="AG1423" i="21"/>
  <c r="AH1423" i="21" s="1"/>
  <c r="AI1423" i="21"/>
  <c r="AJ1423" i="21"/>
  <c r="AL1423" i="21" s="1"/>
  <c r="AM1423" i="21" s="1"/>
  <c r="AK1423" i="21"/>
  <c r="W1424" i="21"/>
  <c r="X1424" i="21"/>
  <c r="Y1424" i="21"/>
  <c r="Z1424" i="21"/>
  <c r="AA1424" i="21"/>
  <c r="AB1424" i="21" s="1"/>
  <c r="AC1424" i="21"/>
  <c r="AD1424" i="21"/>
  <c r="AE1424" i="21"/>
  <c r="AF1424" i="21"/>
  <c r="AG1424" i="21" s="1"/>
  <c r="AI1424" i="21"/>
  <c r="AJ1424" i="21"/>
  <c r="W1425" i="21"/>
  <c r="X1425" i="21"/>
  <c r="Y1425" i="21"/>
  <c r="Z1425" i="21"/>
  <c r="AA1425" i="21" s="1"/>
  <c r="AC1425" i="21"/>
  <c r="AD1425" i="21"/>
  <c r="AE1425" i="21"/>
  <c r="AF1425" i="21"/>
  <c r="AG1425" i="21"/>
  <c r="AK1425" i="21" s="1"/>
  <c r="AH1425" i="21"/>
  <c r="AI1425" i="21"/>
  <c r="AJ1425" i="21"/>
  <c r="W1426" i="21"/>
  <c r="X1426" i="21"/>
  <c r="Y1426" i="21"/>
  <c r="Z1426" i="21"/>
  <c r="AA1426" i="21" s="1"/>
  <c r="AC1426" i="21"/>
  <c r="AD1426" i="21"/>
  <c r="AE1426" i="21"/>
  <c r="AF1426" i="21"/>
  <c r="AG1426" i="21"/>
  <c r="AH1426" i="21" s="1"/>
  <c r="AI1426" i="21"/>
  <c r="AJ1426" i="21"/>
  <c r="W1427" i="21"/>
  <c r="X1427" i="21"/>
  <c r="Y1427" i="21"/>
  <c r="Z1427" i="21"/>
  <c r="AA1427" i="21" s="1"/>
  <c r="AC1427" i="21"/>
  <c r="AD1427" i="21"/>
  <c r="AE1427" i="21"/>
  <c r="AF1427" i="21"/>
  <c r="AG1427" i="21" s="1"/>
  <c r="AI1427" i="21"/>
  <c r="AJ1427" i="21"/>
  <c r="W1428" i="21"/>
  <c r="X1428" i="21"/>
  <c r="Y1428" i="21"/>
  <c r="Z1428" i="21"/>
  <c r="AC1428" i="21"/>
  <c r="AD1428" i="21"/>
  <c r="AE1428" i="21"/>
  <c r="AF1428" i="21"/>
  <c r="AG1428" i="21" s="1"/>
  <c r="AI1428" i="21"/>
  <c r="AJ1428" i="21"/>
  <c r="W1429" i="21"/>
  <c r="X1429" i="21"/>
  <c r="Y1429" i="21"/>
  <c r="Z1429" i="21"/>
  <c r="AB1429" i="21" s="1"/>
  <c r="AA1429" i="21"/>
  <c r="AC1429" i="21"/>
  <c r="AD1429" i="21"/>
  <c r="AE1429" i="21"/>
  <c r="AF1429" i="21"/>
  <c r="AG1429" i="21" s="1"/>
  <c r="AI1429" i="21"/>
  <c r="AJ1429" i="21"/>
  <c r="W1430" i="21"/>
  <c r="X1430" i="21"/>
  <c r="Y1430" i="21"/>
  <c r="Z1430" i="21"/>
  <c r="AA1430" i="21" s="1"/>
  <c r="AB1430" i="21" s="1"/>
  <c r="AC1430" i="21"/>
  <c r="AD1430" i="21"/>
  <c r="AE1430" i="21"/>
  <c r="AF1430" i="21"/>
  <c r="AG1430" i="21" s="1"/>
  <c r="AI1430" i="21"/>
  <c r="AJ1430" i="21"/>
  <c r="W1431" i="21"/>
  <c r="X1431" i="21"/>
  <c r="Y1431" i="21"/>
  <c r="Z1431" i="21"/>
  <c r="AA1431" i="21"/>
  <c r="AB1431" i="21"/>
  <c r="AC1431" i="21"/>
  <c r="AD1431" i="21"/>
  <c r="AE1431" i="21"/>
  <c r="AF1431" i="21"/>
  <c r="AG1431" i="21"/>
  <c r="AH1431" i="21" s="1"/>
  <c r="AI1431" i="21"/>
  <c r="AJ1431" i="21"/>
  <c r="AL1431" i="21" s="1"/>
  <c r="AK1431" i="21"/>
  <c r="W1432" i="21"/>
  <c r="X1432" i="21"/>
  <c r="Y1432" i="21"/>
  <c r="Z1432" i="21"/>
  <c r="AA1432" i="21"/>
  <c r="AB1432" i="21" s="1"/>
  <c r="AC1432" i="21"/>
  <c r="AD1432" i="21"/>
  <c r="AE1432" i="21"/>
  <c r="AF1432" i="21"/>
  <c r="AG1432" i="21" s="1"/>
  <c r="AI1432" i="21"/>
  <c r="AJ1432" i="21"/>
  <c r="W1433" i="21"/>
  <c r="X1433" i="21"/>
  <c r="Y1433" i="21"/>
  <c r="Z1433" i="21"/>
  <c r="AA1433" i="21" s="1"/>
  <c r="AC1433" i="21"/>
  <c r="AD1433" i="21"/>
  <c r="AE1433" i="21"/>
  <c r="AF1433" i="21"/>
  <c r="AG1433" i="21"/>
  <c r="AK1433" i="21" s="1"/>
  <c r="AH1433" i="21"/>
  <c r="AI1433" i="21"/>
  <c r="AJ1433" i="21"/>
  <c r="AL1433" i="21" s="1"/>
  <c r="AM1433" i="21" s="1"/>
  <c r="W1434" i="21"/>
  <c r="X1434" i="21"/>
  <c r="Y1434" i="21"/>
  <c r="Z1434" i="21"/>
  <c r="AA1434" i="21" s="1"/>
  <c r="AC1434" i="21"/>
  <c r="AD1434" i="21"/>
  <c r="AE1434" i="21"/>
  <c r="AF1434" i="21"/>
  <c r="AG1434" i="21"/>
  <c r="AH1434" i="21" s="1"/>
  <c r="AI1434" i="21"/>
  <c r="AJ1434" i="21"/>
  <c r="W1435" i="21"/>
  <c r="X1435" i="21"/>
  <c r="Y1435" i="21"/>
  <c r="Z1435" i="21"/>
  <c r="AA1435" i="21" s="1"/>
  <c r="AC1435" i="21"/>
  <c r="AD1435" i="21"/>
  <c r="AE1435" i="21"/>
  <c r="AF1435" i="21"/>
  <c r="AG1435" i="21" s="1"/>
  <c r="AI1435" i="21"/>
  <c r="AJ1435" i="21"/>
  <c r="W1436" i="21"/>
  <c r="X1436" i="21"/>
  <c r="Y1436" i="21"/>
  <c r="Z1436" i="21"/>
  <c r="AC1436" i="21"/>
  <c r="AD1436" i="21"/>
  <c r="AE1436" i="21"/>
  <c r="AF1436" i="21"/>
  <c r="AG1436" i="21" s="1"/>
  <c r="AI1436" i="21"/>
  <c r="AJ1436" i="21"/>
  <c r="W1437" i="21"/>
  <c r="X1437" i="21"/>
  <c r="Y1437" i="21"/>
  <c r="Z1437" i="21"/>
  <c r="AB1437" i="21" s="1"/>
  <c r="AA1437" i="21"/>
  <c r="AC1437" i="21"/>
  <c r="AD1437" i="21"/>
  <c r="AE1437" i="21"/>
  <c r="AF1437" i="21"/>
  <c r="AG1437" i="21" s="1"/>
  <c r="AI1437" i="21"/>
  <c r="AJ1437" i="21"/>
  <c r="W1438" i="21"/>
  <c r="X1438" i="21"/>
  <c r="Y1438" i="21"/>
  <c r="Z1438" i="21"/>
  <c r="AA1438" i="21" s="1"/>
  <c r="AB1438" i="21" s="1"/>
  <c r="AC1438" i="21"/>
  <c r="AD1438" i="21"/>
  <c r="AE1438" i="21"/>
  <c r="AF1438" i="21"/>
  <c r="AG1438" i="21" s="1"/>
  <c r="AI1438" i="21"/>
  <c r="AJ1438" i="21"/>
  <c r="W1439" i="21"/>
  <c r="X1439" i="21"/>
  <c r="Y1439" i="21"/>
  <c r="Z1439" i="21"/>
  <c r="AA1439" i="21"/>
  <c r="AB1439" i="21"/>
  <c r="AC1439" i="21"/>
  <c r="AD1439" i="21"/>
  <c r="AE1439" i="21"/>
  <c r="AF1439" i="21"/>
  <c r="AG1439" i="21"/>
  <c r="AH1439" i="21" s="1"/>
  <c r="AI1439" i="21"/>
  <c r="AJ1439" i="21"/>
  <c r="AL1439" i="21" s="1"/>
  <c r="AK1439" i="21"/>
  <c r="W1440" i="21"/>
  <c r="X1440" i="21"/>
  <c r="Y1440" i="21"/>
  <c r="Z1440" i="21"/>
  <c r="AA1440" i="21"/>
  <c r="AB1440" i="21" s="1"/>
  <c r="AC1440" i="21"/>
  <c r="AD1440" i="21"/>
  <c r="AE1440" i="21"/>
  <c r="AF1440" i="21"/>
  <c r="AG1440" i="21" s="1"/>
  <c r="AI1440" i="21"/>
  <c r="AJ1440" i="21"/>
  <c r="W1441" i="21"/>
  <c r="X1441" i="21"/>
  <c r="Y1441" i="21"/>
  <c r="Z1441" i="21"/>
  <c r="AA1441" i="21" s="1"/>
  <c r="AC1441" i="21"/>
  <c r="AD1441" i="21"/>
  <c r="AE1441" i="21"/>
  <c r="AF1441" i="21"/>
  <c r="AG1441" i="21"/>
  <c r="AK1441" i="21" s="1"/>
  <c r="AH1441" i="21"/>
  <c r="AI1441" i="21"/>
  <c r="AJ1441" i="21"/>
  <c r="W1442" i="21"/>
  <c r="X1442" i="21"/>
  <c r="Y1442" i="21"/>
  <c r="Z1442" i="21"/>
  <c r="AA1442" i="21" s="1"/>
  <c r="AC1442" i="21"/>
  <c r="AD1442" i="21"/>
  <c r="AE1442" i="21"/>
  <c r="AF1442" i="21"/>
  <c r="AG1442" i="21"/>
  <c r="AH1442" i="21" s="1"/>
  <c r="AI1442" i="21"/>
  <c r="AJ1442" i="21"/>
  <c r="W1443" i="21"/>
  <c r="X1443" i="21"/>
  <c r="Y1443" i="21"/>
  <c r="Z1443" i="21"/>
  <c r="AA1443" i="21" s="1"/>
  <c r="AC1443" i="21"/>
  <c r="AD1443" i="21"/>
  <c r="AE1443" i="21"/>
  <c r="AF1443" i="21"/>
  <c r="AG1443" i="21" s="1"/>
  <c r="AI1443" i="21"/>
  <c r="AJ1443" i="21"/>
  <c r="W1444" i="21"/>
  <c r="X1444" i="21"/>
  <c r="Y1444" i="21"/>
  <c r="Z1444" i="21"/>
  <c r="AC1444" i="21"/>
  <c r="AD1444" i="21"/>
  <c r="AE1444" i="21"/>
  <c r="AF1444" i="21"/>
  <c r="AG1444" i="21"/>
  <c r="AK1444" i="21" s="1"/>
  <c r="AL1444" i="21" s="1"/>
  <c r="AI1444" i="21"/>
  <c r="AJ1444" i="21"/>
  <c r="W1445" i="21"/>
  <c r="X1445" i="21"/>
  <c r="Y1445" i="21"/>
  <c r="Z1445" i="21"/>
  <c r="AB1445" i="21" s="1"/>
  <c r="AA1445" i="21"/>
  <c r="AC1445" i="21"/>
  <c r="AD1445" i="21"/>
  <c r="AE1445" i="21"/>
  <c r="AF1445" i="21"/>
  <c r="AG1445" i="21" s="1"/>
  <c r="AI1445" i="21"/>
  <c r="AJ1445" i="21"/>
  <c r="W1446" i="21"/>
  <c r="X1446" i="21"/>
  <c r="Y1446" i="21"/>
  <c r="Z1446" i="21"/>
  <c r="AA1446" i="21" s="1"/>
  <c r="AB1446" i="21" s="1"/>
  <c r="AC1446" i="21"/>
  <c r="AD1446" i="21"/>
  <c r="AE1446" i="21"/>
  <c r="AF1446" i="21"/>
  <c r="AG1446" i="21" s="1"/>
  <c r="AI1446" i="21"/>
  <c r="AJ1446" i="21"/>
  <c r="W1447" i="21"/>
  <c r="X1447" i="21"/>
  <c r="Y1447" i="21"/>
  <c r="Z1447" i="21"/>
  <c r="AA1447" i="21"/>
  <c r="AB1447" i="21"/>
  <c r="AC1447" i="21"/>
  <c r="AD1447" i="21"/>
  <c r="AE1447" i="21"/>
  <c r="AF1447" i="21"/>
  <c r="AG1447" i="21"/>
  <c r="AH1447" i="21" s="1"/>
  <c r="AI1447" i="21"/>
  <c r="AJ1447" i="21"/>
  <c r="AL1447" i="21" s="1"/>
  <c r="AM1447" i="21" s="1"/>
  <c r="AK1447" i="21"/>
  <c r="W1448" i="21"/>
  <c r="X1448" i="21"/>
  <c r="Y1448" i="21"/>
  <c r="Z1448" i="21"/>
  <c r="AA1448" i="21"/>
  <c r="AB1448" i="21" s="1"/>
  <c r="AC1448" i="21"/>
  <c r="AD1448" i="21"/>
  <c r="AE1448" i="21"/>
  <c r="AF1448" i="21"/>
  <c r="AG1448" i="21" s="1"/>
  <c r="AI1448" i="21"/>
  <c r="AJ1448" i="21"/>
  <c r="W1449" i="21"/>
  <c r="X1449" i="21"/>
  <c r="Y1449" i="21"/>
  <c r="Z1449" i="21"/>
  <c r="AA1449" i="21" s="1"/>
  <c r="AC1449" i="21"/>
  <c r="AD1449" i="21"/>
  <c r="AE1449" i="21"/>
  <c r="AF1449" i="21"/>
  <c r="AG1449" i="21"/>
  <c r="AK1449" i="21" s="1"/>
  <c r="AH1449" i="21"/>
  <c r="AI1449" i="21"/>
  <c r="AJ1449" i="21"/>
  <c r="W1450" i="21"/>
  <c r="X1450" i="21"/>
  <c r="Y1450" i="21"/>
  <c r="Z1450" i="21"/>
  <c r="AA1450" i="21" s="1"/>
  <c r="AC1450" i="21"/>
  <c r="AD1450" i="21"/>
  <c r="AE1450" i="21"/>
  <c r="AF1450" i="21"/>
  <c r="AG1450" i="21"/>
  <c r="AH1450" i="21" s="1"/>
  <c r="AI1450" i="21"/>
  <c r="AJ1450" i="21"/>
  <c r="W1451" i="21"/>
  <c r="X1451" i="21"/>
  <c r="Y1451" i="21"/>
  <c r="Z1451" i="21"/>
  <c r="AA1451" i="21" s="1"/>
  <c r="AC1451" i="21"/>
  <c r="AD1451" i="21"/>
  <c r="AE1451" i="21"/>
  <c r="AF1451" i="21"/>
  <c r="AG1451" i="21" s="1"/>
  <c r="AI1451" i="21"/>
  <c r="AJ1451" i="21"/>
  <c r="W1452" i="21"/>
  <c r="X1452" i="21"/>
  <c r="Y1452" i="21"/>
  <c r="Z1452" i="21"/>
  <c r="AC1452" i="21"/>
  <c r="AD1452" i="21"/>
  <c r="AE1452" i="21"/>
  <c r="AF1452" i="21"/>
  <c r="AG1452" i="21"/>
  <c r="AK1452" i="21" s="1"/>
  <c r="AL1452" i="21" s="1"/>
  <c r="AI1452" i="21"/>
  <c r="AJ1452" i="21"/>
  <c r="W1453" i="21"/>
  <c r="X1453" i="21"/>
  <c r="Y1453" i="21"/>
  <c r="Z1453" i="21"/>
  <c r="AB1453" i="21" s="1"/>
  <c r="AA1453" i="21"/>
  <c r="AC1453" i="21"/>
  <c r="AD1453" i="21"/>
  <c r="AE1453" i="21"/>
  <c r="AF1453" i="21"/>
  <c r="AG1453" i="21" s="1"/>
  <c r="AI1453" i="21"/>
  <c r="AJ1453" i="21"/>
  <c r="W1454" i="21"/>
  <c r="X1454" i="21"/>
  <c r="Y1454" i="21"/>
  <c r="Z1454" i="21"/>
  <c r="AA1454" i="21" s="1"/>
  <c r="AB1454" i="21" s="1"/>
  <c r="AC1454" i="21"/>
  <c r="AD1454" i="21"/>
  <c r="AE1454" i="21"/>
  <c r="AF1454" i="21"/>
  <c r="AG1454" i="21" s="1"/>
  <c r="AI1454" i="21"/>
  <c r="AJ1454" i="21"/>
  <c r="W1455" i="21"/>
  <c r="X1455" i="21"/>
  <c r="Y1455" i="21"/>
  <c r="Z1455" i="21"/>
  <c r="AA1455" i="21"/>
  <c r="AB1455" i="21"/>
  <c r="AC1455" i="21"/>
  <c r="AD1455" i="21"/>
  <c r="AE1455" i="21"/>
  <c r="AF1455" i="21"/>
  <c r="AG1455" i="21"/>
  <c r="AH1455" i="21" s="1"/>
  <c r="AI1455" i="21"/>
  <c r="AJ1455" i="21"/>
  <c r="AL1455" i="21" s="1"/>
  <c r="AK1455" i="21"/>
  <c r="W1456" i="21"/>
  <c r="X1456" i="21"/>
  <c r="Y1456" i="21"/>
  <c r="Z1456" i="21"/>
  <c r="AB1456" i="21" s="1"/>
  <c r="AA1456" i="21"/>
  <c r="AC1456" i="21"/>
  <c r="AD1456" i="21"/>
  <c r="AE1456" i="21"/>
  <c r="AF1456" i="21"/>
  <c r="AG1456" i="21" s="1"/>
  <c r="AI1456" i="21"/>
  <c r="AJ1456" i="21"/>
  <c r="W1457" i="21"/>
  <c r="X1457" i="21"/>
  <c r="Y1457" i="21"/>
  <c r="Z1457" i="21"/>
  <c r="AA1457" i="21" s="1"/>
  <c r="AC1457" i="21"/>
  <c r="AD1457" i="21"/>
  <c r="AE1457" i="21"/>
  <c r="AF1457" i="21"/>
  <c r="AG1457" i="21"/>
  <c r="AK1457" i="21" s="1"/>
  <c r="AH1457" i="21"/>
  <c r="AI1457" i="21"/>
  <c r="AJ1457" i="21"/>
  <c r="W1458" i="21"/>
  <c r="X1458" i="21"/>
  <c r="Y1458" i="21"/>
  <c r="Z1458" i="21"/>
  <c r="AA1458" i="21" s="1"/>
  <c r="AC1458" i="21"/>
  <c r="AD1458" i="21"/>
  <c r="AE1458" i="21"/>
  <c r="AF1458" i="21"/>
  <c r="AG1458" i="21"/>
  <c r="AH1458" i="21" s="1"/>
  <c r="AI1458" i="21"/>
  <c r="AJ1458" i="21"/>
  <c r="W1459" i="21"/>
  <c r="X1459" i="21"/>
  <c r="Y1459" i="21"/>
  <c r="Z1459" i="21"/>
  <c r="AA1459" i="21" s="1"/>
  <c r="AC1459" i="21"/>
  <c r="AD1459" i="21"/>
  <c r="AE1459" i="21"/>
  <c r="AF1459" i="21"/>
  <c r="AG1459" i="21" s="1"/>
  <c r="AI1459" i="21"/>
  <c r="AJ1459" i="21"/>
  <c r="W1460" i="21"/>
  <c r="X1460" i="21"/>
  <c r="Y1460" i="21"/>
  <c r="Z1460" i="21"/>
  <c r="AC1460" i="21"/>
  <c r="AD1460" i="21"/>
  <c r="AE1460" i="21"/>
  <c r="AF1460" i="21"/>
  <c r="AG1460" i="21" s="1"/>
  <c r="AI1460" i="21"/>
  <c r="AJ1460" i="21"/>
  <c r="W1461" i="21"/>
  <c r="X1461" i="21"/>
  <c r="Y1461" i="21"/>
  <c r="Z1461" i="21"/>
  <c r="AA1461" i="21"/>
  <c r="AB1461" i="21" s="1"/>
  <c r="AC1461" i="21"/>
  <c r="AD1461" i="21"/>
  <c r="AE1461" i="21"/>
  <c r="AF1461" i="21"/>
  <c r="AG1461" i="21" s="1"/>
  <c r="AI1461" i="21"/>
  <c r="AJ1461" i="21"/>
  <c r="W1462" i="21"/>
  <c r="X1462" i="21"/>
  <c r="Y1462" i="21"/>
  <c r="Z1462" i="21"/>
  <c r="AA1462" i="21" s="1"/>
  <c r="AB1462" i="21" s="1"/>
  <c r="AC1462" i="21"/>
  <c r="AD1462" i="21"/>
  <c r="AE1462" i="21"/>
  <c r="AF1462" i="21"/>
  <c r="AG1462" i="21" s="1"/>
  <c r="AI1462" i="21"/>
  <c r="AJ1462" i="21"/>
  <c r="W1463" i="21"/>
  <c r="X1463" i="21"/>
  <c r="Y1463" i="21"/>
  <c r="Z1463" i="21"/>
  <c r="AA1463" i="21"/>
  <c r="AB1463" i="21"/>
  <c r="AC1463" i="21"/>
  <c r="AD1463" i="21"/>
  <c r="AE1463" i="21"/>
  <c r="AF1463" i="21"/>
  <c r="AG1463" i="21"/>
  <c r="AH1463" i="21" s="1"/>
  <c r="AI1463" i="21"/>
  <c r="AJ1463" i="21"/>
  <c r="AL1463" i="21" s="1"/>
  <c r="AM1463" i="21" s="1"/>
  <c r="AK1463" i="21"/>
  <c r="W1464" i="21"/>
  <c r="X1464" i="21"/>
  <c r="Y1464" i="21"/>
  <c r="Z1464" i="21"/>
  <c r="AA1464" i="21"/>
  <c r="AB1464" i="21" s="1"/>
  <c r="AC1464" i="21"/>
  <c r="AD1464" i="21"/>
  <c r="AE1464" i="21"/>
  <c r="AF1464" i="21"/>
  <c r="AG1464" i="21" s="1"/>
  <c r="AI1464" i="21"/>
  <c r="AJ1464" i="21"/>
  <c r="W1465" i="21"/>
  <c r="X1465" i="21"/>
  <c r="Y1465" i="21"/>
  <c r="Z1465" i="21"/>
  <c r="AA1465" i="21" s="1"/>
  <c r="AC1465" i="21"/>
  <c r="AD1465" i="21"/>
  <c r="AE1465" i="21"/>
  <c r="AF1465" i="21"/>
  <c r="AG1465" i="21"/>
  <c r="AK1465" i="21" s="1"/>
  <c r="AH1465" i="21"/>
  <c r="AI1465" i="21"/>
  <c r="AJ1465" i="21"/>
  <c r="W1466" i="21"/>
  <c r="X1466" i="21"/>
  <c r="Y1466" i="21"/>
  <c r="Z1466" i="21"/>
  <c r="AA1466" i="21" s="1"/>
  <c r="AC1466" i="21"/>
  <c r="AD1466" i="21"/>
  <c r="AE1466" i="21"/>
  <c r="AF1466" i="21"/>
  <c r="AG1466" i="21"/>
  <c r="AH1466" i="21" s="1"/>
  <c r="AI1466" i="21"/>
  <c r="AJ1466" i="21"/>
  <c r="W1467" i="21"/>
  <c r="X1467" i="21"/>
  <c r="Y1467" i="21"/>
  <c r="Z1467" i="21"/>
  <c r="AA1467" i="21" s="1"/>
  <c r="AC1467" i="21"/>
  <c r="AD1467" i="21"/>
  <c r="AE1467" i="21"/>
  <c r="AF1467" i="21"/>
  <c r="AG1467" i="21" s="1"/>
  <c r="AI1467" i="21"/>
  <c r="AJ1467" i="21"/>
  <c r="W1468" i="21"/>
  <c r="X1468" i="21"/>
  <c r="Y1468" i="21"/>
  <c r="Z1468" i="21"/>
  <c r="AC1468" i="21"/>
  <c r="AD1468" i="21"/>
  <c r="AE1468" i="21"/>
  <c r="AF1468" i="21"/>
  <c r="AG1468" i="21" s="1"/>
  <c r="AI1468" i="21"/>
  <c r="AJ1468" i="21"/>
  <c r="W1469" i="21"/>
  <c r="X1469" i="21"/>
  <c r="Y1469" i="21"/>
  <c r="Z1469" i="21"/>
  <c r="AB1469" i="21" s="1"/>
  <c r="AA1469" i="21"/>
  <c r="AC1469" i="21"/>
  <c r="AD1469" i="21"/>
  <c r="AE1469" i="21"/>
  <c r="AF1469" i="21"/>
  <c r="AG1469" i="21" s="1"/>
  <c r="AI1469" i="21"/>
  <c r="AJ1469" i="21"/>
  <c r="W1470" i="21"/>
  <c r="X1470" i="21"/>
  <c r="Y1470" i="21"/>
  <c r="Z1470" i="21"/>
  <c r="AA1470" i="21" s="1"/>
  <c r="AB1470" i="21" s="1"/>
  <c r="AC1470" i="21"/>
  <c r="AD1470" i="21"/>
  <c r="AE1470" i="21"/>
  <c r="AF1470" i="21"/>
  <c r="AG1470" i="21" s="1"/>
  <c r="AI1470" i="21"/>
  <c r="AJ1470" i="21"/>
  <c r="W1471" i="21"/>
  <c r="X1471" i="21"/>
  <c r="Y1471" i="21"/>
  <c r="Z1471" i="21"/>
  <c r="AA1471" i="21"/>
  <c r="AB1471" i="21"/>
  <c r="AC1471" i="21"/>
  <c r="AD1471" i="21"/>
  <c r="AE1471" i="21"/>
  <c r="AF1471" i="21"/>
  <c r="AG1471" i="21"/>
  <c r="AH1471" i="21" s="1"/>
  <c r="AI1471" i="21"/>
  <c r="AJ1471" i="21"/>
  <c r="AL1471" i="21" s="1"/>
  <c r="AM1471" i="21" s="1"/>
  <c r="AK1471" i="21"/>
  <c r="W1472" i="21"/>
  <c r="X1472" i="21"/>
  <c r="Y1472" i="21"/>
  <c r="Z1472" i="21"/>
  <c r="AB1472" i="21" s="1"/>
  <c r="AA1472" i="21"/>
  <c r="AC1472" i="21"/>
  <c r="AD1472" i="21"/>
  <c r="AE1472" i="21"/>
  <c r="AF1472" i="21"/>
  <c r="AG1472" i="21" s="1"/>
  <c r="AI1472" i="21"/>
  <c r="AJ1472" i="21"/>
  <c r="W1473" i="21"/>
  <c r="X1473" i="21"/>
  <c r="Y1473" i="21"/>
  <c r="Z1473" i="21"/>
  <c r="AA1473" i="21" s="1"/>
  <c r="AC1473" i="21"/>
  <c r="AD1473" i="21"/>
  <c r="AE1473" i="21"/>
  <c r="AF1473" i="21"/>
  <c r="AG1473" i="21"/>
  <c r="AK1473" i="21" s="1"/>
  <c r="AH1473" i="21"/>
  <c r="AI1473" i="21"/>
  <c r="AJ1473" i="21"/>
  <c r="AL1473" i="21" s="1"/>
  <c r="AM1473" i="21" s="1"/>
  <c r="W1474" i="21"/>
  <c r="X1474" i="21"/>
  <c r="Y1474" i="21"/>
  <c r="Z1474" i="21"/>
  <c r="AA1474" i="21" s="1"/>
  <c r="AC1474" i="21"/>
  <c r="AD1474" i="21"/>
  <c r="AE1474" i="21"/>
  <c r="AF1474" i="21"/>
  <c r="AG1474" i="21"/>
  <c r="AH1474" i="21" s="1"/>
  <c r="AI1474" i="21"/>
  <c r="AJ1474" i="21"/>
  <c r="W1475" i="21"/>
  <c r="X1475" i="21"/>
  <c r="Y1475" i="21"/>
  <c r="Z1475" i="21"/>
  <c r="AA1475" i="21" s="1"/>
  <c r="AC1475" i="21"/>
  <c r="AD1475" i="21"/>
  <c r="AE1475" i="21"/>
  <c r="AF1475" i="21"/>
  <c r="AG1475" i="21" s="1"/>
  <c r="AI1475" i="21"/>
  <c r="AJ1475" i="21"/>
  <c r="W1476" i="21"/>
  <c r="X1476" i="21"/>
  <c r="Y1476" i="21"/>
  <c r="Z1476" i="21"/>
  <c r="AC1476" i="21"/>
  <c r="AD1476" i="21"/>
  <c r="AE1476" i="21"/>
  <c r="AF1476" i="21"/>
  <c r="AG1476" i="21"/>
  <c r="AK1476" i="21" s="1"/>
  <c r="AL1476" i="21" s="1"/>
  <c r="AI1476" i="21"/>
  <c r="AJ1476" i="21"/>
  <c r="W1477" i="21"/>
  <c r="X1477" i="21"/>
  <c r="Y1477" i="21"/>
  <c r="Z1477" i="21"/>
  <c r="AB1477" i="21" s="1"/>
  <c r="AA1477" i="21"/>
  <c r="AC1477" i="21"/>
  <c r="AD1477" i="21"/>
  <c r="AE1477" i="21"/>
  <c r="AF1477" i="21"/>
  <c r="AG1477" i="21" s="1"/>
  <c r="AI1477" i="21"/>
  <c r="AJ1477" i="21"/>
  <c r="W1478" i="21"/>
  <c r="X1478" i="21"/>
  <c r="Y1478" i="21"/>
  <c r="Z1478" i="21"/>
  <c r="AA1478" i="21" s="1"/>
  <c r="AB1478" i="21" s="1"/>
  <c r="AC1478" i="21"/>
  <c r="AD1478" i="21"/>
  <c r="AE1478" i="21"/>
  <c r="AF1478" i="21"/>
  <c r="AG1478" i="21" s="1"/>
  <c r="AI1478" i="21"/>
  <c r="AJ1478" i="21"/>
  <c r="W1479" i="21"/>
  <c r="X1479" i="21"/>
  <c r="Y1479" i="21"/>
  <c r="Z1479" i="21"/>
  <c r="AA1479" i="21"/>
  <c r="AB1479" i="21"/>
  <c r="AC1479" i="21"/>
  <c r="AD1479" i="21"/>
  <c r="AE1479" i="21"/>
  <c r="AF1479" i="21"/>
  <c r="AG1479" i="21"/>
  <c r="AH1479" i="21" s="1"/>
  <c r="AI1479" i="21"/>
  <c r="AJ1479" i="21"/>
  <c r="AL1479" i="21" s="1"/>
  <c r="AK1479" i="21"/>
  <c r="W1480" i="21"/>
  <c r="X1480" i="21"/>
  <c r="Y1480" i="21"/>
  <c r="Z1480" i="21"/>
  <c r="AA1480" i="21"/>
  <c r="AB1480" i="21" s="1"/>
  <c r="AC1480" i="21"/>
  <c r="AD1480" i="21"/>
  <c r="AE1480" i="21"/>
  <c r="AF1480" i="21"/>
  <c r="AG1480" i="21" s="1"/>
  <c r="AI1480" i="21"/>
  <c r="AJ1480" i="21"/>
  <c r="W1481" i="21"/>
  <c r="X1481" i="21"/>
  <c r="Y1481" i="21"/>
  <c r="Z1481" i="21"/>
  <c r="AA1481" i="21" s="1"/>
  <c r="AC1481" i="21"/>
  <c r="AD1481" i="21"/>
  <c r="AE1481" i="21"/>
  <c r="AF1481" i="21"/>
  <c r="AG1481" i="21"/>
  <c r="AK1481" i="21" s="1"/>
  <c r="AH1481" i="21"/>
  <c r="AI1481" i="21"/>
  <c r="AJ1481" i="21"/>
  <c r="W1482" i="21"/>
  <c r="X1482" i="21"/>
  <c r="Y1482" i="21"/>
  <c r="Z1482" i="21"/>
  <c r="AA1482" i="21" s="1"/>
  <c r="AC1482" i="21"/>
  <c r="AD1482" i="21"/>
  <c r="AE1482" i="21"/>
  <c r="AF1482" i="21"/>
  <c r="AG1482" i="21"/>
  <c r="AH1482" i="21" s="1"/>
  <c r="AI1482" i="21"/>
  <c r="AJ1482" i="21"/>
  <c r="W1483" i="21"/>
  <c r="X1483" i="21"/>
  <c r="Y1483" i="21"/>
  <c r="Z1483" i="21"/>
  <c r="AA1483" i="21" s="1"/>
  <c r="AC1483" i="21"/>
  <c r="AD1483" i="21"/>
  <c r="AE1483" i="21"/>
  <c r="AF1483" i="21"/>
  <c r="AG1483" i="21" s="1"/>
  <c r="AI1483" i="21"/>
  <c r="AJ1483" i="21"/>
  <c r="W1484" i="21"/>
  <c r="X1484" i="21"/>
  <c r="Y1484" i="21"/>
  <c r="Z1484" i="21"/>
  <c r="AC1484" i="21"/>
  <c r="AD1484" i="21"/>
  <c r="AE1484" i="21"/>
  <c r="AF1484" i="21"/>
  <c r="AG1484" i="21"/>
  <c r="AK1484" i="21" s="1"/>
  <c r="AL1484" i="21" s="1"/>
  <c r="AI1484" i="21"/>
  <c r="AJ1484" i="21"/>
  <c r="W1485" i="21"/>
  <c r="X1485" i="21"/>
  <c r="Y1485" i="21"/>
  <c r="Z1485" i="21"/>
  <c r="AA1485" i="21" s="1"/>
  <c r="AC1485" i="21"/>
  <c r="AD1485" i="21"/>
  <c r="AE1485" i="21"/>
  <c r="AF1485" i="21"/>
  <c r="AG1485" i="21" s="1"/>
  <c r="AI1485" i="21"/>
  <c r="AJ1485" i="21"/>
  <c r="W1486" i="21"/>
  <c r="X1486" i="21"/>
  <c r="Y1486" i="21"/>
  <c r="Z1486" i="21"/>
  <c r="AA1486" i="21" s="1"/>
  <c r="AB1486" i="21" s="1"/>
  <c r="AC1486" i="21"/>
  <c r="AD1486" i="21"/>
  <c r="AE1486" i="21"/>
  <c r="AF1486" i="21"/>
  <c r="AG1486" i="21" s="1"/>
  <c r="AI1486" i="21"/>
  <c r="AJ1486" i="21"/>
  <c r="W1487" i="21"/>
  <c r="X1487" i="21"/>
  <c r="Y1487" i="21"/>
  <c r="Z1487" i="21"/>
  <c r="AA1487" i="21"/>
  <c r="AB1487" i="21"/>
  <c r="AC1487" i="21"/>
  <c r="AD1487" i="21"/>
  <c r="AE1487" i="21"/>
  <c r="AF1487" i="21"/>
  <c r="AG1487" i="21"/>
  <c r="AH1487" i="21" s="1"/>
  <c r="AI1487" i="21"/>
  <c r="AJ1487" i="21"/>
  <c r="AL1487" i="21" s="1"/>
  <c r="AM1487" i="21" s="1"/>
  <c r="AK1487" i="21"/>
  <c r="W1488" i="21"/>
  <c r="X1488" i="21"/>
  <c r="Y1488" i="21"/>
  <c r="Z1488" i="21"/>
  <c r="AB1488" i="21" s="1"/>
  <c r="AA1488" i="21"/>
  <c r="AC1488" i="21"/>
  <c r="AD1488" i="21"/>
  <c r="AE1488" i="21"/>
  <c r="AF1488" i="21"/>
  <c r="AG1488" i="21" s="1"/>
  <c r="AI1488" i="21"/>
  <c r="AJ1488" i="21"/>
  <c r="W1489" i="21"/>
  <c r="X1489" i="21"/>
  <c r="Y1489" i="21"/>
  <c r="Z1489" i="21"/>
  <c r="AA1489" i="21" s="1"/>
  <c r="AC1489" i="21"/>
  <c r="AD1489" i="21"/>
  <c r="AE1489" i="21"/>
  <c r="AF1489" i="21"/>
  <c r="AG1489" i="21"/>
  <c r="AK1489" i="21" s="1"/>
  <c r="AH1489" i="21"/>
  <c r="AI1489" i="21"/>
  <c r="AJ1489" i="21"/>
  <c r="W1490" i="21"/>
  <c r="X1490" i="21"/>
  <c r="Y1490" i="21"/>
  <c r="Z1490" i="21"/>
  <c r="AA1490" i="21" s="1"/>
  <c r="AC1490" i="21"/>
  <c r="AD1490" i="21"/>
  <c r="AE1490" i="21"/>
  <c r="AF1490" i="21"/>
  <c r="AG1490" i="21"/>
  <c r="AH1490" i="21" s="1"/>
  <c r="AI1490" i="21"/>
  <c r="AJ1490" i="21"/>
  <c r="W1491" i="21"/>
  <c r="X1491" i="21"/>
  <c r="Y1491" i="21"/>
  <c r="Z1491" i="21"/>
  <c r="AA1491" i="21" s="1"/>
  <c r="AC1491" i="21"/>
  <c r="AD1491" i="21"/>
  <c r="AE1491" i="21"/>
  <c r="AF1491" i="21"/>
  <c r="AG1491" i="21" s="1"/>
  <c r="AI1491" i="21"/>
  <c r="AJ1491" i="21"/>
  <c r="W1492" i="21"/>
  <c r="X1492" i="21"/>
  <c r="Y1492" i="21"/>
  <c r="Z1492" i="21"/>
  <c r="AC1492" i="21"/>
  <c r="AD1492" i="21"/>
  <c r="AE1492" i="21"/>
  <c r="AF1492" i="21"/>
  <c r="AG1492" i="21" s="1"/>
  <c r="AI1492" i="21"/>
  <c r="AJ1492" i="21"/>
  <c r="W1493" i="21"/>
  <c r="X1493" i="21"/>
  <c r="Y1493" i="21"/>
  <c r="Z1493" i="21"/>
  <c r="AB1493" i="21" s="1"/>
  <c r="AA1493" i="21"/>
  <c r="AC1493" i="21"/>
  <c r="AD1493" i="21"/>
  <c r="AE1493" i="21"/>
  <c r="AF1493" i="21"/>
  <c r="AG1493" i="21" s="1"/>
  <c r="AI1493" i="21"/>
  <c r="AJ1493" i="21"/>
  <c r="W1494" i="21"/>
  <c r="X1494" i="21"/>
  <c r="Y1494" i="21"/>
  <c r="Z1494" i="21"/>
  <c r="AA1494" i="21" s="1"/>
  <c r="AB1494" i="21" s="1"/>
  <c r="AC1494" i="21"/>
  <c r="AD1494" i="21"/>
  <c r="AE1494" i="21"/>
  <c r="AF1494" i="21"/>
  <c r="AG1494" i="21" s="1"/>
  <c r="AI1494" i="21"/>
  <c r="AJ1494" i="21"/>
  <c r="W1495" i="21"/>
  <c r="X1495" i="21"/>
  <c r="Y1495" i="21"/>
  <c r="Z1495" i="21"/>
  <c r="AA1495" i="21"/>
  <c r="AB1495" i="21"/>
  <c r="AC1495" i="21"/>
  <c r="AD1495" i="21"/>
  <c r="AE1495" i="21"/>
  <c r="AF1495" i="21"/>
  <c r="AG1495" i="21"/>
  <c r="AH1495" i="21" s="1"/>
  <c r="AI1495" i="21"/>
  <c r="AJ1495" i="21"/>
  <c r="AL1495" i="21" s="1"/>
  <c r="AK1495" i="21"/>
  <c r="W1496" i="21"/>
  <c r="X1496" i="21"/>
  <c r="Y1496" i="21"/>
  <c r="Z1496" i="21"/>
  <c r="AB1496" i="21" s="1"/>
  <c r="AA1496" i="21"/>
  <c r="AC1496" i="21"/>
  <c r="AD1496" i="21"/>
  <c r="AE1496" i="21"/>
  <c r="AF1496" i="21"/>
  <c r="AG1496" i="21" s="1"/>
  <c r="AI1496" i="21"/>
  <c r="AJ1496" i="21"/>
  <c r="W1497" i="21"/>
  <c r="X1497" i="21"/>
  <c r="Y1497" i="21"/>
  <c r="Z1497" i="21"/>
  <c r="AA1497" i="21" s="1"/>
  <c r="AC1497" i="21"/>
  <c r="AD1497" i="21"/>
  <c r="AE1497" i="21"/>
  <c r="AF1497" i="21"/>
  <c r="AG1497" i="21"/>
  <c r="AK1497" i="21" s="1"/>
  <c r="AH1497" i="21"/>
  <c r="AI1497" i="21"/>
  <c r="AJ1497" i="21"/>
  <c r="AL1497" i="21" s="1"/>
  <c r="AM1497" i="21" s="1"/>
  <c r="W1498" i="21"/>
  <c r="X1498" i="21"/>
  <c r="Y1498" i="21"/>
  <c r="Z1498" i="21"/>
  <c r="AA1498" i="21" s="1"/>
  <c r="AC1498" i="21"/>
  <c r="AD1498" i="21"/>
  <c r="AE1498" i="21"/>
  <c r="AF1498" i="21"/>
  <c r="AG1498" i="21"/>
  <c r="AH1498" i="21" s="1"/>
  <c r="AI1498" i="21"/>
  <c r="AJ1498" i="21"/>
  <c r="W1499" i="21"/>
  <c r="X1499" i="21"/>
  <c r="Y1499" i="21"/>
  <c r="Z1499" i="21"/>
  <c r="AA1499" i="21" s="1"/>
  <c r="AC1499" i="21"/>
  <c r="AD1499" i="21"/>
  <c r="AE1499" i="21"/>
  <c r="AF1499" i="21"/>
  <c r="AG1499" i="21" s="1"/>
  <c r="AI1499" i="21"/>
  <c r="AJ1499" i="21"/>
  <c r="W1500" i="21"/>
  <c r="X1500" i="21"/>
  <c r="Y1500" i="21"/>
  <c r="Z1500" i="21"/>
  <c r="AC1500" i="21"/>
  <c r="AD1500" i="21"/>
  <c r="AE1500" i="21"/>
  <c r="AF1500" i="21"/>
  <c r="AG1500" i="21"/>
  <c r="AK1500" i="21" s="1"/>
  <c r="AL1500" i="21" s="1"/>
  <c r="AI1500" i="21"/>
  <c r="AJ1500" i="21"/>
  <c r="W1501" i="21"/>
  <c r="X1501" i="21"/>
  <c r="Y1501" i="21"/>
  <c r="Z1501" i="21"/>
  <c r="AA1501" i="21" s="1"/>
  <c r="AC1501" i="21"/>
  <c r="AD1501" i="21"/>
  <c r="AE1501" i="21"/>
  <c r="AF1501" i="21"/>
  <c r="AG1501" i="21" s="1"/>
  <c r="AI1501" i="21"/>
  <c r="AJ1501" i="21"/>
  <c r="W1502" i="21"/>
  <c r="X1502" i="21"/>
  <c r="Y1502" i="21"/>
  <c r="Z1502" i="21"/>
  <c r="AA1502" i="21" s="1"/>
  <c r="AB1502" i="21" s="1"/>
  <c r="AC1502" i="21"/>
  <c r="AD1502" i="21"/>
  <c r="AE1502" i="21"/>
  <c r="AF1502" i="21"/>
  <c r="AG1502" i="21" s="1"/>
  <c r="AI1502" i="21"/>
  <c r="AJ1502" i="21"/>
  <c r="W1503" i="21"/>
  <c r="X1503" i="21"/>
  <c r="Y1503" i="21"/>
  <c r="Z1503" i="21"/>
  <c r="AA1503" i="21"/>
  <c r="AB1503" i="21"/>
  <c r="AC1503" i="21"/>
  <c r="AD1503" i="21"/>
  <c r="AE1503" i="21"/>
  <c r="AF1503" i="21"/>
  <c r="AG1503" i="21"/>
  <c r="AH1503" i="21" s="1"/>
  <c r="AI1503" i="21"/>
  <c r="AJ1503" i="21"/>
  <c r="AL1503" i="21" s="1"/>
  <c r="AM1503" i="21" s="1"/>
  <c r="AK1503" i="21"/>
  <c r="W1504" i="21"/>
  <c r="X1504" i="21"/>
  <c r="Y1504" i="21"/>
  <c r="Z1504" i="21"/>
  <c r="AB1504" i="21" s="1"/>
  <c r="AA1504" i="21"/>
  <c r="AC1504" i="21"/>
  <c r="AD1504" i="21"/>
  <c r="AE1504" i="21"/>
  <c r="AF1504" i="21"/>
  <c r="AG1504" i="21" s="1"/>
  <c r="AI1504" i="21"/>
  <c r="AJ1504" i="21"/>
  <c r="W1505" i="21"/>
  <c r="X1505" i="21"/>
  <c r="Y1505" i="21"/>
  <c r="Z1505" i="21"/>
  <c r="AA1505" i="21" s="1"/>
  <c r="AC1505" i="21"/>
  <c r="AD1505" i="21"/>
  <c r="AE1505" i="21"/>
  <c r="AF1505" i="21"/>
  <c r="AG1505" i="21"/>
  <c r="AK1505" i="21" s="1"/>
  <c r="AH1505" i="21"/>
  <c r="AI1505" i="21"/>
  <c r="AJ1505" i="21"/>
  <c r="W1506" i="21"/>
  <c r="X1506" i="21"/>
  <c r="Y1506" i="21"/>
  <c r="Z1506" i="21"/>
  <c r="AA1506" i="21" s="1"/>
  <c r="AC1506" i="21"/>
  <c r="AD1506" i="21"/>
  <c r="AE1506" i="21"/>
  <c r="AF1506" i="21"/>
  <c r="AG1506" i="21"/>
  <c r="AH1506" i="21" s="1"/>
  <c r="AI1506" i="21"/>
  <c r="AJ1506" i="21"/>
  <c r="W1507" i="21"/>
  <c r="X1507" i="21"/>
  <c r="Y1507" i="21"/>
  <c r="Z1507" i="21"/>
  <c r="AA1507" i="21" s="1"/>
  <c r="AC1507" i="21"/>
  <c r="AD1507" i="21"/>
  <c r="AE1507" i="21"/>
  <c r="AF1507" i="21"/>
  <c r="AG1507" i="21" s="1"/>
  <c r="AI1507" i="21"/>
  <c r="AJ1507" i="21"/>
  <c r="W1508" i="21"/>
  <c r="X1508" i="21"/>
  <c r="Y1508" i="21"/>
  <c r="Z1508" i="21"/>
  <c r="AC1508" i="21"/>
  <c r="AD1508" i="21"/>
  <c r="AE1508" i="21"/>
  <c r="AF1508" i="21"/>
  <c r="AG1508" i="21"/>
  <c r="AK1508" i="21" s="1"/>
  <c r="AL1508" i="21" s="1"/>
  <c r="AI1508" i="21"/>
  <c r="AJ1508" i="21"/>
  <c r="W1509" i="21"/>
  <c r="X1509" i="21"/>
  <c r="Y1509" i="21"/>
  <c r="Z1509" i="21"/>
  <c r="AA1509" i="21" s="1"/>
  <c r="AC1509" i="21"/>
  <c r="AD1509" i="21"/>
  <c r="AE1509" i="21"/>
  <c r="AF1509" i="21"/>
  <c r="AG1509" i="21" s="1"/>
  <c r="AI1509" i="21"/>
  <c r="AJ1509" i="21"/>
  <c r="W1510" i="21"/>
  <c r="X1510" i="21"/>
  <c r="Y1510" i="21"/>
  <c r="Z1510" i="21"/>
  <c r="AA1510" i="21" s="1"/>
  <c r="AB1510" i="21" s="1"/>
  <c r="AC1510" i="21"/>
  <c r="AD1510" i="21"/>
  <c r="AE1510" i="21"/>
  <c r="AF1510" i="21"/>
  <c r="AG1510" i="21" s="1"/>
  <c r="AI1510" i="21"/>
  <c r="AJ1510" i="21"/>
  <c r="W1511" i="21"/>
  <c r="X1511" i="21"/>
  <c r="Y1511" i="21"/>
  <c r="Z1511" i="21"/>
  <c r="AA1511" i="21"/>
  <c r="AB1511" i="21"/>
  <c r="AC1511" i="21"/>
  <c r="AD1511" i="21"/>
  <c r="AE1511" i="21"/>
  <c r="AF1511" i="21"/>
  <c r="AG1511" i="21"/>
  <c r="AH1511" i="21" s="1"/>
  <c r="AI1511" i="21"/>
  <c r="AJ1511" i="21"/>
  <c r="AL1511" i="21" s="1"/>
  <c r="AM1511" i="21" s="1"/>
  <c r="AK1511" i="21"/>
  <c r="W1512" i="21"/>
  <c r="X1512" i="21"/>
  <c r="Y1512" i="21"/>
  <c r="Z1512" i="21"/>
  <c r="AA1512" i="21"/>
  <c r="AC1512" i="21"/>
  <c r="AD1512" i="21"/>
  <c r="AE1512" i="21"/>
  <c r="AF1512" i="21"/>
  <c r="AG1512" i="21" s="1"/>
  <c r="AI1512" i="21"/>
  <c r="AJ1512" i="21"/>
  <c r="W1513" i="21"/>
  <c r="X1513" i="21"/>
  <c r="Y1513" i="21"/>
  <c r="Z1513" i="21"/>
  <c r="AC1513" i="21"/>
  <c r="AD1513" i="21"/>
  <c r="AE1513" i="21"/>
  <c r="AF1513" i="21"/>
  <c r="AG1513" i="21"/>
  <c r="AK1513" i="21" s="1"/>
  <c r="AH1513" i="21"/>
  <c r="AI1513" i="21"/>
  <c r="AJ1513" i="21"/>
  <c r="AL1513" i="21" s="1"/>
  <c r="AM1513" i="21" s="1"/>
  <c r="W1514" i="21"/>
  <c r="X1514" i="21"/>
  <c r="Y1514" i="21"/>
  <c r="Z1514" i="21"/>
  <c r="AA1514" i="21" s="1"/>
  <c r="AC1514" i="21"/>
  <c r="AD1514" i="21"/>
  <c r="AE1514" i="21"/>
  <c r="AF1514" i="21"/>
  <c r="AG1514" i="21"/>
  <c r="AI1514" i="21"/>
  <c r="AJ1514" i="21"/>
  <c r="W1515" i="21"/>
  <c r="X1515" i="21"/>
  <c r="Y1515" i="21"/>
  <c r="Z1515" i="21"/>
  <c r="AA1515" i="21" s="1"/>
  <c r="AC1515" i="21"/>
  <c r="AD1515" i="21"/>
  <c r="AE1515" i="21"/>
  <c r="AF1515" i="21"/>
  <c r="AG1515" i="21" s="1"/>
  <c r="AI1515" i="21"/>
  <c r="AJ1515" i="21"/>
  <c r="W1516" i="21"/>
  <c r="X1516" i="21"/>
  <c r="Y1516" i="21"/>
  <c r="Z1516" i="21"/>
  <c r="AC1516" i="21"/>
  <c r="AD1516" i="21"/>
  <c r="AE1516" i="21"/>
  <c r="AF1516" i="21"/>
  <c r="AG1516" i="21" s="1"/>
  <c r="AI1516" i="21"/>
  <c r="AJ1516" i="21"/>
  <c r="W1517" i="21"/>
  <c r="X1517" i="21"/>
  <c r="Y1517" i="21"/>
  <c r="Z1517" i="21"/>
  <c r="AA1517" i="21"/>
  <c r="AB1517" i="21" s="1"/>
  <c r="AC1517" i="21"/>
  <c r="AD1517" i="21"/>
  <c r="AE1517" i="21"/>
  <c r="AF1517" i="21"/>
  <c r="AG1517" i="21" s="1"/>
  <c r="AI1517" i="21"/>
  <c r="AJ1517" i="21"/>
  <c r="W1518" i="21"/>
  <c r="X1518" i="21"/>
  <c r="Y1518" i="21"/>
  <c r="Z1518" i="21"/>
  <c r="AA1518" i="21" s="1"/>
  <c r="AB1518" i="21" s="1"/>
  <c r="AC1518" i="21"/>
  <c r="AD1518" i="21"/>
  <c r="AE1518" i="21"/>
  <c r="AF1518" i="21"/>
  <c r="AG1518" i="21" s="1"/>
  <c r="AH1518" i="21" s="1"/>
  <c r="AI1518" i="21"/>
  <c r="AJ1518" i="21"/>
  <c r="W1519" i="21"/>
  <c r="X1519" i="21"/>
  <c r="Y1519" i="21"/>
  <c r="Z1519" i="21"/>
  <c r="AA1519" i="21"/>
  <c r="AB1519" i="21"/>
  <c r="AC1519" i="21"/>
  <c r="AD1519" i="21"/>
  <c r="AE1519" i="21"/>
  <c r="AF1519" i="21"/>
  <c r="AG1519" i="21"/>
  <c r="AH1519" i="21" s="1"/>
  <c r="AI1519" i="21"/>
  <c r="AJ1519" i="21"/>
  <c r="AK1519" i="21"/>
  <c r="AL1519" i="21"/>
  <c r="AM1519" i="21" s="1"/>
  <c r="W1520" i="21"/>
  <c r="X1520" i="21"/>
  <c r="Y1520" i="21"/>
  <c r="Z1520" i="21"/>
  <c r="AA1520" i="21"/>
  <c r="AB1520" i="21" s="1"/>
  <c r="AC1520" i="21"/>
  <c r="AD1520" i="21"/>
  <c r="AE1520" i="21"/>
  <c r="AF1520" i="21"/>
  <c r="AG1520" i="21" s="1"/>
  <c r="AH1520" i="21" s="1"/>
  <c r="AI1520" i="21"/>
  <c r="AJ1520" i="21"/>
  <c r="AL1520" i="21" s="1"/>
  <c r="AK1520" i="21"/>
  <c r="W1521" i="21"/>
  <c r="X1521" i="21"/>
  <c r="Y1521" i="21"/>
  <c r="Z1521" i="21"/>
  <c r="AA1521" i="21" s="1"/>
  <c r="AC1521" i="21"/>
  <c r="AD1521" i="21"/>
  <c r="AE1521" i="21"/>
  <c r="AF1521" i="21"/>
  <c r="AG1521" i="21"/>
  <c r="AK1521" i="21" s="1"/>
  <c r="AI1521" i="21"/>
  <c r="AJ1521" i="21"/>
  <c r="W1522" i="21"/>
  <c r="X1522" i="21"/>
  <c r="Y1522" i="21"/>
  <c r="Z1522" i="21"/>
  <c r="AA1522" i="21" s="1"/>
  <c r="AC1522" i="21"/>
  <c r="AD1522" i="21"/>
  <c r="AE1522" i="21"/>
  <c r="AF1522" i="21"/>
  <c r="AG1522" i="21" s="1"/>
  <c r="AI1522" i="21"/>
  <c r="AJ1522" i="21"/>
  <c r="W1523" i="21"/>
  <c r="X1523" i="21"/>
  <c r="Y1523" i="21"/>
  <c r="Z1523" i="21"/>
  <c r="AC1523" i="21"/>
  <c r="AD1523" i="21"/>
  <c r="AE1523" i="21"/>
  <c r="AF1523" i="21"/>
  <c r="AG1523" i="21" s="1"/>
  <c r="AI1523" i="21"/>
  <c r="AJ1523" i="21"/>
  <c r="W1524" i="21"/>
  <c r="X1524" i="21"/>
  <c r="Y1524" i="21"/>
  <c r="Z1524" i="21"/>
  <c r="AC1524" i="21"/>
  <c r="AD1524" i="21"/>
  <c r="AE1524" i="21"/>
  <c r="AF1524" i="21"/>
  <c r="AG1524" i="21"/>
  <c r="AI1524" i="21"/>
  <c r="AJ1524" i="21"/>
  <c r="W1525" i="21"/>
  <c r="X1525" i="21"/>
  <c r="Y1525" i="21"/>
  <c r="Z1525" i="21"/>
  <c r="AA1525" i="21"/>
  <c r="AB1525" i="21" s="1"/>
  <c r="AC1525" i="21"/>
  <c r="AD1525" i="21"/>
  <c r="AE1525" i="21"/>
  <c r="AF1525" i="21"/>
  <c r="AG1525" i="21" s="1"/>
  <c r="AH1525" i="21" s="1"/>
  <c r="AI1525" i="21"/>
  <c r="AJ1525" i="21"/>
  <c r="W1526" i="21"/>
  <c r="X1526" i="21"/>
  <c r="Y1526" i="21"/>
  <c r="Z1526" i="21"/>
  <c r="AA1526" i="21" s="1"/>
  <c r="AB1526" i="21" s="1"/>
  <c r="AC1526" i="21"/>
  <c r="AD1526" i="21"/>
  <c r="AE1526" i="21"/>
  <c r="AM1526" i="21" s="1"/>
  <c r="AF1526" i="21"/>
  <c r="AG1526" i="21" s="1"/>
  <c r="AH1526" i="21" s="1"/>
  <c r="AI1526" i="21"/>
  <c r="AJ1526" i="21"/>
  <c r="AL1526" i="21" s="1"/>
  <c r="AK1526" i="21"/>
  <c r="W1527" i="21"/>
  <c r="X1527" i="21"/>
  <c r="Y1527" i="21"/>
  <c r="Z1527" i="21"/>
  <c r="AA1527" i="21"/>
  <c r="AB1527" i="21"/>
  <c r="AC1527" i="21"/>
  <c r="AD1527" i="21"/>
  <c r="AE1527" i="21"/>
  <c r="AF1527" i="21"/>
  <c r="AG1527" i="21"/>
  <c r="AH1527" i="21" s="1"/>
  <c r="AI1527" i="21"/>
  <c r="AJ1527" i="21"/>
  <c r="AL1527" i="21" s="1"/>
  <c r="AM1527" i="21" s="1"/>
  <c r="AK1527" i="21"/>
  <c r="W1528" i="21"/>
  <c r="X1528" i="21"/>
  <c r="Y1528" i="21"/>
  <c r="Z1528" i="21"/>
  <c r="AA1528" i="21" s="1"/>
  <c r="AC1528" i="21"/>
  <c r="AD1528" i="21"/>
  <c r="AE1528" i="21"/>
  <c r="AF1528" i="21"/>
  <c r="AG1528" i="21" s="1"/>
  <c r="AK1528" i="21" s="1"/>
  <c r="AH1528" i="21"/>
  <c r="AI1528" i="21"/>
  <c r="AJ1528" i="21"/>
  <c r="W1529" i="21"/>
  <c r="X1529" i="21"/>
  <c r="Y1529" i="21"/>
  <c r="Z1529" i="21"/>
  <c r="AB1529" i="21" s="1"/>
  <c r="AA1529" i="21"/>
  <c r="AC1529" i="21"/>
  <c r="AD1529" i="21"/>
  <c r="AE1529" i="21"/>
  <c r="AF1529" i="21"/>
  <c r="AG1529" i="21"/>
  <c r="AK1529" i="21" s="1"/>
  <c r="AH1529" i="21"/>
  <c r="AI1529" i="21"/>
  <c r="AJ1529" i="21"/>
  <c r="AL1529" i="21" s="1"/>
  <c r="W1530" i="21"/>
  <c r="X1530" i="21"/>
  <c r="Y1530" i="21"/>
  <c r="Z1530" i="21"/>
  <c r="AA1530" i="21"/>
  <c r="AC1530" i="21"/>
  <c r="AD1530" i="21"/>
  <c r="AE1530" i="21"/>
  <c r="AF1530" i="21"/>
  <c r="AG1530" i="21"/>
  <c r="AK1530" i="21" s="1"/>
  <c r="AH1530" i="21"/>
  <c r="AI1530" i="21"/>
  <c r="AJ1530" i="21"/>
  <c r="AL1530" i="21" s="1"/>
  <c r="W1531" i="21"/>
  <c r="X1531" i="21"/>
  <c r="Y1531" i="21"/>
  <c r="Z1531" i="21"/>
  <c r="AC1531" i="21"/>
  <c r="AD1531" i="21"/>
  <c r="AE1531" i="21"/>
  <c r="AF1531" i="21"/>
  <c r="AG1531" i="21"/>
  <c r="AK1531" i="21" s="1"/>
  <c r="AL1531" i="21" s="1"/>
  <c r="AM1531" i="21" s="1"/>
  <c r="AH1531" i="21"/>
  <c r="AI1531" i="21"/>
  <c r="AJ1531" i="21"/>
  <c r="W1532" i="21"/>
  <c r="X1532" i="21"/>
  <c r="Y1532" i="21"/>
  <c r="Z1532" i="21"/>
  <c r="AC1532" i="21"/>
  <c r="AD1532" i="21"/>
  <c r="AE1532" i="21"/>
  <c r="AF1532" i="21"/>
  <c r="AG1532" i="21"/>
  <c r="AK1532" i="21" s="1"/>
  <c r="AI1532" i="21"/>
  <c r="AJ1532" i="21"/>
  <c r="AL1532" i="21"/>
  <c r="W1533" i="21"/>
  <c r="X1533" i="21"/>
  <c r="Y1533" i="21"/>
  <c r="Z1533" i="21"/>
  <c r="AA1533" i="21"/>
  <c r="AB1533" i="21" s="1"/>
  <c r="AC1533" i="21"/>
  <c r="AD1533" i="21"/>
  <c r="AE1533" i="21"/>
  <c r="AF1533" i="21"/>
  <c r="AG1533" i="21"/>
  <c r="AH1533" i="21" s="1"/>
  <c r="AI1533" i="21"/>
  <c r="AJ1533" i="21"/>
  <c r="AK1533" i="21"/>
  <c r="AL1533" i="21"/>
  <c r="AM1533" i="21"/>
  <c r="W1534" i="21"/>
  <c r="X1534" i="21"/>
  <c r="Y1534" i="21"/>
  <c r="Z1534" i="21"/>
  <c r="AA1534" i="21" s="1"/>
  <c r="AB1534" i="21" s="1"/>
  <c r="AC1534" i="21"/>
  <c r="AD1534" i="21"/>
  <c r="AE1534" i="21"/>
  <c r="AF1534" i="21"/>
  <c r="AG1534" i="21" s="1"/>
  <c r="AH1534" i="21" s="1"/>
  <c r="AI1534" i="21"/>
  <c r="AJ1534" i="21"/>
  <c r="W1535" i="21"/>
  <c r="X1535" i="21"/>
  <c r="Y1535" i="21"/>
  <c r="Z1535" i="21"/>
  <c r="AA1535" i="21"/>
  <c r="AB1535" i="21" s="1"/>
  <c r="AC1535" i="21"/>
  <c r="AD1535" i="21"/>
  <c r="AE1535" i="21"/>
  <c r="AF1535" i="21"/>
  <c r="AG1535" i="21"/>
  <c r="AH1535" i="21" s="1"/>
  <c r="AM1535" i="21" s="1"/>
  <c r="AI1535" i="21"/>
  <c r="AJ1535" i="21"/>
  <c r="AK1535" i="21"/>
  <c r="AL1535" i="21"/>
  <c r="W1536" i="21"/>
  <c r="X1536" i="21"/>
  <c r="Y1536" i="21"/>
  <c r="Z1536" i="21"/>
  <c r="AA1536" i="21" s="1"/>
  <c r="AC1536" i="21"/>
  <c r="AD1536" i="21"/>
  <c r="AE1536" i="21"/>
  <c r="AF1536" i="21"/>
  <c r="AG1536" i="21"/>
  <c r="AH1536" i="21"/>
  <c r="AI1536" i="21"/>
  <c r="AJ1536" i="21"/>
  <c r="AK1536" i="21"/>
  <c r="AL1536" i="21"/>
  <c r="AM1536" i="21" s="1"/>
  <c r="W1537" i="21"/>
  <c r="X1537" i="21"/>
  <c r="Y1537" i="21"/>
  <c r="Z1537" i="21"/>
  <c r="AA1537" i="21" s="1"/>
  <c r="AC1537" i="21"/>
  <c r="AD1537" i="21"/>
  <c r="AE1537" i="21"/>
  <c r="AF1537" i="21"/>
  <c r="AG1537" i="21"/>
  <c r="AH1537" i="21"/>
  <c r="AI1537" i="21"/>
  <c r="AJ1537" i="21"/>
  <c r="AK1537" i="21"/>
  <c r="AL1537" i="21"/>
  <c r="AM1537" i="21" s="1"/>
  <c r="W1538" i="21"/>
  <c r="X1538" i="21"/>
  <c r="Y1538" i="21"/>
  <c r="Z1538" i="21"/>
  <c r="AA1538" i="21"/>
  <c r="AB1538" i="21"/>
  <c r="AC1538" i="21"/>
  <c r="AD1538" i="21"/>
  <c r="AE1538" i="21"/>
  <c r="AF1538" i="21"/>
  <c r="AG1538" i="21"/>
  <c r="AH1538" i="21" s="1"/>
  <c r="AI1538" i="21"/>
  <c r="AJ1538" i="21"/>
  <c r="W1539" i="21"/>
  <c r="X1539" i="21"/>
  <c r="Y1539" i="21"/>
  <c r="Z1539" i="21"/>
  <c r="AA1539" i="21"/>
  <c r="AB1539" i="21"/>
  <c r="AC1539" i="21"/>
  <c r="AD1539" i="21"/>
  <c r="AE1539" i="21"/>
  <c r="AF1539" i="21"/>
  <c r="AG1539" i="21" s="1"/>
  <c r="AI1539" i="21"/>
  <c r="AJ1539" i="21"/>
  <c r="W1540" i="21"/>
  <c r="X1540" i="21"/>
  <c r="Y1540" i="21"/>
  <c r="Z1540" i="21"/>
  <c r="AC1540" i="21"/>
  <c r="AD1540" i="21"/>
  <c r="AE1540" i="21"/>
  <c r="AF1540" i="21"/>
  <c r="AG1540" i="21"/>
  <c r="AK1540" i="21" s="1"/>
  <c r="AH1540" i="21"/>
  <c r="AI1540" i="21"/>
  <c r="AJ1540" i="21"/>
  <c r="AL1540" i="21" s="1"/>
  <c r="AM1540" i="21" s="1"/>
  <c r="W1541" i="21"/>
  <c r="X1541" i="21"/>
  <c r="Y1541" i="21"/>
  <c r="Z1541" i="21"/>
  <c r="AA1541" i="21" s="1"/>
  <c r="AC1541" i="21"/>
  <c r="AD1541" i="21"/>
  <c r="AE1541" i="21"/>
  <c r="AF1541" i="21"/>
  <c r="AG1541" i="21"/>
  <c r="AK1541" i="21" s="1"/>
  <c r="AL1541" i="21" s="1"/>
  <c r="AI1541" i="21"/>
  <c r="AJ1541" i="21"/>
  <c r="W1542" i="21"/>
  <c r="X1542" i="21"/>
  <c r="Y1542" i="21"/>
  <c r="Z1542" i="21"/>
  <c r="AA1542" i="21" s="1"/>
  <c r="AC1542" i="21"/>
  <c r="AD1542" i="21"/>
  <c r="AE1542" i="21"/>
  <c r="AF1542" i="21"/>
  <c r="AG1542" i="21"/>
  <c r="AH1542" i="21" s="1"/>
  <c r="AI1542" i="21"/>
  <c r="AJ1542" i="21"/>
  <c r="W1543" i="21"/>
  <c r="X1543" i="21"/>
  <c r="Y1543" i="21"/>
  <c r="Z1543" i="21"/>
  <c r="AA1543" i="21"/>
  <c r="AB1543" i="21"/>
  <c r="AC1543" i="21"/>
  <c r="AD1543" i="21"/>
  <c r="AE1543" i="21"/>
  <c r="AF1543" i="21"/>
  <c r="AG1543" i="21" s="1"/>
  <c r="AI1543" i="21"/>
  <c r="AJ1543" i="21"/>
  <c r="W1544" i="21"/>
  <c r="X1544" i="21"/>
  <c r="Y1544" i="21"/>
  <c r="Z1544" i="21"/>
  <c r="AB1544" i="21" s="1"/>
  <c r="AA1544" i="21"/>
  <c r="AC1544" i="21"/>
  <c r="AD1544" i="21"/>
  <c r="AE1544" i="21"/>
  <c r="AF1544" i="21"/>
  <c r="AG1544" i="21" s="1"/>
  <c r="AI1544" i="21"/>
  <c r="AJ1544" i="21"/>
  <c r="W1545" i="21"/>
  <c r="X1545" i="21"/>
  <c r="Y1545" i="21"/>
  <c r="Z1545" i="21"/>
  <c r="AA1545" i="21" s="1"/>
  <c r="AC1545" i="21"/>
  <c r="AD1545" i="21"/>
  <c r="AE1545" i="21"/>
  <c r="AF1545" i="21"/>
  <c r="AG1545" i="21"/>
  <c r="AH1545" i="21"/>
  <c r="AI1545" i="21"/>
  <c r="AJ1545" i="21"/>
  <c r="AK1545" i="21"/>
  <c r="AL1545" i="21"/>
  <c r="AM1545" i="21" s="1"/>
  <c r="W1546" i="21"/>
  <c r="X1546" i="21"/>
  <c r="Y1546" i="21"/>
  <c r="Z1546" i="21"/>
  <c r="AA1546" i="21" s="1"/>
  <c r="AB1546" i="21" s="1"/>
  <c r="AC1546" i="21"/>
  <c r="AD1546" i="21"/>
  <c r="AE1546" i="21"/>
  <c r="AF1546" i="21"/>
  <c r="AG1546" i="21"/>
  <c r="AH1546" i="21" s="1"/>
  <c r="AI1546" i="21"/>
  <c r="AJ1546" i="21"/>
  <c r="W1547" i="21"/>
  <c r="X1547" i="21"/>
  <c r="Y1547" i="21"/>
  <c r="Z1547" i="21"/>
  <c r="AA1547" i="21"/>
  <c r="AB1547" i="21"/>
  <c r="AC1547" i="21"/>
  <c r="AD1547" i="21"/>
  <c r="AE1547" i="21"/>
  <c r="AF1547" i="21"/>
  <c r="AG1547" i="21" s="1"/>
  <c r="AI1547" i="21"/>
  <c r="AJ1547" i="21"/>
  <c r="W1548" i="21"/>
  <c r="X1548" i="21"/>
  <c r="Y1548" i="21"/>
  <c r="Z1548" i="21"/>
  <c r="AC1548" i="21"/>
  <c r="AD1548" i="21"/>
  <c r="AE1548" i="21"/>
  <c r="AF1548" i="21"/>
  <c r="AG1548" i="21" s="1"/>
  <c r="AI1548" i="21"/>
  <c r="AJ1548" i="21"/>
  <c r="W1549" i="21"/>
  <c r="X1549" i="21"/>
  <c r="Y1549" i="21"/>
  <c r="Z1549" i="21"/>
  <c r="AA1549" i="21" s="1"/>
  <c r="AC1549" i="21"/>
  <c r="AD1549" i="21"/>
  <c r="AE1549" i="21"/>
  <c r="AF1549" i="21"/>
  <c r="AG1549" i="21"/>
  <c r="AK1549" i="21" s="1"/>
  <c r="AL1549" i="21" s="1"/>
  <c r="AI1549" i="21"/>
  <c r="AJ1549" i="21"/>
  <c r="W1550" i="21"/>
  <c r="X1550" i="21"/>
  <c r="Y1550" i="21"/>
  <c r="Z1550" i="21"/>
  <c r="AA1550" i="21" s="1"/>
  <c r="AB1550" i="21" s="1"/>
  <c r="AC1550" i="21"/>
  <c r="AD1550" i="21"/>
  <c r="AE1550" i="21"/>
  <c r="AF1550" i="21"/>
  <c r="AG1550" i="21"/>
  <c r="AH1550" i="21" s="1"/>
  <c r="AI1550" i="21"/>
  <c r="AJ1550" i="21"/>
  <c r="W1551" i="21"/>
  <c r="X1551" i="21"/>
  <c r="Y1551" i="21"/>
  <c r="Z1551" i="21"/>
  <c r="AA1551" i="21"/>
  <c r="AB1551" i="21"/>
  <c r="AC1551" i="21"/>
  <c r="AD1551" i="21"/>
  <c r="AE1551" i="21"/>
  <c r="AF1551" i="21"/>
  <c r="AG1551" i="21" s="1"/>
  <c r="AI1551" i="21"/>
  <c r="AJ1551" i="21"/>
  <c r="W1552" i="21"/>
  <c r="X1552" i="21"/>
  <c r="Y1552" i="21"/>
  <c r="Z1552" i="21"/>
  <c r="AA1552" i="21"/>
  <c r="AB1552" i="21" s="1"/>
  <c r="AC1552" i="21"/>
  <c r="AD1552" i="21"/>
  <c r="AE1552" i="21"/>
  <c r="AF1552" i="21"/>
  <c r="AG1552" i="21"/>
  <c r="AK1552" i="21" s="1"/>
  <c r="AL1552" i="21" s="1"/>
  <c r="AM1552" i="21" s="1"/>
  <c r="AH1552" i="21"/>
  <c r="AI1552" i="21"/>
  <c r="AJ1552" i="21"/>
  <c r="W1553" i="21"/>
  <c r="X1553" i="21"/>
  <c r="Y1553" i="21"/>
  <c r="Z1553" i="21"/>
  <c r="AA1553" i="21" s="1"/>
  <c r="AC1553" i="21"/>
  <c r="AD1553" i="21"/>
  <c r="AE1553" i="21"/>
  <c r="AF1553" i="21"/>
  <c r="AG1553" i="21"/>
  <c r="AH1553" i="21"/>
  <c r="AI1553" i="21"/>
  <c r="AJ1553" i="21"/>
  <c r="AK1553" i="21"/>
  <c r="AL1553" i="21"/>
  <c r="AM1553" i="21" s="1"/>
  <c r="W1554" i="21"/>
  <c r="X1554" i="21"/>
  <c r="Y1554" i="21"/>
  <c r="Z1554" i="21"/>
  <c r="AA1554" i="21" s="1"/>
  <c r="AB1554" i="21" s="1"/>
  <c r="AC1554" i="21"/>
  <c r="AD1554" i="21"/>
  <c r="AE1554" i="21"/>
  <c r="AF1554" i="21"/>
  <c r="AG1554" i="21"/>
  <c r="AH1554" i="21" s="1"/>
  <c r="AI1554" i="21"/>
  <c r="AJ1554" i="21"/>
  <c r="W1555" i="21"/>
  <c r="X1555" i="21"/>
  <c r="Y1555" i="21"/>
  <c r="Z1555" i="21"/>
  <c r="AA1555" i="21"/>
  <c r="AB1555" i="21"/>
  <c r="AC1555" i="21"/>
  <c r="AD1555" i="21"/>
  <c r="AE1555" i="21"/>
  <c r="AF1555" i="21"/>
  <c r="AG1555" i="21" s="1"/>
  <c r="AI1555" i="21"/>
  <c r="AJ1555" i="21"/>
  <c r="W1556" i="21"/>
  <c r="X1556" i="21"/>
  <c r="Y1556" i="21"/>
  <c r="Z1556" i="21"/>
  <c r="AC1556" i="21"/>
  <c r="AD1556" i="21"/>
  <c r="AE1556" i="21"/>
  <c r="AF1556" i="21"/>
  <c r="AG1556" i="21" s="1"/>
  <c r="AI1556" i="21"/>
  <c r="AJ1556" i="21"/>
  <c r="W1557" i="21"/>
  <c r="X1557" i="21"/>
  <c r="Y1557" i="21"/>
  <c r="Z1557" i="21"/>
  <c r="AA1557" i="21" s="1"/>
  <c r="AC1557" i="21"/>
  <c r="AD1557" i="21"/>
  <c r="AE1557" i="21"/>
  <c r="AF1557" i="21"/>
  <c r="AG1557" i="21"/>
  <c r="AK1557" i="21" s="1"/>
  <c r="AL1557" i="21" s="1"/>
  <c r="AI1557" i="21"/>
  <c r="AJ1557" i="21"/>
  <c r="W1558" i="21"/>
  <c r="X1558" i="21"/>
  <c r="Y1558" i="21"/>
  <c r="Z1558" i="21"/>
  <c r="AA1558" i="21" s="1"/>
  <c r="AB1558" i="21" s="1"/>
  <c r="AC1558" i="21"/>
  <c r="AD1558" i="21"/>
  <c r="AE1558" i="21"/>
  <c r="AF1558" i="21"/>
  <c r="AG1558" i="21"/>
  <c r="AH1558" i="21" s="1"/>
  <c r="AI1558" i="21"/>
  <c r="AJ1558" i="21"/>
  <c r="W1559" i="21"/>
  <c r="X1559" i="21"/>
  <c r="Y1559" i="21"/>
  <c r="Z1559" i="21"/>
  <c r="AA1559" i="21"/>
  <c r="AB1559" i="21"/>
  <c r="AC1559" i="21"/>
  <c r="AD1559" i="21"/>
  <c r="AE1559" i="21"/>
  <c r="AF1559" i="21"/>
  <c r="AG1559" i="21" s="1"/>
  <c r="AI1559" i="21"/>
  <c r="AJ1559" i="21"/>
  <c r="W1560" i="21"/>
  <c r="X1560" i="21"/>
  <c r="Y1560" i="21"/>
  <c r="Z1560" i="21"/>
  <c r="AA1560" i="21"/>
  <c r="AB1560" i="21" s="1"/>
  <c r="AC1560" i="21"/>
  <c r="AD1560" i="21"/>
  <c r="AE1560" i="21"/>
  <c r="AF1560" i="21"/>
  <c r="AG1560" i="21"/>
  <c r="AK1560" i="21" s="1"/>
  <c r="AL1560" i="21" s="1"/>
  <c r="AM1560" i="21" s="1"/>
  <c r="AH1560" i="21"/>
  <c r="AI1560" i="21"/>
  <c r="AJ1560" i="21"/>
  <c r="W1561" i="21"/>
  <c r="X1561" i="21"/>
  <c r="Y1561" i="21"/>
  <c r="Z1561" i="21"/>
  <c r="AA1561" i="21" s="1"/>
  <c r="AC1561" i="21"/>
  <c r="AD1561" i="21"/>
  <c r="AE1561" i="21"/>
  <c r="AF1561" i="21"/>
  <c r="AG1561" i="21"/>
  <c r="AH1561" i="21"/>
  <c r="AI1561" i="21"/>
  <c r="AJ1561" i="21"/>
  <c r="AK1561" i="21"/>
  <c r="AL1561" i="21"/>
  <c r="AM1561" i="21" s="1"/>
  <c r="W1562" i="21"/>
  <c r="X1562" i="21"/>
  <c r="Y1562" i="21"/>
  <c r="Z1562" i="21"/>
  <c r="AA1562" i="21" s="1"/>
  <c r="AB1562" i="21" s="1"/>
  <c r="AC1562" i="21"/>
  <c r="AD1562" i="21"/>
  <c r="AE1562" i="21"/>
  <c r="AF1562" i="21"/>
  <c r="AG1562" i="21"/>
  <c r="AH1562" i="21" s="1"/>
  <c r="AI1562" i="21"/>
  <c r="AJ1562" i="21"/>
  <c r="W1563" i="21"/>
  <c r="X1563" i="21"/>
  <c r="Y1563" i="21"/>
  <c r="Z1563" i="21"/>
  <c r="AA1563" i="21"/>
  <c r="AB1563" i="21"/>
  <c r="AC1563" i="21"/>
  <c r="AD1563" i="21"/>
  <c r="AE1563" i="21"/>
  <c r="AF1563" i="21"/>
  <c r="AG1563" i="21" s="1"/>
  <c r="AI1563" i="21"/>
  <c r="AJ1563" i="21"/>
  <c r="W1564" i="21"/>
  <c r="X1564" i="21"/>
  <c r="Y1564" i="21"/>
  <c r="Z1564" i="21"/>
  <c r="AC1564" i="21"/>
  <c r="AD1564" i="21"/>
  <c r="AE1564" i="21"/>
  <c r="AF1564" i="21"/>
  <c r="AG1564" i="21" s="1"/>
  <c r="AI1564" i="21"/>
  <c r="AJ1564" i="21"/>
  <c r="W1565" i="21"/>
  <c r="X1565" i="21"/>
  <c r="Y1565" i="21"/>
  <c r="Z1565" i="21"/>
  <c r="AA1565" i="21" s="1"/>
  <c r="AC1565" i="21"/>
  <c r="AD1565" i="21"/>
  <c r="AE1565" i="21"/>
  <c r="AF1565" i="21"/>
  <c r="AG1565" i="21"/>
  <c r="AK1565" i="21" s="1"/>
  <c r="AL1565" i="21" s="1"/>
  <c r="AI1565" i="21"/>
  <c r="AJ1565" i="21"/>
  <c r="W1566" i="21"/>
  <c r="X1566" i="21"/>
  <c r="Y1566" i="21"/>
  <c r="Z1566" i="21"/>
  <c r="AA1566" i="21" s="1"/>
  <c r="AB1566" i="21" s="1"/>
  <c r="AC1566" i="21"/>
  <c r="AD1566" i="21"/>
  <c r="AE1566" i="21"/>
  <c r="AF1566" i="21"/>
  <c r="AG1566" i="21"/>
  <c r="AH1566" i="21" s="1"/>
  <c r="AI1566" i="21"/>
  <c r="AJ1566" i="21"/>
  <c r="W1567" i="21"/>
  <c r="X1567" i="21"/>
  <c r="Y1567" i="21"/>
  <c r="Z1567" i="21"/>
  <c r="AA1567" i="21"/>
  <c r="AB1567" i="21"/>
  <c r="AC1567" i="21"/>
  <c r="AD1567" i="21"/>
  <c r="AE1567" i="21"/>
  <c r="AF1567" i="21"/>
  <c r="AG1567" i="21" s="1"/>
  <c r="AI1567" i="21"/>
  <c r="AJ1567" i="21"/>
  <c r="W1568" i="21"/>
  <c r="X1568" i="21"/>
  <c r="Y1568" i="21"/>
  <c r="Z1568" i="21"/>
  <c r="AA1568" i="21"/>
  <c r="AB1568" i="21" s="1"/>
  <c r="AC1568" i="21"/>
  <c r="AD1568" i="21"/>
  <c r="AE1568" i="21"/>
  <c r="AF1568" i="21"/>
  <c r="AG1568" i="21"/>
  <c r="AK1568" i="21" s="1"/>
  <c r="AL1568" i="21" s="1"/>
  <c r="AM1568" i="21" s="1"/>
  <c r="AH1568" i="21"/>
  <c r="AI1568" i="21"/>
  <c r="AJ1568" i="21"/>
  <c r="W1569" i="21"/>
  <c r="X1569" i="21"/>
  <c r="Y1569" i="21"/>
  <c r="Z1569" i="21"/>
  <c r="AA1569" i="21" s="1"/>
  <c r="AC1569" i="21"/>
  <c r="AD1569" i="21"/>
  <c r="AE1569" i="21"/>
  <c r="AF1569" i="21"/>
  <c r="AG1569" i="21"/>
  <c r="AH1569" i="21"/>
  <c r="AI1569" i="21"/>
  <c r="AJ1569" i="21"/>
  <c r="AK1569" i="21"/>
  <c r="AL1569" i="21"/>
  <c r="AM1569" i="21" s="1"/>
  <c r="W1570" i="21"/>
  <c r="X1570" i="21"/>
  <c r="Y1570" i="21"/>
  <c r="Z1570" i="21"/>
  <c r="AA1570" i="21" s="1"/>
  <c r="AB1570" i="21" s="1"/>
  <c r="AC1570" i="21"/>
  <c r="AD1570" i="21"/>
  <c r="AE1570" i="21"/>
  <c r="AF1570" i="21"/>
  <c r="AG1570" i="21"/>
  <c r="AH1570" i="21" s="1"/>
  <c r="AI1570" i="21"/>
  <c r="AJ1570" i="21"/>
  <c r="W1571" i="21"/>
  <c r="X1571" i="21"/>
  <c r="Y1571" i="21"/>
  <c r="Z1571" i="21"/>
  <c r="AA1571" i="21"/>
  <c r="AB1571" i="21"/>
  <c r="AC1571" i="21"/>
  <c r="AD1571" i="21"/>
  <c r="AE1571" i="21"/>
  <c r="AF1571" i="21"/>
  <c r="AG1571" i="21" s="1"/>
  <c r="AI1571" i="21"/>
  <c r="AJ1571" i="21"/>
  <c r="W1572" i="21"/>
  <c r="X1572" i="21"/>
  <c r="Y1572" i="21"/>
  <c r="Z1572" i="21"/>
  <c r="AC1572" i="21"/>
  <c r="AD1572" i="21"/>
  <c r="AE1572" i="21"/>
  <c r="AF1572" i="21"/>
  <c r="AG1572" i="21" s="1"/>
  <c r="AI1572" i="21"/>
  <c r="AJ1572" i="21"/>
  <c r="W1573" i="21"/>
  <c r="X1573" i="21"/>
  <c r="Y1573" i="21"/>
  <c r="Z1573" i="21"/>
  <c r="AA1573" i="21" s="1"/>
  <c r="AC1573" i="21"/>
  <c r="AD1573" i="21"/>
  <c r="AE1573" i="21"/>
  <c r="AF1573" i="21"/>
  <c r="AG1573" i="21"/>
  <c r="AK1573" i="21" s="1"/>
  <c r="AL1573" i="21" s="1"/>
  <c r="AI1573" i="21"/>
  <c r="AJ1573" i="21"/>
  <c r="W1574" i="21"/>
  <c r="X1574" i="21"/>
  <c r="Y1574" i="21"/>
  <c r="Z1574" i="21"/>
  <c r="AA1574" i="21" s="1"/>
  <c r="AB1574" i="21" s="1"/>
  <c r="AC1574" i="21"/>
  <c r="AD1574" i="21"/>
  <c r="AE1574" i="21"/>
  <c r="AF1574" i="21"/>
  <c r="AG1574" i="21"/>
  <c r="AH1574" i="21" s="1"/>
  <c r="AI1574" i="21"/>
  <c r="AJ1574" i="21"/>
  <c r="W1575" i="21"/>
  <c r="X1575" i="21"/>
  <c r="Y1575" i="21"/>
  <c r="Z1575" i="21"/>
  <c r="AA1575" i="21"/>
  <c r="AB1575" i="21"/>
  <c r="AC1575" i="21"/>
  <c r="AD1575" i="21"/>
  <c r="AE1575" i="21"/>
  <c r="AF1575" i="21"/>
  <c r="AG1575" i="21" s="1"/>
  <c r="AI1575" i="21"/>
  <c r="AJ1575" i="21"/>
  <c r="W1576" i="21"/>
  <c r="X1576" i="21"/>
  <c r="Y1576" i="21"/>
  <c r="Z1576" i="21"/>
  <c r="AA1576" i="21"/>
  <c r="AB1576" i="21" s="1"/>
  <c r="AC1576" i="21"/>
  <c r="AD1576" i="21"/>
  <c r="AE1576" i="21"/>
  <c r="AF1576" i="21"/>
  <c r="AG1576" i="21"/>
  <c r="AK1576" i="21" s="1"/>
  <c r="AL1576" i="21" s="1"/>
  <c r="AM1576" i="21" s="1"/>
  <c r="AH1576" i="21"/>
  <c r="AI1576" i="21"/>
  <c r="AJ1576" i="21"/>
  <c r="W1577" i="21"/>
  <c r="X1577" i="21"/>
  <c r="Y1577" i="21"/>
  <c r="Z1577" i="21"/>
  <c r="AA1577" i="21" s="1"/>
  <c r="AC1577" i="21"/>
  <c r="AD1577" i="21"/>
  <c r="AE1577" i="21"/>
  <c r="AF1577" i="21"/>
  <c r="AG1577" i="21"/>
  <c r="AH1577" i="21"/>
  <c r="AI1577" i="21"/>
  <c r="AJ1577" i="21"/>
  <c r="AK1577" i="21"/>
  <c r="AL1577" i="21"/>
  <c r="AM1577" i="21" s="1"/>
  <c r="W1578" i="21"/>
  <c r="X1578" i="21"/>
  <c r="Y1578" i="21"/>
  <c r="Z1578" i="21"/>
  <c r="AA1578" i="21" s="1"/>
  <c r="AB1578" i="21" s="1"/>
  <c r="AC1578" i="21"/>
  <c r="AD1578" i="21"/>
  <c r="AE1578" i="21"/>
  <c r="AF1578" i="21"/>
  <c r="AG1578" i="21"/>
  <c r="AH1578" i="21" s="1"/>
  <c r="AI1578" i="21"/>
  <c r="AJ1578" i="21"/>
  <c r="W1579" i="21"/>
  <c r="X1579" i="21"/>
  <c r="Y1579" i="21"/>
  <c r="Z1579" i="21"/>
  <c r="AA1579" i="21"/>
  <c r="AB1579" i="21"/>
  <c r="AC1579" i="21"/>
  <c r="AD1579" i="21"/>
  <c r="AE1579" i="21"/>
  <c r="AF1579" i="21"/>
  <c r="AG1579" i="21" s="1"/>
  <c r="AI1579" i="21"/>
  <c r="AJ1579" i="21"/>
  <c r="W1580" i="21"/>
  <c r="X1580" i="21"/>
  <c r="Y1580" i="21"/>
  <c r="Z1580" i="21"/>
  <c r="AC1580" i="21"/>
  <c r="AD1580" i="21"/>
  <c r="AE1580" i="21"/>
  <c r="AF1580" i="21"/>
  <c r="AG1580" i="21" s="1"/>
  <c r="AI1580" i="21"/>
  <c r="AJ1580" i="21"/>
  <c r="W1581" i="21"/>
  <c r="X1581" i="21"/>
  <c r="Y1581" i="21"/>
  <c r="Z1581" i="21"/>
  <c r="AA1581" i="21" s="1"/>
  <c r="AC1581" i="21"/>
  <c r="AD1581" i="21"/>
  <c r="AE1581" i="21"/>
  <c r="AF1581" i="21"/>
  <c r="AG1581" i="21"/>
  <c r="AK1581" i="21" s="1"/>
  <c r="AL1581" i="21" s="1"/>
  <c r="AI1581" i="21"/>
  <c r="AJ1581" i="21"/>
  <c r="W1582" i="21"/>
  <c r="X1582" i="21"/>
  <c r="Y1582" i="21"/>
  <c r="Z1582" i="21"/>
  <c r="AA1582" i="21" s="1"/>
  <c r="AB1582" i="21" s="1"/>
  <c r="AC1582" i="21"/>
  <c r="AD1582" i="21"/>
  <c r="AE1582" i="21"/>
  <c r="AF1582" i="21"/>
  <c r="AG1582" i="21"/>
  <c r="AH1582" i="21" s="1"/>
  <c r="AI1582" i="21"/>
  <c r="AJ1582" i="21"/>
  <c r="W1583" i="21"/>
  <c r="X1583" i="21"/>
  <c r="Y1583" i="21"/>
  <c r="Z1583" i="21"/>
  <c r="AA1583" i="21"/>
  <c r="AB1583" i="21"/>
  <c r="AC1583" i="21"/>
  <c r="AD1583" i="21"/>
  <c r="AE1583" i="21"/>
  <c r="AF1583" i="21"/>
  <c r="AG1583" i="21" s="1"/>
  <c r="AI1583" i="21"/>
  <c r="AJ1583" i="21"/>
  <c r="W1584" i="21"/>
  <c r="X1584" i="21"/>
  <c r="Y1584" i="21"/>
  <c r="Z1584" i="21"/>
  <c r="AA1584" i="21"/>
  <c r="AB1584" i="21" s="1"/>
  <c r="AC1584" i="21"/>
  <c r="AD1584" i="21"/>
  <c r="AE1584" i="21"/>
  <c r="AF1584" i="21"/>
  <c r="AG1584" i="21"/>
  <c r="AK1584" i="21" s="1"/>
  <c r="AL1584" i="21" s="1"/>
  <c r="AM1584" i="21" s="1"/>
  <c r="AH1584" i="21"/>
  <c r="AI1584" i="21"/>
  <c r="AJ1584" i="21"/>
  <c r="W1585" i="21"/>
  <c r="X1585" i="21"/>
  <c r="Y1585" i="21"/>
  <c r="Z1585" i="21"/>
  <c r="AA1585" i="21" s="1"/>
  <c r="AC1585" i="21"/>
  <c r="AD1585" i="21"/>
  <c r="AE1585" i="21"/>
  <c r="AF1585" i="21"/>
  <c r="AG1585" i="21"/>
  <c r="AH1585" i="21"/>
  <c r="AI1585" i="21"/>
  <c r="AJ1585" i="21"/>
  <c r="AK1585" i="21"/>
  <c r="AL1585" i="21"/>
  <c r="AM1585" i="21" s="1"/>
  <c r="W1586" i="21"/>
  <c r="X1586" i="21"/>
  <c r="Y1586" i="21"/>
  <c r="Z1586" i="21"/>
  <c r="AA1586" i="21" s="1"/>
  <c r="AB1586" i="21" s="1"/>
  <c r="AC1586" i="21"/>
  <c r="AD1586" i="21"/>
  <c r="AE1586" i="21"/>
  <c r="AF1586" i="21"/>
  <c r="AG1586" i="21"/>
  <c r="AH1586" i="21" s="1"/>
  <c r="AI1586" i="21"/>
  <c r="AJ1586" i="21"/>
  <c r="W1587" i="21"/>
  <c r="X1587" i="21"/>
  <c r="Y1587" i="21"/>
  <c r="Z1587" i="21"/>
  <c r="AA1587" i="21"/>
  <c r="AB1587" i="21"/>
  <c r="AC1587" i="21"/>
  <c r="AD1587" i="21"/>
  <c r="AE1587" i="21"/>
  <c r="AF1587" i="21"/>
  <c r="AG1587" i="21" s="1"/>
  <c r="AI1587" i="21"/>
  <c r="AJ1587" i="21"/>
  <c r="W1588" i="21"/>
  <c r="X1588" i="21"/>
  <c r="Y1588" i="21"/>
  <c r="Z1588" i="21"/>
  <c r="AC1588" i="21"/>
  <c r="AD1588" i="21"/>
  <c r="AE1588" i="21"/>
  <c r="AF1588" i="21"/>
  <c r="AG1588" i="21" s="1"/>
  <c r="AI1588" i="21"/>
  <c r="AJ1588" i="21"/>
  <c r="W1589" i="21"/>
  <c r="X1589" i="21"/>
  <c r="Y1589" i="21"/>
  <c r="Z1589" i="21"/>
  <c r="AA1589" i="21" s="1"/>
  <c r="AC1589" i="21"/>
  <c r="AD1589" i="21"/>
  <c r="AE1589" i="21"/>
  <c r="AF1589" i="21"/>
  <c r="AG1589" i="21"/>
  <c r="AK1589" i="21" s="1"/>
  <c r="AL1589" i="21" s="1"/>
  <c r="AI1589" i="21"/>
  <c r="AJ1589" i="21"/>
  <c r="W1590" i="21"/>
  <c r="X1590" i="21"/>
  <c r="Y1590" i="21"/>
  <c r="Z1590" i="21"/>
  <c r="AA1590" i="21" s="1"/>
  <c r="AB1590" i="21" s="1"/>
  <c r="AC1590" i="21"/>
  <c r="AD1590" i="21"/>
  <c r="AE1590" i="21"/>
  <c r="AF1590" i="21"/>
  <c r="AG1590" i="21"/>
  <c r="AH1590" i="21" s="1"/>
  <c r="AI1590" i="21"/>
  <c r="AJ1590" i="21"/>
  <c r="W1591" i="21"/>
  <c r="X1591" i="21"/>
  <c r="Y1591" i="21"/>
  <c r="Z1591" i="21"/>
  <c r="AA1591" i="21"/>
  <c r="AB1591" i="21"/>
  <c r="AC1591" i="21"/>
  <c r="AD1591" i="21"/>
  <c r="AE1591" i="21"/>
  <c r="AF1591" i="21"/>
  <c r="AG1591" i="21" s="1"/>
  <c r="AI1591" i="21"/>
  <c r="AJ1591" i="21"/>
  <c r="W1592" i="21"/>
  <c r="X1592" i="21"/>
  <c r="Y1592" i="21"/>
  <c r="Z1592" i="21"/>
  <c r="AA1592" i="21"/>
  <c r="AB1592" i="21" s="1"/>
  <c r="AC1592" i="21"/>
  <c r="AD1592" i="21"/>
  <c r="AE1592" i="21"/>
  <c r="AF1592" i="21"/>
  <c r="AG1592" i="21"/>
  <c r="AK1592" i="21" s="1"/>
  <c r="AL1592" i="21" s="1"/>
  <c r="AM1592" i="21" s="1"/>
  <c r="AH1592" i="21"/>
  <c r="AI1592" i="21"/>
  <c r="AJ1592" i="21"/>
  <c r="W1593" i="21"/>
  <c r="X1593" i="21"/>
  <c r="Y1593" i="21"/>
  <c r="Z1593" i="21"/>
  <c r="AA1593" i="21" s="1"/>
  <c r="AC1593" i="21"/>
  <c r="AD1593" i="21"/>
  <c r="AE1593" i="21"/>
  <c r="AF1593" i="21"/>
  <c r="AG1593" i="21"/>
  <c r="AH1593" i="21"/>
  <c r="AI1593" i="21"/>
  <c r="AJ1593" i="21"/>
  <c r="AK1593" i="21"/>
  <c r="AL1593" i="21"/>
  <c r="AM1593" i="21" s="1"/>
  <c r="W1594" i="21"/>
  <c r="X1594" i="21"/>
  <c r="Y1594" i="21"/>
  <c r="Z1594" i="21"/>
  <c r="AA1594" i="21" s="1"/>
  <c r="AB1594" i="21" s="1"/>
  <c r="AC1594" i="21"/>
  <c r="AD1594" i="21"/>
  <c r="AE1594" i="21"/>
  <c r="AF1594" i="21"/>
  <c r="AG1594" i="21"/>
  <c r="AH1594" i="21" s="1"/>
  <c r="AI1594" i="21"/>
  <c r="AJ1594" i="21"/>
  <c r="W1595" i="21"/>
  <c r="X1595" i="21"/>
  <c r="Y1595" i="21"/>
  <c r="Z1595" i="21"/>
  <c r="AA1595" i="21"/>
  <c r="AB1595" i="21"/>
  <c r="AC1595" i="21"/>
  <c r="AD1595" i="21"/>
  <c r="AE1595" i="21"/>
  <c r="AF1595" i="21"/>
  <c r="AG1595" i="21" s="1"/>
  <c r="AI1595" i="21"/>
  <c r="AJ1595" i="21"/>
  <c r="W1596" i="21"/>
  <c r="X1596" i="21"/>
  <c r="Y1596" i="21"/>
  <c r="Z1596" i="21"/>
  <c r="AC1596" i="21"/>
  <c r="AD1596" i="21"/>
  <c r="AE1596" i="21"/>
  <c r="AF1596" i="21"/>
  <c r="AG1596" i="21" s="1"/>
  <c r="AI1596" i="21"/>
  <c r="AJ1596" i="21"/>
  <c r="W1597" i="21"/>
  <c r="X1597" i="21"/>
  <c r="Y1597" i="21"/>
  <c r="Z1597" i="21"/>
  <c r="AA1597" i="21" s="1"/>
  <c r="AC1597" i="21"/>
  <c r="AD1597" i="21"/>
  <c r="AE1597" i="21"/>
  <c r="AF1597" i="21"/>
  <c r="AG1597" i="21"/>
  <c r="AK1597" i="21" s="1"/>
  <c r="AL1597" i="21" s="1"/>
  <c r="AI1597" i="21"/>
  <c r="AJ1597" i="21"/>
  <c r="W1598" i="21"/>
  <c r="X1598" i="21"/>
  <c r="Y1598" i="21"/>
  <c r="Z1598" i="21"/>
  <c r="AA1598" i="21" s="1"/>
  <c r="AB1598" i="21" s="1"/>
  <c r="AC1598" i="21"/>
  <c r="AD1598" i="21"/>
  <c r="AE1598" i="21"/>
  <c r="AF1598" i="21"/>
  <c r="AG1598" i="21"/>
  <c r="AH1598" i="21" s="1"/>
  <c r="AI1598" i="21"/>
  <c r="AJ1598" i="21"/>
  <c r="W1599" i="21"/>
  <c r="X1599" i="21"/>
  <c r="Y1599" i="21"/>
  <c r="Z1599" i="21"/>
  <c r="AA1599" i="21"/>
  <c r="AB1599" i="21"/>
  <c r="AC1599" i="21"/>
  <c r="AD1599" i="21"/>
  <c r="AE1599" i="21"/>
  <c r="AF1599" i="21"/>
  <c r="AG1599" i="21" s="1"/>
  <c r="AI1599" i="21"/>
  <c r="AJ1599" i="21"/>
  <c r="W1600" i="21"/>
  <c r="X1600" i="21"/>
  <c r="Y1600" i="21"/>
  <c r="Z1600" i="21"/>
  <c r="AA1600" i="21"/>
  <c r="AB1600" i="21" s="1"/>
  <c r="AC1600" i="21"/>
  <c r="AD1600" i="21"/>
  <c r="AE1600" i="21"/>
  <c r="AF1600" i="21"/>
  <c r="AG1600" i="21"/>
  <c r="AK1600" i="21" s="1"/>
  <c r="AL1600" i="21" s="1"/>
  <c r="AM1600" i="21" s="1"/>
  <c r="AH1600" i="21"/>
  <c r="AI1600" i="21"/>
  <c r="AJ1600" i="21"/>
  <c r="W1601" i="21"/>
  <c r="X1601" i="21"/>
  <c r="Y1601" i="21"/>
  <c r="Z1601" i="21"/>
  <c r="AA1601" i="21" s="1"/>
  <c r="AC1601" i="21"/>
  <c r="AD1601" i="21"/>
  <c r="AE1601" i="21"/>
  <c r="AF1601" i="21"/>
  <c r="AG1601" i="21"/>
  <c r="AH1601" i="21"/>
  <c r="AI1601" i="21"/>
  <c r="AJ1601" i="21"/>
  <c r="AK1601" i="21"/>
  <c r="AL1601" i="21"/>
  <c r="AM1601" i="21" s="1"/>
  <c r="W1602" i="21"/>
  <c r="X1602" i="21"/>
  <c r="Y1602" i="21"/>
  <c r="Z1602" i="21"/>
  <c r="AA1602" i="21" s="1"/>
  <c r="AB1602" i="21" s="1"/>
  <c r="AC1602" i="21"/>
  <c r="AD1602" i="21"/>
  <c r="AE1602" i="21"/>
  <c r="AF1602" i="21"/>
  <c r="AG1602" i="21"/>
  <c r="AH1602" i="21" s="1"/>
  <c r="AI1602" i="21"/>
  <c r="AJ1602" i="21"/>
  <c r="W1603" i="21"/>
  <c r="X1603" i="21"/>
  <c r="Y1603" i="21"/>
  <c r="Z1603" i="21"/>
  <c r="AA1603" i="21"/>
  <c r="AB1603" i="21"/>
  <c r="AC1603" i="21"/>
  <c r="AD1603" i="21"/>
  <c r="AE1603" i="21"/>
  <c r="AF1603" i="21"/>
  <c r="AG1603" i="21" s="1"/>
  <c r="AI1603" i="21"/>
  <c r="AJ1603" i="21"/>
  <c r="W1604" i="21"/>
  <c r="X1604" i="21"/>
  <c r="Y1604" i="21"/>
  <c r="Z1604" i="21"/>
  <c r="AC1604" i="21"/>
  <c r="AD1604" i="21"/>
  <c r="AE1604" i="21"/>
  <c r="AF1604" i="21"/>
  <c r="AG1604" i="21" s="1"/>
  <c r="AI1604" i="21"/>
  <c r="AJ1604" i="21"/>
  <c r="W1605" i="21"/>
  <c r="X1605" i="21"/>
  <c r="Y1605" i="21"/>
  <c r="Z1605" i="21"/>
  <c r="AA1605" i="21" s="1"/>
  <c r="AC1605" i="21"/>
  <c r="AD1605" i="21"/>
  <c r="AE1605" i="21"/>
  <c r="AF1605" i="21"/>
  <c r="AG1605" i="21"/>
  <c r="AK1605" i="21" s="1"/>
  <c r="AL1605" i="21" s="1"/>
  <c r="AI1605" i="21"/>
  <c r="AJ1605" i="21"/>
  <c r="W1606" i="21"/>
  <c r="X1606" i="21"/>
  <c r="Y1606" i="21"/>
  <c r="Z1606" i="21"/>
  <c r="AA1606" i="21" s="1"/>
  <c r="AB1606" i="21" s="1"/>
  <c r="AC1606" i="21"/>
  <c r="AD1606" i="21"/>
  <c r="AE1606" i="21"/>
  <c r="AF1606" i="21"/>
  <c r="AG1606" i="21"/>
  <c r="AH1606" i="21" s="1"/>
  <c r="AI1606" i="21"/>
  <c r="AJ1606" i="21"/>
  <c r="W1607" i="21"/>
  <c r="X1607" i="21"/>
  <c r="Y1607" i="21"/>
  <c r="Z1607" i="21"/>
  <c r="AA1607" i="21"/>
  <c r="AB1607" i="21"/>
  <c r="AC1607" i="21"/>
  <c r="AD1607" i="21"/>
  <c r="AE1607" i="21"/>
  <c r="AF1607" i="21"/>
  <c r="AG1607" i="21" s="1"/>
  <c r="AI1607" i="21"/>
  <c r="AJ1607" i="21"/>
  <c r="W1608" i="21"/>
  <c r="X1608" i="21"/>
  <c r="Y1608" i="21"/>
  <c r="Z1608" i="21"/>
  <c r="AB1608" i="21" s="1"/>
  <c r="AA1608" i="21"/>
  <c r="AC1608" i="21"/>
  <c r="AD1608" i="21"/>
  <c r="AE1608" i="21"/>
  <c r="AF1608" i="21"/>
  <c r="AG1608" i="21"/>
  <c r="AK1608" i="21" s="1"/>
  <c r="AL1608" i="21" s="1"/>
  <c r="AM1608" i="21" s="1"/>
  <c r="AH1608" i="21"/>
  <c r="AI1608" i="21"/>
  <c r="AJ1608" i="21"/>
  <c r="W1609" i="21"/>
  <c r="X1609" i="21"/>
  <c r="Y1609" i="21"/>
  <c r="Z1609" i="21"/>
  <c r="AA1609" i="21" s="1"/>
  <c r="AC1609" i="21"/>
  <c r="AD1609" i="21"/>
  <c r="AE1609" i="21"/>
  <c r="AF1609" i="21"/>
  <c r="AG1609" i="21"/>
  <c r="AH1609" i="21"/>
  <c r="AI1609" i="21"/>
  <c r="AJ1609" i="21"/>
  <c r="AK1609" i="21"/>
  <c r="AL1609" i="21"/>
  <c r="AM1609" i="21" s="1"/>
  <c r="W1610" i="21"/>
  <c r="X1610" i="21"/>
  <c r="Y1610" i="21"/>
  <c r="Z1610" i="21"/>
  <c r="AA1610" i="21" s="1"/>
  <c r="AB1610" i="21" s="1"/>
  <c r="AC1610" i="21"/>
  <c r="AD1610" i="21"/>
  <c r="AE1610" i="21"/>
  <c r="AF1610" i="21"/>
  <c r="AG1610" i="21"/>
  <c r="AH1610" i="21" s="1"/>
  <c r="AI1610" i="21"/>
  <c r="AJ1610" i="21"/>
  <c r="W1611" i="21"/>
  <c r="X1611" i="21"/>
  <c r="Y1611" i="21"/>
  <c r="Z1611" i="21"/>
  <c r="AA1611" i="21"/>
  <c r="AB1611" i="21"/>
  <c r="AC1611" i="21"/>
  <c r="AD1611" i="21"/>
  <c r="AE1611" i="21"/>
  <c r="AF1611" i="21"/>
  <c r="AG1611" i="21" s="1"/>
  <c r="AI1611" i="21"/>
  <c r="AJ1611" i="21"/>
  <c r="W1612" i="21"/>
  <c r="X1612" i="21"/>
  <c r="Y1612" i="21"/>
  <c r="Z1612" i="21"/>
  <c r="AC1612" i="21"/>
  <c r="AD1612" i="21"/>
  <c r="AE1612" i="21"/>
  <c r="AF1612" i="21"/>
  <c r="AG1612" i="21" s="1"/>
  <c r="AI1612" i="21"/>
  <c r="AJ1612" i="21"/>
  <c r="W1613" i="21"/>
  <c r="X1613" i="21"/>
  <c r="Y1613" i="21"/>
  <c r="Z1613" i="21"/>
  <c r="AA1613" i="21" s="1"/>
  <c r="AC1613" i="21"/>
  <c r="AD1613" i="21"/>
  <c r="AE1613" i="21"/>
  <c r="AF1613" i="21"/>
  <c r="AG1613" i="21"/>
  <c r="AK1613" i="21" s="1"/>
  <c r="AL1613" i="21" s="1"/>
  <c r="AI1613" i="21"/>
  <c r="AJ1613" i="21"/>
  <c r="W1614" i="21"/>
  <c r="X1614" i="21"/>
  <c r="Y1614" i="21"/>
  <c r="Z1614" i="21"/>
  <c r="AA1614" i="21" s="1"/>
  <c r="AB1614" i="21" s="1"/>
  <c r="AC1614" i="21"/>
  <c r="AD1614" i="21"/>
  <c r="AE1614" i="21"/>
  <c r="AF1614" i="21"/>
  <c r="AG1614" i="21"/>
  <c r="AH1614" i="21" s="1"/>
  <c r="AI1614" i="21"/>
  <c r="AJ1614" i="21"/>
  <c r="W1615" i="21"/>
  <c r="X1615" i="21"/>
  <c r="Y1615" i="21"/>
  <c r="Z1615" i="21"/>
  <c r="AA1615" i="21"/>
  <c r="AB1615" i="21"/>
  <c r="AC1615" i="21"/>
  <c r="AD1615" i="21"/>
  <c r="AE1615" i="21"/>
  <c r="AF1615" i="21"/>
  <c r="AG1615" i="21" s="1"/>
  <c r="AI1615" i="21"/>
  <c r="AJ1615" i="21"/>
  <c r="W1616" i="21"/>
  <c r="X1616" i="21"/>
  <c r="Y1616" i="21"/>
  <c r="Z1616" i="21"/>
  <c r="AB1616" i="21" s="1"/>
  <c r="AA1616" i="21"/>
  <c r="AC1616" i="21"/>
  <c r="AD1616" i="21"/>
  <c r="AE1616" i="21"/>
  <c r="AF1616" i="21"/>
  <c r="AG1616" i="21"/>
  <c r="AK1616" i="21" s="1"/>
  <c r="AL1616" i="21" s="1"/>
  <c r="AM1616" i="21" s="1"/>
  <c r="AH1616" i="21"/>
  <c r="AI1616" i="21"/>
  <c r="AJ1616" i="21"/>
  <c r="W1617" i="21"/>
  <c r="X1617" i="21"/>
  <c r="Y1617" i="21"/>
  <c r="Z1617" i="21"/>
  <c r="AA1617" i="21" s="1"/>
  <c r="AC1617" i="21"/>
  <c r="AD1617" i="21"/>
  <c r="AE1617" i="21"/>
  <c r="AF1617" i="21"/>
  <c r="AG1617" i="21"/>
  <c r="AH1617" i="21"/>
  <c r="AI1617" i="21"/>
  <c r="AJ1617" i="21"/>
  <c r="AK1617" i="21"/>
  <c r="AL1617" i="21"/>
  <c r="AM1617" i="21" s="1"/>
  <c r="W1618" i="21"/>
  <c r="X1618" i="21"/>
  <c r="Y1618" i="21"/>
  <c r="Z1618" i="21"/>
  <c r="AA1618" i="21" s="1"/>
  <c r="AB1618" i="21" s="1"/>
  <c r="AC1618" i="21"/>
  <c r="AD1618" i="21"/>
  <c r="AE1618" i="21"/>
  <c r="AF1618" i="21"/>
  <c r="AG1618" i="21"/>
  <c r="AH1618" i="21" s="1"/>
  <c r="AI1618" i="21"/>
  <c r="AJ1618" i="21"/>
  <c r="W1619" i="21"/>
  <c r="X1619" i="21"/>
  <c r="Y1619" i="21"/>
  <c r="Z1619" i="21"/>
  <c r="AA1619" i="21"/>
  <c r="AB1619" i="21"/>
  <c r="AC1619" i="21"/>
  <c r="AD1619" i="21"/>
  <c r="AE1619" i="21"/>
  <c r="AF1619" i="21"/>
  <c r="AG1619" i="21" s="1"/>
  <c r="AI1619" i="21"/>
  <c r="AJ1619" i="21"/>
  <c r="W1620" i="21"/>
  <c r="X1620" i="21"/>
  <c r="Y1620" i="21"/>
  <c r="Z1620" i="21"/>
  <c r="AC1620" i="21"/>
  <c r="AD1620" i="21"/>
  <c r="AE1620" i="21"/>
  <c r="AF1620" i="21"/>
  <c r="AG1620" i="21" s="1"/>
  <c r="AI1620" i="21"/>
  <c r="AJ1620" i="21"/>
  <c r="W1621" i="21"/>
  <c r="X1621" i="21"/>
  <c r="Y1621" i="21"/>
  <c r="Z1621" i="21"/>
  <c r="AA1621" i="21" s="1"/>
  <c r="AC1621" i="21"/>
  <c r="AD1621" i="21"/>
  <c r="AE1621" i="21"/>
  <c r="AF1621" i="21"/>
  <c r="AG1621" i="21"/>
  <c r="AK1621" i="21" s="1"/>
  <c r="AL1621" i="21" s="1"/>
  <c r="AI1621" i="21"/>
  <c r="AJ1621" i="21"/>
  <c r="W1622" i="21"/>
  <c r="X1622" i="21"/>
  <c r="Y1622" i="21"/>
  <c r="Z1622" i="21"/>
  <c r="AA1622" i="21" s="1"/>
  <c r="AB1622" i="21" s="1"/>
  <c r="AC1622" i="21"/>
  <c r="AD1622" i="21"/>
  <c r="AE1622" i="21"/>
  <c r="AF1622" i="21"/>
  <c r="AG1622" i="21"/>
  <c r="AH1622" i="21" s="1"/>
  <c r="AI1622" i="21"/>
  <c r="AJ1622" i="21"/>
  <c r="W1623" i="21"/>
  <c r="X1623" i="21"/>
  <c r="Y1623" i="21"/>
  <c r="Z1623" i="21"/>
  <c r="AA1623" i="21"/>
  <c r="AB1623" i="21"/>
  <c r="AC1623" i="21"/>
  <c r="AD1623" i="21"/>
  <c r="AE1623" i="21"/>
  <c r="AF1623" i="21"/>
  <c r="AG1623" i="21" s="1"/>
  <c r="AI1623" i="21"/>
  <c r="AJ1623" i="21"/>
  <c r="W1624" i="21"/>
  <c r="X1624" i="21"/>
  <c r="Y1624" i="21"/>
  <c r="Z1624" i="21"/>
  <c r="AB1624" i="21" s="1"/>
  <c r="AA1624" i="21"/>
  <c r="AC1624" i="21"/>
  <c r="AD1624" i="21"/>
  <c r="AE1624" i="21"/>
  <c r="AF1624" i="21"/>
  <c r="AG1624" i="21"/>
  <c r="AK1624" i="21" s="1"/>
  <c r="AL1624" i="21" s="1"/>
  <c r="AM1624" i="21" s="1"/>
  <c r="AH1624" i="21"/>
  <c r="AI1624" i="21"/>
  <c r="AJ1624" i="21"/>
  <c r="W1625" i="21"/>
  <c r="X1625" i="21"/>
  <c r="Y1625" i="21"/>
  <c r="Z1625" i="21"/>
  <c r="AA1625" i="21" s="1"/>
  <c r="AC1625" i="21"/>
  <c r="AD1625" i="21"/>
  <c r="AE1625" i="21"/>
  <c r="AF1625" i="21"/>
  <c r="AG1625" i="21"/>
  <c r="AH1625" i="21"/>
  <c r="AI1625" i="21"/>
  <c r="AJ1625" i="21"/>
  <c r="AK1625" i="21"/>
  <c r="AL1625" i="21"/>
  <c r="AM1625" i="21" s="1"/>
  <c r="W1626" i="21"/>
  <c r="X1626" i="21"/>
  <c r="Y1626" i="21"/>
  <c r="Z1626" i="21"/>
  <c r="AA1626" i="21" s="1"/>
  <c r="AB1626" i="21" s="1"/>
  <c r="AC1626" i="21"/>
  <c r="AD1626" i="21"/>
  <c r="AE1626" i="21"/>
  <c r="AF1626" i="21"/>
  <c r="AG1626" i="21"/>
  <c r="AH1626" i="21" s="1"/>
  <c r="AI1626" i="21"/>
  <c r="AJ1626" i="21"/>
  <c r="W1627" i="21"/>
  <c r="X1627" i="21"/>
  <c r="Y1627" i="21"/>
  <c r="Z1627" i="21"/>
  <c r="AA1627" i="21"/>
  <c r="AB1627" i="21"/>
  <c r="AC1627" i="21"/>
  <c r="AD1627" i="21"/>
  <c r="AE1627" i="21"/>
  <c r="AF1627" i="21"/>
  <c r="AG1627" i="21" s="1"/>
  <c r="AI1627" i="21"/>
  <c r="AJ1627" i="21"/>
  <c r="W1628" i="21"/>
  <c r="X1628" i="21"/>
  <c r="Y1628" i="21"/>
  <c r="Z1628" i="21"/>
  <c r="AC1628" i="21"/>
  <c r="AD1628" i="21"/>
  <c r="AE1628" i="21"/>
  <c r="AF1628" i="21"/>
  <c r="AG1628" i="21" s="1"/>
  <c r="AI1628" i="21"/>
  <c r="AJ1628" i="21"/>
  <c r="W1629" i="21"/>
  <c r="X1629" i="21"/>
  <c r="Y1629" i="21"/>
  <c r="Z1629" i="21"/>
  <c r="AA1629" i="21" s="1"/>
  <c r="AC1629" i="21"/>
  <c r="AD1629" i="21"/>
  <c r="AE1629" i="21"/>
  <c r="AF1629" i="21"/>
  <c r="AG1629" i="21"/>
  <c r="AK1629" i="21" s="1"/>
  <c r="AL1629" i="21" s="1"/>
  <c r="AI1629" i="21"/>
  <c r="AJ1629" i="21"/>
  <c r="W1630" i="21"/>
  <c r="X1630" i="21"/>
  <c r="Y1630" i="21"/>
  <c r="Z1630" i="21"/>
  <c r="AA1630" i="21" s="1"/>
  <c r="AB1630" i="21" s="1"/>
  <c r="AC1630" i="21"/>
  <c r="AD1630" i="21"/>
  <c r="AE1630" i="21"/>
  <c r="AF1630" i="21"/>
  <c r="AG1630" i="21"/>
  <c r="AH1630" i="21" s="1"/>
  <c r="AI1630" i="21"/>
  <c r="AJ1630" i="21"/>
  <c r="W1631" i="21"/>
  <c r="X1631" i="21"/>
  <c r="Y1631" i="21"/>
  <c r="Z1631" i="21"/>
  <c r="AA1631" i="21"/>
  <c r="AB1631" i="21"/>
  <c r="AC1631" i="21"/>
  <c r="AD1631" i="21"/>
  <c r="AE1631" i="21"/>
  <c r="AF1631" i="21"/>
  <c r="AG1631" i="21" s="1"/>
  <c r="AI1631" i="21"/>
  <c r="AJ1631" i="21"/>
  <c r="W1632" i="21"/>
  <c r="X1632" i="21"/>
  <c r="Y1632" i="21"/>
  <c r="Z1632" i="21"/>
  <c r="AB1632" i="21" s="1"/>
  <c r="AA1632" i="21"/>
  <c r="AC1632" i="21"/>
  <c r="AD1632" i="21"/>
  <c r="AE1632" i="21"/>
  <c r="AF1632" i="21"/>
  <c r="AG1632" i="21"/>
  <c r="AK1632" i="21" s="1"/>
  <c r="AL1632" i="21" s="1"/>
  <c r="AM1632" i="21" s="1"/>
  <c r="AH1632" i="21"/>
  <c r="AI1632" i="21"/>
  <c r="AJ1632" i="21"/>
  <c r="W1633" i="21"/>
  <c r="X1633" i="21"/>
  <c r="Y1633" i="21"/>
  <c r="Z1633" i="21"/>
  <c r="AA1633" i="21" s="1"/>
  <c r="AC1633" i="21"/>
  <c r="AD1633" i="21"/>
  <c r="AE1633" i="21"/>
  <c r="AF1633" i="21"/>
  <c r="AG1633" i="21"/>
  <c r="AH1633" i="21"/>
  <c r="AI1633" i="21"/>
  <c r="AJ1633" i="21"/>
  <c r="AK1633" i="21"/>
  <c r="AL1633" i="21"/>
  <c r="AM1633" i="21" s="1"/>
  <c r="W1634" i="21"/>
  <c r="X1634" i="21"/>
  <c r="Y1634" i="21"/>
  <c r="Z1634" i="21"/>
  <c r="AA1634" i="21" s="1"/>
  <c r="AB1634" i="21" s="1"/>
  <c r="AC1634" i="21"/>
  <c r="AD1634" i="21"/>
  <c r="AE1634" i="21"/>
  <c r="AF1634" i="21"/>
  <c r="AG1634" i="21"/>
  <c r="AH1634" i="21" s="1"/>
  <c r="AI1634" i="21"/>
  <c r="AJ1634" i="21"/>
  <c r="W1635" i="21"/>
  <c r="X1635" i="21"/>
  <c r="Y1635" i="21"/>
  <c r="Z1635" i="21"/>
  <c r="AA1635" i="21"/>
  <c r="AB1635" i="21"/>
  <c r="AC1635" i="21"/>
  <c r="AD1635" i="21"/>
  <c r="AE1635" i="21"/>
  <c r="AF1635" i="21"/>
  <c r="AG1635" i="21" s="1"/>
  <c r="AI1635" i="21"/>
  <c r="AJ1635" i="21"/>
  <c r="W1636" i="21"/>
  <c r="X1636" i="21"/>
  <c r="Y1636" i="21"/>
  <c r="Z1636" i="21"/>
  <c r="AC1636" i="21"/>
  <c r="AD1636" i="21"/>
  <c r="AE1636" i="21"/>
  <c r="AF1636" i="21"/>
  <c r="AG1636" i="21" s="1"/>
  <c r="AI1636" i="21"/>
  <c r="AJ1636" i="21"/>
  <c r="W1637" i="21"/>
  <c r="X1637" i="21"/>
  <c r="Y1637" i="21"/>
  <c r="Z1637" i="21"/>
  <c r="AA1637" i="21" s="1"/>
  <c r="AC1637" i="21"/>
  <c r="AD1637" i="21"/>
  <c r="AE1637" i="21"/>
  <c r="AF1637" i="21"/>
  <c r="AG1637" i="21"/>
  <c r="AK1637" i="21" s="1"/>
  <c r="AL1637" i="21" s="1"/>
  <c r="AM1637" i="21" s="1"/>
  <c r="AH1637" i="21"/>
  <c r="AI1637" i="21"/>
  <c r="AJ1637" i="21"/>
  <c r="W1638" i="21"/>
  <c r="X1638" i="21"/>
  <c r="Y1638" i="21"/>
  <c r="Z1638" i="21"/>
  <c r="AA1638" i="21" s="1"/>
  <c r="AB1638" i="21" s="1"/>
  <c r="AC1638" i="21"/>
  <c r="AD1638" i="21"/>
  <c r="AE1638" i="21"/>
  <c r="AF1638" i="21"/>
  <c r="AG1638" i="21"/>
  <c r="AH1638" i="21" s="1"/>
  <c r="AI1638" i="21"/>
  <c r="AJ1638" i="21"/>
  <c r="W1639" i="21"/>
  <c r="X1639" i="21"/>
  <c r="Y1639" i="21"/>
  <c r="Z1639" i="21"/>
  <c r="AA1639" i="21"/>
  <c r="AB1639" i="21"/>
  <c r="AC1639" i="21"/>
  <c r="AD1639" i="21"/>
  <c r="AE1639" i="21"/>
  <c r="AF1639" i="21"/>
  <c r="AG1639" i="21" s="1"/>
  <c r="AI1639" i="21"/>
  <c r="AJ1639" i="21"/>
  <c r="W1640" i="21"/>
  <c r="X1640" i="21"/>
  <c r="Y1640" i="21"/>
  <c r="Z1640" i="21"/>
  <c r="AB1640" i="21" s="1"/>
  <c r="AA1640" i="21"/>
  <c r="AC1640" i="21"/>
  <c r="AD1640" i="21"/>
  <c r="AE1640" i="21"/>
  <c r="AF1640" i="21"/>
  <c r="AG1640" i="21"/>
  <c r="AK1640" i="21" s="1"/>
  <c r="AL1640" i="21" s="1"/>
  <c r="AM1640" i="21" s="1"/>
  <c r="AH1640" i="21"/>
  <c r="AI1640" i="21"/>
  <c r="AJ1640" i="21"/>
  <c r="W1641" i="21"/>
  <c r="X1641" i="21"/>
  <c r="Y1641" i="21"/>
  <c r="Z1641" i="21"/>
  <c r="AA1641" i="21" s="1"/>
  <c r="AC1641" i="21"/>
  <c r="AD1641" i="21"/>
  <c r="AE1641" i="21"/>
  <c r="AF1641" i="21"/>
  <c r="AG1641" i="21"/>
  <c r="AH1641" i="21"/>
  <c r="AI1641" i="21"/>
  <c r="AJ1641" i="21"/>
  <c r="AK1641" i="21"/>
  <c r="AL1641" i="21"/>
  <c r="AM1641" i="21" s="1"/>
  <c r="N5" i="21"/>
  <c r="N6" i="21"/>
  <c r="N7" i="21"/>
  <c r="N8" i="21"/>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N36" i="21"/>
  <c r="N37" i="21"/>
  <c r="N38" i="21"/>
  <c r="N39" i="21"/>
  <c r="N40" i="21"/>
  <c r="N41" i="21"/>
  <c r="N42" i="21"/>
  <c r="N43" i="21"/>
  <c r="N44" i="21"/>
  <c r="N45" i="21"/>
  <c r="N46" i="21"/>
  <c r="N47" i="21"/>
  <c r="N48" i="21"/>
  <c r="N49" i="21"/>
  <c r="N50" i="21"/>
  <c r="N51" i="21"/>
  <c r="N52" i="21"/>
  <c r="N53" i="21"/>
  <c r="N54" i="21"/>
  <c r="N55" i="21"/>
  <c r="N56" i="21"/>
  <c r="N57" i="21"/>
  <c r="N58" i="21"/>
  <c r="N59" i="21"/>
  <c r="N60" i="21"/>
  <c r="N61" i="21"/>
  <c r="N62" i="21"/>
  <c r="N63" i="21"/>
  <c r="N64"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93" i="21"/>
  <c r="N94" i="21"/>
  <c r="N95" i="21"/>
  <c r="N96" i="21"/>
  <c r="N97" i="21"/>
  <c r="N98" i="21"/>
  <c r="N99" i="21"/>
  <c r="N100" i="21"/>
  <c r="N101" i="21"/>
  <c r="N102" i="21"/>
  <c r="N103" i="21"/>
  <c r="N104" i="21"/>
  <c r="N105" i="21"/>
  <c r="N106" i="21"/>
  <c r="N107" i="21"/>
  <c r="N10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143" i="21"/>
  <c r="N144" i="21"/>
  <c r="N145" i="21"/>
  <c r="N146" i="21"/>
  <c r="N147" i="21"/>
  <c r="N148" i="21"/>
  <c r="N149" i="21"/>
  <c r="N150" i="21"/>
  <c r="N151" i="21"/>
  <c r="N152" i="21"/>
  <c r="N153" i="21"/>
  <c r="N154" i="21"/>
  <c r="N155" i="21"/>
  <c r="N156" i="21"/>
  <c r="N157" i="21"/>
  <c r="N158" i="21"/>
  <c r="N159" i="21"/>
  <c r="N160" i="21"/>
  <c r="N161" i="21"/>
  <c r="N162" i="21"/>
  <c r="N163" i="21"/>
  <c r="N164" i="21"/>
  <c r="N165"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190" i="21"/>
  <c r="N191" i="21"/>
  <c r="N192" i="21"/>
  <c r="N193" i="21"/>
  <c r="N194" i="21"/>
  <c r="N195" i="21"/>
  <c r="N196" i="21"/>
  <c r="N197" i="21"/>
  <c r="N198" i="21"/>
  <c r="N199" i="21"/>
  <c r="N200" i="21"/>
  <c r="N201" i="21"/>
  <c r="N202" i="21"/>
  <c r="N203" i="21"/>
  <c r="N204" i="21"/>
  <c r="N205" i="21"/>
  <c r="N206" i="21"/>
  <c r="N207" i="21"/>
  <c r="N208" i="21"/>
  <c r="N209" i="21"/>
  <c r="N210" i="21"/>
  <c r="N211" i="21"/>
  <c r="N212" i="21"/>
  <c r="N213" i="21"/>
  <c r="N214" i="21"/>
  <c r="N215" i="21"/>
  <c r="N216" i="21"/>
  <c r="N217" i="21"/>
  <c r="N218" i="21"/>
  <c r="N219" i="21"/>
  <c r="N220" i="21"/>
  <c r="N221" i="21"/>
  <c r="N222" i="21"/>
  <c r="N223" i="21"/>
  <c r="N224" i="21"/>
  <c r="N225" i="21"/>
  <c r="N226" i="21"/>
  <c r="N227"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253" i="21"/>
  <c r="N254"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5" i="21"/>
  <c r="N286" i="21"/>
  <c r="N287" i="21"/>
  <c r="N288" i="21"/>
  <c r="N289" i="21"/>
  <c r="N290" i="21"/>
  <c r="N291" i="21"/>
  <c r="N292" i="21"/>
  <c r="N293" i="21"/>
  <c r="N294" i="21"/>
  <c r="N295" i="21"/>
  <c r="N296" i="21"/>
  <c r="N297" i="21"/>
  <c r="N298" i="21"/>
  <c r="N299" i="21"/>
  <c r="N300" i="21"/>
  <c r="N301" i="21"/>
  <c r="N302" i="21"/>
  <c r="N303" i="21"/>
  <c r="N304" i="21"/>
  <c r="N305" i="21"/>
  <c r="N306" i="21"/>
  <c r="N307" i="21"/>
  <c r="N308" i="21"/>
  <c r="N309" i="21"/>
  <c r="N310" i="21"/>
  <c r="N311" i="21"/>
  <c r="N312" i="21"/>
  <c r="N313" i="21"/>
  <c r="N314" i="21"/>
  <c r="N315" i="21"/>
  <c r="N316" i="21"/>
  <c r="N317" i="21"/>
  <c r="N318" i="21"/>
  <c r="N319" i="21"/>
  <c r="N320" i="21"/>
  <c r="N321" i="21"/>
  <c r="N322" i="21"/>
  <c r="N323" i="21"/>
  <c r="N324" i="21"/>
  <c r="N325" i="21"/>
  <c r="N326" i="21"/>
  <c r="N327" i="21"/>
  <c r="N328" i="21"/>
  <c r="N329" i="21"/>
  <c r="N330" i="21"/>
  <c r="N331" i="21"/>
  <c r="N332" i="21"/>
  <c r="N333" i="21"/>
  <c r="N334" i="21"/>
  <c r="N335" i="21"/>
  <c r="N336" i="21"/>
  <c r="N337" i="21"/>
  <c r="N338" i="21"/>
  <c r="N339" i="21"/>
  <c r="N340" i="21"/>
  <c r="N341" i="21"/>
  <c r="N342" i="21"/>
  <c r="N343" i="21"/>
  <c r="N344" i="21"/>
  <c r="N345" i="21"/>
  <c r="N346"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0" i="21"/>
  <c r="N371" i="21"/>
  <c r="N372" i="21"/>
  <c r="N373" i="21"/>
  <c r="N374" i="21"/>
  <c r="N375" i="21"/>
  <c r="N376" i="21"/>
  <c r="N377" i="21"/>
  <c r="N378" i="21"/>
  <c r="N379" i="21"/>
  <c r="N380" i="21"/>
  <c r="N381" i="21"/>
  <c r="N382" i="21"/>
  <c r="N383" i="21"/>
  <c r="N384" i="21"/>
  <c r="N385" i="21"/>
  <c r="N386" i="21"/>
  <c r="N387" i="21"/>
  <c r="N388" i="21"/>
  <c r="N389" i="21"/>
  <c r="N390" i="21"/>
  <c r="N391" i="21"/>
  <c r="N392" i="21"/>
  <c r="N393" i="21"/>
  <c r="N394" i="21"/>
  <c r="N395" i="21"/>
  <c r="N396" i="21"/>
  <c r="N397" i="21"/>
  <c r="N398" i="21"/>
  <c r="N399" i="21"/>
  <c r="N400" i="21"/>
  <c r="N401" i="21"/>
  <c r="N402" i="21"/>
  <c r="N403" i="21"/>
  <c r="N404" i="21"/>
  <c r="N405" i="21"/>
  <c r="N406" i="21"/>
  <c r="N407" i="21"/>
  <c r="N408" i="21"/>
  <c r="N409" i="21"/>
  <c r="N410" i="21"/>
  <c r="N411" i="21"/>
  <c r="N412" i="21"/>
  <c r="N413" i="21"/>
  <c r="N414" i="21"/>
  <c r="N415" i="21"/>
  <c r="N416" i="21"/>
  <c r="N417" i="21"/>
  <c r="N418" i="21"/>
  <c r="N419" i="21"/>
  <c r="N420" i="21"/>
  <c r="N421" i="21"/>
  <c r="N422" i="21"/>
  <c r="N423" i="21"/>
  <c r="N424" i="21"/>
  <c r="N425" i="21"/>
  <c r="N426" i="21"/>
  <c r="N427" i="21"/>
  <c r="N428" i="21"/>
  <c r="N429" i="21"/>
  <c r="N430" i="21"/>
  <c r="N431" i="21"/>
  <c r="N432" i="21"/>
  <c r="N433" i="21"/>
  <c r="N434" i="21"/>
  <c r="N435" i="21"/>
  <c r="N436" i="21"/>
  <c r="N437" i="21"/>
  <c r="N438" i="21"/>
  <c r="N439" i="21"/>
  <c r="N440" i="21"/>
  <c r="N441" i="21"/>
  <c r="N442"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1" i="21"/>
  <c r="N472" i="21"/>
  <c r="N473" i="21"/>
  <c r="N474" i="21"/>
  <c r="N475" i="21"/>
  <c r="N476" i="21"/>
  <c r="N477" i="21"/>
  <c r="N478" i="21"/>
  <c r="N479" i="21"/>
  <c r="N480" i="21"/>
  <c r="N481" i="21"/>
  <c r="N482" i="21"/>
  <c r="N483" i="21"/>
  <c r="N484" i="21"/>
  <c r="N485" i="21"/>
  <c r="N486" i="21"/>
  <c r="N487" i="21"/>
  <c r="N488" i="21"/>
  <c r="N489" i="21"/>
  <c r="N490" i="21"/>
  <c r="N491" i="21"/>
  <c r="N492" i="21"/>
  <c r="N493" i="21"/>
  <c r="N494" i="21"/>
  <c r="N495" i="21"/>
  <c r="N496" i="21"/>
  <c r="N497" i="21"/>
  <c r="N498" i="21"/>
  <c r="N499" i="21"/>
  <c r="N500" i="21"/>
  <c r="N501" i="21"/>
  <c r="N502" i="21"/>
  <c r="N503" i="21"/>
  <c r="N504" i="21"/>
  <c r="N505" i="21"/>
  <c r="N506" i="21"/>
  <c r="N507" i="21"/>
  <c r="N508" i="21"/>
  <c r="N509" i="21"/>
  <c r="N510" i="21"/>
  <c r="N511" i="21"/>
  <c r="N512" i="21"/>
  <c r="N513" i="21"/>
  <c r="N514" i="21"/>
  <c r="N515" i="21"/>
  <c r="N516" i="21"/>
  <c r="N517" i="21"/>
  <c r="N518" i="21"/>
  <c r="N519" i="21"/>
  <c r="N520" i="21"/>
  <c r="N521" i="21"/>
  <c r="N522" i="21"/>
  <c r="N523" i="21"/>
  <c r="N524" i="21"/>
  <c r="N525" i="21"/>
  <c r="N526" i="21"/>
  <c r="N527" i="21"/>
  <c r="N528" i="21"/>
  <c r="N529" i="21"/>
  <c r="N530" i="21"/>
  <c r="N531" i="21"/>
  <c r="N532" i="21"/>
  <c r="N533" i="21"/>
  <c r="N534" i="21"/>
  <c r="N535" i="21"/>
  <c r="N536" i="21"/>
  <c r="N537" i="21"/>
  <c r="N538" i="21"/>
  <c r="N539" i="21"/>
  <c r="N540" i="21"/>
  <c r="N541" i="21"/>
  <c r="N542" i="21"/>
  <c r="N543" i="21"/>
  <c r="N544"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571" i="21"/>
  <c r="N572" i="21"/>
  <c r="N573" i="21"/>
  <c r="N574" i="21"/>
  <c r="N575" i="21"/>
  <c r="N576" i="21"/>
  <c r="N577" i="21"/>
  <c r="N578" i="21"/>
  <c r="N579" i="21"/>
  <c r="N580"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608" i="21"/>
  <c r="N609"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6"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662" i="21"/>
  <c r="N663" i="21"/>
  <c r="N664" i="21"/>
  <c r="N665" i="21"/>
  <c r="N666" i="21"/>
  <c r="N667" i="21"/>
  <c r="N668"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2" i="21"/>
  <c r="N693" i="21"/>
  <c r="N694" i="21"/>
  <c r="N695" i="21"/>
  <c r="N696" i="21"/>
  <c r="N697" i="21"/>
  <c r="N698" i="21"/>
  <c r="N699" i="21"/>
  <c r="N700" i="21"/>
  <c r="N701" i="21"/>
  <c r="N702" i="21"/>
  <c r="N703" i="21"/>
  <c r="N704" i="21"/>
  <c r="N705" i="21"/>
  <c r="N706" i="21"/>
  <c r="N707" i="21"/>
  <c r="N708" i="21"/>
  <c r="N709" i="21"/>
  <c r="N710" i="21"/>
  <c r="N711" i="21"/>
  <c r="N712" i="21"/>
  <c r="N713" i="21"/>
  <c r="N714" i="21"/>
  <c r="N715" i="21"/>
  <c r="N716" i="21"/>
  <c r="N717" i="21"/>
  <c r="N718" i="21"/>
  <c r="N719" i="21"/>
  <c r="N720" i="21"/>
  <c r="N721" i="21"/>
  <c r="N722" i="21"/>
  <c r="N723" i="21"/>
  <c r="N724" i="21"/>
  <c r="N725" i="21"/>
  <c r="N726" i="21"/>
  <c r="N727" i="21"/>
  <c r="N728" i="21"/>
  <c r="N729" i="21"/>
  <c r="N730" i="21"/>
  <c r="N731" i="21"/>
  <c r="N732" i="21"/>
  <c r="N733" i="21"/>
  <c r="N734" i="21"/>
  <c r="N735" i="21"/>
  <c r="N736" i="21"/>
  <c r="N737" i="21"/>
  <c r="N738" i="21"/>
  <c r="N739" i="21"/>
  <c r="N740" i="21"/>
  <c r="N741" i="21"/>
  <c r="N742" i="21"/>
  <c r="N743" i="21"/>
  <c r="N744" i="21"/>
  <c r="N745" i="21"/>
  <c r="N746" i="21"/>
  <c r="N747" i="21"/>
  <c r="N748" i="21"/>
  <c r="N749" i="21"/>
  <c r="N750" i="21"/>
  <c r="N751" i="21"/>
  <c r="N752" i="21"/>
  <c r="N753" i="21"/>
  <c r="N754" i="21"/>
  <c r="N755" i="21"/>
  <c r="N756" i="21"/>
  <c r="N757" i="21"/>
  <c r="N758" i="21"/>
  <c r="N759" i="21"/>
  <c r="N760" i="21"/>
  <c r="N761" i="21"/>
  <c r="N762" i="21"/>
  <c r="N763" i="21"/>
  <c r="N764" i="21"/>
  <c r="N765" i="21"/>
  <c r="N766" i="21"/>
  <c r="N767" i="21"/>
  <c r="N768" i="21"/>
  <c r="N769" i="21"/>
  <c r="N770" i="21"/>
  <c r="N771" i="21"/>
  <c r="N772" i="21"/>
  <c r="N773" i="21"/>
  <c r="N774" i="21"/>
  <c r="N775" i="21"/>
  <c r="N776" i="21"/>
  <c r="N777" i="21"/>
  <c r="N778" i="21"/>
  <c r="N779" i="21"/>
  <c r="N780" i="21"/>
  <c r="N781" i="21"/>
  <c r="N782" i="21"/>
  <c r="N783" i="21"/>
  <c r="N784" i="21"/>
  <c r="N785" i="21"/>
  <c r="N786" i="21"/>
  <c r="N787" i="21"/>
  <c r="N788" i="21"/>
  <c r="N789" i="21"/>
  <c r="N790" i="21"/>
  <c r="N791" i="21"/>
  <c r="N792" i="21"/>
  <c r="N793" i="21"/>
  <c r="N794" i="21"/>
  <c r="N795" i="21"/>
  <c r="N796" i="21"/>
  <c r="N797" i="21"/>
  <c r="N798" i="21"/>
  <c r="N799" i="21"/>
  <c r="N800" i="21"/>
  <c r="N801" i="21"/>
  <c r="N802" i="21"/>
  <c r="N803" i="21"/>
  <c r="N804" i="21"/>
  <c r="N805" i="21"/>
  <c r="N806" i="21"/>
  <c r="N807" i="21"/>
  <c r="N808" i="21"/>
  <c r="N809" i="21"/>
  <c r="N810" i="21"/>
  <c r="N811" i="21"/>
  <c r="N812" i="21"/>
  <c r="N813" i="21"/>
  <c r="N814" i="21"/>
  <c r="N815" i="21"/>
  <c r="N816" i="21"/>
  <c r="N817" i="21"/>
  <c r="N818" i="21"/>
  <c r="N819" i="21"/>
  <c r="N820" i="21"/>
  <c r="N821" i="21"/>
  <c r="N822" i="21"/>
  <c r="N823" i="21"/>
  <c r="N824" i="21"/>
  <c r="N825" i="21"/>
  <c r="N826" i="21"/>
  <c r="N827" i="21"/>
  <c r="N828" i="21"/>
  <c r="N829" i="21"/>
  <c r="N830" i="21"/>
  <c r="N831" i="21"/>
  <c r="N832" i="21"/>
  <c r="N833" i="21"/>
  <c r="N834" i="21"/>
  <c r="N835" i="21"/>
  <c r="N836" i="21"/>
  <c r="N837" i="21"/>
  <c r="N838" i="21"/>
  <c r="N839" i="21"/>
  <c r="N840" i="21"/>
  <c r="N841" i="21"/>
  <c r="N842" i="21"/>
  <c r="N843" i="21"/>
  <c r="N844" i="21"/>
  <c r="N845" i="21"/>
  <c r="N846" i="21"/>
  <c r="N847" i="21"/>
  <c r="N848" i="21"/>
  <c r="N849" i="21"/>
  <c r="N850" i="21"/>
  <c r="N851" i="21"/>
  <c r="N852" i="21"/>
  <c r="N853" i="21"/>
  <c r="N854" i="21"/>
  <c r="N855" i="21"/>
  <c r="N856" i="21"/>
  <c r="N857" i="21"/>
  <c r="N858" i="21"/>
  <c r="N859" i="21"/>
  <c r="N860" i="21"/>
  <c r="N861" i="21"/>
  <c r="N862" i="21"/>
  <c r="N863" i="21"/>
  <c r="N864" i="21"/>
  <c r="N865" i="21"/>
  <c r="N866" i="21"/>
  <c r="N867" i="21"/>
  <c r="N868" i="21"/>
  <c r="N869" i="21"/>
  <c r="N870" i="21"/>
  <c r="N871" i="21"/>
  <c r="N872" i="21"/>
  <c r="N873" i="21"/>
  <c r="N874" i="21"/>
  <c r="N875" i="21"/>
  <c r="N876" i="21"/>
  <c r="N877" i="21"/>
  <c r="N878" i="21"/>
  <c r="N879" i="21"/>
  <c r="N880" i="21"/>
  <c r="N881" i="21"/>
  <c r="N882" i="21"/>
  <c r="N883" i="21"/>
  <c r="N884" i="21"/>
  <c r="N885" i="21"/>
  <c r="N886" i="21"/>
  <c r="N887" i="21"/>
  <c r="N888" i="21"/>
  <c r="N889" i="21"/>
  <c r="N890" i="21"/>
  <c r="N891" i="21"/>
  <c r="N892" i="21"/>
  <c r="N893" i="21"/>
  <c r="N894" i="21"/>
  <c r="N895" i="21"/>
  <c r="N896" i="21"/>
  <c r="N897" i="21"/>
  <c r="N898" i="21"/>
  <c r="N899" i="21"/>
  <c r="N900" i="21"/>
  <c r="N901" i="21"/>
  <c r="N902" i="21"/>
  <c r="N903" i="21"/>
  <c r="N904" i="21"/>
  <c r="N905" i="21"/>
  <c r="N906" i="21"/>
  <c r="N907" i="21"/>
  <c r="N908" i="21"/>
  <c r="N909" i="21"/>
  <c r="N910" i="21"/>
  <c r="N911" i="21"/>
  <c r="N912" i="21"/>
  <c r="N913" i="21"/>
  <c r="N914" i="21"/>
  <c r="N915" i="21"/>
  <c r="N916" i="21"/>
  <c r="N917" i="21"/>
  <c r="N918" i="21"/>
  <c r="N919" i="21"/>
  <c r="N920" i="21"/>
  <c r="N921" i="21"/>
  <c r="N922" i="21"/>
  <c r="N923" i="21"/>
  <c r="N924" i="21"/>
  <c r="N925" i="21"/>
  <c r="N926" i="21"/>
  <c r="N927" i="21"/>
  <c r="N928" i="21"/>
  <c r="N929" i="21"/>
  <c r="N930" i="21"/>
  <c r="N931" i="21"/>
  <c r="N932" i="21"/>
  <c r="N933" i="21"/>
  <c r="N934" i="21"/>
  <c r="N935" i="21"/>
  <c r="N936" i="21"/>
  <c r="N937" i="21"/>
  <c r="N938" i="21"/>
  <c r="N939" i="21"/>
  <c r="N940" i="21"/>
  <c r="N941" i="21"/>
  <c r="N942" i="21"/>
  <c r="N943" i="21"/>
  <c r="N944" i="21"/>
  <c r="N945" i="21"/>
  <c r="N946" i="21"/>
  <c r="N947" i="21"/>
  <c r="N948" i="21"/>
  <c r="N949" i="21"/>
  <c r="N950" i="21"/>
  <c r="N951" i="21"/>
  <c r="N952" i="21"/>
  <c r="N953" i="21"/>
  <c r="N954" i="21"/>
  <c r="N955" i="21"/>
  <c r="N956" i="21"/>
  <c r="N957" i="21"/>
  <c r="N958" i="21"/>
  <c r="N959" i="21"/>
  <c r="N960" i="21"/>
  <c r="N961" i="21"/>
  <c r="N962" i="21"/>
  <c r="N963" i="21"/>
  <c r="N964" i="21"/>
  <c r="N965" i="21"/>
  <c r="N966" i="21"/>
  <c r="N967" i="21"/>
  <c r="N968" i="21"/>
  <c r="N969" i="21"/>
  <c r="N970" i="21"/>
  <c r="N971" i="21"/>
  <c r="N972" i="21"/>
  <c r="N973" i="21"/>
  <c r="N974" i="21"/>
  <c r="N975" i="21"/>
  <c r="N976" i="21"/>
  <c r="N977" i="21"/>
  <c r="N978" i="21"/>
  <c r="N979" i="21"/>
  <c r="N980" i="21"/>
  <c r="N981" i="21"/>
  <c r="N982" i="21"/>
  <c r="N983" i="21"/>
  <c r="N984" i="21"/>
  <c r="N985" i="21"/>
  <c r="N986" i="21"/>
  <c r="N987" i="21"/>
  <c r="N988" i="21"/>
  <c r="N989" i="21"/>
  <c r="N990" i="21"/>
  <c r="N991" i="21"/>
  <c r="N992" i="21"/>
  <c r="N993" i="21"/>
  <c r="N994" i="21"/>
  <c r="N995" i="21"/>
  <c r="N996" i="21"/>
  <c r="N997" i="21"/>
  <c r="N998" i="21"/>
  <c r="N999" i="21"/>
  <c r="N1000" i="21"/>
  <c r="N1001" i="21"/>
  <c r="N1002" i="21"/>
  <c r="N1003" i="21"/>
  <c r="N1004" i="21"/>
  <c r="N1005" i="21"/>
  <c r="N1006" i="21"/>
  <c r="N1007" i="21"/>
  <c r="N1008" i="21"/>
  <c r="N1009" i="21"/>
  <c r="N1010" i="21"/>
  <c r="N1011" i="21"/>
  <c r="N1012" i="21"/>
  <c r="N1013" i="21"/>
  <c r="N1014" i="21"/>
  <c r="N1015" i="21"/>
  <c r="N1016" i="21"/>
  <c r="N1017" i="21"/>
  <c r="N1018" i="21"/>
  <c r="N1019" i="21"/>
  <c r="N1020" i="21"/>
  <c r="N1021" i="21"/>
  <c r="N1022" i="21"/>
  <c r="N1023" i="21"/>
  <c r="N1024" i="21"/>
  <c r="N1025" i="21"/>
  <c r="N1026" i="21"/>
  <c r="N1027" i="21"/>
  <c r="N1028" i="21"/>
  <c r="N1029" i="21"/>
  <c r="N1030" i="21"/>
  <c r="N1031" i="21"/>
  <c r="N1032" i="21"/>
  <c r="N1033" i="21"/>
  <c r="N1034" i="21"/>
  <c r="N1035" i="21"/>
  <c r="N1036" i="21"/>
  <c r="N1037" i="21"/>
  <c r="N1038" i="21"/>
  <c r="N1039" i="21"/>
  <c r="N1040" i="21"/>
  <c r="N1041" i="21"/>
  <c r="N1042" i="21"/>
  <c r="N1043" i="21"/>
  <c r="N1044" i="21"/>
  <c r="N1045" i="21"/>
  <c r="N1046" i="21"/>
  <c r="N1047" i="21"/>
  <c r="N1048" i="21"/>
  <c r="N1049" i="21"/>
  <c r="N1050" i="21"/>
  <c r="N1051" i="21"/>
  <c r="N1052" i="21"/>
  <c r="N1053" i="21"/>
  <c r="N1054" i="21"/>
  <c r="N1055" i="21"/>
  <c r="N1056" i="21"/>
  <c r="N1057" i="21"/>
  <c r="N1058" i="21"/>
  <c r="N1059" i="21"/>
  <c r="N1060" i="21"/>
  <c r="N1061" i="21"/>
  <c r="N1062" i="21"/>
  <c r="N1063" i="21"/>
  <c r="N1064" i="21"/>
  <c r="N1065" i="21"/>
  <c r="N1066" i="21"/>
  <c r="N1067" i="21"/>
  <c r="N1068" i="21"/>
  <c r="N1069" i="21"/>
  <c r="N1070" i="21"/>
  <c r="N1071" i="21"/>
  <c r="N1072" i="21"/>
  <c r="N1073" i="21"/>
  <c r="N1074" i="21"/>
  <c r="N1075" i="21"/>
  <c r="N1076" i="21"/>
  <c r="N1077" i="21"/>
  <c r="N1078" i="21"/>
  <c r="N1079" i="21"/>
  <c r="N1080" i="21"/>
  <c r="N1081" i="21"/>
  <c r="N1082" i="21"/>
  <c r="N1083" i="21"/>
  <c r="N1084" i="21"/>
  <c r="N1085" i="21"/>
  <c r="N1086" i="21"/>
  <c r="N1087" i="21"/>
  <c r="N1088" i="21"/>
  <c r="N1089" i="21"/>
  <c r="N1090" i="21"/>
  <c r="N1091" i="21"/>
  <c r="N1092" i="21"/>
  <c r="N1093" i="21"/>
  <c r="N1094" i="21"/>
  <c r="N1095" i="21"/>
  <c r="N1096" i="21"/>
  <c r="N1097" i="21"/>
  <c r="N1098" i="21"/>
  <c r="N1099" i="21"/>
  <c r="N1100" i="21"/>
  <c r="N1101" i="21"/>
  <c r="N1102" i="21"/>
  <c r="N1103" i="21"/>
  <c r="N1104" i="21"/>
  <c r="N1105" i="21"/>
  <c r="N1106" i="21"/>
  <c r="N1107" i="21"/>
  <c r="N1108" i="21"/>
  <c r="N1109" i="21"/>
  <c r="N1110" i="21"/>
  <c r="N1111" i="21"/>
  <c r="N1112" i="21"/>
  <c r="N1113" i="21"/>
  <c r="N1114" i="21"/>
  <c r="N1115" i="21"/>
  <c r="N1116" i="21"/>
  <c r="N1117" i="21"/>
  <c r="N1118" i="21"/>
  <c r="N1119" i="21"/>
  <c r="N1120" i="21"/>
  <c r="N1121" i="21"/>
  <c r="N1122" i="21"/>
  <c r="N1123" i="21"/>
  <c r="N1124" i="21"/>
  <c r="N1125" i="21"/>
  <c r="N1126" i="21"/>
  <c r="N1127" i="21"/>
  <c r="N1128" i="21"/>
  <c r="N1129" i="21"/>
  <c r="N1130" i="21"/>
  <c r="N1131" i="21"/>
  <c r="N1132" i="21"/>
  <c r="N1133" i="21"/>
  <c r="N1134" i="21"/>
  <c r="N1135" i="21"/>
  <c r="N1136" i="21"/>
  <c r="N1137" i="21"/>
  <c r="N1138" i="21"/>
  <c r="N1139" i="21"/>
  <c r="N1140" i="21"/>
  <c r="N1141" i="21"/>
  <c r="N1142" i="21"/>
  <c r="N1143" i="21"/>
  <c r="N1144" i="21"/>
  <c r="N1145" i="21"/>
  <c r="N1146" i="21"/>
  <c r="N1147" i="21"/>
  <c r="N1148" i="21"/>
  <c r="N1149" i="21"/>
  <c r="N1150" i="21"/>
  <c r="N1151" i="21"/>
  <c r="N1152" i="21"/>
  <c r="N1153" i="21"/>
  <c r="N1154" i="21"/>
  <c r="N1155" i="21"/>
  <c r="N1156" i="21"/>
  <c r="N1157" i="21"/>
  <c r="N1158" i="21"/>
  <c r="N1159" i="21"/>
  <c r="N1160" i="21"/>
  <c r="N1161" i="21"/>
  <c r="N1162" i="21"/>
  <c r="N1163" i="21"/>
  <c r="N1164" i="21"/>
  <c r="N1165" i="21"/>
  <c r="N1166" i="21"/>
  <c r="N1167" i="21"/>
  <c r="N1168" i="21"/>
  <c r="N1169" i="21"/>
  <c r="N1170" i="21"/>
  <c r="N1171" i="21"/>
  <c r="N1172" i="21"/>
  <c r="N1173" i="21"/>
  <c r="N1174" i="21"/>
  <c r="N1175" i="21"/>
  <c r="N1176" i="21"/>
  <c r="N1177" i="21"/>
  <c r="N1178" i="21"/>
  <c r="N1179" i="21"/>
  <c r="N1180" i="21"/>
  <c r="N1181" i="21"/>
  <c r="N1182" i="21"/>
  <c r="N1183" i="21"/>
  <c r="N1184" i="21"/>
  <c r="N1185" i="21"/>
  <c r="N1186" i="21"/>
  <c r="N1187" i="21"/>
  <c r="N1188" i="21"/>
  <c r="N1189" i="21"/>
  <c r="N1190" i="21"/>
  <c r="N1191" i="21"/>
  <c r="N1192" i="21"/>
  <c r="N1193" i="21"/>
  <c r="N1194" i="21"/>
  <c r="N1195" i="21"/>
  <c r="N1196" i="21"/>
  <c r="N1197" i="21"/>
  <c r="N1198" i="21"/>
  <c r="N1199" i="21"/>
  <c r="N1200" i="21"/>
  <c r="N1201" i="21"/>
  <c r="N1202" i="21"/>
  <c r="N1203" i="21"/>
  <c r="N1204" i="21"/>
  <c r="N1205" i="21"/>
  <c r="N1206" i="21"/>
  <c r="N1207" i="21"/>
  <c r="N1208" i="21"/>
  <c r="N1209" i="21"/>
  <c r="N1210" i="21"/>
  <c r="N1211" i="21"/>
  <c r="N1212" i="21"/>
  <c r="N1213" i="21"/>
  <c r="N1214" i="21"/>
  <c r="N1215" i="21"/>
  <c r="N1216" i="21"/>
  <c r="N1217" i="21"/>
  <c r="N1218" i="21"/>
  <c r="N1219" i="21"/>
  <c r="N1220" i="21"/>
  <c r="N1221" i="21"/>
  <c r="N1222" i="21"/>
  <c r="N1223" i="21"/>
  <c r="N1224" i="21"/>
  <c r="N1225" i="21"/>
  <c r="N1226" i="21"/>
  <c r="N1227" i="21"/>
  <c r="N1228" i="21"/>
  <c r="N1229" i="21"/>
  <c r="N1230" i="21"/>
  <c r="N1231" i="21"/>
  <c r="N1232" i="21"/>
  <c r="N1233" i="21"/>
  <c r="N1234" i="21"/>
  <c r="N1235" i="21"/>
  <c r="N1236" i="21"/>
  <c r="N1237" i="21"/>
  <c r="N1238" i="21"/>
  <c r="N1239" i="21"/>
  <c r="N1240" i="21"/>
  <c r="N1241" i="21"/>
  <c r="N1242" i="21"/>
  <c r="N1243" i="21"/>
  <c r="N1244" i="21"/>
  <c r="N1245" i="21"/>
  <c r="N1246" i="21"/>
  <c r="N1247" i="21"/>
  <c r="N1248" i="21"/>
  <c r="N1249" i="21"/>
  <c r="N1250" i="21"/>
  <c r="N1251" i="21"/>
  <c r="N1252" i="21"/>
  <c r="N1253" i="21"/>
  <c r="N1254" i="21"/>
  <c r="N1255" i="21"/>
  <c r="N1256" i="21"/>
  <c r="N1257" i="21"/>
  <c r="N1258" i="21"/>
  <c r="N1259" i="21"/>
  <c r="N1260" i="21"/>
  <c r="N1261" i="21"/>
  <c r="N1262" i="21"/>
  <c r="N1263" i="21"/>
  <c r="N1264" i="21"/>
  <c r="N1265" i="21"/>
  <c r="N1266" i="21"/>
  <c r="N1267" i="21"/>
  <c r="N1268" i="21"/>
  <c r="N1269" i="21"/>
  <c r="N1270" i="21"/>
  <c r="N1271" i="21"/>
  <c r="N1272" i="21"/>
  <c r="N1273" i="21"/>
  <c r="N1274" i="21"/>
  <c r="N1275" i="21"/>
  <c r="N1276" i="21"/>
  <c r="N1277" i="21"/>
  <c r="N1278" i="21"/>
  <c r="N1279" i="21"/>
  <c r="N1280" i="21"/>
  <c r="N1281" i="21"/>
  <c r="N1282" i="21"/>
  <c r="N1283" i="21"/>
  <c r="N1284" i="21"/>
  <c r="N1285" i="21"/>
  <c r="N1286" i="21"/>
  <c r="N1287" i="21"/>
  <c r="N1288" i="21"/>
  <c r="N1289" i="21"/>
  <c r="N1290" i="21"/>
  <c r="N1291" i="21"/>
  <c r="N1292" i="21"/>
  <c r="N1293" i="21"/>
  <c r="N1294" i="21"/>
  <c r="N1295" i="21"/>
  <c r="N1296" i="21"/>
  <c r="N1297" i="21"/>
  <c r="N1298" i="21"/>
  <c r="N1299" i="21"/>
  <c r="N1300" i="21"/>
  <c r="N1301" i="21"/>
  <c r="N1302" i="21"/>
  <c r="N1303" i="21"/>
  <c r="N1304" i="21"/>
  <c r="N1305" i="21"/>
  <c r="N1306" i="21"/>
  <c r="N1307" i="21"/>
  <c r="N1308" i="21"/>
  <c r="N1309" i="21"/>
  <c r="N1310" i="21"/>
  <c r="N1311" i="21"/>
  <c r="N1312" i="21"/>
  <c r="N1313" i="21"/>
  <c r="N1314" i="21"/>
  <c r="N1315" i="21"/>
  <c r="N1316" i="21"/>
  <c r="N1317" i="21"/>
  <c r="N1318" i="21"/>
  <c r="N1319" i="21"/>
  <c r="N1320" i="21"/>
  <c r="N1321" i="21"/>
  <c r="N1322" i="21"/>
  <c r="N1323" i="21"/>
  <c r="N1324" i="21"/>
  <c r="N1325" i="21"/>
  <c r="N1326" i="21"/>
  <c r="N1327" i="21"/>
  <c r="N1328" i="21"/>
  <c r="N1329" i="21"/>
  <c r="N1330" i="21"/>
  <c r="N1331" i="21"/>
  <c r="N1332" i="21"/>
  <c r="N1333" i="21"/>
  <c r="N1334" i="21"/>
  <c r="N1335" i="21"/>
  <c r="N1336" i="21"/>
  <c r="N1337" i="21"/>
  <c r="N1338" i="21"/>
  <c r="N1339" i="21"/>
  <c r="N1340" i="21"/>
  <c r="N1341" i="21"/>
  <c r="N1342" i="21"/>
  <c r="N1343" i="21"/>
  <c r="N1344" i="21"/>
  <c r="N1345" i="21"/>
  <c r="N1346" i="21"/>
  <c r="N1347" i="21"/>
  <c r="N1348" i="21"/>
  <c r="N1349" i="21"/>
  <c r="N1350" i="21"/>
  <c r="N1351" i="21"/>
  <c r="N1352" i="21"/>
  <c r="N1353" i="21"/>
  <c r="N1354" i="21"/>
  <c r="N1355" i="21"/>
  <c r="N1356" i="21"/>
  <c r="N1357" i="21"/>
  <c r="N1358" i="21"/>
  <c r="N1359" i="21"/>
  <c r="N1360" i="21"/>
  <c r="N1361" i="21"/>
  <c r="N1362" i="21"/>
  <c r="N1363" i="21"/>
  <c r="N1364" i="21"/>
  <c r="N1365" i="21"/>
  <c r="N1366" i="21"/>
  <c r="N1367" i="21"/>
  <c r="N1368" i="21"/>
  <c r="N1369" i="21"/>
  <c r="N1370" i="21"/>
  <c r="N1371" i="21"/>
  <c r="N1372" i="21"/>
  <c r="N1373" i="21"/>
  <c r="N1374" i="21"/>
  <c r="N1375" i="21"/>
  <c r="N1376" i="21"/>
  <c r="N1377" i="21"/>
  <c r="N1378" i="21"/>
  <c r="N1379" i="21"/>
  <c r="N1380" i="21"/>
  <c r="N1381" i="21"/>
  <c r="N1382" i="21"/>
  <c r="N1383" i="21"/>
  <c r="N1384" i="21"/>
  <c r="N1385" i="21"/>
  <c r="N1386" i="21"/>
  <c r="N1387" i="21"/>
  <c r="N1388" i="21"/>
  <c r="N1389" i="21"/>
  <c r="N1390" i="21"/>
  <c r="N1391" i="21"/>
  <c r="N1392" i="21"/>
  <c r="N1393" i="21"/>
  <c r="N1394" i="21"/>
  <c r="N1395" i="21"/>
  <c r="N1396" i="21"/>
  <c r="N1397" i="21"/>
  <c r="N1398" i="21"/>
  <c r="N1399" i="21"/>
  <c r="N1400" i="21"/>
  <c r="N1401" i="21"/>
  <c r="N1402" i="21"/>
  <c r="N1403" i="21"/>
  <c r="N1404" i="21"/>
  <c r="N1405" i="21"/>
  <c r="N1406" i="21"/>
  <c r="N1407" i="21"/>
  <c r="N1408" i="21"/>
  <c r="N1409" i="21"/>
  <c r="N1410" i="21"/>
  <c r="N1411" i="21"/>
  <c r="N1412" i="21"/>
  <c r="N1413" i="21"/>
  <c r="N1414" i="21"/>
  <c r="N1415" i="21"/>
  <c r="N1416" i="21"/>
  <c r="N1417" i="21"/>
  <c r="N1418" i="21"/>
  <c r="N1419" i="21"/>
  <c r="N1420" i="21"/>
  <c r="N1421" i="21"/>
  <c r="N1422" i="21"/>
  <c r="N1423" i="21"/>
  <c r="N1424" i="21"/>
  <c r="N1425" i="21"/>
  <c r="N1426" i="21"/>
  <c r="N1427" i="21"/>
  <c r="N1428" i="21"/>
  <c r="N1429" i="21"/>
  <c r="N1430" i="21"/>
  <c r="N1431" i="21"/>
  <c r="N1432" i="21"/>
  <c r="N1433" i="21"/>
  <c r="N1434" i="21"/>
  <c r="N1435" i="21"/>
  <c r="N1436" i="21"/>
  <c r="N1437" i="21"/>
  <c r="N1438" i="21"/>
  <c r="N1439" i="21"/>
  <c r="N1440" i="21"/>
  <c r="N1441" i="21"/>
  <c r="N1442" i="21"/>
  <c r="N1443" i="21"/>
  <c r="N1444" i="21"/>
  <c r="N1445" i="21"/>
  <c r="N1446" i="21"/>
  <c r="N1447" i="21"/>
  <c r="N1448" i="21"/>
  <c r="N1449" i="21"/>
  <c r="N1450" i="21"/>
  <c r="N1451" i="21"/>
  <c r="N1452" i="21"/>
  <c r="N1453" i="21"/>
  <c r="N1454" i="21"/>
  <c r="N1455" i="21"/>
  <c r="N1456" i="21"/>
  <c r="N1457" i="21"/>
  <c r="N1458" i="21"/>
  <c r="N1459" i="21"/>
  <c r="N1460" i="21"/>
  <c r="N1461" i="21"/>
  <c r="N1462" i="21"/>
  <c r="N1463" i="21"/>
  <c r="N1464" i="21"/>
  <c r="N1465" i="21"/>
  <c r="N1466" i="21"/>
  <c r="N1467" i="21"/>
  <c r="N1468" i="21"/>
  <c r="N1469" i="21"/>
  <c r="N1470" i="21"/>
  <c r="N1471" i="21"/>
  <c r="N1472" i="21"/>
  <c r="N1473" i="21"/>
  <c r="N1474" i="21"/>
  <c r="N1475" i="21"/>
  <c r="N1476" i="21"/>
  <c r="N1477" i="21"/>
  <c r="N1478" i="21"/>
  <c r="N1479" i="21"/>
  <c r="N1480" i="21"/>
  <c r="N1481" i="21"/>
  <c r="N1482" i="21"/>
  <c r="N1483" i="21"/>
  <c r="N1484" i="21"/>
  <c r="N1485" i="21"/>
  <c r="N1486" i="21"/>
  <c r="N1487" i="21"/>
  <c r="N1488" i="21"/>
  <c r="N1489" i="21"/>
  <c r="N1490" i="21"/>
  <c r="N1491" i="21"/>
  <c r="N1492" i="21"/>
  <c r="N1493" i="21"/>
  <c r="N1494" i="21"/>
  <c r="N1495" i="21"/>
  <c r="N1496" i="21"/>
  <c r="N1497" i="21"/>
  <c r="N1498" i="21"/>
  <c r="N1499" i="21"/>
  <c r="N1500" i="21"/>
  <c r="N1501" i="21"/>
  <c r="N1502" i="21"/>
  <c r="N1503" i="21"/>
  <c r="N1504" i="21"/>
  <c r="N1505" i="21"/>
  <c r="N1506" i="21"/>
  <c r="N1507" i="21"/>
  <c r="N1508" i="21"/>
  <c r="N1509" i="21"/>
  <c r="N1510" i="21"/>
  <c r="N1511" i="21"/>
  <c r="N1512" i="21"/>
  <c r="N1513" i="21"/>
  <c r="N1514" i="21"/>
  <c r="N1515" i="21"/>
  <c r="N1516" i="21"/>
  <c r="N1517" i="21"/>
  <c r="N1518" i="21"/>
  <c r="N1519" i="21"/>
  <c r="N1520" i="21"/>
  <c r="N1521" i="21"/>
  <c r="N1522" i="21"/>
  <c r="N1523" i="21"/>
  <c r="N1524" i="21"/>
  <c r="N1525" i="21"/>
  <c r="N1526" i="21"/>
  <c r="N1527" i="21"/>
  <c r="N1528" i="21"/>
  <c r="N1529" i="21"/>
  <c r="N1530" i="21"/>
  <c r="N1531" i="21"/>
  <c r="N1532" i="21"/>
  <c r="N1533" i="21"/>
  <c r="N1534" i="21"/>
  <c r="N1535" i="21"/>
  <c r="N1536" i="21"/>
  <c r="N1537" i="21"/>
  <c r="N1538" i="21"/>
  <c r="N1539" i="21"/>
  <c r="N1540" i="21"/>
  <c r="N1541" i="21"/>
  <c r="N1542" i="21"/>
  <c r="N1543" i="21"/>
  <c r="N1544" i="21"/>
  <c r="N1545" i="21"/>
  <c r="N1546" i="21"/>
  <c r="N1547" i="21"/>
  <c r="N1548" i="21"/>
  <c r="N1549" i="21"/>
  <c r="N1550" i="21"/>
  <c r="N1551" i="21"/>
  <c r="N1552" i="21"/>
  <c r="N1553" i="21"/>
  <c r="N1554" i="21"/>
  <c r="N1555" i="21"/>
  <c r="N1556" i="21"/>
  <c r="N1557" i="21"/>
  <c r="N1558" i="21"/>
  <c r="N1559" i="21"/>
  <c r="N1560" i="21"/>
  <c r="N1561" i="21"/>
  <c r="N1562" i="21"/>
  <c r="N1563" i="21"/>
  <c r="N1564" i="21"/>
  <c r="N1565" i="21"/>
  <c r="N1566" i="21"/>
  <c r="N1567" i="21"/>
  <c r="N1568" i="21"/>
  <c r="N1569" i="21"/>
  <c r="N1570" i="21"/>
  <c r="N1571" i="21"/>
  <c r="N1572" i="21"/>
  <c r="N1573" i="21"/>
  <c r="N1574" i="21"/>
  <c r="N1575" i="21"/>
  <c r="N1576" i="21"/>
  <c r="N1577" i="21"/>
  <c r="N1578" i="21"/>
  <c r="N1579" i="21"/>
  <c r="N1580" i="21"/>
  <c r="N1581" i="21"/>
  <c r="N1582" i="21"/>
  <c r="N1583" i="21"/>
  <c r="N1584" i="21"/>
  <c r="N1585" i="21"/>
  <c r="N1586" i="21"/>
  <c r="N1587" i="21"/>
  <c r="N1588" i="21"/>
  <c r="N1589" i="21"/>
  <c r="N1590" i="21"/>
  <c r="N1591" i="21"/>
  <c r="N1592" i="21"/>
  <c r="N1593" i="21"/>
  <c r="N1594" i="21"/>
  <c r="N1595" i="21"/>
  <c r="N1596" i="21"/>
  <c r="N1597" i="21"/>
  <c r="N1598" i="21"/>
  <c r="N1599" i="21"/>
  <c r="N1600" i="21"/>
  <c r="N1601" i="21"/>
  <c r="N1602" i="21"/>
  <c r="N1603" i="21"/>
  <c r="N1604" i="21"/>
  <c r="N1605" i="21"/>
  <c r="N1606" i="21"/>
  <c r="N1607" i="21"/>
  <c r="N1608" i="21"/>
  <c r="N1609" i="21"/>
  <c r="N1610" i="21"/>
  <c r="N1611" i="21"/>
  <c r="N1612" i="21"/>
  <c r="N1613" i="21"/>
  <c r="N1614" i="21"/>
  <c r="N1615" i="21"/>
  <c r="N1616" i="21"/>
  <c r="N1617" i="21"/>
  <c r="AK1635" i="21" l="1"/>
  <c r="AH1635" i="21"/>
  <c r="AL1631" i="21"/>
  <c r="AL1626" i="21"/>
  <c r="AM1626" i="21" s="1"/>
  <c r="AH1623" i="21"/>
  <c r="AK1623" i="21"/>
  <c r="AK1612" i="21"/>
  <c r="AL1612" i="21" s="1"/>
  <c r="AH1612" i="21"/>
  <c r="AK1603" i="21"/>
  <c r="AH1603" i="21"/>
  <c r="AL1599" i="21"/>
  <c r="AL1594" i="21"/>
  <c r="AM1594" i="21" s="1"/>
  <c r="AH1591" i="21"/>
  <c r="AK1591" i="21"/>
  <c r="AL1591" i="21" s="1"/>
  <c r="AM1591" i="21" s="1"/>
  <c r="AK1580" i="21"/>
  <c r="AL1580" i="21" s="1"/>
  <c r="AH1580" i="21"/>
  <c r="AK1571" i="21"/>
  <c r="AH1571" i="21"/>
  <c r="AL1567" i="21"/>
  <c r="AL1562" i="21"/>
  <c r="AM1562" i="21" s="1"/>
  <c r="AH1559" i="21"/>
  <c r="AK1559" i="21"/>
  <c r="AL1559" i="21" s="1"/>
  <c r="AM1559" i="21" s="1"/>
  <c r="AK1548" i="21"/>
  <c r="AL1548" i="21" s="1"/>
  <c r="AH1548" i="21"/>
  <c r="AK1539" i="21"/>
  <c r="AH1539" i="21"/>
  <c r="AK1523" i="21"/>
  <c r="AL1523" i="21" s="1"/>
  <c r="AH1523" i="21"/>
  <c r="AM1523" i="21" s="1"/>
  <c r="AL1534" i="21"/>
  <c r="AM1534" i="21" s="1"/>
  <c r="AK1515" i="21"/>
  <c r="AL1515" i="21" s="1"/>
  <c r="AH1515" i="21"/>
  <c r="AL1639" i="21"/>
  <c r="AB1636" i="21"/>
  <c r="AH1631" i="21"/>
  <c r="AK1631" i="21"/>
  <c r="AK1620" i="21"/>
  <c r="AL1620" i="21" s="1"/>
  <c r="AM1620" i="21" s="1"/>
  <c r="AH1620" i="21"/>
  <c r="AL1619" i="21"/>
  <c r="AK1611" i="21"/>
  <c r="AL1611" i="21" s="1"/>
  <c r="AM1611" i="21" s="1"/>
  <c r="AH1611" i="21"/>
  <c r="AB1604" i="21"/>
  <c r="AH1599" i="21"/>
  <c r="AK1599" i="21"/>
  <c r="AK1588" i="21"/>
  <c r="AL1588" i="21" s="1"/>
  <c r="AM1588" i="21" s="1"/>
  <c r="AH1588" i="21"/>
  <c r="AL1587" i="21"/>
  <c r="AK1579" i="21"/>
  <c r="AL1579" i="21" s="1"/>
  <c r="AM1579" i="21" s="1"/>
  <c r="AH1579" i="21"/>
  <c r="AB1572" i="21"/>
  <c r="AH1567" i="21"/>
  <c r="AK1567" i="21"/>
  <c r="AK1556" i="21"/>
  <c r="AL1556" i="21" s="1"/>
  <c r="AM1556" i="21" s="1"/>
  <c r="AH1556" i="21"/>
  <c r="AL1555" i="21"/>
  <c r="AK1547" i="21"/>
  <c r="AL1547" i="21" s="1"/>
  <c r="AM1547" i="21" s="1"/>
  <c r="AH1547" i="21"/>
  <c r="AH1543" i="21"/>
  <c r="AK1543" i="21"/>
  <c r="AL1543" i="21" s="1"/>
  <c r="AM1543" i="21" s="1"/>
  <c r="AB1540" i="21"/>
  <c r="AK1522" i="21"/>
  <c r="AL1522" i="21" s="1"/>
  <c r="AM1522" i="21" s="1"/>
  <c r="AH1522" i="21"/>
  <c r="AH1639" i="21"/>
  <c r="AM1639" i="21" s="1"/>
  <c r="AK1639" i="21"/>
  <c r="AM1565" i="21"/>
  <c r="AK1628" i="21"/>
  <c r="AL1628" i="21" s="1"/>
  <c r="AM1628" i="21" s="1"/>
  <c r="AH1628" i="21"/>
  <c r="AL1627" i="21"/>
  <c r="AK1619" i="21"/>
  <c r="AH1619" i="21"/>
  <c r="AH1607" i="21"/>
  <c r="AK1607" i="21"/>
  <c r="AL1607" i="21" s="1"/>
  <c r="AM1607" i="21" s="1"/>
  <c r="AK1596" i="21"/>
  <c r="AL1596" i="21" s="1"/>
  <c r="AM1596" i="21" s="1"/>
  <c r="AH1596" i="21"/>
  <c r="AL1595" i="21"/>
  <c r="AK1587" i="21"/>
  <c r="AH1587" i="21"/>
  <c r="AL1583" i="21"/>
  <c r="AH1575" i="21"/>
  <c r="AK1575" i="21"/>
  <c r="AL1575" i="21" s="1"/>
  <c r="AM1575" i="21" s="1"/>
  <c r="AK1564" i="21"/>
  <c r="AL1564" i="21" s="1"/>
  <c r="AM1564" i="21" s="1"/>
  <c r="AH1564" i="21"/>
  <c r="AL1563" i="21"/>
  <c r="AK1555" i="21"/>
  <c r="AH1555" i="21"/>
  <c r="AM1597" i="21"/>
  <c r="AM1613" i="21"/>
  <c r="AM1581" i="21"/>
  <c r="AK1636" i="21"/>
  <c r="AL1636" i="21" s="1"/>
  <c r="AM1636" i="21" s="1"/>
  <c r="AH1636" i="21"/>
  <c r="AL1635" i="21"/>
  <c r="AM1635" i="21" s="1"/>
  <c r="AK1627" i="21"/>
  <c r="AH1627" i="21"/>
  <c r="AL1623" i="21"/>
  <c r="AM1623" i="21" s="1"/>
  <c r="AB1620" i="21"/>
  <c r="AH1615" i="21"/>
  <c r="AK1615" i="21"/>
  <c r="AL1615" i="21" s="1"/>
  <c r="AM1615" i="21" s="1"/>
  <c r="AK1604" i="21"/>
  <c r="AL1604" i="21" s="1"/>
  <c r="AM1604" i="21" s="1"/>
  <c r="AH1604" i="21"/>
  <c r="AL1603" i="21"/>
  <c r="AM1603" i="21" s="1"/>
  <c r="AK1595" i="21"/>
  <c r="AH1595" i="21"/>
  <c r="AB1588" i="21"/>
  <c r="AH1583" i="21"/>
  <c r="AK1583" i="21"/>
  <c r="AK1572" i="21"/>
  <c r="AL1572" i="21" s="1"/>
  <c r="AM1572" i="21" s="1"/>
  <c r="AH1572" i="21"/>
  <c r="AL1571" i="21"/>
  <c r="AM1571" i="21" s="1"/>
  <c r="AK1563" i="21"/>
  <c r="AH1563" i="21"/>
  <c r="AB1556" i="21"/>
  <c r="AH1551" i="21"/>
  <c r="AK1551" i="21"/>
  <c r="AL1551" i="21" s="1"/>
  <c r="AM1551" i="21" s="1"/>
  <c r="AL1539" i="21"/>
  <c r="AM1539" i="21" s="1"/>
  <c r="AH1544" i="21"/>
  <c r="AK1544" i="21"/>
  <c r="AL1544" i="21" s="1"/>
  <c r="AK1516" i="21"/>
  <c r="AL1516" i="21" s="1"/>
  <c r="AM1516" i="21" s="1"/>
  <c r="AH1516" i="21"/>
  <c r="AA1636" i="21"/>
  <c r="AK1634" i="21"/>
  <c r="AL1634" i="21" s="1"/>
  <c r="AM1634" i="21" s="1"/>
  <c r="AH1629" i="21"/>
  <c r="AM1629" i="21" s="1"/>
  <c r="AA1628" i="21"/>
  <c r="AB1628" i="21" s="1"/>
  <c r="AK1626" i="21"/>
  <c r="AH1621" i="21"/>
  <c r="AM1621" i="21" s="1"/>
  <c r="AA1620" i="21"/>
  <c r="AK1618" i="21"/>
  <c r="AL1618" i="21" s="1"/>
  <c r="AM1618" i="21" s="1"/>
  <c r="AH1613" i="21"/>
  <c r="AA1612" i="21"/>
  <c r="AB1612" i="21" s="1"/>
  <c r="AK1610" i="21"/>
  <c r="AL1610" i="21" s="1"/>
  <c r="AM1610" i="21" s="1"/>
  <c r="AH1605" i="21"/>
  <c r="AM1605" i="21" s="1"/>
  <c r="AA1604" i="21"/>
  <c r="AK1602" i="21"/>
  <c r="AL1602" i="21" s="1"/>
  <c r="AM1602" i="21" s="1"/>
  <c r="AH1597" i="21"/>
  <c r="AA1596" i="21"/>
  <c r="AB1596" i="21" s="1"/>
  <c r="AK1594" i="21"/>
  <c r="AH1589" i="21"/>
  <c r="AM1589" i="21" s="1"/>
  <c r="AA1588" i="21"/>
  <c r="AK1586" i="21"/>
  <c r="AL1586" i="21" s="1"/>
  <c r="AM1586" i="21" s="1"/>
  <c r="AH1581" i="21"/>
  <c r="AA1580" i="21"/>
  <c r="AB1580" i="21" s="1"/>
  <c r="AK1578" i="21"/>
  <c r="AL1578" i="21" s="1"/>
  <c r="AM1578" i="21" s="1"/>
  <c r="AH1573" i="21"/>
  <c r="AM1573" i="21" s="1"/>
  <c r="AA1572" i="21"/>
  <c r="AK1570" i="21"/>
  <c r="AL1570" i="21" s="1"/>
  <c r="AM1570" i="21" s="1"/>
  <c r="AH1565" i="21"/>
  <c r="AA1564" i="21"/>
  <c r="AB1564" i="21" s="1"/>
  <c r="AK1562" i="21"/>
  <c r="AH1557" i="21"/>
  <c r="AM1557" i="21" s="1"/>
  <c r="AA1556" i="21"/>
  <c r="AK1554" i="21"/>
  <c r="AL1554" i="21" s="1"/>
  <c r="AM1554" i="21" s="1"/>
  <c r="AH1549" i="21"/>
  <c r="AM1549" i="21" s="1"/>
  <c r="AA1548" i="21"/>
  <c r="AB1548" i="21" s="1"/>
  <c r="AK1546" i="21"/>
  <c r="AL1546" i="21" s="1"/>
  <c r="AM1546" i="21" s="1"/>
  <c r="AH1541" i="21"/>
  <c r="AM1541" i="21" s="1"/>
  <c r="AA1540" i="21"/>
  <c r="AK1538" i="21"/>
  <c r="AL1538" i="21" s="1"/>
  <c r="AM1538" i="21" s="1"/>
  <c r="AK1485" i="21"/>
  <c r="AL1485" i="21" s="1"/>
  <c r="AM1485" i="21" s="1"/>
  <c r="AH1485" i="21"/>
  <c r="AL1481" i="21"/>
  <c r="AM1481" i="21" s="1"/>
  <c r="AM1479" i="21"/>
  <c r="AH1472" i="21"/>
  <c r="AK1472" i="21"/>
  <c r="AK1467" i="21"/>
  <c r="AL1467" i="21" s="1"/>
  <c r="AM1467" i="21" s="1"/>
  <c r="AH1467" i="21"/>
  <c r="AL1456" i="21"/>
  <c r="AL1441" i="21"/>
  <c r="AM1441" i="21" s="1"/>
  <c r="AM1439" i="21"/>
  <c r="AH1430" i="21"/>
  <c r="AK1430" i="21"/>
  <c r="AL1430" i="21" s="1"/>
  <c r="AM1430" i="21" s="1"/>
  <c r="AH1424" i="21"/>
  <c r="AK1424" i="21"/>
  <c r="AK1419" i="21"/>
  <c r="AL1419" i="21" s="1"/>
  <c r="AH1419" i="21"/>
  <c r="AK1404" i="21"/>
  <c r="AL1404" i="21" s="1"/>
  <c r="AM1404" i="21" s="1"/>
  <c r="AH1404" i="21"/>
  <c r="AK1381" i="21"/>
  <c r="AL1381" i="21" s="1"/>
  <c r="AM1381" i="21" s="1"/>
  <c r="AH1381" i="21"/>
  <c r="AB1532" i="21"/>
  <c r="AA1532" i="21"/>
  <c r="AB1522" i="21"/>
  <c r="AK1517" i="21"/>
  <c r="AL1517" i="21" s="1"/>
  <c r="AH1517" i="21"/>
  <c r="AL1514" i="21"/>
  <c r="AL1504" i="21"/>
  <c r="AK1477" i="21"/>
  <c r="AL1477" i="21" s="1"/>
  <c r="AH1477" i="21"/>
  <c r="AH1470" i="21"/>
  <c r="AK1470" i="21"/>
  <c r="AL1470" i="21" s="1"/>
  <c r="AH1464" i="21"/>
  <c r="AK1464" i="21"/>
  <c r="AL1464" i="21" s="1"/>
  <c r="AM1464" i="21" s="1"/>
  <c r="AK1459" i="21"/>
  <c r="AL1459" i="21" s="1"/>
  <c r="AM1459" i="21" s="1"/>
  <c r="AH1459" i="21"/>
  <c r="AK1437" i="21"/>
  <c r="AL1437" i="21" s="1"/>
  <c r="AM1437" i="21" s="1"/>
  <c r="AH1437" i="21"/>
  <c r="AM1431" i="21"/>
  <c r="AH1422" i="21"/>
  <c r="AK1422" i="21"/>
  <c r="AL1422" i="21" s="1"/>
  <c r="AH1416" i="21"/>
  <c r="AK1416" i="21"/>
  <c r="AK1411" i="21"/>
  <c r="AL1411" i="21" s="1"/>
  <c r="AM1411" i="21" s="1"/>
  <c r="AH1411" i="21"/>
  <c r="AK1396" i="21"/>
  <c r="AL1396" i="21" s="1"/>
  <c r="AH1396" i="21"/>
  <c r="AK1373" i="21"/>
  <c r="AL1373" i="21" s="1"/>
  <c r="AH1373" i="21"/>
  <c r="AH1360" i="21"/>
  <c r="AK1360" i="21"/>
  <c r="AL1360" i="21" s="1"/>
  <c r="AM1360" i="21" s="1"/>
  <c r="AB1641" i="21"/>
  <c r="AB1633" i="21"/>
  <c r="AB1625" i="21"/>
  <c r="AB1617" i="21"/>
  <c r="AB1609" i="21"/>
  <c r="AB1601" i="21"/>
  <c r="AB1593" i="21"/>
  <c r="AB1585" i="21"/>
  <c r="AB1577" i="21"/>
  <c r="AB1569" i="21"/>
  <c r="AB1561" i="21"/>
  <c r="AB1553" i="21"/>
  <c r="AB1545" i="21"/>
  <c r="AB1537" i="21"/>
  <c r="AB1536" i="21"/>
  <c r="AM1530" i="21"/>
  <c r="AK1525" i="21"/>
  <c r="AL1525" i="21" s="1"/>
  <c r="AM1525" i="21" s="1"/>
  <c r="AK1524" i="21"/>
  <c r="AL1524" i="21" s="1"/>
  <c r="AH1524" i="21"/>
  <c r="AM1524" i="21" s="1"/>
  <c r="AK1518" i="21"/>
  <c r="AL1518" i="21" s="1"/>
  <c r="AM1518" i="21" s="1"/>
  <c r="AB1516" i="21"/>
  <c r="AH1512" i="21"/>
  <c r="AK1512" i="21"/>
  <c r="AL1512" i="21" s="1"/>
  <c r="AM1512" i="21" s="1"/>
  <c r="AK1507" i="21"/>
  <c r="AL1507" i="21" s="1"/>
  <c r="AH1507" i="21"/>
  <c r="AK1492" i="21"/>
  <c r="AL1492" i="21" s="1"/>
  <c r="AM1492" i="21" s="1"/>
  <c r="AH1492" i="21"/>
  <c r="AM1484" i="21"/>
  <c r="AH1462" i="21"/>
  <c r="AK1462" i="21"/>
  <c r="AL1462" i="21" s="1"/>
  <c r="AH1456" i="21"/>
  <c r="AK1456" i="21"/>
  <c r="AM1444" i="21"/>
  <c r="AK1429" i="21"/>
  <c r="AL1429" i="21" s="1"/>
  <c r="AM1429" i="21" s="1"/>
  <c r="AH1429" i="21"/>
  <c r="AL1425" i="21"/>
  <c r="AM1425" i="21" s="1"/>
  <c r="AH1414" i="21"/>
  <c r="AK1414" i="21"/>
  <c r="AL1414" i="21" s="1"/>
  <c r="AH1408" i="21"/>
  <c r="AK1408" i="21"/>
  <c r="AL1408" i="21" s="1"/>
  <c r="AM1408" i="21" s="1"/>
  <c r="AK1403" i="21"/>
  <c r="AL1403" i="21" s="1"/>
  <c r="AM1403" i="21" s="1"/>
  <c r="AH1403" i="21"/>
  <c r="AL1392" i="21"/>
  <c r="AK1388" i="21"/>
  <c r="AL1388" i="21" s="1"/>
  <c r="AH1388" i="21"/>
  <c r="AK1534" i="21"/>
  <c r="AH1532" i="21"/>
  <c r="AM1532" i="21" s="1"/>
  <c r="AB1530" i="21"/>
  <c r="AH1514" i="21"/>
  <c r="AK1514" i="21"/>
  <c r="AH1510" i="21"/>
  <c r="AK1510" i="21"/>
  <c r="AL1510" i="21" s="1"/>
  <c r="AH1504" i="21"/>
  <c r="AK1504" i="21"/>
  <c r="AK1499" i="21"/>
  <c r="AL1499" i="21" s="1"/>
  <c r="AM1499" i="21" s="1"/>
  <c r="AH1499" i="21"/>
  <c r="AL1488" i="21"/>
  <c r="AK1469" i="21"/>
  <c r="AL1469" i="21" s="1"/>
  <c r="AH1469" i="21"/>
  <c r="AL1465" i="21"/>
  <c r="AM1465" i="21" s="1"/>
  <c r="AB1460" i="21"/>
  <c r="AH1454" i="21"/>
  <c r="AK1454" i="21"/>
  <c r="AL1454" i="21" s="1"/>
  <c r="AM1454" i="21" s="1"/>
  <c r="AK1451" i="21"/>
  <c r="AL1451" i="21" s="1"/>
  <c r="AH1451" i="21"/>
  <c r="AK1421" i="21"/>
  <c r="AL1421" i="21" s="1"/>
  <c r="AH1421" i="21"/>
  <c r="AH1406" i="21"/>
  <c r="AK1406" i="21"/>
  <c r="AL1406" i="21" s="1"/>
  <c r="AM1406" i="21" s="1"/>
  <c r="AH1400" i="21"/>
  <c r="AK1400" i="21"/>
  <c r="AL1400" i="21" s="1"/>
  <c r="AM1400" i="21" s="1"/>
  <c r="AK1395" i="21"/>
  <c r="AL1395" i="21" s="1"/>
  <c r="AH1395" i="21"/>
  <c r="AK1380" i="21"/>
  <c r="AL1380" i="21" s="1"/>
  <c r="AM1380" i="21" s="1"/>
  <c r="AH1380" i="21"/>
  <c r="AK1638" i="21"/>
  <c r="AL1638" i="21" s="1"/>
  <c r="AM1638" i="21" s="1"/>
  <c r="AK1630" i="21"/>
  <c r="AL1630" i="21" s="1"/>
  <c r="AM1630" i="21" s="1"/>
  <c r="AK1622" i="21"/>
  <c r="AL1622" i="21" s="1"/>
  <c r="AM1622" i="21" s="1"/>
  <c r="AK1614" i="21"/>
  <c r="AL1614" i="21" s="1"/>
  <c r="AM1614" i="21" s="1"/>
  <c r="AK1606" i="21"/>
  <c r="AL1606" i="21" s="1"/>
  <c r="AM1606" i="21" s="1"/>
  <c r="AK1598" i="21"/>
  <c r="AL1598" i="21" s="1"/>
  <c r="AM1598" i="21" s="1"/>
  <c r="AK1590" i="21"/>
  <c r="AL1590" i="21" s="1"/>
  <c r="AM1590" i="21" s="1"/>
  <c r="AK1582" i="21"/>
  <c r="AL1582" i="21" s="1"/>
  <c r="AM1582" i="21" s="1"/>
  <c r="AK1574" i="21"/>
  <c r="AL1574" i="21" s="1"/>
  <c r="AM1574" i="21" s="1"/>
  <c r="AK1566" i="21"/>
  <c r="AL1566" i="21" s="1"/>
  <c r="AM1566" i="21" s="1"/>
  <c r="AK1558" i="21"/>
  <c r="AL1558" i="21" s="1"/>
  <c r="AM1558" i="21" s="1"/>
  <c r="AK1550" i="21"/>
  <c r="AL1550" i="21" s="1"/>
  <c r="AM1550" i="21" s="1"/>
  <c r="AK1542" i="21"/>
  <c r="AL1542" i="21" s="1"/>
  <c r="AM1542" i="21" s="1"/>
  <c r="AA1523" i="21"/>
  <c r="AB1523" i="21"/>
  <c r="AM1520" i="21"/>
  <c r="AA1513" i="21"/>
  <c r="AB1513" i="21" s="1"/>
  <c r="AH1502" i="21"/>
  <c r="AK1502" i="21"/>
  <c r="AL1502" i="21" s="1"/>
  <c r="AM1502" i="21" s="1"/>
  <c r="AH1496" i="21"/>
  <c r="AK1496" i="21"/>
  <c r="AL1496" i="21" s="1"/>
  <c r="AM1496" i="21" s="1"/>
  <c r="AK1491" i="21"/>
  <c r="AL1491" i="21" s="1"/>
  <c r="AH1491" i="21"/>
  <c r="AK1461" i="21"/>
  <c r="AL1461" i="21" s="1"/>
  <c r="AH1461" i="21"/>
  <c r="AL1457" i="21"/>
  <c r="AM1457" i="21" s="1"/>
  <c r="AM1455" i="21"/>
  <c r="AH1448" i="21"/>
  <c r="AK1448" i="21"/>
  <c r="AL1448" i="21" s="1"/>
  <c r="AM1448" i="21" s="1"/>
  <c r="AK1436" i="21"/>
  <c r="AL1436" i="21" s="1"/>
  <c r="AM1436" i="21" s="1"/>
  <c r="AH1436" i="21"/>
  <c r="AK1413" i="21"/>
  <c r="AL1413" i="21" s="1"/>
  <c r="AM1413" i="21" s="1"/>
  <c r="AH1413" i="21"/>
  <c r="AL1409" i="21"/>
  <c r="AM1409" i="21" s="1"/>
  <c r="AM1407" i="21"/>
  <c r="AH1398" i="21"/>
  <c r="AK1398" i="21"/>
  <c r="AL1398" i="21" s="1"/>
  <c r="AH1392" i="21"/>
  <c r="AK1392" i="21"/>
  <c r="AK1387" i="21"/>
  <c r="AL1387" i="21" s="1"/>
  <c r="AM1387" i="21" s="1"/>
  <c r="AH1387" i="21"/>
  <c r="AL1376" i="21"/>
  <c r="AK1372" i="21"/>
  <c r="AL1372" i="21" s="1"/>
  <c r="AH1372" i="21"/>
  <c r="AM1367" i="21"/>
  <c r="AH1362" i="21"/>
  <c r="AK1362" i="21"/>
  <c r="AL1362" i="21" s="1"/>
  <c r="AB1542" i="21"/>
  <c r="AB1528" i="21"/>
  <c r="AL1521" i="21"/>
  <c r="AB1521" i="21"/>
  <c r="AK1509" i="21"/>
  <c r="AL1509" i="21" s="1"/>
  <c r="AM1509" i="21" s="1"/>
  <c r="AH1509" i="21"/>
  <c r="AL1505" i="21"/>
  <c r="AM1505" i="21" s="1"/>
  <c r="AH1494" i="21"/>
  <c r="AK1494" i="21"/>
  <c r="AL1494" i="21" s="1"/>
  <c r="AH1488" i="21"/>
  <c r="AK1488" i="21"/>
  <c r="AK1483" i="21"/>
  <c r="AL1483" i="21" s="1"/>
  <c r="AM1483" i="21" s="1"/>
  <c r="AH1483" i="21"/>
  <c r="AK1453" i="21"/>
  <c r="AL1453" i="21" s="1"/>
  <c r="AM1453" i="21" s="1"/>
  <c r="AH1453" i="21"/>
  <c r="AH1446" i="21"/>
  <c r="AK1446" i="21"/>
  <c r="AL1446" i="21" s="1"/>
  <c r="AM1446" i="21" s="1"/>
  <c r="AK1443" i="21"/>
  <c r="AL1443" i="21" s="1"/>
  <c r="AH1443" i="21"/>
  <c r="AK1428" i="21"/>
  <c r="AL1428" i="21" s="1"/>
  <c r="AM1428" i="21" s="1"/>
  <c r="AH1428" i="21"/>
  <c r="AK1405" i="21"/>
  <c r="AL1405" i="21" s="1"/>
  <c r="AM1405" i="21" s="1"/>
  <c r="AH1405" i="21"/>
  <c r="AM1399" i="21"/>
  <c r="AH1390" i="21"/>
  <c r="AK1390" i="21"/>
  <c r="AL1390" i="21" s="1"/>
  <c r="AM1390" i="21" s="1"/>
  <c r="AH1384" i="21"/>
  <c r="AK1384" i="21"/>
  <c r="AL1384" i="21" s="1"/>
  <c r="AM1384" i="21" s="1"/>
  <c r="AK1379" i="21"/>
  <c r="AL1379" i="21" s="1"/>
  <c r="AH1379" i="21"/>
  <c r="AM1362" i="21"/>
  <c r="AB1637" i="21"/>
  <c r="AB1629" i="21"/>
  <c r="AB1621" i="21"/>
  <c r="AB1613" i="21"/>
  <c r="AB1605" i="21"/>
  <c r="AB1597" i="21"/>
  <c r="AB1589" i="21"/>
  <c r="AB1581" i="21"/>
  <c r="AB1573" i="21"/>
  <c r="AB1565" i="21"/>
  <c r="AB1557" i="21"/>
  <c r="AB1549" i="21"/>
  <c r="AB1541" i="21"/>
  <c r="AA1531" i="21"/>
  <c r="AB1531" i="21"/>
  <c r="AL1528" i="21"/>
  <c r="AM1528" i="21" s="1"/>
  <c r="AK1501" i="21"/>
  <c r="AL1501" i="21" s="1"/>
  <c r="AM1501" i="21" s="1"/>
  <c r="AH1501" i="21"/>
  <c r="AM1495" i="21"/>
  <c r="AB1492" i="21"/>
  <c r="AH1486" i="21"/>
  <c r="AK1486" i="21"/>
  <c r="AL1486" i="21" s="1"/>
  <c r="AH1480" i="21"/>
  <c r="AK1480" i="21"/>
  <c r="AL1480" i="21" s="1"/>
  <c r="AM1480" i="21" s="1"/>
  <c r="AL1472" i="21"/>
  <c r="AM1472" i="21" s="1"/>
  <c r="AK1468" i="21"/>
  <c r="AL1468" i="21" s="1"/>
  <c r="AH1468" i="21"/>
  <c r="AL1449" i="21"/>
  <c r="AM1449" i="21" s="1"/>
  <c r="AH1440" i="21"/>
  <c r="AK1440" i="21"/>
  <c r="AL1440" i="21" s="1"/>
  <c r="AM1440" i="21" s="1"/>
  <c r="AK1435" i="21"/>
  <c r="AL1435" i="21" s="1"/>
  <c r="AM1435" i="21" s="1"/>
  <c r="AH1435" i="21"/>
  <c r="AL1424" i="21"/>
  <c r="AM1424" i="21" s="1"/>
  <c r="AK1420" i="21"/>
  <c r="AL1420" i="21" s="1"/>
  <c r="AH1420" i="21"/>
  <c r="AK1397" i="21"/>
  <c r="AL1397" i="21" s="1"/>
  <c r="AH1397" i="21"/>
  <c r="AL1393" i="21"/>
  <c r="AM1393" i="21" s="1"/>
  <c r="AH1382" i="21"/>
  <c r="AK1382" i="21"/>
  <c r="AL1382" i="21" s="1"/>
  <c r="AH1376" i="21"/>
  <c r="AK1376" i="21"/>
  <c r="AK1371" i="21"/>
  <c r="AL1371" i="21" s="1"/>
  <c r="AM1371" i="21" s="1"/>
  <c r="AH1371" i="21"/>
  <c r="AH1366" i="21"/>
  <c r="AK1366" i="21"/>
  <c r="AH1352" i="21"/>
  <c r="AK1352" i="21"/>
  <c r="AL1352" i="21" s="1"/>
  <c r="AM1529" i="21"/>
  <c r="AH1521" i="21"/>
  <c r="AB1512" i="21"/>
  <c r="AK1493" i="21"/>
  <c r="AL1493" i="21" s="1"/>
  <c r="AH1493" i="21"/>
  <c r="AL1489" i="21"/>
  <c r="AM1489" i="21" s="1"/>
  <c r="AH1478" i="21"/>
  <c r="AK1478" i="21"/>
  <c r="AL1478" i="21" s="1"/>
  <c r="AM1478" i="21" s="1"/>
  <c r="AK1475" i="21"/>
  <c r="AL1475" i="21" s="1"/>
  <c r="AH1475" i="21"/>
  <c r="AK1460" i="21"/>
  <c r="AL1460" i="21" s="1"/>
  <c r="AM1460" i="21" s="1"/>
  <c r="AH1460" i="21"/>
  <c r="AK1445" i="21"/>
  <c r="AL1445" i="21" s="1"/>
  <c r="AM1445" i="21" s="1"/>
  <c r="AH1445" i="21"/>
  <c r="AB1444" i="21"/>
  <c r="AH1438" i="21"/>
  <c r="AK1438" i="21"/>
  <c r="AL1438" i="21" s="1"/>
  <c r="AM1438" i="21" s="1"/>
  <c r="AH1432" i="21"/>
  <c r="AK1432" i="21"/>
  <c r="AL1432" i="21" s="1"/>
  <c r="AM1432" i="21" s="1"/>
  <c r="AK1427" i="21"/>
  <c r="AL1427" i="21" s="1"/>
  <c r="AH1427" i="21"/>
  <c r="AL1416" i="21"/>
  <c r="AK1412" i="21"/>
  <c r="AL1412" i="21" s="1"/>
  <c r="AM1412" i="21" s="1"/>
  <c r="AH1412" i="21"/>
  <c r="AK1389" i="21"/>
  <c r="AL1389" i="21" s="1"/>
  <c r="AM1389" i="21" s="1"/>
  <c r="AH1389" i="21"/>
  <c r="AM1383" i="21"/>
  <c r="AH1374" i="21"/>
  <c r="AK1374" i="21"/>
  <c r="AL1374" i="21" s="1"/>
  <c r="AM1374" i="21" s="1"/>
  <c r="AH1368" i="21"/>
  <c r="AK1368" i="21"/>
  <c r="AL1368" i="21" s="1"/>
  <c r="AM1368" i="21" s="1"/>
  <c r="AM1363" i="21"/>
  <c r="AH1361" i="21"/>
  <c r="AK1361" i="21"/>
  <c r="AA1524" i="21"/>
  <c r="AB1524" i="21" s="1"/>
  <c r="AA1516" i="21"/>
  <c r="AB1515" i="21"/>
  <c r="AA1508" i="21"/>
  <c r="AB1508" i="21" s="1"/>
  <c r="AB1507" i="21"/>
  <c r="AK1506" i="21"/>
  <c r="AL1506" i="21" s="1"/>
  <c r="AM1506" i="21" s="1"/>
  <c r="AA1500" i="21"/>
  <c r="AB1500" i="21" s="1"/>
  <c r="AB1499" i="21"/>
  <c r="AK1498" i="21"/>
  <c r="AL1498" i="21" s="1"/>
  <c r="AM1498" i="21" s="1"/>
  <c r="AA1492" i="21"/>
  <c r="AB1491" i="21"/>
  <c r="AK1490" i="21"/>
  <c r="AL1490" i="21" s="1"/>
  <c r="AM1490" i="21" s="1"/>
  <c r="AA1484" i="21"/>
  <c r="AB1484" i="21" s="1"/>
  <c r="AB1483" i="21"/>
  <c r="AK1482" i="21"/>
  <c r="AL1482" i="21" s="1"/>
  <c r="AM1482" i="21" s="1"/>
  <c r="AA1476" i="21"/>
  <c r="AB1476" i="21" s="1"/>
  <c r="AB1475" i="21"/>
  <c r="AK1474" i="21"/>
  <c r="AL1474" i="21" s="1"/>
  <c r="AM1474" i="21" s="1"/>
  <c r="AA1468" i="21"/>
  <c r="AB1468" i="21" s="1"/>
  <c r="AB1467" i="21"/>
  <c r="AK1466" i="21"/>
  <c r="AL1466" i="21" s="1"/>
  <c r="AM1466" i="21" s="1"/>
  <c r="AA1460" i="21"/>
  <c r="AB1459" i="21"/>
  <c r="AK1458" i="21"/>
  <c r="AL1458" i="21" s="1"/>
  <c r="AM1458" i="21" s="1"/>
  <c r="AA1452" i="21"/>
  <c r="AB1452" i="21" s="1"/>
  <c r="AB1451" i="21"/>
  <c r="AK1450" i="21"/>
  <c r="AL1450" i="21" s="1"/>
  <c r="AM1450" i="21" s="1"/>
  <c r="AA1444" i="21"/>
  <c r="AB1443" i="21"/>
  <c r="AK1442" i="21"/>
  <c r="AL1442" i="21" s="1"/>
  <c r="AM1442" i="21" s="1"/>
  <c r="AA1436" i="21"/>
  <c r="AB1436" i="21" s="1"/>
  <c r="AB1435" i="21"/>
  <c r="AK1434" i="21"/>
  <c r="AL1434" i="21" s="1"/>
  <c r="AM1434" i="21" s="1"/>
  <c r="AA1428" i="21"/>
  <c r="AB1428" i="21" s="1"/>
  <c r="AB1427" i="21"/>
  <c r="AK1426" i="21"/>
  <c r="AL1426" i="21" s="1"/>
  <c r="AM1426" i="21" s="1"/>
  <c r="AA1420" i="21"/>
  <c r="AB1420" i="21" s="1"/>
  <c r="AB1419" i="21"/>
  <c r="AK1418" i="21"/>
  <c r="AL1418" i="21" s="1"/>
  <c r="AM1418" i="21" s="1"/>
  <c r="AB1411" i="21"/>
  <c r="AK1410" i="21"/>
  <c r="AL1410" i="21" s="1"/>
  <c r="AM1410" i="21" s="1"/>
  <c r="AB1403" i="21"/>
  <c r="AK1402" i="21"/>
  <c r="AL1402" i="21" s="1"/>
  <c r="AM1402" i="21" s="1"/>
  <c r="AB1395" i="21"/>
  <c r="AK1394" i="21"/>
  <c r="AL1394" i="21" s="1"/>
  <c r="AM1394" i="21" s="1"/>
  <c r="AB1387" i="21"/>
  <c r="AK1386" i="21"/>
  <c r="AL1386" i="21" s="1"/>
  <c r="AM1386" i="21" s="1"/>
  <c r="AB1379" i="21"/>
  <c r="AK1378" i="21"/>
  <c r="AL1378" i="21" s="1"/>
  <c r="AM1378" i="21" s="1"/>
  <c r="AB1371" i="21"/>
  <c r="AK1370" i="21"/>
  <c r="AL1370" i="21" s="1"/>
  <c r="AM1370" i="21" s="1"/>
  <c r="AH1358" i="21"/>
  <c r="AH1350" i="21"/>
  <c r="AH1346" i="21"/>
  <c r="AK1346" i="21"/>
  <c r="AL1346" i="21" s="1"/>
  <c r="AM1346" i="21" s="1"/>
  <c r="AL1326" i="21"/>
  <c r="AM1326" i="21" s="1"/>
  <c r="AK1317" i="21"/>
  <c r="AH1317" i="21"/>
  <c r="AK1315" i="21"/>
  <c r="AL1315" i="21" s="1"/>
  <c r="AM1315" i="21" s="1"/>
  <c r="AH1315" i="21"/>
  <c r="AH1294" i="21"/>
  <c r="AK1294" i="21"/>
  <c r="AH1289" i="21"/>
  <c r="AK1289" i="21"/>
  <c r="AL1289" i="21" s="1"/>
  <c r="AM1289" i="21" s="1"/>
  <c r="AM1276" i="21"/>
  <c r="AH1266" i="21"/>
  <c r="AK1266" i="21"/>
  <c r="AL1266" i="21" s="1"/>
  <c r="AK1253" i="21"/>
  <c r="AH1253" i="21"/>
  <c r="AK1251" i="21"/>
  <c r="AL1251" i="21" s="1"/>
  <c r="AM1251" i="21" s="1"/>
  <c r="AH1251" i="21"/>
  <c r="AH1230" i="21"/>
  <c r="AK1230" i="21"/>
  <c r="AL1230" i="21" s="1"/>
  <c r="AM1230" i="21" s="1"/>
  <c r="AH1225" i="21"/>
  <c r="AK1225" i="21"/>
  <c r="AM1212" i="21"/>
  <c r="AM1197" i="21"/>
  <c r="AB1514" i="21"/>
  <c r="AH1508" i="21"/>
  <c r="AM1508" i="21" s="1"/>
  <c r="AB1506" i="21"/>
  <c r="AH1500" i="21"/>
  <c r="AM1500" i="21" s="1"/>
  <c r="AB1498" i="21"/>
  <c r="AB1490" i="21"/>
  <c r="AH1484" i="21"/>
  <c r="AB1482" i="21"/>
  <c r="AH1476" i="21"/>
  <c r="AM1476" i="21" s="1"/>
  <c r="AB1474" i="21"/>
  <c r="AB1466" i="21"/>
  <c r="AB1458" i="21"/>
  <c r="AH1452" i="21"/>
  <c r="AM1452" i="21" s="1"/>
  <c r="AB1450" i="21"/>
  <c r="AH1444" i="21"/>
  <c r="AB1442" i="21"/>
  <c r="AB1434" i="21"/>
  <c r="AB1426" i="21"/>
  <c r="AB1418" i="21"/>
  <c r="AB1410" i="21"/>
  <c r="AB1402" i="21"/>
  <c r="AB1394" i="21"/>
  <c r="AB1386" i="21"/>
  <c r="AB1378" i="21"/>
  <c r="AB1370" i="21"/>
  <c r="AK1365" i="21"/>
  <c r="AL1365" i="21" s="1"/>
  <c r="AM1365" i="21" s="1"/>
  <c r="AK1341" i="21"/>
  <c r="AH1341" i="21"/>
  <c r="AK1339" i="21"/>
  <c r="AL1339" i="21" s="1"/>
  <c r="AM1339" i="21" s="1"/>
  <c r="AH1339" i="21"/>
  <c r="AH1329" i="21"/>
  <c r="AK1329" i="21"/>
  <c r="AL1329" i="21" s="1"/>
  <c r="AM1329" i="21" s="1"/>
  <c r="AH1322" i="21"/>
  <c r="AK1322" i="21"/>
  <c r="AL1322" i="21" s="1"/>
  <c r="AK1309" i="21"/>
  <c r="AH1309" i="21"/>
  <c r="AK1307" i="21"/>
  <c r="AL1307" i="21" s="1"/>
  <c r="AM1307" i="21" s="1"/>
  <c r="AH1307" i="21"/>
  <c r="AL1293" i="21"/>
  <c r="AH1286" i="21"/>
  <c r="AK1286" i="21"/>
  <c r="AH1281" i="21"/>
  <c r="AK1281" i="21"/>
  <c r="AL1281" i="21" s="1"/>
  <c r="AM1281" i="21" s="1"/>
  <c r="AL1265" i="21"/>
  <c r="AH1258" i="21"/>
  <c r="AK1258" i="21"/>
  <c r="AL1258" i="21" s="1"/>
  <c r="AM1258" i="21" s="1"/>
  <c r="AK1245" i="21"/>
  <c r="AH1245" i="21"/>
  <c r="AK1243" i="21"/>
  <c r="AL1243" i="21" s="1"/>
  <c r="AH1243" i="21"/>
  <c r="AH1222" i="21"/>
  <c r="AK1222" i="21"/>
  <c r="AH1217" i="21"/>
  <c r="AK1217" i="21"/>
  <c r="AL1206" i="21"/>
  <c r="AB1505" i="21"/>
  <c r="AB1497" i="21"/>
  <c r="AB1489" i="21"/>
  <c r="AB1481" i="21"/>
  <c r="AB1473" i="21"/>
  <c r="AB1465" i="21"/>
  <c r="AB1457" i="21"/>
  <c r="AB1449" i="21"/>
  <c r="AB1441" i="21"/>
  <c r="AB1433" i="21"/>
  <c r="AB1425" i="21"/>
  <c r="AB1417" i="21"/>
  <c r="AB1409" i="21"/>
  <c r="AB1401" i="21"/>
  <c r="AB1393" i="21"/>
  <c r="AB1385" i="21"/>
  <c r="AB1377" i="21"/>
  <c r="AB1369" i="21"/>
  <c r="AL1366" i="21"/>
  <c r="AM1366" i="21" s="1"/>
  <c r="AA1359" i="21"/>
  <c r="AB1359" i="21" s="1"/>
  <c r="AA1351" i="21"/>
  <c r="AB1351" i="21"/>
  <c r="AL1342" i="21"/>
  <c r="AM1342" i="21" s="1"/>
  <c r="AL1321" i="21"/>
  <c r="AH1314" i="21"/>
  <c r="AK1314" i="21"/>
  <c r="AL1314" i="21" s="1"/>
  <c r="AM1314" i="21" s="1"/>
  <c r="AK1301" i="21"/>
  <c r="AL1301" i="21" s="1"/>
  <c r="AM1301" i="21" s="1"/>
  <c r="AH1301" i="21"/>
  <c r="AK1299" i="21"/>
  <c r="AL1299" i="21" s="1"/>
  <c r="AH1299" i="21"/>
  <c r="AH1278" i="21"/>
  <c r="AK1278" i="21"/>
  <c r="AL1278" i="21" s="1"/>
  <c r="AM1278" i="21" s="1"/>
  <c r="AH1273" i="21"/>
  <c r="AK1273" i="21"/>
  <c r="AL1273" i="21" s="1"/>
  <c r="AM1273" i="21" s="1"/>
  <c r="AL1262" i="21"/>
  <c r="AH1250" i="21"/>
  <c r="AK1250" i="21"/>
  <c r="AL1250" i="21" s="1"/>
  <c r="AK1237" i="21"/>
  <c r="AL1237" i="21" s="1"/>
  <c r="AM1237" i="21" s="1"/>
  <c r="AH1237" i="21"/>
  <c r="AK1235" i="21"/>
  <c r="AL1235" i="21" s="1"/>
  <c r="AM1235" i="21" s="1"/>
  <c r="AH1235" i="21"/>
  <c r="AL1221" i="21"/>
  <c r="AH1214" i="21"/>
  <c r="AK1214" i="21"/>
  <c r="AL1214" i="21" s="1"/>
  <c r="AM1214" i="21" s="1"/>
  <c r="AH1209" i="21"/>
  <c r="AK1209" i="21"/>
  <c r="AL1209" i="21" s="1"/>
  <c r="AM1209" i="21" s="1"/>
  <c r="AH1354" i="21"/>
  <c r="AK1354" i="21"/>
  <c r="AL1354" i="21" s="1"/>
  <c r="AH1345" i="21"/>
  <c r="AK1345" i="21"/>
  <c r="AL1345" i="21" s="1"/>
  <c r="AM1345" i="21" s="1"/>
  <c r="AH1338" i="21"/>
  <c r="AK1338" i="21"/>
  <c r="AL1338" i="21" s="1"/>
  <c r="AM1316" i="21"/>
  <c r="AH1306" i="21"/>
  <c r="AK1306" i="21"/>
  <c r="AL1306" i="21" s="1"/>
  <c r="AM1306" i="21" s="1"/>
  <c r="AK1293" i="21"/>
  <c r="AH1293" i="21"/>
  <c r="AK1291" i="21"/>
  <c r="AL1291" i="21" s="1"/>
  <c r="AH1291" i="21"/>
  <c r="AH1270" i="21"/>
  <c r="AK1270" i="21"/>
  <c r="AL1270" i="21" s="1"/>
  <c r="AM1270" i="21" s="1"/>
  <c r="AH1265" i="21"/>
  <c r="AK1265" i="21"/>
  <c r="AM1252" i="21"/>
  <c r="AL1249" i="21"/>
  <c r="AH1242" i="21"/>
  <c r="AK1242" i="21"/>
  <c r="AL1242" i="21" s="1"/>
  <c r="AM1242" i="21" s="1"/>
  <c r="AK1229" i="21"/>
  <c r="AL1229" i="21" s="1"/>
  <c r="AM1229" i="21" s="1"/>
  <c r="AH1229" i="21"/>
  <c r="AK1227" i="21"/>
  <c r="AL1227" i="21" s="1"/>
  <c r="AH1227" i="21"/>
  <c r="AH1206" i="21"/>
  <c r="AK1206" i="21"/>
  <c r="AM1201" i="21"/>
  <c r="AK1198" i="21"/>
  <c r="AL1198" i="21" s="1"/>
  <c r="AH1198" i="21"/>
  <c r="AB1368" i="21"/>
  <c r="AL1361" i="21"/>
  <c r="AM1361" i="21" s="1"/>
  <c r="AH1359" i="21"/>
  <c r="AM1359" i="21" s="1"/>
  <c r="AK1357" i="21"/>
  <c r="AL1357" i="21" s="1"/>
  <c r="AM1357" i="21" s="1"/>
  <c r="AH1357" i="21"/>
  <c r="AK1355" i="21"/>
  <c r="AL1355" i="21" s="1"/>
  <c r="AM1355" i="21" s="1"/>
  <c r="AH1351" i="21"/>
  <c r="AK1349" i="21"/>
  <c r="AL1349" i="21" s="1"/>
  <c r="AM1349" i="21" s="1"/>
  <c r="AH1349" i="21"/>
  <c r="AM1340" i="21"/>
  <c r="AK1333" i="21"/>
  <c r="AL1333" i="21" s="1"/>
  <c r="AM1333" i="21" s="1"/>
  <c r="AH1333" i="21"/>
  <c r="AK1331" i="21"/>
  <c r="AL1331" i="21" s="1"/>
  <c r="AM1331" i="21" s="1"/>
  <c r="AH1331" i="21"/>
  <c r="AH1321" i="21"/>
  <c r="AK1321" i="21"/>
  <c r="AL1310" i="21"/>
  <c r="AM1308" i="21"/>
  <c r="AH1298" i="21"/>
  <c r="AK1298" i="21"/>
  <c r="AL1298" i="21" s="1"/>
  <c r="AM1298" i="21" s="1"/>
  <c r="AK1285" i="21"/>
  <c r="AL1285" i="21" s="1"/>
  <c r="AM1285" i="21" s="1"/>
  <c r="AH1285" i="21"/>
  <c r="AK1283" i="21"/>
  <c r="AL1283" i="21" s="1"/>
  <c r="AH1283" i="21"/>
  <c r="AH1262" i="21"/>
  <c r="AK1262" i="21"/>
  <c r="AH1257" i="21"/>
  <c r="AK1257" i="21"/>
  <c r="AL1257" i="21" s="1"/>
  <c r="AM1257" i="21" s="1"/>
  <c r="AM1244" i="21"/>
  <c r="AH1234" i="21"/>
  <c r="AK1234" i="21"/>
  <c r="AL1234" i="21" s="1"/>
  <c r="AK1221" i="21"/>
  <c r="AH1221" i="21"/>
  <c r="AK1219" i="21"/>
  <c r="AL1219" i="21" s="1"/>
  <c r="AM1219" i="21" s="1"/>
  <c r="AH1219" i="21"/>
  <c r="AM1200" i="21"/>
  <c r="AM1182" i="21"/>
  <c r="AL1353" i="21"/>
  <c r="AM1353" i="21" s="1"/>
  <c r="AM1351" i="21"/>
  <c r="AK1347" i="21"/>
  <c r="AL1347" i="21" s="1"/>
  <c r="AM1347" i="21" s="1"/>
  <c r="AH1347" i="21"/>
  <c r="AH1344" i="21"/>
  <c r="AK1344" i="21"/>
  <c r="AL1344" i="21" s="1"/>
  <c r="AH1318" i="21"/>
  <c r="AK1318" i="21"/>
  <c r="AL1318" i="21" s="1"/>
  <c r="AM1318" i="21" s="1"/>
  <c r="AH1313" i="21"/>
  <c r="AK1313" i="21"/>
  <c r="AL1313" i="21" s="1"/>
  <c r="AM1313" i="21" s="1"/>
  <c r="AH1290" i="21"/>
  <c r="AK1290" i="21"/>
  <c r="AL1290" i="21" s="1"/>
  <c r="AM1290" i="21" s="1"/>
  <c r="AK1277" i="21"/>
  <c r="AL1277" i="21" s="1"/>
  <c r="AM1277" i="21" s="1"/>
  <c r="AH1277" i="21"/>
  <c r="AK1275" i="21"/>
  <c r="AL1275" i="21" s="1"/>
  <c r="AH1275" i="21"/>
  <c r="AH1254" i="21"/>
  <c r="AK1254" i="21"/>
  <c r="AL1254" i="21" s="1"/>
  <c r="AM1254" i="21" s="1"/>
  <c r="AH1249" i="21"/>
  <c r="AK1249" i="21"/>
  <c r="AH1226" i="21"/>
  <c r="AK1226" i="21"/>
  <c r="AL1226" i="21" s="1"/>
  <c r="AK1213" i="21"/>
  <c r="AL1213" i="21" s="1"/>
  <c r="AM1213" i="21" s="1"/>
  <c r="AH1213" i="21"/>
  <c r="AK1211" i="21"/>
  <c r="AL1211" i="21" s="1"/>
  <c r="AM1211" i="21" s="1"/>
  <c r="AH1211" i="21"/>
  <c r="AH1205" i="21"/>
  <c r="AK1205" i="21"/>
  <c r="AL1205" i="21" s="1"/>
  <c r="AB1509" i="21"/>
  <c r="AB1501" i="21"/>
  <c r="AB1485" i="21"/>
  <c r="AM1358" i="21"/>
  <c r="AB1358" i="21"/>
  <c r="AL1350" i="21"/>
  <c r="AB1350" i="21"/>
  <c r="AH1337" i="21"/>
  <c r="AK1337" i="21"/>
  <c r="AL1337" i="21" s="1"/>
  <c r="AM1337" i="21" s="1"/>
  <c r="AH1330" i="21"/>
  <c r="AK1330" i="21"/>
  <c r="AL1330" i="21" s="1"/>
  <c r="AM1330" i="21" s="1"/>
  <c r="AL1317" i="21"/>
  <c r="AM1317" i="21" s="1"/>
  <c r="AH1310" i="21"/>
  <c r="AK1310" i="21"/>
  <c r="AH1305" i="21"/>
  <c r="AK1305" i="21"/>
  <c r="AL1305" i="21" s="1"/>
  <c r="AM1305" i="21" s="1"/>
  <c r="AL1294" i="21"/>
  <c r="AM1294" i="21" s="1"/>
  <c r="AH1282" i="21"/>
  <c r="AK1282" i="21"/>
  <c r="AL1282" i="21" s="1"/>
  <c r="AK1269" i="21"/>
  <c r="AL1269" i="21" s="1"/>
  <c r="AM1269" i="21" s="1"/>
  <c r="AH1269" i="21"/>
  <c r="AK1267" i="21"/>
  <c r="AL1267" i="21" s="1"/>
  <c r="AM1267" i="21" s="1"/>
  <c r="AH1267" i="21"/>
  <c r="AL1253" i="21"/>
  <c r="AM1253" i="21" s="1"/>
  <c r="AH1246" i="21"/>
  <c r="AK1246" i="21"/>
  <c r="AL1246" i="21" s="1"/>
  <c r="AM1246" i="21" s="1"/>
  <c r="AH1241" i="21"/>
  <c r="AK1241" i="21"/>
  <c r="AL1241" i="21" s="1"/>
  <c r="AM1241" i="21" s="1"/>
  <c r="AL1225" i="21"/>
  <c r="AM1225" i="21" s="1"/>
  <c r="AH1218" i="21"/>
  <c r="AK1218" i="21"/>
  <c r="AL1218" i="21" s="1"/>
  <c r="AM1218" i="21" s="1"/>
  <c r="AH1353" i="21"/>
  <c r="AK1353" i="21"/>
  <c r="AL1348" i="21"/>
  <c r="AM1348" i="21" s="1"/>
  <c r="AL1341" i="21"/>
  <c r="AM1341" i="21" s="1"/>
  <c r="AM1332" i="21"/>
  <c r="AK1325" i="21"/>
  <c r="AL1325" i="21" s="1"/>
  <c r="AM1325" i="21" s="1"/>
  <c r="AH1325" i="21"/>
  <c r="AK1323" i="21"/>
  <c r="AL1323" i="21" s="1"/>
  <c r="AM1323" i="21" s="1"/>
  <c r="AH1323" i="21"/>
  <c r="AL1309" i="21"/>
  <c r="AM1309" i="21" s="1"/>
  <c r="AH1302" i="21"/>
  <c r="AK1302" i="21"/>
  <c r="AL1302" i="21" s="1"/>
  <c r="AM1302" i="21" s="1"/>
  <c r="AH1297" i="21"/>
  <c r="AK1297" i="21"/>
  <c r="AL1297" i="21" s="1"/>
  <c r="AM1297" i="21" s="1"/>
  <c r="AL1286" i="21"/>
  <c r="AM1286" i="21" s="1"/>
  <c r="AM1284" i="21"/>
  <c r="AH1274" i="21"/>
  <c r="AK1274" i="21"/>
  <c r="AL1274" i="21" s="1"/>
  <c r="AK1261" i="21"/>
  <c r="AL1261" i="21" s="1"/>
  <c r="AM1261" i="21" s="1"/>
  <c r="AH1261" i="21"/>
  <c r="AK1259" i="21"/>
  <c r="AL1259" i="21" s="1"/>
  <c r="AM1259" i="21" s="1"/>
  <c r="AH1259" i="21"/>
  <c r="AL1245" i="21"/>
  <c r="AM1245" i="21" s="1"/>
  <c r="AH1238" i="21"/>
  <c r="AK1238" i="21"/>
  <c r="AL1238" i="21" s="1"/>
  <c r="AM1238" i="21" s="1"/>
  <c r="AH1233" i="21"/>
  <c r="AK1233" i="21"/>
  <c r="AL1233" i="21" s="1"/>
  <c r="AM1233" i="21" s="1"/>
  <c r="AL1222" i="21"/>
  <c r="AM1220" i="21"/>
  <c r="AL1217" i="21"/>
  <c r="AM1217" i="21" s="1"/>
  <c r="AH1210" i="21"/>
  <c r="AK1210" i="21"/>
  <c r="AL1210" i="21" s="1"/>
  <c r="AB1363" i="21"/>
  <c r="AB1355" i="21"/>
  <c r="AB1347" i="21"/>
  <c r="AB1339" i="21"/>
  <c r="AB1331" i="21"/>
  <c r="AB1323" i="21"/>
  <c r="AB1315" i="21"/>
  <c r="AB1307" i="21"/>
  <c r="AB1299" i="21"/>
  <c r="AB1291" i="21"/>
  <c r="AB1283" i="21"/>
  <c r="AB1275" i="21"/>
  <c r="AB1267" i="21"/>
  <c r="AB1259" i="21"/>
  <c r="AB1251" i="21"/>
  <c r="AB1243" i="21"/>
  <c r="AB1235" i="21"/>
  <c r="AB1227" i="21"/>
  <c r="AB1219" i="21"/>
  <c r="AB1211" i="21"/>
  <c r="AB1196" i="21"/>
  <c r="AB1195" i="21"/>
  <c r="AK1189" i="21"/>
  <c r="AL1189" i="21" s="1"/>
  <c r="AM1189" i="21" s="1"/>
  <c r="AH1188" i="21"/>
  <c r="AB1186" i="21"/>
  <c r="AB1179" i="21"/>
  <c r="AH1172" i="21"/>
  <c r="AB1170" i="21"/>
  <c r="AL1163" i="21"/>
  <c r="AM1163" i="21" s="1"/>
  <c r="AB1163" i="21"/>
  <c r="AH1156" i="21"/>
  <c r="AH1148" i="21"/>
  <c r="AM1148" i="21" s="1"/>
  <c r="AH1143" i="21"/>
  <c r="AK1143" i="21"/>
  <c r="AL1143" i="21" s="1"/>
  <c r="AM1143" i="21" s="1"/>
  <c r="AM1134" i="21"/>
  <c r="AL1110" i="21"/>
  <c r="AH1108" i="21"/>
  <c r="AK1108" i="21"/>
  <c r="AK1098" i="21"/>
  <c r="AL1098" i="21" s="1"/>
  <c r="AM1098" i="21" s="1"/>
  <c r="AH1098" i="21"/>
  <c r="AL1092" i="21"/>
  <c r="AH1080" i="21"/>
  <c r="AK1080" i="21"/>
  <c r="AL1080" i="21" s="1"/>
  <c r="AM1080" i="21" s="1"/>
  <c r="AH1058" i="21"/>
  <c r="AK1058" i="21"/>
  <c r="AH1049" i="21"/>
  <c r="AK1049" i="21"/>
  <c r="AH1195" i="21"/>
  <c r="AH1182" i="21"/>
  <c r="AB1180" i="21"/>
  <c r="AH1166" i="21"/>
  <c r="AM1166" i="21" s="1"/>
  <c r="AB1164" i="21"/>
  <c r="AA1142" i="21"/>
  <c r="AB1142" i="21"/>
  <c r="AH1132" i="21"/>
  <c r="AK1132" i="21"/>
  <c r="AH1128" i="21"/>
  <c r="AK1128" i="21"/>
  <c r="AL1128" i="21" s="1"/>
  <c r="AH1118" i="21"/>
  <c r="AK1118" i="21"/>
  <c r="AH1100" i="21"/>
  <c r="AK1100" i="21"/>
  <c r="AK1090" i="21"/>
  <c r="AL1090" i="21" s="1"/>
  <c r="AM1090" i="21" s="1"/>
  <c r="AH1090" i="21"/>
  <c r="AH1072" i="21"/>
  <c r="AK1072" i="21"/>
  <c r="AL1072" i="21" s="1"/>
  <c r="AM1072" i="21" s="1"/>
  <c r="AK1042" i="21"/>
  <c r="AH1042" i="21"/>
  <c r="AK1336" i="21"/>
  <c r="AL1336" i="21" s="1"/>
  <c r="AM1336" i="21" s="1"/>
  <c r="AK1328" i="21"/>
  <c r="AL1328" i="21" s="1"/>
  <c r="AM1328" i="21" s="1"/>
  <c r="AB1321" i="21"/>
  <c r="AK1320" i="21"/>
  <c r="AL1320" i="21" s="1"/>
  <c r="AM1320" i="21" s="1"/>
  <c r="AK1312" i="21"/>
  <c r="AL1312" i="21" s="1"/>
  <c r="AM1312" i="21" s="1"/>
  <c r="AB1305" i="21"/>
  <c r="AK1304" i="21"/>
  <c r="AL1304" i="21" s="1"/>
  <c r="AM1304" i="21" s="1"/>
  <c r="AK1296" i="21"/>
  <c r="AL1296" i="21" s="1"/>
  <c r="AM1296" i="21" s="1"/>
  <c r="AK1288" i="21"/>
  <c r="AL1288" i="21" s="1"/>
  <c r="AM1288" i="21" s="1"/>
  <c r="AK1280" i="21"/>
  <c r="AL1280" i="21" s="1"/>
  <c r="AM1280" i="21" s="1"/>
  <c r="AK1272" i="21"/>
  <c r="AL1272" i="21" s="1"/>
  <c r="AM1272" i="21" s="1"/>
  <c r="AK1264" i="21"/>
  <c r="AL1264" i="21" s="1"/>
  <c r="AM1264" i="21" s="1"/>
  <c r="AK1256" i="21"/>
  <c r="AL1256" i="21" s="1"/>
  <c r="AM1256" i="21" s="1"/>
  <c r="AK1248" i="21"/>
  <c r="AL1248" i="21" s="1"/>
  <c r="AM1248" i="21" s="1"/>
  <c r="AK1240" i="21"/>
  <c r="AL1240" i="21" s="1"/>
  <c r="AM1240" i="21" s="1"/>
  <c r="AK1232" i="21"/>
  <c r="AL1232" i="21" s="1"/>
  <c r="AM1232" i="21" s="1"/>
  <c r="AK1224" i="21"/>
  <c r="AL1224" i="21" s="1"/>
  <c r="AM1224" i="21" s="1"/>
  <c r="AB1217" i="21"/>
  <c r="AK1216" i="21"/>
  <c r="AL1216" i="21" s="1"/>
  <c r="AM1216" i="21" s="1"/>
  <c r="AB1209" i="21"/>
  <c r="AK1208" i="21"/>
  <c r="AL1208" i="21" s="1"/>
  <c r="AM1208" i="21" s="1"/>
  <c r="AH1151" i="21"/>
  <c r="AK1151" i="21"/>
  <c r="AL1151" i="21" s="1"/>
  <c r="AM1151" i="21" s="1"/>
  <c r="AL1142" i="21"/>
  <c r="AK1130" i="21"/>
  <c r="AL1130" i="21" s="1"/>
  <c r="AM1130" i="21" s="1"/>
  <c r="AH1130" i="21"/>
  <c r="AH1110" i="21"/>
  <c r="AK1110" i="21"/>
  <c r="AH1092" i="21"/>
  <c r="AK1092" i="21"/>
  <c r="AK1082" i="21"/>
  <c r="AL1082" i="21" s="1"/>
  <c r="AM1082" i="21" s="1"/>
  <c r="AH1082" i="21"/>
  <c r="AH1064" i="21"/>
  <c r="AK1064" i="21"/>
  <c r="AL1064" i="21" s="1"/>
  <c r="AM1064" i="21" s="1"/>
  <c r="AB1360" i="21"/>
  <c r="AB1352" i="21"/>
  <c r="AB1344" i="21"/>
  <c r="AB1336" i="21"/>
  <c r="AB1328" i="21"/>
  <c r="AB1320" i="21"/>
  <c r="AB1312" i="21"/>
  <c r="AB1304" i="21"/>
  <c r="AB1296" i="21"/>
  <c r="AB1288" i="21"/>
  <c r="AB1280" i="21"/>
  <c r="AB1272" i="21"/>
  <c r="AB1264" i="21"/>
  <c r="AB1256" i="21"/>
  <c r="AB1248" i="21"/>
  <c r="AB1240" i="21"/>
  <c r="AB1232" i="21"/>
  <c r="AB1224" i="21"/>
  <c r="AB1216" i="21"/>
  <c r="AB1208" i="21"/>
  <c r="AB1198" i="21"/>
  <c r="AB1197" i="21"/>
  <c r="AK1155" i="21"/>
  <c r="AA1152" i="21"/>
  <c r="AB1152" i="21" s="1"/>
  <c r="AB1150" i="21"/>
  <c r="AK1146" i="21"/>
  <c r="AL1146" i="21" s="1"/>
  <c r="AM1146" i="21" s="1"/>
  <c r="AH1146" i="21"/>
  <c r="AH1140" i="21"/>
  <c r="AK1140" i="21"/>
  <c r="AL1140" i="21" s="1"/>
  <c r="AM1140" i="21" s="1"/>
  <c r="AB1133" i="21"/>
  <c r="AL1131" i="21"/>
  <c r="AM1131" i="21" s="1"/>
  <c r="AH1127" i="21"/>
  <c r="AK1127" i="21"/>
  <c r="AL1127" i="21" s="1"/>
  <c r="AM1127" i="21" s="1"/>
  <c r="AH1120" i="21"/>
  <c r="AK1120" i="21"/>
  <c r="AL1120" i="21" s="1"/>
  <c r="AM1120" i="21" s="1"/>
  <c r="AH1102" i="21"/>
  <c r="AK1102" i="21"/>
  <c r="AL1102" i="21" s="1"/>
  <c r="AM1102" i="21" s="1"/>
  <c r="AM1091" i="21"/>
  <c r="AM1089" i="21"/>
  <c r="AH1084" i="21"/>
  <c r="AK1084" i="21"/>
  <c r="AL1084" i="21" s="1"/>
  <c r="AM1084" i="21" s="1"/>
  <c r="AK1074" i="21"/>
  <c r="AL1074" i="21" s="1"/>
  <c r="AM1074" i="21" s="1"/>
  <c r="AH1074" i="21"/>
  <c r="AM1061" i="21"/>
  <c r="AB1343" i="21"/>
  <c r="AB1335" i="21"/>
  <c r="AB1327" i="21"/>
  <c r="AB1319" i="21"/>
  <c r="AB1311" i="21"/>
  <c r="AB1303" i="21"/>
  <c r="AB1295" i="21"/>
  <c r="AB1287" i="21"/>
  <c r="AB1279" i="21"/>
  <c r="AB1271" i="21"/>
  <c r="AB1263" i="21"/>
  <c r="AB1255" i="21"/>
  <c r="AB1247" i="21"/>
  <c r="AB1239" i="21"/>
  <c r="AB1231" i="21"/>
  <c r="AB1223" i="21"/>
  <c r="AB1215" i="21"/>
  <c r="AB1207" i="21"/>
  <c r="AB1204" i="21"/>
  <c r="AL1203" i="21"/>
  <c r="AM1203" i="21" s="1"/>
  <c r="AB1203" i="21"/>
  <c r="AB1194" i="21"/>
  <c r="AL1187" i="21"/>
  <c r="AM1187" i="21" s="1"/>
  <c r="AB1187" i="21"/>
  <c r="AK1181" i="21"/>
  <c r="AL1181" i="21" s="1"/>
  <c r="AM1181" i="21" s="1"/>
  <c r="AH1180" i="21"/>
  <c r="AM1180" i="21" s="1"/>
  <c r="AB1178" i="21"/>
  <c r="AL1171" i="21"/>
  <c r="AM1171" i="21" s="1"/>
  <c r="AB1171" i="21"/>
  <c r="AK1165" i="21"/>
  <c r="AL1165" i="21" s="1"/>
  <c r="AM1165" i="21" s="1"/>
  <c r="AH1164" i="21"/>
  <c r="AM1164" i="21" s="1"/>
  <c r="AB1162" i="21"/>
  <c r="AL1155" i="21"/>
  <c r="AM1155" i="21" s="1"/>
  <c r="AB1155" i="21"/>
  <c r="AL1150" i="21"/>
  <c r="AL1147" i="21"/>
  <c r="AM1147" i="21" s="1"/>
  <c r="AH1142" i="21"/>
  <c r="AK1138" i="21"/>
  <c r="AL1138" i="21" s="1"/>
  <c r="AH1138" i="21"/>
  <c r="AH1136" i="21"/>
  <c r="AK1136" i="21"/>
  <c r="AL1136" i="21" s="1"/>
  <c r="AM1136" i="21" s="1"/>
  <c r="AH1112" i="21"/>
  <c r="AK1112" i="21"/>
  <c r="AL1112" i="21" s="1"/>
  <c r="AH1094" i="21"/>
  <c r="AK1094" i="21"/>
  <c r="AL1094" i="21" s="1"/>
  <c r="AM1094" i="21" s="1"/>
  <c r="AM1083" i="21"/>
  <c r="AL1078" i="21"/>
  <c r="AH1076" i="21"/>
  <c r="AK1076" i="21"/>
  <c r="AL1076" i="21" s="1"/>
  <c r="AM1076" i="21" s="1"/>
  <c r="AK1066" i="21"/>
  <c r="AL1066" i="21" s="1"/>
  <c r="AH1066" i="21"/>
  <c r="AH1057" i="21"/>
  <c r="AK1057" i="21"/>
  <c r="AL1057" i="21" s="1"/>
  <c r="AM1057" i="21" s="1"/>
  <c r="AB1206" i="21"/>
  <c r="AM1188" i="21"/>
  <c r="AM1172" i="21"/>
  <c r="AM1156" i="21"/>
  <c r="AH1144" i="21"/>
  <c r="AK1144" i="21"/>
  <c r="AL1144" i="21" s="1"/>
  <c r="AK1122" i="21"/>
  <c r="AL1122" i="21" s="1"/>
  <c r="AH1122" i="21"/>
  <c r="AH1104" i="21"/>
  <c r="AK1104" i="21"/>
  <c r="AL1104" i="21" s="1"/>
  <c r="AH1086" i="21"/>
  <c r="AK1086" i="21"/>
  <c r="AL1086" i="21" s="1"/>
  <c r="AM1086" i="21" s="1"/>
  <c r="AH1068" i="21"/>
  <c r="AK1068" i="21"/>
  <c r="AL1068" i="21" s="1"/>
  <c r="AM1068" i="21" s="1"/>
  <c r="AB1205" i="21"/>
  <c r="AK1185" i="21"/>
  <c r="AL1185" i="21" s="1"/>
  <c r="AM1185" i="21" s="1"/>
  <c r="AH1184" i="21"/>
  <c r="AM1184" i="21" s="1"/>
  <c r="AB1182" i="21"/>
  <c r="AK1169" i="21"/>
  <c r="AL1169" i="21" s="1"/>
  <c r="AM1169" i="21" s="1"/>
  <c r="AH1168" i="21"/>
  <c r="AM1168" i="21" s="1"/>
  <c r="AB1166" i="21"/>
  <c r="AK1153" i="21"/>
  <c r="AL1153" i="21" s="1"/>
  <c r="AM1153" i="21" s="1"/>
  <c r="AH1152" i="21"/>
  <c r="AM1152" i="21" s="1"/>
  <c r="AH1150" i="21"/>
  <c r="AH1135" i="21"/>
  <c r="AK1135" i="21"/>
  <c r="AL1135" i="21" s="1"/>
  <c r="AM1135" i="21" s="1"/>
  <c r="AH1124" i="21"/>
  <c r="AK1124" i="21"/>
  <c r="AL1124" i="21" s="1"/>
  <c r="AM1124" i="21" s="1"/>
  <c r="AK1114" i="21"/>
  <c r="AL1114" i="21" s="1"/>
  <c r="AH1114" i="21"/>
  <c r="AL1108" i="21"/>
  <c r="AM1108" i="21" s="1"/>
  <c r="AH1096" i="21"/>
  <c r="AK1096" i="21"/>
  <c r="AL1096" i="21" s="1"/>
  <c r="AH1078" i="21"/>
  <c r="AK1078" i="21"/>
  <c r="AM1067" i="21"/>
  <c r="AM1060" i="21"/>
  <c r="AH1045" i="21"/>
  <c r="AK1045" i="21"/>
  <c r="AL1045" i="21" s="1"/>
  <c r="AM1045" i="21" s="1"/>
  <c r="AK1034" i="21"/>
  <c r="AH1034" i="21"/>
  <c r="AM1196" i="21"/>
  <c r="AL1195" i="21"/>
  <c r="AM1195" i="21" s="1"/>
  <c r="AM1192" i="21"/>
  <c r="AK1179" i="21"/>
  <c r="AL1179" i="21" s="1"/>
  <c r="AM1179" i="21" s="1"/>
  <c r="AM1176" i="21"/>
  <c r="AH1141" i="21"/>
  <c r="AK1141" i="21"/>
  <c r="AL1141" i="21" s="1"/>
  <c r="AA1134" i="21"/>
  <c r="AB1134" i="21" s="1"/>
  <c r="AL1132" i="21"/>
  <c r="AM1132" i="21" s="1"/>
  <c r="AH1126" i="21"/>
  <c r="AM1126" i="21" s="1"/>
  <c r="AM1123" i="21"/>
  <c r="AL1118" i="21"/>
  <c r="AM1118" i="21" s="1"/>
  <c r="AH1116" i="21"/>
  <c r="AK1116" i="21"/>
  <c r="AL1116" i="21" s="1"/>
  <c r="AM1116" i="21" s="1"/>
  <c r="AK1106" i="21"/>
  <c r="AL1106" i="21" s="1"/>
  <c r="AH1106" i="21"/>
  <c r="AL1100" i="21"/>
  <c r="AM1100" i="21" s="1"/>
  <c r="AH1088" i="21"/>
  <c r="AK1088" i="21"/>
  <c r="AL1088" i="21" s="1"/>
  <c r="AH1070" i="21"/>
  <c r="AK1070" i="21"/>
  <c r="AL1070" i="21" s="1"/>
  <c r="AM1070" i="21" s="1"/>
  <c r="AK1054" i="21"/>
  <c r="AA1052" i="21"/>
  <c r="AB1052" i="21" s="1"/>
  <c r="AH1051" i="21"/>
  <c r="AM1051" i="21" s="1"/>
  <c r="AK1038" i="21"/>
  <c r="AL1034" i="21"/>
  <c r="AM1034" i="21" s="1"/>
  <c r="AL1031" i="21"/>
  <c r="AH1029" i="21"/>
  <c r="AK1029" i="21"/>
  <c r="AL1021" i="21"/>
  <c r="AL1010" i="21"/>
  <c r="AH1007" i="21"/>
  <c r="AM1004" i="21"/>
  <c r="AK1003" i="21"/>
  <c r="AL1003" i="21" s="1"/>
  <c r="AM1003" i="21" s="1"/>
  <c r="AH1003" i="21"/>
  <c r="AL1001" i="21"/>
  <c r="AM1001" i="21" s="1"/>
  <c r="AL999" i="21"/>
  <c r="AH997" i="21"/>
  <c r="AK997" i="21"/>
  <c r="AL978" i="21"/>
  <c r="AH975" i="21"/>
  <c r="AM972" i="21"/>
  <c r="AK971" i="21"/>
  <c r="AL971" i="21" s="1"/>
  <c r="AM971" i="21" s="1"/>
  <c r="AH971" i="21"/>
  <c r="AL969" i="21"/>
  <c r="AM969" i="21" s="1"/>
  <c r="AL967" i="21"/>
  <c r="AH965" i="21"/>
  <c r="AK965" i="21"/>
  <c r="AL957" i="21"/>
  <c r="AH950" i="21"/>
  <c r="AK950" i="21"/>
  <c r="AB947" i="21"/>
  <c r="AK924" i="21"/>
  <c r="AL924" i="21" s="1"/>
  <c r="AM924" i="21" s="1"/>
  <c r="AH924" i="21"/>
  <c r="AH919" i="21"/>
  <c r="AK919" i="21"/>
  <c r="AK908" i="21"/>
  <c r="AL908" i="21" s="1"/>
  <c r="AM908" i="21" s="1"/>
  <c r="AH908" i="21"/>
  <c r="AH903" i="21"/>
  <c r="AK903" i="21"/>
  <c r="AL903" i="21" s="1"/>
  <c r="AM903" i="21" s="1"/>
  <c r="AB1144" i="21"/>
  <c r="AB1136" i="21"/>
  <c r="AB1128" i="21"/>
  <c r="AB1120" i="21"/>
  <c r="AK1119" i="21"/>
  <c r="AL1119" i="21" s="1"/>
  <c r="AM1119" i="21" s="1"/>
  <c r="AB1112" i="21"/>
  <c r="AK1111" i="21"/>
  <c r="AL1111" i="21" s="1"/>
  <c r="AM1111" i="21" s="1"/>
  <c r="AB1104" i="21"/>
  <c r="AK1103" i="21"/>
  <c r="AL1103" i="21" s="1"/>
  <c r="AM1103" i="21" s="1"/>
  <c r="AB1096" i="21"/>
  <c r="AK1095" i="21"/>
  <c r="AL1095" i="21" s="1"/>
  <c r="AM1095" i="21" s="1"/>
  <c r="AB1088" i="21"/>
  <c r="AK1087" i="21"/>
  <c r="AL1087" i="21" s="1"/>
  <c r="AM1087" i="21" s="1"/>
  <c r="AB1080" i="21"/>
  <c r="AK1079" i="21"/>
  <c r="AL1079" i="21" s="1"/>
  <c r="AM1079" i="21" s="1"/>
  <c r="AB1072" i="21"/>
  <c r="AK1071" i="21"/>
  <c r="AL1071" i="21" s="1"/>
  <c r="AM1071" i="21" s="1"/>
  <c r="AB1055" i="21"/>
  <c r="AL1054" i="21"/>
  <c r="AM1054" i="21" s="1"/>
  <c r="AL1049" i="21"/>
  <c r="AM1049" i="21" s="1"/>
  <c r="AB1048" i="21"/>
  <c r="AB1043" i="21"/>
  <c r="AB1039" i="21"/>
  <c r="AL1038" i="21"/>
  <c r="AM1038" i="21" s="1"/>
  <c r="AA1023" i="21"/>
  <c r="AB1023" i="21" s="1"/>
  <c r="AH1016" i="21"/>
  <c r="AK1016" i="21"/>
  <c r="AL1016" i="21" s="1"/>
  <c r="AM1016" i="21" s="1"/>
  <c r="AH1014" i="21"/>
  <c r="AK1014" i="21"/>
  <c r="AA1004" i="21"/>
  <c r="AB1004" i="21" s="1"/>
  <c r="AA991" i="21"/>
  <c r="AB991" i="21" s="1"/>
  <c r="AH984" i="21"/>
  <c r="AK984" i="21"/>
  <c r="AL984" i="21" s="1"/>
  <c r="AH982" i="21"/>
  <c r="AK982" i="21"/>
  <c r="AA972" i="21"/>
  <c r="AB972" i="21" s="1"/>
  <c r="AA959" i="21"/>
  <c r="AB959" i="21"/>
  <c r="AH952" i="21"/>
  <c r="AK952" i="21"/>
  <c r="AL952" i="21" s="1"/>
  <c r="AM952" i="21" s="1"/>
  <c r="AH941" i="21"/>
  <c r="AK941" i="21"/>
  <c r="AL941" i="21" s="1"/>
  <c r="AM941" i="21" s="1"/>
  <c r="AK939" i="21"/>
  <c r="AL939" i="21" s="1"/>
  <c r="AM939" i="21" s="1"/>
  <c r="AH939" i="21"/>
  <c r="AA932" i="21"/>
  <c r="AB932" i="21" s="1"/>
  <c r="AL914" i="21"/>
  <c r="AM914" i="21" s="1"/>
  <c r="AM902" i="21"/>
  <c r="AL890" i="21"/>
  <c r="AH1129" i="21"/>
  <c r="AM1129" i="21" s="1"/>
  <c r="AH1121" i="21"/>
  <c r="AM1121" i="21" s="1"/>
  <c r="AH1113" i="21"/>
  <c r="AM1113" i="21" s="1"/>
  <c r="AH1105" i="21"/>
  <c r="AM1105" i="21" s="1"/>
  <c r="AH1097" i="21"/>
  <c r="AM1097" i="21" s="1"/>
  <c r="AH1089" i="21"/>
  <c r="AH1081" i="21"/>
  <c r="AM1081" i="21" s="1"/>
  <c r="AH1073" i="21"/>
  <c r="AM1073" i="21" s="1"/>
  <c r="AH1065" i="21"/>
  <c r="AM1065" i="21" s="1"/>
  <c r="AB1064" i="21"/>
  <c r="AH1063" i="21"/>
  <c r="AM1063" i="21" s="1"/>
  <c r="AH1053" i="21"/>
  <c r="AM1053" i="21" s="1"/>
  <c r="AH1052" i="21"/>
  <c r="AM1052" i="21" s="1"/>
  <c r="AH1048" i="21"/>
  <c r="AM1048" i="21" s="1"/>
  <c r="AH1031" i="21"/>
  <c r="AM1028" i="21"/>
  <c r="AK1027" i="21"/>
  <c r="AL1027" i="21" s="1"/>
  <c r="AM1027" i="21" s="1"/>
  <c r="AH1027" i="21"/>
  <c r="AL1025" i="21"/>
  <c r="AM1025" i="21" s="1"/>
  <c r="AL1023" i="21"/>
  <c r="AM1023" i="21" s="1"/>
  <c r="AH1021" i="21"/>
  <c r="AK1021" i="21"/>
  <c r="AL1002" i="21"/>
  <c r="AH999" i="21"/>
  <c r="AM996" i="21"/>
  <c r="AK995" i="21"/>
  <c r="AL995" i="21" s="1"/>
  <c r="AM995" i="21" s="1"/>
  <c r="AH995" i="21"/>
  <c r="AL993" i="21"/>
  <c r="AM993" i="21" s="1"/>
  <c r="AL991" i="21"/>
  <c r="AH989" i="21"/>
  <c r="AK989" i="21"/>
  <c r="AL989" i="21" s="1"/>
  <c r="AM989" i="21" s="1"/>
  <c r="AL970" i="21"/>
  <c r="AH967" i="21"/>
  <c r="AM964" i="21"/>
  <c r="AK963" i="21"/>
  <c r="AL963" i="21" s="1"/>
  <c r="AM963" i="21" s="1"/>
  <c r="AH963" i="21"/>
  <c r="AL961" i="21"/>
  <c r="AM961" i="21" s="1"/>
  <c r="AL959" i="21"/>
  <c r="AM959" i="21" s="1"/>
  <c r="AH957" i="21"/>
  <c r="AK957" i="21"/>
  <c r="AL945" i="21"/>
  <c r="AM945" i="21" s="1"/>
  <c r="AM940" i="21"/>
  <c r="AH935" i="21"/>
  <c r="AK935" i="21"/>
  <c r="AL935" i="21" s="1"/>
  <c r="AM935" i="21" s="1"/>
  <c r="AL934" i="21"/>
  <c r="AH921" i="21"/>
  <c r="AK921" i="21"/>
  <c r="AL921" i="21" s="1"/>
  <c r="AH905" i="21"/>
  <c r="AK905" i="21"/>
  <c r="AL905" i="21" s="1"/>
  <c r="AM905" i="21" s="1"/>
  <c r="AH895" i="21"/>
  <c r="AK895" i="21"/>
  <c r="AL895" i="21" s="1"/>
  <c r="AM895" i="21" s="1"/>
  <c r="AK1133" i="21"/>
  <c r="AL1133" i="21" s="1"/>
  <c r="AM1133" i="21" s="1"/>
  <c r="AB1126" i="21"/>
  <c r="AK1125" i="21"/>
  <c r="AL1125" i="21" s="1"/>
  <c r="AM1125" i="21" s="1"/>
  <c r="AB1118" i="21"/>
  <c r="AK1117" i="21"/>
  <c r="AL1117" i="21" s="1"/>
  <c r="AM1117" i="21" s="1"/>
  <c r="AB1110" i="21"/>
  <c r="AK1109" i="21"/>
  <c r="AL1109" i="21" s="1"/>
  <c r="AM1109" i="21" s="1"/>
  <c r="AB1102" i="21"/>
  <c r="AK1101" i="21"/>
  <c r="AL1101" i="21" s="1"/>
  <c r="AM1101" i="21" s="1"/>
  <c r="AB1094" i="21"/>
  <c r="AK1093" i="21"/>
  <c r="AL1093" i="21" s="1"/>
  <c r="AM1093" i="21" s="1"/>
  <c r="AB1086" i="21"/>
  <c r="AK1085" i="21"/>
  <c r="AL1085" i="21" s="1"/>
  <c r="AM1085" i="21" s="1"/>
  <c r="AB1078" i="21"/>
  <c r="AK1077" i="21"/>
  <c r="AL1077" i="21" s="1"/>
  <c r="AM1077" i="21" s="1"/>
  <c r="AB1070" i="21"/>
  <c r="AK1069" i="21"/>
  <c r="AL1069" i="21" s="1"/>
  <c r="AM1069" i="21" s="1"/>
  <c r="AA1044" i="21"/>
  <c r="AB1044" i="21" s="1"/>
  <c r="AL1030" i="21"/>
  <c r="AA1028" i="21"/>
  <c r="AB1028" i="21"/>
  <c r="AA1015" i="21"/>
  <c r="AB1015" i="21"/>
  <c r="AH1008" i="21"/>
  <c r="AK1008" i="21"/>
  <c r="AL1008" i="21" s="1"/>
  <c r="AM1008" i="21" s="1"/>
  <c r="AH1006" i="21"/>
  <c r="AK1006" i="21"/>
  <c r="AL1006" i="21" s="1"/>
  <c r="AM1006" i="21" s="1"/>
  <c r="AA996" i="21"/>
  <c r="AB996" i="21" s="1"/>
  <c r="AA983" i="21"/>
  <c r="AB983" i="21" s="1"/>
  <c r="AH976" i="21"/>
  <c r="AK976" i="21"/>
  <c r="AL976" i="21" s="1"/>
  <c r="AH974" i="21"/>
  <c r="AK974" i="21"/>
  <c r="AL974" i="21" s="1"/>
  <c r="AM974" i="21" s="1"/>
  <c r="AA964" i="21"/>
  <c r="AB964" i="21"/>
  <c r="AH949" i="21"/>
  <c r="AK949" i="21"/>
  <c r="AL949" i="21" s="1"/>
  <c r="AM949" i="21" s="1"/>
  <c r="AK947" i="21"/>
  <c r="AL947" i="21" s="1"/>
  <c r="AH947" i="21"/>
  <c r="AA940" i="21"/>
  <c r="AB940" i="21"/>
  <c r="AK923" i="21"/>
  <c r="AL923" i="21" s="1"/>
  <c r="AH923" i="21"/>
  <c r="AK907" i="21"/>
  <c r="AL907" i="21" s="1"/>
  <c r="AH907" i="21"/>
  <c r="AK900" i="21"/>
  <c r="AL900" i="21" s="1"/>
  <c r="AH900" i="21"/>
  <c r="AH887" i="21"/>
  <c r="AK887" i="21"/>
  <c r="AL887" i="21" s="1"/>
  <c r="AM887" i="21" s="1"/>
  <c r="AL1058" i="21"/>
  <c r="AM1058" i="21" s="1"/>
  <c r="AB1056" i="21"/>
  <c r="AH1055" i="21"/>
  <c r="AM1055" i="21" s="1"/>
  <c r="AL1041" i="21"/>
  <c r="AM1041" i="21" s="1"/>
  <c r="AB1041" i="21"/>
  <c r="AB1040" i="21"/>
  <c r="AH1039" i="21"/>
  <c r="AM1039" i="21" s="1"/>
  <c r="AL1026" i="21"/>
  <c r="AH1023" i="21"/>
  <c r="AM1020" i="21"/>
  <c r="AK1019" i="21"/>
  <c r="AL1019" i="21" s="1"/>
  <c r="AH1019" i="21"/>
  <c r="AL1017" i="21"/>
  <c r="AM1017" i="21" s="1"/>
  <c r="AL1015" i="21"/>
  <c r="AH1013" i="21"/>
  <c r="AK1013" i="21"/>
  <c r="AL1013" i="21" s="1"/>
  <c r="AM1013" i="21" s="1"/>
  <c r="AL994" i="21"/>
  <c r="AH991" i="21"/>
  <c r="AM988" i="21"/>
  <c r="AK987" i="21"/>
  <c r="AL987" i="21" s="1"/>
  <c r="AH987" i="21"/>
  <c r="AL985" i="21"/>
  <c r="AM985" i="21" s="1"/>
  <c r="AL983" i="21"/>
  <c r="AH981" i="21"/>
  <c r="AK981" i="21"/>
  <c r="AL981" i="21" s="1"/>
  <c r="AM981" i="21" s="1"/>
  <c r="AL962" i="21"/>
  <c r="AH959" i="21"/>
  <c r="AM956" i="21"/>
  <c r="AK955" i="21"/>
  <c r="AL955" i="21" s="1"/>
  <c r="AH955" i="21"/>
  <c r="AL953" i="21"/>
  <c r="AM953" i="21" s="1"/>
  <c r="AM948" i="21"/>
  <c r="AM946" i="21"/>
  <c r="AH943" i="21"/>
  <c r="AK943" i="21"/>
  <c r="AL943" i="21" s="1"/>
  <c r="AM943" i="21" s="1"/>
  <c r="AH934" i="21"/>
  <c r="AK934" i="21"/>
  <c r="AH927" i="21"/>
  <c r="AK927" i="21"/>
  <c r="AL927" i="21" s="1"/>
  <c r="AM927" i="21" s="1"/>
  <c r="AK916" i="21"/>
  <c r="AL916" i="21" s="1"/>
  <c r="AM916" i="21" s="1"/>
  <c r="AH916" i="21"/>
  <c r="AH911" i="21"/>
  <c r="AK911" i="21"/>
  <c r="AL911" i="21" s="1"/>
  <c r="AM911" i="21" s="1"/>
  <c r="AH897" i="21"/>
  <c r="AK897" i="21"/>
  <c r="AL897" i="21" s="1"/>
  <c r="AK1050" i="21"/>
  <c r="AL1050" i="21" s="1"/>
  <c r="AM1050" i="21" s="1"/>
  <c r="AH1050" i="21"/>
  <c r="AH1032" i="21"/>
  <c r="AK1032" i="21"/>
  <c r="AL1032" i="21" s="1"/>
  <c r="AH1030" i="21"/>
  <c r="AK1030" i="21"/>
  <c r="AA1020" i="21"/>
  <c r="AB1020" i="21"/>
  <c r="AA1007" i="21"/>
  <c r="AB1007" i="21"/>
  <c r="AH1000" i="21"/>
  <c r="AK1000" i="21"/>
  <c r="AL1000" i="21" s="1"/>
  <c r="AM1000" i="21" s="1"/>
  <c r="AH998" i="21"/>
  <c r="AK998" i="21"/>
  <c r="AL998" i="21" s="1"/>
  <c r="AM998" i="21" s="1"/>
  <c r="AA988" i="21"/>
  <c r="AB988" i="21" s="1"/>
  <c r="AA975" i="21"/>
  <c r="AB975" i="21" s="1"/>
  <c r="AH968" i="21"/>
  <c r="AK968" i="21"/>
  <c r="AL968" i="21" s="1"/>
  <c r="AH966" i="21"/>
  <c r="AK966" i="21"/>
  <c r="AL966" i="21" s="1"/>
  <c r="AM966" i="21" s="1"/>
  <c r="AA956" i="21"/>
  <c r="AB956" i="21"/>
  <c r="AA948" i="21"/>
  <c r="AB948" i="21"/>
  <c r="AM926" i="21"/>
  <c r="AL922" i="21"/>
  <c r="AM910" i="21"/>
  <c r="AL906" i="21"/>
  <c r="AK899" i="21"/>
  <c r="AL899" i="21" s="1"/>
  <c r="AM899" i="21" s="1"/>
  <c r="AH899" i="21"/>
  <c r="AK892" i="21"/>
  <c r="AL892" i="21" s="1"/>
  <c r="AM892" i="21" s="1"/>
  <c r="AH892" i="21"/>
  <c r="AM886" i="21"/>
  <c r="AK1062" i="21"/>
  <c r="AB1061" i="21"/>
  <c r="AB1051" i="21"/>
  <c r="AL1046" i="21"/>
  <c r="AM1046" i="21" s="1"/>
  <c r="AL1042" i="21"/>
  <c r="AM1042" i="21" s="1"/>
  <c r="AK1037" i="21"/>
  <c r="AL1037" i="21" s="1"/>
  <c r="AM1037" i="21" s="1"/>
  <c r="AA1036" i="21"/>
  <c r="AB1036" i="21"/>
  <c r="AK1035" i="21"/>
  <c r="AL1035" i="21" s="1"/>
  <c r="AH1035" i="21"/>
  <c r="AM1035" i="21" s="1"/>
  <c r="AL1033" i="21"/>
  <c r="AM1033" i="21" s="1"/>
  <c r="AA1033" i="21"/>
  <c r="AB1033" i="21" s="1"/>
  <c r="AL1029" i="21"/>
  <c r="AM1029" i="21" s="1"/>
  <c r="AH1015" i="21"/>
  <c r="AM1012" i="21"/>
  <c r="AK1011" i="21"/>
  <c r="AL1011" i="21" s="1"/>
  <c r="AH1011" i="21"/>
  <c r="AL1009" i="21"/>
  <c r="AM1009" i="21" s="1"/>
  <c r="AL1007" i="21"/>
  <c r="AM1007" i="21" s="1"/>
  <c r="AH1005" i="21"/>
  <c r="AK1005" i="21"/>
  <c r="AL1005" i="21" s="1"/>
  <c r="AM1005" i="21" s="1"/>
  <c r="AL997" i="21"/>
  <c r="AM997" i="21" s="1"/>
  <c r="AH983" i="21"/>
  <c r="AM980" i="21"/>
  <c r="AK979" i="21"/>
  <c r="AL979" i="21" s="1"/>
  <c r="AM979" i="21" s="1"/>
  <c r="AH979" i="21"/>
  <c r="AL977" i="21"/>
  <c r="AM977" i="21" s="1"/>
  <c r="AL975" i="21"/>
  <c r="AH973" i="21"/>
  <c r="AK973" i="21"/>
  <c r="AL973" i="21" s="1"/>
  <c r="AM973" i="21" s="1"/>
  <c r="AL965" i="21"/>
  <c r="AM965" i="21" s="1"/>
  <c r="AL954" i="21"/>
  <c r="AH951" i="21"/>
  <c r="AK951" i="21"/>
  <c r="AL951" i="21" s="1"/>
  <c r="AM951" i="21" s="1"/>
  <c r="AL950" i="21"/>
  <c r="AM950" i="21" s="1"/>
  <c r="AH942" i="21"/>
  <c r="AK942" i="21"/>
  <c r="AL942" i="21" s="1"/>
  <c r="AM942" i="21" s="1"/>
  <c r="AB939" i="21"/>
  <c r="AH929" i="21"/>
  <c r="AK929" i="21"/>
  <c r="AL929" i="21" s="1"/>
  <c r="AL919" i="21"/>
  <c r="AM919" i="21" s="1"/>
  <c r="AH913" i="21"/>
  <c r="AK913" i="21"/>
  <c r="AL913" i="21" s="1"/>
  <c r="AM913" i="21" s="1"/>
  <c r="AM901" i="21"/>
  <c r="AH889" i="21"/>
  <c r="AK889" i="21"/>
  <c r="AL889" i="21" s="1"/>
  <c r="AM889" i="21" s="1"/>
  <c r="AL1062" i="21"/>
  <c r="AM1062" i="21" s="1"/>
  <c r="AB1060" i="21"/>
  <c r="AA1031" i="21"/>
  <c r="AB1031" i="21"/>
  <c r="AH1024" i="21"/>
  <c r="AK1024" i="21"/>
  <c r="AL1024" i="21" s="1"/>
  <c r="AM1024" i="21" s="1"/>
  <c r="AH1022" i="21"/>
  <c r="AK1022" i="21"/>
  <c r="AL1022" i="21" s="1"/>
  <c r="AM1022" i="21" s="1"/>
  <c r="AL1014" i="21"/>
  <c r="AM1014" i="21" s="1"/>
  <c r="AA1012" i="21"/>
  <c r="AB1012" i="21" s="1"/>
  <c r="AA999" i="21"/>
  <c r="AB999" i="21" s="1"/>
  <c r="AH992" i="21"/>
  <c r="AK992" i="21"/>
  <c r="AL992" i="21" s="1"/>
  <c r="AH990" i="21"/>
  <c r="AK990" i="21"/>
  <c r="AL990" i="21" s="1"/>
  <c r="AM990" i="21" s="1"/>
  <c r="AL982" i="21"/>
  <c r="AM982" i="21" s="1"/>
  <c r="AA980" i="21"/>
  <c r="AB980" i="21"/>
  <c r="AA967" i="21"/>
  <c r="AB967" i="21"/>
  <c r="AH960" i="21"/>
  <c r="AK960" i="21"/>
  <c r="AL960" i="21" s="1"/>
  <c r="AM960" i="21" s="1"/>
  <c r="AH958" i="21"/>
  <c r="AK958" i="21"/>
  <c r="AL958" i="21" s="1"/>
  <c r="AM958" i="21" s="1"/>
  <c r="AK937" i="21"/>
  <c r="AL937" i="21" s="1"/>
  <c r="AM937" i="21" s="1"/>
  <c r="AH933" i="21"/>
  <c r="AK933" i="21"/>
  <c r="AL933" i="21" s="1"/>
  <c r="AM933" i="21" s="1"/>
  <c r="AK931" i="21"/>
  <c r="AL931" i="21" s="1"/>
  <c r="AH931" i="21"/>
  <c r="AK915" i="21"/>
  <c r="AL915" i="21" s="1"/>
  <c r="AH915" i="21"/>
  <c r="AK891" i="21"/>
  <c r="AL891" i="21" s="1"/>
  <c r="AM891" i="21" s="1"/>
  <c r="AH891" i="21"/>
  <c r="AB922" i="21"/>
  <c r="AB914" i="21"/>
  <c r="AB906" i="21"/>
  <c r="AB898" i="21"/>
  <c r="AB890" i="21"/>
  <c r="AK881" i="21"/>
  <c r="AL881" i="21" s="1"/>
  <c r="AH881" i="21"/>
  <c r="AK879" i="21"/>
  <c r="AL879" i="21" s="1"/>
  <c r="AH879" i="21"/>
  <c r="AH868" i="21"/>
  <c r="AK868" i="21"/>
  <c r="AK848" i="21"/>
  <c r="AL848" i="21" s="1"/>
  <c r="AM848" i="21" s="1"/>
  <c r="AH848" i="21"/>
  <c r="AH845" i="21"/>
  <c r="AK845" i="21"/>
  <c r="AH814" i="21"/>
  <c r="AK814" i="21"/>
  <c r="AB1025" i="21"/>
  <c r="AB1017" i="21"/>
  <c r="AB1009" i="21"/>
  <c r="AB1001" i="21"/>
  <c r="AB993" i="21"/>
  <c r="AB985" i="21"/>
  <c r="AB977" i="21"/>
  <c r="AB969" i="21"/>
  <c r="AB961" i="21"/>
  <c r="AB953" i="21"/>
  <c r="AB945" i="21"/>
  <c r="AK944" i="21"/>
  <c r="AL944" i="21" s="1"/>
  <c r="AM944" i="21" s="1"/>
  <c r="AB937" i="21"/>
  <c r="AK936" i="21"/>
  <c r="AL936" i="21" s="1"/>
  <c r="AM936" i="21" s="1"/>
  <c r="AB929" i="21"/>
  <c r="AK928" i="21"/>
  <c r="AL928" i="21" s="1"/>
  <c r="AM928" i="21" s="1"/>
  <c r="AB921" i="21"/>
  <c r="AK920" i="21"/>
  <c r="AL920" i="21" s="1"/>
  <c r="AM920" i="21" s="1"/>
  <c r="AB913" i="21"/>
  <c r="AK912" i="21"/>
  <c r="AL912" i="21" s="1"/>
  <c r="AM912" i="21" s="1"/>
  <c r="AB905" i="21"/>
  <c r="AK904" i="21"/>
  <c r="AL904" i="21" s="1"/>
  <c r="AM904" i="21" s="1"/>
  <c r="AB897" i="21"/>
  <c r="AK896" i="21"/>
  <c r="AL896" i="21" s="1"/>
  <c r="AM896" i="21" s="1"/>
  <c r="AB889" i="21"/>
  <c r="AK888" i="21"/>
  <c r="AL888" i="21" s="1"/>
  <c r="AM888" i="21" s="1"/>
  <c r="AK883" i="21"/>
  <c r="AH870" i="21"/>
  <c r="AK864" i="21"/>
  <c r="AH864" i="21"/>
  <c r="AK856" i="21"/>
  <c r="AL856" i="21" s="1"/>
  <c r="AM856" i="21" s="1"/>
  <c r="AH856" i="21"/>
  <c r="AH853" i="21"/>
  <c r="AK853" i="21"/>
  <c r="AH842" i="21"/>
  <c r="AK842" i="21"/>
  <c r="AL842" i="21" s="1"/>
  <c r="AM842" i="21" s="1"/>
  <c r="AK839" i="21"/>
  <c r="AH839" i="21"/>
  <c r="AK832" i="21"/>
  <c r="AH832" i="21"/>
  <c r="AH1026" i="21"/>
  <c r="AH1018" i="21"/>
  <c r="AM1018" i="21" s="1"/>
  <c r="AH1010" i="21"/>
  <c r="AH1002" i="21"/>
  <c r="AH994" i="21"/>
  <c r="AH986" i="21"/>
  <c r="AM986" i="21" s="1"/>
  <c r="AH978" i="21"/>
  <c r="AH970" i="21"/>
  <c r="AH962" i="21"/>
  <c r="AH954" i="21"/>
  <c r="AH946" i="21"/>
  <c r="AH938" i="21"/>
  <c r="AM938" i="21" s="1"/>
  <c r="AH930" i="21"/>
  <c r="AM930" i="21" s="1"/>
  <c r="AH922" i="21"/>
  <c r="AH914" i="21"/>
  <c r="AH906" i="21"/>
  <c r="AH898" i="21"/>
  <c r="AM898" i="21" s="1"/>
  <c r="AH890" i="21"/>
  <c r="AB888" i="21"/>
  <c r="AL883" i="21"/>
  <c r="AM883" i="21" s="1"/>
  <c r="AA880" i="21"/>
  <c r="AB880" i="21" s="1"/>
  <c r="AL878" i="21"/>
  <c r="AB878" i="21"/>
  <c r="AH877" i="21"/>
  <c r="AM877" i="21" s="1"/>
  <c r="AM875" i="21"/>
  <c r="AA869" i="21"/>
  <c r="AB869" i="21"/>
  <c r="AM867" i="21"/>
  <c r="AM861" i="21"/>
  <c r="AH850" i="21"/>
  <c r="AK850" i="21"/>
  <c r="AL850" i="21" s="1"/>
  <c r="AK847" i="21"/>
  <c r="AL847" i="21" s="1"/>
  <c r="AM847" i="21" s="1"/>
  <c r="AH847" i="21"/>
  <c r="AH844" i="21"/>
  <c r="AK844" i="21"/>
  <c r="AL844" i="21" s="1"/>
  <c r="AM844" i="21" s="1"/>
  <c r="AB951" i="21"/>
  <c r="AB943" i="21"/>
  <c r="AB935" i="21"/>
  <c r="AB927" i="21"/>
  <c r="AB919" i="21"/>
  <c r="AB911" i="21"/>
  <c r="AB903" i="21"/>
  <c r="AB895" i="21"/>
  <c r="AK872" i="21"/>
  <c r="AL872" i="21" s="1"/>
  <c r="AM872" i="21" s="1"/>
  <c r="AH872" i="21"/>
  <c r="AK863" i="21"/>
  <c r="AL863" i="21" s="1"/>
  <c r="AM863" i="21" s="1"/>
  <c r="AH863" i="21"/>
  <c r="AH858" i="21"/>
  <c r="AK858" i="21"/>
  <c r="AL858" i="21" s="1"/>
  <c r="AK855" i="21"/>
  <c r="AL855" i="21" s="1"/>
  <c r="AM855" i="21" s="1"/>
  <c r="AH855" i="21"/>
  <c r="AH852" i="21"/>
  <c r="AK852" i="21"/>
  <c r="AL852" i="21" s="1"/>
  <c r="AM852" i="21" s="1"/>
  <c r="AB840" i="21"/>
  <c r="AH834" i="21"/>
  <c r="AK834" i="21"/>
  <c r="AL834" i="21" s="1"/>
  <c r="AM834" i="21" s="1"/>
  <c r="AK831" i="21"/>
  <c r="AL831" i="21" s="1"/>
  <c r="AH831" i="21"/>
  <c r="AK824" i="21"/>
  <c r="AL824" i="21" s="1"/>
  <c r="AM824" i="21" s="1"/>
  <c r="AH824" i="21"/>
  <c r="AH810" i="21"/>
  <c r="AK810" i="21"/>
  <c r="AB886" i="21"/>
  <c r="AH878" i="21"/>
  <c r="AL862" i="21"/>
  <c r="AH860" i="21"/>
  <c r="AK860" i="21"/>
  <c r="AL860" i="21" s="1"/>
  <c r="AM860" i="21" s="1"/>
  <c r="AM849" i="21"/>
  <c r="AM843" i="21"/>
  <c r="AH836" i="21"/>
  <c r="AK836" i="21"/>
  <c r="AL836" i="21" s="1"/>
  <c r="AM836" i="21" s="1"/>
  <c r="AB885" i="21"/>
  <c r="AH884" i="21"/>
  <c r="AK884" i="21"/>
  <c r="AL884" i="21" s="1"/>
  <c r="AM884" i="21" s="1"/>
  <c r="AK871" i="21"/>
  <c r="AL871" i="21" s="1"/>
  <c r="AH871" i="21"/>
  <c r="AB864" i="21"/>
  <c r="AL840" i="21"/>
  <c r="AH826" i="21"/>
  <c r="AK826" i="21"/>
  <c r="AL826" i="21" s="1"/>
  <c r="AM826" i="21" s="1"/>
  <c r="AK823" i="21"/>
  <c r="AL823" i="21" s="1"/>
  <c r="AM823" i="21" s="1"/>
  <c r="AH823" i="21"/>
  <c r="AH794" i="21"/>
  <c r="AK794" i="21"/>
  <c r="AB900" i="21"/>
  <c r="AB892" i="21"/>
  <c r="AB879" i="21"/>
  <c r="AM869" i="21"/>
  <c r="AL868" i="21"/>
  <c r="AM868" i="21" s="1"/>
  <c r="AK866" i="21"/>
  <c r="AL866" i="21" s="1"/>
  <c r="AM866" i="21" s="1"/>
  <c r="AH862" i="21"/>
  <c r="AK862" i="21"/>
  <c r="AM859" i="21"/>
  <c r="AL845" i="21"/>
  <c r="AM845" i="21" s="1"/>
  <c r="AM835" i="21"/>
  <c r="AH828" i="21"/>
  <c r="AK828" i="21"/>
  <c r="AL828" i="21" s="1"/>
  <c r="AM828" i="21" s="1"/>
  <c r="AH802" i="21"/>
  <c r="AK802" i="21"/>
  <c r="AA877" i="21"/>
  <c r="AB877" i="21" s="1"/>
  <c r="AH876" i="21"/>
  <c r="AK876" i="21"/>
  <c r="AL876" i="21" s="1"/>
  <c r="AM876" i="21" s="1"/>
  <c r="AK874" i="21"/>
  <c r="AL874" i="21" s="1"/>
  <c r="AM874" i="21" s="1"/>
  <c r="AB872" i="21"/>
  <c r="AL870" i="21"/>
  <c r="AM870" i="21" s="1"/>
  <c r="AL864" i="21"/>
  <c r="AM864" i="21" s="1"/>
  <c r="AL853" i="21"/>
  <c r="AM853" i="21" s="1"/>
  <c r="AK840" i="21"/>
  <c r="AH840" i="21"/>
  <c r="AL839" i="21"/>
  <c r="AL832" i="21"/>
  <c r="AM832" i="21" s="1"/>
  <c r="AB824" i="21"/>
  <c r="AH873" i="21"/>
  <c r="AM873" i="21" s="1"/>
  <c r="AA872" i="21"/>
  <c r="AH865" i="21"/>
  <c r="AM865" i="21" s="1"/>
  <c r="AA864" i="21"/>
  <c r="AH857" i="21"/>
  <c r="AM857" i="21" s="1"/>
  <c r="AA856" i="21"/>
  <c r="AB856" i="21" s="1"/>
  <c r="AK854" i="21"/>
  <c r="AL854" i="21" s="1"/>
  <c r="AM854" i="21" s="1"/>
  <c r="AH849" i="21"/>
  <c r="AA848" i="21"/>
  <c r="AB848" i="21" s="1"/>
  <c r="AK846" i="21"/>
  <c r="AL846" i="21" s="1"/>
  <c r="AM846" i="21" s="1"/>
  <c r="AH841" i="21"/>
  <c r="AM841" i="21" s="1"/>
  <c r="AA840" i="21"/>
  <c r="AK838" i="21"/>
  <c r="AL838" i="21" s="1"/>
  <c r="AM838" i="21" s="1"/>
  <c r="AH833" i="21"/>
  <c r="AM833" i="21" s="1"/>
  <c r="AA832" i="21"/>
  <c r="AB832" i="21" s="1"/>
  <c r="AK830" i="21"/>
  <c r="AL830" i="21" s="1"/>
  <c r="AM830" i="21" s="1"/>
  <c r="AH825" i="21"/>
  <c r="AM825" i="21" s="1"/>
  <c r="AA824" i="21"/>
  <c r="AK822" i="21"/>
  <c r="AL822" i="21" s="1"/>
  <c r="AM822" i="21" s="1"/>
  <c r="AK818" i="21"/>
  <c r="AK817" i="21"/>
  <c r="AL817" i="21" s="1"/>
  <c r="AM817" i="21" s="1"/>
  <c r="AK816" i="21"/>
  <c r="AL816" i="21" s="1"/>
  <c r="AM816" i="21" s="1"/>
  <c r="AL806" i="21"/>
  <c r="AM806" i="21" s="1"/>
  <c r="AH801" i="21"/>
  <c r="AH756" i="21"/>
  <c r="AK756" i="21"/>
  <c r="AL756" i="21" s="1"/>
  <c r="AM756" i="21" s="1"/>
  <c r="AM750" i="21"/>
  <c r="AK743" i="21"/>
  <c r="AH743" i="21"/>
  <c r="AH739" i="21"/>
  <c r="AK739" i="21"/>
  <c r="AL738" i="21"/>
  <c r="AM726" i="21"/>
  <c r="AH722" i="21"/>
  <c r="AK722" i="21"/>
  <c r="AH706" i="21"/>
  <c r="AK706" i="21"/>
  <c r="AK695" i="21"/>
  <c r="AH695" i="21"/>
  <c r="AH691" i="21"/>
  <c r="AK691" i="21"/>
  <c r="AL679" i="21"/>
  <c r="AK656" i="21"/>
  <c r="AL656" i="21" s="1"/>
  <c r="AH656" i="21"/>
  <c r="AH641" i="21"/>
  <c r="AK641" i="21"/>
  <c r="AL641" i="21" s="1"/>
  <c r="AM641" i="21" s="1"/>
  <c r="AB870" i="21"/>
  <c r="AB862" i="21"/>
  <c r="AB854" i="21"/>
  <c r="AB846" i="21"/>
  <c r="AB838" i="21"/>
  <c r="AB830" i="21"/>
  <c r="AB822" i="21"/>
  <c r="AL818" i="21"/>
  <c r="AM818" i="21" s="1"/>
  <c r="AH811" i="21"/>
  <c r="AK811" i="21"/>
  <c r="AM801" i="21"/>
  <c r="AH795" i="21"/>
  <c r="AK795" i="21"/>
  <c r="AL794" i="21"/>
  <c r="AM794" i="21" s="1"/>
  <c r="AA792" i="21"/>
  <c r="AB792" i="21"/>
  <c r="AA784" i="21"/>
  <c r="AB784" i="21"/>
  <c r="AA776" i="21"/>
  <c r="AB776" i="21"/>
  <c r="AH762" i="21"/>
  <c r="AK762" i="21"/>
  <c r="AK719" i="21"/>
  <c r="AL719" i="21" s="1"/>
  <c r="AM719" i="21" s="1"/>
  <c r="AH719" i="21"/>
  <c r="AH715" i="21"/>
  <c r="AK715" i="21"/>
  <c r="AL714" i="21"/>
  <c r="AL699" i="21"/>
  <c r="AH666" i="21"/>
  <c r="AK666" i="21"/>
  <c r="AH609" i="21"/>
  <c r="AK609" i="21"/>
  <c r="AL609" i="21" s="1"/>
  <c r="AB861" i="21"/>
  <c r="AB853" i="21"/>
  <c r="AB845" i="21"/>
  <c r="AB837" i="21"/>
  <c r="AB829" i="21"/>
  <c r="AB821" i="21"/>
  <c r="AB816" i="21"/>
  <c r="AK815" i="21"/>
  <c r="AL815" i="21" s="1"/>
  <c r="AM815" i="21" s="1"/>
  <c r="AH815" i="21"/>
  <c r="AB812" i="21"/>
  <c r="AH787" i="21"/>
  <c r="AK787" i="21"/>
  <c r="AL787" i="21" s="1"/>
  <c r="AM787" i="21" s="1"/>
  <c r="AH779" i="21"/>
  <c r="AK779" i="21"/>
  <c r="AL779" i="21" s="1"/>
  <c r="AM779" i="21" s="1"/>
  <c r="AH771" i="21"/>
  <c r="AK771" i="21"/>
  <c r="AL771" i="21" s="1"/>
  <c r="AM771" i="21" s="1"/>
  <c r="AL759" i="21"/>
  <c r="AH748" i="21"/>
  <c r="AK748" i="21"/>
  <c r="AL748" i="21" s="1"/>
  <c r="AM748" i="21" s="1"/>
  <c r="AM742" i="21"/>
  <c r="AH738" i="21"/>
  <c r="AK738" i="21"/>
  <c r="AM694" i="21"/>
  <c r="AH690" i="21"/>
  <c r="AK690" i="21"/>
  <c r="AL690" i="21" s="1"/>
  <c r="AM690" i="21" s="1"/>
  <c r="AK679" i="21"/>
  <c r="AH679" i="21"/>
  <c r="AH675" i="21"/>
  <c r="AK675" i="21"/>
  <c r="AL675" i="21" s="1"/>
  <c r="AM675" i="21" s="1"/>
  <c r="AK655" i="21"/>
  <c r="AL655" i="21" s="1"/>
  <c r="AM655" i="21" s="1"/>
  <c r="AH655" i="21"/>
  <c r="AB820" i="21"/>
  <c r="AH819" i="21"/>
  <c r="AM819" i="21" s="1"/>
  <c r="AK813" i="21"/>
  <c r="AL813" i="21" s="1"/>
  <c r="AM813" i="21" s="1"/>
  <c r="AL810" i="21"/>
  <c r="AM810" i="21" s="1"/>
  <c r="AH803" i="21"/>
  <c r="AK803" i="21"/>
  <c r="AL803" i="21" s="1"/>
  <c r="AM803" i="21" s="1"/>
  <c r="AL802" i="21"/>
  <c r="AM802" i="21" s="1"/>
  <c r="AK799" i="21"/>
  <c r="AL799" i="21" s="1"/>
  <c r="AM799" i="21" s="1"/>
  <c r="AH799" i="21"/>
  <c r="AH755" i="21"/>
  <c r="AK755" i="21"/>
  <c r="AL755" i="21" s="1"/>
  <c r="AM755" i="21" s="1"/>
  <c r="AL747" i="21"/>
  <c r="AK735" i="21"/>
  <c r="AL735" i="21" s="1"/>
  <c r="AM735" i="21" s="1"/>
  <c r="AH735" i="21"/>
  <c r="AH731" i="21"/>
  <c r="AK731" i="21"/>
  <c r="AL731" i="21" s="1"/>
  <c r="AM731" i="21" s="1"/>
  <c r="AL730" i="21"/>
  <c r="AH714" i="21"/>
  <c r="AK714" i="21"/>
  <c r="AK703" i="21"/>
  <c r="AL703" i="21" s="1"/>
  <c r="AM703" i="21" s="1"/>
  <c r="AH703" i="21"/>
  <c r="AH699" i="21"/>
  <c r="AK699" i="21"/>
  <c r="AL687" i="21"/>
  <c r="AA813" i="21"/>
  <c r="AB813" i="21"/>
  <c r="AH812" i="21"/>
  <c r="AK812" i="21"/>
  <c r="AL812" i="21" s="1"/>
  <c r="AM812" i="21" s="1"/>
  <c r="AH786" i="21"/>
  <c r="AK786" i="21"/>
  <c r="AL786" i="21" s="1"/>
  <c r="AM786" i="21" s="1"/>
  <c r="AH778" i="21"/>
  <c r="AK778" i="21"/>
  <c r="AL778" i="21" s="1"/>
  <c r="AM778" i="21" s="1"/>
  <c r="AH770" i="21"/>
  <c r="AK770" i="21"/>
  <c r="AL770" i="21" s="1"/>
  <c r="AM770" i="21" s="1"/>
  <c r="AK759" i="21"/>
  <c r="AH759" i="21"/>
  <c r="AL711" i="21"/>
  <c r="AH674" i="21"/>
  <c r="AK674" i="21"/>
  <c r="AL674" i="21" s="1"/>
  <c r="AM674" i="21" s="1"/>
  <c r="AK654" i="21"/>
  <c r="AH654" i="21"/>
  <c r="AK648" i="21"/>
  <c r="AL648" i="21" s="1"/>
  <c r="AH648" i="21"/>
  <c r="AB882" i="21"/>
  <c r="AB874" i="21"/>
  <c r="AB866" i="21"/>
  <c r="AB858" i="21"/>
  <c r="AB850" i="21"/>
  <c r="AB842" i="21"/>
  <c r="AB834" i="21"/>
  <c r="AB826" i="21"/>
  <c r="AK807" i="21"/>
  <c r="AL807" i="21" s="1"/>
  <c r="AM807" i="21" s="1"/>
  <c r="AH807" i="21"/>
  <c r="AB800" i="21"/>
  <c r="AH754" i="21"/>
  <c r="AK754" i="21"/>
  <c r="AL754" i="21" s="1"/>
  <c r="AM754" i="21" s="1"/>
  <c r="AH747" i="21"/>
  <c r="AK747" i="21"/>
  <c r="AM734" i="21"/>
  <c r="AH730" i="21"/>
  <c r="AK730" i="21"/>
  <c r="AM702" i="21"/>
  <c r="AH698" i="21"/>
  <c r="AK698" i="21"/>
  <c r="AL698" i="21" s="1"/>
  <c r="AM698" i="21" s="1"/>
  <c r="AK687" i="21"/>
  <c r="AH687" i="21"/>
  <c r="AH683" i="21"/>
  <c r="AK683" i="21"/>
  <c r="AL683" i="21" s="1"/>
  <c r="AM683" i="21" s="1"/>
  <c r="AL667" i="21"/>
  <c r="AH657" i="21"/>
  <c r="AK657" i="21"/>
  <c r="AL657" i="21" s="1"/>
  <c r="AL814" i="21"/>
  <c r="AM814" i="21" s="1"/>
  <c r="AM809" i="21"/>
  <c r="AA801" i="21"/>
  <c r="AB801" i="21"/>
  <c r="AH793" i="21"/>
  <c r="AK793" i="21"/>
  <c r="AL793" i="21" s="1"/>
  <c r="AM793" i="21" s="1"/>
  <c r="AH785" i="21"/>
  <c r="AK785" i="21"/>
  <c r="AL785" i="21" s="1"/>
  <c r="AM785" i="21" s="1"/>
  <c r="AH777" i="21"/>
  <c r="AK777" i="21"/>
  <c r="AL777" i="21" s="1"/>
  <c r="AM777" i="21" s="1"/>
  <c r="AH769" i="21"/>
  <c r="AK769" i="21"/>
  <c r="AL769" i="21" s="1"/>
  <c r="AM769" i="21" s="1"/>
  <c r="AM758" i="21"/>
  <c r="AK751" i="21"/>
  <c r="AL751" i="21" s="1"/>
  <c r="AM751" i="21" s="1"/>
  <c r="AH751" i="21"/>
  <c r="AL743" i="21"/>
  <c r="AM743" i="21" s="1"/>
  <c r="AL739" i="21"/>
  <c r="AM739" i="21" s="1"/>
  <c r="AK727" i="21"/>
  <c r="AL727" i="21" s="1"/>
  <c r="AM727" i="21" s="1"/>
  <c r="AH727" i="21"/>
  <c r="AH723" i="21"/>
  <c r="AK723" i="21"/>
  <c r="AL723" i="21" s="1"/>
  <c r="AM723" i="21" s="1"/>
  <c r="AL722" i="21"/>
  <c r="AM722" i="21" s="1"/>
  <c r="AK711" i="21"/>
  <c r="AH711" i="21"/>
  <c r="AH707" i="21"/>
  <c r="AK707" i="21"/>
  <c r="AL707" i="21" s="1"/>
  <c r="AM707" i="21" s="1"/>
  <c r="AL706" i="21"/>
  <c r="AL695" i="21"/>
  <c r="AM695" i="21" s="1"/>
  <c r="AL691" i="21"/>
  <c r="AM691" i="21" s="1"/>
  <c r="AM657" i="21"/>
  <c r="AH601" i="21"/>
  <c r="AK601" i="21"/>
  <c r="AL601" i="21" s="1"/>
  <c r="AM601" i="21" s="1"/>
  <c r="AL811" i="21"/>
  <c r="AM811" i="21" s="1"/>
  <c r="AA809" i="21"/>
  <c r="AB809" i="21" s="1"/>
  <c r="AB808" i="21"/>
  <c r="AL795" i="21"/>
  <c r="AM795" i="21" s="1"/>
  <c r="AK791" i="21"/>
  <c r="AL791" i="21" s="1"/>
  <c r="AM791" i="21" s="1"/>
  <c r="AH791" i="21"/>
  <c r="AK783" i="21"/>
  <c r="AL783" i="21" s="1"/>
  <c r="AM783" i="21" s="1"/>
  <c r="AH783" i="21"/>
  <c r="AK775" i="21"/>
  <c r="AL775" i="21" s="1"/>
  <c r="AM775" i="21" s="1"/>
  <c r="AH775" i="21"/>
  <c r="AK767" i="21"/>
  <c r="AL767" i="21" s="1"/>
  <c r="AM767" i="21" s="1"/>
  <c r="AH767" i="21"/>
  <c r="AH763" i="21"/>
  <c r="AK763" i="21"/>
  <c r="AL763" i="21" s="1"/>
  <c r="AM763" i="21" s="1"/>
  <c r="AL762" i="21"/>
  <c r="AM762" i="21" s="1"/>
  <c r="AH746" i="21"/>
  <c r="AK746" i="21"/>
  <c r="AL746" i="21" s="1"/>
  <c r="AM746" i="21" s="1"/>
  <c r="AL715" i="21"/>
  <c r="AM715" i="21" s="1"/>
  <c r="AM686" i="21"/>
  <c r="AH682" i="21"/>
  <c r="AK682" i="21"/>
  <c r="AL682" i="21" s="1"/>
  <c r="AM682" i="21" s="1"/>
  <c r="AK671" i="21"/>
  <c r="AL671" i="21" s="1"/>
  <c r="AM671" i="21" s="1"/>
  <c r="AH671" i="21"/>
  <c r="AH667" i="21"/>
  <c r="AK667" i="21"/>
  <c r="AL666" i="21"/>
  <c r="AM666" i="21" s="1"/>
  <c r="AH649" i="21"/>
  <c r="AK649" i="21"/>
  <c r="AL649" i="21" s="1"/>
  <c r="AH602" i="21"/>
  <c r="AK602" i="21"/>
  <c r="AL602" i="21" s="1"/>
  <c r="AA599" i="21"/>
  <c r="AB599" i="21" s="1"/>
  <c r="AA583" i="21"/>
  <c r="AB583" i="21" s="1"/>
  <c r="AH570" i="21"/>
  <c r="AK570" i="21"/>
  <c r="AL570" i="21" s="1"/>
  <c r="AA559" i="21"/>
  <c r="AB559" i="21" s="1"/>
  <c r="AA527" i="21"/>
  <c r="AB527" i="21" s="1"/>
  <c r="AA516" i="21"/>
  <c r="AB516" i="21" s="1"/>
  <c r="AA514" i="21"/>
  <c r="AB514" i="21"/>
  <c r="AH494" i="21"/>
  <c r="AK494" i="21"/>
  <c r="AL494" i="21" s="1"/>
  <c r="AH362" i="21"/>
  <c r="AK362" i="21"/>
  <c r="AH354" i="21"/>
  <c r="AK354" i="21"/>
  <c r="AK343" i="21"/>
  <c r="AH343" i="21"/>
  <c r="AH339" i="21"/>
  <c r="AK339" i="21"/>
  <c r="AA328" i="21"/>
  <c r="AB328" i="21" s="1"/>
  <c r="AA315" i="21"/>
  <c r="AB315" i="21"/>
  <c r="AA274" i="21"/>
  <c r="AB274" i="21" s="1"/>
  <c r="AB805" i="21"/>
  <c r="AK804" i="21"/>
  <c r="AL804" i="21" s="1"/>
  <c r="AM804" i="21" s="1"/>
  <c r="AB797" i="21"/>
  <c r="AK796" i="21"/>
  <c r="AL796" i="21" s="1"/>
  <c r="AM796" i="21" s="1"/>
  <c r="AB789" i="21"/>
  <c r="AK788" i="21"/>
  <c r="AL788" i="21" s="1"/>
  <c r="AM788" i="21" s="1"/>
  <c r="AB781" i="21"/>
  <c r="AK780" i="21"/>
  <c r="AL780" i="21" s="1"/>
  <c r="AM780" i="21" s="1"/>
  <c r="AB773" i="21"/>
  <c r="AK772" i="21"/>
  <c r="AL772" i="21" s="1"/>
  <c r="AM772" i="21" s="1"/>
  <c r="AB765" i="21"/>
  <c r="AK764" i="21"/>
  <c r="AL764" i="21" s="1"/>
  <c r="AM764" i="21" s="1"/>
  <c r="AB757" i="21"/>
  <c r="AB749" i="21"/>
  <c r="AB741" i="21"/>
  <c r="AK740" i="21"/>
  <c r="AL740" i="21" s="1"/>
  <c r="AM740" i="21" s="1"/>
  <c r="AB733" i="21"/>
  <c r="AK732" i="21"/>
  <c r="AL732" i="21" s="1"/>
  <c r="AM732" i="21" s="1"/>
  <c r="AB725" i="21"/>
  <c r="AK724" i="21"/>
  <c r="AL724" i="21" s="1"/>
  <c r="AM724" i="21" s="1"/>
  <c r="AB717" i="21"/>
  <c r="AK716" i="21"/>
  <c r="AL716" i="21" s="1"/>
  <c r="AM716" i="21" s="1"/>
  <c r="AB709" i="21"/>
  <c r="AK708" i="21"/>
  <c r="AL708" i="21" s="1"/>
  <c r="AM708" i="21" s="1"/>
  <c r="AB701" i="21"/>
  <c r="AK700" i="21"/>
  <c r="AL700" i="21" s="1"/>
  <c r="AM700" i="21" s="1"/>
  <c r="AB693" i="21"/>
  <c r="AK692" i="21"/>
  <c r="AL692" i="21" s="1"/>
  <c r="AM692" i="21" s="1"/>
  <c r="AB685" i="21"/>
  <c r="AK684" i="21"/>
  <c r="AL684" i="21" s="1"/>
  <c r="AM684" i="21" s="1"/>
  <c r="AB677" i="21"/>
  <c r="AK676" i="21"/>
  <c r="AL676" i="21" s="1"/>
  <c r="AM676" i="21" s="1"/>
  <c r="AB669" i="21"/>
  <c r="AK668" i="21"/>
  <c r="AL668" i="21" s="1"/>
  <c r="AM668" i="21" s="1"/>
  <c r="AK650" i="21"/>
  <c r="AL650" i="21" s="1"/>
  <c r="AM650" i="21" s="1"/>
  <c r="AM647" i="21"/>
  <c r="AA640" i="21"/>
  <c r="AB640" i="21"/>
  <c r="AL637" i="21"/>
  <c r="AM637" i="21" s="1"/>
  <c r="AH634" i="21"/>
  <c r="AK634" i="21"/>
  <c r="AL634" i="21" s="1"/>
  <c r="AM632" i="21"/>
  <c r="AH625" i="21"/>
  <c r="AK625" i="21"/>
  <c r="AL625" i="21" s="1"/>
  <c r="AM625" i="21" s="1"/>
  <c r="AM616" i="21"/>
  <c r="AA608" i="21"/>
  <c r="AB608" i="21" s="1"/>
  <c r="AL605" i="21"/>
  <c r="AM605" i="21" s="1"/>
  <c r="AL596" i="21"/>
  <c r="AM596" i="21" s="1"/>
  <c r="AH593" i="21"/>
  <c r="AK593" i="21"/>
  <c r="AL593" i="21" s="1"/>
  <c r="AL590" i="21"/>
  <c r="AM590" i="21" s="1"/>
  <c r="AL580" i="21"/>
  <c r="AM580" i="21" s="1"/>
  <c r="AM567" i="21"/>
  <c r="AL556" i="21"/>
  <c r="AM556" i="21" s="1"/>
  <c r="AH552" i="21"/>
  <c r="AK552" i="21"/>
  <c r="AL552" i="21" s="1"/>
  <c r="AH545" i="21"/>
  <c r="AK545" i="21"/>
  <c r="AL545" i="21" s="1"/>
  <c r="AB542" i="21"/>
  <c r="AM539" i="21"/>
  <c r="AH538" i="21"/>
  <c r="AK538" i="21"/>
  <c r="AL538" i="21" s="1"/>
  <c r="AM535" i="21"/>
  <c r="AL524" i="21"/>
  <c r="AM524" i="21" s="1"/>
  <c r="AH521" i="21"/>
  <c r="AK521" i="21"/>
  <c r="AL521" i="21" s="1"/>
  <c r="AM515" i="21"/>
  <c r="AB512" i="21"/>
  <c r="AL507" i="21"/>
  <c r="AM494" i="21"/>
  <c r="AH477" i="21"/>
  <c r="AK477" i="21"/>
  <c r="AK459" i="21"/>
  <c r="AL459" i="21" s="1"/>
  <c r="AM459" i="21" s="1"/>
  <c r="AH459" i="21"/>
  <c r="AA656" i="21"/>
  <c r="AB656" i="21"/>
  <c r="AK653" i="21"/>
  <c r="AK652" i="21"/>
  <c r="AL652" i="21" s="1"/>
  <c r="AM652" i="21" s="1"/>
  <c r="AA648" i="21"/>
  <c r="AB648" i="21"/>
  <c r="AL645" i="21"/>
  <c r="AM645" i="21" s="1"/>
  <c r="AL638" i="21"/>
  <c r="AM638" i="21" s="1"/>
  <c r="AB638" i="21"/>
  <c r="AM623" i="21"/>
  <c r="AK620" i="21"/>
  <c r="AL620" i="21" s="1"/>
  <c r="AM620" i="21" s="1"/>
  <c r="AH618" i="21"/>
  <c r="AK618" i="21"/>
  <c r="AL618" i="21" s="1"/>
  <c r="AM618" i="21" s="1"/>
  <c r="AL606" i="21"/>
  <c r="AM606" i="21" s="1"/>
  <c r="AB590" i="21"/>
  <c r="AM587" i="21"/>
  <c r="AH586" i="21"/>
  <c r="AK586" i="21"/>
  <c r="AL586" i="21" s="1"/>
  <c r="AM586" i="21" s="1"/>
  <c r="AH576" i="21"/>
  <c r="AK576" i="21"/>
  <c r="AL576" i="21" s="1"/>
  <c r="AM576" i="21" s="1"/>
  <c r="AH569" i="21"/>
  <c r="AK569" i="21"/>
  <c r="AL569" i="21" s="1"/>
  <c r="AM569" i="21" s="1"/>
  <c r="AL566" i="21"/>
  <c r="AM566" i="21" s="1"/>
  <c r="AA551" i="21"/>
  <c r="AB551" i="21" s="1"/>
  <c r="AK548" i="21"/>
  <c r="AL548" i="21" s="1"/>
  <c r="AM548" i="21" s="1"/>
  <c r="AL534" i="21"/>
  <c r="AM534" i="21" s="1"/>
  <c r="AH505" i="21"/>
  <c r="AK505" i="21"/>
  <c r="AH501" i="21"/>
  <c r="AK501" i="21"/>
  <c r="AL501" i="21" s="1"/>
  <c r="AM501" i="21" s="1"/>
  <c r="AM499" i="21"/>
  <c r="AH422" i="21"/>
  <c r="AK422" i="21"/>
  <c r="AL653" i="21"/>
  <c r="AM653" i="21" s="1"/>
  <c r="AH640" i="21"/>
  <c r="AB631" i="21"/>
  <c r="AA624" i="21"/>
  <c r="AB624" i="21" s="1"/>
  <c r="AB615" i="21"/>
  <c r="AH608" i="21"/>
  <c r="AA575" i="21"/>
  <c r="AB575" i="21" s="1"/>
  <c r="AM563" i="21"/>
  <c r="AH562" i="21"/>
  <c r="AK562" i="21"/>
  <c r="AL562" i="21" s="1"/>
  <c r="AM562" i="21" s="1"/>
  <c r="AH544" i="21"/>
  <c r="AK544" i="21"/>
  <c r="AL544" i="21" s="1"/>
  <c r="AH537" i="21"/>
  <c r="AK537" i="21"/>
  <c r="AL537" i="21" s="1"/>
  <c r="AM531" i="21"/>
  <c r="AH530" i="21"/>
  <c r="AK530" i="21"/>
  <c r="AL530" i="21" s="1"/>
  <c r="AM530" i="21" s="1"/>
  <c r="AH520" i="21"/>
  <c r="AK520" i="21"/>
  <c r="AL520" i="21" s="1"/>
  <c r="AM520" i="21" s="1"/>
  <c r="AK507" i="21"/>
  <c r="AH507" i="21"/>
  <c r="AM503" i="21"/>
  <c r="AH479" i="21"/>
  <c r="AK479" i="21"/>
  <c r="AL479" i="21" s="1"/>
  <c r="AH476" i="21"/>
  <c r="AK476" i="21"/>
  <c r="AL476" i="21" s="1"/>
  <c r="AK449" i="21"/>
  <c r="AH449" i="21"/>
  <c r="AH444" i="21"/>
  <c r="AK444" i="21"/>
  <c r="AL444" i="21" s="1"/>
  <c r="AB802" i="21"/>
  <c r="AB794" i="21"/>
  <c r="AB786" i="21"/>
  <c r="AB778" i="21"/>
  <c r="AB770" i="21"/>
  <c r="AB762" i="21"/>
  <c r="AK761" i="21"/>
  <c r="AL761" i="21" s="1"/>
  <c r="AM761" i="21" s="1"/>
  <c r="AB754" i="21"/>
  <c r="AK753" i="21"/>
  <c r="AL753" i="21" s="1"/>
  <c r="AM753" i="21" s="1"/>
  <c r="AB746" i="21"/>
  <c r="AK745" i="21"/>
  <c r="AL745" i="21" s="1"/>
  <c r="AM745" i="21" s="1"/>
  <c r="AB738" i="21"/>
  <c r="AK737" i="21"/>
  <c r="AL737" i="21" s="1"/>
  <c r="AM737" i="21" s="1"/>
  <c r="AB730" i="21"/>
  <c r="AK729" i="21"/>
  <c r="AL729" i="21" s="1"/>
  <c r="AM729" i="21" s="1"/>
  <c r="AB722" i="21"/>
  <c r="AK721" i="21"/>
  <c r="AL721" i="21" s="1"/>
  <c r="AM721" i="21" s="1"/>
  <c r="AK713" i="21"/>
  <c r="AL713" i="21" s="1"/>
  <c r="AM713" i="21" s="1"/>
  <c r="AB706" i="21"/>
  <c r="AK705" i="21"/>
  <c r="AL705" i="21" s="1"/>
  <c r="AM705" i="21" s="1"/>
  <c r="AB698" i="21"/>
  <c r="AK697" i="21"/>
  <c r="AL697" i="21" s="1"/>
  <c r="AM697" i="21" s="1"/>
  <c r="AB690" i="21"/>
  <c r="AK689" i="21"/>
  <c r="AL689" i="21" s="1"/>
  <c r="AM689" i="21" s="1"/>
  <c r="AB682" i="21"/>
  <c r="AK681" i="21"/>
  <c r="AL681" i="21" s="1"/>
  <c r="AM681" i="21" s="1"/>
  <c r="AB674" i="21"/>
  <c r="AK673" i="21"/>
  <c r="AL673" i="21" s="1"/>
  <c r="AM673" i="21" s="1"/>
  <c r="AB666" i="21"/>
  <c r="AK665" i="21"/>
  <c r="AL665" i="21" s="1"/>
  <c r="AM665" i="21" s="1"/>
  <c r="AK661" i="21"/>
  <c r="AK660" i="21"/>
  <c r="AL660" i="21" s="1"/>
  <c r="AM660" i="21" s="1"/>
  <c r="AL654" i="21"/>
  <c r="AM654" i="21" s="1"/>
  <c r="AH642" i="21"/>
  <c r="AK642" i="21"/>
  <c r="AL642" i="21" s="1"/>
  <c r="AM642" i="21" s="1"/>
  <c r="AM640" i="21"/>
  <c r="AH633" i="21"/>
  <c r="AM633" i="21" s="1"/>
  <c r="AK633" i="21"/>
  <c r="AL633" i="21" s="1"/>
  <c r="AH617" i="21"/>
  <c r="AK617" i="21"/>
  <c r="AL617" i="21" s="1"/>
  <c r="AM608" i="21"/>
  <c r="AH592" i="21"/>
  <c r="AK592" i="21"/>
  <c r="AL592" i="21" s="1"/>
  <c r="AM592" i="21" s="1"/>
  <c r="AH585" i="21"/>
  <c r="AK585" i="21"/>
  <c r="AL585" i="21" s="1"/>
  <c r="AM585" i="21" s="1"/>
  <c r="AA543" i="21"/>
  <c r="AB543" i="21"/>
  <c r="AA519" i="21"/>
  <c r="AB519" i="21"/>
  <c r="AA517" i="21"/>
  <c r="AB517" i="21" s="1"/>
  <c r="AA515" i="21"/>
  <c r="AB515" i="21" s="1"/>
  <c r="AL513" i="21"/>
  <c r="AM513" i="21" s="1"/>
  <c r="AA513" i="21"/>
  <c r="AB513" i="21"/>
  <c r="AM508" i="21"/>
  <c r="AA506" i="21"/>
  <c r="AB506" i="21" s="1"/>
  <c r="AH500" i="21"/>
  <c r="AK500" i="21"/>
  <c r="AL500" i="21" s="1"/>
  <c r="AH471" i="21"/>
  <c r="AK471" i="21"/>
  <c r="AL471" i="21" s="1"/>
  <c r="AM471" i="21" s="1"/>
  <c r="AH427" i="21"/>
  <c r="AK427" i="21"/>
  <c r="AL427" i="21" s="1"/>
  <c r="AM427" i="21" s="1"/>
  <c r="AB793" i="21"/>
  <c r="AB785" i="21"/>
  <c r="AB777" i="21"/>
  <c r="AB769" i="21"/>
  <c r="AB761" i="21"/>
  <c r="AB753" i="21"/>
  <c r="AB745" i="21"/>
  <c r="AB737" i="21"/>
  <c r="AB729" i="21"/>
  <c r="AB721" i="21"/>
  <c r="AB713" i="21"/>
  <c r="AB705" i="21"/>
  <c r="AB697" i="21"/>
  <c r="AB689" i="21"/>
  <c r="AB681" i="21"/>
  <c r="AB673" i="21"/>
  <c r="AB662" i="21"/>
  <c r="AL661" i="21"/>
  <c r="AM661" i="21" s="1"/>
  <c r="AB661" i="21"/>
  <c r="AB660" i="21"/>
  <c r="AK659" i="21"/>
  <c r="AL659" i="21" s="1"/>
  <c r="AM659" i="21" s="1"/>
  <c r="AK658" i="21"/>
  <c r="AL658" i="21" s="1"/>
  <c r="AM658" i="21" s="1"/>
  <c r="AM631" i="21"/>
  <c r="AK628" i="21"/>
  <c r="AL628" i="21" s="1"/>
  <c r="AM628" i="21" s="1"/>
  <c r="AM615" i="21"/>
  <c r="AK612" i="21"/>
  <c r="AL612" i="21" s="1"/>
  <c r="AM612" i="21" s="1"/>
  <c r="AH610" i="21"/>
  <c r="AK610" i="21"/>
  <c r="AL610" i="21" s="1"/>
  <c r="AM610" i="21" s="1"/>
  <c r="AB598" i="21"/>
  <c r="AA591" i="21"/>
  <c r="AB591" i="21" s="1"/>
  <c r="AK588" i="21"/>
  <c r="AL588" i="21" s="1"/>
  <c r="AM588" i="21" s="1"/>
  <c r="AB582" i="21"/>
  <c r="AH578" i="21"/>
  <c r="AK578" i="21"/>
  <c r="AL578" i="21" s="1"/>
  <c r="AM578" i="21" s="1"/>
  <c r="AH568" i="21"/>
  <c r="AK568" i="21"/>
  <c r="AL568" i="21" s="1"/>
  <c r="AH561" i="21"/>
  <c r="AK561" i="21"/>
  <c r="AL561" i="21" s="1"/>
  <c r="AB558" i="21"/>
  <c r="AM555" i="21"/>
  <c r="AH554" i="21"/>
  <c r="AK554" i="21"/>
  <c r="AL554" i="21" s="1"/>
  <c r="AM554" i="21" s="1"/>
  <c r="AM551" i="21"/>
  <c r="AL540" i="21"/>
  <c r="AM540" i="21" s="1"/>
  <c r="AH536" i="21"/>
  <c r="AK536" i="21"/>
  <c r="AL536" i="21" s="1"/>
  <c r="AH529" i="21"/>
  <c r="AK529" i="21"/>
  <c r="AL529" i="21" s="1"/>
  <c r="AB526" i="21"/>
  <c r="AM523" i="21"/>
  <c r="AK497" i="21"/>
  <c r="AH497" i="21"/>
  <c r="AA491" i="21"/>
  <c r="AB491" i="21"/>
  <c r="AB768" i="21"/>
  <c r="AB760" i="21"/>
  <c r="AB752" i="21"/>
  <c r="AB744" i="21"/>
  <c r="AB736" i="21"/>
  <c r="AB728" i="21"/>
  <c r="AB720" i="21"/>
  <c r="AB712" i="21"/>
  <c r="AB704" i="21"/>
  <c r="AB696" i="21"/>
  <c r="AB688" i="21"/>
  <c r="AB680" i="21"/>
  <c r="AB672" i="21"/>
  <c r="AB664" i="21"/>
  <c r="AB639" i="21"/>
  <c r="AA632" i="21"/>
  <c r="AB632" i="21" s="1"/>
  <c r="AL629" i="21"/>
  <c r="AM629" i="21" s="1"/>
  <c r="AH626" i="21"/>
  <c r="AK626" i="21"/>
  <c r="AL626" i="21" s="1"/>
  <c r="AM626" i="21" s="1"/>
  <c r="AM624" i="21"/>
  <c r="AA616" i="21"/>
  <c r="AB616" i="21" s="1"/>
  <c r="AL613" i="21"/>
  <c r="AM613" i="21" s="1"/>
  <c r="AB607" i="21"/>
  <c r="AH600" i="21"/>
  <c r="AM575" i="21"/>
  <c r="AA567" i="21"/>
  <c r="AB567" i="21"/>
  <c r="AK564" i="21"/>
  <c r="AL550" i="21"/>
  <c r="AM550" i="21" s="1"/>
  <c r="AA535" i="21"/>
  <c r="AB535" i="21"/>
  <c r="AK532" i="21"/>
  <c r="AB511" i="21"/>
  <c r="AH492" i="21"/>
  <c r="AK492" i="21"/>
  <c r="AL492" i="21" s="1"/>
  <c r="AM492" i="21" s="1"/>
  <c r="AB663" i="21"/>
  <c r="AH662" i="21"/>
  <c r="AM662" i="21" s="1"/>
  <c r="AA655" i="21"/>
  <c r="AB655" i="21" s="1"/>
  <c r="AB647" i="21"/>
  <c r="AH639" i="21"/>
  <c r="AM639" i="21" s="1"/>
  <c r="AM630" i="21"/>
  <c r="AA623" i="21"/>
  <c r="AB623" i="21" s="1"/>
  <c r="AL614" i="21"/>
  <c r="AM614" i="21" s="1"/>
  <c r="AM600" i="21"/>
  <c r="AH594" i="21"/>
  <c r="AK594" i="21"/>
  <c r="AL594" i="21" s="1"/>
  <c r="AM594" i="21" s="1"/>
  <c r="AH584" i="21"/>
  <c r="AK584" i="21"/>
  <c r="AL584" i="21" s="1"/>
  <c r="AM584" i="21" s="1"/>
  <c r="AH577" i="21"/>
  <c r="AK577" i="21"/>
  <c r="AL577" i="21" s="1"/>
  <c r="AM577" i="21" s="1"/>
  <c r="AL564" i="21"/>
  <c r="AM564" i="21" s="1"/>
  <c r="AH560" i="21"/>
  <c r="AK560" i="21"/>
  <c r="AL560" i="21" s="1"/>
  <c r="AH553" i="21"/>
  <c r="AK553" i="21"/>
  <c r="AL553" i="21" s="1"/>
  <c r="AH546" i="21"/>
  <c r="AK546" i="21"/>
  <c r="AL546" i="21" s="1"/>
  <c r="AM546" i="21" s="1"/>
  <c r="AL532" i="21"/>
  <c r="AM532" i="21" s="1"/>
  <c r="AH528" i="21"/>
  <c r="AK528" i="21"/>
  <c r="AL528" i="21" s="1"/>
  <c r="AM528" i="21" s="1"/>
  <c r="AH522" i="21"/>
  <c r="AK522" i="21"/>
  <c r="AL522" i="21" s="1"/>
  <c r="AM522" i="21" s="1"/>
  <c r="AA498" i="21"/>
  <c r="AB498" i="21" s="1"/>
  <c r="AB466" i="21"/>
  <c r="AA466" i="21"/>
  <c r="AH460" i="21"/>
  <c r="AK460" i="21"/>
  <c r="AL460" i="21" s="1"/>
  <c r="AB508" i="21"/>
  <c r="AK496" i="21"/>
  <c r="AL496" i="21" s="1"/>
  <c r="AM496" i="21" s="1"/>
  <c r="AH484" i="21"/>
  <c r="AK484" i="21"/>
  <c r="AL484" i="21" s="1"/>
  <c r="AH469" i="21"/>
  <c r="AK469" i="21"/>
  <c r="AM458" i="21"/>
  <c r="AB458" i="21"/>
  <c r="AM451" i="21"/>
  <c r="AH443" i="21"/>
  <c r="AK443" i="21"/>
  <c r="AL443" i="21" s="1"/>
  <c r="AA442" i="21"/>
  <c r="AB442" i="21" s="1"/>
  <c r="AH437" i="21"/>
  <c r="AK437" i="21"/>
  <c r="AL433" i="21"/>
  <c r="AH394" i="21"/>
  <c r="AK394" i="21"/>
  <c r="AB376" i="21"/>
  <c r="AA376" i="21"/>
  <c r="AH498" i="21"/>
  <c r="AM498" i="21" s="1"/>
  <c r="AH491" i="21"/>
  <c r="AH486" i="21"/>
  <c r="AK486" i="21"/>
  <c r="AL486" i="21" s="1"/>
  <c r="AM486" i="21" s="1"/>
  <c r="AA483" i="21"/>
  <c r="AB483" i="21"/>
  <c r="AH466" i="21"/>
  <c r="AM466" i="21" s="1"/>
  <c r="AL464" i="21"/>
  <c r="AM464" i="21" s="1"/>
  <c r="AH461" i="21"/>
  <c r="AK461" i="21"/>
  <c r="AL461" i="21" s="1"/>
  <c r="AM461" i="21" s="1"/>
  <c r="AL450" i="21"/>
  <c r="AB450" i="21"/>
  <c r="AL442" i="21"/>
  <c r="AM442" i="21" s="1"/>
  <c r="AH417" i="21"/>
  <c r="AB618" i="21"/>
  <c r="AB602" i="21"/>
  <c r="AB594" i="21"/>
  <c r="AB586" i="21"/>
  <c r="AB578" i="21"/>
  <c r="AB570" i="21"/>
  <c r="AB562" i="21"/>
  <c r="AB554" i="21"/>
  <c r="AB546" i="21"/>
  <c r="AB538" i="21"/>
  <c r="AB530" i="21"/>
  <c r="AA499" i="21"/>
  <c r="AB499" i="21"/>
  <c r="AM491" i="21"/>
  <c r="AA475" i="21"/>
  <c r="AB475" i="21"/>
  <c r="AH468" i="21"/>
  <c r="AK468" i="21"/>
  <c r="AL468" i="21" s="1"/>
  <c r="AH453" i="21"/>
  <c r="AK453" i="21"/>
  <c r="AL453" i="21" s="1"/>
  <c r="AM453" i="21" s="1"/>
  <c r="AH436" i="21"/>
  <c r="AK436" i="21"/>
  <c r="AL436" i="21" s="1"/>
  <c r="AM417" i="21"/>
  <c r="AH378" i="21"/>
  <c r="AK378" i="21"/>
  <c r="AB561" i="21"/>
  <c r="AB553" i="21"/>
  <c r="AB545" i="21"/>
  <c r="AB537" i="21"/>
  <c r="AB529" i="21"/>
  <c r="AB521" i="21"/>
  <c r="AB504" i="21"/>
  <c r="AB503" i="21"/>
  <c r="AH502" i="21"/>
  <c r="AK502" i="21"/>
  <c r="AL502" i="21" s="1"/>
  <c r="AM502" i="21" s="1"/>
  <c r="AL497" i="21"/>
  <c r="AM497" i="21" s="1"/>
  <c r="AL490" i="21"/>
  <c r="AM490" i="21" s="1"/>
  <c r="AB490" i="21"/>
  <c r="AH483" i="21"/>
  <c r="AH478" i="21"/>
  <c r="AK478" i="21"/>
  <c r="AL478" i="21" s="1"/>
  <c r="AM478" i="21" s="1"/>
  <c r="AH470" i="21"/>
  <c r="AK470" i="21"/>
  <c r="AL470" i="21" s="1"/>
  <c r="AM470" i="21" s="1"/>
  <c r="AA467" i="21"/>
  <c r="AB467" i="21"/>
  <c r="AL465" i="21"/>
  <c r="AH450" i="21"/>
  <c r="AH445" i="21"/>
  <c r="AK445" i="21"/>
  <c r="AL445" i="21" s="1"/>
  <c r="AM445" i="21" s="1"/>
  <c r="AH442" i="21"/>
  <c r="AH438" i="21"/>
  <c r="AK438" i="21"/>
  <c r="AL438" i="21" s="1"/>
  <c r="AH426" i="21"/>
  <c r="AK426" i="21"/>
  <c r="AL426" i="21" s="1"/>
  <c r="AK425" i="21"/>
  <c r="AL425" i="21" s="1"/>
  <c r="AM425" i="21" s="1"/>
  <c r="AH402" i="21"/>
  <c r="AK402" i="21"/>
  <c r="AK391" i="21"/>
  <c r="AH391" i="21"/>
  <c r="AB600" i="21"/>
  <c r="AB592" i="21"/>
  <c r="AB584" i="21"/>
  <c r="AB576" i="21"/>
  <c r="AB568" i="21"/>
  <c r="AB560" i="21"/>
  <c r="AB552" i="21"/>
  <c r="AB544" i="21"/>
  <c r="AB536" i="21"/>
  <c r="AB528" i="21"/>
  <c r="AB520" i="21"/>
  <c r="AL505" i="21"/>
  <c r="AM505" i="21" s="1"/>
  <c r="AH493" i="21"/>
  <c r="AK493" i="21"/>
  <c r="AL493" i="21" s="1"/>
  <c r="AM493" i="21" s="1"/>
  <c r="AM483" i="21"/>
  <c r="AK473" i="21"/>
  <c r="AL473" i="21" s="1"/>
  <c r="AM473" i="21" s="1"/>
  <c r="AH473" i="21"/>
  <c r="AA459" i="21"/>
  <c r="AB459" i="21"/>
  <c r="AL457" i="21"/>
  <c r="AH452" i="21"/>
  <c r="AK452" i="21"/>
  <c r="AL452" i="21" s="1"/>
  <c r="AL441" i="21"/>
  <c r="AH435" i="21"/>
  <c r="AK435" i="21"/>
  <c r="AL435" i="21" s="1"/>
  <c r="AM435" i="21" s="1"/>
  <c r="AA434" i="21"/>
  <c r="AB434" i="21"/>
  <c r="AK423" i="21"/>
  <c r="AL423" i="21" s="1"/>
  <c r="AM423" i="21" s="1"/>
  <c r="AH423" i="21"/>
  <c r="AK409" i="21"/>
  <c r="AL409" i="21" s="1"/>
  <c r="AM409" i="21" s="1"/>
  <c r="AH409" i="21"/>
  <c r="AK393" i="21"/>
  <c r="AL393" i="21" s="1"/>
  <c r="AM393" i="21" s="1"/>
  <c r="AH393" i="21"/>
  <c r="AK518" i="21"/>
  <c r="AL518" i="21" s="1"/>
  <c r="AM518" i="21" s="1"/>
  <c r="AL514" i="21"/>
  <c r="AM514" i="21" s="1"/>
  <c r="AH490" i="21"/>
  <c r="AL488" i="21"/>
  <c r="AM488" i="21" s="1"/>
  <c r="AL482" i="21"/>
  <c r="AM482" i="21" s="1"/>
  <c r="AB482" i="21"/>
  <c r="AL477" i="21"/>
  <c r="AM477" i="21" s="1"/>
  <c r="AM475" i="21"/>
  <c r="AH467" i="21"/>
  <c r="AM467" i="21" s="1"/>
  <c r="AH462" i="21"/>
  <c r="AM462" i="21" s="1"/>
  <c r="AK462" i="21"/>
  <c r="AL462" i="21" s="1"/>
  <c r="AA451" i="21"/>
  <c r="AB451" i="21" s="1"/>
  <c r="AL449" i="21"/>
  <c r="AM449" i="21" s="1"/>
  <c r="AK439" i="21"/>
  <c r="AL439" i="21" s="1"/>
  <c r="AM439" i="21" s="1"/>
  <c r="AL434" i="21"/>
  <c r="AM434" i="21" s="1"/>
  <c r="AM432" i="21"/>
  <c r="AH386" i="21"/>
  <c r="AK386" i="21"/>
  <c r="AH485" i="21"/>
  <c r="AK485" i="21"/>
  <c r="AL485" i="21" s="1"/>
  <c r="AM485" i="21" s="1"/>
  <c r="AB474" i="21"/>
  <c r="AL469" i="21"/>
  <c r="AM469" i="21" s="1"/>
  <c r="AH454" i="21"/>
  <c r="AK454" i="21"/>
  <c r="AL454" i="21" s="1"/>
  <c r="AM454" i="21" s="1"/>
  <c r="AH446" i="21"/>
  <c r="AM446" i="21" s="1"/>
  <c r="AK446" i="21"/>
  <c r="AL446" i="21" s="1"/>
  <c r="AL437" i="21"/>
  <c r="AM437" i="21" s="1"/>
  <c r="AM424" i="21"/>
  <c r="AB424" i="21"/>
  <c r="AA424" i="21"/>
  <c r="AL394" i="21"/>
  <c r="AM394" i="21" s="1"/>
  <c r="AA385" i="21"/>
  <c r="AB385" i="21"/>
  <c r="AB495" i="21"/>
  <c r="AH489" i="21"/>
  <c r="AM489" i="21" s="1"/>
  <c r="AB487" i="21"/>
  <c r="AH481" i="21"/>
  <c r="AM481" i="21" s="1"/>
  <c r="AB479" i="21"/>
  <c r="AB471" i="21"/>
  <c r="AH465" i="21"/>
  <c r="AB463" i="21"/>
  <c r="AH457" i="21"/>
  <c r="AB455" i="21"/>
  <c r="AB447" i="21"/>
  <c r="AH441" i="21"/>
  <c r="AB439" i="21"/>
  <c r="AH433" i="21"/>
  <c r="AB429" i="21"/>
  <c r="AK428" i="21"/>
  <c r="AL428" i="21" s="1"/>
  <c r="AM428" i="21" s="1"/>
  <c r="AA425" i="21"/>
  <c r="AB425" i="21"/>
  <c r="AH424" i="21"/>
  <c r="AL410" i="21"/>
  <c r="AM410" i="21" s="1"/>
  <c r="AK407" i="21"/>
  <c r="AL407" i="21" s="1"/>
  <c r="AM407" i="21" s="1"/>
  <c r="AH407" i="21"/>
  <c r="AA401" i="21"/>
  <c r="AB401" i="21"/>
  <c r="AH387" i="21"/>
  <c r="AK387" i="21"/>
  <c r="AL374" i="21"/>
  <c r="AM374" i="21" s="1"/>
  <c r="AL370" i="21"/>
  <c r="AM369" i="21"/>
  <c r="AK367" i="21"/>
  <c r="AH367" i="21"/>
  <c r="AA361" i="21"/>
  <c r="AB361" i="21"/>
  <c r="AL350" i="21"/>
  <c r="AM350" i="21" s="1"/>
  <c r="AK323" i="21"/>
  <c r="AL323" i="21" s="1"/>
  <c r="AM323" i="21" s="1"/>
  <c r="AH323" i="21"/>
  <c r="AK306" i="21"/>
  <c r="AL306" i="21" s="1"/>
  <c r="AM306" i="21" s="1"/>
  <c r="AH306" i="21"/>
  <c r="AH275" i="21"/>
  <c r="AK275" i="21"/>
  <c r="AL275" i="21" s="1"/>
  <c r="AM275" i="21" s="1"/>
  <c r="AH403" i="21"/>
  <c r="AK403" i="21"/>
  <c r="AL403" i="21" s="1"/>
  <c r="AM403" i="21" s="1"/>
  <c r="AB392" i="21"/>
  <c r="AH385" i="21"/>
  <c r="AM385" i="21" s="1"/>
  <c r="AH363" i="21"/>
  <c r="AK363" i="21"/>
  <c r="AL363" i="21" s="1"/>
  <c r="AM363" i="21" s="1"/>
  <c r="AL359" i="21"/>
  <c r="AH346" i="21"/>
  <c r="AK346" i="21"/>
  <c r="AL346" i="21" s="1"/>
  <c r="AM346" i="21" s="1"/>
  <c r="AK335" i="21"/>
  <c r="AL335" i="21" s="1"/>
  <c r="AM335" i="21" s="1"/>
  <c r="AH335" i="21"/>
  <c r="AB320" i="21"/>
  <c r="AK421" i="21"/>
  <c r="AL421" i="21" s="1"/>
  <c r="AM421" i="21" s="1"/>
  <c r="AK420" i="21"/>
  <c r="AL420" i="21" s="1"/>
  <c r="AM420" i="21" s="1"/>
  <c r="AB408" i="21"/>
  <c r="AK406" i="21"/>
  <c r="AA405" i="21"/>
  <c r="AB405" i="21" s="1"/>
  <c r="AB404" i="21"/>
  <c r="AL386" i="21"/>
  <c r="AM386" i="21" s="1"/>
  <c r="AK383" i="21"/>
  <c r="AL383" i="21" s="1"/>
  <c r="AM383" i="21" s="1"/>
  <c r="AH383" i="21"/>
  <c r="AA377" i="21"/>
  <c r="AB377" i="21" s="1"/>
  <c r="AH370" i="21"/>
  <c r="AK370" i="21"/>
  <c r="AB368" i="21"/>
  <c r="AH361" i="21"/>
  <c r="AA353" i="21"/>
  <c r="AB353" i="21" s="1"/>
  <c r="AL342" i="21"/>
  <c r="AM342" i="21" s="1"/>
  <c r="AK322" i="21"/>
  <c r="AL322" i="21" s="1"/>
  <c r="AM322" i="21" s="1"/>
  <c r="AH322" i="21"/>
  <c r="AH267" i="21"/>
  <c r="AK267" i="21"/>
  <c r="AL267" i="21" s="1"/>
  <c r="AB500" i="21"/>
  <c r="AB492" i="21"/>
  <c r="AB484" i="21"/>
  <c r="AB476" i="21"/>
  <c r="AB468" i="21"/>
  <c r="AB460" i="21"/>
  <c r="AB452" i="21"/>
  <c r="AB444" i="21"/>
  <c r="AB436" i="21"/>
  <c r="AL422" i="21"/>
  <c r="AM422" i="21" s="1"/>
  <c r="AB421" i="21"/>
  <c r="AB420" i="21"/>
  <c r="AH419" i="21"/>
  <c r="AK419" i="21"/>
  <c r="AL419" i="21" s="1"/>
  <c r="AM419" i="21" s="1"/>
  <c r="AH415" i="21"/>
  <c r="AM415" i="21" s="1"/>
  <c r="AL406" i="21"/>
  <c r="AM406" i="21" s="1"/>
  <c r="AL395" i="21"/>
  <c r="AM395" i="21" s="1"/>
  <c r="AM392" i="21"/>
  <c r="AH379" i="21"/>
  <c r="AK379" i="21"/>
  <c r="AL379" i="21" s="1"/>
  <c r="AM379" i="21" s="1"/>
  <c r="AM366" i="21"/>
  <c r="AL362" i="21"/>
  <c r="AM362" i="21" s="1"/>
  <c r="AM361" i="21"/>
  <c r="AK359" i="21"/>
  <c r="AH359" i="21"/>
  <c r="AH355" i="21"/>
  <c r="AK355" i="21"/>
  <c r="AL355" i="21" s="1"/>
  <c r="AM355" i="21" s="1"/>
  <c r="AL351" i="21"/>
  <c r="AH338" i="21"/>
  <c r="AK338" i="21"/>
  <c r="AL338" i="21" s="1"/>
  <c r="AM338" i="21" s="1"/>
  <c r="AK315" i="21"/>
  <c r="AL315" i="21" s="1"/>
  <c r="AH315" i="21"/>
  <c r="AM315" i="21" s="1"/>
  <c r="AH301" i="21"/>
  <c r="AK301" i="21"/>
  <c r="AL301" i="21" s="1"/>
  <c r="AM301" i="21" s="1"/>
  <c r="AB443" i="21"/>
  <c r="AB435" i="21"/>
  <c r="AB423" i="21"/>
  <c r="AB416" i="21"/>
  <c r="AA409" i="21"/>
  <c r="AB409" i="21" s="1"/>
  <c r="AL402" i="21"/>
  <c r="AM402" i="21" s="1"/>
  <c r="AK399" i="21"/>
  <c r="AL399" i="21" s="1"/>
  <c r="AM399" i="21" s="1"/>
  <c r="AH399" i="21"/>
  <c r="AA393" i="21"/>
  <c r="AB393" i="21"/>
  <c r="AB384" i="21"/>
  <c r="AH377" i="21"/>
  <c r="AM377" i="21" s="1"/>
  <c r="AA345" i="21"/>
  <c r="AB345" i="21" s="1"/>
  <c r="AM334" i="21"/>
  <c r="AA323" i="21"/>
  <c r="AB323" i="21"/>
  <c r="AH308" i="21"/>
  <c r="AM308" i="21" s="1"/>
  <c r="AK308" i="21"/>
  <c r="AL308" i="21" s="1"/>
  <c r="AM267" i="21"/>
  <c r="AA417" i="21"/>
  <c r="AB417" i="21"/>
  <c r="AH416" i="21"/>
  <c r="AM416" i="21" s="1"/>
  <c r="AH411" i="21"/>
  <c r="AK411" i="21"/>
  <c r="AL411" i="21" s="1"/>
  <c r="AM411" i="21" s="1"/>
  <c r="AH395" i="21"/>
  <c r="AK395" i="21"/>
  <c r="AL391" i="21"/>
  <c r="AM391" i="21" s="1"/>
  <c r="AM382" i="21"/>
  <c r="AL378" i="21"/>
  <c r="AM378" i="21" s="1"/>
  <c r="AK375" i="21"/>
  <c r="AL375" i="21" s="1"/>
  <c r="AM375" i="21" s="1"/>
  <c r="AH375" i="21"/>
  <c r="AA369" i="21"/>
  <c r="AB369" i="21" s="1"/>
  <c r="AB360" i="21"/>
  <c r="AL354" i="21"/>
  <c r="AM354" i="21" s="1"/>
  <c r="AM353" i="21"/>
  <c r="AK351" i="21"/>
  <c r="AH351" i="21"/>
  <c r="AH347" i="21"/>
  <c r="AK347" i="21"/>
  <c r="AL347" i="21" s="1"/>
  <c r="AM347" i="21" s="1"/>
  <c r="AL343" i="21"/>
  <c r="AM343" i="21" s="1"/>
  <c r="AL339" i="21"/>
  <c r="AM339" i="21" s="1"/>
  <c r="AK314" i="21"/>
  <c r="AL314" i="21" s="1"/>
  <c r="AH314" i="21"/>
  <c r="AH289" i="21"/>
  <c r="AK289" i="21"/>
  <c r="AK280" i="21"/>
  <c r="AH280" i="21"/>
  <c r="AA413" i="21"/>
  <c r="AB413" i="21" s="1"/>
  <c r="AB412" i="21"/>
  <c r="AB400" i="21"/>
  <c r="AL387" i="21"/>
  <c r="AM387" i="21" s="1"/>
  <c r="AH371" i="21"/>
  <c r="AK371" i="21"/>
  <c r="AL371" i="21" s="1"/>
  <c r="AM371" i="21" s="1"/>
  <c r="AL367" i="21"/>
  <c r="AM367" i="21" s="1"/>
  <c r="AA337" i="21"/>
  <c r="AB337" i="21"/>
  <c r="AK307" i="21"/>
  <c r="AL307" i="21" s="1"/>
  <c r="AM307" i="21" s="1"/>
  <c r="AH307" i="21"/>
  <c r="AA272" i="21"/>
  <c r="AB272" i="21"/>
  <c r="AL321" i="21"/>
  <c r="AL313" i="21"/>
  <c r="AH296" i="21"/>
  <c r="AB288" i="21"/>
  <c r="AM282" i="21"/>
  <c r="AL281" i="21"/>
  <c r="AM279" i="21"/>
  <c r="AK264" i="21"/>
  <c r="AL264" i="21" s="1"/>
  <c r="AM264" i="21" s="1"/>
  <c r="AH264" i="21"/>
  <c r="AH258" i="21"/>
  <c r="AK258" i="21"/>
  <c r="AL258" i="21" s="1"/>
  <c r="AM258" i="21" s="1"/>
  <c r="AK256" i="21"/>
  <c r="AH256" i="21"/>
  <c r="AH246" i="21"/>
  <c r="AK246" i="21"/>
  <c r="AL246" i="21" s="1"/>
  <c r="AM246" i="21" s="1"/>
  <c r="AK160" i="21"/>
  <c r="AH160" i="21"/>
  <c r="AB397" i="21"/>
  <c r="AB389" i="21"/>
  <c r="AB381" i="21"/>
  <c r="AB373" i="21"/>
  <c r="AB365" i="21"/>
  <c r="AB357" i="21"/>
  <c r="AB349" i="21"/>
  <c r="AB341" i="21"/>
  <c r="AB333" i="21"/>
  <c r="AB330" i="21"/>
  <c r="AH305" i="21"/>
  <c r="AK305" i="21"/>
  <c r="AL305" i="21" s="1"/>
  <c r="AM305" i="21" s="1"/>
  <c r="AH291" i="21"/>
  <c r="AK291" i="21"/>
  <c r="AL291" i="21" s="1"/>
  <c r="AA290" i="21"/>
  <c r="AB290" i="21" s="1"/>
  <c r="AL288" i="21"/>
  <c r="AH284" i="21"/>
  <c r="AK284" i="21"/>
  <c r="AL284" i="21" s="1"/>
  <c r="AM284" i="21" s="1"/>
  <c r="AH251" i="21"/>
  <c r="AM251" i="21" s="1"/>
  <c r="AK251" i="21"/>
  <c r="AL251" i="21" s="1"/>
  <c r="AM244" i="21"/>
  <c r="AL215" i="21"/>
  <c r="AM215" i="21" s="1"/>
  <c r="AL207" i="21"/>
  <c r="AM207" i="21" s="1"/>
  <c r="AH179" i="21"/>
  <c r="AK179" i="21"/>
  <c r="AL179" i="21" s="1"/>
  <c r="AA331" i="21"/>
  <c r="AB331" i="21" s="1"/>
  <c r="AH330" i="21"/>
  <c r="AM330" i="21" s="1"/>
  <c r="AH321" i="21"/>
  <c r="AH313" i="21"/>
  <c r="AB304" i="21"/>
  <c r="AM298" i="21"/>
  <c r="AL297" i="21"/>
  <c r="AM295" i="21"/>
  <c r="AK285" i="21"/>
  <c r="AL285" i="21" s="1"/>
  <c r="AM285" i="21" s="1"/>
  <c r="AH281" i="21"/>
  <c r="AK281" i="21"/>
  <c r="AH274" i="21"/>
  <c r="AH263" i="21"/>
  <c r="AK263" i="21"/>
  <c r="AL263" i="21" s="1"/>
  <c r="AM263" i="21" s="1"/>
  <c r="AH260" i="21"/>
  <c r="AK260" i="21"/>
  <c r="AL260" i="21" s="1"/>
  <c r="AM260" i="21" s="1"/>
  <c r="AH255" i="21"/>
  <c r="AK255" i="21"/>
  <c r="AL255" i="21" s="1"/>
  <c r="AM255" i="21" s="1"/>
  <c r="AM239" i="21"/>
  <c r="AA306" i="21"/>
  <c r="AB306" i="21"/>
  <c r="AL304" i="21"/>
  <c r="AH300" i="21"/>
  <c r="AK300" i="21"/>
  <c r="AL300" i="21" s="1"/>
  <c r="AH288" i="21"/>
  <c r="AB280" i="21"/>
  <c r="AM274" i="21"/>
  <c r="AK270" i="21"/>
  <c r="AL270" i="21" s="1"/>
  <c r="AM270" i="21" s="1"/>
  <c r="AH270" i="21"/>
  <c r="AA252" i="21"/>
  <c r="AB252" i="21" s="1"/>
  <c r="AH225" i="21"/>
  <c r="AK225" i="21"/>
  <c r="AL225" i="21" s="1"/>
  <c r="AB322" i="21"/>
  <c r="AB314" i="21"/>
  <c r="AH297" i="21"/>
  <c r="AK297" i="21"/>
  <c r="AH283" i="21"/>
  <c r="AK283" i="21"/>
  <c r="AL283" i="21" s="1"/>
  <c r="AA282" i="21"/>
  <c r="AB282" i="21" s="1"/>
  <c r="AL280" i="21"/>
  <c r="AM280" i="21" s="1"/>
  <c r="AH276" i="21"/>
  <c r="AK276" i="21"/>
  <c r="AL276" i="21" s="1"/>
  <c r="AM276" i="21" s="1"/>
  <c r="AH268" i="21"/>
  <c r="AK268" i="21"/>
  <c r="AL268" i="21" s="1"/>
  <c r="AM268" i="21" s="1"/>
  <c r="AM266" i="21"/>
  <c r="AH262" i="21"/>
  <c r="AK262" i="21"/>
  <c r="AL262" i="21" s="1"/>
  <c r="AH257" i="21"/>
  <c r="AK257" i="21"/>
  <c r="AL257" i="21" s="1"/>
  <c r="AH191" i="21"/>
  <c r="AK191" i="21"/>
  <c r="AL191" i="21" s="1"/>
  <c r="AM191" i="21" s="1"/>
  <c r="AL328" i="21"/>
  <c r="AM328" i="21" s="1"/>
  <c r="AK325" i="21"/>
  <c r="AL325" i="21" s="1"/>
  <c r="AM325" i="21" s="1"/>
  <c r="AH324" i="21"/>
  <c r="AK324" i="21"/>
  <c r="AL324" i="21" s="1"/>
  <c r="AM324" i="21" s="1"/>
  <c r="AK317" i="21"/>
  <c r="AL317" i="21" s="1"/>
  <c r="AM317" i="21" s="1"/>
  <c r="AH316" i="21"/>
  <c r="AK316" i="21"/>
  <c r="AL316" i="21" s="1"/>
  <c r="AM316" i="21" s="1"/>
  <c r="AH304" i="21"/>
  <c r="AM290" i="21"/>
  <c r="AL289" i="21"/>
  <c r="AM289" i="21" s="1"/>
  <c r="AH273" i="21"/>
  <c r="AK273" i="21"/>
  <c r="AL273" i="21" s="1"/>
  <c r="AM273" i="21" s="1"/>
  <c r="AH259" i="21"/>
  <c r="AK259" i="21"/>
  <c r="AL259" i="21" s="1"/>
  <c r="AM259" i="21" s="1"/>
  <c r="AK254" i="21"/>
  <c r="AL254" i="21" s="1"/>
  <c r="AH254" i="21"/>
  <c r="AH217" i="21"/>
  <c r="AK217" i="21"/>
  <c r="AL217" i="21" s="1"/>
  <c r="AM217" i="21" s="1"/>
  <c r="AH209" i="21"/>
  <c r="AK209" i="21"/>
  <c r="AL209" i="21" s="1"/>
  <c r="AM209" i="21" s="1"/>
  <c r="AK193" i="21"/>
  <c r="AL193" i="21" s="1"/>
  <c r="AH193" i="21"/>
  <c r="AL329" i="21"/>
  <c r="AM329" i="21" s="1"/>
  <c r="AH299" i="21"/>
  <c r="AK299" i="21"/>
  <c r="AL299" i="21" s="1"/>
  <c r="AA298" i="21"/>
  <c r="AB298" i="21" s="1"/>
  <c r="AL296" i="21"/>
  <c r="AM296" i="21" s="1"/>
  <c r="AH292" i="21"/>
  <c r="AK292" i="21"/>
  <c r="AL292" i="21" s="1"/>
  <c r="AM292" i="21" s="1"/>
  <c r="AH265" i="21"/>
  <c r="AK265" i="21"/>
  <c r="AL265" i="21" s="1"/>
  <c r="AM265" i="21" s="1"/>
  <c r="AL256" i="21"/>
  <c r="AM256" i="21" s="1"/>
  <c r="AH250" i="21"/>
  <c r="AK250" i="21"/>
  <c r="AH237" i="21"/>
  <c r="AK237" i="21"/>
  <c r="AH198" i="21"/>
  <c r="AK198" i="21"/>
  <c r="AL198" i="21" s="1"/>
  <c r="AL253" i="21"/>
  <c r="AM253" i="21" s="1"/>
  <c r="AB253" i="21"/>
  <c r="AH235" i="21"/>
  <c r="AK235" i="21"/>
  <c r="AL235" i="21" s="1"/>
  <c r="AM235" i="21" s="1"/>
  <c r="AH230" i="21"/>
  <c r="AK230" i="21"/>
  <c r="AL230" i="21" s="1"/>
  <c r="AM230" i="21" s="1"/>
  <c r="AH221" i="21"/>
  <c r="AK221" i="21"/>
  <c r="AA220" i="21"/>
  <c r="AB220" i="21"/>
  <c r="AH213" i="21"/>
  <c r="AK213" i="21"/>
  <c r="AA212" i="21"/>
  <c r="AB212" i="21"/>
  <c r="AH205" i="21"/>
  <c r="AK205" i="21"/>
  <c r="AH195" i="21"/>
  <c r="AK195" i="21"/>
  <c r="AL195" i="21" s="1"/>
  <c r="AM195" i="21" s="1"/>
  <c r="AL183" i="21"/>
  <c r="AM183" i="21" s="1"/>
  <c r="AB168" i="21"/>
  <c r="AA168" i="21"/>
  <c r="AH163" i="21"/>
  <c r="AK163" i="21"/>
  <c r="AM160" i="21"/>
  <c r="AH51" i="21"/>
  <c r="AK51" i="21"/>
  <c r="AL51" i="21" s="1"/>
  <c r="AK240" i="21"/>
  <c r="AL240" i="21" s="1"/>
  <c r="AM240" i="21" s="1"/>
  <c r="AH240" i="21"/>
  <c r="AA236" i="21"/>
  <c r="AB236" i="21" s="1"/>
  <c r="AA231" i="21"/>
  <c r="AB231" i="21" s="1"/>
  <c r="AL197" i="21"/>
  <c r="AM197" i="21" s="1"/>
  <c r="AA194" i="21"/>
  <c r="AB194" i="21"/>
  <c r="AH188" i="21"/>
  <c r="AK188" i="21"/>
  <c r="AL188" i="21" s="1"/>
  <c r="AM188" i="21" s="1"/>
  <c r="AH178" i="21"/>
  <c r="AK178" i="21"/>
  <c r="AL178" i="21" s="1"/>
  <c r="AM178" i="21" s="1"/>
  <c r="AA161" i="21"/>
  <c r="AB161" i="21" s="1"/>
  <c r="AH137" i="21"/>
  <c r="AK137" i="21"/>
  <c r="AL137" i="21" s="1"/>
  <c r="AM137" i="21" s="1"/>
  <c r="AA136" i="21"/>
  <c r="AB136" i="21"/>
  <c r="AH96" i="21"/>
  <c r="AK96" i="21"/>
  <c r="AL96" i="21" s="1"/>
  <c r="AM96" i="21" s="1"/>
  <c r="AB307" i="21"/>
  <c r="AB299" i="21"/>
  <c r="AB291" i="21"/>
  <c r="AB283" i="21"/>
  <c r="AB275" i="21"/>
  <c r="AB264" i="21"/>
  <c r="AB263" i="21"/>
  <c r="AB262" i="21"/>
  <c r="AK261" i="21"/>
  <c r="AL261" i="21" s="1"/>
  <c r="AM261" i="21" s="1"/>
  <c r="AB249" i="21"/>
  <c r="AH245" i="21"/>
  <c r="AK245" i="21"/>
  <c r="AL245" i="21" s="1"/>
  <c r="AM245" i="21" s="1"/>
  <c r="AK241" i="21"/>
  <c r="AL241" i="21" s="1"/>
  <c r="AM241" i="21" s="1"/>
  <c r="AB241" i="21"/>
  <c r="AB234" i="21"/>
  <c r="AL231" i="21"/>
  <c r="AM231" i="21" s="1"/>
  <c r="AL199" i="21"/>
  <c r="AM199" i="21" s="1"/>
  <c r="AM194" i="21"/>
  <c r="AH190" i="21"/>
  <c r="AK190" i="21"/>
  <c r="AL190" i="21" s="1"/>
  <c r="AK185" i="21"/>
  <c r="AL185" i="21" s="1"/>
  <c r="AM185" i="21" s="1"/>
  <c r="AH185" i="21"/>
  <c r="AK175" i="21"/>
  <c r="AL175" i="21" s="1"/>
  <c r="AM175" i="21" s="1"/>
  <c r="AH175" i="21"/>
  <c r="AL171" i="21"/>
  <c r="AH162" i="21"/>
  <c r="AK162" i="21"/>
  <c r="AL162" i="21" s="1"/>
  <c r="AM162" i="21" s="1"/>
  <c r="AH140" i="21"/>
  <c r="AK140" i="21"/>
  <c r="AL140" i="21" s="1"/>
  <c r="AH106" i="21"/>
  <c r="AK106" i="21"/>
  <c r="AL106" i="21" s="1"/>
  <c r="AB266" i="21"/>
  <c r="AB256" i="21"/>
  <c r="AB255" i="21"/>
  <c r="AB250" i="21"/>
  <c r="AH243" i="21"/>
  <c r="AK243" i="21"/>
  <c r="AL243" i="21" s="1"/>
  <c r="AH238" i="21"/>
  <c r="AK238" i="21"/>
  <c r="AL238" i="21" s="1"/>
  <c r="AL234" i="21"/>
  <c r="AM234" i="21" s="1"/>
  <c r="AK224" i="21"/>
  <c r="AL224" i="21" s="1"/>
  <c r="AH224" i="21"/>
  <c r="AH220" i="21"/>
  <c r="AH212" i="21"/>
  <c r="AM212" i="21" s="1"/>
  <c r="AH204" i="21"/>
  <c r="AK204" i="21"/>
  <c r="AL204" i="21" s="1"/>
  <c r="AM204" i="21" s="1"/>
  <c r="AH187" i="21"/>
  <c r="AK187" i="21"/>
  <c r="AL187" i="21" s="1"/>
  <c r="AM187" i="21" s="1"/>
  <c r="AM174" i="21"/>
  <c r="AH108" i="21"/>
  <c r="AK108" i="21"/>
  <c r="AL108" i="21" s="1"/>
  <c r="AB265" i="21"/>
  <c r="AL250" i="21"/>
  <c r="AM250" i="21" s="1"/>
  <c r="AA244" i="21"/>
  <c r="AB244" i="21" s="1"/>
  <c r="AA239" i="21"/>
  <c r="AB239" i="21" s="1"/>
  <c r="AH229" i="21"/>
  <c r="AK229" i="21"/>
  <c r="AL229" i="21" s="1"/>
  <c r="AM229" i="21" s="1"/>
  <c r="AH222" i="21"/>
  <c r="AK222" i="21"/>
  <c r="AL222" i="21" s="1"/>
  <c r="AM220" i="21"/>
  <c r="AH214" i="21"/>
  <c r="AK214" i="21"/>
  <c r="AL214" i="21" s="1"/>
  <c r="AM214" i="21" s="1"/>
  <c r="AH206" i="21"/>
  <c r="AK206" i="21"/>
  <c r="AL206" i="21" s="1"/>
  <c r="AK201" i="21"/>
  <c r="AL201" i="21" s="1"/>
  <c r="AM201" i="21" s="1"/>
  <c r="AH201" i="21"/>
  <c r="AL189" i="21"/>
  <c r="AM189" i="21" s="1"/>
  <c r="AA186" i="21"/>
  <c r="AB186" i="21"/>
  <c r="AH180" i="21"/>
  <c r="AK180" i="21"/>
  <c r="AL180" i="21" s="1"/>
  <c r="AM180" i="21" s="1"/>
  <c r="AK177" i="21"/>
  <c r="AL177" i="21" s="1"/>
  <c r="AH177" i="21"/>
  <c r="AB174" i="21"/>
  <c r="AH171" i="21"/>
  <c r="AK171" i="21"/>
  <c r="AM161" i="21"/>
  <c r="AB257" i="21"/>
  <c r="AB242" i="21"/>
  <c r="AL239" i="21"/>
  <c r="AL237" i="21"/>
  <c r="AM237" i="21" s="1"/>
  <c r="AH234" i="21"/>
  <c r="AH227" i="21"/>
  <c r="AK227" i="21"/>
  <c r="AL227" i="21" s="1"/>
  <c r="AH203" i="21"/>
  <c r="AK203" i="21"/>
  <c r="AL203" i="21" s="1"/>
  <c r="AL200" i="21"/>
  <c r="AL186" i="21"/>
  <c r="AM186" i="21" s="1"/>
  <c r="AH182" i="21"/>
  <c r="AK182" i="21"/>
  <c r="AL182" i="21" s="1"/>
  <c r="AM182" i="21" s="1"/>
  <c r="AK151" i="21"/>
  <c r="AH151" i="21"/>
  <c r="AA247" i="21"/>
  <c r="AB247" i="21" s="1"/>
  <c r="AK232" i="21"/>
  <c r="AL232" i="21" s="1"/>
  <c r="AM232" i="21" s="1"/>
  <c r="AH232" i="21"/>
  <c r="AA228" i="21"/>
  <c r="AB228" i="21" s="1"/>
  <c r="AL221" i="21"/>
  <c r="AM221" i="21" s="1"/>
  <c r="AH219" i="21"/>
  <c r="AK219" i="21"/>
  <c r="AL219" i="21" s="1"/>
  <c r="AM219" i="21" s="1"/>
  <c r="AK215" i="21"/>
  <c r="AL213" i="21"/>
  <c r="AM213" i="21" s="1"/>
  <c r="AH211" i="21"/>
  <c r="AK211" i="21"/>
  <c r="AL211" i="21" s="1"/>
  <c r="AM211" i="21" s="1"/>
  <c r="AK207" i="21"/>
  <c r="AL205" i="21"/>
  <c r="AM205" i="21" s="1"/>
  <c r="AA202" i="21"/>
  <c r="AB202" i="21"/>
  <c r="AH196" i="21"/>
  <c r="AK196" i="21"/>
  <c r="AL196" i="21" s="1"/>
  <c r="AM196" i="21" s="1"/>
  <c r="AH170" i="21"/>
  <c r="AK170" i="21"/>
  <c r="AL170" i="21" s="1"/>
  <c r="AM170" i="21" s="1"/>
  <c r="AH154" i="21"/>
  <c r="AK154" i="21"/>
  <c r="AL154" i="21" s="1"/>
  <c r="AM154" i="21" s="1"/>
  <c r="AL123" i="21"/>
  <c r="AM123" i="21" s="1"/>
  <c r="AB223" i="21"/>
  <c r="AB215" i="21"/>
  <c r="AB207" i="21"/>
  <c r="AB199" i="21"/>
  <c r="AB191" i="21"/>
  <c r="AB183" i="21"/>
  <c r="AK166" i="21"/>
  <c r="AH155" i="21"/>
  <c r="AK155" i="21"/>
  <c r="AH153" i="21"/>
  <c r="AK153" i="21"/>
  <c r="AL153" i="21" s="1"/>
  <c r="AH147" i="21"/>
  <c r="AK147" i="21"/>
  <c r="AM136" i="21"/>
  <c r="AH130" i="21"/>
  <c r="AK130" i="21"/>
  <c r="AL130" i="21" s="1"/>
  <c r="AM130" i="21" s="1"/>
  <c r="AK127" i="21"/>
  <c r="AH127" i="21"/>
  <c r="AL109" i="21"/>
  <c r="AM109" i="21" s="1"/>
  <c r="AK103" i="21"/>
  <c r="AL103" i="21" s="1"/>
  <c r="AM103" i="21" s="1"/>
  <c r="AH103" i="21"/>
  <c r="AH93" i="21"/>
  <c r="AK93" i="21"/>
  <c r="AL93" i="21" s="1"/>
  <c r="AM93" i="21" s="1"/>
  <c r="AH216" i="21"/>
  <c r="AM216" i="21" s="1"/>
  <c r="AH208" i="21"/>
  <c r="AM208" i="21" s="1"/>
  <c r="AH200" i="21"/>
  <c r="AK197" i="21"/>
  <c r="AH192" i="21"/>
  <c r="AM192" i="21" s="1"/>
  <c r="AK189" i="21"/>
  <c r="AH184" i="21"/>
  <c r="AM184" i="21" s="1"/>
  <c r="AK181" i="21"/>
  <c r="AL181" i="21" s="1"/>
  <c r="AM181" i="21" s="1"/>
  <c r="AH176" i="21"/>
  <c r="AM176" i="21" s="1"/>
  <c r="AH168" i="21"/>
  <c r="AM168" i="21" s="1"/>
  <c r="AL166" i="21"/>
  <c r="AM166" i="21" s="1"/>
  <c r="AB166" i="21"/>
  <c r="AB165" i="21"/>
  <c r="AH164" i="21"/>
  <c r="AK164" i="21"/>
  <c r="AL164" i="21" s="1"/>
  <c r="AM164" i="21" s="1"/>
  <c r="AH161" i="21"/>
  <c r="AA152" i="21"/>
  <c r="AB152" i="21"/>
  <c r="AL139" i="21"/>
  <c r="AM139" i="21" s="1"/>
  <c r="AH123" i="21"/>
  <c r="AK123" i="21"/>
  <c r="AH120" i="21"/>
  <c r="AM120" i="21" s="1"/>
  <c r="AB119" i="21"/>
  <c r="AH116" i="21"/>
  <c r="AK116" i="21"/>
  <c r="AL116" i="21" s="1"/>
  <c r="AM116" i="21" s="1"/>
  <c r="AH114" i="21"/>
  <c r="AK114" i="21"/>
  <c r="AL114" i="21" s="1"/>
  <c r="AH105" i="21"/>
  <c r="AK105" i="21"/>
  <c r="AL105" i="21" s="1"/>
  <c r="AM105" i="21" s="1"/>
  <c r="AM102" i="21"/>
  <c r="AB177" i="21"/>
  <c r="AA169" i="21"/>
  <c r="AB169" i="21"/>
  <c r="AK159" i="21"/>
  <c r="AL159" i="21" s="1"/>
  <c r="AM159" i="21" s="1"/>
  <c r="AH159" i="21"/>
  <c r="AK150" i="21"/>
  <c r="AL150" i="21" s="1"/>
  <c r="AM150" i="21" s="1"/>
  <c r="AH150" i="21"/>
  <c r="AH146" i="21"/>
  <c r="AK146" i="21"/>
  <c r="AL146" i="21" s="1"/>
  <c r="AK143" i="21"/>
  <c r="AL143" i="21" s="1"/>
  <c r="AM143" i="21" s="1"/>
  <c r="AH143" i="21"/>
  <c r="AH132" i="21"/>
  <c r="AK132" i="21"/>
  <c r="AL132" i="21" s="1"/>
  <c r="AH129" i="21"/>
  <c r="AK129" i="21"/>
  <c r="AL129" i="21" s="1"/>
  <c r="AM129" i="21" s="1"/>
  <c r="AA128" i="21"/>
  <c r="AB128" i="21" s="1"/>
  <c r="AK111" i="21"/>
  <c r="AL111" i="21" s="1"/>
  <c r="AH111" i="21"/>
  <c r="AA104" i="21"/>
  <c r="AB104" i="21" s="1"/>
  <c r="AM86" i="21"/>
  <c r="AL68" i="21"/>
  <c r="AM68" i="21" s="1"/>
  <c r="AA65" i="21"/>
  <c r="AB65" i="21" s="1"/>
  <c r="AB204" i="21"/>
  <c r="AB196" i="21"/>
  <c r="AB188" i="21"/>
  <c r="AA178" i="21"/>
  <c r="AB178" i="21"/>
  <c r="AL167" i="21"/>
  <c r="AM167" i="21" s="1"/>
  <c r="AL142" i="21"/>
  <c r="AH139" i="21"/>
  <c r="AK139" i="21"/>
  <c r="AL128" i="21"/>
  <c r="AM128" i="21" s="1"/>
  <c r="AH122" i="21"/>
  <c r="AK122" i="21"/>
  <c r="AL122" i="21" s="1"/>
  <c r="AM122" i="21" s="1"/>
  <c r="AH113" i="21"/>
  <c r="AK113" i="21"/>
  <c r="AL113" i="21" s="1"/>
  <c r="AL110" i="21"/>
  <c r="AM104" i="21"/>
  <c r="AM99" i="21"/>
  <c r="AH82" i="21"/>
  <c r="AK82" i="21"/>
  <c r="AL82" i="21" s="1"/>
  <c r="AM82" i="21" s="1"/>
  <c r="AH169" i="21"/>
  <c r="AM169" i="21" s="1"/>
  <c r="AL160" i="21"/>
  <c r="AB160" i="21"/>
  <c r="AA157" i="21"/>
  <c r="AB157" i="21"/>
  <c r="AH156" i="21"/>
  <c r="AK156" i="21"/>
  <c r="AL156" i="21" s="1"/>
  <c r="AM156" i="21" s="1"/>
  <c r="AH152" i="21"/>
  <c r="AM152" i="21" s="1"/>
  <c r="AM149" i="21"/>
  <c r="AH148" i="21"/>
  <c r="AK148" i="21"/>
  <c r="AL148" i="21" s="1"/>
  <c r="AM148" i="21" s="1"/>
  <c r="AH145" i="21"/>
  <c r="AK145" i="21"/>
  <c r="AL145" i="21" s="1"/>
  <c r="AM145" i="21" s="1"/>
  <c r="AA144" i="21"/>
  <c r="AB144" i="21"/>
  <c r="AK119" i="21"/>
  <c r="AL119" i="21" s="1"/>
  <c r="AM119" i="21" s="1"/>
  <c r="AH119" i="21"/>
  <c r="AA112" i="21"/>
  <c r="AB112" i="21"/>
  <c r="AL84" i="21"/>
  <c r="AM84" i="21" s="1"/>
  <c r="AK75" i="21"/>
  <c r="AL75" i="21" s="1"/>
  <c r="AH75" i="21"/>
  <c r="AK167" i="21"/>
  <c r="AH167" i="21"/>
  <c r="AL163" i="21"/>
  <c r="AM163" i="21" s="1"/>
  <c r="AL151" i="21"/>
  <c r="AM151" i="21" s="1"/>
  <c r="AM144" i="21"/>
  <c r="AH138" i="21"/>
  <c r="AK138" i="21"/>
  <c r="AL138" i="21" s="1"/>
  <c r="AM138" i="21" s="1"/>
  <c r="AK135" i="21"/>
  <c r="AL135" i="21" s="1"/>
  <c r="AM135" i="21" s="1"/>
  <c r="AH135" i="21"/>
  <c r="AB127" i="21"/>
  <c r="AH124" i="21"/>
  <c r="AK124" i="21"/>
  <c r="AL124" i="21" s="1"/>
  <c r="AM124" i="21" s="1"/>
  <c r="AH121" i="21"/>
  <c r="AK121" i="21"/>
  <c r="AL121" i="21" s="1"/>
  <c r="AM121" i="21" s="1"/>
  <c r="AL118" i="21"/>
  <c r="AL112" i="21"/>
  <c r="AM112" i="21" s="1"/>
  <c r="AB103" i="21"/>
  <c r="AL101" i="21"/>
  <c r="AA91" i="21"/>
  <c r="AB91" i="21" s="1"/>
  <c r="AH42" i="21"/>
  <c r="AK42" i="21"/>
  <c r="AL42" i="21" s="1"/>
  <c r="AM42" i="21" s="1"/>
  <c r="AL158" i="21"/>
  <c r="AM158" i="21" s="1"/>
  <c r="AL155" i="21"/>
  <c r="AM155" i="21" s="1"/>
  <c r="AL147" i="21"/>
  <c r="AM147" i="21" s="1"/>
  <c r="AL134" i="21"/>
  <c r="AH131" i="21"/>
  <c r="AK131" i="21"/>
  <c r="AL131" i="21" s="1"/>
  <c r="AM131" i="21" s="1"/>
  <c r="AL127" i="21"/>
  <c r="AM127" i="21" s="1"/>
  <c r="AA120" i="21"/>
  <c r="AB120" i="21"/>
  <c r="AH77" i="21"/>
  <c r="AK77" i="21"/>
  <c r="AL77" i="21" s="1"/>
  <c r="AM77" i="21" s="1"/>
  <c r="AH27" i="21"/>
  <c r="AK27" i="21"/>
  <c r="AL27" i="21" s="1"/>
  <c r="AM27" i="21" s="1"/>
  <c r="AB149" i="21"/>
  <c r="AB141" i="21"/>
  <c r="AB133" i="21"/>
  <c r="AB125" i="21"/>
  <c r="AB117" i="21"/>
  <c r="AB109" i="21"/>
  <c r="AB100" i="21"/>
  <c r="AB99" i="21"/>
  <c r="AB89" i="21"/>
  <c r="AL86" i="21"/>
  <c r="AL78" i="21"/>
  <c r="AM78" i="21" s="1"/>
  <c r="AK72" i="21"/>
  <c r="AL72" i="21" s="1"/>
  <c r="AH72" i="21"/>
  <c r="AM65" i="21"/>
  <c r="AB56" i="21"/>
  <c r="AH53" i="21"/>
  <c r="AK53" i="21"/>
  <c r="AL53" i="21" s="1"/>
  <c r="AM53" i="21" s="1"/>
  <c r="AA41" i="21"/>
  <c r="AB41" i="21"/>
  <c r="AB32" i="21"/>
  <c r="AH29" i="21"/>
  <c r="AK29" i="21"/>
  <c r="AL29" i="21" s="1"/>
  <c r="AM29" i="21" s="1"/>
  <c r="AK24" i="21"/>
  <c r="AL24" i="21" s="1"/>
  <c r="AH24" i="21"/>
  <c r="AM17" i="21"/>
  <c r="AB16" i="21"/>
  <c r="AH11" i="21"/>
  <c r="AK11" i="21"/>
  <c r="AL11" i="21" s="1"/>
  <c r="AM11" i="21" s="1"/>
  <c r="AM9" i="21"/>
  <c r="AB8" i="21"/>
  <c r="AL6" i="21"/>
  <c r="AM6" i="21" s="1"/>
  <c r="AH142" i="21"/>
  <c r="AH134" i="21"/>
  <c r="AH126" i="21"/>
  <c r="AM126" i="21" s="1"/>
  <c r="AH118" i="21"/>
  <c r="AH110" i="21"/>
  <c r="AH102" i="21"/>
  <c r="AH101" i="21"/>
  <c r="AA94" i="21"/>
  <c r="AB94" i="21"/>
  <c r="AH84" i="21"/>
  <c r="AK84" i="21"/>
  <c r="AA83" i="21"/>
  <c r="AB83" i="21"/>
  <c r="AH74" i="21"/>
  <c r="AK74" i="21"/>
  <c r="AL74" i="21" s="1"/>
  <c r="AM74" i="21" s="1"/>
  <c r="AL71" i="21"/>
  <c r="AH59" i="21"/>
  <c r="AK59" i="21"/>
  <c r="AL59" i="21" s="1"/>
  <c r="AM59" i="21" s="1"/>
  <c r="AL54" i="21"/>
  <c r="AM54" i="21" s="1"/>
  <c r="AH50" i="21"/>
  <c r="AK50" i="21"/>
  <c r="AL50" i="21" s="1"/>
  <c r="AK48" i="21"/>
  <c r="AL48" i="21" s="1"/>
  <c r="AH48" i="21"/>
  <c r="AL41" i="21"/>
  <c r="AM41" i="21" s="1"/>
  <c r="AL30" i="21"/>
  <c r="AM30" i="21" s="1"/>
  <c r="AH26" i="21"/>
  <c r="AK26" i="21"/>
  <c r="AL26" i="21" s="1"/>
  <c r="AM26" i="21" s="1"/>
  <c r="AH98" i="21"/>
  <c r="AK98" i="21"/>
  <c r="AL98" i="21" s="1"/>
  <c r="AM98" i="21" s="1"/>
  <c r="AL94" i="21"/>
  <c r="AM94" i="21" s="1"/>
  <c r="AA73" i="21"/>
  <c r="AB73" i="21" s="1"/>
  <c r="AH61" i="21"/>
  <c r="AK61" i="21"/>
  <c r="AL61" i="21" s="1"/>
  <c r="AM61" i="21" s="1"/>
  <c r="AL52" i="21"/>
  <c r="AM52" i="21" s="1"/>
  <c r="AH35" i="21"/>
  <c r="AK35" i="21"/>
  <c r="AL35" i="21" s="1"/>
  <c r="AM35" i="21" s="1"/>
  <c r="AL28" i="21"/>
  <c r="AM28" i="21" s="1"/>
  <c r="AA25" i="21"/>
  <c r="AB25" i="21"/>
  <c r="AH19" i="21"/>
  <c r="AK19" i="21"/>
  <c r="AL19" i="21" s="1"/>
  <c r="AM19" i="21" s="1"/>
  <c r="AB170" i="21"/>
  <c r="AB162" i="21"/>
  <c r="AB154" i="21"/>
  <c r="AB146" i="21"/>
  <c r="AB138" i="21"/>
  <c r="AB130" i="21"/>
  <c r="AB122" i="21"/>
  <c r="AB114" i="21"/>
  <c r="AB106" i="21"/>
  <c r="AH76" i="21"/>
  <c r="AK76" i="21"/>
  <c r="AL76" i="21" s="1"/>
  <c r="AM76" i="21" s="1"/>
  <c r="AM73" i="21"/>
  <c r="AL62" i="21"/>
  <c r="AM62" i="21" s="1"/>
  <c r="AH58" i="21"/>
  <c r="AK58" i="21"/>
  <c r="AL58" i="21" s="1"/>
  <c r="AM58" i="21" s="1"/>
  <c r="AK56" i="21"/>
  <c r="AL56" i="21" s="1"/>
  <c r="AH56" i="21"/>
  <c r="AA49" i="21"/>
  <c r="AB49" i="21"/>
  <c r="AH41" i="21"/>
  <c r="AB40" i="21"/>
  <c r="AH37" i="21"/>
  <c r="AK37" i="21"/>
  <c r="AL37" i="21" s="1"/>
  <c r="AM37" i="21" s="1"/>
  <c r="AK32" i="21"/>
  <c r="AL32" i="21" s="1"/>
  <c r="AH32" i="21"/>
  <c r="AB153" i="21"/>
  <c r="AB145" i="21"/>
  <c r="AB137" i="21"/>
  <c r="AB129" i="21"/>
  <c r="AK87" i="21"/>
  <c r="AL87" i="21" s="1"/>
  <c r="AM87" i="21" s="1"/>
  <c r="AH87" i="21"/>
  <c r="AH83" i="21"/>
  <c r="AH67" i="21"/>
  <c r="AK67" i="21"/>
  <c r="AL67" i="21" s="1"/>
  <c r="AH34" i="21"/>
  <c r="AK34" i="21"/>
  <c r="AL34" i="21" s="1"/>
  <c r="AH21" i="21"/>
  <c r="AK21" i="21"/>
  <c r="AL21" i="21" s="1"/>
  <c r="AM21" i="21" s="1"/>
  <c r="AH18" i="21"/>
  <c r="AK18" i="21"/>
  <c r="AL18" i="21" s="1"/>
  <c r="AM18" i="21" s="1"/>
  <c r="AA17" i="21"/>
  <c r="AB17" i="21"/>
  <c r="AH10" i="21"/>
  <c r="AK10" i="21"/>
  <c r="AL10" i="21" s="1"/>
  <c r="AM10" i="21" s="1"/>
  <c r="AA9" i="21"/>
  <c r="AB9" i="21" s="1"/>
  <c r="AH92" i="21"/>
  <c r="AK92" i="21"/>
  <c r="AL92" i="21" s="1"/>
  <c r="AM92" i="21" s="1"/>
  <c r="AK88" i="21"/>
  <c r="AL88" i="21" s="1"/>
  <c r="AM88" i="21" s="1"/>
  <c r="AH85" i="21"/>
  <c r="AK85" i="21"/>
  <c r="AL85" i="21" s="1"/>
  <c r="AM85" i="21" s="1"/>
  <c r="AM83" i="21"/>
  <c r="AK80" i="21"/>
  <c r="AL80" i="21" s="1"/>
  <c r="AM80" i="21" s="1"/>
  <c r="AH69" i="21"/>
  <c r="AK69" i="21"/>
  <c r="AL69" i="21" s="1"/>
  <c r="AM69" i="21" s="1"/>
  <c r="AK64" i="21"/>
  <c r="AL64" i="21" s="1"/>
  <c r="AM64" i="21" s="1"/>
  <c r="AH64" i="21"/>
  <c r="AL57" i="21"/>
  <c r="AM57" i="21" s="1"/>
  <c r="AA57" i="21"/>
  <c r="AB57" i="21"/>
  <c r="AH43" i="21"/>
  <c r="AK43" i="21"/>
  <c r="AL43" i="21" s="1"/>
  <c r="AM43" i="21" s="1"/>
  <c r="AL36" i="21"/>
  <c r="AM36" i="21" s="1"/>
  <c r="AA33" i="21"/>
  <c r="AB33" i="21" s="1"/>
  <c r="AB24" i="21"/>
  <c r="AL20" i="21"/>
  <c r="AM20" i="21" s="1"/>
  <c r="AB96" i="21"/>
  <c r="AK95" i="21"/>
  <c r="AL95" i="21" s="1"/>
  <c r="AM95" i="21" s="1"/>
  <c r="AH95" i="21"/>
  <c r="AB93" i="21"/>
  <c r="AH90" i="21"/>
  <c r="AK90" i="21"/>
  <c r="AL90" i="21" s="1"/>
  <c r="AM90" i="21" s="1"/>
  <c r="AL70" i="21"/>
  <c r="AM70" i="21" s="1"/>
  <c r="AH66" i="21"/>
  <c r="AK66" i="21"/>
  <c r="AL66" i="21" s="1"/>
  <c r="AL63" i="21"/>
  <c r="AB48" i="21"/>
  <c r="AH45" i="21"/>
  <c r="AK45" i="21"/>
  <c r="AL45" i="21" s="1"/>
  <c r="AK40" i="21"/>
  <c r="AL40" i="21" s="1"/>
  <c r="AH40" i="21"/>
  <c r="AL33" i="21"/>
  <c r="AM33" i="21" s="1"/>
  <c r="AL22" i="21"/>
  <c r="AM22" i="21" s="1"/>
  <c r="AK7" i="21"/>
  <c r="AL7" i="21" s="1"/>
  <c r="AM7" i="21" s="1"/>
  <c r="AH7" i="21"/>
  <c r="AB86" i="21"/>
  <c r="AB78" i="21"/>
  <c r="AB70" i="21"/>
  <c r="AB62" i="21"/>
  <c r="AB54" i="21"/>
  <c r="AB46" i="21"/>
  <c r="AB38" i="21"/>
  <c r="AB30" i="21"/>
  <c r="AB22" i="21"/>
  <c r="AH16" i="21"/>
  <c r="AM16" i="21" s="1"/>
  <c r="AB14" i="21"/>
  <c r="AK13" i="21"/>
  <c r="AL13" i="21" s="1"/>
  <c r="AM13" i="21" s="1"/>
  <c r="AH8" i="21"/>
  <c r="AM8" i="21" s="1"/>
  <c r="AB6" i="21"/>
  <c r="AK5" i="21"/>
  <c r="AL5" i="21" s="1"/>
  <c r="AM5" i="21" s="1"/>
  <c r="AH79" i="21"/>
  <c r="AM79" i="21" s="1"/>
  <c r="AH71" i="21"/>
  <c r="AK68" i="21"/>
  <c r="AH63" i="21"/>
  <c r="AK60" i="21"/>
  <c r="AL60" i="21" s="1"/>
  <c r="AM60" i="21" s="1"/>
  <c r="AH55" i="21"/>
  <c r="AM55" i="21" s="1"/>
  <c r="AK52" i="21"/>
  <c r="AH47" i="21"/>
  <c r="AM47" i="21" s="1"/>
  <c r="AK44" i="21"/>
  <c r="AL44" i="21" s="1"/>
  <c r="AM44" i="21" s="1"/>
  <c r="AH39" i="21"/>
  <c r="AM39" i="21" s="1"/>
  <c r="AK36" i="21"/>
  <c r="AH31" i="21"/>
  <c r="AM31" i="21" s="1"/>
  <c r="AK28" i="21"/>
  <c r="AH23" i="21"/>
  <c r="AM23" i="21" s="1"/>
  <c r="AB21" i="21"/>
  <c r="AK20" i="21"/>
  <c r="AH15" i="21"/>
  <c r="AM15" i="21" s="1"/>
  <c r="AB13" i="21"/>
  <c r="AB5" i="21"/>
  <c r="AB20" i="21"/>
  <c r="AB12" i="21"/>
  <c r="AB75" i="21"/>
  <c r="AB67" i="21"/>
  <c r="AB59" i="21"/>
  <c r="AB51" i="21"/>
  <c r="AB43" i="21"/>
  <c r="AB35" i="21"/>
  <c r="AB27" i="21"/>
  <c r="AB19" i="21"/>
  <c r="AM72" i="21" l="1"/>
  <c r="AM63" i="21"/>
  <c r="AM101" i="21"/>
  <c r="AM111" i="21"/>
  <c r="AM66" i="21"/>
  <c r="AM67" i="21"/>
  <c r="AM113" i="21"/>
  <c r="AM142" i="21"/>
  <c r="AM146" i="21"/>
  <c r="AM153" i="21"/>
  <c r="AM227" i="21"/>
  <c r="AM224" i="21"/>
  <c r="AM190" i="21"/>
  <c r="AM51" i="21"/>
  <c r="AM299" i="21"/>
  <c r="AM262" i="21"/>
  <c r="AM225" i="21"/>
  <c r="AM300" i="21"/>
  <c r="AM291" i="21"/>
  <c r="AM321" i="21"/>
  <c r="AM452" i="21"/>
  <c r="AM468" i="21"/>
  <c r="AM443" i="21"/>
  <c r="AM484" i="21"/>
  <c r="AM568" i="21"/>
  <c r="AM476" i="21"/>
  <c r="AM544" i="21"/>
  <c r="AM552" i="21"/>
  <c r="AM634" i="21"/>
  <c r="AM602" i="21"/>
  <c r="AM706" i="21"/>
  <c r="AM839" i="21"/>
  <c r="AM931" i="21"/>
  <c r="AM992" i="21"/>
  <c r="AM929" i="21"/>
  <c r="AM954" i="21"/>
  <c r="AM1011" i="21"/>
  <c r="AM906" i="21"/>
  <c r="AM987" i="21"/>
  <c r="AM900" i="21"/>
  <c r="AM947" i="21"/>
  <c r="AM976" i="21"/>
  <c r="AM991" i="21"/>
  <c r="AM978" i="21"/>
  <c r="AM1088" i="21"/>
  <c r="AM1096" i="21"/>
  <c r="AM1122" i="21"/>
  <c r="AM1066" i="21"/>
  <c r="AM1112" i="21"/>
  <c r="AM1210" i="21"/>
  <c r="AM1350" i="21"/>
  <c r="AM1299" i="21"/>
  <c r="AM1243" i="21"/>
  <c r="AM1322" i="21"/>
  <c r="AM1266" i="21"/>
  <c r="AM1493" i="21"/>
  <c r="AM1486" i="21"/>
  <c r="AM1494" i="21"/>
  <c r="AM1421" i="21"/>
  <c r="AM1469" i="21"/>
  <c r="AM1477" i="21"/>
  <c r="AM1515" i="21"/>
  <c r="AM1612" i="21"/>
  <c r="AM359" i="21"/>
  <c r="AM450" i="21"/>
  <c r="AM759" i="21"/>
  <c r="AM738" i="21"/>
  <c r="AM862" i="21"/>
  <c r="AM962" i="21"/>
  <c r="AM1150" i="21"/>
  <c r="AM1234" i="21"/>
  <c r="AM1249" i="21"/>
  <c r="AM1221" i="21"/>
  <c r="AM1262" i="21"/>
  <c r="AM1206" i="21"/>
  <c r="AM1488" i="21"/>
  <c r="AM1504" i="21"/>
  <c r="AM1567" i="21"/>
  <c r="AM222" i="21"/>
  <c r="AM238" i="21"/>
  <c r="AM106" i="21"/>
  <c r="AM254" i="21"/>
  <c r="AM283" i="21"/>
  <c r="AM304" i="21"/>
  <c r="AM297" i="21"/>
  <c r="AM179" i="21"/>
  <c r="AM457" i="21"/>
  <c r="AM553" i="21"/>
  <c r="AM617" i="21"/>
  <c r="AM444" i="21"/>
  <c r="AM479" i="21"/>
  <c r="AM538" i="21"/>
  <c r="AM570" i="21"/>
  <c r="AM850" i="21"/>
  <c r="AM879" i="21"/>
  <c r="AM922" i="21"/>
  <c r="AM1019" i="21"/>
  <c r="AM907" i="21"/>
  <c r="AM921" i="21"/>
  <c r="AM984" i="21"/>
  <c r="AM967" i="21"/>
  <c r="AM1010" i="21"/>
  <c r="AM1144" i="21"/>
  <c r="AM1128" i="21"/>
  <c r="AM1110" i="21"/>
  <c r="AM1282" i="21"/>
  <c r="AM1344" i="21"/>
  <c r="AM1291" i="21"/>
  <c r="AM1338" i="21"/>
  <c r="AM1475" i="21"/>
  <c r="AM1397" i="21"/>
  <c r="AM1379" i="21"/>
  <c r="AM1461" i="21"/>
  <c r="AM1395" i="21"/>
  <c r="AM1451" i="21"/>
  <c r="AM1373" i="21"/>
  <c r="AM1422" i="21"/>
  <c r="AM1514" i="21"/>
  <c r="AM1583" i="21"/>
  <c r="AM32" i="21"/>
  <c r="AM24" i="21"/>
  <c r="AM118" i="21"/>
  <c r="AM48" i="21"/>
  <c r="AM171" i="21"/>
  <c r="AM281" i="21"/>
  <c r="AM433" i="21"/>
  <c r="AM507" i="21"/>
  <c r="AM711" i="21"/>
  <c r="AM747" i="21"/>
  <c r="AM699" i="21"/>
  <c r="AM994" i="21"/>
  <c r="AM1021" i="21"/>
  <c r="AM1078" i="21"/>
  <c r="AM1310" i="21"/>
  <c r="AM1293" i="21"/>
  <c r="AM1563" i="21"/>
  <c r="AM1555" i="21"/>
  <c r="AM1599" i="21"/>
  <c r="AM71" i="21"/>
  <c r="AM56" i="21"/>
  <c r="AM40" i="21"/>
  <c r="AM75" i="21"/>
  <c r="AM45" i="21"/>
  <c r="AM34" i="21"/>
  <c r="AM50" i="21"/>
  <c r="AM134" i="21"/>
  <c r="AM132" i="21"/>
  <c r="AM114" i="21"/>
  <c r="AM177" i="21"/>
  <c r="AM206" i="21"/>
  <c r="AM108" i="21"/>
  <c r="AM243" i="21"/>
  <c r="AM140" i="21"/>
  <c r="AM193" i="21"/>
  <c r="AM426" i="21"/>
  <c r="AM465" i="21"/>
  <c r="AM436" i="21"/>
  <c r="AM460" i="21"/>
  <c r="AM560" i="21"/>
  <c r="AM529" i="21"/>
  <c r="AM500" i="21"/>
  <c r="AM649" i="21"/>
  <c r="AM648" i="21"/>
  <c r="AM656" i="21"/>
  <c r="AM871" i="21"/>
  <c r="AM831" i="21"/>
  <c r="AM878" i="21"/>
  <c r="AM881" i="21"/>
  <c r="AM975" i="21"/>
  <c r="AM968" i="21"/>
  <c r="AM897" i="21"/>
  <c r="AM923" i="21"/>
  <c r="AM970" i="21"/>
  <c r="AM999" i="21"/>
  <c r="AM1106" i="21"/>
  <c r="AM1114" i="21"/>
  <c r="AM1104" i="21"/>
  <c r="AM1142" i="21"/>
  <c r="AM1222" i="21"/>
  <c r="AM1226" i="21"/>
  <c r="AM1283" i="21"/>
  <c r="AM1227" i="21"/>
  <c r="AM1416" i="21"/>
  <c r="AM1420" i="21"/>
  <c r="AM1468" i="21"/>
  <c r="AM1398" i="21"/>
  <c r="AM1414" i="21"/>
  <c r="AM1396" i="21"/>
  <c r="AM1470" i="21"/>
  <c r="AM1517" i="21"/>
  <c r="AM1544" i="21"/>
  <c r="AM1548" i="21"/>
  <c r="AM200" i="21"/>
  <c r="AM288" i="21"/>
  <c r="AM714" i="21"/>
  <c r="AM983" i="21"/>
  <c r="AM1026" i="21"/>
  <c r="AM934" i="21"/>
  <c r="AM1092" i="21"/>
  <c r="AM1321" i="21"/>
  <c r="AM1265" i="21"/>
  <c r="AM1595" i="21"/>
  <c r="AM1587" i="21"/>
  <c r="AM1631" i="21"/>
  <c r="AM203" i="21"/>
  <c r="AM198" i="21"/>
  <c r="AM257" i="21"/>
  <c r="AM314" i="21"/>
  <c r="AM351" i="21"/>
  <c r="AM370" i="21"/>
  <c r="AM438" i="21"/>
  <c r="AM536" i="21"/>
  <c r="AM561" i="21"/>
  <c r="AM537" i="21"/>
  <c r="AM521" i="21"/>
  <c r="AM545" i="21"/>
  <c r="AM593" i="21"/>
  <c r="AM667" i="21"/>
  <c r="AM687" i="21"/>
  <c r="AM730" i="21"/>
  <c r="AM609" i="21"/>
  <c r="AM679" i="21"/>
  <c r="AM858" i="21"/>
  <c r="AM915" i="21"/>
  <c r="AM1032" i="21"/>
  <c r="AM955" i="21"/>
  <c r="AM1002" i="21"/>
  <c r="AM1031" i="21"/>
  <c r="AM1141" i="21"/>
  <c r="AM1138" i="21"/>
  <c r="AM1274" i="21"/>
  <c r="AM1205" i="21"/>
  <c r="AM1275" i="21"/>
  <c r="AM1198" i="21"/>
  <c r="AM1354" i="21"/>
  <c r="AM1250" i="21"/>
  <c r="AM1427" i="21"/>
  <c r="AM1352" i="21"/>
  <c r="AM1382" i="21"/>
  <c r="AM1443" i="21"/>
  <c r="AM1372" i="21"/>
  <c r="AM1491" i="21"/>
  <c r="AM1510" i="21"/>
  <c r="AM1388" i="21"/>
  <c r="AM1462" i="21"/>
  <c r="AM1507" i="21"/>
  <c r="AM1419" i="21"/>
  <c r="AM1580" i="21"/>
  <c r="AM110" i="21"/>
  <c r="AM313" i="21"/>
  <c r="AM441" i="21"/>
  <c r="AM840" i="21"/>
  <c r="AM1015" i="21"/>
  <c r="AM1030" i="21"/>
  <c r="AM890" i="21"/>
  <c r="AM957" i="21"/>
  <c r="AM1521" i="21"/>
  <c r="AM1376" i="21"/>
  <c r="AM1392" i="21"/>
  <c r="AM1456" i="21"/>
  <c r="AM1627" i="21"/>
  <c r="AM1619" i="21"/>
  <c r="M23" i="21" l="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M72" i="21"/>
  <c r="M73" i="21"/>
  <c r="M74" i="21"/>
  <c r="M75" i="21"/>
  <c r="M76" i="21"/>
  <c r="M77" i="21"/>
  <c r="M78" i="21"/>
  <c r="M79" i="21"/>
  <c r="M80" i="21"/>
  <c r="M81"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10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M140" i="21"/>
  <c r="M141" i="21"/>
  <c r="M142" i="21"/>
  <c r="M143" i="21"/>
  <c r="M144" i="21"/>
  <c r="M145" i="21"/>
  <c r="M146" i="21"/>
  <c r="M147" i="21"/>
  <c r="M148" i="21"/>
  <c r="M149" i="21"/>
  <c r="M150" i="21"/>
  <c r="M151" i="21"/>
  <c r="M152" i="21"/>
  <c r="M153" i="21"/>
  <c r="M154" i="21"/>
  <c r="M155" i="21"/>
  <c r="M156" i="21"/>
  <c r="M157" i="21"/>
  <c r="M158" i="21"/>
  <c r="M159" i="21"/>
  <c r="M160" i="21"/>
  <c r="M161" i="21"/>
  <c r="M162" i="21"/>
  <c r="M163" i="21"/>
  <c r="M164" i="21"/>
  <c r="M165" i="21"/>
  <c r="M166" i="21"/>
  <c r="M167" i="21"/>
  <c r="M168" i="21"/>
  <c r="M169" i="21"/>
  <c r="M170" i="21"/>
  <c r="M171" i="21"/>
  <c r="M172" i="21"/>
  <c r="M173" i="21"/>
  <c r="M174" i="21"/>
  <c r="M175" i="21"/>
  <c r="M176" i="21"/>
  <c r="M177" i="21"/>
  <c r="M178" i="21"/>
  <c r="M179" i="21"/>
  <c r="M180" i="21"/>
  <c r="M181" i="21"/>
  <c r="M182" i="21"/>
  <c r="M183" i="21"/>
  <c r="M184" i="21"/>
  <c r="M185" i="21"/>
  <c r="M186" i="21"/>
  <c r="M187" i="21"/>
  <c r="M188" i="21"/>
  <c r="M189" i="21"/>
  <c r="M190" i="21"/>
  <c r="M191" i="21"/>
  <c r="M192" i="21"/>
  <c r="M193" i="21"/>
  <c r="M194" i="21"/>
  <c r="M195" i="21"/>
  <c r="M196" i="21"/>
  <c r="M197" i="21"/>
  <c r="M198" i="21"/>
  <c r="M199" i="21"/>
  <c r="M200" i="21"/>
  <c r="M201" i="21"/>
  <c r="M202" i="21"/>
  <c r="M203" i="21"/>
  <c r="M204" i="21"/>
  <c r="M205" i="21"/>
  <c r="M206" i="21"/>
  <c r="M207" i="21"/>
  <c r="M208" i="21"/>
  <c r="M209" i="21"/>
  <c r="M210" i="21"/>
  <c r="M211" i="21"/>
  <c r="M212" i="21"/>
  <c r="M213" i="21"/>
  <c r="M214" i="21"/>
  <c r="M215" i="21"/>
  <c r="M216" i="21"/>
  <c r="M217" i="21"/>
  <c r="M218" i="21"/>
  <c r="M219" i="21"/>
  <c r="M220" i="21"/>
  <c r="M221" i="21"/>
  <c r="M222" i="21"/>
  <c r="M223" i="21"/>
  <c r="M224" i="21"/>
  <c r="M225" i="21"/>
  <c r="M226" i="21"/>
  <c r="M227" i="21"/>
  <c r="M228" i="21"/>
  <c r="M229" i="21"/>
  <c r="M230" i="21"/>
  <c r="M231" i="21"/>
  <c r="M232" i="21"/>
  <c r="M233" i="21"/>
  <c r="M234" i="21"/>
  <c r="M235" i="21"/>
  <c r="M236" i="21"/>
  <c r="M237" i="21"/>
  <c r="M238" i="21"/>
  <c r="M239" i="21"/>
  <c r="M240" i="21"/>
  <c r="M241" i="21"/>
  <c r="M242" i="21"/>
  <c r="M243" i="21"/>
  <c r="M244" i="21"/>
  <c r="M245" i="21"/>
  <c r="M246" i="21"/>
  <c r="M247" i="21"/>
  <c r="M248" i="21"/>
  <c r="M249" i="21"/>
  <c r="M250" i="21"/>
  <c r="M251" i="21"/>
  <c r="M252" i="21"/>
  <c r="M253" i="21"/>
  <c r="M254" i="21"/>
  <c r="M255" i="21"/>
  <c r="M256" i="21"/>
  <c r="M257" i="21"/>
  <c r="M258" i="21"/>
  <c r="M259" i="21"/>
  <c r="M260" i="21"/>
  <c r="M261" i="21"/>
  <c r="M262" i="21"/>
  <c r="M263" i="21"/>
  <c r="M264" i="21"/>
  <c r="M265" i="21"/>
  <c r="M266" i="21"/>
  <c r="M267" i="21"/>
  <c r="M268" i="21"/>
  <c r="M269" i="21"/>
  <c r="M270" i="21"/>
  <c r="M271" i="21"/>
  <c r="M272" i="21"/>
  <c r="M273" i="21"/>
  <c r="M274" i="21"/>
  <c r="M275" i="21"/>
  <c r="M276" i="21"/>
  <c r="M277" i="21"/>
  <c r="M278" i="21"/>
  <c r="M279" i="21"/>
  <c r="M280" i="21"/>
  <c r="M281" i="21"/>
  <c r="M282" i="21"/>
  <c r="M283" i="21"/>
  <c r="M284" i="21"/>
  <c r="M285" i="21"/>
  <c r="M286" i="21"/>
  <c r="M287" i="21"/>
  <c r="M288" i="21"/>
  <c r="M289" i="21"/>
  <c r="M290" i="21"/>
  <c r="M291" i="21"/>
  <c r="M292" i="21"/>
  <c r="M293" i="21"/>
  <c r="M294" i="21"/>
  <c r="M295" i="21"/>
  <c r="M296" i="21"/>
  <c r="M297" i="21"/>
  <c r="M298" i="21"/>
  <c r="M299" i="21"/>
  <c r="M300" i="21"/>
  <c r="M301" i="21"/>
  <c r="M302" i="21"/>
  <c r="M303" i="21"/>
  <c r="M304" i="21"/>
  <c r="M305" i="21"/>
  <c r="M306" i="21"/>
  <c r="M307" i="21"/>
  <c r="M308" i="21"/>
  <c r="M309" i="21"/>
  <c r="M310" i="21"/>
  <c r="M311" i="21"/>
  <c r="M312" i="21"/>
  <c r="M313" i="21"/>
  <c r="M314" i="21"/>
  <c r="M315" i="21"/>
  <c r="M316" i="21"/>
  <c r="M317" i="21"/>
  <c r="M318" i="21"/>
  <c r="M319" i="21"/>
  <c r="M320" i="21"/>
  <c r="M321" i="21"/>
  <c r="M322" i="21"/>
  <c r="M323" i="21"/>
  <c r="M324" i="21"/>
  <c r="M325" i="21"/>
  <c r="M326" i="21"/>
  <c r="M327" i="21"/>
  <c r="M328" i="21"/>
  <c r="M329" i="21"/>
  <c r="M330" i="21"/>
  <c r="M331" i="21"/>
  <c r="M332" i="21"/>
  <c r="M333" i="21"/>
  <c r="M334" i="21"/>
  <c r="M335" i="21"/>
  <c r="M336" i="21"/>
  <c r="M337" i="21"/>
  <c r="M338" i="21"/>
  <c r="M339" i="21"/>
  <c r="M340" i="21"/>
  <c r="M341" i="21"/>
  <c r="M342" i="21"/>
  <c r="M343" i="21"/>
  <c r="M344" i="21"/>
  <c r="M345" i="21"/>
  <c r="M346" i="21"/>
  <c r="M347" i="21"/>
  <c r="M348" i="21"/>
  <c r="M349" i="21"/>
  <c r="M350" i="21"/>
  <c r="M351" i="21"/>
  <c r="M352" i="21"/>
  <c r="M353" i="21"/>
  <c r="M354" i="21"/>
  <c r="M355" i="21"/>
  <c r="M356" i="21"/>
  <c r="M357" i="21"/>
  <c r="M358" i="21"/>
  <c r="M359" i="21"/>
  <c r="M360" i="21"/>
  <c r="M361" i="21"/>
  <c r="M362" i="21"/>
  <c r="M363" i="21"/>
  <c r="M364" i="21"/>
  <c r="M365" i="21"/>
  <c r="M366" i="21"/>
  <c r="M367" i="21"/>
  <c r="M368" i="21"/>
  <c r="M369" i="21"/>
  <c r="M370" i="21"/>
  <c r="M371" i="21"/>
  <c r="M372" i="21"/>
  <c r="M373" i="21"/>
  <c r="M374" i="21"/>
  <c r="M375" i="21"/>
  <c r="M376" i="21"/>
  <c r="M377" i="21"/>
  <c r="M378" i="21"/>
  <c r="M379" i="21"/>
  <c r="M380" i="21"/>
  <c r="M381" i="21"/>
  <c r="M382" i="21"/>
  <c r="M383" i="21"/>
  <c r="M384" i="21"/>
  <c r="M385" i="21"/>
  <c r="M386" i="21"/>
  <c r="M387" i="21"/>
  <c r="M388" i="21"/>
  <c r="M389" i="21"/>
  <c r="M390" i="21"/>
  <c r="M391" i="21"/>
  <c r="M392" i="21"/>
  <c r="M393" i="21"/>
  <c r="M394" i="21"/>
  <c r="M395" i="21"/>
  <c r="M396" i="21"/>
  <c r="M397" i="21"/>
  <c r="M398" i="21"/>
  <c r="M399" i="21"/>
  <c r="M400" i="21"/>
  <c r="M401" i="21"/>
  <c r="M402" i="21"/>
  <c r="M403" i="21"/>
  <c r="M404" i="21"/>
  <c r="M405" i="21"/>
  <c r="M406" i="21"/>
  <c r="M407" i="21"/>
  <c r="M408" i="21"/>
  <c r="M409" i="21"/>
  <c r="M410" i="21"/>
  <c r="M411" i="21"/>
  <c r="M412" i="21"/>
  <c r="M413" i="21"/>
  <c r="M414" i="21"/>
  <c r="M415" i="21"/>
  <c r="M416" i="21"/>
  <c r="M417" i="21"/>
  <c r="M418" i="21"/>
  <c r="M419" i="21"/>
  <c r="M420" i="21"/>
  <c r="M421" i="21"/>
  <c r="M422" i="21"/>
  <c r="M423" i="21"/>
  <c r="M424" i="21"/>
  <c r="M425" i="21"/>
  <c r="M426" i="21"/>
  <c r="M427" i="21"/>
  <c r="M428" i="21"/>
  <c r="M429" i="21"/>
  <c r="M430" i="21"/>
  <c r="M431" i="21"/>
  <c r="M432" i="21"/>
  <c r="M433" i="21"/>
  <c r="M434" i="21"/>
  <c r="M435" i="21"/>
  <c r="M436" i="21"/>
  <c r="M437" i="21"/>
  <c r="M438" i="21"/>
  <c r="M439" i="21"/>
  <c r="M440" i="21"/>
  <c r="M441" i="21"/>
  <c r="M442" i="21"/>
  <c r="M443" i="21"/>
  <c r="M444" i="21"/>
  <c r="M445" i="21"/>
  <c r="M446" i="21"/>
  <c r="M447" i="21"/>
  <c r="M448" i="21"/>
  <c r="M449" i="21"/>
  <c r="M450" i="21"/>
  <c r="M451" i="21"/>
  <c r="M452" i="21"/>
  <c r="M453" i="21"/>
  <c r="M454" i="21"/>
  <c r="M455" i="21"/>
  <c r="M456" i="21"/>
  <c r="M457" i="21"/>
  <c r="M458" i="21"/>
  <c r="M459" i="21"/>
  <c r="M460" i="21"/>
  <c r="M461" i="21"/>
  <c r="M462" i="21"/>
  <c r="M463" i="21"/>
  <c r="M464" i="21"/>
  <c r="M465" i="21"/>
  <c r="M466" i="21"/>
  <c r="M467" i="21"/>
  <c r="M468" i="21"/>
  <c r="M469" i="21"/>
  <c r="M470" i="21"/>
  <c r="M471" i="21"/>
  <c r="M472" i="21"/>
  <c r="M473" i="21"/>
  <c r="M474" i="21"/>
  <c r="M475" i="21"/>
  <c r="M476" i="21"/>
  <c r="M477" i="21"/>
  <c r="M478" i="21"/>
  <c r="M479" i="21"/>
  <c r="M480" i="21"/>
  <c r="M481" i="21"/>
  <c r="M482" i="21"/>
  <c r="M483" i="21"/>
  <c r="M484" i="21"/>
  <c r="M485" i="21"/>
  <c r="M486" i="21"/>
  <c r="M487" i="21"/>
  <c r="M488" i="21"/>
  <c r="M489" i="21"/>
  <c r="M490" i="21"/>
  <c r="M491" i="21"/>
  <c r="M492" i="21"/>
  <c r="M493" i="21"/>
  <c r="M494" i="21"/>
  <c r="M495" i="21"/>
  <c r="M496" i="21"/>
  <c r="M497" i="21"/>
  <c r="M498" i="21"/>
  <c r="M499" i="21"/>
  <c r="M500" i="21"/>
  <c r="M501" i="21"/>
  <c r="M502" i="21"/>
  <c r="M503" i="21"/>
  <c r="M504" i="21"/>
  <c r="M505" i="21"/>
  <c r="M506" i="21"/>
  <c r="M507" i="21"/>
  <c r="M508" i="21"/>
  <c r="M509" i="21"/>
  <c r="M510" i="21"/>
  <c r="M511" i="21"/>
  <c r="M512" i="21"/>
  <c r="M513" i="21"/>
  <c r="M514" i="21"/>
  <c r="M515" i="21"/>
  <c r="M516" i="21"/>
  <c r="M517" i="21"/>
  <c r="M518" i="21"/>
  <c r="M519" i="21"/>
  <c r="M520" i="21"/>
  <c r="M521" i="21"/>
  <c r="M522" i="21"/>
  <c r="M523" i="21"/>
  <c r="M524" i="21"/>
  <c r="M525" i="21"/>
  <c r="M526" i="21"/>
  <c r="M527" i="21"/>
  <c r="M528" i="21"/>
  <c r="M529" i="21"/>
  <c r="M530" i="21"/>
  <c r="M531" i="21"/>
  <c r="M532" i="21"/>
  <c r="M533" i="21"/>
  <c r="M534" i="21"/>
  <c r="M535" i="21"/>
  <c r="M536" i="21"/>
  <c r="M537" i="21"/>
  <c r="M538" i="21"/>
  <c r="M539" i="21"/>
  <c r="M540" i="21"/>
  <c r="M541" i="21"/>
  <c r="M542" i="21"/>
  <c r="M543" i="21"/>
  <c r="M544" i="21"/>
  <c r="M545" i="21"/>
  <c r="M546" i="21"/>
  <c r="M547" i="21"/>
  <c r="M548" i="21"/>
  <c r="M549" i="21"/>
  <c r="M550" i="21"/>
  <c r="M551" i="21"/>
  <c r="M552" i="21"/>
  <c r="M553" i="21"/>
  <c r="M554" i="21"/>
  <c r="M555" i="21"/>
  <c r="M556" i="21"/>
  <c r="M557" i="21"/>
  <c r="M558" i="21"/>
  <c r="M559" i="21"/>
  <c r="M560" i="21"/>
  <c r="M561" i="21"/>
  <c r="M562" i="21"/>
  <c r="M563" i="21"/>
  <c r="M564" i="21"/>
  <c r="M565" i="21"/>
  <c r="M566" i="21"/>
  <c r="M567" i="21"/>
  <c r="M568" i="21"/>
  <c r="M569" i="21"/>
  <c r="M570" i="21"/>
  <c r="M571" i="21"/>
  <c r="M572" i="21"/>
  <c r="M573" i="21"/>
  <c r="M574" i="21"/>
  <c r="M575" i="21"/>
  <c r="M576" i="21"/>
  <c r="M577" i="21"/>
  <c r="M578" i="21"/>
  <c r="M579" i="21"/>
  <c r="M580" i="21"/>
  <c r="M581" i="21"/>
  <c r="M582" i="21"/>
  <c r="M583" i="21"/>
  <c r="M584" i="21"/>
  <c r="M585" i="21"/>
  <c r="M586" i="21"/>
  <c r="M587" i="21"/>
  <c r="M588" i="21"/>
  <c r="M589" i="21"/>
  <c r="M590" i="21"/>
  <c r="M591" i="21"/>
  <c r="M592" i="21"/>
  <c r="M593" i="21"/>
  <c r="M594" i="21"/>
  <c r="M595" i="21"/>
  <c r="M596" i="21"/>
  <c r="M597" i="21"/>
  <c r="M598" i="21"/>
  <c r="M599" i="21"/>
  <c r="M600" i="21"/>
  <c r="M601" i="21"/>
  <c r="M602" i="21"/>
  <c r="M603" i="21"/>
  <c r="M604" i="21"/>
  <c r="M605" i="21"/>
  <c r="M606" i="21"/>
  <c r="M607" i="21"/>
  <c r="M608" i="21"/>
  <c r="M609" i="21"/>
  <c r="M610" i="21"/>
  <c r="M611" i="21"/>
  <c r="M612" i="21"/>
  <c r="M613" i="21"/>
  <c r="M614" i="21"/>
  <c r="M615" i="21"/>
  <c r="M616" i="21"/>
  <c r="M617" i="21"/>
  <c r="M618" i="21"/>
  <c r="M619" i="21"/>
  <c r="M620" i="21"/>
  <c r="M621" i="21"/>
  <c r="M622" i="21"/>
  <c r="M623" i="21"/>
  <c r="M624" i="21"/>
  <c r="M625" i="21"/>
  <c r="M626" i="21"/>
  <c r="M627" i="21"/>
  <c r="M628" i="21"/>
  <c r="M629" i="21"/>
  <c r="M630" i="21"/>
  <c r="M631" i="21"/>
  <c r="M632" i="21"/>
  <c r="M633" i="21"/>
  <c r="M634" i="21"/>
  <c r="M635" i="21"/>
  <c r="M636" i="21"/>
  <c r="M637" i="21"/>
  <c r="M638" i="21"/>
  <c r="M639" i="21"/>
  <c r="M640" i="21"/>
  <c r="M641" i="21"/>
  <c r="M642" i="21"/>
  <c r="M643" i="21"/>
  <c r="M644" i="21"/>
  <c r="M645" i="21"/>
  <c r="M646" i="21"/>
  <c r="M647" i="21"/>
  <c r="M648" i="21"/>
  <c r="M649" i="21"/>
  <c r="M650" i="21"/>
  <c r="M651" i="21"/>
  <c r="M652" i="21"/>
  <c r="M653" i="21"/>
  <c r="M654" i="21"/>
  <c r="M655" i="21"/>
  <c r="M656" i="21"/>
  <c r="M657" i="21"/>
  <c r="M658" i="21"/>
  <c r="M659" i="21"/>
  <c r="M660" i="21"/>
  <c r="M661" i="21"/>
  <c r="M662" i="21"/>
  <c r="M663" i="21"/>
  <c r="M664" i="21"/>
  <c r="M665" i="21"/>
  <c r="M666" i="21"/>
  <c r="M667" i="21"/>
  <c r="M668" i="21"/>
  <c r="M669" i="21"/>
  <c r="M670" i="21"/>
  <c r="M671" i="21"/>
  <c r="M672" i="21"/>
  <c r="M673" i="21"/>
  <c r="M674" i="21"/>
  <c r="M675" i="21"/>
  <c r="M676" i="21"/>
  <c r="M677" i="21"/>
  <c r="M678" i="21"/>
  <c r="M679" i="21"/>
  <c r="M680" i="21"/>
  <c r="M681" i="21"/>
  <c r="M682" i="21"/>
  <c r="M683" i="21"/>
  <c r="M684" i="21"/>
  <c r="M685" i="21"/>
  <c r="M686" i="21"/>
  <c r="M687" i="21"/>
  <c r="M688" i="21"/>
  <c r="M689" i="21"/>
  <c r="M690" i="21"/>
  <c r="M691" i="21"/>
  <c r="M692" i="21"/>
  <c r="M693" i="21"/>
  <c r="M694" i="21"/>
  <c r="M695" i="21"/>
  <c r="M696" i="21"/>
  <c r="M697" i="21"/>
  <c r="M698" i="21"/>
  <c r="M699" i="21"/>
  <c r="M700" i="21"/>
  <c r="M701" i="21"/>
  <c r="M702" i="21"/>
  <c r="M703" i="21"/>
  <c r="M704" i="21"/>
  <c r="M705" i="21"/>
  <c r="M706" i="21"/>
  <c r="M707" i="21"/>
  <c r="M708" i="21"/>
  <c r="M709" i="21"/>
  <c r="M710" i="21"/>
  <c r="M711" i="21"/>
  <c r="M712" i="21"/>
  <c r="M713" i="21"/>
  <c r="M714" i="21"/>
  <c r="M715" i="21"/>
  <c r="M716" i="21"/>
  <c r="M717" i="21"/>
  <c r="M718" i="21"/>
  <c r="M719" i="21"/>
  <c r="M720" i="21"/>
  <c r="M721" i="21"/>
  <c r="M722" i="21"/>
  <c r="M723" i="21"/>
  <c r="M724" i="21"/>
  <c r="M725" i="21"/>
  <c r="M726" i="21"/>
  <c r="M727" i="21"/>
  <c r="M728" i="21"/>
  <c r="M729" i="21"/>
  <c r="M730" i="21"/>
  <c r="M731" i="21"/>
  <c r="M732" i="21"/>
  <c r="M733" i="21"/>
  <c r="M734" i="21"/>
  <c r="M735" i="21"/>
  <c r="M736" i="21"/>
  <c r="M737" i="21"/>
  <c r="M738" i="21"/>
  <c r="M739" i="21"/>
  <c r="M740" i="21"/>
  <c r="M741" i="21"/>
  <c r="M742" i="21"/>
  <c r="M743" i="21"/>
  <c r="M744" i="21"/>
  <c r="M745" i="21"/>
  <c r="M746" i="21"/>
  <c r="M747" i="21"/>
  <c r="M748" i="21"/>
  <c r="M749" i="21"/>
  <c r="M750" i="21"/>
  <c r="M751" i="21"/>
  <c r="M752" i="21"/>
  <c r="M753" i="21"/>
  <c r="M754" i="21"/>
  <c r="M755" i="21"/>
  <c r="M756" i="21"/>
  <c r="M757" i="21"/>
  <c r="M758" i="21"/>
  <c r="M759" i="21"/>
  <c r="M760" i="21"/>
  <c r="M761" i="21"/>
  <c r="M762" i="21"/>
  <c r="M763" i="21"/>
  <c r="M764" i="21"/>
  <c r="M765" i="21"/>
  <c r="AJ4" i="21"/>
  <c r="Z4" i="21"/>
  <c r="Y4"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7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808" i="21"/>
  <c r="H809" i="21"/>
  <c r="H810" i="21"/>
  <c r="H811" i="21"/>
  <c r="H812" i="21"/>
  <c r="H813" i="21"/>
  <c r="H814" i="21"/>
  <c r="H815" i="21"/>
  <c r="H816" i="21"/>
  <c r="H817" i="21"/>
  <c r="H818" i="21"/>
  <c r="H819" i="21"/>
  <c r="H820" i="21"/>
  <c r="H821" i="21"/>
  <c r="H822" i="21"/>
  <c r="H823" i="21"/>
  <c r="H824" i="21"/>
  <c r="H825" i="21"/>
  <c r="H826" i="21"/>
  <c r="H827" i="21"/>
  <c r="H828" i="21"/>
  <c r="H829" i="21"/>
  <c r="H830" i="21"/>
  <c r="H831" i="21"/>
  <c r="H832" i="21"/>
  <c r="H833" i="21"/>
  <c r="H834" i="21"/>
  <c r="H835" i="21"/>
  <c r="H836" i="21"/>
  <c r="H837" i="21"/>
  <c r="H838" i="21"/>
  <c r="H839" i="21"/>
  <c r="H840" i="21"/>
  <c r="H841" i="21"/>
  <c r="H842" i="21"/>
  <c r="H843" i="21"/>
  <c r="H844" i="21"/>
  <c r="H845" i="21"/>
  <c r="H846" i="21"/>
  <c r="H847" i="21"/>
  <c r="H848" i="21"/>
  <c r="H849" i="21"/>
  <c r="H850" i="21"/>
  <c r="H851" i="21"/>
  <c r="H852" i="21"/>
  <c r="H853" i="21"/>
  <c r="H854" i="21"/>
  <c r="H855" i="21"/>
  <c r="H856" i="21"/>
  <c r="H857" i="21"/>
  <c r="H858" i="21"/>
  <c r="H859" i="21"/>
  <c r="H860" i="21"/>
  <c r="H861" i="21"/>
  <c r="H862" i="21"/>
  <c r="H863" i="21"/>
  <c r="H864" i="21"/>
  <c r="H865" i="21"/>
  <c r="H866" i="21"/>
  <c r="H867" i="21"/>
  <c r="H868" i="21"/>
  <c r="H869" i="21"/>
  <c r="H870" i="21"/>
  <c r="H871" i="21"/>
  <c r="H872" i="21"/>
  <c r="H873" i="21"/>
  <c r="H874" i="21"/>
  <c r="H875" i="21"/>
  <c r="H876" i="21"/>
  <c r="H877" i="21"/>
  <c r="H878" i="21"/>
  <c r="H879" i="21"/>
  <c r="H880" i="21"/>
  <c r="H881" i="21"/>
  <c r="H882" i="21"/>
  <c r="H883" i="21"/>
  <c r="H884" i="21"/>
  <c r="H885" i="21"/>
  <c r="H886" i="21"/>
  <c r="H887" i="21"/>
  <c r="H888" i="21"/>
  <c r="H889" i="21"/>
  <c r="H890" i="21"/>
  <c r="H891" i="21"/>
  <c r="H892" i="21"/>
  <c r="H893" i="21"/>
  <c r="H894" i="21"/>
  <c r="H895" i="21"/>
  <c r="H896" i="21"/>
  <c r="H897" i="21"/>
  <c r="H898" i="21"/>
  <c r="H899" i="21"/>
  <c r="H900" i="21"/>
  <c r="H901" i="21"/>
  <c r="H902" i="21"/>
  <c r="H903" i="21"/>
  <c r="H904" i="21"/>
  <c r="H905" i="21"/>
  <c r="H906" i="21"/>
  <c r="H907" i="21"/>
  <c r="H908" i="21"/>
  <c r="H909" i="21"/>
  <c r="H910" i="21"/>
  <c r="H911" i="21"/>
  <c r="H912" i="21"/>
  <c r="H913" i="21"/>
  <c r="H914" i="21"/>
  <c r="H915" i="21"/>
  <c r="H916" i="21"/>
  <c r="H917" i="21"/>
  <c r="H918" i="21"/>
  <c r="H919" i="21"/>
  <c r="H920" i="21"/>
  <c r="H921" i="21"/>
  <c r="H922" i="21"/>
  <c r="H923" i="21"/>
  <c r="H924" i="21"/>
  <c r="H925" i="21"/>
  <c r="H926" i="21"/>
  <c r="H927" i="21"/>
  <c r="H928" i="21"/>
  <c r="H929" i="21"/>
  <c r="H930" i="21"/>
  <c r="H931" i="21"/>
  <c r="H932" i="21"/>
  <c r="H933" i="21"/>
  <c r="H934" i="21"/>
  <c r="H935" i="21"/>
  <c r="H936" i="21"/>
  <c r="H937" i="21"/>
  <c r="H938" i="21"/>
  <c r="H939" i="21"/>
  <c r="H940" i="21"/>
  <c r="H941" i="21"/>
  <c r="H942" i="21"/>
  <c r="H943" i="21"/>
  <c r="H944" i="21"/>
  <c r="H945" i="21"/>
  <c r="H946" i="21"/>
  <c r="H947" i="21"/>
  <c r="H948" i="21"/>
  <c r="H949" i="21"/>
  <c r="H950" i="21"/>
  <c r="H951" i="21"/>
  <c r="H952" i="21"/>
  <c r="H953" i="21"/>
  <c r="H954" i="21"/>
  <c r="H955" i="21"/>
  <c r="H956" i="21"/>
  <c r="H957" i="21"/>
  <c r="H958" i="21"/>
  <c r="H959" i="21"/>
  <c r="H960" i="21"/>
  <c r="H961" i="21"/>
  <c r="H962" i="21"/>
  <c r="H963" i="21"/>
  <c r="H964" i="21"/>
  <c r="H965" i="21"/>
  <c r="H966" i="21"/>
  <c r="H967" i="21"/>
  <c r="H968" i="21"/>
  <c r="H969" i="21"/>
  <c r="H970" i="21"/>
  <c r="H971" i="21"/>
  <c r="H972" i="21"/>
  <c r="H973" i="21"/>
  <c r="H974" i="21"/>
  <c r="H975" i="21"/>
  <c r="H976" i="21"/>
  <c r="H977" i="21"/>
  <c r="H978" i="21"/>
  <c r="H979" i="21"/>
  <c r="H980" i="21"/>
  <c r="H981" i="21"/>
  <c r="H982" i="21"/>
  <c r="H983" i="21"/>
  <c r="H984" i="21"/>
  <c r="H985" i="21"/>
  <c r="H986" i="21"/>
  <c r="H987" i="21"/>
  <c r="H988" i="21"/>
  <c r="H989" i="21"/>
  <c r="H990" i="21"/>
  <c r="H991" i="21"/>
  <c r="H992" i="21"/>
  <c r="H993" i="21"/>
  <c r="H994" i="21"/>
  <c r="H995" i="21"/>
  <c r="H996" i="21"/>
  <c r="H997" i="21"/>
  <c r="H998" i="21"/>
  <c r="H999" i="21"/>
  <c r="H1000" i="21"/>
  <c r="H1001" i="21"/>
  <c r="H1002" i="21"/>
  <c r="H1003" i="21"/>
  <c r="H1004" i="21"/>
  <c r="H1005" i="21"/>
  <c r="H1006" i="21"/>
  <c r="H1007" i="21"/>
  <c r="H1008" i="21"/>
  <c r="H1009" i="21"/>
  <c r="H1010" i="21"/>
  <c r="H1011" i="21"/>
  <c r="H1012" i="21"/>
  <c r="H1013" i="21"/>
  <c r="H1014" i="21"/>
  <c r="H1015" i="21"/>
  <c r="H1016" i="21"/>
  <c r="H1017" i="21"/>
  <c r="H1018" i="21"/>
  <c r="H1019" i="21"/>
  <c r="H1020" i="21"/>
  <c r="H1021" i="21"/>
  <c r="H1022" i="21"/>
  <c r="H1023" i="21"/>
  <c r="H1024" i="21"/>
  <c r="H1025" i="21"/>
  <c r="H1026" i="21"/>
  <c r="H1027" i="21"/>
  <c r="H1028" i="21"/>
  <c r="H1029" i="21"/>
  <c r="H1030" i="21"/>
  <c r="H1031" i="21"/>
  <c r="H1032" i="21"/>
  <c r="H1033" i="21"/>
  <c r="H1034" i="21"/>
  <c r="H1035" i="21"/>
  <c r="H1036" i="21"/>
  <c r="H1037" i="21"/>
  <c r="H1038" i="21"/>
  <c r="H1039" i="21"/>
  <c r="H1040" i="21"/>
  <c r="H1041" i="21"/>
  <c r="H1042" i="21"/>
  <c r="H1043" i="21"/>
  <c r="H1044" i="21"/>
  <c r="H1045" i="21"/>
  <c r="H1046" i="21"/>
  <c r="H1047" i="21"/>
  <c r="H1048" i="21"/>
  <c r="H1049" i="21"/>
  <c r="H1050" i="21"/>
  <c r="H1051" i="21"/>
  <c r="H1052" i="21"/>
  <c r="H1053" i="21"/>
  <c r="H1054" i="21"/>
  <c r="H1055" i="21"/>
  <c r="H1056" i="21"/>
  <c r="H1057" i="21"/>
  <c r="H1058" i="21"/>
  <c r="H1059" i="21"/>
  <c r="H1060" i="21"/>
  <c r="H1061" i="21"/>
  <c r="H1062" i="21"/>
  <c r="H1063" i="21"/>
  <c r="H1064" i="21"/>
  <c r="H1065" i="21"/>
  <c r="H1066" i="21"/>
  <c r="H1067" i="21"/>
  <c r="H1068" i="21"/>
  <c r="H1069" i="21"/>
  <c r="H1070" i="21"/>
  <c r="H1071" i="21"/>
  <c r="H1072" i="21"/>
  <c r="H1073" i="21"/>
  <c r="H1074" i="21"/>
  <c r="H1075" i="21"/>
  <c r="H1076" i="21"/>
  <c r="H1077" i="21"/>
  <c r="H1078" i="21"/>
  <c r="H1079" i="21"/>
  <c r="H1080" i="21"/>
  <c r="H1081" i="21"/>
  <c r="H1082" i="21"/>
  <c r="H1083" i="21"/>
  <c r="H1084" i="21"/>
  <c r="H1085" i="21"/>
  <c r="H1086" i="21"/>
  <c r="H1087" i="21"/>
  <c r="H1088" i="21"/>
  <c r="H1089" i="21"/>
  <c r="H1090" i="21"/>
  <c r="H1091" i="21"/>
  <c r="H1092" i="21"/>
  <c r="H1093" i="21"/>
  <c r="H1094" i="21"/>
  <c r="H1095" i="21"/>
  <c r="H1096" i="21"/>
  <c r="H1097" i="21"/>
  <c r="H1098" i="21"/>
  <c r="H1099" i="21"/>
  <c r="H1100" i="21"/>
  <c r="H1101" i="21"/>
  <c r="H1102" i="21"/>
  <c r="H1103" i="21"/>
  <c r="H1104" i="21"/>
  <c r="H1105" i="21"/>
  <c r="H1106" i="21"/>
  <c r="H1107" i="21"/>
  <c r="H1108" i="21"/>
  <c r="H1109" i="21"/>
  <c r="H1110" i="21"/>
  <c r="H1111" i="21"/>
  <c r="H1112" i="21"/>
  <c r="H1113" i="21"/>
  <c r="H1114" i="21"/>
  <c r="H1115" i="21"/>
  <c r="H1116" i="21"/>
  <c r="H1117" i="21"/>
  <c r="H1118" i="21"/>
  <c r="H1119" i="21"/>
  <c r="H1120" i="21"/>
  <c r="H1121" i="21"/>
  <c r="H1122" i="21"/>
  <c r="H1123" i="21"/>
  <c r="H1124" i="21"/>
  <c r="H1125" i="21"/>
  <c r="H1126" i="21"/>
  <c r="H1127" i="21"/>
  <c r="H1128" i="21"/>
  <c r="H1129" i="21"/>
  <c r="H1130" i="21"/>
  <c r="H1131" i="21"/>
  <c r="H1132" i="21"/>
  <c r="H1133" i="21"/>
  <c r="H1134" i="21"/>
  <c r="H1135" i="21"/>
  <c r="H1136" i="21"/>
  <c r="H1137" i="21"/>
  <c r="H1138" i="21"/>
  <c r="H1139" i="21"/>
  <c r="H1140" i="21"/>
  <c r="H1141" i="21"/>
  <c r="H1142" i="21"/>
  <c r="H1143" i="21"/>
  <c r="H1144" i="21"/>
  <c r="H1145" i="21"/>
  <c r="H1146" i="21"/>
  <c r="H1147" i="21"/>
  <c r="H1148" i="21"/>
  <c r="H1149" i="21"/>
  <c r="H1150" i="21"/>
  <c r="H1151" i="21"/>
  <c r="H1152" i="21"/>
  <c r="H1153" i="21"/>
  <c r="H1154" i="21"/>
  <c r="H1155" i="21"/>
  <c r="H1156" i="21"/>
  <c r="H1157" i="21"/>
  <c r="H1158" i="21"/>
  <c r="H1159" i="21"/>
  <c r="H1160" i="21"/>
  <c r="H1161" i="21"/>
  <c r="H1162" i="21"/>
  <c r="H1163" i="21"/>
  <c r="H1164" i="21"/>
  <c r="H1165" i="21"/>
  <c r="H1166" i="21"/>
  <c r="H1167" i="21"/>
  <c r="H1168" i="21"/>
  <c r="H1169" i="21"/>
  <c r="H1170" i="21"/>
  <c r="H1171" i="21"/>
  <c r="H1172" i="21"/>
  <c r="H1173" i="21"/>
  <c r="H1174" i="21"/>
  <c r="H1175" i="21"/>
  <c r="H1176" i="21"/>
  <c r="H1177" i="21"/>
  <c r="H1178" i="21"/>
  <c r="H1179" i="21"/>
  <c r="H1180" i="21"/>
  <c r="H1181" i="21"/>
  <c r="H1182" i="21"/>
  <c r="H1183" i="21"/>
  <c r="H1184" i="21"/>
  <c r="H1185" i="21"/>
  <c r="H1186" i="21"/>
  <c r="H1187" i="21"/>
  <c r="H1188" i="21"/>
  <c r="H1189" i="21"/>
  <c r="H1190" i="21"/>
  <c r="H1191" i="21"/>
  <c r="H1192" i="21"/>
  <c r="H1193" i="21"/>
  <c r="H1194" i="21"/>
  <c r="H1195" i="21"/>
  <c r="H1196" i="21"/>
  <c r="H1197" i="21"/>
  <c r="H1198" i="21"/>
  <c r="H1199" i="21"/>
  <c r="H1200" i="21"/>
  <c r="H1201" i="21"/>
  <c r="H1202" i="21"/>
  <c r="H1203" i="21"/>
  <c r="H1204" i="21"/>
  <c r="H1205" i="21"/>
  <c r="H1206" i="21"/>
  <c r="H1207" i="21"/>
  <c r="H1208" i="21"/>
  <c r="H1209" i="21"/>
  <c r="H1210" i="21"/>
  <c r="H1211" i="21"/>
  <c r="H1212" i="21"/>
  <c r="H1213" i="21"/>
  <c r="H1214" i="21"/>
  <c r="H1215" i="21"/>
  <c r="H1216" i="21"/>
  <c r="H1217" i="21"/>
  <c r="H1218" i="21"/>
  <c r="H1219" i="21"/>
  <c r="H1220" i="21"/>
  <c r="H1221" i="21"/>
  <c r="H1222" i="21"/>
  <c r="H1223" i="21"/>
  <c r="H1224" i="21"/>
  <c r="H1225" i="21"/>
  <c r="H1226" i="21"/>
  <c r="H1227" i="21"/>
  <c r="H1228" i="21"/>
  <c r="H1229" i="21"/>
  <c r="H1230" i="21"/>
  <c r="H1231" i="21"/>
  <c r="H1232" i="21"/>
  <c r="H1233" i="21"/>
  <c r="H1234" i="21"/>
  <c r="H1235" i="21"/>
  <c r="H1236" i="21"/>
  <c r="H1237" i="21"/>
  <c r="H1238" i="21"/>
  <c r="H1239" i="21"/>
  <c r="H1240" i="21"/>
  <c r="H1241" i="21"/>
  <c r="H1242" i="21"/>
  <c r="H1243" i="21"/>
  <c r="H1244" i="21"/>
  <c r="H1245" i="21"/>
  <c r="H1246" i="21"/>
  <c r="H1247" i="21"/>
  <c r="H1248" i="21"/>
  <c r="H1249" i="21"/>
  <c r="H1250" i="21"/>
  <c r="H1251" i="21"/>
  <c r="H1252" i="21"/>
  <c r="H1253" i="21"/>
  <c r="H1254" i="21"/>
  <c r="H1255" i="21"/>
  <c r="H1256" i="21"/>
  <c r="H1257" i="21"/>
  <c r="H1258" i="21"/>
  <c r="H1259" i="21"/>
  <c r="H1260" i="21"/>
  <c r="H1261" i="21"/>
  <c r="H1262" i="21"/>
  <c r="H1263" i="21"/>
  <c r="H1264" i="21"/>
  <c r="H1265" i="21"/>
  <c r="H1266" i="21"/>
  <c r="H1267" i="21"/>
  <c r="H1268" i="21"/>
  <c r="H1269" i="21"/>
  <c r="H1270" i="21"/>
  <c r="H1271" i="21"/>
  <c r="H1272" i="21"/>
  <c r="H1273" i="21"/>
  <c r="H1274" i="21"/>
  <c r="H1275" i="21"/>
  <c r="H1276" i="21"/>
  <c r="H1277" i="21"/>
  <c r="H1278" i="21"/>
  <c r="H1279" i="21"/>
  <c r="H1280" i="21"/>
  <c r="H1281" i="21"/>
  <c r="H1282" i="21"/>
  <c r="H1283" i="21"/>
  <c r="H1284" i="21"/>
  <c r="H1285" i="21"/>
  <c r="H1286" i="21"/>
  <c r="H1287" i="21"/>
  <c r="H1288" i="21"/>
  <c r="H1289" i="21"/>
  <c r="H1290" i="21"/>
  <c r="H1291" i="21"/>
  <c r="H1292" i="21"/>
  <c r="H1293" i="21"/>
  <c r="H1294" i="21"/>
  <c r="H1295" i="21"/>
  <c r="H1296" i="21"/>
  <c r="H1297" i="21"/>
  <c r="H1298" i="21"/>
  <c r="H1299" i="21"/>
  <c r="H1300" i="21"/>
  <c r="H1301" i="21"/>
  <c r="H1302" i="21"/>
  <c r="H1303" i="21"/>
  <c r="H1304" i="21"/>
  <c r="H1305" i="21"/>
  <c r="H1306" i="21"/>
  <c r="H1307" i="21"/>
  <c r="H1308" i="21"/>
  <c r="H1309" i="21"/>
  <c r="H1310" i="21"/>
  <c r="H1311" i="21"/>
  <c r="H1312" i="21"/>
  <c r="H1313" i="21"/>
  <c r="H1314" i="21"/>
  <c r="H1315" i="21"/>
  <c r="H1316" i="21"/>
  <c r="H1317" i="21"/>
  <c r="H1318" i="21"/>
  <c r="H1319" i="21"/>
  <c r="H1320" i="21"/>
  <c r="H1321" i="21"/>
  <c r="H1322" i="21"/>
  <c r="H1323" i="21"/>
  <c r="H1324" i="21"/>
  <c r="H1325" i="21"/>
  <c r="H1326" i="21"/>
  <c r="H1327" i="21"/>
  <c r="H1328" i="21"/>
  <c r="H1329" i="21"/>
  <c r="H1330" i="21"/>
  <c r="H1331" i="21"/>
  <c r="H1332" i="21"/>
  <c r="H1333" i="21"/>
  <c r="H1334" i="21"/>
  <c r="H1335" i="21"/>
  <c r="H1336" i="21"/>
  <c r="H1337" i="21"/>
  <c r="H1338" i="21"/>
  <c r="H1339" i="21"/>
  <c r="H1340" i="21"/>
  <c r="H1341" i="21"/>
  <c r="H1342" i="21"/>
  <c r="H1343" i="21"/>
  <c r="H1344" i="21"/>
  <c r="H1345" i="21"/>
  <c r="H1346" i="21"/>
  <c r="H1347" i="21"/>
  <c r="H1348" i="21"/>
  <c r="H1349" i="21"/>
  <c r="H1350" i="21"/>
  <c r="H1351" i="21"/>
  <c r="H1352" i="21"/>
  <c r="H1353" i="21"/>
  <c r="H1354" i="21"/>
  <c r="H1355" i="21"/>
  <c r="H1356" i="21"/>
  <c r="H1357" i="21"/>
  <c r="H1358" i="21"/>
  <c r="H1359" i="21"/>
  <c r="H1360" i="21"/>
  <c r="H1361" i="21"/>
  <c r="H1362" i="21"/>
  <c r="H1363" i="21"/>
  <c r="H1364" i="21"/>
  <c r="H1365" i="21"/>
  <c r="H1366" i="21"/>
  <c r="H1367" i="21"/>
  <c r="H1368" i="21"/>
  <c r="H1369" i="21"/>
  <c r="H1370" i="21"/>
  <c r="H1371" i="21"/>
  <c r="H1372" i="21"/>
  <c r="H1373" i="21"/>
  <c r="H1374" i="21"/>
  <c r="H1375" i="21"/>
  <c r="H1376" i="21"/>
  <c r="H1377" i="21"/>
  <c r="H1378" i="21"/>
  <c r="H1379" i="21"/>
  <c r="H1380" i="21"/>
  <c r="H1381" i="21"/>
  <c r="H1382" i="21"/>
  <c r="H1383" i="21"/>
  <c r="H1384" i="21"/>
  <c r="H1385" i="21"/>
  <c r="H1386" i="21"/>
  <c r="H1387" i="21"/>
  <c r="H1388" i="21"/>
  <c r="H1389" i="21"/>
  <c r="H1390" i="21"/>
  <c r="H1391" i="21"/>
  <c r="H1392" i="21"/>
  <c r="H1393" i="21"/>
  <c r="H1394" i="21"/>
  <c r="H1395" i="21"/>
  <c r="H1396" i="21"/>
  <c r="H1397" i="21"/>
  <c r="H1398" i="21"/>
  <c r="H1399" i="21"/>
  <c r="H1400" i="21"/>
  <c r="H1401" i="21"/>
  <c r="H1402" i="21"/>
  <c r="H1403" i="21"/>
  <c r="H1404" i="21"/>
  <c r="H1405" i="21"/>
  <c r="H1406" i="21"/>
  <c r="H1407" i="21"/>
  <c r="H1408" i="21"/>
  <c r="H1409" i="21"/>
  <c r="H1410" i="21"/>
  <c r="H1411" i="21"/>
  <c r="H1412" i="21"/>
  <c r="H1413" i="21"/>
  <c r="H1414" i="21"/>
  <c r="H1415" i="21"/>
  <c r="H1416" i="21"/>
  <c r="H1417" i="21"/>
  <c r="H1418" i="21"/>
  <c r="H1419" i="21"/>
  <c r="H1420" i="21"/>
  <c r="H1421" i="21"/>
  <c r="H1422" i="21"/>
  <c r="H1423" i="21"/>
  <c r="H1424" i="21"/>
  <c r="H1425" i="21"/>
  <c r="H1426" i="21"/>
  <c r="H1427" i="21"/>
  <c r="H1428" i="21"/>
  <c r="H1429" i="21"/>
  <c r="H1430" i="21"/>
  <c r="H1431" i="21"/>
  <c r="H1432" i="21"/>
  <c r="H1433" i="21"/>
  <c r="H1434" i="21"/>
  <c r="H1435" i="21"/>
  <c r="H1436" i="21"/>
  <c r="H1437" i="21"/>
  <c r="H1438" i="21"/>
  <c r="H1439" i="21"/>
  <c r="H1440" i="21"/>
  <c r="H1441" i="21"/>
  <c r="H1442" i="21"/>
  <c r="H1443" i="21"/>
  <c r="H1444" i="21"/>
  <c r="H1445" i="21"/>
  <c r="H1446" i="21"/>
  <c r="H1447" i="21"/>
  <c r="H1448" i="21"/>
  <c r="H1449" i="21"/>
  <c r="H1450" i="21"/>
  <c r="H1451" i="21"/>
  <c r="H1452" i="21"/>
  <c r="H1453" i="21"/>
  <c r="H1454" i="21"/>
  <c r="H1455" i="21"/>
  <c r="H1456" i="21"/>
  <c r="H1457" i="21"/>
  <c r="H1458" i="21"/>
  <c r="H1459" i="21"/>
  <c r="H1460" i="21"/>
  <c r="H1461" i="21"/>
  <c r="H1462" i="21"/>
  <c r="H1463" i="21"/>
  <c r="H1464" i="21"/>
  <c r="H1465" i="21"/>
  <c r="H1466" i="21"/>
  <c r="H1467" i="21"/>
  <c r="H1468" i="21"/>
  <c r="H1469" i="21"/>
  <c r="H1470" i="21"/>
  <c r="H1471" i="21"/>
  <c r="H1472" i="21"/>
  <c r="H1473" i="21"/>
  <c r="H1474" i="21"/>
  <c r="H1475" i="21"/>
  <c r="H1476" i="21"/>
  <c r="H1477" i="21"/>
  <c r="H1478" i="21"/>
  <c r="H1479" i="21"/>
  <c r="H1480" i="21"/>
  <c r="H1481" i="21"/>
  <c r="H1482" i="21"/>
  <c r="H1483" i="21"/>
  <c r="H1484" i="21"/>
  <c r="H1485" i="21"/>
  <c r="H1486" i="21"/>
  <c r="H1487" i="21"/>
  <c r="H1488" i="21"/>
  <c r="H1489" i="21"/>
  <c r="H1490" i="21"/>
  <c r="H1491" i="21"/>
  <c r="H1492" i="21"/>
  <c r="H1493" i="21"/>
  <c r="H1494" i="21"/>
  <c r="H1495" i="21"/>
  <c r="H1496" i="21"/>
  <c r="H1497" i="21"/>
  <c r="H1498" i="21"/>
  <c r="H1499" i="21"/>
  <c r="H1500" i="21"/>
  <c r="H1501" i="21"/>
  <c r="H1502" i="21"/>
  <c r="H1503" i="21"/>
  <c r="H1504" i="21"/>
  <c r="H1505" i="21"/>
  <c r="H1506" i="21"/>
  <c r="H1507" i="21"/>
  <c r="H1508" i="21"/>
  <c r="H1509" i="21"/>
  <c r="H1510" i="21"/>
  <c r="H1511" i="21"/>
  <c r="H1512" i="21"/>
  <c r="H1513" i="21"/>
  <c r="H1514" i="21"/>
  <c r="H1515" i="21"/>
  <c r="H1516" i="21"/>
  <c r="H1517" i="21"/>
  <c r="H1518" i="21"/>
  <c r="H1519" i="21"/>
  <c r="H1520" i="21"/>
  <c r="H1521" i="21"/>
  <c r="H1522" i="21"/>
  <c r="H1523" i="21"/>
  <c r="H1524" i="21"/>
  <c r="H1525" i="21"/>
  <c r="H1526" i="21"/>
  <c r="H1527" i="21"/>
  <c r="H1528" i="21"/>
  <c r="H1529" i="21"/>
  <c r="H1530" i="21"/>
  <c r="H1531" i="21"/>
  <c r="H1532" i="21"/>
  <c r="H1533" i="21"/>
  <c r="H1534" i="21"/>
  <c r="H1535" i="21"/>
  <c r="H1536" i="21"/>
  <c r="H1537" i="21"/>
  <c r="H1538" i="21"/>
  <c r="H1539" i="21"/>
  <c r="H1540" i="21"/>
  <c r="H1541" i="21"/>
  <c r="H1542" i="21"/>
  <c r="H1543" i="21"/>
  <c r="H1544" i="21"/>
  <c r="H1545" i="21"/>
  <c r="H1546" i="21"/>
  <c r="H1547" i="21"/>
  <c r="H1548" i="21"/>
  <c r="H1549" i="21"/>
  <c r="H1550" i="21"/>
  <c r="H1551" i="21"/>
  <c r="H1552" i="21"/>
  <c r="H1553" i="21"/>
  <c r="H1554" i="21"/>
  <c r="H1555" i="21"/>
  <c r="H1556" i="21"/>
  <c r="H1557" i="21"/>
  <c r="H1558" i="21"/>
  <c r="H1559" i="21"/>
  <c r="H1560" i="21"/>
  <c r="H1561" i="21"/>
  <c r="H1562" i="21"/>
  <c r="H1563" i="21"/>
  <c r="H1564" i="21"/>
  <c r="H1565"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5" i="21"/>
  <c r="H6" i="21"/>
  <c r="H7" i="21"/>
  <c r="H8" i="21"/>
  <c r="H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14" i="21"/>
  <c r="D215" i="21"/>
  <c r="D216" i="21"/>
  <c r="D217" i="21"/>
  <c r="D218" i="21"/>
  <c r="D219" i="21"/>
  <c r="D220" i="21"/>
  <c r="D221" i="21"/>
  <c r="D222" i="21"/>
  <c r="D223" i="21"/>
  <c r="D224" i="21"/>
  <c r="D225" i="21"/>
  <c r="D226" i="21"/>
  <c r="D227" i="21"/>
  <c r="D228" i="21"/>
  <c r="D229" i="21"/>
  <c r="D230" i="21"/>
  <c r="D231" i="21"/>
  <c r="D232" i="21"/>
  <c r="D233" i="21"/>
  <c r="D234" i="21"/>
  <c r="D235" i="21"/>
  <c r="D236" i="21"/>
  <c r="D237" i="21"/>
  <c r="D238" i="21"/>
  <c r="D239" i="21"/>
  <c r="D240" i="21"/>
  <c r="D241" i="21"/>
  <c r="D242" i="21"/>
  <c r="D243" i="21"/>
  <c r="D244" i="21"/>
  <c r="D245" i="21"/>
  <c r="D246" i="21"/>
  <c r="D247" i="21"/>
  <c r="D248" i="21"/>
  <c r="D249" i="21"/>
  <c r="D250" i="21"/>
  <c r="D251" i="21"/>
  <c r="D252" i="21"/>
  <c r="D253" i="21"/>
  <c r="D254" i="21"/>
  <c r="D255" i="21"/>
  <c r="D256" i="21"/>
  <c r="D257" i="21"/>
  <c r="D258" i="21"/>
  <c r="D259" i="21"/>
  <c r="D260" i="21"/>
  <c r="D261" i="21"/>
  <c r="D262" i="21"/>
  <c r="D263" i="21"/>
  <c r="D264" i="21"/>
  <c r="D265" i="21"/>
  <c r="D266" i="21"/>
  <c r="D267" i="21"/>
  <c r="D268" i="21"/>
  <c r="D269" i="21"/>
  <c r="D270" i="21"/>
  <c r="D271" i="21"/>
  <c r="D272" i="21"/>
  <c r="D273" i="21"/>
  <c r="D274" i="21"/>
  <c r="D275" i="21"/>
  <c r="D276" i="21"/>
  <c r="D277" i="21"/>
  <c r="D278" i="21"/>
  <c r="D279" i="21"/>
  <c r="D280" i="21"/>
  <c r="D281" i="21"/>
  <c r="D282" i="21"/>
  <c r="D283" i="21"/>
  <c r="D284" i="21"/>
  <c r="D285" i="21"/>
  <c r="D286" i="21"/>
  <c r="D287" i="21"/>
  <c r="D288" i="21"/>
  <c r="D289" i="21"/>
  <c r="D290" i="21"/>
  <c r="D291" i="21"/>
  <c r="D292" i="21"/>
  <c r="D293" i="21"/>
  <c r="D294" i="21"/>
  <c r="D295" i="21"/>
  <c r="D296" i="21"/>
  <c r="D297" i="21"/>
  <c r="D298" i="21"/>
  <c r="D299" i="21"/>
  <c r="D300" i="21"/>
  <c r="D301" i="21"/>
  <c r="D302" i="21"/>
  <c r="D303" i="21"/>
  <c r="D304" i="21"/>
  <c r="D305" i="21"/>
  <c r="D306" i="21"/>
  <c r="D307" i="21"/>
  <c r="D308" i="21"/>
  <c r="D309" i="21"/>
  <c r="D310" i="21"/>
  <c r="D311" i="21"/>
  <c r="D312" i="21"/>
  <c r="D313" i="21"/>
  <c r="D314" i="21"/>
  <c r="D315" i="21"/>
  <c r="D316" i="21"/>
  <c r="D317" i="21"/>
  <c r="D318" i="21"/>
  <c r="D319" i="21"/>
  <c r="D320" i="21"/>
  <c r="D321" i="21"/>
  <c r="D322" i="21"/>
  <c r="D323" i="21"/>
  <c r="D324" i="21"/>
  <c r="D325" i="21"/>
  <c r="D326" i="21"/>
  <c r="D327" i="21"/>
  <c r="D328" i="21"/>
  <c r="D329" i="21"/>
  <c r="D330" i="21"/>
  <c r="D331" i="21"/>
  <c r="D332" i="21"/>
  <c r="D333" i="21"/>
  <c r="D334" i="21"/>
  <c r="D335" i="21"/>
  <c r="D336" i="21"/>
  <c r="D337" i="21"/>
  <c r="D338" i="21"/>
  <c r="D339" i="21"/>
  <c r="D340" i="21"/>
  <c r="D341" i="21"/>
  <c r="D342" i="21"/>
  <c r="D343" i="21"/>
  <c r="D344" i="21"/>
  <c r="D345" i="21"/>
  <c r="D346" i="21"/>
  <c r="D347" i="21"/>
  <c r="D348" i="21"/>
  <c r="D349" i="21"/>
  <c r="D350" i="21"/>
  <c r="D351" i="21"/>
  <c r="D352" i="21"/>
  <c r="D353" i="21"/>
  <c r="D354" i="21"/>
  <c r="D355" i="21"/>
  <c r="D356" i="21"/>
  <c r="D357" i="21"/>
  <c r="D358" i="21"/>
  <c r="D359" i="21"/>
  <c r="D360" i="21"/>
  <c r="D361" i="21"/>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D419" i="21"/>
  <c r="D420" i="21"/>
  <c r="D421" i="21"/>
  <c r="D422" i="21"/>
  <c r="D423" i="21"/>
  <c r="D424" i="21"/>
  <c r="D425" i="21"/>
  <c r="D426" i="21"/>
  <c r="D427" i="21"/>
  <c r="D428" i="21"/>
  <c r="D429" i="21"/>
  <c r="D430" i="21"/>
  <c r="D431" i="21"/>
  <c r="D432" i="21"/>
  <c r="D433" i="21"/>
  <c r="D434" i="21"/>
  <c r="D435" i="21"/>
  <c r="D436" i="21"/>
  <c r="D437" i="21"/>
  <c r="D438" i="21"/>
  <c r="D439" i="21"/>
  <c r="D440" i="21"/>
  <c r="D441" i="21"/>
  <c r="D442" i="21"/>
  <c r="D443" i="21"/>
  <c r="D444" i="21"/>
  <c r="D445" i="21"/>
  <c r="D446" i="21"/>
  <c r="D447" i="21"/>
  <c r="D448" i="21"/>
  <c r="D449" i="21"/>
  <c r="D450" i="21"/>
  <c r="D451" i="21"/>
  <c r="D452" i="21"/>
  <c r="D453" i="21"/>
  <c r="D454" i="21"/>
  <c r="D455" i="21"/>
  <c r="D456" i="21"/>
  <c r="D457" i="21"/>
  <c r="D458" i="21"/>
  <c r="D459" i="21"/>
  <c r="D460" i="21"/>
  <c r="D461" i="21"/>
  <c r="D462" i="21"/>
  <c r="D463" i="21"/>
  <c r="D464" i="21"/>
  <c r="D465" i="21"/>
  <c r="D466" i="21"/>
  <c r="D467" i="21"/>
  <c r="D468" i="21"/>
  <c r="D469" i="21"/>
  <c r="D470" i="21"/>
  <c r="D471" i="21"/>
  <c r="D472" i="21"/>
  <c r="D473" i="21"/>
  <c r="D474" i="21"/>
  <c r="D475" i="21"/>
  <c r="D476" i="21"/>
  <c r="D477" i="21"/>
  <c r="D478" i="21"/>
  <c r="D479" i="21"/>
  <c r="D480" i="21"/>
  <c r="D481" i="21"/>
  <c r="D482" i="21"/>
  <c r="D483" i="21"/>
  <c r="D484" i="21"/>
  <c r="D485" i="21"/>
  <c r="D486" i="21"/>
  <c r="D487" i="21"/>
  <c r="D488" i="21"/>
  <c r="D489" i="21"/>
  <c r="D490" i="21"/>
  <c r="D491" i="21"/>
  <c r="D492" i="21"/>
  <c r="D493" i="21"/>
  <c r="D494" i="21"/>
  <c r="D495" i="21"/>
  <c r="D496" i="21"/>
  <c r="D497" i="21"/>
  <c r="D498" i="21"/>
  <c r="D499" i="21"/>
  <c r="D500" i="21"/>
  <c r="D501" i="21"/>
  <c r="D502" i="21"/>
  <c r="D503" i="21"/>
  <c r="D504" i="21"/>
  <c r="D505" i="21"/>
  <c r="D506" i="21"/>
  <c r="D507" i="21"/>
  <c r="D508" i="21"/>
  <c r="D509" i="21"/>
  <c r="D510" i="21"/>
  <c r="D511" i="21"/>
  <c r="D512" i="21"/>
  <c r="D513" i="21"/>
  <c r="D514" i="21"/>
  <c r="D515" i="21"/>
  <c r="D516" i="21"/>
  <c r="D517" i="21"/>
  <c r="D518" i="21"/>
  <c r="D519" i="21"/>
  <c r="D520" i="21"/>
  <c r="D521" i="21"/>
  <c r="D522" i="21"/>
  <c r="D523" i="21"/>
  <c r="D524" i="21"/>
  <c r="D525" i="21"/>
  <c r="D526" i="21"/>
  <c r="D527" i="21"/>
  <c r="D528" i="21"/>
  <c r="D529" i="21"/>
  <c r="D530" i="21"/>
  <c r="D531" i="21"/>
  <c r="D532" i="21"/>
  <c r="D533" i="21"/>
  <c r="D534" i="21"/>
  <c r="D535" i="21"/>
  <c r="D536" i="21"/>
  <c r="D537" i="21"/>
  <c r="D538" i="21"/>
  <c r="D539" i="21"/>
  <c r="D540" i="21"/>
  <c r="D541" i="21"/>
  <c r="D542" i="21"/>
  <c r="D543" i="21"/>
  <c r="D544" i="21"/>
  <c r="D545" i="21"/>
  <c r="D546" i="21"/>
  <c r="D547" i="21"/>
  <c r="D548" i="21"/>
  <c r="D549" i="21"/>
  <c r="D550" i="21"/>
  <c r="D551" i="21"/>
  <c r="D552" i="21"/>
  <c r="D553" i="21"/>
  <c r="D554" i="21"/>
  <c r="D555" i="21"/>
  <c r="D556" i="21"/>
  <c r="D557" i="21"/>
  <c r="D558" i="21"/>
  <c r="D559" i="21"/>
  <c r="D560" i="21"/>
  <c r="D561" i="21"/>
  <c r="D562" i="21"/>
  <c r="D563" i="21"/>
  <c r="D564" i="21"/>
  <c r="D565" i="21"/>
  <c r="D566" i="21"/>
  <c r="D567" i="21"/>
  <c r="D568" i="21"/>
  <c r="D569" i="21"/>
  <c r="D570" i="21"/>
  <c r="D571" i="21"/>
  <c r="D572" i="21"/>
  <c r="D573" i="21"/>
  <c r="D574" i="21"/>
  <c r="D575" i="21"/>
  <c r="D576" i="21"/>
  <c r="D577" i="21"/>
  <c r="D578" i="21"/>
  <c r="D579" i="21"/>
  <c r="D580" i="21"/>
  <c r="D581" i="21"/>
  <c r="D582" i="21"/>
  <c r="D583" i="21"/>
  <c r="D584" i="21"/>
  <c r="D585" i="21"/>
  <c r="D586" i="21"/>
  <c r="D587" i="21"/>
  <c r="D588" i="21"/>
  <c r="D589" i="21"/>
  <c r="D590" i="21"/>
  <c r="D591" i="21"/>
  <c r="D592" i="21"/>
  <c r="D593" i="21"/>
  <c r="D594" i="21"/>
  <c r="D595" i="21"/>
  <c r="D596" i="21"/>
  <c r="D597" i="21"/>
  <c r="D598" i="21"/>
  <c r="D599" i="21"/>
  <c r="D600" i="21"/>
  <c r="D601" i="21"/>
  <c r="D602" i="21"/>
  <c r="D603" i="21"/>
  <c r="D604" i="21"/>
  <c r="D605" i="21"/>
  <c r="D606" i="21"/>
  <c r="D607" i="21"/>
  <c r="D608" i="21"/>
  <c r="D609" i="21"/>
  <c r="D610" i="21"/>
  <c r="D611" i="21"/>
  <c r="D612" i="21"/>
  <c r="D613" i="21"/>
  <c r="D614" i="21"/>
  <c r="D615" i="21"/>
  <c r="D616" i="21"/>
  <c r="D617" i="21"/>
  <c r="D618" i="21"/>
  <c r="D619" i="21"/>
  <c r="D620" i="21"/>
  <c r="D621" i="21"/>
  <c r="D622" i="21"/>
  <c r="D623" i="21"/>
  <c r="D624" i="21"/>
  <c r="D625" i="21"/>
  <c r="D626" i="21"/>
  <c r="D627" i="21"/>
  <c r="D628" i="21"/>
  <c r="D629" i="21"/>
  <c r="D630" i="21"/>
  <c r="D631" i="21"/>
  <c r="D632" i="21"/>
  <c r="D633" i="21"/>
  <c r="D634" i="21"/>
  <c r="D635" i="21"/>
  <c r="D636" i="21"/>
  <c r="D637" i="21"/>
  <c r="D638" i="21"/>
  <c r="D639" i="21"/>
  <c r="D640" i="21"/>
  <c r="D641" i="21"/>
  <c r="D642" i="21"/>
  <c r="D643" i="21"/>
  <c r="D644" i="21"/>
  <c r="D645" i="21"/>
  <c r="D646" i="21"/>
  <c r="D647" i="21"/>
  <c r="D648" i="21"/>
  <c r="D649" i="21"/>
  <c r="D650" i="21"/>
  <c r="D651" i="21"/>
  <c r="D652" i="21"/>
  <c r="D653" i="21"/>
  <c r="D654" i="21"/>
  <c r="D655" i="21"/>
  <c r="D656" i="21"/>
  <c r="D657" i="21"/>
  <c r="D658" i="21"/>
  <c r="D659" i="21"/>
  <c r="D660" i="21"/>
  <c r="D661" i="21"/>
  <c r="D662" i="21"/>
  <c r="D663" i="21"/>
  <c r="D664" i="21"/>
  <c r="D665" i="21"/>
  <c r="D666" i="21"/>
  <c r="D667" i="21"/>
  <c r="D668" i="21"/>
  <c r="D669" i="21"/>
  <c r="D670" i="21"/>
  <c r="D671" i="21"/>
  <c r="D672" i="21"/>
  <c r="D673" i="21"/>
  <c r="D674" i="21"/>
  <c r="D675" i="21"/>
  <c r="D676" i="21"/>
  <c r="D677" i="21"/>
  <c r="D678" i="21"/>
  <c r="D679" i="21"/>
  <c r="D680" i="21"/>
  <c r="D681" i="21"/>
  <c r="D682" i="21"/>
  <c r="D683" i="21"/>
  <c r="D684" i="21"/>
  <c r="D685" i="21"/>
  <c r="D686" i="21"/>
  <c r="D687" i="21"/>
  <c r="D688" i="21"/>
  <c r="D689" i="21"/>
  <c r="D690" i="21"/>
  <c r="D691" i="21"/>
  <c r="D692" i="21"/>
  <c r="D693" i="21"/>
  <c r="D694" i="21"/>
  <c r="D695" i="21"/>
  <c r="D696" i="21"/>
  <c r="D697" i="21"/>
  <c r="D698" i="21"/>
  <c r="D699" i="21"/>
  <c r="D700" i="21"/>
  <c r="D701" i="21"/>
  <c r="D702" i="21"/>
  <c r="D703" i="21"/>
  <c r="D704" i="21"/>
  <c r="D705" i="21"/>
  <c r="D706" i="21"/>
  <c r="D707" i="21"/>
  <c r="D708" i="21"/>
  <c r="D709" i="21"/>
  <c r="D710" i="21"/>
  <c r="D711" i="21"/>
  <c r="D712" i="21"/>
  <c r="D713" i="21"/>
  <c r="D714" i="21"/>
  <c r="D715" i="21"/>
  <c r="D716" i="21"/>
  <c r="D717" i="21"/>
  <c r="D718" i="21"/>
  <c r="D719" i="21"/>
  <c r="D720" i="21"/>
  <c r="D721" i="21"/>
  <c r="D722" i="21"/>
  <c r="D723" i="21"/>
  <c r="D724" i="21"/>
  <c r="D725" i="21"/>
  <c r="D726" i="21"/>
  <c r="D727" i="21"/>
  <c r="D728" i="21"/>
  <c r="D729" i="21"/>
  <c r="D730" i="21"/>
  <c r="D731" i="21"/>
  <c r="D732" i="21"/>
  <c r="D733" i="21"/>
  <c r="D734" i="21"/>
  <c r="D735" i="21"/>
  <c r="D736" i="21"/>
  <c r="D737" i="21"/>
  <c r="D738" i="21"/>
  <c r="D739" i="21"/>
  <c r="D740" i="21"/>
  <c r="D741" i="21"/>
  <c r="D742" i="21"/>
  <c r="D743" i="21"/>
  <c r="D744" i="21"/>
  <c r="D745" i="21"/>
  <c r="D746" i="21"/>
  <c r="D747" i="21"/>
  <c r="D748" i="21"/>
  <c r="D749" i="21"/>
  <c r="D750" i="21"/>
  <c r="D751" i="21"/>
  <c r="D752" i="21"/>
  <c r="D753" i="21"/>
  <c r="D754" i="21"/>
  <c r="D755" i="21"/>
  <c r="D756" i="21"/>
  <c r="D757" i="21"/>
  <c r="D758" i="21"/>
  <c r="D759" i="21"/>
  <c r="D760" i="21"/>
  <c r="D761" i="21"/>
  <c r="D762" i="21"/>
  <c r="D763" i="21"/>
  <c r="D764" i="21"/>
  <c r="D765" i="21"/>
  <c r="D766" i="21"/>
  <c r="D767" i="21"/>
  <c r="D768" i="21"/>
  <c r="D769" i="21"/>
  <c r="D770" i="21"/>
  <c r="D771" i="21"/>
  <c r="D772" i="21"/>
  <c r="D773" i="21"/>
  <c r="D774" i="21"/>
  <c r="D775" i="21"/>
  <c r="D776" i="21"/>
  <c r="D777" i="21"/>
  <c r="D778" i="21"/>
  <c r="D779" i="21"/>
  <c r="D780" i="21"/>
  <c r="D781" i="21"/>
  <c r="D782" i="21"/>
  <c r="D783" i="21"/>
  <c r="D784" i="21"/>
  <c r="D785" i="21"/>
  <c r="D786" i="21"/>
  <c r="D787" i="21"/>
  <c r="D788" i="21"/>
  <c r="D789" i="21"/>
  <c r="D790" i="21"/>
  <c r="D791" i="21"/>
  <c r="D792" i="21"/>
  <c r="D793" i="21"/>
  <c r="D794" i="21"/>
  <c r="D795" i="21"/>
  <c r="D796" i="21"/>
  <c r="D797" i="21"/>
  <c r="D798" i="21"/>
  <c r="D799" i="21"/>
  <c r="D800" i="21"/>
  <c r="D801" i="21"/>
  <c r="D802" i="21"/>
  <c r="D803" i="21"/>
  <c r="D804" i="21"/>
  <c r="D805" i="21"/>
  <c r="D806" i="21"/>
  <c r="D807" i="21"/>
  <c r="D808" i="21"/>
  <c r="D809" i="21"/>
  <c r="D810" i="21"/>
  <c r="D811" i="21"/>
  <c r="D812" i="21"/>
  <c r="D813" i="21"/>
  <c r="D814" i="21"/>
  <c r="D815" i="21"/>
  <c r="D816" i="21"/>
  <c r="D817" i="21"/>
  <c r="D818" i="21"/>
  <c r="D819" i="21"/>
  <c r="D820" i="21"/>
  <c r="D821" i="21"/>
  <c r="D822" i="21"/>
  <c r="D823" i="21"/>
  <c r="D824" i="21"/>
  <c r="D825" i="21"/>
  <c r="D826" i="21"/>
  <c r="D827" i="21"/>
  <c r="D828" i="21"/>
  <c r="D829" i="21"/>
  <c r="D830" i="21"/>
  <c r="D831" i="21"/>
  <c r="D832" i="21"/>
  <c r="D833" i="21"/>
  <c r="D834" i="21"/>
  <c r="D835" i="21"/>
  <c r="D836" i="21"/>
  <c r="D837" i="21"/>
  <c r="D838" i="21"/>
  <c r="D839" i="21"/>
  <c r="D840" i="21"/>
  <c r="D841" i="21"/>
  <c r="D842" i="21"/>
  <c r="D843" i="21"/>
  <c r="D844" i="21"/>
  <c r="D845" i="21"/>
  <c r="D846" i="21"/>
  <c r="D847" i="21"/>
  <c r="D848" i="21"/>
  <c r="D849" i="21"/>
  <c r="D850" i="21"/>
  <c r="D851" i="21"/>
  <c r="D852" i="21"/>
  <c r="D853" i="21"/>
  <c r="D854" i="21"/>
  <c r="D855" i="21"/>
  <c r="D856" i="21"/>
  <c r="D857" i="21"/>
  <c r="D858" i="21"/>
  <c r="D859" i="21"/>
  <c r="D860" i="21"/>
  <c r="D861" i="21"/>
  <c r="D862" i="21"/>
  <c r="D863" i="21"/>
  <c r="D864" i="21"/>
  <c r="D865" i="21"/>
  <c r="D866" i="21"/>
  <c r="D867" i="21"/>
  <c r="D868" i="21"/>
  <c r="D869" i="21"/>
  <c r="D870" i="21"/>
  <c r="D871" i="21"/>
  <c r="D872" i="21"/>
  <c r="D873" i="21"/>
  <c r="D874" i="21"/>
  <c r="D875" i="21"/>
  <c r="D876" i="21"/>
  <c r="D877" i="21"/>
  <c r="D878" i="21"/>
  <c r="D879" i="21"/>
  <c r="D880" i="21"/>
  <c r="D881" i="21"/>
  <c r="D882" i="21"/>
  <c r="D883" i="21"/>
  <c r="D884" i="21"/>
  <c r="D885" i="21"/>
  <c r="D886" i="21"/>
  <c r="D887" i="21"/>
  <c r="D888" i="21"/>
  <c r="D889" i="21"/>
  <c r="D890" i="21"/>
  <c r="D891" i="21"/>
  <c r="D892" i="21"/>
  <c r="D893" i="21"/>
  <c r="D894" i="21"/>
  <c r="D895" i="21"/>
  <c r="D896" i="21"/>
  <c r="D897" i="21"/>
  <c r="D898" i="21"/>
  <c r="D899" i="21"/>
  <c r="D900" i="21"/>
  <c r="D901" i="21"/>
  <c r="D902" i="21"/>
  <c r="D903" i="21"/>
  <c r="D904" i="21"/>
  <c r="D905" i="21"/>
  <c r="D906" i="21"/>
  <c r="D907" i="21"/>
  <c r="D908" i="21"/>
  <c r="D909" i="21"/>
  <c r="D910" i="21"/>
  <c r="D911" i="21"/>
  <c r="D912" i="21"/>
  <c r="D913" i="21"/>
  <c r="D914" i="21"/>
  <c r="D915" i="21"/>
  <c r="D916" i="21"/>
  <c r="D917" i="21"/>
  <c r="D918" i="21"/>
  <c r="D919" i="21"/>
  <c r="D920" i="21"/>
  <c r="D921" i="21"/>
  <c r="D922" i="21"/>
  <c r="D923" i="21"/>
  <c r="D924" i="21"/>
  <c r="D925" i="21"/>
  <c r="D926" i="21"/>
  <c r="D927" i="21"/>
  <c r="D928" i="21"/>
  <c r="D929" i="21"/>
  <c r="D930" i="21"/>
  <c r="D931" i="21"/>
  <c r="D932" i="21"/>
  <c r="D933" i="21"/>
  <c r="D934" i="21"/>
  <c r="D935" i="21"/>
  <c r="D936" i="21"/>
  <c r="D937" i="21"/>
  <c r="D938" i="21"/>
  <c r="D939" i="21"/>
  <c r="D940" i="21"/>
  <c r="D941" i="21"/>
  <c r="D942" i="21"/>
  <c r="D943" i="21"/>
  <c r="D944" i="21"/>
  <c r="D945" i="21"/>
  <c r="D946" i="21"/>
  <c r="D947" i="21"/>
  <c r="D948" i="21"/>
  <c r="D949" i="21"/>
  <c r="D950" i="21"/>
  <c r="D951" i="21"/>
  <c r="D952" i="21"/>
  <c r="D953" i="21"/>
  <c r="D954" i="21"/>
  <c r="D955" i="21"/>
  <c r="D956" i="21"/>
  <c r="D957" i="21"/>
  <c r="D958" i="21"/>
  <c r="D959" i="21"/>
  <c r="D960" i="21"/>
  <c r="D961" i="21"/>
  <c r="D962" i="21"/>
  <c r="D963" i="21"/>
  <c r="D964" i="21"/>
  <c r="D965" i="21"/>
  <c r="D966" i="21"/>
  <c r="D967" i="21"/>
  <c r="D968" i="21"/>
  <c r="D969" i="21"/>
  <c r="D970" i="21"/>
  <c r="D971" i="21"/>
  <c r="D972" i="21"/>
  <c r="D973" i="21"/>
  <c r="D974" i="21"/>
  <c r="D975" i="21"/>
  <c r="D976" i="21"/>
  <c r="D977" i="21"/>
  <c r="D978" i="21"/>
  <c r="D979" i="21"/>
  <c r="D980" i="21"/>
  <c r="D981" i="21"/>
  <c r="D982" i="21"/>
  <c r="D983" i="21"/>
  <c r="D984" i="21"/>
  <c r="D985" i="21"/>
  <c r="D986" i="21"/>
  <c r="D987" i="21"/>
  <c r="D988" i="21"/>
  <c r="D989" i="21"/>
  <c r="D990" i="21"/>
  <c r="D991" i="21"/>
  <c r="D992" i="21"/>
  <c r="D993" i="21"/>
  <c r="D994" i="21"/>
  <c r="D995" i="21"/>
  <c r="D996" i="21"/>
  <c r="D997" i="21"/>
  <c r="D998" i="21"/>
  <c r="D999" i="21"/>
  <c r="D1000" i="21"/>
  <c r="D1001" i="21"/>
  <c r="D1002" i="21"/>
  <c r="D1003" i="21"/>
  <c r="D1004" i="21"/>
  <c r="D1005" i="21"/>
  <c r="D1006" i="21"/>
  <c r="D1007" i="21"/>
  <c r="D1008" i="21"/>
  <c r="D1009" i="21"/>
  <c r="D1010" i="21"/>
  <c r="D1011" i="21"/>
  <c r="D1012" i="21"/>
  <c r="D1013" i="21"/>
  <c r="D1014" i="21"/>
  <c r="D1015" i="21"/>
  <c r="D1016" i="21"/>
  <c r="D1017" i="21"/>
  <c r="D1018" i="21"/>
  <c r="D1019" i="21"/>
  <c r="D1020" i="21"/>
  <c r="D1021" i="21"/>
  <c r="D1022" i="21"/>
  <c r="D1023" i="21"/>
  <c r="D1024" i="21"/>
  <c r="D1025" i="21"/>
  <c r="D1026" i="21"/>
  <c r="D1027" i="21"/>
  <c r="D1028" i="21"/>
  <c r="D1029" i="21"/>
  <c r="D1030" i="21"/>
  <c r="D1031" i="21"/>
  <c r="D1032" i="21"/>
  <c r="D1033" i="21"/>
  <c r="D1034" i="21"/>
  <c r="D1035" i="21"/>
  <c r="D1036" i="21"/>
  <c r="D1037" i="21"/>
  <c r="D1038" i="21"/>
  <c r="D1039" i="21"/>
  <c r="D1040" i="21"/>
  <c r="D1041" i="21"/>
  <c r="D1042" i="21"/>
  <c r="D1043" i="21"/>
  <c r="D1044" i="21"/>
  <c r="D1045" i="21"/>
  <c r="D1046" i="21"/>
  <c r="D1047" i="21"/>
  <c r="D1048" i="21"/>
  <c r="D1049" i="21"/>
  <c r="D1050" i="21"/>
  <c r="D1051" i="21"/>
  <c r="D1052" i="21"/>
  <c r="D1053" i="21"/>
  <c r="D1054" i="21"/>
  <c r="D1055" i="21"/>
  <c r="D1056" i="21"/>
  <c r="D1057" i="21"/>
  <c r="D1058" i="21"/>
  <c r="D1059" i="21"/>
  <c r="D1060" i="21"/>
  <c r="D1061" i="21"/>
  <c r="D1062" i="21"/>
  <c r="D1063" i="21"/>
  <c r="D1064" i="21"/>
  <c r="D1065" i="21"/>
  <c r="D1066" i="21"/>
  <c r="D1067" i="21"/>
  <c r="D1068" i="21"/>
  <c r="D1069" i="21"/>
  <c r="D1070" i="21"/>
  <c r="D1071" i="21"/>
  <c r="D1072" i="21"/>
  <c r="D1073" i="21"/>
  <c r="D1074" i="21"/>
  <c r="D1075" i="21"/>
  <c r="D1076" i="21"/>
  <c r="D1077" i="21"/>
  <c r="D1078" i="21"/>
  <c r="D1079" i="21"/>
  <c r="D1080" i="21"/>
  <c r="D1081" i="21"/>
  <c r="D1082" i="21"/>
  <c r="D1083" i="21"/>
  <c r="D1084" i="21"/>
  <c r="D1085" i="21"/>
  <c r="D1086" i="21"/>
  <c r="D1087" i="21"/>
  <c r="D1088" i="21"/>
  <c r="D1089" i="21"/>
  <c r="D1090" i="21"/>
  <c r="D1091" i="21"/>
  <c r="D1092" i="21"/>
  <c r="D1093" i="21"/>
  <c r="D1094" i="21"/>
  <c r="D1095" i="21"/>
  <c r="D1096" i="21"/>
  <c r="D1097" i="21"/>
  <c r="D1098" i="21"/>
  <c r="D1099" i="21"/>
  <c r="D1100" i="21"/>
  <c r="D1101" i="21"/>
  <c r="D1102" i="21"/>
  <c r="D1103" i="21"/>
  <c r="D1104" i="21"/>
  <c r="D1105" i="21"/>
  <c r="D1106" i="21"/>
  <c r="D1107" i="21"/>
  <c r="D1108" i="21"/>
  <c r="D1109" i="21"/>
  <c r="D1110" i="21"/>
  <c r="D1111" i="21"/>
  <c r="D1112" i="21"/>
  <c r="D1113" i="21"/>
  <c r="D1114" i="21"/>
  <c r="D1115" i="21"/>
  <c r="D1116" i="21"/>
  <c r="D1117" i="21"/>
  <c r="D1118" i="21"/>
  <c r="D1119" i="21"/>
  <c r="D1120" i="21"/>
  <c r="D1121" i="21"/>
  <c r="D1122" i="21"/>
  <c r="D1123" i="21"/>
  <c r="D1124" i="21"/>
  <c r="D1125" i="21"/>
  <c r="D1126" i="21"/>
  <c r="D1127" i="21"/>
  <c r="D1128" i="21"/>
  <c r="D1129" i="21"/>
  <c r="D1130" i="21"/>
  <c r="D1131" i="21"/>
  <c r="D1132" i="21"/>
  <c r="D1133" i="21"/>
  <c r="D1134" i="21"/>
  <c r="D1135" i="21"/>
  <c r="D1136" i="21"/>
  <c r="D1137" i="21"/>
  <c r="D1138" i="21"/>
  <c r="D1139" i="21"/>
  <c r="D1140" i="21"/>
  <c r="D1141" i="21"/>
  <c r="D1142" i="21"/>
  <c r="D1143" i="21"/>
  <c r="D1144" i="21"/>
  <c r="D1145" i="21"/>
  <c r="D1146" i="21"/>
  <c r="D1147" i="21"/>
  <c r="D1148" i="21"/>
  <c r="D1149" i="21"/>
  <c r="D1150" i="21"/>
  <c r="D1151" i="21"/>
  <c r="D1152" i="21"/>
  <c r="D1153" i="21"/>
  <c r="D1154" i="21"/>
  <c r="D1155" i="21"/>
  <c r="D1156" i="21"/>
  <c r="D1157" i="21"/>
  <c r="D1158" i="21"/>
  <c r="D1159" i="21"/>
  <c r="D1160" i="21"/>
  <c r="D1161" i="21"/>
  <c r="D1162" i="21"/>
  <c r="D1163" i="21"/>
  <c r="D1164" i="21"/>
  <c r="D1165" i="21"/>
  <c r="D1166" i="21"/>
  <c r="D1167" i="21"/>
  <c r="D1168" i="21"/>
  <c r="D1169" i="21"/>
  <c r="D1170" i="21"/>
  <c r="D1171" i="21"/>
  <c r="D1172" i="21"/>
  <c r="D1173" i="21"/>
  <c r="D1174" i="21"/>
  <c r="D1175" i="21"/>
  <c r="D1176" i="21"/>
  <c r="D1177" i="21"/>
  <c r="D1178" i="21"/>
  <c r="D1179" i="21"/>
  <c r="D1180" i="21"/>
  <c r="D1181" i="21"/>
  <c r="D1182" i="21"/>
  <c r="D1183" i="21"/>
  <c r="D1184" i="21"/>
  <c r="D1185" i="21"/>
  <c r="D1186" i="21"/>
  <c r="D1187" i="21"/>
  <c r="D1188" i="21"/>
  <c r="D1189" i="21"/>
  <c r="D1190" i="21"/>
  <c r="D1191" i="21"/>
  <c r="D1192" i="21"/>
  <c r="D1193" i="21"/>
  <c r="D1194" i="21"/>
  <c r="D1195" i="21"/>
  <c r="D1196" i="21"/>
  <c r="D1197" i="21"/>
  <c r="D1198" i="21"/>
  <c r="D1199" i="21"/>
  <c r="D1200" i="21"/>
  <c r="D1201" i="21"/>
  <c r="D1202" i="21"/>
  <c r="D1203" i="21"/>
  <c r="D1204" i="21"/>
  <c r="D1205" i="21"/>
  <c r="D1206" i="21"/>
  <c r="D1207" i="21"/>
  <c r="D1208" i="21"/>
  <c r="D1209" i="21"/>
  <c r="D1210" i="21"/>
  <c r="D1211" i="21"/>
  <c r="D1212" i="21"/>
  <c r="D1213" i="21"/>
  <c r="D1214" i="21"/>
  <c r="D1215" i="21"/>
  <c r="D1216" i="21"/>
  <c r="D1217" i="21"/>
  <c r="D1218" i="21"/>
  <c r="D1219" i="21"/>
  <c r="D1220" i="21"/>
  <c r="D1221" i="21"/>
  <c r="D1222" i="21"/>
  <c r="D1223" i="21"/>
  <c r="D1224" i="21"/>
  <c r="D1225" i="21"/>
  <c r="D1226" i="21"/>
  <c r="D1227" i="21"/>
  <c r="D1228" i="21"/>
  <c r="D1229" i="21"/>
  <c r="D1230" i="21"/>
  <c r="D1231" i="21"/>
  <c r="D1232" i="21"/>
  <c r="D1233" i="21"/>
  <c r="D1234" i="21"/>
  <c r="D1235" i="21"/>
  <c r="D1236" i="21"/>
  <c r="D1237" i="21"/>
  <c r="D1238" i="21"/>
  <c r="D1239" i="21"/>
  <c r="D1240" i="21"/>
  <c r="D1241" i="21"/>
  <c r="D1242" i="21"/>
  <c r="D1243" i="21"/>
  <c r="D1244" i="21"/>
  <c r="D1245" i="21"/>
  <c r="D1246" i="21"/>
  <c r="D1247" i="21"/>
  <c r="D1248" i="21"/>
  <c r="D1249" i="21"/>
  <c r="D1250" i="21"/>
  <c r="D1251" i="21"/>
  <c r="D1252" i="21"/>
  <c r="D1253" i="21"/>
  <c r="D1254" i="21"/>
  <c r="D1255" i="21"/>
  <c r="D1256" i="21"/>
  <c r="D1257" i="21"/>
  <c r="D1258" i="21"/>
  <c r="D1259" i="21"/>
  <c r="D1260" i="21"/>
  <c r="D1261" i="21"/>
  <c r="D1262" i="21"/>
  <c r="D1263" i="21"/>
  <c r="D1264" i="21"/>
  <c r="D1265" i="21"/>
  <c r="D1266" i="21"/>
  <c r="D1267" i="21"/>
  <c r="D1268" i="21"/>
  <c r="D1269" i="21"/>
  <c r="D1270" i="21"/>
  <c r="D1271" i="21"/>
  <c r="D1272" i="21"/>
  <c r="D1273" i="21"/>
  <c r="D1274" i="21"/>
  <c r="D1275" i="21"/>
  <c r="D1276" i="21"/>
  <c r="D1277" i="21"/>
  <c r="D1278" i="21"/>
  <c r="D1279" i="21"/>
  <c r="D1280" i="21"/>
  <c r="D1281" i="21"/>
  <c r="D1282" i="21"/>
  <c r="D1283" i="21"/>
  <c r="D1284" i="21"/>
  <c r="D1285" i="21"/>
  <c r="D1286" i="21"/>
  <c r="D1287" i="21"/>
  <c r="D1288" i="21"/>
  <c r="D1289" i="21"/>
  <c r="D1290" i="21"/>
  <c r="D1291" i="21"/>
  <c r="D1292" i="21"/>
  <c r="D1293" i="21"/>
  <c r="D1294" i="21"/>
  <c r="D1295" i="21"/>
  <c r="D1296" i="21"/>
  <c r="D1297" i="21"/>
  <c r="D1298" i="21"/>
  <c r="D1299" i="21"/>
  <c r="D1300" i="21"/>
  <c r="D1301" i="21"/>
  <c r="D1302" i="21"/>
  <c r="D1303" i="21"/>
  <c r="D1304" i="21"/>
  <c r="D1305" i="21"/>
  <c r="D1306" i="21"/>
  <c r="D1307" i="21"/>
  <c r="D1308" i="21"/>
  <c r="D1309" i="21"/>
  <c r="D1310" i="21"/>
  <c r="D1311" i="21"/>
  <c r="D1312" i="21"/>
  <c r="D1313" i="21"/>
  <c r="D1314" i="21"/>
  <c r="D1315" i="21"/>
  <c r="D1316" i="21"/>
  <c r="D1317" i="21"/>
  <c r="D1318" i="21"/>
  <c r="D1319" i="21"/>
  <c r="D1320" i="21"/>
  <c r="D1321" i="21"/>
  <c r="D1322" i="21"/>
  <c r="D1323" i="21"/>
  <c r="D1324" i="21"/>
  <c r="D1325" i="21"/>
  <c r="D1326" i="21"/>
  <c r="D1327" i="21"/>
  <c r="D1328" i="21"/>
  <c r="D1329" i="21"/>
  <c r="D1330" i="21"/>
  <c r="D1331" i="21"/>
  <c r="D1332" i="21"/>
  <c r="D1333" i="21"/>
  <c r="D1334" i="21"/>
  <c r="D1335" i="21"/>
  <c r="D1336" i="21"/>
  <c r="D1337" i="21"/>
  <c r="D1338" i="21"/>
  <c r="D1339" i="21"/>
  <c r="D1340" i="21"/>
  <c r="D1341" i="21"/>
  <c r="D1342" i="21"/>
  <c r="D1343" i="21"/>
  <c r="D1344" i="21"/>
  <c r="D1345" i="21"/>
  <c r="D1346" i="21"/>
  <c r="D1347" i="21"/>
  <c r="D1348" i="21"/>
  <c r="D1349" i="21"/>
  <c r="D1350" i="21"/>
  <c r="D1351" i="21"/>
  <c r="D1352" i="21"/>
  <c r="D1353" i="21"/>
  <c r="D1354" i="21"/>
  <c r="D1355" i="21"/>
  <c r="D1356" i="21"/>
  <c r="D1357" i="21"/>
  <c r="D1358" i="21"/>
  <c r="D1359" i="21"/>
  <c r="D1360" i="21"/>
  <c r="D1361" i="21"/>
  <c r="D1362" i="21"/>
  <c r="D1363" i="21"/>
  <c r="D1364" i="21"/>
  <c r="D1365" i="21"/>
  <c r="D1366" i="21"/>
  <c r="D1367" i="21"/>
  <c r="D1368" i="21"/>
  <c r="D1369" i="21"/>
  <c r="D1370" i="21"/>
  <c r="D1371" i="21"/>
  <c r="D1372" i="21"/>
  <c r="D1373" i="21"/>
  <c r="D1374" i="21"/>
  <c r="D1375" i="21"/>
  <c r="D1376" i="21"/>
  <c r="D1377" i="21"/>
  <c r="D1378" i="21"/>
  <c r="D1379" i="21"/>
  <c r="D1380" i="21"/>
  <c r="D1381" i="21"/>
  <c r="D1382" i="21"/>
  <c r="D1383" i="21"/>
  <c r="D1384" i="21"/>
  <c r="D1385" i="21"/>
  <c r="D1386" i="21"/>
  <c r="D1387" i="21"/>
  <c r="D1388" i="21"/>
  <c r="D1389" i="21"/>
  <c r="D1390" i="21"/>
  <c r="D1391" i="21"/>
  <c r="D1392" i="21"/>
  <c r="D1393" i="21"/>
  <c r="D1394" i="21"/>
  <c r="D1395" i="21"/>
  <c r="D1396" i="21"/>
  <c r="D1397" i="21"/>
  <c r="D1398" i="21"/>
  <c r="D1399" i="21"/>
  <c r="D1400" i="21"/>
  <c r="D1401" i="21"/>
  <c r="D1402" i="21"/>
  <c r="D1403" i="21"/>
  <c r="D1404" i="21"/>
  <c r="D1405" i="21"/>
  <c r="D1406" i="21"/>
  <c r="D1407" i="21"/>
  <c r="D1408" i="21"/>
  <c r="D1409" i="21"/>
  <c r="D1410" i="21"/>
  <c r="D1411" i="21"/>
  <c r="D1412" i="21"/>
  <c r="D1413" i="21"/>
  <c r="D1414" i="21"/>
  <c r="D1415" i="21"/>
  <c r="D1416" i="21"/>
  <c r="D1417" i="21"/>
  <c r="D1418" i="21"/>
  <c r="D1419" i="21"/>
  <c r="D1420" i="21"/>
  <c r="D1421" i="21"/>
  <c r="D1422" i="21"/>
  <c r="D1423" i="21"/>
  <c r="D1424" i="21"/>
  <c r="D1425" i="21"/>
  <c r="D1426" i="21"/>
  <c r="D1427" i="21"/>
  <c r="D1428" i="21"/>
  <c r="D1429" i="21"/>
  <c r="D1430" i="21"/>
  <c r="D1431" i="21"/>
  <c r="D1432" i="21"/>
  <c r="D1433" i="21"/>
  <c r="D1434" i="21"/>
  <c r="D1435" i="21"/>
  <c r="D1436" i="21"/>
  <c r="D1437" i="21"/>
  <c r="D1438" i="21"/>
  <c r="D1439" i="21"/>
  <c r="D1440" i="21"/>
  <c r="D1441" i="21"/>
  <c r="D1442" i="21"/>
  <c r="D1443" i="21"/>
  <c r="D1444" i="21"/>
  <c r="D1445" i="21"/>
  <c r="D1446" i="21"/>
  <c r="D1447" i="21"/>
  <c r="D1448" i="21"/>
  <c r="D1449" i="21"/>
  <c r="D1450" i="21"/>
  <c r="D1451" i="21"/>
  <c r="D1452" i="21"/>
  <c r="D1453" i="21"/>
  <c r="D1454" i="21"/>
  <c r="D1455" i="21"/>
  <c r="D1456" i="21"/>
  <c r="D1457" i="21"/>
  <c r="D1458" i="21"/>
  <c r="D1459" i="21"/>
  <c r="D1460" i="21"/>
  <c r="D1461" i="21"/>
  <c r="D1462" i="21"/>
  <c r="D1463" i="21"/>
  <c r="D1464" i="21"/>
  <c r="D1465" i="21"/>
  <c r="D1466" i="21"/>
  <c r="D1467" i="21"/>
  <c r="D1468" i="21"/>
  <c r="D1469" i="21"/>
  <c r="D1470" i="21"/>
  <c r="D1471" i="21"/>
  <c r="D1472" i="21"/>
  <c r="D1473" i="21"/>
  <c r="D1474" i="21"/>
  <c r="D1475" i="21"/>
  <c r="D1476" i="21"/>
  <c r="D1477" i="21"/>
  <c r="D1478" i="21"/>
  <c r="D1479" i="21"/>
  <c r="D1480" i="21"/>
  <c r="D1481" i="21"/>
  <c r="D1482" i="21"/>
  <c r="D1483" i="21"/>
  <c r="D1484" i="21"/>
  <c r="D1485" i="21"/>
  <c r="D1486" i="21"/>
  <c r="D1487" i="21"/>
  <c r="D1488" i="21"/>
  <c r="D1489" i="21"/>
  <c r="D1490" i="21"/>
  <c r="D1491" i="21"/>
  <c r="D1492" i="21"/>
  <c r="D1493" i="21"/>
  <c r="D1494" i="21"/>
  <c r="D1495" i="21"/>
  <c r="D1496" i="21"/>
  <c r="D1497" i="21"/>
  <c r="D1498" i="21"/>
  <c r="D1499" i="21"/>
  <c r="D1500" i="21"/>
  <c r="D1501" i="21"/>
  <c r="D1502" i="21"/>
  <c r="D1503" i="21"/>
  <c r="D1504" i="21"/>
  <c r="D1505" i="21"/>
  <c r="D1506" i="21"/>
  <c r="D1507" i="21"/>
  <c r="D1508" i="21"/>
  <c r="D1509" i="21"/>
  <c r="D1510" i="21"/>
  <c r="D1511" i="21"/>
  <c r="D1512" i="21"/>
  <c r="D4" i="21"/>
  <c r="A4" i="21" l="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A55" i="21"/>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A85" i="21"/>
  <c r="A86" i="21"/>
  <c r="A87" i="21"/>
  <c r="A88" i="21"/>
  <c r="A89" i="21"/>
  <c r="A90" i="21"/>
  <c r="A91" i="21"/>
  <c r="A92" i="21"/>
  <c r="A93" i="21"/>
  <c r="A94" i="21"/>
  <c r="A95" i="21"/>
  <c r="A96" i="21"/>
  <c r="A97" i="21"/>
  <c r="A98" i="21"/>
  <c r="A99" i="21"/>
  <c r="A100" i="21"/>
  <c r="A101" i="21"/>
  <c r="A102" i="21"/>
  <c r="A103" i="21"/>
  <c r="A104" i="21"/>
  <c r="A105" i="21"/>
  <c r="A106" i="21"/>
  <c r="A107" i="21"/>
  <c r="A108" i="21"/>
  <c r="A109" i="21"/>
  <c r="A110" i="21"/>
  <c r="A111" i="21"/>
  <c r="A112" i="21"/>
  <c r="A113" i="21"/>
  <c r="A114" i="21"/>
  <c r="A115" i="21"/>
  <c r="A116" i="21"/>
  <c r="A117" i="21"/>
  <c r="A118" i="21"/>
  <c r="A119" i="21"/>
  <c r="A120" i="21"/>
  <c r="A121" i="21"/>
  <c r="A122" i="21"/>
  <c r="A123" i="21"/>
  <c r="A124" i="21"/>
  <c r="A125" i="21"/>
  <c r="A126" i="21"/>
  <c r="A127" i="21"/>
  <c r="A128" i="21"/>
  <c r="A129" i="21"/>
  <c r="A130" i="21"/>
  <c r="A131" i="21"/>
  <c r="A132" i="21"/>
  <c r="A133" i="21"/>
  <c r="A134" i="21"/>
  <c r="A135" i="21"/>
  <c r="A136" i="21"/>
  <c r="A137" i="21"/>
  <c r="A138" i="21"/>
  <c r="A139" i="21"/>
  <c r="A140" i="21"/>
  <c r="A141" i="21"/>
  <c r="A142" i="21"/>
  <c r="A143" i="21"/>
  <c r="A144" i="21"/>
  <c r="A145" i="21"/>
  <c r="A146" i="21"/>
  <c r="A147" i="21"/>
  <c r="A148" i="21"/>
  <c r="A149" i="21"/>
  <c r="A150" i="21"/>
  <c r="A151" i="21"/>
  <c r="A152" i="21"/>
  <c r="A153" i="21"/>
  <c r="A154" i="21"/>
  <c r="A155" i="21"/>
  <c r="A156" i="21"/>
  <c r="A157" i="21"/>
  <c r="A158" i="21"/>
  <c r="A159" i="21"/>
  <c r="A160" i="21"/>
  <c r="A161" i="21"/>
  <c r="A162" i="21"/>
  <c r="A163" i="21"/>
  <c r="A164" i="21"/>
  <c r="A165" i="21"/>
  <c r="A166" i="21"/>
  <c r="A167" i="21"/>
  <c r="A168" i="21"/>
  <c r="A169" i="21"/>
  <c r="A170" i="21"/>
  <c r="A171" i="21"/>
  <c r="A172" i="21"/>
  <c r="A173" i="21"/>
  <c r="A174" i="21"/>
  <c r="A175" i="21"/>
  <c r="A176" i="21"/>
  <c r="A177" i="21"/>
  <c r="A178" i="21"/>
  <c r="A179" i="21"/>
  <c r="A180" i="21"/>
  <c r="A181" i="21"/>
  <c r="A182" i="21"/>
  <c r="A183" i="21"/>
  <c r="A184" i="21"/>
  <c r="A185" i="21"/>
  <c r="A186" i="21"/>
  <c r="A187" i="21"/>
  <c r="A188" i="21"/>
  <c r="A189" i="21"/>
  <c r="A190" i="21"/>
  <c r="A191" i="21"/>
  <c r="A192" i="21"/>
  <c r="A193" i="21"/>
  <c r="A194" i="21"/>
  <c r="A195" i="21"/>
  <c r="A196" i="21"/>
  <c r="A197" i="21"/>
  <c r="A198" i="21"/>
  <c r="A199" i="21"/>
  <c r="A200" i="21"/>
  <c r="A201" i="21"/>
  <c r="A202" i="21"/>
  <c r="A203" i="21"/>
  <c r="A204" i="21"/>
  <c r="A205" i="21"/>
  <c r="A206" i="21"/>
  <c r="A207" i="21"/>
  <c r="A208" i="21"/>
  <c r="A209" i="21"/>
  <c r="A210" i="21"/>
  <c r="A211" i="21"/>
  <c r="A212" i="21"/>
  <c r="A213" i="21"/>
  <c r="A214" i="21"/>
  <c r="A215" i="21"/>
  <c r="A216" i="21"/>
  <c r="A217" i="21"/>
  <c r="A218" i="21"/>
  <c r="A219" i="21"/>
  <c r="A220" i="21"/>
  <c r="A221" i="21"/>
  <c r="A222" i="21"/>
  <c r="A223" i="21"/>
  <c r="A224" i="21"/>
  <c r="A225" i="21"/>
  <c r="A226" i="21"/>
  <c r="A227" i="21"/>
  <c r="A228" i="21"/>
  <c r="A229" i="21"/>
  <c r="A230" i="21"/>
  <c r="A231" i="21"/>
  <c r="A232" i="21"/>
  <c r="A233" i="21"/>
  <c r="A234" i="21"/>
  <c r="A235" i="21"/>
  <c r="A236" i="21"/>
  <c r="A237" i="21"/>
  <c r="A238" i="21"/>
  <c r="A239" i="21"/>
  <c r="A240" i="21"/>
  <c r="A241" i="21"/>
  <c r="A242" i="21"/>
  <c r="A243" i="21"/>
  <c r="A244" i="21"/>
  <c r="A245" i="21"/>
  <c r="A246" i="21"/>
  <c r="A247" i="21"/>
  <c r="A248" i="21"/>
  <c r="A249" i="21"/>
  <c r="A250" i="21"/>
  <c r="A251" i="21"/>
  <c r="A252" i="21"/>
  <c r="A253" i="21"/>
  <c r="A254" i="21"/>
  <c r="A255" i="21"/>
  <c r="A256" i="21"/>
  <c r="A257" i="21"/>
  <c r="A258" i="21"/>
  <c r="A259" i="21"/>
  <c r="A260" i="21"/>
  <c r="A261" i="21"/>
  <c r="A262" i="21"/>
  <c r="A263" i="21"/>
  <c r="A264" i="21"/>
  <c r="A265" i="21"/>
  <c r="A266" i="21"/>
  <c r="A267" i="21"/>
  <c r="A268" i="21"/>
  <c r="A269" i="21"/>
  <c r="A270" i="21"/>
  <c r="A271" i="21"/>
  <c r="A272" i="21"/>
  <c r="A273" i="21"/>
  <c r="A274" i="21"/>
  <c r="A275" i="21"/>
  <c r="A276" i="21"/>
  <c r="A277" i="21"/>
  <c r="A278" i="21"/>
  <c r="A279" i="21"/>
  <c r="A280" i="21"/>
  <c r="A281" i="21"/>
  <c r="A282" i="21"/>
  <c r="A283" i="21"/>
  <c r="A284" i="21"/>
  <c r="A285" i="21"/>
  <c r="A286" i="21"/>
  <c r="A287" i="21"/>
  <c r="A288" i="21"/>
  <c r="A289" i="21"/>
  <c r="A290" i="21"/>
  <c r="A291" i="21"/>
  <c r="A292" i="21"/>
  <c r="A293" i="21"/>
  <c r="A294" i="21"/>
  <c r="A295" i="21"/>
  <c r="A296" i="21"/>
  <c r="A297" i="21"/>
  <c r="A298" i="21"/>
  <c r="A299" i="21"/>
  <c r="A300" i="21"/>
  <c r="A301" i="21"/>
  <c r="A302" i="21"/>
  <c r="A303" i="21"/>
  <c r="A304" i="21"/>
  <c r="A305" i="21"/>
  <c r="A306" i="21"/>
  <c r="A307" i="21"/>
  <c r="A308" i="21"/>
  <c r="A309" i="21"/>
  <c r="A310" i="21"/>
  <c r="A311" i="21"/>
  <c r="A312" i="21"/>
  <c r="A313" i="21"/>
  <c r="A314" i="21"/>
  <c r="A315" i="21"/>
  <c r="A316" i="21"/>
  <c r="A317" i="21"/>
  <c r="A318" i="21"/>
  <c r="A319" i="21"/>
  <c r="A320" i="21"/>
  <c r="A321" i="21"/>
  <c r="A322" i="21"/>
  <c r="A323" i="21"/>
  <c r="A324" i="21"/>
  <c r="A325" i="21"/>
  <c r="A326" i="21"/>
  <c r="A327" i="21"/>
  <c r="A328" i="21"/>
  <c r="A329" i="21"/>
  <c r="A330" i="21"/>
  <c r="A331" i="21"/>
  <c r="A332" i="21"/>
  <c r="A333" i="21"/>
  <c r="A334" i="21"/>
  <c r="A335" i="21"/>
  <c r="A336" i="21"/>
  <c r="A337" i="21"/>
  <c r="A338" i="21"/>
  <c r="A339" i="21"/>
  <c r="A340" i="21"/>
  <c r="A341" i="21"/>
  <c r="A342" i="21"/>
  <c r="A343" i="21"/>
  <c r="A344" i="21"/>
  <c r="A345" i="21"/>
  <c r="A346" i="21"/>
  <c r="A347" i="21"/>
  <c r="A348" i="21"/>
  <c r="A349" i="21"/>
  <c r="A350" i="21"/>
  <c r="A351" i="21"/>
  <c r="A352" i="21"/>
  <c r="A353" i="21"/>
  <c r="A354" i="21"/>
  <c r="A355" i="21"/>
  <c r="A356" i="21"/>
  <c r="A357" i="21"/>
  <c r="A358" i="21"/>
  <c r="A359" i="21"/>
  <c r="A360" i="21"/>
  <c r="A361" i="21"/>
  <c r="A362" i="21"/>
  <c r="A363" i="21"/>
  <c r="A364" i="21"/>
  <c r="A365" i="21"/>
  <c r="A366" i="21"/>
  <c r="A367" i="21"/>
  <c r="A368" i="21"/>
  <c r="A369" i="21"/>
  <c r="A370" i="21"/>
  <c r="A371" i="21"/>
  <c r="A372" i="21"/>
  <c r="A373" i="21"/>
  <c r="A374" i="21"/>
  <c r="A375" i="21"/>
  <c r="A376" i="21"/>
  <c r="A377" i="21"/>
  <c r="A378" i="21"/>
  <c r="A379" i="21"/>
  <c r="A380" i="21"/>
  <c r="A381" i="21"/>
  <c r="A382" i="21"/>
  <c r="A383" i="21"/>
  <c r="A384" i="21"/>
  <c r="A385" i="21"/>
  <c r="A386" i="21"/>
  <c r="A387" i="21"/>
  <c r="A388" i="21"/>
  <c r="A389" i="21"/>
  <c r="A390" i="21"/>
  <c r="A391" i="21"/>
  <c r="A392" i="21"/>
  <c r="A393" i="21"/>
  <c r="A394" i="21"/>
  <c r="A395" i="21"/>
  <c r="A396" i="21"/>
  <c r="A397" i="21"/>
  <c r="A398" i="21"/>
  <c r="A399" i="21"/>
  <c r="A400" i="21"/>
  <c r="A401" i="21"/>
  <c r="A402" i="21"/>
  <c r="A403" i="21"/>
  <c r="A404" i="21"/>
  <c r="A405" i="21"/>
  <c r="A406" i="21"/>
  <c r="A407" i="21"/>
  <c r="A408" i="21"/>
  <c r="A409" i="21"/>
  <c r="A410" i="21"/>
  <c r="A411" i="21"/>
  <c r="A412" i="21"/>
  <c r="A413" i="21"/>
  <c r="A414" i="21"/>
  <c r="A415" i="21"/>
  <c r="A416" i="21"/>
  <c r="A417" i="21"/>
  <c r="A418" i="21"/>
  <c r="A419" i="21"/>
  <c r="A420" i="21"/>
  <c r="A421" i="21"/>
  <c r="A422" i="21"/>
  <c r="A423" i="21"/>
  <c r="A424" i="21"/>
  <c r="A425" i="21"/>
  <c r="A426" i="21"/>
  <c r="A427" i="21"/>
  <c r="A428" i="21"/>
  <c r="A429" i="21"/>
  <c r="A430" i="21"/>
  <c r="A431" i="21"/>
  <c r="A432" i="21"/>
  <c r="A433" i="21"/>
  <c r="A434" i="21"/>
  <c r="A435" i="21"/>
  <c r="A436" i="21"/>
  <c r="A437" i="21"/>
  <c r="A438" i="21"/>
  <c r="A439" i="21"/>
  <c r="A440" i="21"/>
  <c r="A441" i="21"/>
  <c r="A442" i="21"/>
  <c r="A443" i="21"/>
  <c r="A444" i="21"/>
  <c r="A445" i="21"/>
  <c r="A446" i="21"/>
  <c r="A447" i="21"/>
  <c r="A448" i="21"/>
  <c r="A449" i="21"/>
  <c r="A450" i="21"/>
  <c r="A451" i="21"/>
  <c r="A452" i="21"/>
  <c r="A453" i="21"/>
  <c r="A454" i="21"/>
  <c r="A455" i="21"/>
  <c r="A456" i="21"/>
  <c r="A457" i="21"/>
  <c r="A458" i="21"/>
  <c r="A459" i="21"/>
  <c r="A460" i="21"/>
  <c r="A461" i="21"/>
  <c r="A462" i="21"/>
  <c r="A463" i="21"/>
  <c r="A464" i="21"/>
  <c r="A465" i="21"/>
  <c r="A466" i="21"/>
  <c r="A467" i="21"/>
  <c r="A468" i="21"/>
  <c r="A469" i="21"/>
  <c r="A470" i="21"/>
  <c r="A471" i="21"/>
  <c r="A472" i="21"/>
  <c r="A473" i="21"/>
  <c r="A474" i="21"/>
  <c r="A475" i="21"/>
  <c r="A476" i="21"/>
  <c r="A477" i="21"/>
  <c r="A478" i="21"/>
  <c r="A479" i="21"/>
  <c r="A480" i="21"/>
  <c r="A481" i="21"/>
  <c r="A482" i="21"/>
  <c r="A483" i="21"/>
  <c r="A484" i="21"/>
  <c r="A485" i="21"/>
  <c r="A486" i="21"/>
  <c r="A487" i="21"/>
  <c r="A488" i="21"/>
  <c r="A489" i="21"/>
  <c r="A490" i="21"/>
  <c r="A491" i="21"/>
  <c r="A492" i="21"/>
  <c r="A493" i="21"/>
  <c r="A494" i="21"/>
  <c r="A495" i="21"/>
  <c r="A496" i="21"/>
  <c r="A497" i="21"/>
  <c r="A498" i="21"/>
  <c r="A499" i="21"/>
  <c r="A500" i="21"/>
  <c r="A501" i="21"/>
  <c r="A502" i="21"/>
  <c r="A503" i="21"/>
  <c r="A504" i="21"/>
  <c r="A505" i="21"/>
  <c r="A506" i="21"/>
  <c r="A507" i="21"/>
  <c r="A508" i="21"/>
  <c r="A509" i="21"/>
  <c r="A510" i="21"/>
  <c r="A511" i="21"/>
  <c r="A512" i="21"/>
  <c r="A513" i="21"/>
  <c r="A514" i="21"/>
  <c r="A515" i="21"/>
  <c r="A516" i="21"/>
  <c r="A517" i="21"/>
  <c r="A518" i="21"/>
  <c r="A519" i="21"/>
  <c r="A520" i="21"/>
  <c r="A521" i="21"/>
  <c r="A522" i="21"/>
  <c r="A523" i="21"/>
  <c r="A524" i="21"/>
  <c r="A525" i="21"/>
  <c r="A526" i="21"/>
  <c r="A527" i="21"/>
  <c r="A528" i="21"/>
  <c r="A529" i="21"/>
  <c r="A530" i="21"/>
  <c r="A531" i="21"/>
  <c r="A532" i="21"/>
  <c r="A533" i="21"/>
  <c r="A534" i="21"/>
  <c r="A535" i="21"/>
  <c r="A536" i="21"/>
  <c r="A537" i="21"/>
  <c r="A538" i="21"/>
  <c r="A539" i="21"/>
  <c r="A540" i="21"/>
  <c r="A541" i="21"/>
  <c r="A542" i="21"/>
  <c r="A543" i="21"/>
  <c r="A544" i="21"/>
  <c r="A545" i="21"/>
  <c r="A546" i="21"/>
  <c r="A547" i="21"/>
  <c r="A548" i="21"/>
  <c r="A549" i="21"/>
  <c r="A550" i="21"/>
  <c r="A551" i="21"/>
  <c r="A552" i="21"/>
  <c r="A553" i="21"/>
  <c r="A554" i="21"/>
  <c r="A555" i="21"/>
  <c r="A556" i="21"/>
  <c r="A557" i="21"/>
  <c r="A558" i="21"/>
  <c r="A559" i="21"/>
  <c r="A560" i="21"/>
  <c r="A561" i="21"/>
  <c r="A562" i="21"/>
  <c r="A563" i="21"/>
  <c r="A564" i="21"/>
  <c r="A565" i="21"/>
  <c r="A566" i="21"/>
  <c r="A567" i="21"/>
  <c r="A568" i="21"/>
  <c r="A569" i="21"/>
  <c r="A570" i="21"/>
  <c r="A571" i="21"/>
  <c r="A572" i="21"/>
  <c r="A573" i="21"/>
  <c r="A574" i="21"/>
  <c r="A575" i="21"/>
  <c r="A576" i="21"/>
  <c r="A577" i="21"/>
  <c r="A578" i="21"/>
  <c r="A579" i="21"/>
  <c r="A580" i="21"/>
  <c r="A581" i="21"/>
  <c r="A582" i="21"/>
  <c r="A583" i="21"/>
  <c r="A584" i="21"/>
  <c r="A585" i="21"/>
  <c r="A586" i="21"/>
  <c r="A587" i="21"/>
  <c r="A588" i="21"/>
  <c r="A589" i="21"/>
  <c r="A590" i="21"/>
  <c r="A591" i="21"/>
  <c r="A592" i="21"/>
  <c r="A593" i="21"/>
  <c r="A594" i="21"/>
  <c r="A595" i="21"/>
  <c r="A596" i="21"/>
  <c r="A597" i="21"/>
  <c r="A598" i="21"/>
  <c r="A599" i="21"/>
  <c r="A600" i="21"/>
  <c r="A601" i="21"/>
  <c r="A602" i="21"/>
  <c r="A603" i="21"/>
  <c r="A604" i="21"/>
  <c r="A605" i="21"/>
  <c r="A606" i="21"/>
  <c r="A607" i="21"/>
  <c r="A608" i="21"/>
  <c r="A609" i="21"/>
  <c r="A610" i="21"/>
  <c r="A611" i="21"/>
  <c r="A612" i="21"/>
  <c r="A613" i="21"/>
  <c r="A614" i="21"/>
  <c r="A615" i="21"/>
  <c r="A616" i="21"/>
  <c r="A617" i="21"/>
  <c r="A618" i="21"/>
  <c r="A619" i="21"/>
  <c r="A620" i="21"/>
  <c r="A621" i="21"/>
  <c r="A622" i="21"/>
  <c r="A623" i="21"/>
  <c r="A624" i="21"/>
  <c r="A625" i="21"/>
  <c r="A626" i="21"/>
  <c r="A627" i="21"/>
  <c r="A628" i="21"/>
  <c r="A629" i="21"/>
  <c r="A630" i="21"/>
  <c r="A631" i="21"/>
  <c r="A632" i="21"/>
  <c r="A633" i="21"/>
  <c r="A634" i="21"/>
  <c r="A635" i="21"/>
  <c r="A636" i="21"/>
  <c r="A637" i="21"/>
  <c r="A638" i="21"/>
  <c r="A639" i="21"/>
  <c r="A640" i="21"/>
  <c r="A641" i="21"/>
  <c r="A642" i="21"/>
  <c r="A643" i="21"/>
  <c r="A644" i="21"/>
  <c r="A645" i="21"/>
  <c r="A646" i="21"/>
  <c r="A647" i="21"/>
  <c r="A648" i="21"/>
  <c r="A649" i="21"/>
  <c r="A650" i="21"/>
  <c r="A651" i="21"/>
  <c r="A652" i="21"/>
  <c r="A653" i="21"/>
  <c r="A654" i="21"/>
  <c r="A655" i="21"/>
  <c r="A656" i="21"/>
  <c r="A657" i="21"/>
  <c r="A658" i="21"/>
  <c r="A659" i="21"/>
  <c r="A660" i="21"/>
  <c r="A661" i="21"/>
  <c r="A662" i="21"/>
  <c r="A663" i="21"/>
  <c r="A664" i="21"/>
  <c r="A665" i="21"/>
  <c r="A666" i="21"/>
  <c r="A667" i="21"/>
  <c r="A668" i="21"/>
  <c r="A669" i="21"/>
  <c r="A670" i="21"/>
  <c r="A671" i="21"/>
  <c r="A672" i="21"/>
  <c r="A673" i="21"/>
  <c r="A674" i="21"/>
  <c r="A675" i="21"/>
  <c r="A676" i="21"/>
  <c r="A677" i="21"/>
  <c r="A678" i="21"/>
  <c r="A679" i="21"/>
  <c r="A680" i="21"/>
  <c r="A681" i="21"/>
  <c r="A682" i="21"/>
  <c r="A683" i="21"/>
  <c r="A684" i="21"/>
  <c r="A685" i="21"/>
  <c r="A686" i="21"/>
  <c r="A687" i="21"/>
  <c r="A688" i="21"/>
  <c r="A689" i="21"/>
  <c r="A690" i="21"/>
  <c r="A691" i="21"/>
  <c r="A692" i="21"/>
  <c r="A693" i="21"/>
  <c r="A694" i="21"/>
  <c r="A695" i="21"/>
  <c r="A696" i="21"/>
  <c r="A697" i="21"/>
  <c r="A698" i="21"/>
  <c r="A699" i="21"/>
  <c r="A700" i="21"/>
  <c r="A701" i="21"/>
  <c r="A702" i="21"/>
  <c r="A703" i="21"/>
  <c r="A704" i="21"/>
  <c r="A705" i="21"/>
  <c r="A706" i="21"/>
  <c r="A707" i="21"/>
  <c r="A708" i="21"/>
  <c r="A709" i="21"/>
  <c r="A710" i="21"/>
  <c r="A711" i="21"/>
  <c r="A712" i="21"/>
  <c r="A713" i="21"/>
  <c r="A714" i="21"/>
  <c r="A715" i="21"/>
  <c r="A716" i="21"/>
  <c r="A717" i="21"/>
  <c r="A718" i="21"/>
  <c r="A719" i="21"/>
  <c r="A720" i="21"/>
  <c r="A721" i="21"/>
  <c r="A722" i="21"/>
  <c r="A723" i="21"/>
  <c r="A724" i="21"/>
  <c r="A725" i="21"/>
  <c r="A726" i="21"/>
  <c r="A727" i="21"/>
  <c r="A728" i="21"/>
  <c r="A729" i="21"/>
  <c r="A730" i="21"/>
  <c r="A731" i="21"/>
  <c r="A732" i="21"/>
  <c r="A733" i="21"/>
  <c r="A734" i="21"/>
  <c r="A735" i="21"/>
  <c r="A736" i="21"/>
  <c r="A737" i="21"/>
  <c r="A738" i="21"/>
  <c r="A739" i="21"/>
  <c r="A740" i="21"/>
  <c r="A741" i="21"/>
  <c r="A742" i="21"/>
  <c r="A743" i="21"/>
  <c r="A744" i="21"/>
  <c r="A745" i="21"/>
  <c r="A746" i="21"/>
  <c r="A747" i="21"/>
  <c r="A748" i="21"/>
  <c r="A749" i="21"/>
  <c r="A750" i="21"/>
  <c r="A751" i="21"/>
  <c r="A752" i="21"/>
  <c r="A753" i="21"/>
  <c r="A754" i="21"/>
  <c r="A755" i="21"/>
  <c r="A756" i="21"/>
  <c r="A757" i="21"/>
  <c r="A758" i="21"/>
  <c r="A759" i="21"/>
  <c r="A760" i="21"/>
  <c r="A761" i="21"/>
  <c r="A762" i="21"/>
  <c r="A763" i="21"/>
  <c r="A764" i="21"/>
  <c r="A765" i="21"/>
  <c r="A766" i="21"/>
  <c r="A767" i="21"/>
  <c r="A768" i="21"/>
  <c r="A769" i="21"/>
  <c r="A770" i="21"/>
  <c r="A771" i="21"/>
  <c r="A772" i="21"/>
  <c r="A773" i="21"/>
  <c r="A774" i="21"/>
  <c r="A775" i="21"/>
  <c r="A776" i="21"/>
  <c r="A777" i="21"/>
  <c r="A778" i="21"/>
  <c r="A779" i="21"/>
  <c r="A780" i="21"/>
  <c r="A781" i="21"/>
  <c r="A782" i="21"/>
  <c r="A783" i="21"/>
  <c r="A784" i="21"/>
  <c r="A785" i="21"/>
  <c r="A786" i="21"/>
  <c r="A787" i="21"/>
  <c r="A788" i="21"/>
  <c r="A789" i="21"/>
  <c r="A790" i="21"/>
  <c r="A791" i="21"/>
  <c r="A792" i="21"/>
  <c r="A793" i="21"/>
  <c r="A794" i="21"/>
  <c r="A795" i="21"/>
  <c r="A796" i="21"/>
  <c r="A797" i="21"/>
  <c r="A798" i="21"/>
  <c r="A799" i="21"/>
  <c r="A800" i="21"/>
  <c r="A801" i="21"/>
  <c r="A802" i="21"/>
  <c r="A803" i="21"/>
  <c r="A804" i="21"/>
  <c r="A805" i="21"/>
  <c r="A806" i="21"/>
  <c r="A807" i="21"/>
  <c r="A808" i="21"/>
  <c r="A809" i="21"/>
  <c r="A810" i="21"/>
  <c r="A811" i="21"/>
  <c r="A812" i="21"/>
  <c r="A813" i="21"/>
  <c r="A814" i="21"/>
  <c r="A815" i="21"/>
  <c r="A816" i="21"/>
  <c r="A817" i="21"/>
  <c r="A818" i="21"/>
  <c r="A819" i="21"/>
  <c r="A820" i="21"/>
  <c r="A821" i="21"/>
  <c r="A822" i="21"/>
  <c r="A823" i="21"/>
  <c r="A824" i="21"/>
  <c r="A825" i="21"/>
  <c r="A826" i="21"/>
  <c r="A827" i="21"/>
  <c r="A828" i="21"/>
  <c r="A829" i="21"/>
  <c r="A830" i="21"/>
  <c r="A831" i="21"/>
  <c r="A832" i="21"/>
  <c r="A833" i="21"/>
  <c r="A834" i="21"/>
  <c r="A835" i="21"/>
  <c r="A836" i="21"/>
  <c r="A837" i="21"/>
  <c r="A838" i="21"/>
  <c r="A839" i="21"/>
  <c r="A840" i="21"/>
  <c r="A841" i="21"/>
  <c r="A842" i="21"/>
  <c r="A843" i="21"/>
  <c r="A844" i="21"/>
  <c r="A845" i="21"/>
  <c r="A846" i="21"/>
  <c r="A847" i="21"/>
  <c r="A848" i="21"/>
  <c r="A849" i="21"/>
  <c r="A850" i="21"/>
  <c r="A851" i="21"/>
  <c r="A852" i="21"/>
  <c r="A853" i="21"/>
  <c r="A854" i="21"/>
  <c r="A855" i="21"/>
  <c r="A856" i="21"/>
  <c r="A857" i="21"/>
  <c r="A858" i="21"/>
  <c r="A859" i="21"/>
  <c r="A860" i="21"/>
  <c r="A861" i="21"/>
  <c r="A862" i="21"/>
  <c r="A863" i="21"/>
  <c r="A864" i="21"/>
  <c r="A865" i="21"/>
  <c r="A866" i="21"/>
  <c r="A867" i="21"/>
  <c r="A868" i="21"/>
  <c r="A869" i="21"/>
  <c r="A870" i="21"/>
  <c r="A871" i="21"/>
  <c r="A872" i="21"/>
  <c r="A873" i="21"/>
  <c r="A874" i="21"/>
  <c r="A875" i="21"/>
  <c r="A876" i="21"/>
  <c r="A877" i="21"/>
  <c r="A878" i="21"/>
  <c r="A879" i="21"/>
  <c r="A880" i="21"/>
  <c r="A881" i="21"/>
  <c r="A882" i="21"/>
  <c r="A883" i="21"/>
  <c r="A884" i="21"/>
  <c r="A885" i="21"/>
  <c r="A886" i="21"/>
  <c r="A887" i="21"/>
  <c r="A888" i="21"/>
  <c r="A889" i="21"/>
  <c r="A890" i="21"/>
  <c r="A891" i="21"/>
  <c r="A892" i="21"/>
  <c r="A893" i="21"/>
  <c r="A894" i="21"/>
  <c r="A895" i="21"/>
  <c r="A896" i="21"/>
  <c r="A897" i="21"/>
  <c r="A898" i="21"/>
  <c r="A899" i="21"/>
  <c r="A900" i="21"/>
  <c r="A901" i="21"/>
  <c r="A902" i="21"/>
  <c r="A903" i="21"/>
  <c r="A904" i="21"/>
  <c r="A905" i="21"/>
  <c r="A906" i="21"/>
  <c r="A907" i="21"/>
  <c r="A908" i="21"/>
  <c r="A909" i="21"/>
  <c r="A910" i="21"/>
  <c r="A911" i="21"/>
  <c r="A912" i="21"/>
  <c r="A913" i="21"/>
  <c r="A914" i="21"/>
  <c r="A915" i="21"/>
  <c r="A916" i="21"/>
  <c r="A917" i="21"/>
  <c r="A918" i="21"/>
  <c r="A919" i="21"/>
  <c r="A920" i="21"/>
  <c r="A921" i="21"/>
  <c r="A922" i="21"/>
  <c r="A923" i="21"/>
  <c r="A924" i="21"/>
  <c r="A925" i="21"/>
  <c r="A926" i="21"/>
  <c r="A927" i="21"/>
  <c r="A928" i="21"/>
  <c r="A929" i="21"/>
  <c r="A930" i="21"/>
  <c r="A931" i="21"/>
  <c r="A932" i="21"/>
  <c r="A933" i="21"/>
  <c r="A934" i="21"/>
  <c r="A935" i="21"/>
  <c r="A936" i="21"/>
  <c r="A937" i="21"/>
  <c r="A938" i="21"/>
  <c r="A939" i="21"/>
  <c r="A940" i="21"/>
  <c r="A941" i="21"/>
  <c r="A942" i="21"/>
  <c r="A943" i="21"/>
  <c r="A944" i="21"/>
  <c r="A945" i="21"/>
  <c r="A946" i="21"/>
  <c r="A947" i="21"/>
  <c r="A948" i="21"/>
  <c r="A949" i="21"/>
  <c r="A950" i="21"/>
  <c r="A951" i="21"/>
  <c r="A952" i="21"/>
  <c r="A953" i="21"/>
  <c r="A954" i="21"/>
  <c r="A955" i="21"/>
  <c r="A956" i="21"/>
  <c r="A957" i="21"/>
  <c r="A958" i="21"/>
  <c r="A959" i="21"/>
  <c r="A960" i="21"/>
  <c r="A961" i="21"/>
  <c r="A962" i="21"/>
  <c r="A963" i="21"/>
  <c r="A964" i="21"/>
  <c r="A965" i="21"/>
  <c r="A966" i="21"/>
  <c r="A967" i="21"/>
  <c r="A968" i="21"/>
  <c r="A969" i="21"/>
  <c r="A970" i="21"/>
  <c r="A971" i="21"/>
  <c r="A972" i="21"/>
  <c r="A973" i="21"/>
  <c r="A974" i="21"/>
  <c r="A975" i="21"/>
  <c r="A976" i="21"/>
  <c r="A977" i="21"/>
  <c r="A978" i="21"/>
  <c r="A979" i="21"/>
  <c r="A980" i="21"/>
  <c r="A981" i="21"/>
  <c r="A982" i="21"/>
  <c r="A983" i="21"/>
  <c r="A984" i="21"/>
  <c r="A985" i="21"/>
  <c r="A986" i="21"/>
  <c r="A987" i="21"/>
  <c r="A988" i="21"/>
  <c r="A989" i="21"/>
  <c r="A990" i="21"/>
  <c r="A991" i="21"/>
  <c r="A992" i="21"/>
  <c r="A993" i="21"/>
  <c r="A994" i="21"/>
  <c r="A995" i="21"/>
  <c r="A996" i="21"/>
  <c r="A997" i="21"/>
  <c r="A998" i="21"/>
  <c r="A999" i="21"/>
  <c r="A1000" i="21"/>
  <c r="A1001" i="21"/>
  <c r="A1002" i="21"/>
  <c r="A1003" i="21"/>
  <c r="A1004" i="21"/>
  <c r="A1005" i="21"/>
  <c r="A1006" i="21"/>
  <c r="A1007" i="21"/>
  <c r="A1008" i="21"/>
  <c r="A1009" i="21"/>
  <c r="A1010" i="21"/>
  <c r="A1011" i="21"/>
  <c r="A1012" i="21"/>
  <c r="A1013" i="21"/>
  <c r="A1014" i="21"/>
  <c r="A1015" i="21"/>
  <c r="A1016" i="21"/>
  <c r="A1017" i="21"/>
  <c r="A1018" i="21"/>
  <c r="A1019" i="21"/>
  <c r="A1020" i="21"/>
  <c r="A1021" i="21"/>
  <c r="A1022" i="21"/>
  <c r="A1023" i="21"/>
  <c r="A1024" i="21"/>
  <c r="A1025" i="21"/>
  <c r="A1026" i="21"/>
  <c r="A1027" i="21"/>
  <c r="A1028" i="21"/>
  <c r="A1029" i="21"/>
  <c r="A1030" i="21"/>
  <c r="A1031" i="21"/>
  <c r="A1032" i="21"/>
  <c r="A1033" i="21"/>
  <c r="A1034" i="21"/>
  <c r="A1035" i="21"/>
  <c r="A1036" i="21"/>
  <c r="A1037" i="21"/>
  <c r="A1038" i="21"/>
  <c r="A1039" i="21"/>
  <c r="A1040" i="21"/>
  <c r="A1041" i="21"/>
  <c r="A1042" i="21"/>
  <c r="A1043" i="21"/>
  <c r="A1044" i="21"/>
  <c r="A1045" i="21"/>
  <c r="A1046" i="21"/>
  <c r="A1047" i="21"/>
  <c r="A1048" i="21"/>
  <c r="A1049" i="21"/>
  <c r="A1050" i="21"/>
  <c r="A1051" i="21"/>
  <c r="A1052" i="21"/>
  <c r="A1053" i="21"/>
  <c r="A1054" i="21"/>
  <c r="A1055" i="21"/>
  <c r="A1056" i="21"/>
  <c r="A1057" i="21"/>
  <c r="A1058" i="21"/>
  <c r="A1059" i="21"/>
  <c r="A1060" i="21"/>
  <c r="A1061" i="21"/>
  <c r="A1062" i="21"/>
  <c r="A1063" i="21"/>
  <c r="A1064" i="21"/>
  <c r="A1065" i="21"/>
  <c r="A1066" i="21"/>
  <c r="A1067" i="21"/>
  <c r="A1068" i="21"/>
  <c r="A1069" i="21"/>
  <c r="A1070" i="21"/>
  <c r="A1071" i="21"/>
  <c r="A1072" i="21"/>
  <c r="A1073" i="21"/>
  <c r="A1074" i="21"/>
  <c r="A1075" i="21"/>
  <c r="A1076" i="21"/>
  <c r="A1077" i="21"/>
  <c r="A1078" i="21"/>
  <c r="A1079" i="21"/>
  <c r="A1080" i="21"/>
  <c r="A1081" i="21"/>
  <c r="A1082" i="21"/>
  <c r="A1083" i="21"/>
  <c r="A1084" i="21"/>
  <c r="A1085" i="21"/>
  <c r="A1086" i="21"/>
  <c r="A1087" i="21"/>
  <c r="A1088" i="21"/>
  <c r="A1089" i="21"/>
  <c r="A1090" i="21"/>
  <c r="A1091" i="21"/>
  <c r="A1092" i="21"/>
  <c r="A1093" i="21"/>
  <c r="A1094" i="21"/>
  <c r="A1095" i="21"/>
  <c r="A1096" i="21"/>
  <c r="A1097" i="21"/>
  <c r="A1098" i="21"/>
  <c r="A1099" i="21"/>
  <c r="A1100" i="21"/>
  <c r="A1101" i="21"/>
  <c r="A1102" i="21"/>
  <c r="A1103" i="21"/>
  <c r="A1104" i="21"/>
  <c r="A1105" i="21"/>
  <c r="A1106" i="21"/>
  <c r="A1107" i="21"/>
  <c r="A1108" i="21"/>
  <c r="A1109" i="21"/>
  <c r="A1110" i="21"/>
  <c r="A1111" i="21"/>
  <c r="A1112" i="21"/>
  <c r="A1113" i="21"/>
  <c r="A1114" i="21"/>
  <c r="A1115" i="21"/>
  <c r="A1116" i="21"/>
  <c r="A1117" i="21"/>
  <c r="A1118" i="21"/>
  <c r="A1119" i="21"/>
  <c r="A1120" i="21"/>
  <c r="A1121" i="21"/>
  <c r="A1122" i="21"/>
  <c r="A1123" i="21"/>
  <c r="A1124" i="21"/>
  <c r="A1125" i="21"/>
  <c r="A1126" i="21"/>
  <c r="A1127" i="21"/>
  <c r="A1128" i="21"/>
  <c r="A1129" i="21"/>
  <c r="A1130" i="21"/>
  <c r="A1131" i="21"/>
  <c r="A1132" i="21"/>
  <c r="A1133" i="21"/>
  <c r="A1134" i="21"/>
  <c r="A1135" i="21"/>
  <c r="A1136" i="21"/>
  <c r="A1137" i="21"/>
  <c r="A1138" i="21"/>
  <c r="A1139" i="21"/>
  <c r="A1140" i="21"/>
  <c r="A1141" i="21"/>
  <c r="A1142" i="21"/>
  <c r="A1143" i="21"/>
  <c r="A1144" i="21"/>
  <c r="A1145" i="21"/>
  <c r="A1146" i="21"/>
  <c r="A1147" i="21"/>
  <c r="A1148" i="21"/>
  <c r="A1149" i="21"/>
  <c r="A1150" i="21"/>
  <c r="A1151" i="21"/>
  <c r="A1152" i="21"/>
  <c r="A1153" i="21"/>
  <c r="A1154" i="21"/>
  <c r="A1155" i="21"/>
  <c r="A1156" i="21"/>
  <c r="A1157" i="21"/>
  <c r="A1158" i="21"/>
  <c r="A1159" i="21"/>
  <c r="A1160" i="21"/>
  <c r="A1161" i="21"/>
  <c r="A1162" i="21"/>
  <c r="A1163" i="21"/>
  <c r="A1164" i="21"/>
  <c r="A1165" i="21"/>
  <c r="A1166" i="21"/>
  <c r="A1167" i="21"/>
  <c r="A1168" i="21"/>
  <c r="A1169" i="21"/>
  <c r="A1170" i="21"/>
  <c r="A1171" i="21"/>
  <c r="A1172" i="21"/>
  <c r="A1173" i="21"/>
  <c r="A1174" i="21"/>
  <c r="A1175" i="21"/>
  <c r="A1176" i="21"/>
  <c r="A1177" i="21"/>
  <c r="A1178" i="21"/>
  <c r="A1179" i="21"/>
  <c r="A1180" i="21"/>
  <c r="A1181" i="21"/>
  <c r="A1182" i="21"/>
  <c r="A1183" i="21"/>
  <c r="A1184" i="21"/>
  <c r="A1185" i="21"/>
  <c r="A1186" i="21"/>
  <c r="A1187" i="21"/>
  <c r="A1188" i="21"/>
  <c r="A1189" i="21"/>
  <c r="A1190" i="21"/>
  <c r="A1191" i="21"/>
  <c r="A1192" i="21"/>
  <c r="A1193" i="21"/>
  <c r="A1194" i="21"/>
  <c r="A1195" i="21"/>
  <c r="A1196" i="21"/>
  <c r="A1197" i="21"/>
  <c r="A1198" i="21"/>
  <c r="A1199" i="21"/>
  <c r="A1200" i="21"/>
  <c r="A1201" i="21"/>
  <c r="A1202" i="21"/>
  <c r="A1203" i="21"/>
  <c r="A1204" i="21"/>
  <c r="A1205" i="21"/>
  <c r="A1206" i="21"/>
  <c r="A1207" i="21"/>
  <c r="A1208" i="21"/>
  <c r="A1209" i="21"/>
  <c r="A1210" i="21"/>
  <c r="A1211" i="21"/>
  <c r="A1212" i="21"/>
  <c r="A1213" i="21"/>
  <c r="A1214" i="21"/>
  <c r="A1215" i="21"/>
  <c r="A1216" i="21"/>
  <c r="A1217" i="21"/>
  <c r="A1218" i="21"/>
  <c r="A1219" i="21"/>
  <c r="A1220" i="21"/>
  <c r="A1221" i="21"/>
  <c r="A1222" i="21"/>
  <c r="A1223" i="21"/>
  <c r="A1224" i="21"/>
  <c r="A1225" i="21"/>
  <c r="A1226" i="21"/>
  <c r="A1227" i="21"/>
  <c r="A1228" i="21"/>
  <c r="A1229" i="21"/>
  <c r="A1230" i="21"/>
  <c r="A1231" i="21"/>
  <c r="A1232" i="21"/>
  <c r="A1233" i="21"/>
  <c r="A1234" i="21"/>
  <c r="A1235" i="21"/>
  <c r="A1236" i="21"/>
  <c r="A1237" i="21"/>
  <c r="A1238" i="21"/>
  <c r="A1239" i="21"/>
  <c r="A1240" i="21"/>
  <c r="A1241" i="21"/>
  <c r="A1242" i="21"/>
  <c r="A1243" i="21"/>
  <c r="A1244" i="21"/>
  <c r="A1245" i="21"/>
  <c r="A1246" i="21"/>
  <c r="A1247" i="21"/>
  <c r="A1248" i="21"/>
  <c r="A1249" i="21"/>
  <c r="A1250" i="21"/>
  <c r="A1251" i="21"/>
  <c r="A1252" i="21"/>
  <c r="A1253" i="21"/>
  <c r="A1254" i="21"/>
  <c r="A1255" i="21"/>
  <c r="A1256" i="21"/>
  <c r="A1257" i="21"/>
  <c r="A1258" i="21"/>
  <c r="A1259" i="21"/>
  <c r="A1260" i="21"/>
  <c r="A1261" i="21"/>
  <c r="A1262" i="21"/>
  <c r="A1263" i="21"/>
  <c r="A1264" i="21"/>
  <c r="A1265" i="21"/>
  <c r="A1266" i="21"/>
  <c r="A1267" i="21"/>
  <c r="A1268" i="21"/>
  <c r="A1269" i="21"/>
  <c r="A1270" i="21"/>
  <c r="A1271" i="21"/>
  <c r="A1272" i="21"/>
  <c r="A1273" i="21"/>
  <c r="A1274" i="21"/>
  <c r="A1275" i="21"/>
  <c r="A1276" i="21"/>
  <c r="A1277" i="21"/>
  <c r="A1278" i="21"/>
  <c r="A1279" i="21"/>
  <c r="A1280" i="21"/>
  <c r="A1281" i="21"/>
  <c r="A1282" i="21"/>
  <c r="A1283" i="21"/>
  <c r="A1284" i="21"/>
  <c r="A1285" i="21"/>
  <c r="A1286" i="21"/>
  <c r="A1287" i="21"/>
  <c r="A1288" i="21"/>
  <c r="A1289" i="21"/>
  <c r="A1290" i="21"/>
  <c r="A1291" i="21"/>
  <c r="A1292" i="21"/>
  <c r="A1293" i="21"/>
  <c r="A1294" i="21"/>
  <c r="A1295" i="21"/>
  <c r="A1296" i="21"/>
  <c r="A1297" i="21"/>
  <c r="A1298" i="21"/>
  <c r="A1299" i="21"/>
  <c r="A1300" i="21"/>
  <c r="A1301" i="21"/>
  <c r="A1302" i="21"/>
  <c r="A1303" i="21"/>
  <c r="A1304" i="21"/>
  <c r="A1305" i="21"/>
  <c r="A1306" i="21"/>
  <c r="A1307" i="21"/>
  <c r="A1308" i="21"/>
  <c r="A1309" i="21"/>
  <c r="A1310" i="21"/>
  <c r="A1311" i="21"/>
  <c r="A1312" i="21"/>
  <c r="A1313" i="21"/>
  <c r="A1314" i="21"/>
  <c r="A1315" i="21"/>
  <c r="A1316" i="21"/>
  <c r="A1317" i="21"/>
  <c r="A1318" i="21"/>
  <c r="A1319" i="21"/>
  <c r="A1320" i="21"/>
  <c r="A1321" i="21"/>
  <c r="A1322" i="21"/>
  <c r="A1323" i="21"/>
  <c r="A1324" i="21"/>
  <c r="A1325" i="21"/>
  <c r="A1326" i="21"/>
  <c r="A1327" i="21"/>
  <c r="A1328" i="21"/>
  <c r="A1329" i="21"/>
  <c r="A1330" i="21"/>
  <c r="A1331" i="21"/>
  <c r="A1332" i="21"/>
  <c r="A1333" i="21"/>
  <c r="A1334" i="21"/>
  <c r="A1335" i="21"/>
  <c r="A1336" i="21"/>
  <c r="A1337" i="21"/>
  <c r="A1338" i="21"/>
  <c r="A1339" i="21"/>
  <c r="A1340" i="21"/>
  <c r="A1341" i="21"/>
  <c r="A1342" i="21"/>
  <c r="A1343" i="21"/>
  <c r="A1344" i="21"/>
  <c r="A1345" i="21"/>
  <c r="A1346" i="21"/>
  <c r="A1347" i="21"/>
  <c r="A1348" i="21"/>
  <c r="A1349" i="21"/>
  <c r="A1350" i="21"/>
  <c r="A1351" i="21"/>
  <c r="A1352" i="21"/>
  <c r="A1353" i="21"/>
  <c r="A1354" i="21"/>
  <c r="A1355" i="21"/>
  <c r="A1356" i="21"/>
  <c r="A1357" i="21"/>
  <c r="A1358" i="21"/>
  <c r="A1359" i="21"/>
  <c r="A1360" i="21"/>
  <c r="A1361" i="21"/>
  <c r="A1362" i="21"/>
  <c r="A1363" i="21"/>
  <c r="A1364" i="21"/>
  <c r="A1365" i="21"/>
  <c r="A1366" i="21"/>
  <c r="A1367" i="21"/>
  <c r="A1368" i="21"/>
  <c r="A1369" i="21"/>
  <c r="A1370" i="21"/>
  <c r="A1371" i="21"/>
  <c r="A1372" i="21"/>
  <c r="A1373" i="21"/>
  <c r="A1374" i="21"/>
  <c r="A1375" i="21"/>
  <c r="A1376" i="21"/>
  <c r="A1377" i="21"/>
  <c r="A1378" i="21"/>
  <c r="A1379" i="21"/>
  <c r="A1380" i="21"/>
  <c r="A1381" i="21"/>
  <c r="A1382" i="21"/>
  <c r="A1383" i="21"/>
  <c r="A1384" i="21"/>
  <c r="A1385" i="21"/>
  <c r="A1386" i="21"/>
  <c r="A1387" i="21"/>
  <c r="A1388" i="21"/>
  <c r="A1389" i="21"/>
  <c r="A1390" i="21"/>
  <c r="A1391" i="21"/>
  <c r="A1392" i="21"/>
  <c r="A1393" i="21"/>
  <c r="A1394" i="21"/>
  <c r="A1395" i="21"/>
  <c r="A1396" i="21"/>
  <c r="A1397" i="21"/>
  <c r="A1398" i="21"/>
  <c r="A1399" i="21"/>
  <c r="A1400" i="21"/>
  <c r="A1401" i="21"/>
  <c r="A1402" i="21"/>
  <c r="A1403" i="21"/>
  <c r="A1404" i="21"/>
  <c r="A1405" i="21"/>
  <c r="A1406" i="21"/>
  <c r="A1407" i="21"/>
  <c r="A1408" i="21"/>
  <c r="A1409" i="21"/>
  <c r="A1410" i="21"/>
  <c r="A1411" i="21"/>
  <c r="A1412" i="21"/>
  <c r="A1413" i="21"/>
  <c r="A1414" i="21"/>
  <c r="A1415" i="21"/>
  <c r="A1416" i="21"/>
  <c r="A1417" i="21"/>
  <c r="A1418" i="21"/>
  <c r="A1419" i="21"/>
  <c r="A1420" i="21"/>
  <c r="A1421" i="21"/>
  <c r="A1422" i="21"/>
  <c r="A1423" i="21"/>
  <c r="A1424" i="21"/>
  <c r="A1425" i="21"/>
  <c r="A1426" i="21"/>
  <c r="A1427" i="21"/>
  <c r="A1428" i="21"/>
  <c r="A1429" i="21"/>
  <c r="A1430" i="21"/>
  <c r="A1431" i="21"/>
  <c r="A1432" i="21"/>
  <c r="A1433" i="21"/>
  <c r="A1434" i="21"/>
  <c r="A1435" i="21"/>
  <c r="A1436" i="21"/>
  <c r="A1437" i="21"/>
  <c r="A1438" i="21"/>
  <c r="A1439" i="21"/>
  <c r="A1440" i="21"/>
  <c r="A1441" i="21"/>
  <c r="A1442" i="21"/>
  <c r="A1443" i="21"/>
  <c r="A1444" i="21"/>
  <c r="A1445" i="21"/>
  <c r="A1446" i="21"/>
  <c r="A1447" i="21"/>
  <c r="A1448" i="21"/>
  <c r="A1449" i="21"/>
  <c r="A1450" i="21"/>
  <c r="A1451" i="21"/>
  <c r="A1452" i="21"/>
  <c r="A1453" i="21"/>
  <c r="A1454" i="21"/>
  <c r="A1455" i="21"/>
  <c r="A1456" i="21"/>
  <c r="A1457" i="21"/>
  <c r="A1458" i="21"/>
  <c r="A1459" i="21"/>
  <c r="A1460" i="21"/>
  <c r="A1461" i="21"/>
  <c r="A1462" i="21"/>
  <c r="A1463" i="21"/>
  <c r="A1464" i="21"/>
  <c r="A1465" i="21"/>
  <c r="A1466" i="21"/>
  <c r="A1467" i="21"/>
  <c r="A1468" i="21"/>
  <c r="A1469" i="21"/>
  <c r="A1470" i="21"/>
  <c r="A1471" i="21"/>
  <c r="A1472" i="21"/>
  <c r="A1473" i="21"/>
  <c r="A1474" i="21"/>
  <c r="A1475" i="21"/>
  <c r="A1476" i="21"/>
  <c r="A1477" i="21"/>
  <c r="A1478" i="21"/>
  <c r="A1479" i="21"/>
  <c r="A1480" i="21"/>
  <c r="A1481" i="21"/>
  <c r="A1482" i="21"/>
  <c r="A1483" i="21"/>
  <c r="A1484" i="21"/>
  <c r="A1485" i="21"/>
  <c r="A1486" i="21"/>
  <c r="A1487" i="21"/>
  <c r="A1488" i="21"/>
  <c r="A1489" i="21"/>
  <c r="A1490" i="21"/>
  <c r="A1491" i="21"/>
  <c r="A1492" i="21"/>
  <c r="A1493" i="21"/>
  <c r="A1494" i="21"/>
  <c r="A1495" i="21"/>
  <c r="A1496" i="21"/>
  <c r="A1497" i="21"/>
  <c r="A1498" i="21"/>
  <c r="A1499" i="21"/>
  <c r="A1500" i="21"/>
  <c r="A1501" i="21"/>
  <c r="A1502" i="21"/>
  <c r="A1503" i="21"/>
  <c r="A1504" i="21"/>
  <c r="A1505" i="21"/>
  <c r="A1506" i="21"/>
  <c r="A1507" i="21"/>
  <c r="A1508" i="21"/>
  <c r="A1509" i="21"/>
  <c r="A1510" i="21"/>
  <c r="A1511" i="21"/>
  <c r="A1512" i="21"/>
  <c r="BR45" i="21" l="1"/>
  <c r="BS45" i="21" s="1"/>
  <c r="H65" i="44"/>
  <c r="J65" i="44"/>
  <c r="L65" i="44"/>
  <c r="N65" i="44"/>
  <c r="P65" i="44"/>
  <c r="R65" i="44"/>
  <c r="T65" i="44"/>
  <c r="V65" i="44"/>
  <c r="X65" i="44"/>
  <c r="Z65" i="44"/>
  <c r="AB65" i="44"/>
  <c r="AD65" i="44"/>
  <c r="AF65" i="44"/>
  <c r="AH65" i="44"/>
  <c r="AJ65" i="44"/>
  <c r="AL65" i="44"/>
  <c r="AN65" i="44"/>
  <c r="AP65" i="44"/>
  <c r="AR65" i="44"/>
  <c r="AT65" i="44"/>
  <c r="AV65" i="44"/>
  <c r="AX65" i="44"/>
  <c r="AZ65" i="44"/>
  <c r="BB65" i="44"/>
  <c r="BD65" i="44"/>
  <c r="BF65" i="44"/>
  <c r="BH65" i="44"/>
  <c r="BJ65" i="44"/>
  <c r="BL65" i="44"/>
  <c r="BN65" i="44"/>
  <c r="BA64" i="44"/>
  <c r="AZ64" i="44"/>
  <c r="BA63" i="44"/>
  <c r="AZ63" i="44"/>
  <c r="BA62" i="44"/>
  <c r="AZ62" i="44"/>
  <c r="BA61" i="44"/>
  <c r="AZ61" i="44"/>
  <c r="BA60" i="44"/>
  <c r="AZ60" i="44"/>
  <c r="BA59" i="44"/>
  <c r="AZ59" i="44"/>
  <c r="BA58" i="44"/>
  <c r="AZ58" i="44"/>
  <c r="BA57" i="44"/>
  <c r="AZ57" i="44"/>
  <c r="BA56" i="44"/>
  <c r="AZ56" i="44"/>
  <c r="BA55" i="44"/>
  <c r="AZ55" i="44"/>
  <c r="BA54" i="44"/>
  <c r="AZ54" i="44"/>
  <c r="BA53" i="44"/>
  <c r="AZ53" i="44"/>
  <c r="BA52" i="44"/>
  <c r="AZ52" i="44"/>
  <c r="BO64" i="44"/>
  <c r="BN64" i="44"/>
  <c r="BO63" i="44"/>
  <c r="BN63" i="44"/>
  <c r="BO62" i="44"/>
  <c r="BN62" i="44"/>
  <c r="BO61" i="44"/>
  <c r="BN61" i="44"/>
  <c r="BO60" i="44"/>
  <c r="BN60" i="44"/>
  <c r="BO59" i="44"/>
  <c r="BN59" i="44"/>
  <c r="BO58" i="44"/>
  <c r="BN58" i="44"/>
  <c r="BO57" i="44"/>
  <c r="BN57" i="44"/>
  <c r="BO56" i="44"/>
  <c r="BN56" i="44"/>
  <c r="BO55" i="44"/>
  <c r="BN55" i="44"/>
  <c r="BO54" i="44"/>
  <c r="BN54" i="44"/>
  <c r="BO53" i="44"/>
  <c r="BN53" i="44"/>
  <c r="BO52" i="44"/>
  <c r="BN52" i="44"/>
  <c r="BM64" i="44"/>
  <c r="BL64" i="44"/>
  <c r="BM63" i="44"/>
  <c r="BL63" i="44"/>
  <c r="BM62" i="44"/>
  <c r="BL62" i="44"/>
  <c r="BM61" i="44"/>
  <c r="BL61" i="44"/>
  <c r="BM60" i="44"/>
  <c r="BL60" i="44"/>
  <c r="BM59" i="44"/>
  <c r="BL59" i="44"/>
  <c r="BM58" i="44"/>
  <c r="BL58" i="44"/>
  <c r="BM57" i="44"/>
  <c r="BL57" i="44"/>
  <c r="BM56" i="44"/>
  <c r="BL56" i="44"/>
  <c r="BM55" i="44"/>
  <c r="BL55" i="44"/>
  <c r="BM54" i="44"/>
  <c r="BL54" i="44"/>
  <c r="BM53" i="44"/>
  <c r="BL53" i="44"/>
  <c r="BM52" i="44"/>
  <c r="BL52" i="44"/>
  <c r="BK64" i="44"/>
  <c r="BJ64" i="44"/>
  <c r="BK63" i="44"/>
  <c r="BJ63" i="44"/>
  <c r="BK62" i="44"/>
  <c r="BJ62" i="44"/>
  <c r="BK61" i="44"/>
  <c r="BJ61" i="44"/>
  <c r="BK60" i="44"/>
  <c r="BJ60" i="44"/>
  <c r="BK59" i="44"/>
  <c r="BJ59" i="44"/>
  <c r="BK58" i="44"/>
  <c r="BJ58" i="44"/>
  <c r="BK57" i="44"/>
  <c r="BJ57" i="44"/>
  <c r="BK56" i="44"/>
  <c r="BJ56" i="44"/>
  <c r="BK55" i="44"/>
  <c r="BJ55" i="44"/>
  <c r="BK54" i="44"/>
  <c r="BJ54" i="44"/>
  <c r="BK53" i="44"/>
  <c r="BJ53" i="44"/>
  <c r="BK52" i="44"/>
  <c r="BJ52" i="44"/>
  <c r="BI64" i="44"/>
  <c r="BH64" i="44"/>
  <c r="BG64" i="44"/>
  <c r="BF64" i="44"/>
  <c r="BE64" i="44"/>
  <c r="BD64" i="44"/>
  <c r="BC64" i="44"/>
  <c r="BB64" i="44"/>
  <c r="AY64" i="44"/>
  <c r="AX64" i="44"/>
  <c r="AW64" i="44"/>
  <c r="AV64" i="44"/>
  <c r="BI63" i="44"/>
  <c r="BH63" i="44"/>
  <c r="BG63" i="44"/>
  <c r="BF63" i="44"/>
  <c r="BE63" i="44"/>
  <c r="BD63" i="44"/>
  <c r="BC63" i="44"/>
  <c r="BB63" i="44"/>
  <c r="AY63" i="44"/>
  <c r="AX63" i="44"/>
  <c r="AW63" i="44"/>
  <c r="AV63" i="44"/>
  <c r="BI62" i="44"/>
  <c r="BH62" i="44"/>
  <c r="BG62" i="44"/>
  <c r="BF62" i="44"/>
  <c r="BE62" i="44"/>
  <c r="BD62" i="44"/>
  <c r="BC62" i="44"/>
  <c r="BB62" i="44"/>
  <c r="AY62" i="44"/>
  <c r="AX62" i="44"/>
  <c r="AW62" i="44"/>
  <c r="AV62" i="44"/>
  <c r="BI61" i="44"/>
  <c r="BH61" i="44"/>
  <c r="BG61" i="44"/>
  <c r="BF61" i="44"/>
  <c r="BE61" i="44"/>
  <c r="BD61" i="44"/>
  <c r="BC61" i="44"/>
  <c r="BB61" i="44"/>
  <c r="AY61" i="44"/>
  <c r="AX61" i="44"/>
  <c r="AW61" i="44"/>
  <c r="AV61" i="44"/>
  <c r="BI60" i="44"/>
  <c r="BH60" i="44"/>
  <c r="BG60" i="44"/>
  <c r="BF60" i="44"/>
  <c r="BE60" i="44"/>
  <c r="BD60" i="44"/>
  <c r="BC60" i="44"/>
  <c r="BB60" i="44"/>
  <c r="AY60" i="44"/>
  <c r="AX60" i="44"/>
  <c r="AW60" i="44"/>
  <c r="AV60" i="44"/>
  <c r="BI59" i="44"/>
  <c r="BH59" i="44"/>
  <c r="BG59" i="44"/>
  <c r="BF59" i="44"/>
  <c r="BE59" i="44"/>
  <c r="BD59" i="44"/>
  <c r="BC59" i="44"/>
  <c r="BB59" i="44"/>
  <c r="AY59" i="44"/>
  <c r="AX59" i="44"/>
  <c r="AW59" i="44"/>
  <c r="AV59" i="44"/>
  <c r="BI58" i="44"/>
  <c r="BH58" i="44"/>
  <c r="BG58" i="44"/>
  <c r="BF58" i="44"/>
  <c r="BE58" i="44"/>
  <c r="BD58" i="44"/>
  <c r="BC58" i="44"/>
  <c r="BB58" i="44"/>
  <c r="AY58" i="44"/>
  <c r="AX58" i="44"/>
  <c r="AW58" i="44"/>
  <c r="AV58" i="44"/>
  <c r="BI57" i="44"/>
  <c r="BH57" i="44"/>
  <c r="BG57" i="44"/>
  <c r="BF57" i="44"/>
  <c r="BE57" i="44"/>
  <c r="BD57" i="44"/>
  <c r="BC57" i="44"/>
  <c r="BB57" i="44"/>
  <c r="AY57" i="44"/>
  <c r="AX57" i="44"/>
  <c r="AW57" i="44"/>
  <c r="AV57" i="44"/>
  <c r="BI56" i="44"/>
  <c r="BH56" i="44"/>
  <c r="BG56" i="44"/>
  <c r="BF56" i="44"/>
  <c r="BE56" i="44"/>
  <c r="BD56" i="44"/>
  <c r="BC56" i="44"/>
  <c r="BB56" i="44"/>
  <c r="AY56" i="44"/>
  <c r="AX56" i="44"/>
  <c r="AW56" i="44"/>
  <c r="AV56" i="44"/>
  <c r="BI55" i="44"/>
  <c r="BH55" i="44"/>
  <c r="BG55" i="44"/>
  <c r="BF55" i="44"/>
  <c r="BE55" i="44"/>
  <c r="BD55" i="44"/>
  <c r="BC55" i="44"/>
  <c r="BB55" i="44"/>
  <c r="AY55" i="44"/>
  <c r="AX55" i="44"/>
  <c r="AW55" i="44"/>
  <c r="AV55" i="44"/>
  <c r="BI54" i="44"/>
  <c r="BH54" i="44"/>
  <c r="BG54" i="44"/>
  <c r="BF54" i="44"/>
  <c r="BE54" i="44"/>
  <c r="BD54" i="44"/>
  <c r="BC54" i="44"/>
  <c r="BB54" i="44"/>
  <c r="AY54" i="44"/>
  <c r="AX54" i="44"/>
  <c r="AW54" i="44"/>
  <c r="AV54" i="44"/>
  <c r="BI53" i="44"/>
  <c r="BH53" i="44"/>
  <c r="BG53" i="44"/>
  <c r="BF53" i="44"/>
  <c r="BE53" i="44"/>
  <c r="BD53" i="44"/>
  <c r="BC53" i="44"/>
  <c r="BB53" i="44"/>
  <c r="AY53" i="44"/>
  <c r="AX53" i="44"/>
  <c r="AW53" i="44"/>
  <c r="AV53" i="44"/>
  <c r="BI52" i="44"/>
  <c r="BH52" i="44"/>
  <c r="BG52" i="44"/>
  <c r="BF52" i="44"/>
  <c r="BE52" i="44"/>
  <c r="BD52" i="44"/>
  <c r="BC52" i="44"/>
  <c r="BB52" i="44"/>
  <c r="AY52" i="44"/>
  <c r="AX52" i="44"/>
  <c r="AW52" i="44"/>
  <c r="AV52" i="44"/>
  <c r="AU64" i="44"/>
  <c r="AT64" i="44"/>
  <c r="AS64" i="44"/>
  <c r="AR64" i="44"/>
  <c r="AQ64" i="44"/>
  <c r="AP64" i="44"/>
  <c r="AO64" i="44"/>
  <c r="AN64" i="44"/>
  <c r="AM64" i="44"/>
  <c r="AL64" i="44"/>
  <c r="AU63" i="44"/>
  <c r="AT63" i="44"/>
  <c r="AS63" i="44"/>
  <c r="AR63" i="44"/>
  <c r="AQ63" i="44"/>
  <c r="AP63" i="44"/>
  <c r="AO63" i="44"/>
  <c r="AN63" i="44"/>
  <c r="AM63" i="44"/>
  <c r="AL63" i="44"/>
  <c r="AU62" i="44"/>
  <c r="AT62" i="44"/>
  <c r="AS62" i="44"/>
  <c r="AR62" i="44"/>
  <c r="AQ62" i="44"/>
  <c r="AP62" i="44"/>
  <c r="AO62" i="44"/>
  <c r="AN62" i="44"/>
  <c r="AM62" i="44"/>
  <c r="AL62" i="44"/>
  <c r="AU61" i="44"/>
  <c r="AT61" i="44"/>
  <c r="AS61" i="44"/>
  <c r="AR61" i="44"/>
  <c r="AQ61" i="44"/>
  <c r="AP61" i="44"/>
  <c r="AO61" i="44"/>
  <c r="AN61" i="44"/>
  <c r="AM61" i="44"/>
  <c r="AL61" i="44"/>
  <c r="AU60" i="44"/>
  <c r="AT60" i="44"/>
  <c r="AS60" i="44"/>
  <c r="AR60" i="44"/>
  <c r="AQ60" i="44"/>
  <c r="AP60" i="44"/>
  <c r="AO60" i="44"/>
  <c r="AN60" i="44"/>
  <c r="AM60" i="44"/>
  <c r="AL60" i="44"/>
  <c r="AU59" i="44"/>
  <c r="AT59" i="44"/>
  <c r="AS59" i="44"/>
  <c r="AR59" i="44"/>
  <c r="AQ59" i="44"/>
  <c r="AP59" i="44"/>
  <c r="AO59" i="44"/>
  <c r="AN59" i="44"/>
  <c r="AM59" i="44"/>
  <c r="AL59" i="44"/>
  <c r="AU58" i="44"/>
  <c r="AT58" i="44"/>
  <c r="AS58" i="44"/>
  <c r="AR58" i="44"/>
  <c r="AQ58" i="44"/>
  <c r="AP58" i="44"/>
  <c r="AO58" i="44"/>
  <c r="AN58" i="44"/>
  <c r="AM58" i="44"/>
  <c r="AL58" i="44"/>
  <c r="AU57" i="44"/>
  <c r="AT57" i="44"/>
  <c r="AS57" i="44"/>
  <c r="AR57" i="44"/>
  <c r="AQ57" i="44"/>
  <c r="AP57" i="44"/>
  <c r="AO57" i="44"/>
  <c r="AN57" i="44"/>
  <c r="AM57" i="44"/>
  <c r="AL57" i="44"/>
  <c r="AU56" i="44"/>
  <c r="AT56" i="44"/>
  <c r="AS56" i="44"/>
  <c r="AR56" i="44"/>
  <c r="AQ56" i="44"/>
  <c r="AP56" i="44"/>
  <c r="AO56" i="44"/>
  <c r="AN56" i="44"/>
  <c r="AM56" i="44"/>
  <c r="AL56" i="44"/>
  <c r="AU55" i="44"/>
  <c r="AT55" i="44"/>
  <c r="AS55" i="44"/>
  <c r="AR55" i="44"/>
  <c r="AQ55" i="44"/>
  <c r="AP55" i="44"/>
  <c r="AO55" i="44"/>
  <c r="AN55" i="44"/>
  <c r="AM55" i="44"/>
  <c r="AL55" i="44"/>
  <c r="AU54" i="44"/>
  <c r="AT54" i="44"/>
  <c r="AS54" i="44"/>
  <c r="AR54" i="44"/>
  <c r="AQ54" i="44"/>
  <c r="AP54" i="44"/>
  <c r="AO54" i="44"/>
  <c r="AN54" i="44"/>
  <c r="AM54" i="44"/>
  <c r="AL54" i="44"/>
  <c r="AU53" i="44"/>
  <c r="AT53" i="44"/>
  <c r="AS53" i="44"/>
  <c r="AR53" i="44"/>
  <c r="AQ53" i="44"/>
  <c r="AP53" i="44"/>
  <c r="AO53" i="44"/>
  <c r="AN53" i="44"/>
  <c r="AM53" i="44"/>
  <c r="AL53" i="44"/>
  <c r="AU52" i="44"/>
  <c r="AT52" i="44"/>
  <c r="AS52" i="44"/>
  <c r="AR52" i="44"/>
  <c r="AQ52" i="44"/>
  <c r="AP52" i="44"/>
  <c r="AO52" i="44"/>
  <c r="AN52" i="44"/>
  <c r="AM52" i="44"/>
  <c r="AL52" i="44"/>
  <c r="AK64" i="44"/>
  <c r="AJ64" i="44"/>
  <c r="AI64" i="44"/>
  <c r="AH64" i="44"/>
  <c r="AG64" i="44"/>
  <c r="AF64" i="44"/>
  <c r="AK63" i="44"/>
  <c r="AJ63" i="44"/>
  <c r="AI63" i="44"/>
  <c r="AH63" i="44"/>
  <c r="AG63" i="44"/>
  <c r="AF63" i="44"/>
  <c r="AK62" i="44"/>
  <c r="AJ62" i="44"/>
  <c r="AI62" i="44"/>
  <c r="AH62" i="44"/>
  <c r="AG62" i="44"/>
  <c r="AF62" i="44"/>
  <c r="AK61" i="44"/>
  <c r="AJ61" i="44"/>
  <c r="AI61" i="44"/>
  <c r="AH61" i="44"/>
  <c r="AG61" i="44"/>
  <c r="AF61" i="44"/>
  <c r="AK60" i="44"/>
  <c r="AJ60" i="44"/>
  <c r="AI60" i="44"/>
  <c r="AH60" i="44"/>
  <c r="AG60" i="44"/>
  <c r="AF60" i="44"/>
  <c r="AK59" i="44"/>
  <c r="AJ59" i="44"/>
  <c r="AI59" i="44"/>
  <c r="AH59" i="44"/>
  <c r="AG59" i="44"/>
  <c r="AF59" i="44"/>
  <c r="AK58" i="44"/>
  <c r="AJ58" i="44"/>
  <c r="AI58" i="44"/>
  <c r="AH58" i="44"/>
  <c r="AG58" i="44"/>
  <c r="AF58" i="44"/>
  <c r="AK57" i="44"/>
  <c r="AJ57" i="44"/>
  <c r="AI57" i="44"/>
  <c r="AH57" i="44"/>
  <c r="AG57" i="44"/>
  <c r="AF57" i="44"/>
  <c r="AK56" i="44"/>
  <c r="AJ56" i="44"/>
  <c r="AI56" i="44"/>
  <c r="AH56" i="44"/>
  <c r="AG56" i="44"/>
  <c r="AF56" i="44"/>
  <c r="AK55" i="44"/>
  <c r="AJ55" i="44"/>
  <c r="AI55" i="44"/>
  <c r="AH55" i="44"/>
  <c r="AG55" i="44"/>
  <c r="AF55" i="44"/>
  <c r="AK54" i="44"/>
  <c r="AJ54" i="44"/>
  <c r="AI54" i="44"/>
  <c r="AH54" i="44"/>
  <c r="AG54" i="44"/>
  <c r="AF54" i="44"/>
  <c r="AK53" i="44"/>
  <c r="AJ53" i="44"/>
  <c r="AI53" i="44"/>
  <c r="AH53" i="44"/>
  <c r="AG53" i="44"/>
  <c r="AF53" i="44"/>
  <c r="AK52" i="44"/>
  <c r="AJ52" i="44"/>
  <c r="AI52" i="44"/>
  <c r="AH52" i="44"/>
  <c r="AG52" i="44"/>
  <c r="AF52" i="44"/>
  <c r="AE64" i="44"/>
  <c r="AD64" i="44"/>
  <c r="AC64" i="44"/>
  <c r="AB64" i="44"/>
  <c r="AE63" i="44"/>
  <c r="AD63" i="44"/>
  <c r="AC63" i="44"/>
  <c r="AB63" i="44"/>
  <c r="AE62" i="44"/>
  <c r="AD62" i="44"/>
  <c r="AC62" i="44"/>
  <c r="AB62" i="44"/>
  <c r="AE61" i="44"/>
  <c r="AD61" i="44"/>
  <c r="AC61" i="44"/>
  <c r="AB61" i="44"/>
  <c r="AE60" i="44"/>
  <c r="AD60" i="44"/>
  <c r="AC60" i="44"/>
  <c r="AB60" i="44"/>
  <c r="AE59" i="44"/>
  <c r="AD59" i="44"/>
  <c r="AC59" i="44"/>
  <c r="AB59" i="44"/>
  <c r="AE58" i="44"/>
  <c r="AD58" i="44"/>
  <c r="AC58" i="44"/>
  <c r="AB58" i="44"/>
  <c r="AE57" i="44"/>
  <c r="AD57" i="44"/>
  <c r="AC57" i="44"/>
  <c r="AB57" i="44"/>
  <c r="AE56" i="44"/>
  <c r="AD56" i="44"/>
  <c r="AC56" i="44"/>
  <c r="AB56" i="44"/>
  <c r="AE55" i="44"/>
  <c r="AD55" i="44"/>
  <c r="AC55" i="44"/>
  <c r="AB55" i="44"/>
  <c r="AE54" i="44"/>
  <c r="AD54" i="44"/>
  <c r="AC54" i="44"/>
  <c r="AB54" i="44"/>
  <c r="AE53" i="44"/>
  <c r="AD53" i="44"/>
  <c r="AC53" i="44"/>
  <c r="AB53" i="44"/>
  <c r="AE52" i="44"/>
  <c r="AD52" i="44"/>
  <c r="AC52" i="44"/>
  <c r="AB52" i="44"/>
  <c r="AA64" i="44"/>
  <c r="Z64" i="44"/>
  <c r="Y64" i="44"/>
  <c r="X64" i="44"/>
  <c r="W64" i="44"/>
  <c r="V64" i="44"/>
  <c r="AA63" i="44"/>
  <c r="Z63" i="44"/>
  <c r="Y63" i="44"/>
  <c r="X63" i="44"/>
  <c r="W63" i="44"/>
  <c r="V63" i="44"/>
  <c r="AA62" i="44"/>
  <c r="Z62" i="44"/>
  <c r="Y62" i="44"/>
  <c r="X62" i="44"/>
  <c r="W62" i="44"/>
  <c r="V62" i="44"/>
  <c r="AA61" i="44"/>
  <c r="Z61" i="44"/>
  <c r="Y61" i="44"/>
  <c r="X61" i="44"/>
  <c r="W61" i="44"/>
  <c r="V61" i="44"/>
  <c r="AA60" i="44"/>
  <c r="Z60" i="44"/>
  <c r="Y60" i="44"/>
  <c r="X60" i="44"/>
  <c r="W60" i="44"/>
  <c r="V60" i="44"/>
  <c r="AA59" i="44"/>
  <c r="Z59" i="44"/>
  <c r="Y59" i="44"/>
  <c r="X59" i="44"/>
  <c r="W59" i="44"/>
  <c r="V59" i="44"/>
  <c r="AA58" i="44"/>
  <c r="Z58" i="44"/>
  <c r="Y58" i="44"/>
  <c r="X58" i="44"/>
  <c r="W58" i="44"/>
  <c r="V58" i="44"/>
  <c r="AA57" i="44"/>
  <c r="Z57" i="44"/>
  <c r="Y57" i="44"/>
  <c r="X57" i="44"/>
  <c r="W57" i="44"/>
  <c r="V57" i="44"/>
  <c r="AA56" i="44"/>
  <c r="Z56" i="44"/>
  <c r="Y56" i="44"/>
  <c r="X56" i="44"/>
  <c r="W56" i="44"/>
  <c r="V56" i="44"/>
  <c r="AA55" i="44"/>
  <c r="Z55" i="44"/>
  <c r="Y55" i="44"/>
  <c r="X55" i="44"/>
  <c r="W55" i="44"/>
  <c r="V55" i="44"/>
  <c r="AA54" i="44"/>
  <c r="Z54" i="44"/>
  <c r="Y54" i="44"/>
  <c r="X54" i="44"/>
  <c r="W54" i="44"/>
  <c r="V54" i="44"/>
  <c r="AA53" i="44"/>
  <c r="Z53" i="44"/>
  <c r="Y53" i="44"/>
  <c r="X53" i="44"/>
  <c r="W53" i="44"/>
  <c r="V53" i="44"/>
  <c r="AA52" i="44"/>
  <c r="Z52" i="44"/>
  <c r="Y52" i="44"/>
  <c r="X52" i="44"/>
  <c r="W52" i="44"/>
  <c r="V52" i="44"/>
  <c r="U64" i="44"/>
  <c r="T64" i="44"/>
  <c r="U63" i="44"/>
  <c r="T63" i="44"/>
  <c r="U62" i="44"/>
  <c r="T62" i="44"/>
  <c r="U61" i="44"/>
  <c r="T61" i="44"/>
  <c r="U60" i="44"/>
  <c r="T60" i="44"/>
  <c r="U59" i="44"/>
  <c r="T59" i="44"/>
  <c r="U58" i="44"/>
  <c r="T58" i="44"/>
  <c r="U57" i="44"/>
  <c r="T57" i="44"/>
  <c r="U56" i="44"/>
  <c r="T56" i="44"/>
  <c r="U55" i="44"/>
  <c r="T55" i="44"/>
  <c r="U54" i="44"/>
  <c r="T54" i="44"/>
  <c r="U53" i="44"/>
  <c r="T53" i="44"/>
  <c r="U52" i="44"/>
  <c r="T52" i="44"/>
  <c r="S64" i="44"/>
  <c r="R64" i="44"/>
  <c r="Q64" i="44"/>
  <c r="P64" i="44"/>
  <c r="O64" i="44"/>
  <c r="N64" i="44"/>
  <c r="M64" i="44"/>
  <c r="L64" i="44"/>
  <c r="K64" i="44"/>
  <c r="J64" i="44"/>
  <c r="S63" i="44"/>
  <c r="R63" i="44"/>
  <c r="Q63" i="44"/>
  <c r="P63" i="44"/>
  <c r="O63" i="44"/>
  <c r="N63" i="44"/>
  <c r="M63" i="44"/>
  <c r="L63" i="44"/>
  <c r="K63" i="44"/>
  <c r="J63" i="44"/>
  <c r="S62" i="44"/>
  <c r="R62" i="44"/>
  <c r="Q62" i="44"/>
  <c r="P62" i="44"/>
  <c r="O62" i="44"/>
  <c r="N62" i="44"/>
  <c r="M62" i="44"/>
  <c r="L62" i="44"/>
  <c r="K62" i="44"/>
  <c r="J62" i="44"/>
  <c r="S61" i="44"/>
  <c r="R61" i="44"/>
  <c r="Q61" i="44"/>
  <c r="P61" i="44"/>
  <c r="O61" i="44"/>
  <c r="N61" i="44"/>
  <c r="M61" i="44"/>
  <c r="L61" i="44"/>
  <c r="K61" i="44"/>
  <c r="J61" i="44"/>
  <c r="S60" i="44"/>
  <c r="R60" i="44"/>
  <c r="Q60" i="44"/>
  <c r="P60" i="44"/>
  <c r="O60" i="44"/>
  <c r="N60" i="44"/>
  <c r="M60" i="44"/>
  <c r="L60" i="44"/>
  <c r="K60" i="44"/>
  <c r="J60" i="44"/>
  <c r="S59" i="44"/>
  <c r="R59" i="44"/>
  <c r="Q59" i="44"/>
  <c r="P59" i="44"/>
  <c r="O59" i="44"/>
  <c r="N59" i="44"/>
  <c r="M59" i="44"/>
  <c r="L59" i="44"/>
  <c r="K59" i="44"/>
  <c r="J59" i="44"/>
  <c r="S58" i="44"/>
  <c r="R58" i="44"/>
  <c r="Q58" i="44"/>
  <c r="P58" i="44"/>
  <c r="O58" i="44"/>
  <c r="N58" i="44"/>
  <c r="M58" i="44"/>
  <c r="L58" i="44"/>
  <c r="K58" i="44"/>
  <c r="J58" i="44"/>
  <c r="S57" i="44"/>
  <c r="R57" i="44"/>
  <c r="Q57" i="44"/>
  <c r="P57" i="44"/>
  <c r="O57" i="44"/>
  <c r="N57" i="44"/>
  <c r="M57" i="44"/>
  <c r="L57" i="44"/>
  <c r="K57" i="44"/>
  <c r="J57" i="44"/>
  <c r="S56" i="44"/>
  <c r="R56" i="44"/>
  <c r="Q56" i="44"/>
  <c r="P56" i="44"/>
  <c r="O56" i="44"/>
  <c r="N56" i="44"/>
  <c r="M56" i="44"/>
  <c r="L56" i="44"/>
  <c r="K56" i="44"/>
  <c r="J56" i="44"/>
  <c r="S55" i="44"/>
  <c r="R55" i="44"/>
  <c r="Q55" i="44"/>
  <c r="P55" i="44"/>
  <c r="O55" i="44"/>
  <c r="N55" i="44"/>
  <c r="M55" i="44"/>
  <c r="L55" i="44"/>
  <c r="K55" i="44"/>
  <c r="J55" i="44"/>
  <c r="S54" i="44"/>
  <c r="R54" i="44"/>
  <c r="Q54" i="44"/>
  <c r="P54" i="44"/>
  <c r="O54" i="44"/>
  <c r="N54" i="44"/>
  <c r="M54" i="44"/>
  <c r="L54" i="44"/>
  <c r="K54" i="44"/>
  <c r="J54" i="44"/>
  <c r="S53" i="44"/>
  <c r="R53" i="44"/>
  <c r="Q53" i="44"/>
  <c r="P53" i="44"/>
  <c r="O53" i="44"/>
  <c r="N53" i="44"/>
  <c r="M53" i="44"/>
  <c r="L53" i="44"/>
  <c r="K53" i="44"/>
  <c r="J53" i="44"/>
  <c r="S52" i="44"/>
  <c r="R52" i="44"/>
  <c r="Q52" i="44"/>
  <c r="P52" i="44"/>
  <c r="O52" i="44"/>
  <c r="N52" i="44"/>
  <c r="M52" i="44"/>
  <c r="L52" i="44"/>
  <c r="K52" i="44"/>
  <c r="J52" i="44"/>
  <c r="I64" i="44"/>
  <c r="H64" i="44"/>
  <c r="I63" i="44"/>
  <c r="H63" i="44"/>
  <c r="I62" i="44"/>
  <c r="H62" i="44"/>
  <c r="I61" i="44"/>
  <c r="H61" i="44"/>
  <c r="I60" i="44"/>
  <c r="H60" i="44"/>
  <c r="I59" i="44"/>
  <c r="H59" i="44"/>
  <c r="I58" i="44"/>
  <c r="H58" i="44"/>
  <c r="I57" i="44"/>
  <c r="H57" i="44"/>
  <c r="I56" i="44"/>
  <c r="H56" i="44"/>
  <c r="I55" i="44"/>
  <c r="H55" i="44"/>
  <c r="I54" i="44"/>
  <c r="H54" i="44"/>
  <c r="I53" i="44"/>
  <c r="H53" i="44"/>
  <c r="I52" i="44"/>
  <c r="H52" i="44"/>
  <c r="G53" i="44"/>
  <c r="G52" i="44"/>
  <c r="G54" i="44"/>
  <c r="G55" i="44"/>
  <c r="G56" i="44"/>
  <c r="G57" i="44"/>
  <c r="G58" i="44"/>
  <c r="G59" i="44"/>
  <c r="G60" i="44"/>
  <c r="G61" i="44"/>
  <c r="G62" i="44"/>
  <c r="G63" i="44"/>
  <c r="G64" i="44"/>
  <c r="F53" i="44"/>
  <c r="F54" i="44"/>
  <c r="F55" i="44"/>
  <c r="F56" i="44"/>
  <c r="F57" i="44"/>
  <c r="F58" i="44"/>
  <c r="F59" i="44"/>
  <c r="F60" i="44"/>
  <c r="F61" i="44"/>
  <c r="F62" i="44"/>
  <c r="F63" i="44"/>
  <c r="F64" i="44"/>
  <c r="F52" i="44"/>
  <c r="D44" i="29"/>
  <c r="K55" i="29" s="1"/>
  <c r="T353" i="21"/>
  <c r="K353" i="21"/>
  <c r="BC65" i="44" l="1"/>
  <c r="AW65" i="44"/>
  <c r="BE65" i="44"/>
  <c r="BI65" i="44"/>
  <c r="AE65" i="44"/>
  <c r="BG65" i="44"/>
  <c r="AY65" i="44"/>
  <c r="AC65" i="44"/>
  <c r="AK65" i="44"/>
  <c r="AO65" i="44"/>
  <c r="I65" i="44"/>
  <c r="M65" i="44"/>
  <c r="Y65" i="44"/>
  <c r="AG65" i="44"/>
  <c r="AS65" i="44"/>
  <c r="Q65" i="44"/>
  <c r="U65" i="44"/>
  <c r="BA65" i="44"/>
  <c r="BK65" i="44"/>
  <c r="BO65" i="44"/>
  <c r="K65" i="44"/>
  <c r="S65" i="44"/>
  <c r="AA65" i="44"/>
  <c r="AM65" i="44"/>
  <c r="AQ65" i="44"/>
  <c r="BM65" i="44"/>
  <c r="O65" i="44"/>
  <c r="W65" i="44"/>
  <c r="AI65" i="44"/>
  <c r="AU65" i="44"/>
  <c r="G65" i="44"/>
  <c r="O340" i="21"/>
  <c r="O338" i="21" l="1"/>
  <c r="O335" i="21" l="1"/>
  <c r="O333" i="21" l="1"/>
  <c r="H1836" i="21" l="1"/>
  <c r="O318" i="21" l="1"/>
  <c r="O319" i="21"/>
  <c r="L319" i="21"/>
  <c r="K319" i="21"/>
  <c r="G27" i="4" l="1"/>
  <c r="O317" i="21"/>
  <c r="O315" i="21" l="1"/>
  <c r="O312" i="21" l="1"/>
  <c r="L312" i="21"/>
  <c r="T306" i="21"/>
  <c r="O306" i="21"/>
  <c r="O295" i="21"/>
  <c r="L303" i="21" l="1"/>
  <c r="O298" i="21"/>
  <c r="O293" i="21" l="1"/>
  <c r="L285" i="21"/>
  <c r="O283" i="21" l="1"/>
  <c r="P279" i="21"/>
  <c r="H1787" i="21"/>
  <c r="O202" i="21" l="1"/>
  <c r="O276" i="21"/>
  <c r="O274" i="21" l="1"/>
  <c r="O269" i="21" l="1"/>
  <c r="O270" i="21"/>
  <c r="BR268" i="21"/>
  <c r="BS268" i="21" s="1"/>
  <c r="BR267" i="21"/>
  <c r="BS267" i="21" s="1"/>
  <c r="BR266" i="21"/>
  <c r="BS266" i="21" s="1"/>
  <c r="H1776" i="21"/>
  <c r="H1775" i="21"/>
  <c r="H1774" i="21"/>
  <c r="R1" i="21" l="1"/>
  <c r="S1" i="21"/>
  <c r="U1" i="21"/>
  <c r="O222" i="21" l="1"/>
  <c r="T252" i="21"/>
  <c r="O252" i="21"/>
  <c r="O81" i="21"/>
  <c r="O219" i="21"/>
  <c r="T256" i="21"/>
  <c r="O256" i="21"/>
  <c r="O235" i="21" l="1"/>
  <c r="O233" i="21"/>
  <c r="L233" i="21"/>
  <c r="O230" i="21" l="1"/>
  <c r="L227" i="21"/>
  <c r="T225" i="21"/>
  <c r="O225" i="21"/>
  <c r="O210" i="21" l="1"/>
  <c r="O212" i="21" l="1"/>
  <c r="T204" i="21" l="1"/>
  <c r="O204" i="21"/>
  <c r="L204" i="21"/>
  <c r="O203" i="21"/>
  <c r="O194" i="21" l="1"/>
  <c r="O195" i="21"/>
  <c r="H1703" i="21"/>
  <c r="L191" i="21" l="1"/>
  <c r="O189" i="21"/>
  <c r="O175" i="21" l="1"/>
  <c r="T174" i="21"/>
  <c r="P174" i="21"/>
  <c r="H1683" i="21" l="1"/>
  <c r="H1682" i="21"/>
  <c r="L172" i="21"/>
  <c r="O166" i="21" l="1"/>
  <c r="L171" i="21"/>
  <c r="K171" i="21"/>
  <c r="O167" i="21" l="1"/>
  <c r="O154" i="21" l="1"/>
  <c r="O155" i="21" l="1"/>
  <c r="O150" i="21" l="1"/>
  <c r="O143" i="21" l="1"/>
  <c r="O140" i="21"/>
  <c r="O145" i="21"/>
  <c r="L142" i="21"/>
  <c r="O135" i="21" l="1"/>
  <c r="O137" i="21" l="1"/>
  <c r="O131" i="21" l="1"/>
  <c r="O132" i="21"/>
  <c r="O120" i="21" l="1"/>
  <c r="O116" i="21" l="1"/>
  <c r="L119" i="21"/>
  <c r="P109" i="21" l="1"/>
  <c r="Q105" i="21" l="1"/>
  <c r="Q1" i="21" l="1"/>
  <c r="O105" i="21"/>
  <c r="BR31" i="21" l="1"/>
  <c r="BS31" i="21" s="1"/>
  <c r="O101" i="21" l="1"/>
  <c r="O103" i="21"/>
  <c r="T91" i="21" l="1"/>
  <c r="O91" i="21"/>
  <c r="O94" i="21" l="1"/>
  <c r="O90" i="21" l="1"/>
  <c r="O86" i="21" l="1"/>
  <c r="O87" i="21"/>
  <c r="O72" i="21" l="1"/>
  <c r="L70" i="21"/>
  <c r="O68" i="21"/>
  <c r="O61" i="21" l="1"/>
  <c r="O62" i="21" l="1"/>
  <c r="O60" i="21"/>
  <c r="E126" i="4" l="1"/>
  <c r="E119" i="4"/>
  <c r="O50" i="21" l="1"/>
  <c r="O54" i="21"/>
  <c r="O47" i="21" l="1"/>
  <c r="O46" i="21" l="1"/>
  <c r="O44" i="21" l="1"/>
  <c r="O39" i="21" l="1"/>
  <c r="O37" i="21"/>
  <c r="O38" i="21"/>
  <c r="O24" i="21" l="1"/>
  <c r="T22" i="21" l="1"/>
  <c r="O22" i="21"/>
  <c r="T1" i="21" l="1"/>
  <c r="W1" i="21" s="1"/>
  <c r="O19" i="21"/>
  <c r="O14" i="21" l="1"/>
  <c r="O12" i="21" l="1"/>
  <c r="O10" i="21" l="1"/>
  <c r="BR6" i="21" l="1"/>
  <c r="BR4" i="21"/>
  <c r="BS4" i="21" s="1"/>
  <c r="BR9" i="21"/>
  <c r="M9" i="21"/>
  <c r="BR8" i="21"/>
  <c r="M8" i="21"/>
  <c r="BR7" i="21"/>
  <c r="P7" i="21"/>
  <c r="P1" i="21" s="1"/>
  <c r="M7" i="21"/>
  <c r="M6" i="21"/>
  <c r="BR5" i="21"/>
  <c r="M5" i="21"/>
  <c r="O4" i="21"/>
  <c r="M4" i="21"/>
  <c r="BR10" i="21"/>
  <c r="M10" i="21"/>
  <c r="BS5" i="21" l="1"/>
  <c r="BS9" i="21"/>
  <c r="BS6" i="21"/>
  <c r="BS8" i="21"/>
  <c r="BS10" i="21"/>
  <c r="AF4" i="21"/>
  <c r="AG4" i="21" s="1"/>
  <c r="AH4" i="21" s="1"/>
  <c r="W4" i="21"/>
  <c r="O1" i="21"/>
  <c r="N4" i="21"/>
  <c r="X4" i="21"/>
  <c r="AC4" i="21"/>
  <c r="BS7" i="21"/>
  <c r="AI4" i="21"/>
  <c r="AK4" i="21" l="1"/>
  <c r="AL4" i="21" s="1"/>
  <c r="AE4" i="21"/>
  <c r="AA4" i="21"/>
  <c r="AB4" i="21" s="1"/>
  <c r="AD4" i="21"/>
  <c r="AM4" i="21" l="1"/>
  <c r="H1742" i="21" l="1"/>
  <c r="H1689" i="21" l="1"/>
  <c r="BR181" i="21"/>
  <c r="BS181" i="21" s="1"/>
  <c r="H1667" i="21" l="1"/>
  <c r="BS150" i="21" l="1"/>
  <c r="H1650" i="21" l="1"/>
  <c r="E11" i="4" l="1"/>
  <c r="H1588" i="21" l="1"/>
  <c r="BR78" i="21"/>
  <c r="BS78" i="21" s="1"/>
  <c r="BR79" i="21"/>
  <c r="BS79" i="21" s="1"/>
  <c r="H1566" i="21" l="1"/>
  <c r="H1567" i="21"/>
  <c r="H1568" i="21"/>
  <c r="H1569" i="21"/>
  <c r="H1570" i="21"/>
  <c r="H1571" i="21"/>
  <c r="H1572" i="21"/>
  <c r="H1573" i="21"/>
  <c r="H1574" i="21"/>
  <c r="H1575" i="21"/>
  <c r="H1576" i="21"/>
  <c r="H1577" i="21"/>
  <c r="H1578" i="21"/>
  <c r="H1579" i="21"/>
  <c r="H1580" i="21"/>
  <c r="H1581" i="21"/>
  <c r="H1582" i="21"/>
  <c r="H1583" i="21"/>
  <c r="H1584" i="21"/>
  <c r="H1585" i="21"/>
  <c r="H1586" i="21"/>
  <c r="H1587" i="21"/>
  <c r="H1589" i="21"/>
  <c r="H1590" i="21"/>
  <c r="H1591" i="21"/>
  <c r="H1592" i="21"/>
  <c r="H1593" i="21"/>
  <c r="H1594" i="21"/>
  <c r="H1595" i="21"/>
  <c r="H1596" i="21"/>
  <c r="H1597" i="21"/>
  <c r="H1598" i="21"/>
  <c r="H1599" i="21"/>
  <c r="H1600" i="21"/>
  <c r="H1601" i="21"/>
  <c r="H1602" i="21"/>
  <c r="H1603" i="21"/>
  <c r="H1604" i="21"/>
  <c r="H1605" i="21"/>
  <c r="H1606" i="21"/>
  <c r="H1607" i="21"/>
  <c r="H1608" i="21"/>
  <c r="H1609" i="21"/>
  <c r="H1610" i="21"/>
  <c r="H1611" i="21"/>
  <c r="H1612" i="21"/>
  <c r="H1613" i="21"/>
  <c r="H1614" i="21"/>
  <c r="H1615" i="21"/>
  <c r="H1616" i="21"/>
  <c r="H1617" i="21"/>
  <c r="H1618" i="21"/>
  <c r="H1619" i="21"/>
  <c r="H1620" i="21"/>
  <c r="H1621" i="21"/>
  <c r="H1622" i="21"/>
  <c r="H1623" i="21"/>
  <c r="H1624" i="21"/>
  <c r="H1625" i="21"/>
  <c r="H1626" i="21"/>
  <c r="H1627" i="21"/>
  <c r="H1628" i="21"/>
  <c r="H1629" i="21"/>
  <c r="H1630" i="21"/>
  <c r="H1631" i="21"/>
  <c r="H1632" i="21"/>
  <c r="H1633" i="21"/>
  <c r="H1634" i="21"/>
  <c r="H1635" i="21"/>
  <c r="H1636" i="21"/>
  <c r="H1637" i="21"/>
  <c r="H1638" i="21"/>
  <c r="H1639" i="21"/>
  <c r="H1640" i="21"/>
  <c r="H1641" i="21"/>
  <c r="H1642" i="21"/>
  <c r="H1643" i="21"/>
  <c r="H1644" i="21"/>
  <c r="H1645" i="21"/>
  <c r="H1646" i="21"/>
  <c r="H1647" i="21"/>
  <c r="H1648" i="21"/>
  <c r="H1649" i="21"/>
  <c r="H1651" i="21"/>
  <c r="H1652" i="21"/>
  <c r="H1653" i="21"/>
  <c r="H1654" i="21"/>
  <c r="H1655" i="21"/>
  <c r="H1656" i="21"/>
  <c r="H1657" i="21"/>
  <c r="H1658" i="21"/>
  <c r="H1659" i="21"/>
  <c r="H1660" i="21"/>
  <c r="H1661" i="21"/>
  <c r="H1662" i="21"/>
  <c r="H1663" i="21"/>
  <c r="H1664" i="21"/>
  <c r="H1665" i="21"/>
  <c r="H1666" i="21"/>
  <c r="H1668" i="21"/>
  <c r="H1669" i="21"/>
  <c r="H1670" i="21"/>
  <c r="H1671" i="21"/>
  <c r="H1672" i="21"/>
  <c r="H1673" i="21"/>
  <c r="H1674" i="21"/>
  <c r="H1675" i="21"/>
  <c r="H1676" i="21"/>
  <c r="H1677" i="21"/>
  <c r="H1678" i="21"/>
  <c r="H1679" i="21"/>
  <c r="H1680" i="21"/>
  <c r="H1681" i="21"/>
  <c r="H1684" i="21"/>
  <c r="H1685" i="21"/>
  <c r="H1686" i="21"/>
  <c r="H1687" i="21"/>
  <c r="H1688" i="21"/>
  <c r="H1690" i="21"/>
  <c r="H1691" i="21"/>
  <c r="H1692" i="21"/>
  <c r="H1693" i="21"/>
  <c r="H1694" i="21"/>
  <c r="H1695" i="21"/>
  <c r="H1696" i="21"/>
  <c r="H1697" i="21"/>
  <c r="H1698" i="21"/>
  <c r="H1699" i="21"/>
  <c r="H1700" i="21"/>
  <c r="H1701" i="21"/>
  <c r="H1702" i="21"/>
  <c r="H1704" i="21"/>
  <c r="H1705" i="21"/>
  <c r="H1706" i="21"/>
  <c r="H1707" i="21"/>
  <c r="H1708" i="21"/>
  <c r="H1709" i="21"/>
  <c r="H1710" i="21"/>
  <c r="H1711" i="21"/>
  <c r="H1712" i="21"/>
  <c r="H1713" i="21"/>
  <c r="H1714" i="21"/>
  <c r="H1715" i="21"/>
  <c r="H1716" i="21"/>
  <c r="H1717" i="21"/>
  <c r="H1718" i="21"/>
  <c r="H1719" i="21"/>
  <c r="H1720" i="21"/>
  <c r="H1721" i="21"/>
  <c r="H1722" i="21"/>
  <c r="H1723" i="21"/>
  <c r="H1724" i="21"/>
  <c r="H1725" i="21"/>
  <c r="H1726" i="21"/>
  <c r="H1727" i="21"/>
  <c r="H1728" i="21"/>
  <c r="H1729" i="21"/>
  <c r="H1730" i="21"/>
  <c r="H1731" i="21"/>
  <c r="H1732" i="21"/>
  <c r="H1733" i="21"/>
  <c r="H1734" i="21"/>
  <c r="H1735" i="21"/>
  <c r="H1736" i="21"/>
  <c r="H1737" i="21"/>
  <c r="H1738" i="21"/>
  <c r="H1739" i="21"/>
  <c r="H1740" i="21"/>
  <c r="H1741" i="21"/>
  <c r="H1743" i="21"/>
  <c r="H1744" i="21"/>
  <c r="H1745" i="21"/>
  <c r="H1746" i="21"/>
  <c r="H1747" i="21"/>
  <c r="H1748" i="21"/>
  <c r="H1749" i="21"/>
  <c r="H1750" i="21"/>
  <c r="H1751" i="21"/>
  <c r="H1752" i="21"/>
  <c r="H1753" i="21"/>
  <c r="H1754" i="21"/>
  <c r="H1755" i="21"/>
  <c r="H1756" i="21"/>
  <c r="H1757" i="21"/>
  <c r="H1758" i="21"/>
  <c r="H1759" i="21"/>
  <c r="H1760" i="21"/>
  <c r="H1761" i="21"/>
  <c r="H1762" i="21"/>
  <c r="H1763" i="21"/>
  <c r="H1764" i="21"/>
  <c r="H1765" i="21"/>
  <c r="H1766" i="21"/>
  <c r="H1767" i="21"/>
  <c r="H1768" i="21"/>
  <c r="H1769" i="21"/>
  <c r="H1770" i="21"/>
  <c r="H1771" i="21"/>
  <c r="H1772" i="21"/>
  <c r="H1773" i="21"/>
  <c r="H1777" i="21"/>
  <c r="H1778" i="21"/>
  <c r="H1779" i="21"/>
  <c r="H1780" i="21"/>
  <c r="H1781" i="21"/>
  <c r="H1782" i="21"/>
  <c r="H1783" i="21"/>
  <c r="H1784" i="21"/>
  <c r="H1785" i="21"/>
  <c r="H1786" i="21"/>
  <c r="H1788" i="21"/>
  <c r="H1789" i="21"/>
  <c r="H1790" i="21"/>
  <c r="H1791" i="21"/>
  <c r="H1792" i="21"/>
  <c r="H1793" i="21"/>
  <c r="H1794" i="21"/>
  <c r="H1795" i="21"/>
  <c r="H1796" i="21"/>
  <c r="H1797" i="21"/>
  <c r="H1798" i="21"/>
  <c r="H1799" i="21"/>
  <c r="H1800" i="21"/>
  <c r="H1801" i="21"/>
  <c r="H1802" i="21"/>
  <c r="H1803" i="21"/>
  <c r="H1804" i="21"/>
  <c r="H1805" i="21"/>
  <c r="H1806" i="21"/>
  <c r="H1807" i="21"/>
  <c r="H1808" i="21"/>
  <c r="H1809" i="21"/>
  <c r="H1810" i="21"/>
  <c r="H1811" i="21"/>
  <c r="H1812" i="21"/>
  <c r="H1813" i="21"/>
  <c r="H1814" i="21"/>
  <c r="H1815" i="21"/>
  <c r="H1816" i="21"/>
  <c r="H1817" i="21"/>
  <c r="H1818" i="21"/>
  <c r="H1819" i="21"/>
  <c r="H1820" i="21"/>
  <c r="H1821" i="21"/>
  <c r="H1822" i="21"/>
  <c r="H1823" i="21"/>
  <c r="H1824" i="21"/>
  <c r="H1825" i="21"/>
  <c r="H1826" i="21"/>
  <c r="H1827" i="21"/>
  <c r="H1828" i="21"/>
  <c r="H1829" i="21"/>
  <c r="H1830" i="21"/>
  <c r="H1831" i="21"/>
  <c r="H1832" i="21"/>
  <c r="H1833" i="21"/>
  <c r="H1834" i="21"/>
  <c r="H1835" i="21"/>
  <c r="H1837" i="21"/>
  <c r="H1838" i="21"/>
  <c r="H1839" i="21"/>
  <c r="H1840" i="21"/>
  <c r="H1841" i="21"/>
  <c r="H1842" i="21"/>
  <c r="H1843" i="21"/>
  <c r="H1844" i="21"/>
  <c r="H1845" i="21"/>
  <c r="H1846" i="21"/>
  <c r="H1847" i="21"/>
  <c r="H1848" i="21"/>
  <c r="H1849" i="21"/>
  <c r="H1850" i="21"/>
  <c r="H1851" i="21"/>
  <c r="H1852" i="21"/>
  <c r="H1853" i="21"/>
  <c r="H1854" i="21"/>
  <c r="H1855" i="21"/>
  <c r="H1856" i="21"/>
  <c r="H1857" i="21"/>
  <c r="H1858" i="21"/>
  <c r="H1859" i="21"/>
  <c r="H1860" i="21"/>
  <c r="H1861" i="21"/>
  <c r="M18" i="21" l="1"/>
  <c r="BR18" i="21"/>
  <c r="BS18" i="21" s="1"/>
  <c r="BR153" i="21" l="1"/>
  <c r="BS153" i="21" l="1"/>
  <c r="BR94" i="21" l="1"/>
  <c r="BS94" i="21" s="1"/>
  <c r="BR172" i="21" l="1"/>
  <c r="BS172" i="21" s="1"/>
  <c r="BR102" i="21" l="1"/>
  <c r="BS102" i="21" s="1"/>
  <c r="K56" i="29" l="1"/>
  <c r="D14" i="39"/>
  <c r="T7" i="4" l="1"/>
  <c r="K10" i="4"/>
  <c r="J10" i="4"/>
  <c r="I10" i="4"/>
  <c r="H10" i="4"/>
  <c r="G10" i="4"/>
  <c r="K9" i="4"/>
  <c r="J9" i="4"/>
  <c r="I9" i="4"/>
  <c r="H9" i="4"/>
  <c r="G9" i="4"/>
  <c r="K8" i="4"/>
  <c r="J8" i="4"/>
  <c r="I8" i="4"/>
  <c r="H8" i="4"/>
  <c r="G8" i="4"/>
  <c r="K7" i="4"/>
  <c r="J7" i="4"/>
  <c r="I7" i="4"/>
  <c r="H7" i="4"/>
  <c r="G7" i="4"/>
  <c r="K6" i="4"/>
  <c r="J6" i="4"/>
  <c r="I6" i="4"/>
  <c r="H6" i="4"/>
  <c r="G6" i="4"/>
  <c r="K5" i="4"/>
  <c r="J5" i="4"/>
  <c r="I5" i="4"/>
  <c r="H5" i="4"/>
  <c r="G5" i="4"/>
  <c r="C10" i="4"/>
  <c r="C9" i="4"/>
  <c r="C8" i="4"/>
  <c r="C7" i="4"/>
  <c r="C6" i="4"/>
  <c r="C5" i="4"/>
  <c r="AC5" i="4" l="1"/>
  <c r="O95" i="31"/>
  <c r="O9" i="4"/>
  <c r="K99" i="31"/>
  <c r="U9" i="4"/>
  <c r="L95" i="31"/>
  <c r="Z5" i="4"/>
  <c r="AB6" i="4"/>
  <c r="N96" i="31"/>
  <c r="L97" i="31"/>
  <c r="Z7" i="4"/>
  <c r="AB8" i="4"/>
  <c r="N98" i="31"/>
  <c r="L99" i="31"/>
  <c r="Z9" i="4"/>
  <c r="K100" i="31"/>
  <c r="U10" i="4"/>
  <c r="AC10" i="4"/>
  <c r="O100" i="31"/>
  <c r="U7" i="4"/>
  <c r="K97" i="31"/>
  <c r="AA8" i="4"/>
  <c r="M98" i="31"/>
  <c r="AB10" i="4"/>
  <c r="N100" i="31"/>
  <c r="AA5" i="4"/>
  <c r="M95" i="31"/>
  <c r="N6" i="4"/>
  <c r="K96" i="31"/>
  <c r="H96" i="31" s="1"/>
  <c r="U6" i="4"/>
  <c r="AC6" i="4"/>
  <c r="O96" i="31"/>
  <c r="AA7" i="4"/>
  <c r="M97" i="31"/>
  <c r="O8" i="4"/>
  <c r="U8" i="4"/>
  <c r="K98" i="31"/>
  <c r="AC8" i="4"/>
  <c r="O98" i="31"/>
  <c r="AA9" i="4"/>
  <c r="M99" i="31"/>
  <c r="L100" i="31"/>
  <c r="Z10" i="4"/>
  <c r="K95" i="31"/>
  <c r="U5" i="4"/>
  <c r="AA6" i="4"/>
  <c r="M96" i="31"/>
  <c r="AC7" i="4"/>
  <c r="O97" i="31"/>
  <c r="AC9" i="4"/>
  <c r="O99" i="31"/>
  <c r="AB5" i="4"/>
  <c r="N95" i="31"/>
  <c r="L96" i="31"/>
  <c r="Z6" i="4"/>
  <c r="AB7" i="4"/>
  <c r="N97" i="31"/>
  <c r="L98" i="31"/>
  <c r="Z8" i="4"/>
  <c r="AB9" i="4"/>
  <c r="N99" i="31"/>
  <c r="AA10" i="4"/>
  <c r="M100" i="31"/>
  <c r="J11" i="4"/>
  <c r="I11" i="4"/>
  <c r="K11" i="4"/>
  <c r="K165" i="4" s="1"/>
  <c r="G11" i="4"/>
  <c r="H11" i="4"/>
  <c r="H165" i="4" s="1"/>
  <c r="L6" i="4"/>
  <c r="N9" i="4"/>
  <c r="R10" i="4"/>
  <c r="P10" i="4" s="1"/>
  <c r="L5" i="4"/>
  <c r="R9" i="4"/>
  <c r="P9" i="4" s="1"/>
  <c r="L8" i="4"/>
  <c r="R6" i="4"/>
  <c r="P6" i="4" s="1"/>
  <c r="R7" i="4"/>
  <c r="P7" i="4" s="1"/>
  <c r="L9" i="4"/>
  <c r="O6" i="4"/>
  <c r="R8" i="4"/>
  <c r="P8" i="4" s="1"/>
  <c r="L7" i="4"/>
  <c r="N7" i="4"/>
  <c r="L10" i="4"/>
  <c r="O7" i="4"/>
  <c r="N10" i="4"/>
  <c r="R5" i="4"/>
  <c r="P5" i="4" s="1"/>
  <c r="N5" i="4"/>
  <c r="O10" i="4"/>
  <c r="O5" i="4"/>
  <c r="N8" i="4"/>
  <c r="G150" i="4" l="1"/>
  <c r="G165" i="4"/>
  <c r="I165" i="4" s="1"/>
  <c r="P56" i="29"/>
  <c r="J95" i="31"/>
  <c r="I95" i="31" s="1"/>
  <c r="J96" i="31"/>
  <c r="I96" i="31" s="1"/>
  <c r="G96" i="31" s="1"/>
  <c r="H100" i="31"/>
  <c r="J100" i="31"/>
  <c r="I100" i="31" s="1"/>
  <c r="N56" i="29"/>
  <c r="H150" i="4"/>
  <c r="J99" i="31"/>
  <c r="I99" i="31" s="1"/>
  <c r="H99" i="31"/>
  <c r="H95" i="31"/>
  <c r="U11" i="4"/>
  <c r="H98" i="31"/>
  <c r="J98" i="31"/>
  <c r="I98" i="31" s="1"/>
  <c r="J97" i="31"/>
  <c r="I97" i="31" s="1"/>
  <c r="H97" i="31"/>
  <c r="N11" i="4"/>
  <c r="L56" i="29"/>
  <c r="M56" i="29" s="1"/>
  <c r="L11" i="4"/>
  <c r="R11" i="4"/>
  <c r="O11" i="4"/>
  <c r="L150" i="4" l="1"/>
  <c r="O150" i="4" s="1"/>
  <c r="G100" i="31"/>
  <c r="G99" i="31"/>
  <c r="G97" i="31"/>
  <c r="G98" i="31"/>
  <c r="P11" i="4"/>
  <c r="V11" i="4"/>
  <c r="G95" i="31"/>
  <c r="Q56" i="29"/>
  <c r="O56" i="29"/>
  <c r="BR80" i="21" l="1"/>
  <c r="BS80" i="21" s="1"/>
  <c r="BR77" i="21"/>
  <c r="BS77" i="21" s="1"/>
  <c r="BR62" i="21" l="1"/>
  <c r="BS62" i="21" s="1"/>
  <c r="BR64" i="21"/>
  <c r="BS64" i="21" s="1"/>
  <c r="BR49" i="21" l="1"/>
  <c r="BS49" i="21" s="1"/>
  <c r="BR32" i="21" l="1"/>
  <c r="BS32" i="21" s="1"/>
  <c r="E140" i="4" l="1"/>
  <c r="E105" i="4"/>
  <c r="BR353" i="21" l="1"/>
  <c r="BR352" i="21"/>
  <c r="BR351" i="21"/>
  <c r="BR350" i="21"/>
  <c r="BR349" i="21"/>
  <c r="BR348" i="21"/>
  <c r="BR347" i="21"/>
  <c r="BR346" i="21"/>
  <c r="BR345" i="21"/>
  <c r="BR344" i="21"/>
  <c r="BR343" i="21"/>
  <c r="BR342" i="21"/>
  <c r="BR341" i="21"/>
  <c r="BR340" i="21"/>
  <c r="BR339" i="21"/>
  <c r="BR338" i="21"/>
  <c r="BR337" i="21"/>
  <c r="BR336" i="21"/>
  <c r="BR335" i="21"/>
  <c r="BR334" i="21"/>
  <c r="BR333" i="21"/>
  <c r="BR332" i="21"/>
  <c r="BR331" i="21"/>
  <c r="BR330" i="21"/>
  <c r="BR329" i="21"/>
  <c r="BR328" i="21"/>
  <c r="BR327" i="21"/>
  <c r="BR326" i="21"/>
  <c r="BR325" i="21"/>
  <c r="BR324" i="21"/>
  <c r="BR323" i="21"/>
  <c r="BR322" i="21"/>
  <c r="BR321" i="21"/>
  <c r="BR320" i="21"/>
  <c r="BR319" i="21"/>
  <c r="BR318" i="21"/>
  <c r="BR317" i="21"/>
  <c r="BR316" i="21"/>
  <c r="BR315" i="21"/>
  <c r="BR314" i="21"/>
  <c r="BR313" i="21"/>
  <c r="BR312" i="21"/>
  <c r="BR311" i="21"/>
  <c r="BR310" i="21"/>
  <c r="BR309" i="21"/>
  <c r="BR308" i="21"/>
  <c r="BR307" i="21"/>
  <c r="BR306" i="21"/>
  <c r="BR305" i="21"/>
  <c r="BR304" i="21"/>
  <c r="BR303" i="21"/>
  <c r="BR302" i="21"/>
  <c r="BR301" i="21"/>
  <c r="BR300" i="21"/>
  <c r="BR299" i="21"/>
  <c r="BR298" i="21"/>
  <c r="BR297" i="21"/>
  <c r="BR296" i="21"/>
  <c r="BR295" i="21"/>
  <c r="BR294" i="21"/>
  <c r="BR293" i="21"/>
  <c r="BR292" i="21"/>
  <c r="BR291" i="21"/>
  <c r="BR290" i="21"/>
  <c r="BR289" i="21"/>
  <c r="BR288" i="21"/>
  <c r="BR287" i="21"/>
  <c r="BR286" i="21"/>
  <c r="BR285" i="21"/>
  <c r="BR284" i="21"/>
  <c r="BR283" i="21"/>
  <c r="BR282" i="21"/>
  <c r="BR281" i="21"/>
  <c r="BR280" i="21"/>
  <c r="BR279" i="21"/>
  <c r="BR278" i="21"/>
  <c r="BR277" i="21"/>
  <c r="BR276" i="21"/>
  <c r="BR275" i="21"/>
  <c r="BR274" i="21"/>
  <c r="BR273" i="21"/>
  <c r="BR272" i="21"/>
  <c r="BR271" i="21"/>
  <c r="BR270" i="21"/>
  <c r="BR269" i="21"/>
  <c r="BR265" i="21"/>
  <c r="BR264" i="21"/>
  <c r="BR263" i="21"/>
  <c r="BR262" i="21"/>
  <c r="BR261" i="21"/>
  <c r="BR260" i="21"/>
  <c r="BR259" i="21"/>
  <c r="BR258" i="21"/>
  <c r="BR257" i="21"/>
  <c r="BR256" i="21"/>
  <c r="BR255" i="21"/>
  <c r="BR254" i="21"/>
  <c r="BR253" i="21"/>
  <c r="BR252" i="21"/>
  <c r="BR251" i="21"/>
  <c r="BR250" i="21"/>
  <c r="BR249" i="21"/>
  <c r="BR248" i="21"/>
  <c r="BR247" i="21"/>
  <c r="BR246" i="21"/>
  <c r="BR245" i="21"/>
  <c r="BR244" i="21"/>
  <c r="BR243" i="21"/>
  <c r="BR242" i="21"/>
  <c r="BR241" i="21"/>
  <c r="BR240" i="21"/>
  <c r="BR239" i="21"/>
  <c r="BR238" i="21"/>
  <c r="BR237" i="21"/>
  <c r="BR236" i="21"/>
  <c r="BR235" i="21"/>
  <c r="BR234" i="21"/>
  <c r="BR233" i="21"/>
  <c r="BR232" i="21"/>
  <c r="BR231" i="21"/>
  <c r="BR230" i="21"/>
  <c r="BR229" i="21"/>
  <c r="BR228" i="21"/>
  <c r="BR227" i="21"/>
  <c r="BR226" i="21"/>
  <c r="BR225" i="21"/>
  <c r="BR224" i="21"/>
  <c r="BR223" i="21"/>
  <c r="BR222" i="21"/>
  <c r="BR221" i="21"/>
  <c r="BR220" i="21"/>
  <c r="BR219" i="21"/>
  <c r="BR218" i="21"/>
  <c r="BR217" i="21"/>
  <c r="BR216" i="21"/>
  <c r="BR215" i="21"/>
  <c r="BR214" i="21"/>
  <c r="BR213" i="21"/>
  <c r="BR212" i="21"/>
  <c r="BR211" i="21"/>
  <c r="BR210" i="21"/>
  <c r="BR209" i="21"/>
  <c r="BR208" i="21"/>
  <c r="BR207" i="21"/>
  <c r="BR206" i="21"/>
  <c r="BR205" i="21"/>
  <c r="BR204" i="21"/>
  <c r="BR203" i="21"/>
  <c r="BR202" i="21"/>
  <c r="BR201" i="21"/>
  <c r="BR200" i="21"/>
  <c r="BR199" i="21"/>
  <c r="BR198" i="21"/>
  <c r="BR197" i="21"/>
  <c r="BR196" i="21"/>
  <c r="BR194" i="21"/>
  <c r="BR193" i="21"/>
  <c r="BR192" i="21"/>
  <c r="BR191" i="21"/>
  <c r="BR190" i="21"/>
  <c r="BR189" i="21"/>
  <c r="BR188" i="21"/>
  <c r="BR187" i="21"/>
  <c r="BR186" i="21"/>
  <c r="BR185" i="21"/>
  <c r="BR184" i="21"/>
  <c r="BR183" i="21"/>
  <c r="BR182" i="21"/>
  <c r="BR180" i="21"/>
  <c r="BR179" i="21"/>
  <c r="BR178" i="21"/>
  <c r="BR177" i="21"/>
  <c r="BR176" i="21"/>
  <c r="BR175" i="21"/>
  <c r="BR174" i="21"/>
  <c r="BR173" i="21"/>
  <c r="BR171" i="21"/>
  <c r="BR170" i="21"/>
  <c r="BR169" i="21"/>
  <c r="BR168" i="21"/>
  <c r="BR167" i="21"/>
  <c r="BR166" i="21"/>
  <c r="BR165" i="21"/>
  <c r="BR164" i="21"/>
  <c r="BR163" i="21"/>
  <c r="BR162" i="21"/>
  <c r="BR161" i="21"/>
  <c r="BR160" i="21"/>
  <c r="BR159" i="21"/>
  <c r="BR158" i="21"/>
  <c r="BR157" i="21"/>
  <c r="BR156" i="21"/>
  <c r="BR155" i="21"/>
  <c r="BR154" i="21"/>
  <c r="BS154" i="21" s="1"/>
  <c r="BR152" i="21"/>
  <c r="BS152" i="21" s="1"/>
  <c r="BR151" i="21"/>
  <c r="BS151" i="21" s="1"/>
  <c r="BR149" i="21"/>
  <c r="BS149" i="21" s="1"/>
  <c r="BR148" i="21"/>
  <c r="BS148" i="21" s="1"/>
  <c r="BR147" i="21"/>
  <c r="BS147" i="21" s="1"/>
  <c r="BR146" i="21"/>
  <c r="BS146" i="21" s="1"/>
  <c r="BR145" i="21"/>
  <c r="BR144" i="21"/>
  <c r="BR143" i="21"/>
  <c r="BR142" i="21"/>
  <c r="BR141" i="21"/>
  <c r="BR140" i="21"/>
  <c r="BR139" i="21"/>
  <c r="BR138" i="21"/>
  <c r="BR137" i="21"/>
  <c r="BR136" i="21"/>
  <c r="BR135" i="21"/>
  <c r="BR134" i="21"/>
  <c r="BR133" i="21"/>
  <c r="BR132" i="21"/>
  <c r="BR131" i="21"/>
  <c r="BR130" i="21"/>
  <c r="BR129" i="21"/>
  <c r="BR128" i="21"/>
  <c r="BR127" i="21"/>
  <c r="BR126" i="21"/>
  <c r="BR125" i="21"/>
  <c r="BS125" i="21" s="1"/>
  <c r="BR124" i="21"/>
  <c r="BR123" i="21"/>
  <c r="BR122" i="21"/>
  <c r="BR121" i="21"/>
  <c r="BR120" i="21"/>
  <c r="BR119" i="21"/>
  <c r="BR118" i="21"/>
  <c r="BR117" i="21"/>
  <c r="BR116" i="21"/>
  <c r="BR115" i="21"/>
  <c r="BR114" i="21"/>
  <c r="BR113" i="21"/>
  <c r="BR112" i="21"/>
  <c r="BR111" i="21"/>
  <c r="BR110" i="21"/>
  <c r="BR109" i="21"/>
  <c r="BR108" i="21"/>
  <c r="BR107" i="21"/>
  <c r="BR106" i="21"/>
  <c r="BR105" i="21"/>
  <c r="BR104" i="21"/>
  <c r="BR101" i="21"/>
  <c r="BR100" i="21"/>
  <c r="BR99" i="21"/>
  <c r="BR98" i="21"/>
  <c r="BR97" i="21"/>
  <c r="BR96" i="21"/>
  <c r="BR95" i="21"/>
  <c r="BR93" i="21"/>
  <c r="BR92" i="21"/>
  <c r="BR91" i="21"/>
  <c r="BR90" i="21"/>
  <c r="BR89" i="21"/>
  <c r="BR88" i="21"/>
  <c r="BR87" i="21"/>
  <c r="BR86" i="21"/>
  <c r="BR85" i="21"/>
  <c r="BR84" i="21"/>
  <c r="BR83" i="21"/>
  <c r="BR82" i="21"/>
  <c r="BR81" i="21"/>
  <c r="BR76" i="21"/>
  <c r="BR75" i="21"/>
  <c r="BR74" i="21"/>
  <c r="BR73" i="21"/>
  <c r="BR72" i="21"/>
  <c r="BS72" i="21" s="1"/>
  <c r="BR71" i="21"/>
  <c r="BR70" i="21"/>
  <c r="BR69" i="21"/>
  <c r="BR68" i="21"/>
  <c r="BR67" i="21"/>
  <c r="BR66" i="21"/>
  <c r="BR65" i="21"/>
  <c r="BR63" i="21"/>
  <c r="BR61" i="21"/>
  <c r="BR60" i="21"/>
  <c r="BR59" i="21"/>
  <c r="BR58" i="21"/>
  <c r="BR57" i="21"/>
  <c r="BR56" i="21"/>
  <c r="BR55" i="21"/>
  <c r="BR54" i="21"/>
  <c r="BR53" i="21"/>
  <c r="BR52" i="21"/>
  <c r="BR51" i="21"/>
  <c r="BR50" i="21"/>
  <c r="BR48" i="21"/>
  <c r="BR47" i="21"/>
  <c r="BR46" i="21"/>
  <c r="BR44" i="21"/>
  <c r="BR43" i="21"/>
  <c r="BR42" i="21"/>
  <c r="BR41" i="21"/>
  <c r="BR40" i="21"/>
  <c r="BR39" i="21"/>
  <c r="BR38" i="21"/>
  <c r="BR37" i="21"/>
  <c r="BR36" i="21"/>
  <c r="BR35" i="21"/>
  <c r="BR34" i="21"/>
  <c r="BR33" i="21"/>
  <c r="BR30" i="21"/>
  <c r="BR29" i="21"/>
  <c r="BR28" i="21"/>
  <c r="BR27" i="21"/>
  <c r="BR26" i="21"/>
  <c r="BR25" i="21"/>
  <c r="BR24" i="21"/>
  <c r="BR23" i="21"/>
  <c r="BR22" i="21"/>
  <c r="BR21" i="21"/>
  <c r="BR20" i="21"/>
  <c r="BR19" i="21"/>
  <c r="BR17" i="21"/>
  <c r="BR16" i="21"/>
  <c r="BR15" i="21"/>
  <c r="BR14" i="21"/>
  <c r="BR13" i="21"/>
  <c r="BR12" i="21"/>
  <c r="BR11" i="21"/>
  <c r="BS11" i="21" l="1"/>
  <c r="F65" i="44"/>
  <c r="BS168" i="21" l="1"/>
  <c r="BS167" i="21"/>
  <c r="BS166" i="21"/>
  <c r="BS84" i="21" l="1"/>
  <c r="BS75" i="21" l="1"/>
  <c r="BS30" i="21" l="1"/>
  <c r="BS33" i="21"/>
  <c r="BS34" i="21"/>
  <c r="BS35" i="21"/>
  <c r="BS36" i="21"/>
  <c r="BS37" i="21"/>
  <c r="BS38" i="21"/>
  <c r="BS39" i="21"/>
  <c r="BS40" i="21"/>
  <c r="BS41" i="21"/>
  <c r="BS42" i="21"/>
  <c r="BS43" i="21"/>
  <c r="BS44" i="21"/>
  <c r="BS46" i="21"/>
  <c r="BS47" i="21"/>
  <c r="BS48" i="21"/>
  <c r="BS50" i="21"/>
  <c r="BS51" i="21"/>
  <c r="BS52" i="21"/>
  <c r="BS53" i="21"/>
  <c r="BS54" i="21"/>
  <c r="BS55" i="21"/>
  <c r="BS56" i="21"/>
  <c r="BS57" i="21"/>
  <c r="BS58" i="21"/>
  <c r="BS59" i="21"/>
  <c r="BS60" i="21"/>
  <c r="BS61" i="21"/>
  <c r="BS63" i="21"/>
  <c r="BS65" i="21"/>
  <c r="BS66" i="21"/>
  <c r="BS67" i="21"/>
  <c r="BS68" i="21"/>
  <c r="BS69" i="21"/>
  <c r="BS70" i="21"/>
  <c r="BS71" i="21"/>
  <c r="BS73" i="21"/>
  <c r="BS74" i="21"/>
  <c r="BS28" i="21"/>
  <c r="BS29" i="21"/>
  <c r="BS26" i="21"/>
  <c r="BS27" i="21"/>
  <c r="M16" i="21" l="1"/>
  <c r="BS211" i="21" l="1"/>
  <c r="BS196" i="21" l="1"/>
  <c r="BS121" i="21" l="1"/>
  <c r="D13" i="39" l="1"/>
  <c r="E5" i="39"/>
  <c r="D33" i="4" l="1"/>
  <c r="G139" i="4"/>
  <c r="H139" i="4"/>
  <c r="I139" i="4"/>
  <c r="J139" i="4"/>
  <c r="K139" i="4"/>
  <c r="C139" i="4"/>
  <c r="H132" i="4"/>
  <c r="I132" i="4"/>
  <c r="J132" i="4"/>
  <c r="K132" i="4"/>
  <c r="G132" i="4"/>
  <c r="O132" i="4" s="1"/>
  <c r="E133" i="4"/>
  <c r="C132" i="4"/>
  <c r="I125" i="4"/>
  <c r="J125" i="4"/>
  <c r="K125" i="4"/>
  <c r="H125" i="4"/>
  <c r="G125" i="4"/>
  <c r="O125" i="4" s="1"/>
  <c r="C125" i="4"/>
  <c r="G118" i="4"/>
  <c r="N118" i="4" s="1"/>
  <c r="H118" i="4"/>
  <c r="I118" i="4"/>
  <c r="J118" i="4"/>
  <c r="K118" i="4"/>
  <c r="C118" i="4"/>
  <c r="E112" i="4"/>
  <c r="G111" i="4"/>
  <c r="O111" i="4" s="1"/>
  <c r="H111" i="4"/>
  <c r="I111" i="4"/>
  <c r="J111" i="4"/>
  <c r="K111" i="4"/>
  <c r="C111" i="4"/>
  <c r="K104" i="4"/>
  <c r="J104" i="4"/>
  <c r="I104" i="4"/>
  <c r="H104" i="4"/>
  <c r="G104" i="4"/>
  <c r="T104" i="4" s="1"/>
  <c r="C104" i="4"/>
  <c r="R125" i="4" l="1"/>
  <c r="R139" i="4"/>
  <c r="O139" i="4"/>
  <c r="L139" i="4"/>
  <c r="N139" i="4"/>
  <c r="R132" i="4"/>
  <c r="N132" i="4"/>
  <c r="L132" i="4"/>
  <c r="L125" i="4"/>
  <c r="R111" i="4"/>
  <c r="L118" i="4"/>
  <c r="O118" i="4"/>
  <c r="N125" i="4"/>
  <c r="R104" i="4"/>
  <c r="P104" i="4" s="1"/>
  <c r="R118" i="4"/>
  <c r="L111" i="4"/>
  <c r="L104" i="4"/>
  <c r="N111" i="4"/>
  <c r="O104" i="4"/>
  <c r="N104" i="4"/>
  <c r="F16" i="54" l="1"/>
  <c r="L16" i="54" s="1"/>
  <c r="M16" i="54" l="1"/>
  <c r="L12" i="54" l="1"/>
  <c r="F3" i="54"/>
  <c r="M3" i="54" s="1"/>
  <c r="F4" i="54"/>
  <c r="L4" i="54" s="1"/>
  <c r="F5" i="54"/>
  <c r="L5" i="54" s="1"/>
  <c r="F6" i="54"/>
  <c r="M6" i="54" s="1"/>
  <c r="F7" i="54"/>
  <c r="M7" i="54" s="1"/>
  <c r="F8" i="54"/>
  <c r="L8" i="54" s="1"/>
  <c r="F9" i="54"/>
  <c r="M9" i="54" s="1"/>
  <c r="L10" i="54"/>
  <c r="M11" i="54"/>
  <c r="M12" i="54"/>
  <c r="F13" i="54"/>
  <c r="L13" i="54" s="1"/>
  <c r="F14" i="54"/>
  <c r="M14" i="54" s="1"/>
  <c r="F15" i="54"/>
  <c r="F2" i="54"/>
  <c r="L2" i="54" s="1"/>
  <c r="M2" i="54" l="1"/>
  <c r="M15" i="54"/>
  <c r="L15" i="54"/>
  <c r="L3" i="54"/>
  <c r="M13" i="54"/>
  <c r="L11" i="54"/>
  <c r="L9" i="54"/>
  <c r="M8" i="54"/>
  <c r="M5" i="54"/>
  <c r="L14" i="54"/>
  <c r="L6" i="54"/>
  <c r="M10" i="54"/>
  <c r="L7" i="54"/>
  <c r="M4" i="54"/>
  <c r="E98" i="4" l="1"/>
  <c r="BS23" i="21" l="1"/>
  <c r="E31" i="4" l="1"/>
  <c r="E141" i="4" s="1"/>
  <c r="F19" i="4"/>
  <c r="BS213" i="21" l="1"/>
  <c r="BS214" i="21"/>
  <c r="BS136" i="21"/>
  <c r="BS237" i="21" l="1"/>
  <c r="K81" i="4" l="1"/>
  <c r="J81" i="4"/>
  <c r="AB81" i="4" s="1"/>
  <c r="I81" i="4"/>
  <c r="H81" i="4"/>
  <c r="Z81" i="4" s="1"/>
  <c r="G81" i="4"/>
  <c r="O81" i="4" s="1"/>
  <c r="D81" i="4"/>
  <c r="C81" i="4"/>
  <c r="G48" i="31"/>
  <c r="D38" i="31"/>
  <c r="G25" i="31"/>
  <c r="G71" i="31" s="1"/>
  <c r="H13" i="31"/>
  <c r="K171" i="4"/>
  <c r="AC81" i="4" l="1"/>
  <c r="AA81" i="4"/>
  <c r="L81" i="4"/>
  <c r="N81" i="4"/>
  <c r="R81" i="4"/>
  <c r="BS175" i="21" l="1"/>
  <c r="F8" i="50" l="1"/>
  <c r="E8" i="50"/>
  <c r="D8" i="50"/>
  <c r="C8" i="50"/>
  <c r="B8" i="50"/>
  <c r="G4" i="50"/>
  <c r="G5" i="50"/>
  <c r="G6" i="50"/>
  <c r="G7" i="50"/>
  <c r="G3" i="50"/>
  <c r="G8" i="50" l="1"/>
  <c r="U107" i="4" l="1"/>
  <c r="K3" i="4" l="1"/>
  <c r="K164" i="4" s="1"/>
  <c r="J3" i="4"/>
  <c r="G37" i="31" s="1"/>
  <c r="I3" i="4"/>
  <c r="H3" i="4"/>
  <c r="F44" i="29" s="1"/>
  <c r="N55" i="29" s="1"/>
  <c r="G3" i="4"/>
  <c r="E44" i="29" s="1"/>
  <c r="L55" i="29" s="1"/>
  <c r="K18" i="4"/>
  <c r="K19" i="4"/>
  <c r="M19" i="4" s="1"/>
  <c r="J18" i="4"/>
  <c r="J19" i="4"/>
  <c r="K17" i="4"/>
  <c r="I18" i="4"/>
  <c r="I19" i="4"/>
  <c r="H18" i="4"/>
  <c r="H19" i="4"/>
  <c r="G18" i="4"/>
  <c r="O18" i="4" s="1"/>
  <c r="G19" i="4"/>
  <c r="O19" i="4" s="1"/>
  <c r="H149" i="4" l="1"/>
  <c r="H164" i="4"/>
  <c r="G149" i="4"/>
  <c r="G164" i="4"/>
  <c r="AC18" i="4"/>
  <c r="AA18" i="4"/>
  <c r="G32" i="31"/>
  <c r="G35" i="31" s="1"/>
  <c r="R3" i="4"/>
  <c r="L19" i="4"/>
  <c r="N3" i="4"/>
  <c r="L3" i="4"/>
  <c r="L18" i="4"/>
  <c r="G30" i="31"/>
  <c r="G33" i="31" s="1"/>
  <c r="G31" i="31"/>
  <c r="G34" i="31" s="1"/>
  <c r="P55" i="29"/>
  <c r="G28" i="31"/>
  <c r="G39" i="31" s="1"/>
  <c r="U3" i="4"/>
  <c r="F171" i="4" s="1"/>
  <c r="N19" i="4"/>
  <c r="Z18" i="4"/>
  <c r="N18" i="4"/>
  <c r="U18" i="4"/>
  <c r="R18" i="4"/>
  <c r="P18" i="4" s="1"/>
  <c r="L149" i="4" l="1"/>
  <c r="O149" i="4" s="1"/>
  <c r="I164" i="4"/>
  <c r="T1" i="4" l="1"/>
  <c r="AC3" i="4"/>
  <c r="AB3" i="4"/>
  <c r="AA3" i="4"/>
  <c r="D18" i="4"/>
  <c r="Z3" i="4" l="1"/>
  <c r="O3" i="4"/>
  <c r="P3" i="4" l="1"/>
  <c r="W3" i="4"/>
  <c r="G171" i="4"/>
  <c r="J171" i="4" s="1"/>
  <c r="BS177" i="21" l="1"/>
  <c r="BS178" i="21"/>
  <c r="BS179" i="21"/>
  <c r="BS180" i="21"/>
  <c r="BS182" i="21"/>
  <c r="BS183" i="21"/>
  <c r="BS184" i="21"/>
  <c r="BS185" i="21"/>
  <c r="BS186" i="21"/>
  <c r="BS188" i="21"/>
  <c r="BS189" i="21"/>
  <c r="BS190" i="21"/>
  <c r="BS191" i="21"/>
  <c r="BS192" i="21"/>
  <c r="BS193" i="21"/>
  <c r="BS194" i="21"/>
  <c r="BS197" i="21"/>
  <c r="BS198" i="21"/>
  <c r="BS199" i="21"/>
  <c r="BS200" i="21"/>
  <c r="BS201" i="21"/>
  <c r="BS202" i="21"/>
  <c r="BS203" i="21"/>
  <c r="BS204" i="21"/>
  <c r="BS205" i="21"/>
  <c r="BS206" i="21"/>
  <c r="BS207" i="21"/>
  <c r="BS208" i="21"/>
  <c r="BS209" i="21"/>
  <c r="BS210" i="21"/>
  <c r="BS212" i="21"/>
  <c r="BS215" i="21"/>
  <c r="BS216" i="21"/>
  <c r="BS217" i="21"/>
  <c r="BS218" i="21"/>
  <c r="BS219" i="21"/>
  <c r="BS220" i="21"/>
  <c r="BS221" i="21"/>
  <c r="BS222" i="21"/>
  <c r="BS223" i="21"/>
  <c r="BS224" i="21"/>
  <c r="BS225" i="21"/>
  <c r="BS226" i="21"/>
  <c r="BS227" i="21"/>
  <c r="BS228" i="21"/>
  <c r="BS229" i="21"/>
  <c r="BS230" i="21"/>
  <c r="BS231" i="21"/>
  <c r="BS232" i="21"/>
  <c r="BS233" i="21"/>
  <c r="BS234" i="21"/>
  <c r="BS235" i="21"/>
  <c r="BS236" i="21"/>
  <c r="BS238" i="21"/>
  <c r="BS239" i="21"/>
  <c r="BS240" i="21"/>
  <c r="BS241" i="21"/>
  <c r="BS242" i="21"/>
  <c r="BS243" i="21"/>
  <c r="BS244" i="21"/>
  <c r="BS245" i="21"/>
  <c r="BS246" i="21"/>
  <c r="BS247" i="21"/>
  <c r="BS248" i="21"/>
  <c r="BS249" i="21"/>
  <c r="BS250" i="21"/>
  <c r="BS251" i="21"/>
  <c r="BS252" i="21"/>
  <c r="BS253" i="21"/>
  <c r="BS254" i="21"/>
  <c r="BS255" i="21"/>
  <c r="BS256" i="21"/>
  <c r="BS257" i="21"/>
  <c r="BS258" i="21"/>
  <c r="BS259" i="21"/>
  <c r="BS260" i="21"/>
  <c r="BS261" i="21"/>
  <c r="BS262" i="21"/>
  <c r="BS263" i="21"/>
  <c r="BS264" i="21"/>
  <c r="BS265" i="21"/>
  <c r="BS269" i="21"/>
  <c r="BS270" i="21"/>
  <c r="BS271" i="21"/>
  <c r="BS272" i="21"/>
  <c r="BS273" i="21"/>
  <c r="BS274" i="21"/>
  <c r="BS275" i="21"/>
  <c r="BS276" i="21"/>
  <c r="BS277" i="21"/>
  <c r="BS278" i="21"/>
  <c r="BS279" i="21"/>
  <c r="BS280" i="21"/>
  <c r="BS281" i="21"/>
  <c r="BS282" i="21"/>
  <c r="BS283" i="21"/>
  <c r="BS284" i="21"/>
  <c r="BS285" i="21"/>
  <c r="BS286" i="21"/>
  <c r="BS287" i="21"/>
  <c r="BS288" i="21"/>
  <c r="BS289" i="21"/>
  <c r="BS290" i="21"/>
  <c r="BS291" i="21"/>
  <c r="BS292" i="21"/>
  <c r="BS293" i="21"/>
  <c r="BS294" i="21"/>
  <c r="BS295" i="21"/>
  <c r="BS296" i="21"/>
  <c r="BS297" i="21"/>
  <c r="BS298" i="21"/>
  <c r="BS299" i="21"/>
  <c r="BS300" i="21"/>
  <c r="BS301" i="21"/>
  <c r="BS302" i="21"/>
  <c r="BS303" i="21"/>
  <c r="BS304" i="21"/>
  <c r="BS305" i="21"/>
  <c r="BS306" i="21"/>
  <c r="BS307" i="21"/>
  <c r="BS308" i="21"/>
  <c r="BS309" i="21"/>
  <c r="BS310" i="21"/>
  <c r="BS311" i="21"/>
  <c r="BS312" i="21"/>
  <c r="BS313" i="21"/>
  <c r="BS314" i="21"/>
  <c r="BS315" i="21"/>
  <c r="BS316" i="21"/>
  <c r="BS317" i="21"/>
  <c r="BS318" i="21"/>
  <c r="BS319" i="21"/>
  <c r="BS320" i="21"/>
  <c r="BS321" i="21"/>
  <c r="BS322" i="21"/>
  <c r="BS323" i="21"/>
  <c r="BS324" i="21"/>
  <c r="BS325" i="21"/>
  <c r="BS326" i="21"/>
  <c r="BS327" i="21"/>
  <c r="BS328" i="21"/>
  <c r="BS329" i="21"/>
  <c r="BS330" i="21"/>
  <c r="BS331" i="21"/>
  <c r="BS332" i="21"/>
  <c r="BS333" i="21"/>
  <c r="BS334" i="21"/>
  <c r="BS335" i="21"/>
  <c r="BS336" i="21"/>
  <c r="BS337" i="21"/>
  <c r="BS338" i="21"/>
  <c r="BS339" i="21"/>
  <c r="BS340" i="21"/>
  <c r="BS341" i="21"/>
  <c r="BS342" i="21"/>
  <c r="BS343" i="21"/>
  <c r="BS344" i="21"/>
  <c r="BS345" i="21"/>
  <c r="BS346" i="21"/>
  <c r="BS347" i="21"/>
  <c r="BS348" i="21"/>
  <c r="BS349" i="21"/>
  <c r="BS350" i="21"/>
  <c r="BS351" i="21"/>
  <c r="BS352" i="21"/>
  <c r="BS353" i="21"/>
  <c r="F3" i="4" l="1"/>
  <c r="F139" i="4"/>
  <c r="M139" i="4" s="1"/>
  <c r="F125" i="4"/>
  <c r="M125" i="4" s="1"/>
  <c r="F81" i="4"/>
  <c r="M81" i="4" s="1"/>
  <c r="M3" i="4" l="1"/>
  <c r="J164" i="4"/>
  <c r="L164" i="4" s="1"/>
  <c r="BS162" i="21" l="1"/>
  <c r="BS109" i="21" l="1"/>
  <c r="BS110" i="21"/>
  <c r="BS111" i="21"/>
  <c r="BS112" i="21"/>
  <c r="BS113" i="21"/>
  <c r="BS114" i="21"/>
  <c r="BS115" i="21"/>
  <c r="BS116" i="21"/>
  <c r="BS117" i="21"/>
  <c r="BS118" i="21"/>
  <c r="BS119" i="21"/>
  <c r="BS120" i="21"/>
  <c r="BS122" i="21"/>
  <c r="BS123" i="21"/>
  <c r="BS124" i="21"/>
  <c r="BS126" i="21"/>
  <c r="BS127" i="21"/>
  <c r="BS128" i="21"/>
  <c r="BS129" i="21"/>
  <c r="BS130" i="21"/>
  <c r="BS131" i="21"/>
  <c r="BS132" i="21"/>
  <c r="BS133" i="21"/>
  <c r="BS134" i="21"/>
  <c r="BS135" i="21"/>
  <c r="BS137" i="21"/>
  <c r="BS138" i="21"/>
  <c r="BS139" i="21"/>
  <c r="BS140" i="21"/>
  <c r="BS141" i="21"/>
  <c r="BS142" i="21"/>
  <c r="BS143" i="21"/>
  <c r="BS144" i="21"/>
  <c r="BS145" i="21"/>
  <c r="BS155" i="21"/>
  <c r="BS156" i="21"/>
  <c r="BS157" i="21"/>
  <c r="BS158" i="21"/>
  <c r="BS159" i="21"/>
  <c r="BS160" i="21"/>
  <c r="BS161" i="21"/>
  <c r="BS163" i="21"/>
  <c r="BS164" i="21"/>
  <c r="BS165" i="21"/>
  <c r="BS169" i="21"/>
  <c r="BS170" i="21"/>
  <c r="BS171" i="21"/>
  <c r="BS173" i="21"/>
  <c r="BS174" i="21"/>
  <c r="BS176" i="21"/>
  <c r="F9" i="4" l="1"/>
  <c r="M9" i="4" s="1"/>
  <c r="G84" i="43" l="1"/>
  <c r="F84" i="43"/>
  <c r="E84" i="43"/>
  <c r="D84" i="43"/>
  <c r="C84" i="43"/>
  <c r="B84" i="43"/>
  <c r="F111" i="43"/>
  <c r="E111" i="43"/>
  <c r="D111" i="43"/>
  <c r="C111" i="43"/>
  <c r="B111" i="43"/>
  <c r="F8" i="4" l="1"/>
  <c r="M8" i="4" s="1"/>
  <c r="F132" i="4"/>
  <c r="M132" i="4" s="1"/>
  <c r="F118" i="4"/>
  <c r="M118" i="4" s="1"/>
  <c r="F18" i="4"/>
  <c r="M18" i="4" s="1"/>
  <c r="K48" i="4" l="1"/>
  <c r="J48" i="4"/>
  <c r="AB48" i="4" s="1"/>
  <c r="I48" i="4"/>
  <c r="H48" i="4"/>
  <c r="Z48" i="4" s="1"/>
  <c r="G48" i="4"/>
  <c r="O48" i="4" s="1"/>
  <c r="F48" i="4"/>
  <c r="C48" i="4"/>
  <c r="AC48" i="4" l="1"/>
  <c r="M48" i="4"/>
  <c r="AA48" i="4"/>
  <c r="R48" i="4"/>
  <c r="N48" i="4"/>
  <c r="L48" i="4"/>
  <c r="F110" i="43" l="1"/>
  <c r="E110" i="43"/>
  <c r="D110" i="43"/>
  <c r="C110" i="43"/>
  <c r="B110" i="43"/>
  <c r="G83" i="43"/>
  <c r="F83" i="43"/>
  <c r="E83" i="43"/>
  <c r="D83" i="43"/>
  <c r="C83" i="43"/>
  <c r="B83" i="43"/>
  <c r="G82" i="43" l="1"/>
  <c r="F82" i="43"/>
  <c r="E82" i="43"/>
  <c r="D82" i="43"/>
  <c r="C82" i="43"/>
  <c r="B82" i="43"/>
  <c r="F109" i="43"/>
  <c r="E109" i="43"/>
  <c r="D109" i="43"/>
  <c r="C109" i="43"/>
  <c r="B109" i="43"/>
  <c r="F108" i="43" l="1"/>
  <c r="E108" i="43"/>
  <c r="D108" i="43"/>
  <c r="C108" i="43"/>
  <c r="B108" i="43"/>
  <c r="G81" i="43"/>
  <c r="F81" i="43"/>
  <c r="E81" i="43"/>
  <c r="D81" i="43"/>
  <c r="C81" i="43"/>
  <c r="B81" i="43"/>
  <c r="M22" i="21" l="1"/>
  <c r="M11" i="21" l="1"/>
  <c r="M12" i="21"/>
  <c r="M13" i="21"/>
  <c r="M14" i="21"/>
  <c r="M15" i="21"/>
  <c r="M17" i="21"/>
  <c r="M19" i="21"/>
  <c r="M20" i="21"/>
  <c r="M21" i="21"/>
  <c r="N1" i="21" l="1"/>
  <c r="F7" i="4"/>
  <c r="M7" i="4" s="1"/>
  <c r="F6" i="4"/>
  <c r="M6" i="4" s="1"/>
  <c r="F5" i="4"/>
  <c r="M5" i="4" s="1"/>
  <c r="F10" i="4"/>
  <c r="M10" i="4" s="1"/>
  <c r="F111" i="4"/>
  <c r="M111" i="4" s="1"/>
  <c r="F104" i="4"/>
  <c r="M104" i="4" s="1"/>
  <c r="F27" i="4"/>
  <c r="BS12" i="21"/>
  <c r="BS13" i="21"/>
  <c r="BS14" i="21"/>
  <c r="BS15" i="21"/>
  <c r="BS16" i="21"/>
  <c r="BS17" i="21"/>
  <c r="BS19" i="21"/>
  <c r="BS20" i="21"/>
  <c r="BS21" i="21"/>
  <c r="BS22" i="21"/>
  <c r="BS24" i="21"/>
  <c r="BS25" i="21"/>
  <c r="BS76" i="21"/>
  <c r="BS81" i="21"/>
  <c r="BS82" i="21"/>
  <c r="BS83" i="21"/>
  <c r="BS85" i="21"/>
  <c r="BS86" i="21"/>
  <c r="BS87" i="21"/>
  <c r="BS88" i="21"/>
  <c r="BS89" i="21"/>
  <c r="BS90" i="21"/>
  <c r="BS91" i="21"/>
  <c r="BS92" i="21"/>
  <c r="BS93" i="21"/>
  <c r="BS95" i="21"/>
  <c r="BS96" i="21"/>
  <c r="BS97" i="21"/>
  <c r="BS98" i="21"/>
  <c r="BS99" i="21"/>
  <c r="BS100" i="21"/>
  <c r="BS101" i="21"/>
  <c r="BS104" i="21"/>
  <c r="BS105" i="21"/>
  <c r="BS106" i="21"/>
  <c r="BS107" i="21"/>
  <c r="BS108" i="21"/>
  <c r="F11" i="4" l="1"/>
  <c r="D48" i="29"/>
  <c r="D50" i="29"/>
  <c r="D54" i="29"/>
  <c r="D46" i="29"/>
  <c r="D53" i="29"/>
  <c r="D51" i="29"/>
  <c r="D47" i="29"/>
  <c r="D52" i="29"/>
  <c r="D49" i="29"/>
  <c r="G27" i="31"/>
  <c r="M11" i="4" l="1"/>
  <c r="J165" i="4"/>
  <c r="L165" i="4" s="1"/>
  <c r="G38" i="31"/>
  <c r="G41" i="31" s="1"/>
  <c r="G29" i="31"/>
  <c r="G40" i="31" l="1"/>
  <c r="G45" i="31"/>
  <c r="G43" i="31"/>
  <c r="G42" i="31"/>
  <c r="G44" i="31"/>
  <c r="G15" i="4"/>
  <c r="U15" i="4" s="1"/>
  <c r="D27" i="43" l="1"/>
  <c r="C27" i="43"/>
  <c r="D24" i="43"/>
  <c r="C24" i="43"/>
  <c r="D21" i="43"/>
  <c r="C21" i="43"/>
  <c r="D18" i="43"/>
  <c r="C18" i="43"/>
  <c r="D14" i="43"/>
  <c r="C14" i="43"/>
  <c r="D13" i="43"/>
  <c r="C11" i="43"/>
  <c r="D10" i="43"/>
  <c r="G130" i="4" l="1"/>
  <c r="G102" i="4" l="1"/>
  <c r="T102" i="4" l="1"/>
  <c r="I28" i="4"/>
  <c r="G16" i="4" l="1"/>
  <c r="U16" i="4" s="1"/>
  <c r="Y117" i="4" l="1"/>
  <c r="K49" i="4"/>
  <c r="J49" i="4"/>
  <c r="AB49" i="4" s="1"/>
  <c r="I49" i="4"/>
  <c r="H49" i="4"/>
  <c r="Z49" i="4" s="1"/>
  <c r="G49" i="4"/>
  <c r="O49" i="4" s="1"/>
  <c r="C49" i="4"/>
  <c r="K47" i="4"/>
  <c r="J47" i="4"/>
  <c r="AB47" i="4" s="1"/>
  <c r="I47" i="4"/>
  <c r="H47" i="4"/>
  <c r="Z47" i="4" s="1"/>
  <c r="G47" i="4"/>
  <c r="O47" i="4" s="1"/>
  <c r="C47" i="4"/>
  <c r="K46" i="4"/>
  <c r="J46" i="4"/>
  <c r="AB46" i="4" s="1"/>
  <c r="I46" i="4"/>
  <c r="H46" i="4"/>
  <c r="Z46" i="4" s="1"/>
  <c r="G46" i="4"/>
  <c r="N46" i="4" s="1"/>
  <c r="C46" i="4"/>
  <c r="K45" i="4"/>
  <c r="J45" i="4"/>
  <c r="AB45" i="4" s="1"/>
  <c r="I45" i="4"/>
  <c r="H45" i="4"/>
  <c r="Z45" i="4" s="1"/>
  <c r="G45" i="4"/>
  <c r="O45" i="4" s="1"/>
  <c r="C45" i="4"/>
  <c r="K44" i="4"/>
  <c r="J44" i="4"/>
  <c r="AB44" i="4" s="1"/>
  <c r="I44" i="4"/>
  <c r="H44" i="4"/>
  <c r="G44" i="4"/>
  <c r="O44" i="4" s="1"/>
  <c r="C44" i="4"/>
  <c r="K43" i="4"/>
  <c r="J43" i="4"/>
  <c r="AB43" i="4" s="1"/>
  <c r="I43" i="4"/>
  <c r="H43" i="4"/>
  <c r="Z43" i="4" s="1"/>
  <c r="G43" i="4"/>
  <c r="O43" i="4" s="1"/>
  <c r="C43" i="4"/>
  <c r="K42" i="4"/>
  <c r="J42" i="4"/>
  <c r="AB42" i="4" s="1"/>
  <c r="I42" i="4"/>
  <c r="H42" i="4"/>
  <c r="Z42" i="4" s="1"/>
  <c r="G42" i="4"/>
  <c r="N42" i="4" s="1"/>
  <c r="C42" i="4"/>
  <c r="K41" i="4"/>
  <c r="J41" i="4"/>
  <c r="AB41" i="4" s="1"/>
  <c r="I41" i="4"/>
  <c r="H41" i="4"/>
  <c r="Z41" i="4" s="1"/>
  <c r="G41" i="4"/>
  <c r="O41" i="4" s="1"/>
  <c r="C41" i="4"/>
  <c r="K40" i="4"/>
  <c r="J40" i="4"/>
  <c r="AB40" i="4" s="1"/>
  <c r="I40" i="4"/>
  <c r="H40" i="4"/>
  <c r="G40" i="4"/>
  <c r="O40" i="4" s="1"/>
  <c r="C40" i="4"/>
  <c r="K39" i="4"/>
  <c r="J39" i="4"/>
  <c r="AB39" i="4" s="1"/>
  <c r="I39" i="4"/>
  <c r="H39" i="4"/>
  <c r="Z39" i="4" s="1"/>
  <c r="G39" i="4"/>
  <c r="O39" i="4" s="1"/>
  <c r="C39" i="4"/>
  <c r="K38" i="4"/>
  <c r="J38" i="4"/>
  <c r="AB38" i="4" s="1"/>
  <c r="I38" i="4"/>
  <c r="H38" i="4"/>
  <c r="Z38" i="4" s="1"/>
  <c r="G38" i="4"/>
  <c r="C38" i="4"/>
  <c r="AC39" i="4" l="1"/>
  <c r="AC41" i="4"/>
  <c r="AC43" i="4"/>
  <c r="AC45" i="4"/>
  <c r="AC38" i="4"/>
  <c r="AC40" i="4"/>
  <c r="AC42" i="4"/>
  <c r="AC44" i="4"/>
  <c r="AC46" i="4"/>
  <c r="AC49" i="4"/>
  <c r="AC47" i="4"/>
  <c r="AA38" i="4"/>
  <c r="AA49" i="4"/>
  <c r="AA40" i="4"/>
  <c r="AA44" i="4"/>
  <c r="AA39" i="4"/>
  <c r="AA43" i="4"/>
  <c r="AA47" i="4"/>
  <c r="AA42" i="4"/>
  <c r="AA46" i="4"/>
  <c r="N38" i="4"/>
  <c r="R38" i="4"/>
  <c r="R49" i="4"/>
  <c r="N45" i="4"/>
  <c r="R45" i="4"/>
  <c r="O46" i="4"/>
  <c r="R40" i="4"/>
  <c r="N40" i="4"/>
  <c r="O38" i="4"/>
  <c r="N41" i="4"/>
  <c r="R44" i="4"/>
  <c r="N44" i="4"/>
  <c r="R41" i="4"/>
  <c r="O42" i="4"/>
  <c r="N49" i="4"/>
  <c r="AA41" i="4"/>
  <c r="L44" i="4"/>
  <c r="Z44" i="4"/>
  <c r="L47" i="4"/>
  <c r="L40" i="4"/>
  <c r="Z40" i="4"/>
  <c r="R43" i="4"/>
  <c r="AA45" i="4"/>
  <c r="L43" i="4"/>
  <c r="R46" i="4"/>
  <c r="L42" i="4"/>
  <c r="N43" i="4"/>
  <c r="L46" i="4"/>
  <c r="N47" i="4"/>
  <c r="R39" i="4"/>
  <c r="R47" i="4"/>
  <c r="L49" i="4"/>
  <c r="L39" i="4"/>
  <c r="R42" i="4"/>
  <c r="L38" i="4"/>
  <c r="N39" i="4"/>
  <c r="L41" i="4"/>
  <c r="L45" i="4"/>
  <c r="Q31" i="4" l="1"/>
  <c r="F49" i="4" l="1"/>
  <c r="M49" i="4" s="1"/>
  <c r="AC19" i="4" l="1"/>
  <c r="AB19" i="4"/>
  <c r="AA19" i="4"/>
  <c r="C19" i="4"/>
  <c r="D19" i="4"/>
  <c r="Z19" i="4" l="1"/>
  <c r="U19" i="4"/>
  <c r="R19" i="4"/>
  <c r="P19" i="4" s="1"/>
  <c r="E11" i="22" l="1"/>
  <c r="F11" i="22" s="1"/>
  <c r="G13" i="4" l="1"/>
  <c r="U13" i="4" s="1"/>
  <c r="F44" i="4" l="1"/>
  <c r="M44" i="4" s="1"/>
  <c r="F46" i="4"/>
  <c r="M46" i="4" s="1"/>
  <c r="F109" i="4"/>
  <c r="F47" i="4"/>
  <c r="M47" i="4" s="1"/>
  <c r="F45" i="4"/>
  <c r="M45" i="4" s="1"/>
  <c r="F39" i="4"/>
  <c r="M39" i="4" s="1"/>
  <c r="F41" i="4"/>
  <c r="M41" i="4" s="1"/>
  <c r="E12" i="22"/>
  <c r="F12" i="22" s="1"/>
  <c r="F40" i="4"/>
  <c r="M40" i="4" s="1"/>
  <c r="F129" i="4" l="1"/>
  <c r="F123" i="4"/>
  <c r="F38" i="4"/>
  <c r="M38" i="4" s="1"/>
  <c r="F42" i="4"/>
  <c r="M42" i="4" s="1"/>
  <c r="F43" i="4"/>
  <c r="M43" i="4" s="1"/>
  <c r="F124" i="4"/>
  <c r="F122" i="4"/>
  <c r="F21" i="4" l="1"/>
  <c r="G26" i="4"/>
  <c r="U26" i="4" s="1"/>
  <c r="G101" i="4" l="1"/>
  <c r="T101" i="4" l="1"/>
  <c r="H15" i="4"/>
  <c r="L15" i="4" l="1"/>
  <c r="G56" i="4"/>
  <c r="F110" i="4" l="1"/>
  <c r="F136" i="4"/>
  <c r="AC102" i="4" l="1"/>
  <c r="G14" i="4" l="1"/>
  <c r="O14" i="4" l="1"/>
  <c r="U14" i="4"/>
  <c r="F137" i="4" l="1"/>
  <c r="F121" i="4" l="1"/>
  <c r="F126" i="4" s="1"/>
  <c r="F135" i="4" l="1"/>
  <c r="F138" i="4"/>
  <c r="F117" i="4"/>
  <c r="F115" i="4"/>
  <c r="F140" i="4" l="1"/>
  <c r="F102" i="4"/>
  <c r="F116" i="4"/>
  <c r="F108" i="4" l="1"/>
  <c r="F23" i="4" l="1"/>
  <c r="F22" i="4" l="1"/>
  <c r="AC103" i="4" l="1"/>
  <c r="AC105" i="4" l="1"/>
  <c r="G13" i="31" s="1"/>
  <c r="K28" i="4" l="1"/>
  <c r="K97" i="4" l="1"/>
  <c r="AC97" i="4" l="1"/>
  <c r="O46" i="29"/>
  <c r="N46" i="29"/>
  <c r="L46" i="29"/>
  <c r="K46" i="29"/>
  <c r="K129" i="4" l="1"/>
  <c r="K131" i="4"/>
  <c r="K123" i="4"/>
  <c r="K128" i="4"/>
  <c r="J129" i="4"/>
  <c r="AB129" i="4" s="1"/>
  <c r="J130" i="4"/>
  <c r="AB130" i="4" s="1"/>
  <c r="J131" i="4"/>
  <c r="AB131" i="4" s="1"/>
  <c r="J128" i="4"/>
  <c r="AC123" i="4" l="1"/>
  <c r="M123" i="4"/>
  <c r="AC131" i="4"/>
  <c r="AC129" i="4"/>
  <c r="M129" i="4"/>
  <c r="AC128" i="4"/>
  <c r="AB128" i="4"/>
  <c r="J133" i="4"/>
  <c r="H124" i="4"/>
  <c r="H117" i="4"/>
  <c r="H110" i="4"/>
  <c r="Z124" i="4" l="1"/>
  <c r="Z110" i="4"/>
  <c r="Z117" i="4"/>
  <c r="O13" i="4"/>
  <c r="Y124" i="4" l="1"/>
  <c r="K124" i="4"/>
  <c r="J124" i="4"/>
  <c r="AB124" i="4" s="1"/>
  <c r="I124" i="4"/>
  <c r="G124" i="4"/>
  <c r="D124" i="4"/>
  <c r="C124" i="4"/>
  <c r="J123" i="4"/>
  <c r="AB123" i="4" s="1"/>
  <c r="I123" i="4"/>
  <c r="H123" i="4"/>
  <c r="G123" i="4"/>
  <c r="D123" i="4"/>
  <c r="C123" i="4"/>
  <c r="K122" i="4"/>
  <c r="J122" i="4"/>
  <c r="AB122" i="4" s="1"/>
  <c r="I122" i="4"/>
  <c r="H122" i="4"/>
  <c r="G122" i="4"/>
  <c r="D122" i="4"/>
  <c r="C122" i="4"/>
  <c r="K121" i="4"/>
  <c r="J121" i="4"/>
  <c r="I121" i="4"/>
  <c r="H121" i="4"/>
  <c r="G121" i="4"/>
  <c r="D121" i="4"/>
  <c r="C121" i="4"/>
  <c r="H126" i="4" l="1"/>
  <c r="G126" i="4"/>
  <c r="AC122" i="4"/>
  <c r="M122" i="4"/>
  <c r="AC124" i="4"/>
  <c r="M124" i="4"/>
  <c r="K126" i="4"/>
  <c r="M126" i="4" s="1"/>
  <c r="M121" i="4"/>
  <c r="AA122" i="4"/>
  <c r="AA124" i="4"/>
  <c r="I126" i="4"/>
  <c r="J126" i="4"/>
  <c r="AA123" i="4"/>
  <c r="L52" i="29"/>
  <c r="N28" i="29"/>
  <c r="M30" i="29"/>
  <c r="M29" i="29"/>
  <c r="L32" i="29"/>
  <c r="L29" i="29"/>
  <c r="L28" i="29"/>
  <c r="L30" i="29"/>
  <c r="L31" i="29"/>
  <c r="N32" i="29"/>
  <c r="M32" i="29"/>
  <c r="N31" i="29"/>
  <c r="Z123" i="4"/>
  <c r="N30" i="29"/>
  <c r="M28" i="29"/>
  <c r="Z122" i="4"/>
  <c r="N29" i="29"/>
  <c r="N124" i="4"/>
  <c r="M31" i="29"/>
  <c r="Z121" i="4"/>
  <c r="N52" i="29"/>
  <c r="AA121" i="4"/>
  <c r="AB121" i="4"/>
  <c r="AC121" i="4"/>
  <c r="O122" i="4"/>
  <c r="Y126" i="4"/>
  <c r="L124" i="4"/>
  <c r="O124" i="4"/>
  <c r="L123" i="4"/>
  <c r="N123" i="4"/>
  <c r="L122" i="4"/>
  <c r="N122" i="4"/>
  <c r="R121" i="4"/>
  <c r="N121" i="4"/>
  <c r="O121" i="4"/>
  <c r="O123" i="4"/>
  <c r="R124" i="4"/>
  <c r="L121" i="4"/>
  <c r="R122" i="4"/>
  <c r="R123" i="4"/>
  <c r="P52" i="29" l="1"/>
  <c r="O126" i="4"/>
  <c r="O32" i="29"/>
  <c r="P32" i="29"/>
  <c r="L33" i="29"/>
  <c r="K52" i="29" s="1"/>
  <c r="M52" i="29" s="1"/>
  <c r="N33" i="29"/>
  <c r="E50" i="29"/>
  <c r="F50" i="29" s="1"/>
  <c r="M33" i="29"/>
  <c r="N126" i="4"/>
  <c r="R126" i="4"/>
  <c r="G161" i="4"/>
  <c r="H161" i="4"/>
  <c r="L126" i="4"/>
  <c r="P33" i="29" l="1"/>
  <c r="I161" i="4"/>
  <c r="G177" i="4"/>
  <c r="I131" i="4" l="1"/>
  <c r="H131" i="4"/>
  <c r="G131" i="4"/>
  <c r="I130" i="4"/>
  <c r="I129" i="4"/>
  <c r="H129" i="4"/>
  <c r="G129" i="4"/>
  <c r="I128" i="4"/>
  <c r="H128" i="4"/>
  <c r="G128" i="4"/>
  <c r="G133" i="4" l="1"/>
  <c r="AA128" i="4"/>
  <c r="I133" i="4"/>
  <c r="AA130" i="4"/>
  <c r="AA129" i="4"/>
  <c r="AA131" i="4"/>
  <c r="Z128" i="4"/>
  <c r="Z129" i="4"/>
  <c r="Z131" i="4"/>
  <c r="N128" i="4"/>
  <c r="O128" i="4"/>
  <c r="L128" i="4"/>
  <c r="K307" i="22" l="1"/>
  <c r="K308" i="22" s="1"/>
  <c r="J307" i="22"/>
  <c r="J308" i="22" s="1"/>
  <c r="I29" i="4" l="1"/>
  <c r="F20" i="4" l="1"/>
  <c r="P28" i="29" l="1"/>
  <c r="O28" i="29"/>
  <c r="P30" i="29"/>
  <c r="O30" i="29"/>
  <c r="P31" i="29"/>
  <c r="O31" i="29"/>
  <c r="F17" i="4"/>
  <c r="M17" i="4" s="1"/>
  <c r="F24" i="4" l="1"/>
  <c r="F25" i="4" l="1"/>
  <c r="G24" i="4" l="1"/>
  <c r="U24" i="4" s="1"/>
  <c r="P29" i="29" l="1"/>
  <c r="O29" i="29"/>
  <c r="C28" i="25"/>
  <c r="C29" i="25" s="1"/>
  <c r="H19" i="25"/>
  <c r="H20" i="25" s="1"/>
  <c r="L17" i="25"/>
  <c r="L18" i="25" s="1"/>
  <c r="P15" i="25"/>
  <c r="P16" i="25" s="1"/>
  <c r="AB13" i="25"/>
  <c r="AB14" i="25" s="1"/>
  <c r="X13" i="25"/>
  <c r="X14" i="25" s="1"/>
  <c r="T12" i="25"/>
  <c r="T13" i="25" s="1"/>
  <c r="Q52" i="29" l="1"/>
  <c r="M34" i="29"/>
  <c r="O33" i="29"/>
  <c r="K14" i="4"/>
  <c r="K15" i="4"/>
  <c r="K16" i="4"/>
  <c r="AC17" i="4"/>
  <c r="K20" i="4"/>
  <c r="K21" i="4"/>
  <c r="M21" i="4" s="1"/>
  <c r="K22" i="4"/>
  <c r="M22" i="4" s="1"/>
  <c r="K23" i="4"/>
  <c r="K24" i="4"/>
  <c r="M24" i="4" s="1"/>
  <c r="K25" i="4"/>
  <c r="M25" i="4" s="1"/>
  <c r="K26" i="4"/>
  <c r="K27" i="4"/>
  <c r="M27" i="4" s="1"/>
  <c r="K29" i="4"/>
  <c r="K30" i="4"/>
  <c r="K33" i="4"/>
  <c r="K34" i="4"/>
  <c r="K35" i="4"/>
  <c r="K36" i="4"/>
  <c r="K37"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2" i="4"/>
  <c r="K83" i="4"/>
  <c r="K84" i="4"/>
  <c r="K85" i="4"/>
  <c r="K86" i="4"/>
  <c r="K87" i="4"/>
  <c r="K88" i="4"/>
  <c r="K89" i="4"/>
  <c r="K90" i="4"/>
  <c r="K91" i="4"/>
  <c r="K92" i="4"/>
  <c r="K93" i="4"/>
  <c r="K94" i="4"/>
  <c r="K95" i="4"/>
  <c r="K96" i="4"/>
  <c r="K100" i="4"/>
  <c r="K101" i="4"/>
  <c r="K102" i="4"/>
  <c r="M102" i="4" s="1"/>
  <c r="K103" i="4"/>
  <c r="K107" i="4"/>
  <c r="K108" i="4"/>
  <c r="K109" i="4"/>
  <c r="K110" i="4"/>
  <c r="K114" i="4"/>
  <c r="K115" i="4"/>
  <c r="K116" i="4"/>
  <c r="K117" i="4"/>
  <c r="K135" i="4"/>
  <c r="M135" i="4" s="1"/>
  <c r="K136" i="4"/>
  <c r="K137" i="4"/>
  <c r="K138" i="4"/>
  <c r="K13" i="4"/>
  <c r="J14" i="4"/>
  <c r="AB14" i="4" s="1"/>
  <c r="J15" i="4"/>
  <c r="AB15" i="4" s="1"/>
  <c r="J16" i="4"/>
  <c r="AB16" i="4" s="1"/>
  <c r="J17" i="4"/>
  <c r="AB17" i="4" s="1"/>
  <c r="J20" i="4"/>
  <c r="J21" i="4"/>
  <c r="AB21" i="4" s="1"/>
  <c r="J22" i="4"/>
  <c r="AB22" i="4" s="1"/>
  <c r="J23" i="4"/>
  <c r="AB23" i="4" s="1"/>
  <c r="J24" i="4"/>
  <c r="AB24" i="4" s="1"/>
  <c r="J25" i="4"/>
  <c r="AB25" i="4" s="1"/>
  <c r="J26" i="4"/>
  <c r="AB26" i="4" s="1"/>
  <c r="J27" i="4"/>
  <c r="AB27" i="4" s="1"/>
  <c r="J28" i="4"/>
  <c r="AB28" i="4" s="1"/>
  <c r="J29" i="4"/>
  <c r="AB29" i="4" s="1"/>
  <c r="J30" i="4"/>
  <c r="AB30" i="4" s="1"/>
  <c r="J33" i="4"/>
  <c r="J34" i="4"/>
  <c r="AB34" i="4" s="1"/>
  <c r="J35" i="4"/>
  <c r="AB35" i="4" s="1"/>
  <c r="J36" i="4"/>
  <c r="AB36" i="4" s="1"/>
  <c r="J37" i="4"/>
  <c r="AB37" i="4" s="1"/>
  <c r="J50" i="4"/>
  <c r="AB50" i="4" s="1"/>
  <c r="J51" i="4"/>
  <c r="AB51" i="4" s="1"/>
  <c r="J52" i="4"/>
  <c r="AB52" i="4" s="1"/>
  <c r="J53" i="4"/>
  <c r="AB53" i="4" s="1"/>
  <c r="J54" i="4"/>
  <c r="AB54" i="4" s="1"/>
  <c r="J55" i="4"/>
  <c r="AB55" i="4" s="1"/>
  <c r="J56" i="4"/>
  <c r="AB56" i="4" s="1"/>
  <c r="J57" i="4"/>
  <c r="AB57" i="4" s="1"/>
  <c r="J58" i="4"/>
  <c r="AB58" i="4" s="1"/>
  <c r="J59" i="4"/>
  <c r="AB59" i="4" s="1"/>
  <c r="J60" i="4"/>
  <c r="AB60" i="4" s="1"/>
  <c r="J61" i="4"/>
  <c r="AB61" i="4" s="1"/>
  <c r="J62" i="4"/>
  <c r="AB62" i="4" s="1"/>
  <c r="J63" i="4"/>
  <c r="AB63" i="4" s="1"/>
  <c r="J64" i="4"/>
  <c r="AB64" i="4" s="1"/>
  <c r="J65" i="4"/>
  <c r="AB65" i="4" s="1"/>
  <c r="J66" i="4"/>
  <c r="AB66" i="4" s="1"/>
  <c r="J67" i="4"/>
  <c r="AB67" i="4" s="1"/>
  <c r="J68" i="4"/>
  <c r="AB68" i="4" s="1"/>
  <c r="J69" i="4"/>
  <c r="AB69" i="4" s="1"/>
  <c r="J70" i="4"/>
  <c r="AB70" i="4" s="1"/>
  <c r="J71" i="4"/>
  <c r="AB71" i="4" s="1"/>
  <c r="J72" i="4"/>
  <c r="AB72" i="4" s="1"/>
  <c r="J73" i="4"/>
  <c r="AB73" i="4" s="1"/>
  <c r="J74" i="4"/>
  <c r="AB74" i="4" s="1"/>
  <c r="J75" i="4"/>
  <c r="AB75" i="4" s="1"/>
  <c r="J76" i="4"/>
  <c r="AB76" i="4" s="1"/>
  <c r="J77" i="4"/>
  <c r="AB77" i="4" s="1"/>
  <c r="J78" i="4"/>
  <c r="AB78" i="4" s="1"/>
  <c r="J79" i="4"/>
  <c r="AB79" i="4" s="1"/>
  <c r="J80" i="4"/>
  <c r="AB80" i="4" s="1"/>
  <c r="J82" i="4"/>
  <c r="AB82" i="4" s="1"/>
  <c r="J83" i="4"/>
  <c r="AB83" i="4" s="1"/>
  <c r="J84" i="4"/>
  <c r="AB84" i="4" s="1"/>
  <c r="J85" i="4"/>
  <c r="AB85" i="4" s="1"/>
  <c r="J86" i="4"/>
  <c r="AB86" i="4" s="1"/>
  <c r="J87" i="4"/>
  <c r="AB87" i="4" s="1"/>
  <c r="J88" i="4"/>
  <c r="AB88" i="4" s="1"/>
  <c r="J89" i="4"/>
  <c r="AB89" i="4" s="1"/>
  <c r="J90" i="4"/>
  <c r="AB90" i="4" s="1"/>
  <c r="J91" i="4"/>
  <c r="AB91" i="4" s="1"/>
  <c r="J92" i="4"/>
  <c r="AB92" i="4" s="1"/>
  <c r="J93" i="4"/>
  <c r="AB93" i="4" s="1"/>
  <c r="J94" i="4"/>
  <c r="AB94" i="4" s="1"/>
  <c r="J95" i="4"/>
  <c r="AB95" i="4" s="1"/>
  <c r="J96" i="4"/>
  <c r="AB96" i="4" s="1"/>
  <c r="J97" i="4"/>
  <c r="AB97" i="4" s="1"/>
  <c r="J100" i="4"/>
  <c r="J101" i="4"/>
  <c r="J102" i="4"/>
  <c r="J103" i="4"/>
  <c r="J107" i="4"/>
  <c r="J108" i="4"/>
  <c r="AB108" i="4" s="1"/>
  <c r="J109" i="4"/>
  <c r="AB109" i="4" s="1"/>
  <c r="J110" i="4"/>
  <c r="AB110" i="4" s="1"/>
  <c r="J114" i="4"/>
  <c r="J115" i="4"/>
  <c r="AB115" i="4" s="1"/>
  <c r="J116" i="4"/>
  <c r="AB116" i="4" s="1"/>
  <c r="J117" i="4"/>
  <c r="AB117" i="4" s="1"/>
  <c r="J135" i="4"/>
  <c r="J136" i="4"/>
  <c r="AB136" i="4" s="1"/>
  <c r="J137" i="4"/>
  <c r="AB137" i="4" s="1"/>
  <c r="J138" i="4"/>
  <c r="AB138" i="4" s="1"/>
  <c r="J13" i="4"/>
  <c r="I14" i="4"/>
  <c r="I15" i="4"/>
  <c r="I16" i="4"/>
  <c r="I17" i="4"/>
  <c r="I20" i="4"/>
  <c r="I21" i="4"/>
  <c r="I22" i="4"/>
  <c r="I23" i="4"/>
  <c r="I24" i="4"/>
  <c r="I25" i="4"/>
  <c r="I26" i="4"/>
  <c r="I27" i="4"/>
  <c r="AA29" i="4"/>
  <c r="I30" i="4"/>
  <c r="I33" i="4"/>
  <c r="I34" i="4"/>
  <c r="I35" i="4"/>
  <c r="I36" i="4"/>
  <c r="I37"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2" i="4"/>
  <c r="I83" i="4"/>
  <c r="I84" i="4"/>
  <c r="I85" i="4"/>
  <c r="I86" i="4"/>
  <c r="I87" i="4"/>
  <c r="I88" i="4"/>
  <c r="I89" i="4"/>
  <c r="I90" i="4"/>
  <c r="I91" i="4"/>
  <c r="I92" i="4"/>
  <c r="I93" i="4"/>
  <c r="I94" i="4"/>
  <c r="I95" i="4"/>
  <c r="I96" i="4"/>
  <c r="I97" i="4"/>
  <c r="I100" i="4"/>
  <c r="I101" i="4"/>
  <c r="I102" i="4"/>
  <c r="I103" i="4"/>
  <c r="I107" i="4"/>
  <c r="I108" i="4"/>
  <c r="I109" i="4"/>
  <c r="I110" i="4"/>
  <c r="I114" i="4"/>
  <c r="I115" i="4"/>
  <c r="I116" i="4"/>
  <c r="I117" i="4"/>
  <c r="I135" i="4"/>
  <c r="I136" i="4"/>
  <c r="I137" i="4"/>
  <c r="I138" i="4"/>
  <c r="I13" i="4"/>
  <c r="H14" i="4"/>
  <c r="L14" i="4" s="1"/>
  <c r="H16" i="4"/>
  <c r="L16" i="4" s="1"/>
  <c r="H17" i="4"/>
  <c r="H20" i="4"/>
  <c r="H21" i="4"/>
  <c r="H22" i="4"/>
  <c r="H23" i="4"/>
  <c r="H24" i="4"/>
  <c r="L24" i="4" s="1"/>
  <c r="H25" i="4"/>
  <c r="H26" i="4"/>
  <c r="L26" i="4" s="1"/>
  <c r="H27" i="4"/>
  <c r="H28" i="4"/>
  <c r="H29" i="4"/>
  <c r="H30" i="4"/>
  <c r="H33" i="4"/>
  <c r="H34" i="4"/>
  <c r="H35" i="4"/>
  <c r="H36" i="4"/>
  <c r="H37" i="4"/>
  <c r="H50" i="4"/>
  <c r="H51" i="4"/>
  <c r="H52" i="4"/>
  <c r="H53" i="4"/>
  <c r="H54" i="4"/>
  <c r="H55" i="4"/>
  <c r="Z55" i="4" s="1"/>
  <c r="H56" i="4"/>
  <c r="Z56" i="4" s="1"/>
  <c r="H57" i="4"/>
  <c r="Z57" i="4" s="1"/>
  <c r="H58" i="4"/>
  <c r="Z58" i="4" s="1"/>
  <c r="H59" i="4"/>
  <c r="Z59" i="4" s="1"/>
  <c r="H60" i="4"/>
  <c r="Z60" i="4" s="1"/>
  <c r="H61" i="4"/>
  <c r="Z61" i="4" s="1"/>
  <c r="H62" i="4"/>
  <c r="Z62" i="4" s="1"/>
  <c r="H63" i="4"/>
  <c r="Z63" i="4" s="1"/>
  <c r="H64" i="4"/>
  <c r="Z64" i="4" s="1"/>
  <c r="H65" i="4"/>
  <c r="Z65" i="4" s="1"/>
  <c r="H66" i="4"/>
  <c r="Z66" i="4" s="1"/>
  <c r="H67" i="4"/>
  <c r="Z67" i="4" s="1"/>
  <c r="H68" i="4"/>
  <c r="Z68" i="4" s="1"/>
  <c r="H69" i="4"/>
  <c r="Z69" i="4" s="1"/>
  <c r="H70" i="4"/>
  <c r="Z70" i="4" s="1"/>
  <c r="H71" i="4"/>
  <c r="Z71" i="4" s="1"/>
  <c r="H72" i="4"/>
  <c r="Z72" i="4" s="1"/>
  <c r="H73" i="4"/>
  <c r="Z73" i="4" s="1"/>
  <c r="H74" i="4"/>
  <c r="Z74" i="4" s="1"/>
  <c r="H75" i="4"/>
  <c r="Z75" i="4" s="1"/>
  <c r="H76" i="4"/>
  <c r="Z76" i="4" s="1"/>
  <c r="H77" i="4"/>
  <c r="Z77" i="4" s="1"/>
  <c r="H78" i="4"/>
  <c r="Z78" i="4" s="1"/>
  <c r="H79" i="4"/>
  <c r="Z79" i="4" s="1"/>
  <c r="H80" i="4"/>
  <c r="Z80" i="4" s="1"/>
  <c r="H82" i="4"/>
  <c r="Z82" i="4" s="1"/>
  <c r="H83" i="4"/>
  <c r="Z83" i="4" s="1"/>
  <c r="H84" i="4"/>
  <c r="Z84" i="4" s="1"/>
  <c r="H85" i="4"/>
  <c r="Z85" i="4" s="1"/>
  <c r="H86" i="4"/>
  <c r="Z86" i="4" s="1"/>
  <c r="H87" i="4"/>
  <c r="Z87" i="4" s="1"/>
  <c r="H88" i="4"/>
  <c r="Z88" i="4" s="1"/>
  <c r="H89" i="4"/>
  <c r="Z89" i="4" s="1"/>
  <c r="H90" i="4"/>
  <c r="Z90" i="4" s="1"/>
  <c r="H91" i="4"/>
  <c r="Z91" i="4" s="1"/>
  <c r="H92" i="4"/>
  <c r="Z92" i="4" s="1"/>
  <c r="H93" i="4"/>
  <c r="Z93" i="4" s="1"/>
  <c r="H94" i="4"/>
  <c r="Z94" i="4" s="1"/>
  <c r="H95" i="4"/>
  <c r="Z95" i="4" s="1"/>
  <c r="H96" i="4"/>
  <c r="Z96" i="4" s="1"/>
  <c r="H97" i="4"/>
  <c r="Z97" i="4" s="1"/>
  <c r="H100" i="4"/>
  <c r="H101" i="4"/>
  <c r="H102" i="4"/>
  <c r="H103" i="4"/>
  <c r="H107" i="4"/>
  <c r="H108" i="4"/>
  <c r="H109" i="4"/>
  <c r="H114" i="4"/>
  <c r="H115" i="4"/>
  <c r="H116" i="4"/>
  <c r="H135" i="4"/>
  <c r="H136" i="4"/>
  <c r="Z136" i="4" s="1"/>
  <c r="H137" i="4"/>
  <c r="Z137" i="4" s="1"/>
  <c r="H138" i="4"/>
  <c r="Z138" i="4" s="1"/>
  <c r="H13" i="4"/>
  <c r="G17" i="4"/>
  <c r="U17" i="4" s="1"/>
  <c r="V19" i="4" s="1"/>
  <c r="G20" i="4"/>
  <c r="G21" i="4"/>
  <c r="U21" i="4" s="1"/>
  <c r="G22" i="4"/>
  <c r="U22" i="4" s="1"/>
  <c r="G23" i="4"/>
  <c r="U23" i="4" s="1"/>
  <c r="G25" i="4"/>
  <c r="U25" i="4" s="1"/>
  <c r="U27" i="4"/>
  <c r="G28" i="4"/>
  <c r="U28" i="4" s="1"/>
  <c r="G29" i="4"/>
  <c r="U29" i="4" s="1"/>
  <c r="G30" i="4"/>
  <c r="U30" i="4" s="1"/>
  <c r="G33" i="4"/>
  <c r="G34" i="4"/>
  <c r="G35" i="4"/>
  <c r="G36" i="4"/>
  <c r="G37" i="4"/>
  <c r="G50" i="4"/>
  <c r="G51" i="4"/>
  <c r="G52" i="4"/>
  <c r="G53" i="4"/>
  <c r="G54" i="4"/>
  <c r="G55" i="4"/>
  <c r="G57" i="4"/>
  <c r="G58" i="4"/>
  <c r="G59" i="4"/>
  <c r="G60" i="4"/>
  <c r="G61" i="4"/>
  <c r="G62" i="4"/>
  <c r="G63" i="4"/>
  <c r="G64" i="4"/>
  <c r="G65" i="4"/>
  <c r="G66" i="4"/>
  <c r="G67" i="4"/>
  <c r="G68" i="4"/>
  <c r="G69" i="4"/>
  <c r="G70" i="4"/>
  <c r="G71" i="4"/>
  <c r="G72" i="4"/>
  <c r="G73" i="4"/>
  <c r="G74" i="4"/>
  <c r="G75" i="4"/>
  <c r="G76" i="4"/>
  <c r="G77" i="4"/>
  <c r="G78" i="4"/>
  <c r="G79" i="4"/>
  <c r="G80" i="4"/>
  <c r="G82" i="4"/>
  <c r="G83" i="4"/>
  <c r="G84" i="4"/>
  <c r="G85" i="4"/>
  <c r="G86" i="4"/>
  <c r="G87" i="4"/>
  <c r="G88" i="4"/>
  <c r="G89" i="4"/>
  <c r="G90" i="4"/>
  <c r="G91" i="4"/>
  <c r="G92" i="4"/>
  <c r="G93" i="4"/>
  <c r="G94" i="4"/>
  <c r="G95" i="4"/>
  <c r="G96" i="4"/>
  <c r="G97" i="4"/>
  <c r="G100" i="4"/>
  <c r="G103" i="4"/>
  <c r="G108" i="4"/>
  <c r="G109" i="4"/>
  <c r="G110" i="4"/>
  <c r="G114" i="4"/>
  <c r="G115" i="4"/>
  <c r="G116" i="4"/>
  <c r="G117" i="4"/>
  <c r="G135" i="4"/>
  <c r="G136" i="4"/>
  <c r="G137" i="4"/>
  <c r="G138" i="4"/>
  <c r="F29" i="4"/>
  <c r="F30" i="4"/>
  <c r="F34" i="4"/>
  <c r="F36" i="4"/>
  <c r="F50" i="4"/>
  <c r="F51" i="4"/>
  <c r="F52" i="4"/>
  <c r="F53" i="4"/>
  <c r="F54" i="4"/>
  <c r="F55" i="4"/>
  <c r="F57" i="4"/>
  <c r="F58" i="4"/>
  <c r="F59" i="4"/>
  <c r="F60" i="4"/>
  <c r="F61" i="4"/>
  <c r="F63" i="4"/>
  <c r="F64" i="4"/>
  <c r="F65" i="4"/>
  <c r="F66" i="4"/>
  <c r="F67" i="4"/>
  <c r="F68" i="4"/>
  <c r="F69" i="4"/>
  <c r="F71" i="4"/>
  <c r="F72" i="4"/>
  <c r="F74" i="4"/>
  <c r="F75" i="4"/>
  <c r="F76" i="4"/>
  <c r="F78" i="4"/>
  <c r="F79" i="4"/>
  <c r="F80" i="4"/>
  <c r="F84" i="4"/>
  <c r="F85" i="4"/>
  <c r="F88" i="4"/>
  <c r="F91" i="4"/>
  <c r="F95" i="4"/>
  <c r="F96" i="4"/>
  <c r="F97" i="4"/>
  <c r="M97" i="4" s="1"/>
  <c r="K154" i="4" l="1"/>
  <c r="K158" i="4"/>
  <c r="M20" i="4"/>
  <c r="K155" i="4"/>
  <c r="H119" i="4"/>
  <c r="N51" i="29" s="1"/>
  <c r="AC108" i="4"/>
  <c r="M108" i="4"/>
  <c r="AC90" i="4"/>
  <c r="AC77" i="4"/>
  <c r="AC57" i="4"/>
  <c r="M57" i="4"/>
  <c r="AC93" i="4"/>
  <c r="AC89" i="4"/>
  <c r="AC85" i="4"/>
  <c r="M85" i="4"/>
  <c r="AC80" i="4"/>
  <c r="M80" i="4"/>
  <c r="AC76" i="4"/>
  <c r="M76" i="4"/>
  <c r="AC72" i="4"/>
  <c r="M72" i="4"/>
  <c r="AC68" i="4"/>
  <c r="M68" i="4"/>
  <c r="AC64" i="4"/>
  <c r="M64" i="4"/>
  <c r="AC60" i="4"/>
  <c r="M60" i="4"/>
  <c r="AC56" i="4"/>
  <c r="AC52" i="4"/>
  <c r="M52" i="4"/>
  <c r="AC36" i="4"/>
  <c r="M36" i="4"/>
  <c r="M30" i="4"/>
  <c r="AC115" i="4"/>
  <c r="M115" i="4"/>
  <c r="AC94" i="4"/>
  <c r="AC82" i="4"/>
  <c r="AC69" i="4"/>
  <c r="M69" i="4"/>
  <c r="AC61" i="4"/>
  <c r="M61" i="4"/>
  <c r="AC37" i="4"/>
  <c r="AC138" i="4"/>
  <c r="M138" i="4"/>
  <c r="AC117" i="4"/>
  <c r="M117" i="4"/>
  <c r="AC110" i="4"/>
  <c r="M110" i="4"/>
  <c r="AC96" i="4"/>
  <c r="M96" i="4"/>
  <c r="AC92" i="4"/>
  <c r="AC88" i="4"/>
  <c r="M88" i="4"/>
  <c r="AC84" i="4"/>
  <c r="M84" i="4"/>
  <c r="AC79" i="4"/>
  <c r="M79" i="4"/>
  <c r="AC75" i="4"/>
  <c r="M75" i="4"/>
  <c r="AC71" i="4"/>
  <c r="M71" i="4"/>
  <c r="AC67" i="4"/>
  <c r="M67" i="4"/>
  <c r="AC63" i="4"/>
  <c r="M63" i="4"/>
  <c r="AC59" i="4"/>
  <c r="M59" i="4"/>
  <c r="AC55" i="4"/>
  <c r="M55" i="4"/>
  <c r="AC51" i="4"/>
  <c r="M51" i="4"/>
  <c r="AC35" i="4"/>
  <c r="M29" i="4"/>
  <c r="AC136" i="4"/>
  <c r="M136" i="4"/>
  <c r="AC86" i="4"/>
  <c r="AC73" i="4"/>
  <c r="AC65" i="4"/>
  <c r="M65" i="4"/>
  <c r="AC53" i="4"/>
  <c r="M53" i="4"/>
  <c r="AC137" i="4"/>
  <c r="M137" i="4"/>
  <c r="AC116" i="4"/>
  <c r="M116" i="4"/>
  <c r="AC109" i="4"/>
  <c r="M109" i="4"/>
  <c r="AC95" i="4"/>
  <c r="M95" i="4"/>
  <c r="AC91" i="4"/>
  <c r="M91" i="4"/>
  <c r="AC87" i="4"/>
  <c r="AC83" i="4"/>
  <c r="AC78" i="4"/>
  <c r="M78" i="4"/>
  <c r="AC74" i="4"/>
  <c r="M74" i="4"/>
  <c r="AC70" i="4"/>
  <c r="AC66" i="4"/>
  <c r="M66" i="4"/>
  <c r="AC62" i="4"/>
  <c r="AC58" i="4"/>
  <c r="M58" i="4"/>
  <c r="AC54" i="4"/>
  <c r="M54" i="4"/>
  <c r="M50" i="4"/>
  <c r="AC34" i="4"/>
  <c r="M34" i="4"/>
  <c r="AC23" i="4"/>
  <c r="M23" i="4"/>
  <c r="AA137" i="4"/>
  <c r="AA88" i="4"/>
  <c r="AA75" i="4"/>
  <c r="AA67" i="4"/>
  <c r="AA55" i="4"/>
  <c r="AA115" i="4"/>
  <c r="AA91" i="4"/>
  <c r="AA74" i="4"/>
  <c r="AA70" i="4"/>
  <c r="AA66" i="4"/>
  <c r="AA62" i="4"/>
  <c r="AA58" i="4"/>
  <c r="AA54" i="4"/>
  <c r="AA34" i="4"/>
  <c r="AA23" i="4"/>
  <c r="J140" i="4"/>
  <c r="J119" i="4"/>
  <c r="J112" i="4"/>
  <c r="J105" i="4"/>
  <c r="K140" i="4"/>
  <c r="K119" i="4"/>
  <c r="P51" i="29" s="1"/>
  <c r="K112" i="4"/>
  <c r="P50" i="29" s="1"/>
  <c r="K105" i="4"/>
  <c r="AA109" i="4"/>
  <c r="AA96" i="4"/>
  <c r="AA84" i="4"/>
  <c r="AA71" i="4"/>
  <c r="AA59" i="4"/>
  <c r="AA51" i="4"/>
  <c r="AA136" i="4"/>
  <c r="AA87" i="4"/>
  <c r="AA78" i="4"/>
  <c r="G119" i="4"/>
  <c r="I140" i="4"/>
  <c r="I119" i="4"/>
  <c r="I112" i="4"/>
  <c r="I105" i="4"/>
  <c r="G9" i="31" s="1"/>
  <c r="AA94" i="4"/>
  <c r="AA90" i="4"/>
  <c r="AA86" i="4"/>
  <c r="AA82" i="4"/>
  <c r="AA77" i="4"/>
  <c r="AA73" i="4"/>
  <c r="AA69" i="4"/>
  <c r="AA65" i="4"/>
  <c r="AA61" i="4"/>
  <c r="AA57" i="4"/>
  <c r="AA53" i="4"/>
  <c r="AA37" i="4"/>
  <c r="AA116" i="4"/>
  <c r="AA92" i="4"/>
  <c r="AA79" i="4"/>
  <c r="AA63" i="4"/>
  <c r="AA35" i="4"/>
  <c r="H140" i="4"/>
  <c r="AA108" i="4"/>
  <c r="AA95" i="4"/>
  <c r="AA83" i="4"/>
  <c r="G140" i="4"/>
  <c r="L54" i="29" s="1"/>
  <c r="G105" i="4"/>
  <c r="L49" i="29" s="1"/>
  <c r="H112" i="4"/>
  <c r="H105" i="4"/>
  <c r="N49" i="29" s="1"/>
  <c r="AA138" i="4"/>
  <c r="AA117" i="4"/>
  <c r="AA110" i="4"/>
  <c r="AA97" i="4"/>
  <c r="AA93" i="4"/>
  <c r="AA89" i="4"/>
  <c r="AA85" i="4"/>
  <c r="AA80" i="4"/>
  <c r="AA76" i="4"/>
  <c r="AA72" i="4"/>
  <c r="AA68" i="4"/>
  <c r="AA64" i="4"/>
  <c r="AA60" i="4"/>
  <c r="AA56" i="4"/>
  <c r="AA52" i="4"/>
  <c r="AA36" i="4"/>
  <c r="H154" i="4"/>
  <c r="H145" i="4" s="1"/>
  <c r="R15" i="4"/>
  <c r="L51" i="29"/>
  <c r="L13" i="4"/>
  <c r="Z135" i="4"/>
  <c r="Z109" i="4"/>
  <c r="L102" i="4"/>
  <c r="AB135" i="4"/>
  <c r="AC135" i="4"/>
  <c r="T103" i="4"/>
  <c r="Z116" i="4"/>
  <c r="Z108" i="4"/>
  <c r="L101" i="4"/>
  <c r="AA135" i="4"/>
  <c r="Z115" i="4"/>
  <c r="AB114" i="4"/>
  <c r="AC114" i="4"/>
  <c r="AA114" i="4"/>
  <c r="Z114" i="4"/>
  <c r="AC107" i="4"/>
  <c r="AA107" i="4"/>
  <c r="AB107" i="4"/>
  <c r="Z107" i="4"/>
  <c r="T100" i="4"/>
  <c r="L29" i="4"/>
  <c r="L25" i="4"/>
  <c r="L21" i="4"/>
  <c r="E54" i="29"/>
  <c r="F54" i="29" s="1"/>
  <c r="E53" i="29"/>
  <c r="F53" i="29" s="1"/>
  <c r="L28" i="4"/>
  <c r="L20" i="4"/>
  <c r="H155" i="4"/>
  <c r="L100" i="4"/>
  <c r="L27" i="4"/>
  <c r="L23" i="4"/>
  <c r="L17" i="4"/>
  <c r="L103" i="4"/>
  <c r="L30" i="4"/>
  <c r="L22" i="4"/>
  <c r="H53" i="31"/>
  <c r="AC50" i="4"/>
  <c r="H77" i="31"/>
  <c r="G78" i="31"/>
  <c r="G83" i="31"/>
  <c r="H74" i="31"/>
  <c r="AA50" i="4"/>
  <c r="H78" i="31"/>
  <c r="G74" i="31"/>
  <c r="H76" i="31"/>
  <c r="G76" i="31"/>
  <c r="H54" i="31"/>
  <c r="H60" i="31"/>
  <c r="H51" i="31"/>
  <c r="H55" i="31"/>
  <c r="G77" i="31"/>
  <c r="R100" i="4"/>
  <c r="R22" i="4"/>
  <c r="G156" i="4"/>
  <c r="G154" i="4"/>
  <c r="G145" i="4" s="1"/>
  <c r="H156" i="4"/>
  <c r="R35" i="4"/>
  <c r="G98" i="4"/>
  <c r="L48" i="29" s="1"/>
  <c r="H98" i="4"/>
  <c r="N48" i="29" s="1"/>
  <c r="AA33" i="4"/>
  <c r="I98" i="4"/>
  <c r="AB33" i="4"/>
  <c r="J98" i="4"/>
  <c r="AC33" i="4"/>
  <c r="K98" i="4"/>
  <c r="U20" i="4"/>
  <c r="V30" i="4" s="1"/>
  <c r="G85" i="31" s="1"/>
  <c r="G55" i="31"/>
  <c r="G53" i="31"/>
  <c r="G54" i="31"/>
  <c r="AB13" i="4"/>
  <c r="G60" i="31"/>
  <c r="AB20" i="4"/>
  <c r="O137" i="4"/>
  <c r="O136" i="4"/>
  <c r="O135" i="4"/>
  <c r="O138" i="4"/>
  <c r="Z52" i="4"/>
  <c r="Z37" i="4"/>
  <c r="Z33" i="4"/>
  <c r="Z51" i="4"/>
  <c r="Z36" i="4"/>
  <c r="Z54" i="4"/>
  <c r="Z50" i="4"/>
  <c r="Z35" i="4"/>
  <c r="Z53" i="4"/>
  <c r="Z34" i="4"/>
  <c r="O52" i="29"/>
  <c r="Z23" i="4"/>
  <c r="L136" i="4"/>
  <c r="L137" i="4"/>
  <c r="L135" i="4"/>
  <c r="R30" i="4"/>
  <c r="L138" i="4"/>
  <c r="R20" i="4"/>
  <c r="N138" i="4"/>
  <c r="N137" i="4"/>
  <c r="N136" i="4"/>
  <c r="N135" i="4"/>
  <c r="Z13" i="4"/>
  <c r="Z28" i="4"/>
  <c r="Z24" i="4"/>
  <c r="Z20" i="4"/>
  <c r="Z14" i="4"/>
  <c r="AA25" i="4"/>
  <c r="AA21" i="4"/>
  <c r="AA15" i="4"/>
  <c r="AC27" i="4"/>
  <c r="Z27" i="4"/>
  <c r="Z17" i="4"/>
  <c r="AA13" i="4"/>
  <c r="AA28" i="4"/>
  <c r="AA24" i="4"/>
  <c r="AA20" i="4"/>
  <c r="AA14" i="4"/>
  <c r="AC30" i="4"/>
  <c r="AC26" i="4"/>
  <c r="AC22" i="4"/>
  <c r="AC16" i="4"/>
  <c r="Z30" i="4"/>
  <c r="Z26" i="4"/>
  <c r="Z16" i="4"/>
  <c r="AA27" i="4"/>
  <c r="AA17" i="4"/>
  <c r="AC29" i="4"/>
  <c r="AC25" i="4"/>
  <c r="AC21" i="4"/>
  <c r="AC15" i="4"/>
  <c r="Z29" i="4"/>
  <c r="Z25" i="4"/>
  <c r="Z21" i="4"/>
  <c r="AA30" i="4"/>
  <c r="AA26" i="4"/>
  <c r="AA22" i="4"/>
  <c r="AA16" i="4"/>
  <c r="AC13" i="4"/>
  <c r="AC28" i="4"/>
  <c r="AC24" i="4"/>
  <c r="AC20" i="4"/>
  <c r="AC14" i="4"/>
  <c r="Z22" i="4"/>
  <c r="Z15" i="4"/>
  <c r="G31" i="4"/>
  <c r="K31" i="4"/>
  <c r="L53" i="29"/>
  <c r="I31" i="4"/>
  <c r="J31" i="4"/>
  <c r="H31" i="4"/>
  <c r="N47" i="29" s="1"/>
  <c r="H58" i="31" l="1"/>
  <c r="H57" i="31"/>
  <c r="P47" i="29"/>
  <c r="P54" i="29"/>
  <c r="M140" i="4"/>
  <c r="H80" i="31"/>
  <c r="P48" i="29"/>
  <c r="H81" i="31"/>
  <c r="L145" i="4"/>
  <c r="H85" i="31"/>
  <c r="O140" i="4"/>
  <c r="T105" i="4"/>
  <c r="F170" i="4" s="1"/>
  <c r="E49" i="29"/>
  <c r="F49" i="29" s="1"/>
  <c r="E51" i="29"/>
  <c r="F51" i="29" s="1"/>
  <c r="E52" i="29"/>
  <c r="F52" i="29" s="1"/>
  <c r="E46" i="29"/>
  <c r="F46" i="29" s="1"/>
  <c r="L47" i="29"/>
  <c r="L105" i="4"/>
  <c r="O49" i="29"/>
  <c r="R112" i="4"/>
  <c r="N50" i="29"/>
  <c r="E47" i="29"/>
  <c r="F47" i="29" s="1"/>
  <c r="L140" i="4"/>
  <c r="N54" i="29"/>
  <c r="L31" i="4"/>
  <c r="R119" i="4"/>
  <c r="N105" i="4"/>
  <c r="H158" i="4"/>
  <c r="R140" i="4"/>
  <c r="G8" i="31"/>
  <c r="G11" i="31" s="1"/>
  <c r="P49" i="29"/>
  <c r="G79" i="31"/>
  <c r="H56" i="31"/>
  <c r="G14" i="31"/>
  <c r="H14" i="31"/>
  <c r="G80" i="31"/>
  <c r="G81" i="31"/>
  <c r="H79" i="31"/>
  <c r="H5" i="31"/>
  <c r="H9" i="31"/>
  <c r="H12" i="31" s="1"/>
  <c r="G7" i="31"/>
  <c r="G10" i="31" s="1"/>
  <c r="U31" i="4"/>
  <c r="G12" i="31"/>
  <c r="G58" i="31"/>
  <c r="G56" i="31"/>
  <c r="G57" i="31"/>
  <c r="J141" i="4"/>
  <c r="I141" i="4"/>
  <c r="N140" i="4"/>
  <c r="F94" i="4"/>
  <c r="M94" i="4" s="1"/>
  <c r="F86" i="4"/>
  <c r="M86" i="4" s="1"/>
  <c r="F90" i="4"/>
  <c r="M90" i="4" s="1"/>
  <c r="F87" i="4"/>
  <c r="M87" i="4" s="1"/>
  <c r="H148" i="4" l="1"/>
  <c r="O47" i="29"/>
  <c r="H16" i="31"/>
  <c r="G62" i="31"/>
  <c r="H62" i="31" s="1"/>
  <c r="F172" i="4"/>
  <c r="H172" i="4" s="1"/>
  <c r="F28" i="4"/>
  <c r="M28" i="4" s="1"/>
  <c r="F35" i="4"/>
  <c r="M35" i="4" s="1"/>
  <c r="F89" i="4"/>
  <c r="M89" i="4" s="1"/>
  <c r="F62" i="4"/>
  <c r="M62" i="4" s="1"/>
  <c r="F77" i="4"/>
  <c r="M77" i="4" s="1"/>
  <c r="F70" i="4"/>
  <c r="M70" i="4" s="1"/>
  <c r="F83" i="4"/>
  <c r="M83" i="4" s="1"/>
  <c r="F82" i="4"/>
  <c r="M82" i="4" s="1"/>
  <c r="F93" i="4"/>
  <c r="M93" i="4" s="1"/>
  <c r="F92" i="4"/>
  <c r="M92" i="4" s="1"/>
  <c r="F73" i="4"/>
  <c r="M73" i="4" s="1"/>
  <c r="E9" i="22"/>
  <c r="F9" i="22" s="1"/>
  <c r="E6" i="22"/>
  <c r="F6" i="22" s="1"/>
  <c r="F33" i="4"/>
  <c r="M33" i="4" s="1"/>
  <c r="F37" i="4"/>
  <c r="M37" i="4" s="1"/>
  <c r="H50" i="31" l="1"/>
  <c r="H52" i="31" s="1"/>
  <c r="D14" i="4"/>
  <c r="D15" i="4"/>
  <c r="D16" i="4"/>
  <c r="D17" i="4"/>
  <c r="D20" i="4"/>
  <c r="D21" i="4"/>
  <c r="D22" i="4"/>
  <c r="D23" i="4"/>
  <c r="D24" i="4"/>
  <c r="D25" i="4"/>
  <c r="D26" i="4"/>
  <c r="D27" i="4"/>
  <c r="D28" i="4"/>
  <c r="D29" i="4"/>
  <c r="D30" i="4"/>
  <c r="D34" i="4"/>
  <c r="D35" i="4"/>
  <c r="D36" i="4"/>
  <c r="D37"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2" i="4"/>
  <c r="D83" i="4"/>
  <c r="D84" i="4"/>
  <c r="D85" i="4"/>
  <c r="D86" i="4"/>
  <c r="D87" i="4"/>
  <c r="D88" i="4"/>
  <c r="D89" i="4"/>
  <c r="D90" i="4"/>
  <c r="D91" i="4"/>
  <c r="D92" i="4"/>
  <c r="D93" i="4"/>
  <c r="D94" i="4"/>
  <c r="D95" i="4"/>
  <c r="D96" i="4"/>
  <c r="D97" i="4"/>
  <c r="D100" i="4"/>
  <c r="D101" i="4"/>
  <c r="D102" i="4"/>
  <c r="D103" i="4"/>
  <c r="D107" i="4"/>
  <c r="D108" i="4"/>
  <c r="D109" i="4"/>
  <c r="D110" i="4"/>
  <c r="D114" i="4"/>
  <c r="D115" i="4"/>
  <c r="D116" i="4"/>
  <c r="D117" i="4"/>
  <c r="D128" i="4"/>
  <c r="D129" i="4"/>
  <c r="D130" i="4"/>
  <c r="D131" i="4"/>
  <c r="D135" i="4"/>
  <c r="D136" i="4"/>
  <c r="D137" i="4"/>
  <c r="D138" i="4"/>
  <c r="D13" i="4"/>
  <c r="L38" i="29" l="1"/>
  <c r="L36" i="29"/>
  <c r="L39" i="29"/>
  <c r="L40" i="29"/>
  <c r="L37" i="29"/>
  <c r="M40" i="29"/>
  <c r="N40" i="29"/>
  <c r="M38" i="29"/>
  <c r="M37" i="29"/>
  <c r="M36" i="29"/>
  <c r="M39" i="29"/>
  <c r="N36" i="29"/>
  <c r="N39" i="29"/>
  <c r="N37" i="29"/>
  <c r="N38" i="29"/>
  <c r="D31" i="29"/>
  <c r="D30" i="29"/>
  <c r="D32" i="29"/>
  <c r="D29" i="29"/>
  <c r="D28" i="29"/>
  <c r="F32" i="29"/>
  <c r="E32" i="29"/>
  <c r="F31" i="29"/>
  <c r="E30" i="29"/>
  <c r="E28" i="29"/>
  <c r="F30" i="29"/>
  <c r="E29" i="29"/>
  <c r="F29" i="29"/>
  <c r="F28" i="29"/>
  <c r="E31" i="29"/>
  <c r="D20" i="29"/>
  <c r="D19" i="29"/>
  <c r="D21" i="29"/>
  <c r="D23" i="29"/>
  <c r="D22" i="29"/>
  <c r="E23" i="29"/>
  <c r="F23" i="29"/>
  <c r="E21" i="29"/>
  <c r="E20" i="29"/>
  <c r="F22" i="29"/>
  <c r="F19" i="29"/>
  <c r="F20" i="29"/>
  <c r="E22" i="29"/>
  <c r="E19" i="29"/>
  <c r="F21" i="29"/>
  <c r="M10" i="29"/>
  <c r="M14" i="29"/>
  <c r="M9" i="29"/>
  <c r="N5" i="29"/>
  <c r="M12" i="29"/>
  <c r="M15" i="29"/>
  <c r="M13" i="29"/>
  <c r="M7" i="29"/>
  <c r="M8" i="29"/>
  <c r="M11" i="29"/>
  <c r="M6" i="29"/>
  <c r="D37" i="29"/>
  <c r="D36" i="29"/>
  <c r="D40" i="29"/>
  <c r="D38" i="29"/>
  <c r="D39" i="29"/>
  <c r="F40" i="29"/>
  <c r="E40" i="29"/>
  <c r="E38" i="29"/>
  <c r="E36" i="29"/>
  <c r="F36" i="29"/>
  <c r="E37" i="29"/>
  <c r="E39" i="29"/>
  <c r="F37" i="29"/>
  <c r="F39" i="29"/>
  <c r="L21" i="29"/>
  <c r="L19" i="29"/>
  <c r="L22" i="29"/>
  <c r="L23" i="29"/>
  <c r="L20" i="29"/>
  <c r="N23" i="29"/>
  <c r="M23" i="29"/>
  <c r="N22" i="29"/>
  <c r="M22" i="29"/>
  <c r="N21" i="29"/>
  <c r="N19" i="29"/>
  <c r="M21" i="29"/>
  <c r="M20" i="29"/>
  <c r="N20" i="29"/>
  <c r="E5" i="29"/>
  <c r="M5" i="29"/>
  <c r="F5" i="29"/>
  <c r="F9" i="29"/>
  <c r="F13" i="29"/>
  <c r="F6" i="29"/>
  <c r="F10" i="29"/>
  <c r="F14" i="29"/>
  <c r="F12" i="29"/>
  <c r="F7" i="29"/>
  <c r="F11" i="29"/>
  <c r="F15" i="29"/>
  <c r="F8" i="29"/>
  <c r="D7" i="29"/>
  <c r="D11" i="29"/>
  <c r="D15" i="29"/>
  <c r="D9" i="29"/>
  <c r="D13" i="29"/>
  <c r="D6" i="29"/>
  <c r="D14" i="29"/>
  <c r="D8" i="29"/>
  <c r="D12" i="29"/>
  <c r="D5" i="29"/>
  <c r="D10" i="29"/>
  <c r="M55" i="29"/>
  <c r="N10" i="29"/>
  <c r="N7" i="29"/>
  <c r="N12" i="29"/>
  <c r="N8" i="29"/>
  <c r="N6" i="29"/>
  <c r="N13" i="29"/>
  <c r="N9" i="29"/>
  <c r="N15" i="29"/>
  <c r="N14" i="29"/>
  <c r="N11" i="29"/>
  <c r="L7" i="29"/>
  <c r="L11" i="29"/>
  <c r="L15" i="29"/>
  <c r="L10" i="29"/>
  <c r="L8" i="29"/>
  <c r="L12" i="29"/>
  <c r="L5" i="29"/>
  <c r="L9" i="29"/>
  <c r="L13" i="29"/>
  <c r="L6" i="29"/>
  <c r="L14" i="29"/>
  <c r="E10" i="29"/>
  <c r="E6" i="29"/>
  <c r="E9" i="29"/>
  <c r="E7" i="29"/>
  <c r="E14" i="29"/>
  <c r="E15" i="29"/>
  <c r="E13" i="29"/>
  <c r="E8" i="29"/>
  <c r="E11" i="29"/>
  <c r="E12" i="29"/>
  <c r="H19" i="29" l="1"/>
  <c r="H8" i="29"/>
  <c r="H9" i="29"/>
  <c r="H12" i="29"/>
  <c r="H40" i="29"/>
  <c r="G32" i="29"/>
  <c r="H7" i="29"/>
  <c r="L24" i="29"/>
  <c r="K50" i="29" s="1"/>
  <c r="H23" i="29"/>
  <c r="D24" i="29"/>
  <c r="K49" i="29" s="1"/>
  <c r="M49" i="29" s="1"/>
  <c r="D33" i="29"/>
  <c r="K51" i="29" s="1"/>
  <c r="M51" i="29" s="1"/>
  <c r="P5" i="29"/>
  <c r="O40" i="29"/>
  <c r="H5" i="29"/>
  <c r="N41" i="29"/>
  <c r="E24" i="29"/>
  <c r="G40" i="29"/>
  <c r="D41" i="29"/>
  <c r="K53" i="29" s="1"/>
  <c r="M53" i="29" s="1"/>
  <c r="M41" i="29"/>
  <c r="P40" i="29"/>
  <c r="L41" i="29"/>
  <c r="K54" i="29" s="1"/>
  <c r="M54" i="29" s="1"/>
  <c r="H10" i="29"/>
  <c r="N24" i="29"/>
  <c r="O23" i="29"/>
  <c r="P23" i="29"/>
  <c r="E41" i="29"/>
  <c r="O5" i="29"/>
  <c r="G19" i="29"/>
  <c r="F24" i="29"/>
  <c r="G23" i="29"/>
  <c r="F33" i="29"/>
  <c r="E33" i="29"/>
  <c r="H6" i="29"/>
  <c r="H11" i="29"/>
  <c r="H13" i="29"/>
  <c r="H15" i="29"/>
  <c r="H14" i="29"/>
  <c r="G7" i="29"/>
  <c r="G6" i="29"/>
  <c r="G8" i="29"/>
  <c r="G12" i="29"/>
  <c r="G5" i="29"/>
  <c r="G15" i="29"/>
  <c r="G14" i="29"/>
  <c r="G13" i="29"/>
  <c r="G11" i="29"/>
  <c r="G10" i="29"/>
  <c r="G9" i="29"/>
  <c r="G44" i="29"/>
  <c r="H44" i="29"/>
  <c r="G39" i="29"/>
  <c r="H39" i="29"/>
  <c r="O10" i="29"/>
  <c r="P10" i="29"/>
  <c r="D16" i="29"/>
  <c r="K47" i="29" s="1"/>
  <c r="M47" i="29" s="1"/>
  <c r="P38" i="29"/>
  <c r="H38" i="29"/>
  <c r="H29" i="29"/>
  <c r="H37" i="29"/>
  <c r="P21" i="29"/>
  <c r="H30" i="29"/>
  <c r="P37" i="29"/>
  <c r="E16" i="29"/>
  <c r="P20" i="29"/>
  <c r="P39" i="29"/>
  <c r="H20" i="29"/>
  <c r="P8" i="29"/>
  <c r="O14" i="29"/>
  <c r="G31" i="29"/>
  <c r="G22" i="29"/>
  <c r="G29" i="29"/>
  <c r="O6" i="29"/>
  <c r="O20" i="29"/>
  <c r="P13" i="29"/>
  <c r="G21" i="29"/>
  <c r="O15" i="29"/>
  <c r="O22" i="29"/>
  <c r="O7" i="29"/>
  <c r="O12" i="29"/>
  <c r="P15" i="29"/>
  <c r="P7" i="29"/>
  <c r="G20" i="29"/>
  <c r="G28" i="29"/>
  <c r="O36" i="29"/>
  <c r="M16" i="29"/>
  <c r="P9" i="29"/>
  <c r="P6" i="29"/>
  <c r="H36" i="29"/>
  <c r="G36" i="29"/>
  <c r="O13" i="29"/>
  <c r="H22" i="29"/>
  <c r="H21" i="29"/>
  <c r="O39" i="29"/>
  <c r="O38" i="29"/>
  <c r="N16" i="29"/>
  <c r="L16" i="29"/>
  <c r="K48" i="29" s="1"/>
  <c r="M48" i="29" s="1"/>
  <c r="O9" i="29"/>
  <c r="O11" i="29"/>
  <c r="O21" i="29"/>
  <c r="G37" i="29"/>
  <c r="P12" i="29"/>
  <c r="O8" i="29"/>
  <c r="H28" i="29"/>
  <c r="G30" i="29"/>
  <c r="P36" i="29"/>
  <c r="O37" i="29"/>
  <c r="P14" i="29"/>
  <c r="F16" i="29"/>
  <c r="P11" i="29"/>
  <c r="P22" i="29"/>
  <c r="H24" i="29" l="1"/>
  <c r="O41" i="29"/>
  <c r="G24" i="29"/>
  <c r="P41" i="29"/>
  <c r="Q47" i="29"/>
  <c r="Q54" i="29"/>
  <c r="Q49" i="29"/>
  <c r="Q51" i="29"/>
  <c r="K57" i="29"/>
  <c r="O55" i="29"/>
  <c r="Q55" i="29"/>
  <c r="H41" i="29"/>
  <c r="M42" i="29"/>
  <c r="E34" i="29"/>
  <c r="E25" i="29"/>
  <c r="E42" i="29"/>
  <c r="M17" i="29"/>
  <c r="E17" i="29"/>
  <c r="G16" i="29"/>
  <c r="H16" i="29"/>
  <c r="H33" i="29"/>
  <c r="O16" i="29"/>
  <c r="P16" i="29"/>
  <c r="G33" i="29"/>
  <c r="Q48" i="29" l="1"/>
  <c r="O51" i="29"/>
  <c r="O48" i="29"/>
  <c r="O54" i="29"/>
  <c r="C135" i="4" l="1"/>
  <c r="C138" i="4" l="1"/>
  <c r="C137" i="4"/>
  <c r="C136" i="4"/>
  <c r="C131" i="4"/>
  <c r="C130" i="4"/>
  <c r="C129" i="4"/>
  <c r="C128" i="4"/>
  <c r="C117" i="4"/>
  <c r="C116" i="4"/>
  <c r="C115" i="4"/>
  <c r="C114" i="4"/>
  <c r="C110" i="4"/>
  <c r="C109" i="4"/>
  <c r="C108" i="4"/>
  <c r="C107" i="4"/>
  <c r="C103" i="4"/>
  <c r="C102" i="4"/>
  <c r="C101" i="4"/>
  <c r="C100" i="4"/>
  <c r="C97" i="4"/>
  <c r="C96" i="4"/>
  <c r="C95" i="4"/>
  <c r="C94" i="4"/>
  <c r="C93" i="4"/>
  <c r="C92" i="4"/>
  <c r="C91" i="4"/>
  <c r="C90" i="4"/>
  <c r="C89" i="4"/>
  <c r="C88" i="4"/>
  <c r="C87" i="4"/>
  <c r="C86" i="4"/>
  <c r="C85" i="4"/>
  <c r="C84" i="4"/>
  <c r="C83" i="4"/>
  <c r="C82"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37" i="4"/>
  <c r="C36" i="4"/>
  <c r="C35" i="4"/>
  <c r="C34" i="4"/>
  <c r="C33" i="4"/>
  <c r="C30" i="4"/>
  <c r="C29" i="4"/>
  <c r="C28" i="4"/>
  <c r="C27" i="4"/>
  <c r="C26" i="4"/>
  <c r="C25" i="4"/>
  <c r="C24" i="4"/>
  <c r="C23" i="4"/>
  <c r="C22" i="4"/>
  <c r="C21" i="4"/>
  <c r="C20" i="4"/>
  <c r="C14" i="4"/>
  <c r="C15" i="4"/>
  <c r="C16" i="4"/>
  <c r="C17" i="4"/>
  <c r="C13" i="4"/>
  <c r="Y119" i="4" l="1"/>
  <c r="R13" i="4" l="1"/>
  <c r="N24" i="4" l="1"/>
  <c r="O97" i="4"/>
  <c r="O96" i="4"/>
  <c r="N95" i="4"/>
  <c r="O94" i="4"/>
  <c r="O93" i="4"/>
  <c r="O92" i="4"/>
  <c r="N90" i="4"/>
  <c r="O89" i="4"/>
  <c r="O88" i="4"/>
  <c r="O87" i="4"/>
  <c r="N86" i="4"/>
  <c r="O85" i="4"/>
  <c r="O84" i="4"/>
  <c r="O83" i="4"/>
  <c r="N82" i="4"/>
  <c r="O80" i="4"/>
  <c r="O79" i="4"/>
  <c r="N78" i="4"/>
  <c r="O77" i="4"/>
  <c r="O76" i="4"/>
  <c r="O75" i="4"/>
  <c r="N74" i="4"/>
  <c r="O73" i="4"/>
  <c r="O72" i="4"/>
  <c r="O71" i="4"/>
  <c r="N70" i="4"/>
  <c r="O69" i="4"/>
  <c r="O68" i="4"/>
  <c r="O67" i="4"/>
  <c r="N66" i="4"/>
  <c r="O65" i="4"/>
  <c r="O64" i="4"/>
  <c r="O63" i="4"/>
  <c r="N62" i="4"/>
  <c r="O61" i="4"/>
  <c r="N60" i="4"/>
  <c r="O59" i="4"/>
  <c r="N58" i="4"/>
  <c r="O57" i="4"/>
  <c r="N56" i="4"/>
  <c r="O55" i="4"/>
  <c r="N54" i="4"/>
  <c r="O53" i="4"/>
  <c r="N52" i="4"/>
  <c r="O51" i="4"/>
  <c r="O50" i="4"/>
  <c r="R80" i="4" l="1"/>
  <c r="R85" i="4"/>
  <c r="R89" i="4"/>
  <c r="R94" i="4"/>
  <c r="R52" i="4"/>
  <c r="R56" i="4"/>
  <c r="R60" i="4"/>
  <c r="R64" i="4"/>
  <c r="R68" i="4"/>
  <c r="R72" i="4"/>
  <c r="R76" i="4"/>
  <c r="R55" i="4"/>
  <c r="R59" i="4"/>
  <c r="R79" i="4"/>
  <c r="R84" i="4"/>
  <c r="R88" i="4"/>
  <c r="R50" i="4"/>
  <c r="R54" i="4"/>
  <c r="R58" i="4"/>
  <c r="R62" i="4"/>
  <c r="R66" i="4"/>
  <c r="R70" i="4"/>
  <c r="R74" i="4"/>
  <c r="R78" i="4"/>
  <c r="R83" i="4"/>
  <c r="R87" i="4"/>
  <c r="R92" i="4"/>
  <c r="R93" i="4"/>
  <c r="R96" i="4"/>
  <c r="R97" i="4"/>
  <c r="O24" i="4"/>
  <c r="R24" i="4"/>
  <c r="P24" i="4" s="1"/>
  <c r="R53" i="4"/>
  <c r="R57" i="4"/>
  <c r="R82" i="4"/>
  <c r="R86" i="4"/>
  <c r="R90" i="4"/>
  <c r="R95" i="4"/>
  <c r="R61" i="4"/>
  <c r="R65" i="4"/>
  <c r="R69" i="4"/>
  <c r="R73" i="4"/>
  <c r="R77" i="4"/>
  <c r="R63" i="4"/>
  <c r="R67" i="4"/>
  <c r="R71" i="4"/>
  <c r="R75" i="4"/>
  <c r="R51" i="4"/>
  <c r="N65" i="4"/>
  <c r="O66" i="4"/>
  <c r="O52" i="4"/>
  <c r="N53" i="4"/>
  <c r="O54" i="4"/>
  <c r="O56" i="4"/>
  <c r="N57" i="4"/>
  <c r="O58" i="4"/>
  <c r="N73" i="4"/>
  <c r="O74" i="4"/>
  <c r="L51" i="4"/>
  <c r="O60" i="4"/>
  <c r="L61" i="4"/>
  <c r="N61" i="4"/>
  <c r="L62" i="4"/>
  <c r="O62" i="4"/>
  <c r="L63" i="4"/>
  <c r="L69" i="4"/>
  <c r="N69" i="4"/>
  <c r="L70" i="4"/>
  <c r="O70" i="4"/>
  <c r="L71" i="4"/>
  <c r="L77" i="4"/>
  <c r="N77" i="4"/>
  <c r="L78" i="4"/>
  <c r="O78" i="4"/>
  <c r="L79" i="4"/>
  <c r="L85" i="4"/>
  <c r="N85" i="4"/>
  <c r="L86" i="4"/>
  <c r="O86" i="4"/>
  <c r="L87" i="4"/>
  <c r="L94" i="4"/>
  <c r="N94" i="4"/>
  <c r="L95" i="4"/>
  <c r="O95" i="4"/>
  <c r="L96" i="4"/>
  <c r="L57" i="4"/>
  <c r="L58" i="4"/>
  <c r="L59" i="4"/>
  <c r="L53" i="4"/>
  <c r="L54" i="4"/>
  <c r="L55" i="4"/>
  <c r="L65" i="4"/>
  <c r="L66" i="4"/>
  <c r="L67" i="4"/>
  <c r="L73" i="4"/>
  <c r="L74" i="4"/>
  <c r="L75" i="4"/>
  <c r="L80" i="4"/>
  <c r="N80" i="4"/>
  <c r="L82" i="4"/>
  <c r="O82" i="4"/>
  <c r="L83" i="4"/>
  <c r="L89" i="4"/>
  <c r="N89" i="4"/>
  <c r="L90" i="4"/>
  <c r="O90" i="4"/>
  <c r="L92" i="4"/>
  <c r="L56" i="4"/>
  <c r="L64" i="4"/>
  <c r="L72" i="4"/>
  <c r="L88" i="4"/>
  <c r="L97" i="4"/>
  <c r="N64" i="4"/>
  <c r="N68" i="4"/>
  <c r="N72" i="4"/>
  <c r="N76" i="4"/>
  <c r="N84" i="4"/>
  <c r="N88" i="4"/>
  <c r="N93" i="4"/>
  <c r="N97" i="4"/>
  <c r="L52" i="4"/>
  <c r="L84" i="4"/>
  <c r="L93" i="4"/>
  <c r="N55" i="4"/>
  <c r="N59" i="4"/>
  <c r="N63" i="4"/>
  <c r="N67" i="4"/>
  <c r="N71" i="4"/>
  <c r="N75" i="4"/>
  <c r="N79" i="4"/>
  <c r="N83" i="4"/>
  <c r="N87" i="4"/>
  <c r="N92" i="4"/>
  <c r="N96" i="4"/>
  <c r="L60" i="4"/>
  <c r="L68" i="4"/>
  <c r="L76" i="4"/>
  <c r="N51" i="4"/>
  <c r="N50" i="4"/>
  <c r="L50" i="4"/>
  <c r="R91" i="4" l="1"/>
  <c r="U97" i="4" s="1"/>
  <c r="H157" i="4"/>
  <c r="R25" i="4"/>
  <c r="P25" i="4" s="1"/>
  <c r="O91" i="4"/>
  <c r="G157" i="4"/>
  <c r="N25" i="4"/>
  <c r="N91" i="4"/>
  <c r="L91" i="4"/>
  <c r="O25" i="4"/>
  <c r="Y127" i="4" l="1"/>
  <c r="Y128" i="4" s="1"/>
  <c r="N101" i="4"/>
  <c r="O101" i="4" l="1"/>
  <c r="N31" i="4" l="1"/>
  <c r="N119" i="4"/>
  <c r="O37" i="4" l="1"/>
  <c r="R37" i="4" l="1"/>
  <c r="L37" i="4"/>
  <c r="N37" i="4"/>
  <c r="R36" i="4" l="1"/>
  <c r="L36" i="4"/>
  <c r="O36" i="4"/>
  <c r="N36" i="4"/>
  <c r="R109" i="4" l="1"/>
  <c r="R103" i="4"/>
  <c r="P103" i="4" s="1"/>
  <c r="R101" i="4" l="1"/>
  <c r="R115" i="4"/>
  <c r="R26" i="4"/>
  <c r="P26" i="4" s="1"/>
  <c r="R17" i="4"/>
  <c r="P17" i="4" s="1"/>
  <c r="R23" i="4"/>
  <c r="P23" i="4" s="1"/>
  <c r="R34" i="4"/>
  <c r="R107" i="4"/>
  <c r="R114" i="4"/>
  <c r="R116" i="4"/>
  <c r="R128" i="4"/>
  <c r="R129" i="4"/>
  <c r="R138" i="4"/>
  <c r="R117" i="4"/>
  <c r="R29" i="4"/>
  <c r="P29" i="4" s="1"/>
  <c r="R131" i="4"/>
  <c r="R137" i="4"/>
  <c r="P13" i="4"/>
  <c r="P22" i="4"/>
  <c r="P15" i="4"/>
  <c r="R110" i="4"/>
  <c r="R136" i="4"/>
  <c r="R33" i="4"/>
  <c r="J145" i="4"/>
  <c r="R21" i="4"/>
  <c r="R27" i="4"/>
  <c r="P27" i="4" s="1"/>
  <c r="P20" i="4"/>
  <c r="R108" i="4"/>
  <c r="L115" i="4"/>
  <c r="L117" i="4"/>
  <c r="L131" i="4"/>
  <c r="L33" i="4"/>
  <c r="L110" i="4"/>
  <c r="L35" i="4"/>
  <c r="O145" i="4" l="1"/>
  <c r="P101" i="4"/>
  <c r="U49" i="4"/>
  <c r="R98" i="4"/>
  <c r="P21" i="4"/>
  <c r="R135" i="4"/>
  <c r="J146" i="4"/>
  <c r="J147" i="4" s="1"/>
  <c r="F85" i="43" l="1"/>
  <c r="L114" i="4"/>
  <c r="F80" i="43" l="1"/>
  <c r="O100" i="4"/>
  <c r="R16" i="4"/>
  <c r="P16" i="4" s="1"/>
  <c r="P100" i="4"/>
  <c r="P30" i="4"/>
  <c r="L129" i="4" l="1"/>
  <c r="H146" i="4" l="1"/>
  <c r="H147" i="4" s="1"/>
  <c r="R102" i="4" l="1"/>
  <c r="P102" i="4" l="1"/>
  <c r="R105" i="4"/>
  <c r="P105" i="4" s="1"/>
  <c r="N16" i="4"/>
  <c r="N17" i="4"/>
  <c r="N15" i="4"/>
  <c r="L108" i="4" l="1"/>
  <c r="L109" i="4"/>
  <c r="L116" i="4"/>
  <c r="I145" i="4"/>
  <c r="N145" i="4" l="1"/>
  <c r="G155" i="4"/>
  <c r="I155" i="4" s="1"/>
  <c r="R28" i="4"/>
  <c r="W30" i="4" s="1"/>
  <c r="I156" i="4"/>
  <c r="L34" i="4"/>
  <c r="I173" i="4" l="1"/>
  <c r="G84" i="31"/>
  <c r="G91" i="31" s="1"/>
  <c r="D80" i="43"/>
  <c r="D85" i="43"/>
  <c r="C80" i="43"/>
  <c r="C85" i="43"/>
  <c r="P28" i="4"/>
  <c r="G170" i="4"/>
  <c r="N98" i="4"/>
  <c r="L98" i="4"/>
  <c r="G158" i="4"/>
  <c r="I146" i="4"/>
  <c r="I147" i="4" s="1"/>
  <c r="I157" i="4"/>
  <c r="G146" i="4"/>
  <c r="G147" i="4" s="1"/>
  <c r="L147" i="4" l="1"/>
  <c r="O147" i="4"/>
  <c r="G148" i="4"/>
  <c r="L148" i="4" s="1"/>
  <c r="N147" i="4"/>
  <c r="N146" i="4"/>
  <c r="O146" i="4"/>
  <c r="L146" i="4"/>
  <c r="H84" i="31"/>
  <c r="H89" i="31" s="1"/>
  <c r="E80" i="43"/>
  <c r="E85" i="43"/>
  <c r="G89" i="31"/>
  <c r="G90" i="31"/>
  <c r="G87" i="31"/>
  <c r="G86" i="31"/>
  <c r="G88" i="31"/>
  <c r="J170" i="4"/>
  <c r="H170" i="4"/>
  <c r="H86" i="31" l="1"/>
  <c r="H87" i="31"/>
  <c r="H88" i="31"/>
  <c r="H91" i="31"/>
  <c r="H90" i="31"/>
  <c r="G80" i="43"/>
  <c r="G85" i="43"/>
  <c r="G178" i="4"/>
  <c r="O22" i="4" l="1"/>
  <c r="N22" i="4"/>
  <c r="N130" i="4"/>
  <c r="N131" i="4"/>
  <c r="O20" i="4"/>
  <c r="O103" i="4"/>
  <c r="N30" i="4"/>
  <c r="O17" i="4"/>
  <c r="O102" i="4"/>
  <c r="N109" i="4"/>
  <c r="O28" i="4"/>
  <c r="G162" i="4"/>
  <c r="I148" i="4" s="1"/>
  <c r="O27" i="4"/>
  <c r="N27" i="4"/>
  <c r="N28" i="4"/>
  <c r="O131" i="4"/>
  <c r="O110" i="4"/>
  <c r="N13" i="4"/>
  <c r="N20" i="4"/>
  <c r="O117" i="4"/>
  <c r="O30" i="4"/>
  <c r="N110" i="4"/>
  <c r="N115" i="4"/>
  <c r="O35" i="4"/>
  <c r="O21" i="4"/>
  <c r="O115" i="4"/>
  <c r="N129" i="4"/>
  <c r="O29" i="4"/>
  <c r="N108" i="4"/>
  <c r="O16" i="4"/>
  <c r="O109" i="4"/>
  <c r="O26" i="4"/>
  <c r="G163" i="4"/>
  <c r="N35" i="4"/>
  <c r="N34" i="4"/>
  <c r="N103" i="4"/>
  <c r="N100" i="4"/>
  <c r="N33" i="4"/>
  <c r="O33" i="4"/>
  <c r="N102" i="4"/>
  <c r="N29" i="4"/>
  <c r="O34" i="4"/>
  <c r="N117" i="4"/>
  <c r="O130" i="4"/>
  <c r="N23" i="4"/>
  <c r="N21" i="4"/>
  <c r="O129" i="4"/>
  <c r="O15" i="4"/>
  <c r="N26" i="4"/>
  <c r="O108" i="4"/>
  <c r="G160" i="4"/>
  <c r="O23" i="4"/>
  <c r="O133" i="4" l="1"/>
  <c r="O105" i="4"/>
  <c r="O98" i="4"/>
  <c r="F173" i="4"/>
  <c r="H173" i="4"/>
  <c r="K173" i="4" s="1"/>
  <c r="L119" i="4"/>
  <c r="H160" i="4"/>
  <c r="H163" i="4"/>
  <c r="H159" i="4"/>
  <c r="N133" i="4"/>
  <c r="I158" i="4" l="1"/>
  <c r="G180" i="4"/>
  <c r="G173" i="4"/>
  <c r="J173" i="4" s="1"/>
  <c r="F180" i="4"/>
  <c r="I163" i="4"/>
  <c r="I160" i="4"/>
  <c r="E107" i="43" l="1"/>
  <c r="E112" i="43"/>
  <c r="C107" i="43"/>
  <c r="C112" i="43"/>
  <c r="B107" i="43"/>
  <c r="B112" i="43"/>
  <c r="H180" i="4"/>
  <c r="I180" i="4" s="1"/>
  <c r="N114" i="4" l="1"/>
  <c r="O114" i="4" l="1"/>
  <c r="O116" i="4" l="1"/>
  <c r="O119" i="4" s="1"/>
  <c r="N116" i="4" l="1"/>
  <c r="R14" i="4" l="1"/>
  <c r="R31" i="4" s="1"/>
  <c r="I154" i="4"/>
  <c r="N14" i="4"/>
  <c r="O31" i="4"/>
  <c r="W19" i="4" l="1"/>
  <c r="I172" i="4" s="1"/>
  <c r="B80" i="43"/>
  <c r="B85" i="43"/>
  <c r="P14" i="4"/>
  <c r="G61" i="31" l="1"/>
  <c r="H61" i="31" s="1"/>
  <c r="G172" i="4"/>
  <c r="K172" i="4"/>
  <c r="G179" i="4"/>
  <c r="G181" i="4" s="1"/>
  <c r="F179" i="4"/>
  <c r="P31" i="4"/>
  <c r="H63" i="31" l="1"/>
  <c r="H67" i="31"/>
  <c r="H68" i="31"/>
  <c r="H66" i="31"/>
  <c r="H65" i="31"/>
  <c r="G65" i="31"/>
  <c r="H64" i="31"/>
  <c r="G67" i="31"/>
  <c r="G68" i="31"/>
  <c r="G63" i="31"/>
  <c r="G66" i="31"/>
  <c r="G64" i="31"/>
  <c r="H179" i="4"/>
  <c r="I179" i="4" s="1"/>
  <c r="J172" i="4" l="1"/>
  <c r="E25" i="22"/>
  <c r="F25" i="22" s="1"/>
  <c r="E24" i="22"/>
  <c r="F24" i="22" s="1"/>
  <c r="H130" i="4"/>
  <c r="F38" i="29" l="1"/>
  <c r="F41" i="29" s="1"/>
  <c r="H133" i="4"/>
  <c r="N53" i="29" s="1"/>
  <c r="Z130" i="4"/>
  <c r="F130" i="4"/>
  <c r="L130" i="4"/>
  <c r="H7" i="31" l="1"/>
  <c r="H10" i="31" s="1"/>
  <c r="H141" i="4"/>
  <c r="L133" i="4"/>
  <c r="H162" i="4"/>
  <c r="G38" i="29"/>
  <c r="I162" i="4" l="1"/>
  <c r="J148" i="4"/>
  <c r="G41" i="29"/>
  <c r="O148" i="4" l="1"/>
  <c r="N148" i="4"/>
  <c r="D107" i="43"/>
  <c r="D112" i="43"/>
  <c r="O53" i="29"/>
  <c r="N57" i="29"/>
  <c r="F107" i="43" l="1"/>
  <c r="F112" i="43"/>
  <c r="K130" i="4"/>
  <c r="M130" i="4" s="1"/>
  <c r="AC130" i="4" l="1"/>
  <c r="K133" i="4"/>
  <c r="R130" i="4"/>
  <c r="P53" i="29" l="1"/>
  <c r="P57" i="29" s="1"/>
  <c r="H8" i="31"/>
  <c r="H11" i="31" s="1"/>
  <c r="R133" i="4"/>
  <c r="I170" i="4" s="1"/>
  <c r="K141" i="4"/>
  <c r="Q53" i="29" l="1"/>
  <c r="F178" i="4"/>
  <c r="K170" i="4"/>
  <c r="F181" i="4" l="1"/>
  <c r="H178" i="4"/>
  <c r="I178" i="4" s="1"/>
  <c r="H181" i="4" l="1"/>
  <c r="I181" i="4" s="1"/>
  <c r="E5" i="22" l="1"/>
  <c r="F5" i="22" s="1"/>
  <c r="E18" i="22"/>
  <c r="F18" i="22" s="1"/>
  <c r="F114" i="4"/>
  <c r="E21" i="22"/>
  <c r="F21" i="22" s="1"/>
  <c r="E8" i="22"/>
  <c r="F8" i="22" s="1"/>
  <c r="F101" i="4"/>
  <c r="M101" i="4" s="1"/>
  <c r="F100" i="4"/>
  <c r="F56" i="4"/>
  <c r="M56" i="4" s="1"/>
  <c r="E23" i="22"/>
  <c r="F23" i="22" s="1"/>
  <c r="F13" i="4"/>
  <c r="F103" i="4"/>
  <c r="M103" i="4" s="1"/>
  <c r="F16" i="4"/>
  <c r="M16" i="4" s="1"/>
  <c r="F26" i="4"/>
  <c r="J155" i="4" s="1"/>
  <c r="L155" i="4" s="1"/>
  <c r="E10" i="22"/>
  <c r="F10" i="22" s="1"/>
  <c r="E19" i="22"/>
  <c r="F19" i="22" s="1"/>
  <c r="F131" i="4"/>
  <c r="M131" i="4" s="1"/>
  <c r="E20" i="22"/>
  <c r="F20" i="22" s="1"/>
  <c r="F14" i="4"/>
  <c r="M14" i="4" s="1"/>
  <c r="E7" i="22"/>
  <c r="F7" i="22" s="1"/>
  <c r="F15" i="4"/>
  <c r="M15" i="4" s="1"/>
  <c r="F128" i="4"/>
  <c r="M128" i="4" s="1"/>
  <c r="J158" i="4" l="1"/>
  <c r="L158" i="4" s="1"/>
  <c r="M13" i="4"/>
  <c r="J154" i="4"/>
  <c r="L154" i="4" s="1"/>
  <c r="F105" i="4"/>
  <c r="M105" i="4" s="1"/>
  <c r="M100" i="4"/>
  <c r="F119" i="4"/>
  <c r="M119" i="4" s="1"/>
  <c r="M114" i="4"/>
  <c r="G73" i="31"/>
  <c r="M26" i="4"/>
  <c r="F133" i="4"/>
  <c r="M133" i="4" s="1"/>
  <c r="F98" i="4"/>
  <c r="M98" i="4" s="1"/>
  <c r="H73" i="31"/>
  <c r="H75" i="31" s="1"/>
  <c r="G50" i="31"/>
  <c r="F31" i="4"/>
  <c r="M31" i="4" s="1"/>
  <c r="G75" i="31" l="1"/>
  <c r="G51" i="31"/>
  <c r="G52" i="31" l="1"/>
  <c r="G107" i="4"/>
  <c r="G112" i="4" s="1"/>
  <c r="M19" i="29" l="1"/>
  <c r="M24" i="29" s="1"/>
  <c r="L50" i="29"/>
  <c r="M50" i="29" s="1"/>
  <c r="N107" i="4"/>
  <c r="E4" i="22"/>
  <c r="F4" i="22" s="1"/>
  <c r="E17" i="22"/>
  <c r="F17" i="22" s="1"/>
  <c r="L107" i="4"/>
  <c r="F107" i="4"/>
  <c r="E22" i="22"/>
  <c r="F22" i="22" s="1"/>
  <c r="O107" i="4"/>
  <c r="O112" i="4" s="1"/>
  <c r="F112" i="4" l="1"/>
  <c r="M112" i="4" s="1"/>
  <c r="M107" i="4"/>
  <c r="L57" i="29"/>
  <c r="M57" i="29" s="1"/>
  <c r="E48" i="29"/>
  <c r="F48" i="29" s="1"/>
  <c r="N112" i="4"/>
  <c r="L112" i="4"/>
  <c r="G4" i="31"/>
  <c r="G5" i="31" s="1"/>
  <c r="H4" i="31"/>
  <c r="O19" i="29"/>
  <c r="P19" i="29"/>
  <c r="G141" i="4"/>
  <c r="N141" i="4" s="1"/>
  <c r="G159" i="4"/>
  <c r="I159" i="4" s="1"/>
  <c r="F141" i="4" l="1"/>
  <c r="L141" i="4" s="1"/>
  <c r="Q50" i="29"/>
  <c r="G15" i="31"/>
  <c r="H15" i="31"/>
  <c r="H6" i="31"/>
  <c r="G16" i="31"/>
  <c r="G6" i="31"/>
  <c r="P24" i="29"/>
  <c r="O24" i="29"/>
  <c r="M25" i="29"/>
  <c r="M141" i="4" l="1"/>
  <c r="G22" i="31"/>
  <c r="G18" i="31"/>
  <c r="G21" i="31"/>
  <c r="G17" i="31"/>
  <c r="G19" i="31"/>
  <c r="G20" i="31"/>
  <c r="H20" i="31"/>
  <c r="H21" i="31"/>
  <c r="H19" i="31"/>
  <c r="H22" i="31"/>
  <c r="H17" i="31"/>
  <c r="H18" i="31"/>
  <c r="O50" i="29"/>
  <c r="O57" i="29" l="1"/>
</calcChain>
</file>

<file path=xl/comments1.xml><?xml version="1.0" encoding="utf-8"?>
<comments xmlns="http://schemas.openxmlformats.org/spreadsheetml/2006/main">
  <authors>
    <author>Nitin Awasthi</author>
    <author>production</author>
  </authors>
  <commentList>
    <comment ref="P43" authorId="0" shapeId="0">
      <text>
        <r>
          <rPr>
            <b/>
            <sz val="9"/>
            <color indexed="81"/>
            <rFont val="Tahoma"/>
            <family val="2"/>
          </rPr>
          <t>Nitin Awasthi:</t>
        </r>
        <r>
          <rPr>
            <sz val="9"/>
            <color indexed="81"/>
            <rFont val="Tahoma"/>
            <family val="2"/>
          </rPr>
          <t xml:space="preserve">
purgr material after drum change 1.8 kg
</t>
        </r>
      </text>
    </comment>
    <comment ref="P109" authorId="1" shapeId="0">
      <text>
        <r>
          <rPr>
            <b/>
            <sz val="9"/>
            <color indexed="81"/>
            <rFont val="Tahoma"/>
            <family val="2"/>
          </rPr>
          <t>production:</t>
        </r>
        <r>
          <rPr>
            <sz val="9"/>
            <color indexed="81"/>
            <rFont val="Tahoma"/>
            <family val="2"/>
          </rPr>
          <t xml:space="preserve">
</t>
        </r>
        <r>
          <rPr>
            <b/>
            <sz val="9"/>
            <color indexed="81"/>
            <rFont val="Tahoma"/>
            <family val="2"/>
          </rPr>
          <t>Drum change over</t>
        </r>
        <r>
          <rPr>
            <sz val="9"/>
            <color indexed="81"/>
            <rFont val="Tahoma"/>
            <family val="2"/>
          </rPr>
          <t xml:space="preserve">
Drum-A : 1.360kg
Drum-B : 3.260kg
Purge    : 3.260kg
</t>
        </r>
        <r>
          <rPr>
            <b/>
            <sz val="9"/>
            <color indexed="81"/>
            <rFont val="Tahoma"/>
            <family val="2"/>
          </rPr>
          <t xml:space="preserve">material leakage wastage
</t>
        </r>
        <r>
          <rPr>
            <sz val="9"/>
            <color indexed="81"/>
            <rFont val="Tahoma"/>
            <family val="2"/>
          </rPr>
          <t>Drum-A : 25kg
Drum-B : 25kg
Purge   :  07kg</t>
        </r>
      </text>
    </comment>
    <comment ref="P174" authorId="0" shapeId="0">
      <text>
        <r>
          <rPr>
            <b/>
            <sz val="9"/>
            <color indexed="81"/>
            <rFont val="Tahoma"/>
            <family val="2"/>
          </rPr>
          <t>Nitin Awasthi:</t>
        </r>
        <r>
          <rPr>
            <sz val="9"/>
            <color indexed="81"/>
            <rFont val="Tahoma"/>
            <family val="2"/>
          </rPr>
          <t xml:space="preserve">
drum change wastage A=1.48 KG
B=1.53 KG
Purge included of 17.8.21 startup and during holiday
a= 1.48 kg
b= 1.45 kg</t>
        </r>
      </text>
    </comment>
    <comment ref="U256" authorId="0" shapeId="0">
      <text>
        <r>
          <rPr>
            <b/>
            <sz val="9"/>
            <color indexed="81"/>
            <rFont val="Tahoma"/>
            <family val="2"/>
          </rPr>
          <t>Nitin Awasthi:</t>
        </r>
        <r>
          <rPr>
            <sz val="9"/>
            <color indexed="81"/>
            <rFont val="Tahoma"/>
            <family val="2"/>
          </rPr>
          <t xml:space="preserve">
qc extra sample taken on hourly due to thickness issue.</t>
        </r>
      </text>
    </comment>
    <comment ref="P279" authorId="1" shapeId="0">
      <text>
        <r>
          <rPr>
            <b/>
            <sz val="9"/>
            <color indexed="81"/>
            <rFont val="Tahoma"/>
            <family val="2"/>
          </rPr>
          <t>production:</t>
        </r>
        <r>
          <rPr>
            <sz val="9"/>
            <color indexed="81"/>
            <rFont val="Tahoma"/>
            <family val="2"/>
          </rPr>
          <t xml:space="preserve">
A=5.2
B=4.1
Purge=0.650</t>
        </r>
      </text>
    </comment>
    <comment ref="U293" authorId="0" shapeId="0">
      <text>
        <r>
          <rPr>
            <b/>
            <sz val="9"/>
            <color indexed="81"/>
            <rFont val="Tahoma"/>
            <family val="2"/>
          </rPr>
          <t>Nitin Awasthi:</t>
        </r>
        <r>
          <rPr>
            <sz val="9"/>
            <color indexed="81"/>
            <rFont val="Tahoma"/>
            <family val="2"/>
          </rPr>
          <t xml:space="preserve">
taken extra sample due to thickness checking in kpp 4 .</t>
        </r>
      </text>
    </comment>
  </commentList>
</comments>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<sst xmlns="http://schemas.openxmlformats.org/spreadsheetml/2006/main" count="16450" uniqueCount="4294">
  <si>
    <t>Item Code</t>
  </si>
  <si>
    <t>SKU</t>
  </si>
  <si>
    <t>Plan</t>
  </si>
  <si>
    <t>Good</t>
  </si>
  <si>
    <t>Setup</t>
  </si>
  <si>
    <t>Section</t>
  </si>
  <si>
    <t>Purge</t>
  </si>
  <si>
    <t>% Rej.</t>
  </si>
  <si>
    <t xml:space="preserve">P.P. Output </t>
  </si>
  <si>
    <t>Remarks</t>
  </si>
  <si>
    <t>Description</t>
  </si>
  <si>
    <t>01815</t>
  </si>
  <si>
    <t>01850</t>
  </si>
  <si>
    <t>01813</t>
  </si>
  <si>
    <t>FO003</t>
  </si>
  <si>
    <t>FO010</t>
  </si>
  <si>
    <t>ITEM CODE</t>
  </si>
  <si>
    <t>DESCRIPTION</t>
  </si>
  <si>
    <t>00280IN</t>
  </si>
  <si>
    <t>00281IN</t>
  </si>
  <si>
    <t>00282IN</t>
  </si>
  <si>
    <t>01814</t>
  </si>
  <si>
    <t>01816</t>
  </si>
  <si>
    <t>01848</t>
  </si>
  <si>
    <t>01849</t>
  </si>
  <si>
    <t>01851</t>
  </si>
  <si>
    <t>01940</t>
  </si>
  <si>
    <t>01941</t>
  </si>
  <si>
    <t>01942</t>
  </si>
  <si>
    <t>DIAPER LINER 25 SHEETS</t>
  </si>
  <si>
    <t>SOFTOUCH PERISTALTIC PLUS NIPPLE 1PCS SS</t>
  </si>
  <si>
    <t>SOFTOUCH PERISTALTIC PLUS NIPPLE 1PCS S</t>
  </si>
  <si>
    <t>SOFTOUCH PERISTALTIC PLUS NIPPLE 1PCS M</t>
  </si>
  <si>
    <t>SOFTOUCH PERISTALTIC PLUS NIPPLE 1PCS L</t>
  </si>
  <si>
    <t>09181IN</t>
  </si>
  <si>
    <t>09184IN</t>
  </si>
  <si>
    <t>BABY DIAPER XL SIZE 30PCS PIN</t>
  </si>
  <si>
    <t>16671IN</t>
  </si>
  <si>
    <t>16694IN</t>
  </si>
  <si>
    <t>Z810</t>
  </si>
  <si>
    <t>COMBO PACK OF LIQUID CLEANSER (12960+12969)</t>
  </si>
  <si>
    <t>Z814</t>
  </si>
  <si>
    <t>Z815</t>
  </si>
  <si>
    <t>Z816</t>
  </si>
  <si>
    <t>Z817</t>
  </si>
  <si>
    <t>Z830</t>
  </si>
  <si>
    <t>Z832</t>
  </si>
  <si>
    <t>Z834</t>
  </si>
  <si>
    <t>Z835</t>
  </si>
  <si>
    <t>DIAPER PACK S 23</t>
  </si>
  <si>
    <t>Z836</t>
  </si>
  <si>
    <t>DIAPER PACK M 20</t>
  </si>
  <si>
    <t>Z837</t>
  </si>
  <si>
    <t>DIAPER PACK L 17</t>
  </si>
  <si>
    <t>Z838</t>
  </si>
  <si>
    <t>DIAPER PACK XL 15</t>
  </si>
  <si>
    <t>Z839</t>
  </si>
  <si>
    <t>Z840</t>
  </si>
  <si>
    <t>Z841</t>
  </si>
  <si>
    <t>Z843</t>
  </si>
  <si>
    <t>Z844IN</t>
  </si>
  <si>
    <t>Z846</t>
  </si>
  <si>
    <t>Z847</t>
  </si>
  <si>
    <t>Z848</t>
  </si>
  <si>
    <t>FO008</t>
  </si>
  <si>
    <t>FO001</t>
  </si>
  <si>
    <t>FO002</t>
  </si>
  <si>
    <t>FO004</t>
  </si>
  <si>
    <t>FO005</t>
  </si>
  <si>
    <t>FO006</t>
  </si>
  <si>
    <t>FO007</t>
  </si>
  <si>
    <t>FO009</t>
  </si>
  <si>
    <t>FO011</t>
  </si>
  <si>
    <t>FO012</t>
  </si>
  <si>
    <t>FO013</t>
  </si>
  <si>
    <t>FO014</t>
  </si>
  <si>
    <t>FO015</t>
  </si>
  <si>
    <t>FO016</t>
  </si>
  <si>
    <t>FO017</t>
  </si>
  <si>
    <t>FO018</t>
  </si>
  <si>
    <t>FO019</t>
  </si>
  <si>
    <t>FO020</t>
  </si>
  <si>
    <t>FO021</t>
  </si>
  <si>
    <t>FO022</t>
  </si>
  <si>
    <t>Bottle Molded</t>
  </si>
  <si>
    <t>Bottle Printed</t>
  </si>
  <si>
    <t>Nipple Molded</t>
  </si>
  <si>
    <t>Nipple Postcured</t>
  </si>
  <si>
    <t>Nipple Punched</t>
  </si>
  <si>
    <t>Achivement %</t>
  </si>
  <si>
    <t>Rej %</t>
  </si>
  <si>
    <t>Total Output</t>
  </si>
  <si>
    <t>Rej</t>
  </si>
  <si>
    <t>Backlog</t>
  </si>
  <si>
    <t>QC Sampl</t>
  </si>
  <si>
    <t>Mtl. Cons.</t>
  </si>
  <si>
    <t>Plan Vs Actual - Till Date</t>
  </si>
  <si>
    <t>FO024</t>
  </si>
  <si>
    <t>FO023</t>
  </si>
  <si>
    <t>FO025</t>
  </si>
  <si>
    <t>FO026</t>
  </si>
  <si>
    <t>Z827IN</t>
  </si>
  <si>
    <t>09182IN</t>
  </si>
  <si>
    <t>TOTAL</t>
  </si>
  <si>
    <t>NIPPLE INSPECTION</t>
  </si>
  <si>
    <t>Material Yield</t>
  </si>
  <si>
    <t>Nipple Inspection</t>
  </si>
  <si>
    <t xml:space="preserve"> </t>
  </si>
  <si>
    <t>FO029</t>
  </si>
  <si>
    <t>FO030</t>
  </si>
  <si>
    <t>FO031</t>
  </si>
  <si>
    <t>FO032</t>
  </si>
  <si>
    <t>Nipple Wrapping</t>
  </si>
  <si>
    <t>FO043</t>
  </si>
  <si>
    <t>FO048</t>
  </si>
  <si>
    <t>FO044</t>
  </si>
  <si>
    <t>FO049</t>
  </si>
  <si>
    <t>FO042</t>
  </si>
  <si>
    <t>FO045</t>
  </si>
  <si>
    <t>FO046</t>
  </si>
  <si>
    <t>FO047</t>
  </si>
  <si>
    <t>FO050</t>
  </si>
  <si>
    <t>FO051</t>
  </si>
  <si>
    <t>73707630</t>
  </si>
  <si>
    <t>73707640</t>
  </si>
  <si>
    <t>HNA10004</t>
  </si>
  <si>
    <t>HNA10003</t>
  </si>
  <si>
    <t>HNA10001</t>
  </si>
  <si>
    <t>HNA10002</t>
  </si>
  <si>
    <t>FNA10001</t>
  </si>
  <si>
    <t>FNA10002</t>
  </si>
  <si>
    <t>FNA10004</t>
  </si>
  <si>
    <t>FNA10003</t>
  </si>
  <si>
    <t>26442</t>
  </si>
  <si>
    <t>Total</t>
  </si>
  <si>
    <t>Nipple</t>
  </si>
  <si>
    <t>26418</t>
  </si>
  <si>
    <t>FO052</t>
  </si>
  <si>
    <t>FO053</t>
  </si>
  <si>
    <t>FO054</t>
  </si>
  <si>
    <t>FO055</t>
  </si>
  <si>
    <t>FO056</t>
  </si>
  <si>
    <t>Man Power</t>
  </si>
  <si>
    <t>Shift</t>
  </si>
  <si>
    <t>NIPPLE POSTCURE</t>
  </si>
  <si>
    <t>FO035</t>
  </si>
  <si>
    <t>Category</t>
  </si>
  <si>
    <t>STD wt</t>
  </si>
  <si>
    <t>Material</t>
  </si>
  <si>
    <t>Silicon</t>
  </si>
  <si>
    <t>PP</t>
  </si>
  <si>
    <t>Tyep</t>
  </si>
  <si>
    <t>P750J</t>
  </si>
  <si>
    <t>WMG3B</t>
  </si>
  <si>
    <t>SECTION</t>
  </si>
  <si>
    <t>NIPPLE MOLDED</t>
  </si>
  <si>
    <t>NIPPLE PUNCH</t>
  </si>
  <si>
    <t>NIPPLE WRAP DOMESTIC</t>
  </si>
  <si>
    <t>NIPPLE WRAP PRINTED</t>
  </si>
  <si>
    <t>AUTO</t>
  </si>
  <si>
    <t>BOTTLE PRINTED</t>
  </si>
  <si>
    <t>BOTTLE MOLDED</t>
  </si>
  <si>
    <t>Grand Total</t>
  </si>
  <si>
    <t>Material Type Consumed</t>
  </si>
  <si>
    <t>FO058</t>
  </si>
  <si>
    <t>88011IN</t>
  </si>
  <si>
    <t>Purge Material (in KG.)</t>
  </si>
  <si>
    <t>Setup Qty.</t>
  </si>
  <si>
    <t>Rework Qty.</t>
  </si>
  <si>
    <t>Hold Qty.</t>
  </si>
  <si>
    <t>Line rej Qty.</t>
  </si>
  <si>
    <t>QC Sample Qty.</t>
  </si>
  <si>
    <t>Wt</t>
  </si>
  <si>
    <t>Material For Yield</t>
  </si>
  <si>
    <t>Prod. Wt./Piece (in gm)</t>
  </si>
  <si>
    <t>Total Mtl. Consump. (KG)</t>
  </si>
  <si>
    <t>Material Yield %</t>
  </si>
  <si>
    <t>Total Produced Qty.</t>
  </si>
  <si>
    <t>88014IN</t>
  </si>
  <si>
    <t>FO059</t>
  </si>
  <si>
    <t>FO057</t>
  </si>
  <si>
    <t>88015IN</t>
  </si>
  <si>
    <t>88013IN</t>
  </si>
  <si>
    <t>88016IN</t>
  </si>
  <si>
    <t>88017IN</t>
  </si>
  <si>
    <t>Z858</t>
  </si>
  <si>
    <t>88012IN</t>
  </si>
  <si>
    <t>FO089</t>
  </si>
  <si>
    <t>FO088</t>
  </si>
  <si>
    <t>Injection</t>
  </si>
  <si>
    <t>Post Process</t>
  </si>
  <si>
    <t>Material Used</t>
  </si>
  <si>
    <t>OK Produced</t>
  </si>
  <si>
    <t>Rejection</t>
  </si>
  <si>
    <t>Injection target</t>
  </si>
  <si>
    <t>Injection Actual</t>
  </si>
  <si>
    <t>Post Process Target</t>
  </si>
  <si>
    <t>Post Process Actual</t>
  </si>
  <si>
    <t>Commulative</t>
  </si>
  <si>
    <t xml:space="preserve">Bottle </t>
  </si>
  <si>
    <t>Process</t>
  </si>
  <si>
    <t>Rejection %</t>
  </si>
  <si>
    <t>BOTTEL PRINTED</t>
  </si>
  <si>
    <t>SILICON</t>
  </si>
  <si>
    <t>Mtl. Waste</t>
  </si>
  <si>
    <t>MOLDED</t>
  </si>
  <si>
    <t>ALL PROCESS</t>
  </si>
  <si>
    <t>material consumed in OK qty</t>
  </si>
  <si>
    <t>Total material consumed</t>
  </si>
  <si>
    <t>MAYTERIAL YIELD OF MOLDING PROCESS</t>
  </si>
  <si>
    <t>MAYTERIAL YIELD OF ALL PROCESS PROCESS</t>
  </si>
  <si>
    <t>Traget</t>
  </si>
  <si>
    <t>RESULT</t>
  </si>
  <si>
    <t>MATERIAL</t>
  </si>
  <si>
    <t>88018</t>
  </si>
  <si>
    <t>88019</t>
  </si>
  <si>
    <t>88024</t>
  </si>
  <si>
    <t>26483</t>
  </si>
  <si>
    <t>88008E</t>
  </si>
  <si>
    <t>88020E</t>
  </si>
  <si>
    <t>88021E</t>
  </si>
  <si>
    <t>88022E</t>
  </si>
  <si>
    <t>88023E</t>
  </si>
  <si>
    <t>88017E</t>
  </si>
  <si>
    <t>88003E</t>
  </si>
  <si>
    <t>88014</t>
  </si>
  <si>
    <t>88014E</t>
  </si>
  <si>
    <t>88015E</t>
  </si>
  <si>
    <t>26392E</t>
  </si>
  <si>
    <t>FO087</t>
  </si>
  <si>
    <t>FO095</t>
  </si>
  <si>
    <t>FO092</t>
  </si>
  <si>
    <t>FO094</t>
  </si>
  <si>
    <t>88007E</t>
  </si>
  <si>
    <t>88000E</t>
  </si>
  <si>
    <t>88016E</t>
  </si>
  <si>
    <t>Z845</t>
  </si>
  <si>
    <t>88047</t>
  </si>
  <si>
    <t>00379</t>
  </si>
  <si>
    <t>00381</t>
  </si>
  <si>
    <t>00380</t>
  </si>
  <si>
    <t>00382</t>
  </si>
  <si>
    <t>08670</t>
  </si>
  <si>
    <t>08676</t>
  </si>
  <si>
    <t>08671IN</t>
  </si>
  <si>
    <t>08672IN</t>
  </si>
  <si>
    <t>08673IN</t>
  </si>
  <si>
    <t>08674IN</t>
  </si>
  <si>
    <t>08675IN</t>
  </si>
  <si>
    <t>11721</t>
  </si>
  <si>
    <t>16853</t>
  </si>
  <si>
    <t>26106</t>
  </si>
  <si>
    <t>26107</t>
  </si>
  <si>
    <t>26108</t>
  </si>
  <si>
    <t>26109</t>
  </si>
  <si>
    <t>26110</t>
  </si>
  <si>
    <t>26111</t>
  </si>
  <si>
    <t>26112</t>
  </si>
  <si>
    <t>26113</t>
  </si>
  <si>
    <t>26114</t>
  </si>
  <si>
    <t>88000</t>
  </si>
  <si>
    <t>88001</t>
  </si>
  <si>
    <t>88002</t>
  </si>
  <si>
    <t>88003</t>
  </si>
  <si>
    <t>88004</t>
  </si>
  <si>
    <t>88005</t>
  </si>
  <si>
    <t>88006</t>
  </si>
  <si>
    <t>88007</t>
  </si>
  <si>
    <t>88008</t>
  </si>
  <si>
    <t>88009</t>
  </si>
  <si>
    <t>88010</t>
  </si>
  <si>
    <t>88023</t>
  </si>
  <si>
    <t>88025</t>
  </si>
  <si>
    <t>88021</t>
  </si>
  <si>
    <t>88026</t>
  </si>
  <si>
    <t>88020</t>
  </si>
  <si>
    <t>88022</t>
  </si>
  <si>
    <t>26419</t>
  </si>
  <si>
    <t>26393</t>
  </si>
  <si>
    <t>88031</t>
  </si>
  <si>
    <t>88029</t>
  </si>
  <si>
    <t>88030</t>
  </si>
  <si>
    <t>88027</t>
  </si>
  <si>
    <t>26392</t>
  </si>
  <si>
    <t>88032</t>
  </si>
  <si>
    <t>26563</t>
  </si>
  <si>
    <t>88028</t>
  </si>
  <si>
    <t>26562</t>
  </si>
  <si>
    <t>26568</t>
  </si>
  <si>
    <t>26569</t>
  </si>
  <si>
    <t>88041</t>
  </si>
  <si>
    <t>88042</t>
  </si>
  <si>
    <t>88045</t>
  </si>
  <si>
    <t>88046</t>
  </si>
  <si>
    <t>88049</t>
  </si>
  <si>
    <t>88048</t>
  </si>
  <si>
    <t>88035</t>
  </si>
  <si>
    <t>PERISTALTIC NIPPLE BOX 1 PCS (L) - EXPORT</t>
  </si>
  <si>
    <t>PERISTALTIC NIPPLE BOX 1 PCS (M) - EXPORT</t>
  </si>
  <si>
    <t>MANUAL BREAST PUMP BASIC – BOTTLE STAND, BULK</t>
  </si>
  <si>
    <t>GIFT BOX 4 PCS</t>
  </si>
  <si>
    <t>GIFT BOX 6 PCS</t>
  </si>
  <si>
    <t>BABY WIPES &amp; DIAPER OFFER PACK</t>
  </si>
  <si>
    <t>COTTON SWABS BOX 50 PCS (THIN STEM)</t>
  </si>
  <si>
    <t>COTTON SWABS BOX 60 PCS (THICK STEM)</t>
  </si>
  <si>
    <t>COTTON SWABS BOX 100 PCS (THIN STEM)</t>
  </si>
  <si>
    <t>COTTON SWABS BOX 100 PCS (THICK STEM)</t>
  </si>
  <si>
    <t>PERISTALTIC NIPPLE S 2 PCS</t>
  </si>
  <si>
    <t>PERISTALTIC NIPPLE M 2 PCS</t>
  </si>
  <si>
    <t>PERISTALTIC NIPPLE L 2 PCS</t>
  </si>
  <si>
    <t>PERISTALTIC NIPPLE S 3 PCS</t>
  </si>
  <si>
    <t>PERISTALTIC NIPPLE L 3 PCS</t>
  </si>
  <si>
    <t>PERISTALTIC NIPPLE L 1 PCS</t>
  </si>
  <si>
    <t>MANUAL BREAST PUMP-WITH PP150ML PRINTED BIS LOGO</t>
  </si>
  <si>
    <t>PERISTALTIC NIPPLE BOX 1 PCS (S)</t>
  </si>
  <si>
    <t>PERISTALTIC NIPPLE BOX 1 PCS (M)</t>
  </si>
  <si>
    <t>PERISTALTIC NIPPLE BOX 1 PCS (Y)</t>
  </si>
  <si>
    <t>PERISTALTIC NIPPLE BOX 1 PCS (L)</t>
  </si>
  <si>
    <t>BABY DIAPER S SIZE 46PCS PIN</t>
  </si>
  <si>
    <t>PERISTALTIC NIPPLE JAR S SIZE (25 PCS NIPPLES)</t>
  </si>
  <si>
    <t>PERISTALTIC NIPPLE JAR M SIZE (25 PCS NIPPLES)</t>
  </si>
  <si>
    <t>PERISTALTIC NIPPLE JAR Y SIZE (25 PCS NIPPLES)</t>
  </si>
  <si>
    <t>PERISTALTIC NIPPLE JAR L SIZE (25 PCS NIPPLES)</t>
  </si>
  <si>
    <t>LIMITED EDITION BREAST PUMP</t>
  </si>
  <si>
    <t>LIQUID CLEANSER WITH BRUSH COMBO PACK</t>
  </si>
  <si>
    <t>LIQUID DETERGENT, WIPES &amp; DIAPER OFFER PACK</t>
  </si>
  <si>
    <t>MILKY LOTION COMBO PACK</t>
  </si>
  <si>
    <t>ACTIVE BABY WASH COMBO PACK</t>
  </si>
  <si>
    <t>BABY CARE SET</t>
  </si>
  <si>
    <t>NIPPLE S TYPE S SIZE WRAPPED</t>
  </si>
  <si>
    <t>NIPPLE S TYPE M SIZE WRAPPED</t>
  </si>
  <si>
    <t>NIPPLE S TYPE L SIZE WRAPPED</t>
  </si>
  <si>
    <t>NIPPLE S TYPE Y SIZE WRAPPED</t>
  </si>
  <si>
    <t>PERISTALTIC NIPPLE M 3 PCS</t>
  </si>
  <si>
    <t>PERISTALTIC NIPPLE Y 2 PCS</t>
  </si>
  <si>
    <t>PERISTALTIC NIPPLE M 1 PCS</t>
  </si>
  <si>
    <t>BREASTMILK STORAGE BOTTLE</t>
  </si>
  <si>
    <t>PERISTALTIC NIPPLE S 1 PCS</t>
  </si>
  <si>
    <t>PERISTALTIC NIPPLE Y 1 PCS</t>
  </si>
  <si>
    <t>KPP 200 MLBULK (MCN)</t>
  </si>
  <si>
    <t>KPP 240 ML BULK (MCN)</t>
  </si>
  <si>
    <t>PERISTALTIC NIPPLE Y 3 PCS</t>
  </si>
  <si>
    <t>MANUAL BREAST PUMP BASIC - BULK, W/O BOTTLE</t>
  </si>
  <si>
    <t>RPP BOTTLE 120 ML (FOR PHARMA DISTRIBUTORS ONLY)</t>
  </si>
  <si>
    <t>RPP BOTTLE 240 ML (FOR PHARMA DISTRIBUTORS ONLY)</t>
  </si>
  <si>
    <t>SN CRYSTAL CLEAR RPP BOTTLE (BULK) 120ML B FOR BOY</t>
  </si>
  <si>
    <t>SN CRYSTAL CLEAR RPP BOTTLE (BULK) 240ML B FOR BOY</t>
  </si>
  <si>
    <t>PERISTALTIC NIPPLE L 3 PCS - EXPORT</t>
  </si>
  <si>
    <t>PERISTALTIC NIPPLE S 3 PCS - EXPORT</t>
  </si>
  <si>
    <t>PERISTALTIC NIPPLE M 3 PCS - EXPORT</t>
  </si>
  <si>
    <t>PERISTALTIC NIPPLE BOX 1 PCS (S) - EXPORT</t>
  </si>
  <si>
    <t>PERISTALTIC NIPPLE BOX 1 PCS (Y) - EXPORT</t>
  </si>
  <si>
    <t>BREAST PUMP BASIC EDITION MANUAL - EXPORT</t>
  </si>
  <si>
    <t>PERISTALTIC NIPPLE Y 3 PCS - EXPORT</t>
  </si>
  <si>
    <t>FO080</t>
  </si>
  <si>
    <t>FO093</t>
  </si>
  <si>
    <t>FO096</t>
  </si>
  <si>
    <t>FO097</t>
  </si>
  <si>
    <t>FO100</t>
  </si>
  <si>
    <t>FO101</t>
  </si>
  <si>
    <t>RPP 240ML BOY BLUE BOTLE PNTD WM3GB W/BIS LOGO</t>
  </si>
  <si>
    <t>88009E</t>
  </si>
  <si>
    <t>DATE</t>
  </si>
  <si>
    <t>PLAN</t>
  </si>
  <si>
    <t>ACTUAL</t>
  </si>
  <si>
    <t>FO081</t>
  </si>
  <si>
    <t>FO091</t>
  </si>
  <si>
    <t>FO102</t>
  </si>
  <si>
    <t>FO103</t>
  </si>
  <si>
    <t>FO098</t>
  </si>
  <si>
    <t>FO099</t>
  </si>
  <si>
    <t>KPP 120 BOTTLE PRINTED (WMG3B) W/O OZ &amp; W/BIS LOGO</t>
  </si>
  <si>
    <t>KPP 240 BOTTLE PRINTED (WMG3B) W/O OZ &amp; W/BIS LOGO</t>
  </si>
  <si>
    <t>RPP 120ML BOY BLUE BOTLE PNTD WM3GB W/BIS LOGO</t>
  </si>
  <si>
    <t>KPP 200 BOTTLE PRINTED (WMG3B) W/O OZ &amp; W/BIS LOGO</t>
  </si>
  <si>
    <t>FO083</t>
  </si>
  <si>
    <t>PERISTALTIC CLEAR NRSNG BOTTLE RPP 240ML BLUE</t>
  </si>
  <si>
    <t>PERISTALTC CLEAR NRSNG BOTTLE RPP 240ML BLU ABST</t>
  </si>
  <si>
    <t>PERISTALTC CLEAR NRSNG BOTTLE RPP 120ML BLU ABST</t>
  </si>
  <si>
    <t>PERISTALTIC CLEAR NRSNG BOTTLE RPP 120ML BLUE FLRL</t>
  </si>
  <si>
    <t>PERISTALTIC CLEAR NRSNG BOTTLE RPP 120ML PINK FLRL</t>
  </si>
  <si>
    <t>PERISTALTC CLEAR NRSNG BOTTLE RPP 240ML BLUE BOY</t>
  </si>
  <si>
    <t>PERISTALTC CLEAR NRSNG BOTTLE RPP 240ML PNK ABST</t>
  </si>
  <si>
    <t>RPP 240ML GRL PNK BOTLE PNTD WM3GB W/BIS LOGO</t>
  </si>
  <si>
    <t>RPP 120ML ABSTRCT PNK BOTLE PNTD WM3GB W/BIS LOGO</t>
  </si>
  <si>
    <t>88044</t>
  </si>
  <si>
    <t>NRSNG BOTTLE TWIN PACK KPP 200ML (P&amp;W) NIPPLE M</t>
  </si>
  <si>
    <t>RPP 240ML FLORAL BLUE BOTLE PNTD WM3GB W/BIS LOGO</t>
  </si>
  <si>
    <t>RPP 120ML ABSTRCT BLU BOTLE PNTD WM3GB W/BIS LOGO</t>
  </si>
  <si>
    <t>MANUAL BREAST PUMP WITH PP200ML-STANDARD</t>
  </si>
  <si>
    <t>88034</t>
  </si>
  <si>
    <t>88033</t>
  </si>
  <si>
    <t>FO090</t>
  </si>
  <si>
    <t>FO082</t>
  </si>
  <si>
    <t>FO086</t>
  </si>
  <si>
    <t>KPP 200ML BOTTLE PRINTED WITH LANSINOH LOGO</t>
  </si>
  <si>
    <t>SN CRYSTAL CLEAR RPP BOTTLE 120ML RACOON PINK BULK</t>
  </si>
  <si>
    <t>SN CRYSTL CLEAR RPP BOTTLE 240ML DRAGON GREEN BULK</t>
  </si>
  <si>
    <t>SN CRYSTL CLEAR RPP BOTTLE 120ML RACOON GREEN BULK</t>
  </si>
  <si>
    <t>LANSINOH BASIC EDITION MANUAL BREAST PUMP</t>
  </si>
  <si>
    <t>FO033</t>
  </si>
  <si>
    <t>FO034</t>
  </si>
  <si>
    <t>FO036</t>
  </si>
  <si>
    <t>FO037</t>
  </si>
  <si>
    <t>FO063</t>
  </si>
  <si>
    <t>FO064</t>
  </si>
  <si>
    <t>FO065</t>
  </si>
  <si>
    <t>FO069</t>
  </si>
  <si>
    <t>FO070</t>
  </si>
  <si>
    <t>FO071</t>
  </si>
  <si>
    <t>FO072</t>
  </si>
  <si>
    <t>FO073</t>
  </si>
  <si>
    <t>FO074</t>
  </si>
  <si>
    <t>FO075</t>
  </si>
  <si>
    <t>FO076</t>
  </si>
  <si>
    <t>FO077</t>
  </si>
  <si>
    <t>FO078</t>
  </si>
  <si>
    <t>FO079</t>
  </si>
  <si>
    <t>Weight</t>
  </si>
  <si>
    <t>16694S</t>
  </si>
  <si>
    <t>88010IN</t>
  </si>
  <si>
    <t>26420</t>
  </si>
  <si>
    <t>KPP 120 ML BULK (MCN)</t>
  </si>
  <si>
    <t>SNA10020</t>
  </si>
  <si>
    <t>SNA10019</t>
  </si>
  <si>
    <t>SNA10022</t>
  </si>
  <si>
    <t>SNA10021</t>
  </si>
  <si>
    <t>SNA10018</t>
  </si>
  <si>
    <t>NRSNG BOTLE TWIN PACK KPP 200ML (B&amp;W) NIPPLE M</t>
  </si>
  <si>
    <t>01763</t>
  </si>
  <si>
    <t>01758</t>
  </si>
  <si>
    <t>01760</t>
  </si>
  <si>
    <t>01759</t>
  </si>
  <si>
    <t>SN CRYSTAL CLEAR RPP BOTTLE 240ML DRAGON PINK BULK</t>
  </si>
  <si>
    <t>01789</t>
  </si>
  <si>
    <t>01786</t>
  </si>
  <si>
    <t>01787</t>
  </si>
  <si>
    <t>01788</t>
  </si>
  <si>
    <t>01837</t>
  </si>
  <si>
    <t>01839</t>
  </si>
  <si>
    <t>01838</t>
  </si>
  <si>
    <t>MANUAL BREAST PUMP BASIC - PUMP BODY, BULK</t>
  </si>
  <si>
    <t>MANUAL BREAST PUMP BASIC - STEM, BULK</t>
  </si>
  <si>
    <t>KPP 200 ML PRINTED BULK (P750J)</t>
  </si>
  <si>
    <t>BREAST PUMP BASIC EDITION MANUAL-BOTTLE STAND BULK</t>
  </si>
  <si>
    <t>MANUAL BREAST PUMP BASIC - HANDLE, BULK</t>
  </si>
  <si>
    <t>00082</t>
  </si>
  <si>
    <t>WIDE NECK GLASS NURSER 240 ML PINK</t>
  </si>
  <si>
    <t>Bottle</t>
  </si>
  <si>
    <t>00083</t>
  </si>
  <si>
    <t>WIDE NECK GLASS NURSER 160 ML PINK</t>
  </si>
  <si>
    <t>00280</t>
  </si>
  <si>
    <t>GLASS NURSER K-8 (240 ML/8OZ)</t>
  </si>
  <si>
    <t>GLASS NURSER K-8 (240 ML/8OZ) 00280IN</t>
  </si>
  <si>
    <t>00281</t>
  </si>
  <si>
    <t>GLASS NURSER K-6 (200 ML/6OZ)</t>
  </si>
  <si>
    <t>GLASS NURSER K-6 (200 ML/6OZ) 00281IN</t>
  </si>
  <si>
    <t>00282</t>
  </si>
  <si>
    <t>GLASS NURSER K-4 (120 ML/4OZ)</t>
  </si>
  <si>
    <t>GLASS NURSER K-4 (120 ML/4OZ) 00282IN</t>
  </si>
  <si>
    <t>00299</t>
  </si>
  <si>
    <t xml:space="preserve">KP 240 B S-TYPE M </t>
  </si>
  <si>
    <t>00370</t>
  </si>
  <si>
    <t>KP 200 B S-TYPE M</t>
  </si>
  <si>
    <t>00371</t>
  </si>
  <si>
    <t>KP 120 B S-TYPE S</t>
  </si>
  <si>
    <t>00372</t>
  </si>
  <si>
    <t>KPP 240 P S-TYPE M</t>
  </si>
  <si>
    <t>00373</t>
  </si>
  <si>
    <t>KPP 200 P S-TYPE M</t>
  </si>
  <si>
    <t>00374</t>
  </si>
  <si>
    <t>KPP 120 P S-TYPE M</t>
  </si>
  <si>
    <t>00375</t>
  </si>
  <si>
    <t>KPP 240 LB S-TYPE M</t>
  </si>
  <si>
    <t>00376</t>
  </si>
  <si>
    <t>KPP 200 LB S-TYPE M</t>
  </si>
  <si>
    <t>00377</t>
  </si>
  <si>
    <t>KPP 120 LB S-TYPE M</t>
  </si>
  <si>
    <t>NWNPP 240 Y SOFTOUCH M</t>
  </si>
  <si>
    <t>NWNPP 160 Y SOFTOUCH SS</t>
  </si>
  <si>
    <t>NWNPP 240 G SOFTOUCH M</t>
  </si>
  <si>
    <t>NWNPP 160 G SOFTOUCH SS</t>
  </si>
  <si>
    <t>00852</t>
  </si>
  <si>
    <t>MANUAL BREAST PUMP YELLOW W/BIS_NEW</t>
  </si>
  <si>
    <t>Breast Care Accessary</t>
  </si>
  <si>
    <t>00852I</t>
  </si>
  <si>
    <t>MANUAL BREAST PUMP (OLD)</t>
  </si>
  <si>
    <t>00852IN</t>
  </si>
  <si>
    <t>M-B-PUMP Y W/PP150 BIS</t>
  </si>
  <si>
    <t>00852S</t>
  </si>
  <si>
    <t>MANUAL BREAST PUMP YELLOW</t>
  </si>
  <si>
    <t>00883</t>
  </si>
  <si>
    <t>KPP 240 W S-TYPE M</t>
  </si>
  <si>
    <t>00884</t>
  </si>
  <si>
    <t>KPP 200 W S-TYPE M</t>
  </si>
  <si>
    <t>00885</t>
  </si>
  <si>
    <t>KPP 120 W S-TYPE S</t>
  </si>
  <si>
    <t>00902</t>
  </si>
  <si>
    <t>FEEDER W/LONG NIPPLE FOR CLEFT PALATE (00702)</t>
  </si>
  <si>
    <t>00906</t>
  </si>
  <si>
    <t>NURSING BOTTLE PP FOR CLEFT PALATE</t>
  </si>
  <si>
    <t>00949</t>
  </si>
  <si>
    <t>KP 240 R S-TYPE M</t>
  </si>
  <si>
    <t>00950</t>
  </si>
  <si>
    <t>KP 200 R S-TYPE M</t>
  </si>
  <si>
    <t>00951</t>
  </si>
  <si>
    <t>KP 120 R S-TYPE S</t>
  </si>
  <si>
    <t>00952</t>
  </si>
  <si>
    <t>STREAM L P 240 S-TYPE M</t>
  </si>
  <si>
    <t>00953</t>
  </si>
  <si>
    <t>KP 240 S-TYPE M 2PCS</t>
  </si>
  <si>
    <t>00955</t>
  </si>
  <si>
    <t>NURSING BOTTLE KP 40Z WITH P NIPPLE 2 PCK</t>
  </si>
  <si>
    <t>00999</t>
  </si>
  <si>
    <t>NEW BORN STARTER KIT</t>
  </si>
  <si>
    <t>01294</t>
  </si>
  <si>
    <t>SILICONE NIPPLE SIZE S FOR CLEFT PALATE</t>
  </si>
  <si>
    <t>01295</t>
  </si>
  <si>
    <t>SILICONE NIPPLE SIZE R FOR CLEFT PALATE</t>
  </si>
  <si>
    <t>SILICON NIPPLE (S), 3 PCS/ CARD</t>
  </si>
  <si>
    <t>SILICON NIPPLE (M), 3 PCS/ CARD</t>
  </si>
  <si>
    <t>SILICON NIPPLE (L), 3 PCS/ CARD</t>
  </si>
  <si>
    <t>SILICONE NIPPLE BOXED (M)</t>
  </si>
  <si>
    <t>WN SILICON S 2PCS BLI</t>
  </si>
  <si>
    <t>WIDE-NECK STRETCHABLE NIPPLE BLISTER 2 PCS (M)</t>
  </si>
  <si>
    <t>WIDE-NECK STRETCHABLE NIPPLE BLISTER 2 PCS (Y)</t>
  </si>
  <si>
    <t>WIDE-NECK STRETCHABLE NIPPLE BLISTER 2 PCS (L)</t>
  </si>
  <si>
    <t>PERISTALTIC PLUS NIPPLE S 1 PCS</t>
  </si>
  <si>
    <t>PPLUS SILICON M 1PCS BLI</t>
  </si>
  <si>
    <t>PERISTALTIC PLUS NIPPLE L 1 PCS</t>
  </si>
  <si>
    <t>01844</t>
  </si>
  <si>
    <t>PERISTALTIC PLUS NIPPLE SS 1 PCS</t>
  </si>
  <si>
    <t>PERISTALTIC NIPPLE BOX 3 PCS (S)</t>
  </si>
  <si>
    <t>PERISTALTIC NIPPLE BOX 3 PCS (M)</t>
  </si>
  <si>
    <t>PERISTALTIC NIPPLE BOX 3 PCS (Y)</t>
  </si>
  <si>
    <t>PERISTALTIC NIPPLE BOX 3 PCS (L)</t>
  </si>
  <si>
    <t>PERISTALTIC NIPPLE BOX 2 PCS (S)</t>
  </si>
  <si>
    <t>PERISTALTIC NIPPLE BOX 2 PCS (M)</t>
  </si>
  <si>
    <t>PERISTALTIC NIPPLE BOX 2 PCS (Y)</t>
  </si>
  <si>
    <t>01943</t>
  </si>
  <si>
    <t>PERISTALTIC NIPPLE BOX 2 PCS (L)</t>
  </si>
  <si>
    <t>02208</t>
  </si>
  <si>
    <t>MILK POWDER CONTAINER</t>
  </si>
  <si>
    <t>Formula Accessary</t>
  </si>
  <si>
    <t>03143</t>
  </si>
  <si>
    <t>SELF EDUCATIONAL FORK &amp; BOWL</t>
  </si>
  <si>
    <t>Weaning Accessary</t>
  </si>
  <si>
    <t>03308</t>
  </si>
  <si>
    <t>GLASS JUICE FEEDER (50CC/20Z)</t>
  </si>
  <si>
    <t>03309</t>
  </si>
  <si>
    <t>SPOUT FEEDER (120 ML)</t>
  </si>
  <si>
    <t>03314</t>
  </si>
  <si>
    <t>FEEDING DISH</t>
  </si>
  <si>
    <t>03326</t>
  </si>
  <si>
    <t>HOME BABY FOOD MAKER</t>
  </si>
  <si>
    <t>03327</t>
  </si>
  <si>
    <t>FEEDING SET</t>
  </si>
  <si>
    <t>03328</t>
  </si>
  <si>
    <t>WEANING BOTTLE WITH SPOON, 120ML</t>
  </si>
  <si>
    <t>03329</t>
  </si>
  <si>
    <t>WEANING BOTTLE WITH SPOON, 240 ML</t>
  </si>
  <si>
    <t>03706</t>
  </si>
  <si>
    <t>WEANING SPOON 2 PCS</t>
  </si>
  <si>
    <t>03707</t>
  </si>
  <si>
    <t>SPOON AND FORK SET WITH TRAVEL CASE</t>
  </si>
  <si>
    <t>03708</t>
  </si>
  <si>
    <t>BOWL AND WEANING SPOON SET</t>
  </si>
  <si>
    <t>03709</t>
  </si>
  <si>
    <t>DISH AND PLATE SET</t>
  </si>
  <si>
    <t>03710</t>
  </si>
  <si>
    <t>BABY CUTLARY SET</t>
  </si>
  <si>
    <t>03713</t>
  </si>
  <si>
    <t>DISPOSABLE BIBS</t>
  </si>
  <si>
    <t>03771</t>
  </si>
  <si>
    <t>MAGMAG STRAW BRUSH.</t>
  </si>
  <si>
    <t>MagMag</t>
  </si>
  <si>
    <t>03827</t>
  </si>
  <si>
    <t>MAGMAG AIO SET.</t>
  </si>
  <si>
    <t>03842</t>
  </si>
  <si>
    <t>MAG MAG NIPPLE CUP (OLD)</t>
  </si>
  <si>
    <t>03843</t>
  </si>
  <si>
    <t>MAGMAG SPOUT CUP</t>
  </si>
  <si>
    <t>03844</t>
  </si>
  <si>
    <t>MAGMAG STRAW CUP (YELLOW)</t>
  </si>
  <si>
    <t>03845</t>
  </si>
  <si>
    <t>MAGMAG STRAW CUP (BLUE)</t>
  </si>
  <si>
    <t>03846</t>
  </si>
  <si>
    <t>MAG MAG STRAW CUP (GREEN) 03846</t>
  </si>
  <si>
    <t>03847</t>
  </si>
  <si>
    <t>MAGMAG ALL IN ONE SET 03847</t>
  </si>
  <si>
    <t>04030</t>
  </si>
  <si>
    <t>BRUSH FOR STRETCHABLE SILICON NIPPLE (OLD)</t>
  </si>
  <si>
    <t>Cleansing &amp; Sterilizing Accessary</t>
  </si>
  <si>
    <t>04034</t>
  </si>
  <si>
    <t>CLEANSING BRUSH</t>
  </si>
  <si>
    <t>04040</t>
  </si>
  <si>
    <t>BRUSH FOR STRETCHABLE SILICON NIPPLE</t>
  </si>
  <si>
    <t>04528</t>
  </si>
  <si>
    <t>MICROWAVE STEAM STERILIZER</t>
  </si>
  <si>
    <t>04532</t>
  </si>
  <si>
    <t>NYLON BRUSH Y-G-P</t>
  </si>
  <si>
    <t>04547</t>
  </si>
  <si>
    <t>SPONGE BRUSH</t>
  </si>
  <si>
    <t>04550</t>
  </si>
  <si>
    <t>NYLON BRUSH ROTARY</t>
  </si>
  <si>
    <t>04555</t>
  </si>
  <si>
    <t>STERILIZATION TONGS</t>
  </si>
  <si>
    <t>04562</t>
  </si>
  <si>
    <t>MAG MAG SPOUT CUP(OLD)</t>
  </si>
  <si>
    <t>04563</t>
  </si>
  <si>
    <t>MAG MAG STRAW CUP (ORANGE) (OLD)</t>
  </si>
  <si>
    <t>04564</t>
  </si>
  <si>
    <t>MAGMAG STRAW CUP P</t>
  </si>
  <si>
    <t>04565</t>
  </si>
  <si>
    <t>MAG MAG STRAW CUP (SKY BLUE) (OLD)</t>
  </si>
  <si>
    <t>04566</t>
  </si>
  <si>
    <t>MAG MAG ALL IN ONE SET</t>
  </si>
  <si>
    <t>04574</t>
  </si>
  <si>
    <t>MAG MAG STRAW BRUSH (3771)</t>
  </si>
  <si>
    <t>04578</t>
  </si>
  <si>
    <t>FEEDING SPOON SET</t>
  </si>
  <si>
    <t>04579</t>
  </si>
  <si>
    <t>FEEDING SUPPORT SET</t>
  </si>
  <si>
    <t>07058</t>
  </si>
  <si>
    <t>MEDICATED POWDER CANNED, 150G</t>
  </si>
  <si>
    <t>Baby Skincare</t>
  </si>
  <si>
    <t>07060</t>
  </si>
  <si>
    <t>BABY POWDER CANNED, 150G</t>
  </si>
  <si>
    <t>07810</t>
  </si>
  <si>
    <t>BABY POWDER 450 GM, ENG/SPANISH</t>
  </si>
  <si>
    <t>07812</t>
  </si>
  <si>
    <t>BABY POWDER, 200G (OLD)</t>
  </si>
  <si>
    <t>07817</t>
  </si>
  <si>
    <t>BABY POWDER, 200G</t>
  </si>
  <si>
    <t>07818</t>
  </si>
  <si>
    <t>BABY POWDER, 500GM</t>
  </si>
  <si>
    <t>07820</t>
  </si>
  <si>
    <t>PIGEON BABY POWDER 100GM 07820</t>
  </si>
  <si>
    <t>07821</t>
  </si>
  <si>
    <t>PIGEON BABY POWDER 200GM 07821</t>
  </si>
  <si>
    <t>07822</t>
  </si>
  <si>
    <t>PIGEON BABY POWDER 500GM 07822</t>
  </si>
  <si>
    <t>07854</t>
  </si>
  <si>
    <t>CHILDREN TOOTHPASTE, ORANGE</t>
  </si>
  <si>
    <t>Baby Dental care</t>
  </si>
  <si>
    <t>07855</t>
  </si>
  <si>
    <t>CHILDREN TOOTHPASTE, STRAWBERRY</t>
  </si>
  <si>
    <t>08171</t>
  </si>
  <si>
    <t>BABY TRANSPARENT SOAP W/CASE, 90G</t>
  </si>
  <si>
    <t>08172</t>
  </si>
  <si>
    <t>BABY TRANSPARENT SOAP W/O CASE, 90G</t>
  </si>
  <si>
    <t>08361</t>
  </si>
  <si>
    <t>BABY TRANSPARENT SOAP W/CASE,</t>
  </si>
  <si>
    <t>08362</t>
  </si>
  <si>
    <t>BABY TRANSPARENT SOAP W/O CASE</t>
  </si>
  <si>
    <t>08516</t>
  </si>
  <si>
    <t>BABY TRANSPARENT SOAP W/CASE, 80G</t>
  </si>
  <si>
    <t>08517</t>
  </si>
  <si>
    <t>BABY TRANSPARENT SOAP W/O CASE, 80G</t>
  </si>
  <si>
    <t>08518</t>
  </si>
  <si>
    <t>HAPPY BABY GIFT(08530+08534+08536+07817+11722E)</t>
  </si>
  <si>
    <t>08530</t>
  </si>
  <si>
    <t>ACTIVE BABY WASH 200ML</t>
  </si>
  <si>
    <t>08531</t>
  </si>
  <si>
    <t>BABY LIQUID SOAP 100ML</t>
  </si>
  <si>
    <t>08532</t>
  </si>
  <si>
    <t>GENTLE BABY SHAMPOO 200ML</t>
  </si>
  <si>
    <t>08533</t>
  </si>
  <si>
    <t>BABY SHAMPOO 100ML</t>
  </si>
  <si>
    <t>08534</t>
  </si>
  <si>
    <t>BABY MILKY LOTION 200ML (OLD)</t>
  </si>
  <si>
    <t>08534K</t>
  </si>
  <si>
    <t>BABY MILKY LOTION 200ML</t>
  </si>
  <si>
    <t>08534KS</t>
  </si>
  <si>
    <t>BABY MILKY LOTION 8ML</t>
  </si>
  <si>
    <t>08535</t>
  </si>
  <si>
    <t>BABY MILKY LOTION 100ML</t>
  </si>
  <si>
    <t>08536</t>
  </si>
  <si>
    <t>BABY OIL 200ML (OLD)</t>
  </si>
  <si>
    <t>08536K</t>
  </si>
  <si>
    <t>BABY OIL 200ML</t>
  </si>
  <si>
    <t>08537</t>
  </si>
  <si>
    <t>BABY OIL 100ML</t>
  </si>
  <si>
    <t>08538</t>
  </si>
  <si>
    <t>BABY CREAM 50G</t>
  </si>
  <si>
    <t>08541</t>
  </si>
  <si>
    <t>DIAPER RASH CREAM 50 GM</t>
  </si>
  <si>
    <t>08542</t>
  </si>
  <si>
    <t>LIQUID TALC 100ML</t>
  </si>
  <si>
    <t>08543</t>
  </si>
  <si>
    <t>SUN PROTECTION CREAM</t>
  </si>
  <si>
    <t>08625</t>
  </si>
  <si>
    <t>BABY SHAMPOO 700ML JOJOBA &amp; CHAMOMILE (08525)</t>
  </si>
  <si>
    <t>08626</t>
  </si>
  <si>
    <t>BABY WASH 700ML</t>
  </si>
  <si>
    <t>08627</t>
  </si>
  <si>
    <t>BABY WASH 600ML REFILL</t>
  </si>
  <si>
    <t>08630</t>
  </si>
  <si>
    <t>TOILETRIES SET TRIAL PACK</t>
  </si>
  <si>
    <t>BABY FOAM SOAP FLORAL 500 ML 08671IN</t>
  </si>
  <si>
    <t>BABY FOAM SHAMPOO FLORAL 350 ML 08672IN</t>
  </si>
  <si>
    <t>BABY MILK LOTION 120 ML 08673IN</t>
  </si>
  <si>
    <t>BABY MILK LOTION 300 ML 08674IN</t>
  </si>
  <si>
    <t>BABY MILK LOTION FLORAL 120 ML 08675IN</t>
  </si>
  <si>
    <t>08679</t>
  </si>
  <si>
    <t>BABY MILKY SOAP 75GM</t>
  </si>
  <si>
    <t>08680</t>
  </si>
  <si>
    <t>BABY TRANSPARENT SOAP 75G</t>
  </si>
  <si>
    <t>08696</t>
  </si>
  <si>
    <t>PIGEON BABY SHAMPOO 500ML 08696</t>
  </si>
  <si>
    <t>08697</t>
  </si>
  <si>
    <t>PIGEON BABY WASH 500ML 08697</t>
  </si>
  <si>
    <t>09181FS</t>
  </si>
  <si>
    <t>DIAPER 1 PC FREE SAMPLE</t>
  </si>
  <si>
    <t>Baby Elimination Care</t>
  </si>
  <si>
    <t>DIAPER M SIZE 40PCS PIN</t>
  </si>
  <si>
    <t>09183IN</t>
  </si>
  <si>
    <t>BABY DIAPER L SIZE 34PCS PIN</t>
  </si>
  <si>
    <t>09408</t>
  </si>
  <si>
    <t>DIAPER LINER, 100 SHEETS/BOX</t>
  </si>
  <si>
    <t>09434</t>
  </si>
  <si>
    <t>DIAPER LINER 220 SHEETS</t>
  </si>
  <si>
    <t>10260</t>
  </si>
  <si>
    <t>POWDER CASE W/PUFF, U-TYPE (PINK)</t>
  </si>
  <si>
    <t>10261</t>
  </si>
  <si>
    <t>POWDER CASE W/PUFF Y</t>
  </si>
  <si>
    <t>10307</t>
  </si>
  <si>
    <t>MEDICINE FEEDER SYRINGE TYPE</t>
  </si>
  <si>
    <t>Baby Health Care</t>
  </si>
  <si>
    <t>10319</t>
  </si>
  <si>
    <t>10559</t>
  </si>
  <si>
    <t>NOSE CLEANER BLISTER PACK</t>
  </si>
  <si>
    <t>10568</t>
  </si>
  <si>
    <t>WET TISSUE 10 SHEETS / PACK</t>
  </si>
  <si>
    <t>Baby Wet Tissue</t>
  </si>
  <si>
    <t>10578</t>
  </si>
  <si>
    <t>COMB &amp; BRUSH</t>
  </si>
  <si>
    <t>10800</t>
  </si>
  <si>
    <t>DIGITAL THERMOMETER</t>
  </si>
  <si>
    <t>10802</t>
  </si>
  <si>
    <t>INFANT NAIL SCISSORS</t>
  </si>
  <si>
    <t>10811</t>
  </si>
  <si>
    <t>NATURAL SPONGE, S SIZE</t>
  </si>
  <si>
    <t>10827</t>
  </si>
  <si>
    <t>ANIMAL FASHION PIN, 6PCS/CARD</t>
  </si>
  <si>
    <t>10828</t>
  </si>
  <si>
    <t>BABY MOISTURIZING WIPES 70S, FLIP TOP</t>
  </si>
  <si>
    <t>Baby Wipes</t>
  </si>
  <si>
    <t>10854</t>
  </si>
  <si>
    <t>C-SWABS PLA 100PCS PACK</t>
  </si>
  <si>
    <t>10868</t>
  </si>
  <si>
    <t>ANTIBACTERIAL WET TISSUE 60SREFILL</t>
  </si>
  <si>
    <t>10871</t>
  </si>
  <si>
    <t>COTTON SWABS THIN STEM, 200PCS/HINGED CASE</t>
  </si>
  <si>
    <t>10881</t>
  </si>
  <si>
    <t>SAFETY PIN (L) 6PCS/CARD</t>
  </si>
  <si>
    <t>10882</t>
  </si>
  <si>
    <t>SAFETY PIN (S) 9PCS/CARD</t>
  </si>
  <si>
    <t>10883</t>
  </si>
  <si>
    <t>COTTON SWABS THIN STEM, 100PCS/PLASTIC PACK</t>
  </si>
  <si>
    <t>10884</t>
  </si>
  <si>
    <t>COTTON SWABS 100PCS/PLASTIC PACK</t>
  </si>
  <si>
    <t>10894</t>
  </si>
  <si>
    <t>COTTON BALLS, 100PCS/PACK</t>
  </si>
  <si>
    <t>Promotional Item for Baby</t>
  </si>
  <si>
    <t>11722E</t>
  </si>
  <si>
    <t>WIPES CHAM 80S</t>
  </si>
  <si>
    <t>11723</t>
  </si>
  <si>
    <t>ANTI MOSQUITO TISSUE 12'SHEETS</t>
  </si>
  <si>
    <t>11746</t>
  </si>
  <si>
    <t>NAPPY CHANGING SHEET (PLAIN)</t>
  </si>
  <si>
    <t>11747</t>
  </si>
  <si>
    <t>NAPPY CHANGING SHEET (WITH GRAPHICS)</t>
  </si>
  <si>
    <t>11752</t>
  </si>
  <si>
    <t>WIPES CHAM 10S 5IN1</t>
  </si>
  <si>
    <t>11752 (OLD)</t>
  </si>
  <si>
    <t>BABY WIPES CHAMOMILE 10 SHEETS, 5 IN 1 (OLD)</t>
  </si>
  <si>
    <t>11753</t>
  </si>
  <si>
    <t>BABY WIPES CHAMOMILE 20 SHEETS</t>
  </si>
  <si>
    <t>11765</t>
  </si>
  <si>
    <t>BABY WIPES 3 SHEETS</t>
  </si>
  <si>
    <t>11781</t>
  </si>
  <si>
    <t>TRAINING TOOTHBRUSH LESSION 123 SET</t>
  </si>
  <si>
    <t>11782</t>
  </si>
  <si>
    <t>TRAINING TOOTHBRUSH L-1 (LIGHT PINK)</t>
  </si>
  <si>
    <t>11783</t>
  </si>
  <si>
    <t>TRAINING TOOTHBRUSH L-1 (LIGHT BLUE)</t>
  </si>
  <si>
    <t>11784</t>
  </si>
  <si>
    <t>TRAINING TOOTHBRUSH L-2 (PINK)</t>
  </si>
  <si>
    <t>11785</t>
  </si>
  <si>
    <t>TOOTHBRUSH L2 B GP BLUE</t>
  </si>
  <si>
    <t>11786</t>
  </si>
  <si>
    <t>TRAINING TOOTHBRUSH L-3 (PINK)</t>
  </si>
  <si>
    <t>11787</t>
  </si>
  <si>
    <t>TRAINING TOOTHBRUSH L-3 (BLUE)</t>
  </si>
  <si>
    <t>11788</t>
  </si>
  <si>
    <t>TRAINING TOOTHBRUSH L-3 (LIME GREEN)</t>
  </si>
  <si>
    <t>11802</t>
  </si>
  <si>
    <t>HAND AND MOUTH WIPES 20S, 2 IN 1</t>
  </si>
  <si>
    <t>11803</t>
  </si>
  <si>
    <t>11804</t>
  </si>
  <si>
    <t>H&amp;M WIPES 60S 2 IN 1</t>
  </si>
  <si>
    <t>11805</t>
  </si>
  <si>
    <t>PIGEON TRAINING TOOTHBRUSH (YELLOW)</t>
  </si>
  <si>
    <t>Baby Hygiene Products</t>
  </si>
  <si>
    <t>11806</t>
  </si>
  <si>
    <t>PIGEON TRAINING TOOTHBRUSH (PINK)</t>
  </si>
  <si>
    <t>11807</t>
  </si>
  <si>
    <t>PIGEON TRAINING TOOTHBRUSH (BLUE)</t>
  </si>
  <si>
    <t>12816</t>
  </si>
  <si>
    <t>BABY LAUNDRY DETERGENT POWDER 1KG</t>
  </si>
  <si>
    <t>12818</t>
  </si>
  <si>
    <t>MULTIFUNCTIONAL LAUNDRY SOFTENER, SUNSHINE 1.2L</t>
  </si>
  <si>
    <t>12819</t>
  </si>
  <si>
    <t>LIQUID CLEANSER COMBO</t>
  </si>
  <si>
    <t>Cleansing &amp; Sterilizing</t>
  </si>
  <si>
    <t>12820</t>
  </si>
  <si>
    <t>LIQUID CLEANSER, 700 ML, FOAM TYPE</t>
  </si>
  <si>
    <t>12830</t>
  </si>
  <si>
    <t>LIQUID CLEANSER 200 ML</t>
  </si>
  <si>
    <t>12958</t>
  </si>
  <si>
    <t>LIQUID CLEANSER FOR NURSING PRODUCTS, 200ML</t>
  </si>
  <si>
    <t>12959</t>
  </si>
  <si>
    <t>LIQUID CLEANSER FOR NURSING PRODUCTS, 450ML</t>
  </si>
  <si>
    <t>12960</t>
  </si>
  <si>
    <t>LQ CLEANSER 700</t>
  </si>
  <si>
    <t>12965</t>
  </si>
  <si>
    <t>LQ CLEANSER 200.</t>
  </si>
  <si>
    <t>12965 (OLD)</t>
  </si>
  <si>
    <t>12969</t>
  </si>
  <si>
    <t>LQ CLEANSER RF 700</t>
  </si>
  <si>
    <t>12993</t>
  </si>
  <si>
    <t>LANDRY DETERGENT POWDER 1 KG</t>
  </si>
  <si>
    <t>12994</t>
  </si>
  <si>
    <t>LQ DETERGENT 600ML PMFG</t>
  </si>
  <si>
    <t>12995</t>
  </si>
  <si>
    <t>LQ DTERGENT RF 500ML PMFG</t>
  </si>
  <si>
    <t>13612</t>
  </si>
  <si>
    <t>COOLLING THEETHER ( CARROT )</t>
  </si>
  <si>
    <t>Pacifier&amp;Toy</t>
  </si>
  <si>
    <t>13613</t>
  </si>
  <si>
    <t>COOLLING THEETHER ( STRAWBERRY )</t>
  </si>
  <si>
    <t>13614</t>
  </si>
  <si>
    <t>COOLLING THEETHER ( APPLE )</t>
  </si>
  <si>
    <t>13620</t>
  </si>
  <si>
    <t>COOLING TEETHER, CIRCLE</t>
  </si>
  <si>
    <t>13621</t>
  </si>
  <si>
    <t>COOLING TEETHER, SQUARE</t>
  </si>
  <si>
    <t>13622</t>
  </si>
  <si>
    <t>COOLING TEETHER, TRIANGLE</t>
  </si>
  <si>
    <t>13623</t>
  </si>
  <si>
    <t>COOLING TEETHER, PIANO</t>
  </si>
  <si>
    <t>13624</t>
  </si>
  <si>
    <t>COOLING TEETHER, GUITAR</t>
  </si>
  <si>
    <t>13625</t>
  </si>
  <si>
    <t>COOLING TEETHER, TRUMPET</t>
  </si>
  <si>
    <t>13626</t>
  </si>
  <si>
    <t>COOLING TEETHER, STAR</t>
  </si>
  <si>
    <t>13627</t>
  </si>
  <si>
    <t>COOLING TEETHER, DUCK</t>
  </si>
  <si>
    <t>13628</t>
  </si>
  <si>
    <t>COOLING TEETHER, FLOWER</t>
  </si>
  <si>
    <t>13648</t>
  </si>
  <si>
    <t>TEETHER FRUIT,STRAWBERRY &amp; LEMON/GRAPE &amp;ORANGE</t>
  </si>
  <si>
    <t>13664</t>
  </si>
  <si>
    <t>RATTLE TEETHER, NIGHT AND DAY</t>
  </si>
  <si>
    <t>13666</t>
  </si>
  <si>
    <t>TRAINING TEETHER STEP 1</t>
  </si>
  <si>
    <t>13667</t>
  </si>
  <si>
    <t>TRAINING TEETHER STEP 2</t>
  </si>
  <si>
    <t>13676</t>
  </si>
  <si>
    <t>PACIFIER STEP 1 STRAW</t>
  </si>
  <si>
    <t>13677</t>
  </si>
  <si>
    <t>SILICONE PACIFIER STEP 2, GRAPES</t>
  </si>
  <si>
    <t>13678</t>
  </si>
  <si>
    <t>SILICONE PACIFIER STEP 3, CHERRY</t>
  </si>
  <si>
    <t>13679</t>
  </si>
  <si>
    <t>SILICONE PACIFIER STEP 1, CAR</t>
  </si>
  <si>
    <t>13680</t>
  </si>
  <si>
    <t>SILICONE PACIFIER STEP 2, AIROPLANE</t>
  </si>
  <si>
    <t>13681</t>
  </si>
  <si>
    <t>SILICONE PACIFIER STEP 3, SHIP</t>
  </si>
  <si>
    <t>13682</t>
  </si>
  <si>
    <t>PACIFIER STEP 1 LADY BIRD</t>
  </si>
  <si>
    <t>13683</t>
  </si>
  <si>
    <t>SILICONE PACIFIER STEP 2, CATERPILLAR</t>
  </si>
  <si>
    <t>13684</t>
  </si>
  <si>
    <t>PACIFIER STEP 3 BUTTERFLY</t>
  </si>
  <si>
    <t>13685</t>
  </si>
  <si>
    <t>SILICONE PACIFIER STEP 1, RED ROSE</t>
  </si>
  <si>
    <t>13686</t>
  </si>
  <si>
    <t>SILICONE PACIFIER STEP 2, PURPLE FLOWER</t>
  </si>
  <si>
    <t>13687</t>
  </si>
  <si>
    <t>SILICONE PACIFIER STEP 3, TULIP</t>
  </si>
  <si>
    <t>13688</t>
  </si>
  <si>
    <t>SILICONE PACIFIER STEP 1, LION</t>
  </si>
  <si>
    <t>13689</t>
  </si>
  <si>
    <t>SILICONE PACIFIER STEP 2, ELEPHANT</t>
  </si>
  <si>
    <t>13690</t>
  </si>
  <si>
    <t>SILICONE PACIFIER STEP 3, GIRAFFE</t>
  </si>
  <si>
    <t>13691</t>
  </si>
  <si>
    <t>SILICONE PACIFIER STEP 1, MOUSE</t>
  </si>
  <si>
    <t>13692</t>
  </si>
  <si>
    <t>SILICONE PACIFIER STEP 2, CAT</t>
  </si>
  <si>
    <t>13693</t>
  </si>
  <si>
    <t>PACIFIER STEP 3 DOG</t>
  </si>
  <si>
    <t>13861</t>
  </si>
  <si>
    <t>SLILICONE PACIFIER STEP 3, SHIP</t>
  </si>
  <si>
    <t>13886</t>
  </si>
  <si>
    <t>SILICONE PACIFIER STEP 1 LION</t>
  </si>
  <si>
    <t>13887</t>
  </si>
  <si>
    <t>SILICONE PACIFIER STEP 1 RABBIT</t>
  </si>
  <si>
    <t>13895</t>
  </si>
  <si>
    <t>COOLING TEETHER, CIRCLE.</t>
  </si>
  <si>
    <t>13896</t>
  </si>
  <si>
    <t>COOLING TEETHER, SQUARE.</t>
  </si>
  <si>
    <t>13897</t>
  </si>
  <si>
    <t>COOLING TEETHER, TRIANGLE.</t>
  </si>
  <si>
    <t>13898</t>
  </si>
  <si>
    <t>COOLING TEETHER, STAR.</t>
  </si>
  <si>
    <t>13899</t>
  </si>
  <si>
    <t>COOLING TEETHER, DUCK.</t>
  </si>
  <si>
    <t>13905</t>
  </si>
  <si>
    <t>COOLING TEETHER, FLOWER.</t>
  </si>
  <si>
    <t>13909</t>
  </si>
  <si>
    <t>COOLING TEETHER, PIANO.</t>
  </si>
  <si>
    <t>13910</t>
  </si>
  <si>
    <t>COOLING TEETHER, GUITAR.</t>
  </si>
  <si>
    <t>13911</t>
  </si>
  <si>
    <t>COOLING TEETHER, TRUMPET.</t>
  </si>
  <si>
    <t>13912</t>
  </si>
  <si>
    <t>TRAINING TEETHER STEP1</t>
  </si>
  <si>
    <t>13913</t>
  </si>
  <si>
    <t>TRAINING TEETHER STEP2</t>
  </si>
  <si>
    <t>15112</t>
  </si>
  <si>
    <t>BATH SPONGE</t>
  </si>
  <si>
    <t>15121</t>
  </si>
  <si>
    <t>BABY TWEEZERS</t>
  </si>
  <si>
    <t>15124</t>
  </si>
  <si>
    <t>BABY NAIL CLIPPERS</t>
  </si>
  <si>
    <t>15731</t>
  </si>
  <si>
    <t>MAG MAG NIPPLE CUP</t>
  </si>
  <si>
    <t>15732</t>
  </si>
  <si>
    <t>MAG MAG SPOUT CUP</t>
  </si>
  <si>
    <t>15733</t>
  </si>
  <si>
    <t>MAG MAG STRAW CUP (ORANGE)</t>
  </si>
  <si>
    <t>15734</t>
  </si>
  <si>
    <t>MAG MAG STRAW CUP (PINK)</t>
  </si>
  <si>
    <t>15735</t>
  </si>
  <si>
    <t>MAG MAG STRAW CUP (SKY BLUE)</t>
  </si>
  <si>
    <t>15809</t>
  </si>
  <si>
    <t>COOL SHEETS 4 SHEETS</t>
  </si>
  <si>
    <t>15860</t>
  </si>
  <si>
    <t>BABY WIPES, CHAM &amp; ROSE 30S</t>
  </si>
  <si>
    <t>15862</t>
  </si>
  <si>
    <t>BABY WIPES, CHAM &amp; ROSE 82S, REFILL</t>
  </si>
  <si>
    <t>15864</t>
  </si>
  <si>
    <t>WIPES CHAM&amp;ROSE 70S FLIP</t>
  </si>
  <si>
    <t>15865</t>
  </si>
  <si>
    <t>BABY WIPES, CHAM &amp; ROSE 82S, 6IN1 BAG</t>
  </si>
  <si>
    <t>15867</t>
  </si>
  <si>
    <t>BABY WIPES, CHAM &amp; ROSE 82S, BOX</t>
  </si>
  <si>
    <t>16583</t>
  </si>
  <si>
    <t>BREAST PADS HONEYCOMB 12 PCS BOX</t>
  </si>
  <si>
    <t>Breast Pads</t>
  </si>
  <si>
    <t>16584</t>
  </si>
  <si>
    <t>BREAST PADS HONEYCOMB 60 PCS</t>
  </si>
  <si>
    <t>16597</t>
  </si>
  <si>
    <t>BREAST PADS HONEYCOMB 2PCS PACK</t>
  </si>
  <si>
    <t>BREASTPADS HON 36PCS PLA</t>
  </si>
  <si>
    <t>16601</t>
  </si>
  <si>
    <t>BREAST CARE GEL</t>
  </si>
  <si>
    <t>16602</t>
  </si>
  <si>
    <t>STRETCH MARK CREAM 100G</t>
  </si>
  <si>
    <t>Maternity Skincare</t>
  </si>
  <si>
    <t>16611</t>
  </si>
  <si>
    <t>BREASTMILK STORAGE BOTTLE, 3 PCS/SET</t>
  </si>
  <si>
    <t>16615</t>
  </si>
  <si>
    <t>BREAST PAD FIT-TYPE 36 PCS</t>
  </si>
  <si>
    <t>16615V</t>
  </si>
  <si>
    <t>BREAST PAD SUPER FIT(36 + 6 PCS)</t>
  </si>
  <si>
    <t>16616</t>
  </si>
  <si>
    <t>BREAST PAD FIT-TYPE 24 PCS</t>
  </si>
  <si>
    <t>16617</t>
  </si>
  <si>
    <t>BREAST PAD FIT-TYPE 12 PCS</t>
  </si>
  <si>
    <t>16619</t>
  </si>
  <si>
    <t>BREAST PADS FIT-TYPE BULK 1200 PCS/BOX (Q619)</t>
  </si>
  <si>
    <t>16651</t>
  </si>
  <si>
    <t>BREASTMILK CONTAINER WN PP BOTTLES 160ML 4PCS/SET</t>
  </si>
  <si>
    <t>16654</t>
  </si>
  <si>
    <t>BREASTMILK STORAGE BAGS</t>
  </si>
  <si>
    <t>16661</t>
  </si>
  <si>
    <t>NIPPLE PULLER WITH CASE</t>
  </si>
  <si>
    <t>16671</t>
  </si>
  <si>
    <t>PORTABLE BREAST PUMP (OLD CODE)</t>
  </si>
  <si>
    <t>16671I</t>
  </si>
  <si>
    <t>PORTABLE BREAST PUMP (OLD)</t>
  </si>
  <si>
    <t>PORTABLE ELECTRIC BREAST PUMP.</t>
  </si>
  <si>
    <t>16682C</t>
  </si>
  <si>
    <t>SILENT ELECTRIC BREAST PUMP, C TYPE</t>
  </si>
  <si>
    <t>16682IN</t>
  </si>
  <si>
    <t>SILENT ELECTRIC BREAST PUMP.</t>
  </si>
  <si>
    <t>16683</t>
  </si>
  <si>
    <t>NIPPLE CARE CREAM (OLD )</t>
  </si>
  <si>
    <t>16691</t>
  </si>
  <si>
    <t>BREAST CARE PUMP (ENGLISH VERSION)</t>
  </si>
  <si>
    <t>16694</t>
  </si>
  <si>
    <t>MANUAL BREAST PUMP (OLD CODE)</t>
  </si>
  <si>
    <t>16694I</t>
  </si>
  <si>
    <t>MANUAL BREAST PUMP(OLD)</t>
  </si>
  <si>
    <t>16751</t>
  </si>
  <si>
    <t>BREASTCARE PUMP WITH GLASS SHIELD</t>
  </si>
  <si>
    <t>16755</t>
  </si>
  <si>
    <t>BREAST SHIELD FOR YELLOW PUMP</t>
  </si>
  <si>
    <t>16777</t>
  </si>
  <si>
    <t>MILK VALVE-1 PC FOR ELECTRIC BREAST PUMP</t>
  </si>
  <si>
    <t>16778</t>
  </si>
  <si>
    <t>MILK VALVE-2 PC FOR ELECTRIC BREAST PUMP</t>
  </si>
  <si>
    <t>16779</t>
  </si>
  <si>
    <t>INNER CUP 1PC FOR BREAST PUMP</t>
  </si>
  <si>
    <t>16780</t>
  </si>
  <si>
    <t>DIAPHRAGM 1PC FOR BREAST PUMP</t>
  </si>
  <si>
    <t>16788</t>
  </si>
  <si>
    <t>BREAST PADS 6PCS</t>
  </si>
  <si>
    <t>16805</t>
  </si>
  <si>
    <t>BREAST PUMP, GLASS MADE</t>
  </si>
  <si>
    <t>16808</t>
  </si>
  <si>
    <t>NIPPLE PULLER</t>
  </si>
  <si>
    <t>16811</t>
  </si>
  <si>
    <t>NIPPLE SHIELD N TYPE</t>
  </si>
  <si>
    <t>16849</t>
  </si>
  <si>
    <t>BATTERY OPERATED BREAST PUMP SET</t>
  </si>
  <si>
    <t>NIPPLE SHIELD L 1PC</t>
  </si>
  <si>
    <t>16883</t>
  </si>
  <si>
    <t>NIPPLE CARE CREAM (OLD CODE)</t>
  </si>
  <si>
    <t>16896S</t>
  </si>
  <si>
    <t>NATURAL-FIT-SILICONE NIPPLE SHELD L (13MM)</t>
  </si>
  <si>
    <t>17324</t>
  </si>
  <si>
    <t>RP 240 Y S-TYPE L DINO</t>
  </si>
  <si>
    <t>17325</t>
  </si>
  <si>
    <t>NURSING BOTTLE RP 120 ML W S-TYPE (S) DINO</t>
  </si>
  <si>
    <t>17326</t>
  </si>
  <si>
    <t>NURSING BOTTLE RP 240 ML W S-TYPE (L) ZOO</t>
  </si>
  <si>
    <t>17327</t>
  </si>
  <si>
    <t>NURSING BOTTLE RP 120 ML W S-TYPE (S) ZOO</t>
  </si>
  <si>
    <t>17328</t>
  </si>
  <si>
    <t>NURSING BOTTLE RP 240 ML W S-TYPE (L) MUSIC</t>
  </si>
  <si>
    <t>17329</t>
  </si>
  <si>
    <t>NURSING BOTTLE RP 120 ML W S-TYPE (S) MUSIC</t>
  </si>
  <si>
    <t>17330</t>
  </si>
  <si>
    <t>NURSING BOTTLE RPP 240 ML W S-TYPE (M) CORO PINK</t>
  </si>
  <si>
    <t>17331</t>
  </si>
  <si>
    <t>NURSING BOTTLE RPP 120 ML W S-TYPE (S) CORO PINK</t>
  </si>
  <si>
    <t>17332</t>
  </si>
  <si>
    <t>NURSING BOTTLE RPP 240 ML W S-TYPE (M) CORO BLUE</t>
  </si>
  <si>
    <t>17333</t>
  </si>
  <si>
    <t>NURSING BOTTLE RPP 120 ML W S-TYPE (S) CORO BLUE</t>
  </si>
  <si>
    <t>17334</t>
  </si>
  <si>
    <t>NURSING BOTTLE RPP 240 ML W S-TYPE (M) DINO</t>
  </si>
  <si>
    <t>17335</t>
  </si>
  <si>
    <t>NURSING BOTTLE RPP 120 ML W S-TYPE (S) DINO</t>
  </si>
  <si>
    <t>17336</t>
  </si>
  <si>
    <t>NURSING BOTTLE RPP 240 ML W S-TYPE (M) ZOO</t>
  </si>
  <si>
    <t>17337</t>
  </si>
  <si>
    <t>NURSING BOTTLE RPP 120 ML W S-TYPE (S) ZOO</t>
  </si>
  <si>
    <t>17363</t>
  </si>
  <si>
    <t>DIAPER CONVENIENCE S SIZE 32PCS</t>
  </si>
  <si>
    <t>17364</t>
  </si>
  <si>
    <t>DIAPER CONVENIENCE M SIZE 28PCS (OLD)</t>
  </si>
  <si>
    <t>17365</t>
  </si>
  <si>
    <t>DIAPER CONVENIENCE L SIZE 24PCS (OLD)</t>
  </si>
  <si>
    <t>17366</t>
  </si>
  <si>
    <t>DIAPER CONVENIENCE XL SIZE 20PCS (OLD)</t>
  </si>
  <si>
    <t>17367</t>
  </si>
  <si>
    <t>DIAPER MINI S SIZE 16PCS</t>
  </si>
  <si>
    <t>17368</t>
  </si>
  <si>
    <t>DIAPER MINI M SIZE 14PCS</t>
  </si>
  <si>
    <t>17369</t>
  </si>
  <si>
    <t>DIAPER MINI L SIZE 12PCS</t>
  </si>
  <si>
    <t>17370</t>
  </si>
  <si>
    <t>DIAPER MINI XL SIZE 10PCS</t>
  </si>
  <si>
    <t>17371</t>
  </si>
  <si>
    <t>BABY DIAPER 57 SS SIZE</t>
  </si>
  <si>
    <t>17372</t>
  </si>
  <si>
    <t>BABY DIAPER 54 S SIZE</t>
  </si>
  <si>
    <t>17373</t>
  </si>
  <si>
    <t>BABY DIAPER 48 M SIZE</t>
  </si>
  <si>
    <t>17374</t>
  </si>
  <si>
    <t>BABY DIAPER 42 L SIZE</t>
  </si>
  <si>
    <t>17375</t>
  </si>
  <si>
    <t>BABY DIAPER 32 SS SIZE</t>
  </si>
  <si>
    <t>17376</t>
  </si>
  <si>
    <t>BABY DIAPER 30 S SIZE</t>
  </si>
  <si>
    <t>17450</t>
  </si>
  <si>
    <t>ELECTRIC STEAM STERILIZER (2 PIN)</t>
  </si>
  <si>
    <t>17450B</t>
  </si>
  <si>
    <t>ELECTRIC STEAM STERILIZER(BS 3 PINS/W SFTY.MARK)</t>
  </si>
  <si>
    <t>17497</t>
  </si>
  <si>
    <t>STEAM STERILIZER (PROMO PACK) 2 PIN</t>
  </si>
  <si>
    <t>17499</t>
  </si>
  <si>
    <t>MULTI FUNCTION STERILIZER (PROMO PACK)</t>
  </si>
  <si>
    <t>17501</t>
  </si>
  <si>
    <t>ELECTRIC STEAM STERILIZER</t>
  </si>
  <si>
    <t>17501V</t>
  </si>
  <si>
    <t>STEAM STERILIZER (VDE 2 PIN)</t>
  </si>
  <si>
    <t>17502</t>
  </si>
  <si>
    <t>BOTTLE &amp; BABY FOOD WARMER</t>
  </si>
  <si>
    <t>17502V</t>
  </si>
  <si>
    <t>BABY FOOD &amp; BOTTLE WARMER (VDE 2 PIN)</t>
  </si>
  <si>
    <t>17504</t>
  </si>
  <si>
    <t>STEAM STERILIZER &amp; COMPACT TYPE 2 ROUND PIN</t>
  </si>
  <si>
    <t>17859</t>
  </si>
  <si>
    <t>6 BOTTLE STEAM STERILIZER</t>
  </si>
  <si>
    <t>26000</t>
  </si>
  <si>
    <t>WN NURSING BOTTLE PC 300 ML W/ PLUS NIPPLE (M)</t>
  </si>
  <si>
    <t>26001</t>
  </si>
  <si>
    <t>WN NURSING BOTTLE PC 200 ML W/ PLUS NIPPLE (SS)</t>
  </si>
  <si>
    <t>26002</t>
  </si>
  <si>
    <t>NURSING BOTTLE RP( PC)240 ML W/ S TYPE (M) NIPPLE</t>
  </si>
  <si>
    <t>26003</t>
  </si>
  <si>
    <t>NURSING BOTTLE RP( PC)120 ML W/ S TYPE (S) NIPPLE</t>
  </si>
  <si>
    <t>26005</t>
  </si>
  <si>
    <t>BREASTPADS FIT 108PCS</t>
  </si>
  <si>
    <t>26015</t>
  </si>
  <si>
    <t>COTTON BALLS, 100PCS/PACK PSH</t>
  </si>
  <si>
    <t>26115</t>
  </si>
  <si>
    <t>LQ DETERGENT SUN 1.2L</t>
  </si>
  <si>
    <t>26140-6</t>
  </si>
  <si>
    <t>BREAST PUMP PORTABLE</t>
  </si>
  <si>
    <t>26140IN</t>
  </si>
  <si>
    <t>BULK UNITED-B-PUMP-PORT</t>
  </si>
  <si>
    <t>26141-6</t>
  </si>
  <si>
    <t>BREAST PUMP PRO</t>
  </si>
  <si>
    <t>26141IN</t>
  </si>
  <si>
    <t>BULK UNITED-B-PUMP PRO</t>
  </si>
  <si>
    <t>26144</t>
  </si>
  <si>
    <t>UNITED MANUAL BREAST PUMP</t>
  </si>
  <si>
    <t>26164</t>
  </si>
  <si>
    <t>MAG MAG SPOUT CUP (PP HANGING TYPE)</t>
  </si>
  <si>
    <t>26165</t>
  </si>
  <si>
    <t>MAG MAG STRAW CUP, GREEN (PP HANGING TYPE)</t>
  </si>
  <si>
    <t>26166</t>
  </si>
  <si>
    <t>MAG MAG STRAW CUP, PINK (PP HANGING TYPE)</t>
  </si>
  <si>
    <t>26167</t>
  </si>
  <si>
    <t>MAG MAG STRAW CUP, BLUE (PP HANGING TYPE)</t>
  </si>
  <si>
    <t>26168</t>
  </si>
  <si>
    <t>PIGEON BABY WIPES WATER BASE, 82 SHEETS</t>
  </si>
  <si>
    <t>26176</t>
  </si>
  <si>
    <t>PIGEON BABY WIPES WATER BASE, 30 SHEETS</t>
  </si>
  <si>
    <t>26179</t>
  </si>
  <si>
    <t>PIGEON BABY WIPES WATER BASE, 10 SHEETS</t>
  </si>
  <si>
    <t>26196</t>
  </si>
  <si>
    <t>COTTON SWABS THIN STAM, 200PCS/HINGED CASE</t>
  </si>
  <si>
    <t>26199</t>
  </si>
  <si>
    <t>COTTON SWAB 200 TIPS PLASTIC STEM 100PCS/PAC</t>
  </si>
  <si>
    <t>26221-2</t>
  </si>
  <si>
    <t>BOTTLE &amp; FOOD WARMER (VDE PLUG)</t>
  </si>
  <si>
    <t>26226IN</t>
  </si>
  <si>
    <t>KG 120 W SG S-TYPE L</t>
  </si>
  <si>
    <t>26227</t>
  </si>
  <si>
    <t>NATURAL FIT SILICONE NIPPLE SHELD L (13MM) 2PC</t>
  </si>
  <si>
    <t>26228</t>
  </si>
  <si>
    <t>BREAST CARE &amp; PUMP PLASTIC (ENGLISH VERSION)</t>
  </si>
  <si>
    <t>26256</t>
  </si>
  <si>
    <t>PIGEON BABY WIPES MOISTURIZING CLOTH 70 SHEET</t>
  </si>
  <si>
    <t>26261</t>
  </si>
  <si>
    <t>NYLON BRUSH ROTARY WITH NIPPLE BRUSH</t>
  </si>
  <si>
    <t>26263</t>
  </si>
  <si>
    <t>STRAW BRUSH</t>
  </si>
  <si>
    <t>26276</t>
  </si>
  <si>
    <t>LAUNDARY DETERGENT 600ML BOTTLE PIN</t>
  </si>
  <si>
    <t>26277</t>
  </si>
  <si>
    <t>LAUNDARY DETERGENT 500ML REFILL PIN</t>
  </si>
  <si>
    <t>26346</t>
  </si>
  <si>
    <t>ACTIVE BABY WASH 100 ML</t>
  </si>
  <si>
    <t>26347</t>
  </si>
  <si>
    <t>GENTLE BABY SHAMPOO 100 ML</t>
  </si>
  <si>
    <t>26348</t>
  </si>
  <si>
    <t>BABY MILKY LOTION 100 ML</t>
  </si>
  <si>
    <t>26356</t>
  </si>
  <si>
    <t>BREAST PADS HONEYCOMB 36+6 PCS</t>
  </si>
  <si>
    <t>26389</t>
  </si>
  <si>
    <t>COTTON SWABS THICK 20 PCS</t>
  </si>
  <si>
    <t>26390</t>
  </si>
  <si>
    <t>COTTON SWABS THIN 25 PCS</t>
  </si>
  <si>
    <t>26391</t>
  </si>
  <si>
    <t>BABY LAUNDRY DETERGENT POWDER 200 GMS</t>
  </si>
  <si>
    <t>Manual Breast Pump - Basic Edition</t>
  </si>
  <si>
    <t>BREAST PUMP BASIC EDITION - MANUAL (EXPORT)</t>
  </si>
  <si>
    <t>KPP 240 ML BULK (MCN).</t>
  </si>
  <si>
    <t>KPP 200 ML BULK (MCN)</t>
  </si>
  <si>
    <t>26450</t>
  </si>
  <si>
    <t>CHILDREN TOOTHPASTE STRAWBERRY 45 GMS</t>
  </si>
  <si>
    <t>26451</t>
  </si>
  <si>
    <t>CHILDREN TOOTHPASTE ORANGE 45 GMS</t>
  </si>
  <si>
    <t>26457</t>
  </si>
  <si>
    <t>LAUNDRY DETERGENT 200 ML REFILL PIN</t>
  </si>
  <si>
    <t>26458</t>
  </si>
  <si>
    <t>LIQUID CLEANSER 200 ML BOTTLE PIN</t>
  </si>
  <si>
    <t>26459</t>
  </si>
  <si>
    <t>LIQUID CLEANSER 200 ML REFILL PIN</t>
  </si>
  <si>
    <t>26514</t>
  </si>
  <si>
    <t>SLIM NECK BOTTLE - CAP &amp; HOOD</t>
  </si>
  <si>
    <t>26515</t>
  </si>
  <si>
    <t>BABY SHAMPOO 200 ML (FOR PHARMA DISTRIBUTOR ONLY)</t>
  </si>
  <si>
    <t>26516</t>
  </si>
  <si>
    <t>BABY OIL 200 ML (FOR PHARMA DISTRIBUTOR ONLY)</t>
  </si>
  <si>
    <t>26517</t>
  </si>
  <si>
    <t>BABY MILK LOTION 200 ML (FOR PHARMA DISTRIBUTOR ON</t>
  </si>
  <si>
    <t>26518</t>
  </si>
  <si>
    <t>ACTIVE BABY WASH 200 ML (FOR PHARMA DISTRIBUTOR ON</t>
  </si>
  <si>
    <t>26519</t>
  </si>
  <si>
    <t>RPP 240 ML ABTRCT PINK BULK</t>
  </si>
  <si>
    <t>26520</t>
  </si>
  <si>
    <t>RPP 120 ML ABTRCT PINK BULK</t>
  </si>
  <si>
    <t>26521</t>
  </si>
  <si>
    <t>RPP 240 ML ABTRCT BLUE BULK</t>
  </si>
  <si>
    <t>26522</t>
  </si>
  <si>
    <t>RPP 120 ML ABTRCT BLUE BULK</t>
  </si>
  <si>
    <t>26523</t>
  </si>
  <si>
    <t>RPP 240 ML FLORLS PINK BULK</t>
  </si>
  <si>
    <t>26524</t>
  </si>
  <si>
    <t>RPP 120 ML FLORLS PINK BULK</t>
  </si>
  <si>
    <t>26525</t>
  </si>
  <si>
    <t>RPP 240 ML FLORLS BLUE BULK</t>
  </si>
  <si>
    <t>26526</t>
  </si>
  <si>
    <t>RPP 120 ML FLORLS BLUE BULK</t>
  </si>
  <si>
    <t>26527</t>
  </si>
  <si>
    <t>RPP 240 ML BOTTLE GIRL PINK BULK</t>
  </si>
  <si>
    <t>26528</t>
  </si>
  <si>
    <t>RPP 120 ML BOTTLE GIRL PINK BULK</t>
  </si>
  <si>
    <t>26529</t>
  </si>
  <si>
    <t>RPP 240 ML BOTTLE BOY BLUE BULK</t>
  </si>
  <si>
    <t>26530</t>
  </si>
  <si>
    <t>RPP 120 ML BOTTLE BOY BLUE BULK</t>
  </si>
  <si>
    <t>26552</t>
  </si>
  <si>
    <t>GENTLE BABY SHAMPOO 100 ml ( FOR PHARMA )</t>
  </si>
  <si>
    <t>26554</t>
  </si>
  <si>
    <t>BABY MILKY LOTION 100 ml (FOR PHARMA )</t>
  </si>
  <si>
    <t>26555</t>
  </si>
  <si>
    <t>ACTIVE BABY WASH 100 ml (FOR PHARMA )</t>
  </si>
  <si>
    <t>SN CRYSTAL CLEAR RPP BOTTLE (BULK)120ML G FOR GIRL</t>
  </si>
  <si>
    <t>SN CRYSTAL CLEAR RPP BOTTLE (BULK)240ML G FOR GIRL</t>
  </si>
  <si>
    <t>26663</t>
  </si>
  <si>
    <t>26664</t>
  </si>
  <si>
    <t>26665</t>
  </si>
  <si>
    <t>26666</t>
  </si>
  <si>
    <t>26669</t>
  </si>
  <si>
    <t>STEAM STERILIZER &amp; COMPACT TYPE 2 ROUND PIN (AD)</t>
  </si>
  <si>
    <t>26724</t>
  </si>
  <si>
    <t>BABY MILKY SOAP 75 GM PHARMA</t>
  </si>
  <si>
    <t>28358</t>
  </si>
  <si>
    <t>MULTIFUNCTIONAL LAUNDRY DETERGENT,LEMON GRASS 1.2L</t>
  </si>
  <si>
    <t>50565</t>
  </si>
  <si>
    <t>S TYPE NIPPLE (S) W/O WRAP BULK (PIN).</t>
  </si>
  <si>
    <t>S TYPE NIPPLE (M) W/O WRAP BULK (PIN).</t>
  </si>
  <si>
    <t>KPP 120 R S-TYPE S</t>
  </si>
  <si>
    <t>KPP 120 R S-TYPE S EXPORT</t>
  </si>
  <si>
    <t>KPP 200 R S-TYPE M</t>
  </si>
  <si>
    <t>KPP 240 R S-TYPE M</t>
  </si>
  <si>
    <t>KPP 240 R S-TYPE L</t>
  </si>
  <si>
    <t>KPP 240 R S-TYPE L EXPORT</t>
  </si>
  <si>
    <t>KPP 120 P S-TYPE S</t>
  </si>
  <si>
    <t>KPP 240 P S-TYPE M.</t>
  </si>
  <si>
    <t>KPP 240 P S-TYPE L.</t>
  </si>
  <si>
    <t>KPP 120 B S-TYPE S.</t>
  </si>
  <si>
    <t>KPP 120 B S-TYPE S EXPORT</t>
  </si>
  <si>
    <t>KPP 240 B S-TYPE M.</t>
  </si>
  <si>
    <t>KPP 240 B S-TYPE M EXPORT</t>
  </si>
  <si>
    <t>KPP 240 B S-TYPE L.</t>
  </si>
  <si>
    <t>KPP 240 B S-TYPE L EXPORT</t>
  </si>
  <si>
    <t>PERISTALTIC NIPPLE S 2 PCS.</t>
  </si>
  <si>
    <t>88011</t>
  </si>
  <si>
    <t>PERISTALTIC NIPPLE M 2 PCS.</t>
  </si>
  <si>
    <t>88012</t>
  </si>
  <si>
    <t>PERISTALTIC NIPPLE Y 2 PCS.</t>
  </si>
  <si>
    <t>88013</t>
  </si>
  <si>
    <t>PERISTALTIC NIPPLE L 2 PCS.</t>
  </si>
  <si>
    <t>PERISTALTIC NIPPLE S 3 PCS.</t>
  </si>
  <si>
    <t>88015</t>
  </si>
  <si>
    <t>PERISTALTIC NIPPLE M 3 PCS.</t>
  </si>
  <si>
    <t>88016</t>
  </si>
  <si>
    <t>PERISTALTIC NIPPLE Y 3 PCS.</t>
  </si>
  <si>
    <t>88017</t>
  </si>
  <si>
    <t>PERISTALTIC NIPPLE L 3 PCS.</t>
  </si>
  <si>
    <t>RPP 120 W S-TYPE S</t>
  </si>
  <si>
    <t>RPP 240 W S-TYPE M</t>
  </si>
  <si>
    <t>KPP 200 P S-TYPE M.</t>
  </si>
  <si>
    <t>KPP 200 B S-TYPE M</t>
  </si>
  <si>
    <t>PERISTALTIC NIPPLE S 1 PC (FOR PHARMA DISTRIBUTORS</t>
  </si>
  <si>
    <t>PERISTALTIC NIPPLE M 1 PC (FOR PHARMA DISTRIBUTORS</t>
  </si>
  <si>
    <t>PERISTALTIC NIPPLE Y 1 PC (FOR PHARMA DISTRIBUTORS</t>
  </si>
  <si>
    <t>PERISTALTIC NIPPLE L 1 PC (FOR PHARMA DISTRIBUTORS</t>
  </si>
  <si>
    <t>PERISTALTC CLEAR NRSNG BOTTLE RPP 120ML PINK GRL</t>
  </si>
  <si>
    <t>PERISTALTC CLEAR NRSNG BOTTLE RPP 120ML BLUE BOY</t>
  </si>
  <si>
    <t>PERISTALTC CLEAR NRSNG BOTTLE RPP 240ML PINK GRL</t>
  </si>
  <si>
    <t>88036</t>
  </si>
  <si>
    <t>88037</t>
  </si>
  <si>
    <t>PERISTALTC CLEAR NRSNG BOTTLE RPP 120ML PNK ABST</t>
  </si>
  <si>
    <t>88038</t>
  </si>
  <si>
    <t>88039</t>
  </si>
  <si>
    <t>88040</t>
  </si>
  <si>
    <t>NRSNG BOTLE TWIN PACK KPP 120ML (B&amp;W) NIPPLE S</t>
  </si>
  <si>
    <t>NRSNG BOTTLE TWIN PACK KPP 120ML (P&amp;W) NIPPLE S</t>
  </si>
  <si>
    <t>88043</t>
  </si>
  <si>
    <t>NRSNG BOTLE TWIN PACK KPP 240ML (B&amp;W) NIPPLE L</t>
  </si>
  <si>
    <t>NRSNG BOTTLE TWIN PACK KPP 240ML (P&amp;W) NIPPLE L</t>
  </si>
  <si>
    <t>CLEAR NURSING BOTTLE KPP 120ML NIPPLE S</t>
  </si>
  <si>
    <t>CLEAR NURSING BOTTLE KPP 200ML NIPPLE M</t>
  </si>
  <si>
    <t>CLEAR NURSING BOTTLE KPP 240ML NIPPLE L</t>
  </si>
  <si>
    <t>88050</t>
  </si>
  <si>
    <t>88051</t>
  </si>
  <si>
    <t>88052</t>
  </si>
  <si>
    <t>PERISTALTIC CLEAR NRSNG BOTTLE RPP 240ML PINK FLRL</t>
  </si>
  <si>
    <t>88053</t>
  </si>
  <si>
    <t>CA07</t>
  </si>
  <si>
    <t>MILK STORAGE CONTAINER</t>
  </si>
  <si>
    <t>CA08</t>
  </si>
  <si>
    <t>MILK STORAGE CONTAINER P</t>
  </si>
  <si>
    <t>CA09</t>
  </si>
  <si>
    <t>MILK STORAGE CONTAINER Y</t>
  </si>
  <si>
    <t>DA02</t>
  </si>
  <si>
    <t>PIGEON LITTLE CORO ROUND BOWL</t>
  </si>
  <si>
    <t>DA04</t>
  </si>
  <si>
    <t>PIGEON LITTLE CORO CUP</t>
  </si>
  <si>
    <t>DA05</t>
  </si>
  <si>
    <t>PIGEON LITTLE CORO PLATE</t>
  </si>
  <si>
    <t>DA29</t>
  </si>
  <si>
    <t>DOUBLE LAYER SUCKING CUP(PINK &amp; BLUE)</t>
  </si>
  <si>
    <t>DA30</t>
  </si>
  <si>
    <t>DOUBLE LAYER SUCKING CUP(YELLOW &amp; GREEN)</t>
  </si>
  <si>
    <t>DA32</t>
  </si>
  <si>
    <t>DOUBLE LAYER SUCKING CUP(YELLOW &amp; BLUE)</t>
  </si>
  <si>
    <t>DA33</t>
  </si>
  <si>
    <t>DOUBLE LAYER SUCKING CUP(PINK &amp; YELLOW)</t>
  </si>
  <si>
    <t>DA34</t>
  </si>
  <si>
    <t>DOUBLE LAYER SUCKING CUP(GREEN &amp; ORANGE)</t>
  </si>
  <si>
    <t>EA08</t>
  </si>
  <si>
    <t>BOTTLE &amp; NIPPLE BRUSH</t>
  </si>
  <si>
    <t>FGSM0858</t>
  </si>
  <si>
    <t>NIPPLE (S) W/WRAP BULK</t>
  </si>
  <si>
    <t>FGSM0859</t>
  </si>
  <si>
    <t>NIPPLE (M) W/WRAP BULK</t>
  </si>
  <si>
    <t>FGSM0860</t>
  </si>
  <si>
    <t>NIPPLE (Y) W/WRAP BULK</t>
  </si>
  <si>
    <t>FGSM0861</t>
  </si>
  <si>
    <t>NIPPLE (L) W/WRAP BULK</t>
  </si>
  <si>
    <t>FGSM0862</t>
  </si>
  <si>
    <t>NIPPLE (S) WO/WRAP BULK</t>
  </si>
  <si>
    <t>FGSM0863</t>
  </si>
  <si>
    <t>NIPPLE (M) WO/WRAP BULK</t>
  </si>
  <si>
    <t>FGSM0864</t>
  </si>
  <si>
    <t>KPP 240 ML BULK</t>
  </si>
  <si>
    <t>FGSM0865</t>
  </si>
  <si>
    <t>KPP 200 MLBULK</t>
  </si>
  <si>
    <t>S TYPE NIPPLE (S)  WITH WRAP BULK (PIN)</t>
  </si>
  <si>
    <t>S TYPE NIPPLE (M)  WITH WRAP BULK (PIN)</t>
  </si>
  <si>
    <t>S TYPE NIPPLE (Y) WITH WRAP BULK (PIN)</t>
  </si>
  <si>
    <t>S TYPE NIPPLE (L) WITH WRAP BULK (PIN)</t>
  </si>
  <si>
    <t>FS001</t>
  </si>
  <si>
    <t>SAMPLE PACK A (09181+12965+ 16620)</t>
  </si>
  <si>
    <t>FS003</t>
  </si>
  <si>
    <t>SAMPLE PACK B (09181+12965+16620) WITH IMA</t>
  </si>
  <si>
    <t>G18048</t>
  </si>
  <si>
    <t>KIDS WASH LQ 400 STR+GRA</t>
  </si>
  <si>
    <t>G18049</t>
  </si>
  <si>
    <t>KIDS WASH LQ 400 ORA+MAN</t>
  </si>
  <si>
    <t>G18050</t>
  </si>
  <si>
    <t>KIDS WASH FO 400 STR+GRA</t>
  </si>
  <si>
    <t>G18051</t>
  </si>
  <si>
    <t>KIDS WASH FO 400 ORA+MAN</t>
  </si>
  <si>
    <t>G18054</t>
  </si>
  <si>
    <t>KIDS WASH LQ 200 STR+GRA</t>
  </si>
  <si>
    <t>G18055</t>
  </si>
  <si>
    <t>KIDS WASH LQ 200 ORA+MAN</t>
  </si>
  <si>
    <t>GA01</t>
  </si>
  <si>
    <t>MULTI FUNCTION MAMA BAG RED GA01</t>
  </si>
  <si>
    <t>Baby Outing</t>
  </si>
  <si>
    <t>GA02</t>
  </si>
  <si>
    <t>MULTI FUNCTION MAMA BAG BLACK GA02</t>
  </si>
  <si>
    <t>GA05</t>
  </si>
  <si>
    <t>INSULATED BOTTLE HOLDER PINK</t>
  </si>
  <si>
    <t>Feeding Accessary</t>
  </si>
  <si>
    <t>GA06</t>
  </si>
  <si>
    <t>INSULATED BOTTLE HOLDER GREEN</t>
  </si>
  <si>
    <t>GA17</t>
  </si>
  <si>
    <t>CARRIER BLACK</t>
  </si>
  <si>
    <t>GA18</t>
  </si>
  <si>
    <t>CARRIER PINK</t>
  </si>
  <si>
    <t>GA22</t>
  </si>
  <si>
    <t>LC BOTTLE WARMER BLACK</t>
  </si>
  <si>
    <t>GA23</t>
  </si>
  <si>
    <t>LC BOTTLE WARMER ML</t>
  </si>
  <si>
    <t>GB154</t>
  </si>
  <si>
    <t>PIDIA PBS SA2</t>
  </si>
  <si>
    <t>S TYPE NIPPLE (S) W/O WRAP BULK (PIN)</t>
  </si>
  <si>
    <t>S TYPE NIPPLE (M) W/O WRAP BULK (PIN)</t>
  </si>
  <si>
    <t>IA23</t>
  </si>
  <si>
    <t>BABY DIAPER RASH CREAM 35GM</t>
  </si>
  <si>
    <t>IA28</t>
  </si>
  <si>
    <t>UV BABY LOTION</t>
  </si>
  <si>
    <t>IA36</t>
  </si>
  <si>
    <t>BABY LIP GEL</t>
  </si>
  <si>
    <t>KA02</t>
  </si>
  <si>
    <t>BABY TOOTH GEL</t>
  </si>
  <si>
    <t>Baby Hygiene Disposable</t>
  </si>
  <si>
    <t>KA08</t>
  </si>
  <si>
    <t>COTTON BALLS, 100PCS/PACK PSH (OLD)</t>
  </si>
  <si>
    <t>KA11</t>
  </si>
  <si>
    <t>SAFETEY CORNER CUSHION</t>
  </si>
  <si>
    <t>Safety Products</t>
  </si>
  <si>
    <t>KA13</t>
  </si>
  <si>
    <t>SAFETEY HINGED DOOR LOCK</t>
  </si>
  <si>
    <t>MA14</t>
  </si>
  <si>
    <t>PW DETERGENT 1500G PMFG</t>
  </si>
  <si>
    <t>MA16</t>
  </si>
  <si>
    <t>LAUNDRY SOAP 200G PMFG</t>
  </si>
  <si>
    <t>MA19</t>
  </si>
  <si>
    <t>LQ DETERGENT 1L PMFG</t>
  </si>
  <si>
    <t>MA21</t>
  </si>
  <si>
    <t>LQ DETERGENT RF 500 PMFG</t>
  </si>
  <si>
    <t>MA22</t>
  </si>
  <si>
    <t>SOFTNER 1L</t>
  </si>
  <si>
    <t>MA23</t>
  </si>
  <si>
    <t>SOFTNER 600ML</t>
  </si>
  <si>
    <t>MA24</t>
  </si>
  <si>
    <t>SOFTNER REFILL 500ML</t>
  </si>
  <si>
    <t>MA25</t>
  </si>
  <si>
    <t>BOTTLE DETERGENT 150ML</t>
  </si>
  <si>
    <t>MA26</t>
  </si>
  <si>
    <t>LQB DETERGENT 400ML PMFG</t>
  </si>
  <si>
    <t>MA27</t>
  </si>
  <si>
    <t>LQB DETERGENT 700ML PMFG</t>
  </si>
  <si>
    <t>MA28</t>
  </si>
  <si>
    <t>BOTTLE DETERGENT REFILL 600ML</t>
  </si>
  <si>
    <t>MA29</t>
  </si>
  <si>
    <t>BABY ANTIBACTERIAL DETERGENT POWDER</t>
  </si>
  <si>
    <t>MA32</t>
  </si>
  <si>
    <t>PIGEON-BABY ANTIBACTERIAL LAUNDRY SOAP 120G</t>
  </si>
  <si>
    <t>PA108</t>
  </si>
  <si>
    <t>SHAMPOO100+OIL FREE100</t>
  </si>
  <si>
    <t>PA109</t>
  </si>
  <si>
    <t>SOAP100+OIL FREE100</t>
  </si>
  <si>
    <t>PA110</t>
  </si>
  <si>
    <t>LOTION100+OIL FREE 100</t>
  </si>
  <si>
    <t>XA108</t>
  </si>
  <si>
    <t>FEMININE HYGIENIC CLEANING TISSUE</t>
  </si>
  <si>
    <t>Hygiene for Women</t>
  </si>
  <si>
    <t>XA193</t>
  </si>
  <si>
    <t>NIPPLE WIPES 25SHEET</t>
  </si>
  <si>
    <t>XA194</t>
  </si>
  <si>
    <t>NIPPLE WIPES 50SHEET</t>
  </si>
  <si>
    <t>XA216</t>
  </si>
  <si>
    <t>PIGEON-MAMA SANITARY PAD 4 PCS XA216</t>
  </si>
  <si>
    <t>XA217</t>
  </si>
  <si>
    <t>PIGEON-MAMA NAPKIN L 6 PCS XA217</t>
  </si>
  <si>
    <t>XA218</t>
  </si>
  <si>
    <t>PIGEON-MAMA NAPKIN M 10 PCS XA218</t>
  </si>
  <si>
    <t>XA219</t>
  </si>
  <si>
    <t>PIGEON-MAMA NAPKIN S 20 PCS XA219</t>
  </si>
  <si>
    <t>XA230</t>
  </si>
  <si>
    <t>MATERNITY SHAPE UP BELT (S) XA230</t>
  </si>
  <si>
    <t>Maternity Inner</t>
  </si>
  <si>
    <t>XA231</t>
  </si>
  <si>
    <t>MATERNITY SHAPE UP BELT (M) XA231</t>
  </si>
  <si>
    <t>XA232</t>
  </si>
  <si>
    <t>MATERNITY SHAPE UP BELT (L) XA232</t>
  </si>
  <si>
    <t>XA233</t>
  </si>
  <si>
    <t>MATERNITY SHAPE UP BELT (XL) XA233</t>
  </si>
  <si>
    <t>XA234</t>
  </si>
  <si>
    <t>MATERNITY SHAPE UP BELT (XXL) XA234</t>
  </si>
  <si>
    <t>XA69</t>
  </si>
  <si>
    <t>SHAPE UP BELT (PINK/L) XA69</t>
  </si>
  <si>
    <t>XA70</t>
  </si>
  <si>
    <t>SHAPE UP BELT (PINK/LL) XA70</t>
  </si>
  <si>
    <t>XA71</t>
  </si>
  <si>
    <t>MATERNITY ADJUSTABLE BELT (PINK/M-L) XA71</t>
  </si>
  <si>
    <t>XA72</t>
  </si>
  <si>
    <t>MATERNITY ADJUSTABLE BELT (PINK/LL) XA72</t>
  </si>
  <si>
    <t>Z811</t>
  </si>
  <si>
    <t>LQ DETERTENT COMBO</t>
  </si>
  <si>
    <t>Z812</t>
  </si>
  <si>
    <t>GIFT SET-GIRL (PINK) Z812</t>
  </si>
  <si>
    <t>Baby Inner</t>
  </si>
  <si>
    <t>Z813</t>
  </si>
  <si>
    <t>GIFT SET-BOY ( BLUE ) Z813</t>
  </si>
  <si>
    <t>Z819</t>
  </si>
  <si>
    <t>1 PILLOW &amp; 1 BOLSTER SET Z819</t>
  </si>
  <si>
    <t>Bedding</t>
  </si>
  <si>
    <t>Z825</t>
  </si>
  <si>
    <t>BABY BIB (BLUE &amp; YELLOW)</t>
  </si>
  <si>
    <t>Z827</t>
  </si>
  <si>
    <t>MANUAL BREAST PUMP BASIC EDITION</t>
  </si>
  <si>
    <t>Z828</t>
  </si>
  <si>
    <t>COTTON SWABS 200 PCS THIN COMBO PACK Z828</t>
  </si>
  <si>
    <t>Z829</t>
  </si>
  <si>
    <t>COTTON SWABS 200 PCS THICK COMBO PACK Z829</t>
  </si>
  <si>
    <t>Z833</t>
  </si>
  <si>
    <t>SKINCARE &amp; DIAPER SAMPLE OFFER PACK</t>
  </si>
  <si>
    <t>BREASTFEED SET - BLACK</t>
  </si>
  <si>
    <t xml:space="preserve">MAX HOSPITAL GIFT BOX </t>
  </si>
  <si>
    <t>Z842</t>
  </si>
  <si>
    <t>BABY SHAMPOO COMBO PACK</t>
  </si>
  <si>
    <t>Z844</t>
  </si>
  <si>
    <t>RPP ECO BOTTLE 1 PC</t>
  </si>
  <si>
    <t>RPP ECO BOTTLE 1 PCs</t>
  </si>
  <si>
    <t>RPP ECO 120ML BTLE 1 PC</t>
  </si>
  <si>
    <t>GIFT BOX 6 PCS - CR</t>
  </si>
  <si>
    <t>BREASTFEED SET MAROON Z847</t>
  </si>
  <si>
    <t>WORKING MAMAs SET</t>
  </si>
  <si>
    <t>Z853</t>
  </si>
  <si>
    <t>BABY WASH 2 IN 1 COMBO</t>
  </si>
  <si>
    <t>BREAST MILK STORAGE BAG 5PCS</t>
  </si>
  <si>
    <t>Z859</t>
  </si>
  <si>
    <t>BABY MILKY SOAP 75 GM (VALUE PACK 3 IN 1)</t>
  </si>
  <si>
    <t>KPP 120 ML BOTTLE MOLDED</t>
  </si>
  <si>
    <t>KPP 200 ML BOTTLE MOLDED</t>
  </si>
  <si>
    <t>KPP 240 ML BOTTLE MOLDED</t>
  </si>
  <si>
    <t>RPP 120 ML BOTTLE MOLDED</t>
  </si>
  <si>
    <t>RPP 240 ML BOTTLE MOLDED</t>
  </si>
  <si>
    <t>KPP 120 ML BOTTLE PRINTED</t>
  </si>
  <si>
    <t>KPP 200 ML BOTTLE PRINTED</t>
  </si>
  <si>
    <t>KPP 240 ML BOTTLE PRINTED</t>
  </si>
  <si>
    <t>RPP 120 ML BOTTLE PRINTED</t>
  </si>
  <si>
    <t>RPP 240 ML BOTTLE PRINTED</t>
  </si>
  <si>
    <t>NIPPLE S TYPE S SIZE INJECTION</t>
  </si>
  <si>
    <t>NIPPLE S TYPE M SIZE INJECTION</t>
  </si>
  <si>
    <t>NIPPLE S TYPE L SIZE INJECTION</t>
  </si>
  <si>
    <t>NIPPLE S TYPE Y SIZE INJECTION</t>
  </si>
  <si>
    <t>NIPPLE S TYPE S SIZE POSTCURED</t>
  </si>
  <si>
    <t>NIPPLE S TYPE M SIZE POSTCURED</t>
  </si>
  <si>
    <t>NIPPLE S TYPE L SIZE POSTCURED</t>
  </si>
  <si>
    <t>NIPPLE S TYPE Y SIZE POSTCURED</t>
  </si>
  <si>
    <t>NIPPLE S TYPE S SIZE PUNCHED</t>
  </si>
  <si>
    <t>NIPPLE S TYPE M SIZE PUNCHED</t>
  </si>
  <si>
    <t>NIPPLE S TYPE L SIZE PUNCHED</t>
  </si>
  <si>
    <t>NIPPLE S TYPE Y SIZE PUNCHED</t>
  </si>
  <si>
    <t>NIPPLE S TYPE S SIZE WITH PRINTED WRAP</t>
  </si>
  <si>
    <t>NIPPLE S TYPE M SIZE WITH PRINTED WRAP</t>
  </si>
  <si>
    <t>NIPPLE S TYPE L SIZE WITH PRINTED WRAP</t>
  </si>
  <si>
    <t>NIPPLE S TYPE Y SIZE WITH PRINTED WRAP</t>
  </si>
  <si>
    <t>KPP 120 BOTTLE PRINTED-WMG3B (OZ SCALE)</t>
  </si>
  <si>
    <t>KPP 200 BOTTLE PRINTED-WMG3B (OZ SCALE)</t>
  </si>
  <si>
    <t>KPP 240 BOTTLE PRINTED-WMG3B (OZ SCALE)</t>
  </si>
  <si>
    <t>RPP 120 BOTTLE PRINTED-WMG3B (OZ SCALE)</t>
  </si>
  <si>
    <t>RPP 240 BOTTLE PRINTED-WMG3B (OZ SCALE)</t>
  </si>
  <si>
    <t>KPP BOTTLE 120 ML MOULDED-WMG3B</t>
  </si>
  <si>
    <t>KPP BOTTLE 200 ML MOULDED-WMG3B</t>
  </si>
  <si>
    <t>KPP BOTTLE 240 ML MOULDED-WMG3B</t>
  </si>
  <si>
    <t>RPP BOTTLE 120 ML MOULDED-WMG3B</t>
  </si>
  <si>
    <t>RPP BOTTLE 240 ML MOULDED-WMG3B</t>
  </si>
  <si>
    <t>KPP BOTTLE 120 ML PRINTED-WMG3B</t>
  </si>
  <si>
    <t>KPP BOTTLE 200 ML PRINTED-WMG3B</t>
  </si>
  <si>
    <t>KPP BOTTLE 240 ML PRINTED-WMG3B</t>
  </si>
  <si>
    <t>RPP BOTTLE 120 ML PRINTED-WMG3B</t>
  </si>
  <si>
    <t>RPP BOTTLE 240 ML PRINTED-WMG3B</t>
  </si>
  <si>
    <t>RPP 120ML PINK BOTTLE MOLDED (WM3GB)</t>
  </si>
  <si>
    <t>RPP 240ML PINK BOTTLE MOLDED (WM3GB)</t>
  </si>
  <si>
    <t>RPP 120ML BLUE BOTTLE MOLDED (WM3GB)</t>
  </si>
  <si>
    <t>RPP 240ML BLUE BOTTLE MOLDED (WM3GB)</t>
  </si>
  <si>
    <t>RPP 120ML GIRL PINK BOTTLE PRINTED (WM3GB)</t>
  </si>
  <si>
    <t>RPP 240ML GIRL PINK BOTTLE PRINTED (WM3GB)</t>
  </si>
  <si>
    <t>RPP 120ML BOY BLUE BOTTLE PRINTED (WM3GB)</t>
  </si>
  <si>
    <t>RPP 240ML BOY BLUE BOTTLE PRINTED (WM3GB)</t>
  </si>
  <si>
    <t>FO060</t>
  </si>
  <si>
    <t>KPP 120ML PINK BOTTLE MOLDED (WMG3B)</t>
  </si>
  <si>
    <t>FO061</t>
  </si>
  <si>
    <t>KPP 200ML PINK BOTTLE MOLDED (WMG3B)</t>
  </si>
  <si>
    <t>FO062</t>
  </si>
  <si>
    <t>KPP 240ML PINK BOTTLE MOLDED (WMG3B)</t>
  </si>
  <si>
    <t>KPP 120ML PINK BOTTLE PRINTED (WMG3B)</t>
  </si>
  <si>
    <t>KPP 200ML PINK BOTTLE PRINTED (WMG3B)</t>
  </si>
  <si>
    <t>KPP 240ML PINK BOTTLE PRINTED (WMG3B)</t>
  </si>
  <si>
    <t>FO066</t>
  </si>
  <si>
    <t>KPP 120ML GREEN BOTTLE MOLDED (WMG3B)</t>
  </si>
  <si>
    <t>FO067</t>
  </si>
  <si>
    <t>KPP 200ML GREEN BOTTLE MOLDED (WMG3B)</t>
  </si>
  <si>
    <t>FO068</t>
  </si>
  <si>
    <t>KPP 240ML GREEN BOTTLE MOLDED (WMG3B)</t>
  </si>
  <si>
    <t>KPP 120ML GREEN BOTTLE PRINTED (WMG3B)</t>
  </si>
  <si>
    <t>KPP 200ML GREEN BOTTLE PRINTED (WMG3B)</t>
  </si>
  <si>
    <t>KPP 240ML GREEN BOTTLE PRINTED (WMG3B)</t>
  </si>
  <si>
    <t>RPP 120ML ABTRCT PINK BOTTLE PRINTED (WMG3B)</t>
  </si>
  <si>
    <t>RPP 240ML ABTRCT PINK BOTTLE PRINTED (WMG3B)</t>
  </si>
  <si>
    <t>RPP 120ML ABTRCT BULE BOTTLE PRINTED (WMG3B)</t>
  </si>
  <si>
    <t>RPP 240ML ABTRCT BULE BOTTLE PRINTED (WMG3B)</t>
  </si>
  <si>
    <t>RPP 120ML FLORLS PINK BOTTLE PRINTED (WMG3B)</t>
  </si>
  <si>
    <t>RPP 240ML FLORLS PINK BOTTLE PRINTED (WMG3B)</t>
  </si>
  <si>
    <t>RPP 120ML FLORLS BULE BOTTLE PRINTED (WMG3B)</t>
  </si>
  <si>
    <t>RPP 240ML FLORLS BULE BOTTLE PRINTED (WMG3B)</t>
  </si>
  <si>
    <t>RPP 120ML GREEN BOTTLE MOLDED (WMG3B)</t>
  </si>
  <si>
    <t>RPP 240ML GREEN BOTTLE MOLDED (WMG3B)</t>
  </si>
  <si>
    <t>RPP 120ML RACOON GREEN PRINTED (WM3GB)</t>
  </si>
  <si>
    <t>RPP 240ML DRAGON GREEN PRINTED (WM3GB)</t>
  </si>
  <si>
    <t>RPP 120ML RACOON PINK PRINTED BULK (WM3GB)</t>
  </si>
  <si>
    <t>RPP 240ML DRAGON PINK PPRINTED BULK (WM3GB)</t>
  </si>
  <si>
    <t>RPP 120ML GRL PNK BOTLE PNTD WM3GB W/BIS LOGO</t>
  </si>
  <si>
    <t>RPP 240ML ABSTRCT PNK BOTLE PNTD WM3GB W/BIS LOGO</t>
  </si>
  <si>
    <t>RPP 240ML ABSTRCT BLU BOTLE PNTD WM3GB W/BIS LOGO</t>
  </si>
  <si>
    <t>RPP 120ML FLORAL PNK BOTLE PNTD WM3GB W/BIS LOGO</t>
  </si>
  <si>
    <t>RPP 240ML FLORAL PNK BOTLE PNTD WM3GB W/BIS LOGO</t>
  </si>
  <si>
    <t>RPP 120ML FLORAL BLUE BOTLE PNTD WM3GB W/BIS LOGO</t>
  </si>
  <si>
    <t>NIPPLE S TYPE S SIZE PUNCHED INSPECTED</t>
  </si>
  <si>
    <t>NIPPLE PUNCH INSPECTED</t>
  </si>
  <si>
    <t>NIPPLE S TYPE M SIZE PUNCHED INSPECTED</t>
  </si>
  <si>
    <t>NIPPLE S TYPE L SIZE PUNCHED INSPECTED</t>
  </si>
  <si>
    <t>NIPPLE S TYPE Y SIZE PUNCHED INSPECTED</t>
  </si>
  <si>
    <t>NIPPLE</t>
  </si>
  <si>
    <t>QTY</t>
  </si>
  <si>
    <t>BOTTLE</t>
  </si>
  <si>
    <t>16599IN</t>
  </si>
  <si>
    <t>Total Good Pc's</t>
  </si>
  <si>
    <t>SN CRYSTAL CLEAR RPP BOTTLE (BULK) 120 ML ABSTRACT</t>
  </si>
  <si>
    <t>SN CRYSTAL CLEAR RPP BOTTLE (BULK) 120 ML ABSTRAC</t>
  </si>
  <si>
    <t>SN CRYSTAL CLEAR RPP BOTTLE (BULK) 240 ML ABSTRACT</t>
  </si>
  <si>
    <t>SN CRYSTAL CLEAR RPP BOTTLE (BULK) 240 ML ABSTRAC</t>
  </si>
  <si>
    <t>STRAWBERRY TOOTHPASTE 45 GMS COMBO (PACK OF 2)</t>
  </si>
  <si>
    <t>Z865</t>
  </si>
  <si>
    <t>COMBO</t>
  </si>
  <si>
    <t>Z870</t>
  </si>
  <si>
    <t>LIQUID CLEANSER 200ML NATURAL</t>
  </si>
  <si>
    <t>Z868</t>
  </si>
  <si>
    <t>BREAST PAD HONEYCOMB COMBO</t>
  </si>
  <si>
    <t>Z875</t>
  </si>
  <si>
    <t>CHILDREN TOOTHPASTE ORANGE 45 GMS COMBO PACK OF 2</t>
  </si>
  <si>
    <t>BABY WIPES CHAMOMILE 80 SHEETS COMBO PACK OF 5</t>
  </si>
  <si>
    <t>Z874</t>
  </si>
  <si>
    <t>BABY TRANSPARENT SOAP 75G COMBO PACK OF 3</t>
  </si>
  <si>
    <t>Z873</t>
  </si>
  <si>
    <t>Z860</t>
  </si>
  <si>
    <t>LIQUID CLEANSER, REFILL 700ML COMBO (PACK OF 2)</t>
  </si>
  <si>
    <t>KPP6_P</t>
  </si>
  <si>
    <t>KPP6_W</t>
  </si>
  <si>
    <t>KPP4_W</t>
  </si>
  <si>
    <t>RPP4_W</t>
  </si>
  <si>
    <t>KPP8_W</t>
  </si>
  <si>
    <t>RPP8_W</t>
  </si>
  <si>
    <t>REGULAR NECK MILK BOTTLE KPP 200ML TAIWAN</t>
  </si>
  <si>
    <t>Z862</t>
  </si>
  <si>
    <t>Z861</t>
  </si>
  <si>
    <t>BREAST PADS HONEYCOMB 12PCS BOX COMBO(PACK OF 2)</t>
  </si>
  <si>
    <t>Z871</t>
  </si>
  <si>
    <t>DETERGENT POWDER 200 GM COMBO</t>
  </si>
  <si>
    <t>BABY WIPES CHAMOMILE 80 SHEETS COMBO (PACK OF 2)</t>
  </si>
  <si>
    <t>DETERGENT POWDER 200 GM COMBO (PACK OF 3)</t>
  </si>
  <si>
    <t>Z866</t>
  </si>
  <si>
    <t>STRAWBERRY &amp; ORANGE TOOTHPASTE 45GM COMBO</t>
  </si>
  <si>
    <t>Z872</t>
  </si>
  <si>
    <t>Z863</t>
  </si>
  <si>
    <t>Z864</t>
  </si>
  <si>
    <t>BABY WIPES CHAMOMILE 80 SHEETS COMBO (PACK OF 3)</t>
  </si>
  <si>
    <t>Z867</t>
  </si>
  <si>
    <t>BREAST PADS HONEYCOMB COMBO (60 PCS + 36 PCS)</t>
  </si>
  <si>
    <t>Z869</t>
  </si>
  <si>
    <t>BABY WIPES CHAMOMILE 80 SHEETS COMBO (PACK OF 4)</t>
  </si>
  <si>
    <t>Purging</t>
  </si>
  <si>
    <t>Production Remark</t>
  </si>
  <si>
    <t>SOFTOUCH PERISTALTIC PLUS NIPPLE 1 PC LL</t>
  </si>
  <si>
    <t>Mold No</t>
  </si>
  <si>
    <t>Machine No</t>
  </si>
  <si>
    <t>Plan Hrs</t>
  </si>
  <si>
    <t>Plan Qty</t>
  </si>
  <si>
    <t>Actual output per hr</t>
  </si>
  <si>
    <t>Std Cycle time</t>
  </si>
  <si>
    <t>BM5</t>
  </si>
  <si>
    <t>B1</t>
  </si>
  <si>
    <t>SKU change</t>
  </si>
  <si>
    <t>Drum change</t>
  </si>
  <si>
    <t>Mold cleaning</t>
  </si>
  <si>
    <t>Pin/die cleaning</t>
  </si>
  <si>
    <t>Cavity stopped</t>
  </si>
  <si>
    <t>Process optimization</t>
  </si>
  <si>
    <t>Heater tip cleaning</t>
  </si>
  <si>
    <t>Roll change</t>
  </si>
  <si>
    <t>Total Braekdown Hrs</t>
  </si>
  <si>
    <t>Breakdown(Min)</t>
  </si>
  <si>
    <t>Break down Hrs</t>
  </si>
  <si>
    <t>M1</t>
  </si>
  <si>
    <t>M2</t>
  </si>
  <si>
    <t>BM1</t>
  </si>
  <si>
    <t>BM2</t>
  </si>
  <si>
    <t>BM3</t>
  </si>
  <si>
    <t>BM4</t>
  </si>
  <si>
    <t>Old S-type nipple mold</t>
  </si>
  <si>
    <t>New S-type nipple mold</t>
  </si>
  <si>
    <t>KPP4 120 ml blow mold</t>
  </si>
  <si>
    <t>KPP6 200 ml blow mold</t>
  </si>
  <si>
    <t>KPP8 240 ml blow mold</t>
  </si>
  <si>
    <t>RPP4 120 ml blow mold</t>
  </si>
  <si>
    <t>RPP8 240 ml blow mold</t>
  </si>
  <si>
    <t>L1</t>
  </si>
  <si>
    <t>L2</t>
  </si>
  <si>
    <t>P1</t>
  </si>
  <si>
    <t>WR1</t>
  </si>
  <si>
    <t>LIM machine 1</t>
  </si>
  <si>
    <t>LiM machine 2</t>
  </si>
  <si>
    <t>Blow 1</t>
  </si>
  <si>
    <t>Punching 1</t>
  </si>
  <si>
    <t>PR1</t>
  </si>
  <si>
    <t>Printing 1</t>
  </si>
  <si>
    <t>Wrapping 1</t>
  </si>
  <si>
    <t>Machine Availability</t>
  </si>
  <si>
    <t>Mold Life Details</t>
  </si>
  <si>
    <t>Current Month Mold Shots</t>
  </si>
  <si>
    <t>Balance Life</t>
  </si>
  <si>
    <t>PC1</t>
  </si>
  <si>
    <t>Postcuring</t>
  </si>
  <si>
    <t>Machine Life Details</t>
  </si>
  <si>
    <t>Previous Life Balance</t>
  </si>
  <si>
    <t>OEE</t>
  </si>
  <si>
    <t>Total Running Hrs</t>
  </si>
  <si>
    <t>Plan Qty per Hr</t>
  </si>
  <si>
    <t>TOTAL  QTY/MONTH As Per 8 Hrs</t>
  </si>
  <si>
    <t>TOTAL  QTY/MONTH As Per 12 Hrs</t>
  </si>
  <si>
    <t>TOTAL  QTY/MONTH As Per 16 Hrs</t>
  </si>
  <si>
    <t>TOTAL  QTY/MONTH As Per 24 Hrs</t>
  </si>
  <si>
    <t xml:space="preserve">% Setup rej </t>
  </si>
  <si>
    <t>EXPORT</t>
  </si>
  <si>
    <t>Auto</t>
  </si>
  <si>
    <t>Lunch Tea break</t>
  </si>
  <si>
    <t>Complete Blow Mold Changeover</t>
  </si>
  <si>
    <t>Complete LIM Molding Changeover</t>
  </si>
  <si>
    <t>Blow Mold Changeover</t>
  </si>
  <si>
    <t xml:space="preserve"> LIM Molding Changeover</t>
  </si>
  <si>
    <t>Printing Screen Changeover</t>
  </si>
  <si>
    <t>Unloading</t>
  </si>
  <si>
    <t>Temparature down</t>
  </si>
  <si>
    <t>Temparature down (Standby)</t>
  </si>
  <si>
    <t>Ink remove from screen and screen remove</t>
  </si>
  <si>
    <t>Water drain and tube dismental</t>
  </si>
  <si>
    <t>Chiiler Drain</t>
  </si>
  <si>
    <t>Middle Plate move to cavity side</t>
  </si>
  <si>
    <t xml:space="preserve">Squeeze/Scraper remove </t>
  </si>
  <si>
    <t>Blow mold unloading</t>
  </si>
  <si>
    <t>Heater and tube dismental</t>
  </si>
  <si>
    <t xml:space="preserve">Main part removing </t>
  </si>
  <si>
    <t>Machine cleaning</t>
  </si>
  <si>
    <t>Heat pot unloading</t>
  </si>
  <si>
    <t>Prepare for unload</t>
  </si>
  <si>
    <t>Mold Cleaning</t>
  </si>
  <si>
    <t>Size pin removing</t>
  </si>
  <si>
    <t>Loading</t>
  </si>
  <si>
    <t>Neck Holder Setting/Bottle holder setting</t>
  </si>
  <si>
    <t>Screen arm/Squeeze arm remove</t>
  </si>
  <si>
    <t>Inj core unloading</t>
  </si>
  <si>
    <t>Bolt removing</t>
  </si>
  <si>
    <t>next Size pin fixing</t>
  </si>
  <si>
    <t>Squeeze Change</t>
  </si>
  <si>
    <t>Fixture/Zig Setting</t>
  </si>
  <si>
    <t>Lip mold unloading</t>
  </si>
  <si>
    <t>Unload by crane</t>
  </si>
  <si>
    <t>Main part block fixing</t>
  </si>
  <si>
    <t>Screen Fix/Capacity</t>
  </si>
  <si>
    <t>Screen arm/Squeeze arm Fix</t>
  </si>
  <si>
    <t>Heat core unloading</t>
  </si>
  <si>
    <t>Blow mold loading</t>
  </si>
  <si>
    <t>Middle plate foixed to moving side</t>
  </si>
  <si>
    <t>Snap Off height (Top/Bottom)</t>
  </si>
  <si>
    <t>Blow core unloading</t>
  </si>
  <si>
    <t>Mold lifted and fix</t>
  </si>
  <si>
    <t>Alignment</t>
  </si>
  <si>
    <t>Heating</t>
  </si>
  <si>
    <t xml:space="preserve">Screen Setting </t>
  </si>
  <si>
    <t>Squeeze Setting</t>
  </si>
  <si>
    <t>HR unloading</t>
  </si>
  <si>
    <t>Alignment and clamping and tightening</t>
  </si>
  <si>
    <t>Cableing and piping</t>
  </si>
  <si>
    <t>Zero position</t>
  </si>
  <si>
    <t>Setting for printing</t>
  </si>
  <si>
    <t>Parameter</t>
  </si>
  <si>
    <t>Dry run</t>
  </si>
  <si>
    <t>Final setup</t>
  </si>
  <si>
    <t>Cycle time Set</t>
  </si>
  <si>
    <t>Heater and tube Fixing</t>
  </si>
  <si>
    <t xml:space="preserve">Heating </t>
  </si>
  <si>
    <t>Total time(Min)</t>
  </si>
  <si>
    <t>Screen Setting</t>
  </si>
  <si>
    <t>shot 50%. 70% and full</t>
  </si>
  <si>
    <t>Total time(Hrs)</t>
  </si>
  <si>
    <t>HR loading</t>
  </si>
  <si>
    <t>Manual shot</t>
  </si>
  <si>
    <t>Blow core loading</t>
  </si>
  <si>
    <t>Heat pot core setting</t>
  </si>
  <si>
    <t>Heat core loading</t>
  </si>
  <si>
    <t>Model</t>
  </si>
  <si>
    <t>KPP to KPP and RPP to RPP</t>
  </si>
  <si>
    <t>KPP Domestic to KPP OZ (Vertical)</t>
  </si>
  <si>
    <t>KPP to RPP color</t>
  </si>
  <si>
    <t>Lip mold loading</t>
  </si>
  <si>
    <t>Inj core loading</t>
  </si>
  <si>
    <t>Heat pot loading</t>
  </si>
  <si>
    <t>N/A</t>
  </si>
  <si>
    <t>unloading</t>
  </si>
  <si>
    <t>Pin die damage/Change</t>
  </si>
  <si>
    <t>No Plan</t>
  </si>
  <si>
    <t xml:space="preserve">Manual hole checking </t>
  </si>
  <si>
    <t>DOMESTIC</t>
  </si>
  <si>
    <t>PENDING</t>
  </si>
  <si>
    <t>BC22NaC22PaC22Pb</t>
  </si>
  <si>
    <t>BD26BaD27Pa</t>
  </si>
  <si>
    <t>Dust Problem</t>
  </si>
  <si>
    <t>Scrap ratio</t>
  </si>
  <si>
    <t>Total Material Consumed</t>
  </si>
  <si>
    <t>Scrap</t>
  </si>
  <si>
    <t>ERP ENTRY NO</t>
  </si>
  <si>
    <t>NIPPLE LASER MARKING</t>
  </si>
  <si>
    <t>NIPPLE S TYPE S SIZE PUNCHED LASER MARKED</t>
  </si>
  <si>
    <t>NIPPLE S TYPE M SIZE PUNCHED LASER MARKED</t>
  </si>
  <si>
    <t>NIPPLE S TYPE L SIZE PUNCHED LASER MARKED</t>
  </si>
  <si>
    <t>NIPPLE S TYPE Y SIZE PUNCHED LASER MARKED</t>
  </si>
  <si>
    <t>Nipple LASER</t>
  </si>
  <si>
    <t>Nipple Laser</t>
  </si>
  <si>
    <t>LZ1</t>
  </si>
  <si>
    <t>Lazer 1</t>
  </si>
  <si>
    <t>FO104</t>
  </si>
  <si>
    <t>FO105</t>
  </si>
  <si>
    <t>FO106</t>
  </si>
  <si>
    <t>FO107</t>
  </si>
  <si>
    <t>FO108</t>
  </si>
  <si>
    <t>FO109</t>
  </si>
  <si>
    <t>FO110</t>
  </si>
  <si>
    <t>FO111</t>
  </si>
  <si>
    <t>S-S SIZE</t>
  </si>
  <si>
    <t>S-M SIZE</t>
  </si>
  <si>
    <t>S-L SIZE</t>
  </si>
  <si>
    <t>S-Y SIZE</t>
  </si>
  <si>
    <t>BLOW</t>
  </si>
  <si>
    <t>ITEM</t>
  </si>
  <si>
    <t>REJ</t>
  </si>
  <si>
    <t>REJ %</t>
  </si>
  <si>
    <t>ACHIVE  %</t>
  </si>
  <si>
    <t>PRINTNG</t>
  </si>
  <si>
    <t>LIM</t>
  </si>
  <si>
    <t>POSTCURE</t>
  </si>
  <si>
    <t>PUNCHING</t>
  </si>
  <si>
    <t>LAZER</t>
  </si>
  <si>
    <t>INSPECTION</t>
  </si>
  <si>
    <t>WRAPPING</t>
  </si>
  <si>
    <t>Achieve %</t>
  </si>
  <si>
    <t>Remark</t>
  </si>
  <si>
    <t>PRINTING</t>
  </si>
  <si>
    <t>Blow</t>
  </si>
  <si>
    <t>Printing</t>
  </si>
  <si>
    <t>Bottle Total Rej %</t>
  </si>
  <si>
    <t>Punching</t>
  </si>
  <si>
    <t>Insp</t>
  </si>
  <si>
    <t>Wraping</t>
  </si>
  <si>
    <t>WRAPING</t>
  </si>
  <si>
    <t>Nipple Total Rej %</t>
  </si>
  <si>
    <t>Jan'17</t>
  </si>
  <si>
    <t>Feb'17</t>
  </si>
  <si>
    <t>Mar'17</t>
  </si>
  <si>
    <t>COMMULATIVE</t>
  </si>
  <si>
    <t>Unit</t>
  </si>
  <si>
    <t>Gram/Pcs</t>
  </si>
  <si>
    <t>PRODUCTION QTY</t>
  </si>
  <si>
    <t>PCS</t>
  </si>
  <si>
    <t>GOOD QTY</t>
  </si>
  <si>
    <t>GOOD  RATE  %</t>
  </si>
  <si>
    <t>%</t>
  </si>
  <si>
    <t>LINE REJ-</t>
  </si>
  <si>
    <t>SETUP QTY-</t>
  </si>
  <si>
    <t>QC SAMPLE-</t>
  </si>
  <si>
    <t>REJ RATE</t>
  </si>
  <si>
    <t>KG</t>
  </si>
  <si>
    <t>SETUP REJ RATE</t>
  </si>
  <si>
    <t>QC SAMPLE REJ RATE</t>
  </si>
  <si>
    <t xml:space="preserve">REMAINING DRUM  </t>
  </si>
  <si>
    <t>PURGHING</t>
  </si>
  <si>
    <t xml:space="preserve">MATERIAL USED </t>
  </si>
  <si>
    <t xml:space="preserve">GOOD USED </t>
  </si>
  <si>
    <t>REJECT RATE %</t>
  </si>
  <si>
    <t>SETUP REJ %</t>
  </si>
  <si>
    <t>QC SAMPLE REJ %</t>
  </si>
  <si>
    <t>REMAINING DRUM  %</t>
  </si>
  <si>
    <t>PURCHING %</t>
  </si>
  <si>
    <t>MATERIAL YIELD %</t>
  </si>
  <si>
    <t>ASB 12M</t>
  </si>
  <si>
    <t>KPP4</t>
  </si>
  <si>
    <t>KPP6</t>
  </si>
  <si>
    <t>KPP8</t>
  </si>
  <si>
    <t>RPP4</t>
  </si>
  <si>
    <t>RPP8</t>
  </si>
  <si>
    <t>Drum change data</t>
  </si>
  <si>
    <t>Machine</t>
  </si>
  <si>
    <t>a</t>
  </si>
  <si>
    <t>b</t>
  </si>
  <si>
    <t>g.Total</t>
  </si>
  <si>
    <t>B2</t>
  </si>
  <si>
    <t>FO112</t>
  </si>
  <si>
    <t>RPP 50 ML BOTTLE MOLDED</t>
  </si>
  <si>
    <t>FO113</t>
  </si>
  <si>
    <t>50 ML RPP BOTTLE PRINTED - BIRDS</t>
  </si>
  <si>
    <t>FO114</t>
  </si>
  <si>
    <t>FO115</t>
  </si>
  <si>
    <t>50 ML RPP BOTTLE PRINTED-WHALES</t>
  </si>
  <si>
    <t>50 ML RPP BOTTLE PRINTED - RABBIT</t>
  </si>
  <si>
    <t>BM6</t>
  </si>
  <si>
    <t>BM7</t>
  </si>
  <si>
    <t>RPP2 50ML blow mold</t>
  </si>
  <si>
    <t>KPP8 240 ml blow mold-2</t>
  </si>
  <si>
    <t>Blow 2</t>
  </si>
  <si>
    <t>50 ML RPP BOTTLE PRINTED - WHALES</t>
  </si>
  <si>
    <t>50 ML JUICE BOTTLE MOLDED</t>
  </si>
  <si>
    <t>FO117</t>
  </si>
  <si>
    <t>RPP 240 ML BOTTLE PRINTED-ELEPHANT</t>
  </si>
  <si>
    <t>FO116</t>
  </si>
  <si>
    <t>FO118</t>
  </si>
  <si>
    <t>FO119</t>
  </si>
  <si>
    <t>FO120</t>
  </si>
  <si>
    <t>FO121</t>
  </si>
  <si>
    <t>FO122</t>
  </si>
  <si>
    <t>FO123</t>
  </si>
  <si>
    <t>RPP 120 ML RPP PRINTED ELEPHANT</t>
  </si>
  <si>
    <t>RPP 240 ML RPP PRINTED ELEPHANT</t>
  </si>
  <si>
    <t>RPP 120 ML RPP PRINTED BEE</t>
  </si>
  <si>
    <t>RPP 240 ML RPP PRINTED BEE</t>
  </si>
  <si>
    <t>RPP 120 ML RPP PRINTED LION</t>
  </si>
  <si>
    <t>RPP 240 ML RPP PRINTED DUCK</t>
  </si>
  <si>
    <t>PVA</t>
  </si>
  <si>
    <t>DATA</t>
  </si>
  <si>
    <t>GAP</t>
  </si>
  <si>
    <t>STAGE</t>
  </si>
  <si>
    <t>PROCESS SET UP</t>
  </si>
  <si>
    <t>RPP 240 ML RPP PRINTED GIRAFFE</t>
  </si>
  <si>
    <t>RPP 120 ML RPP PRINTED BUG</t>
  </si>
  <si>
    <t>Lot No.</t>
  </si>
  <si>
    <t>MIDDLE PLATE AND BACK PLATE CLEANING</t>
  </si>
  <si>
    <t>S. No.</t>
  </si>
  <si>
    <t>Std. cycle time</t>
  </si>
  <si>
    <t>Effieciency</t>
  </si>
  <si>
    <t>Quality Ratio</t>
  </si>
  <si>
    <t>Values</t>
  </si>
  <si>
    <t xml:space="preserve"> OEE</t>
  </si>
  <si>
    <t>Plan vs Actual Achievement %</t>
  </si>
  <si>
    <t xml:space="preserve"> Total Good Pc's</t>
  </si>
  <si>
    <t xml:space="preserve"> Plan Qty</t>
  </si>
  <si>
    <t xml:space="preserve"> Plan vs Actual Achievement %</t>
  </si>
  <si>
    <t xml:space="preserve"> Line rej Qty.</t>
  </si>
  <si>
    <t>Rej. %</t>
  </si>
  <si>
    <t>Standard Cycle Time/Piece (In sec.)</t>
  </si>
  <si>
    <t>Actual Cycle Time per Piece 
(in sec.)</t>
  </si>
  <si>
    <t xml:space="preserve"> Actual Cycle Time per Piece </t>
  </si>
  <si>
    <t>S. No</t>
  </si>
  <si>
    <t>Operator Name</t>
  </si>
  <si>
    <t>Sb section</t>
  </si>
  <si>
    <t>Bottle Molding</t>
  </si>
  <si>
    <t>Amit</t>
  </si>
  <si>
    <t>Yatender</t>
  </si>
  <si>
    <t>sunny</t>
  </si>
  <si>
    <t>Postcure</t>
  </si>
  <si>
    <t>Laser Marking</t>
  </si>
  <si>
    <t>Rajni</t>
  </si>
  <si>
    <t>Julie</t>
  </si>
  <si>
    <t>Assembly</t>
  </si>
  <si>
    <t>Present</t>
  </si>
  <si>
    <t>GWR</t>
  </si>
  <si>
    <t>BM</t>
  </si>
  <si>
    <t>BP</t>
  </si>
  <si>
    <t>NPP</t>
  </si>
  <si>
    <t>NLM</t>
  </si>
  <si>
    <t>NI</t>
  </si>
  <si>
    <t>NW</t>
  </si>
  <si>
    <t>AS</t>
  </si>
  <si>
    <t>BOTTLE MOLDING</t>
  </si>
  <si>
    <t>BOTTLE PRINTING</t>
  </si>
  <si>
    <t>NIPPLE MOLDING</t>
  </si>
  <si>
    <t>NIPPLE POSTCURING</t>
  </si>
  <si>
    <t>NIPPLE PUNCHING</t>
  </si>
  <si>
    <t>NIPPLE LASER</t>
  </si>
  <si>
    <t>NIPPLE WRAPING</t>
  </si>
  <si>
    <t>ASSEMBLY</t>
  </si>
  <si>
    <t>AR</t>
  </si>
  <si>
    <t xml:space="preserve">NP </t>
  </si>
  <si>
    <t>Rework</t>
  </si>
  <si>
    <t xml:space="preserve">                                                                                                                                                                                                                                                                                                                                                                                                                                                                                                  </t>
  </si>
  <si>
    <t>NP</t>
  </si>
  <si>
    <t>Monika</t>
  </si>
  <si>
    <t>Manisha</t>
  </si>
  <si>
    <t>Shashi</t>
  </si>
  <si>
    <t>A</t>
  </si>
  <si>
    <t>Nikita</t>
  </si>
  <si>
    <t>Auxiliary issue</t>
  </si>
  <si>
    <t>FO125</t>
  </si>
  <si>
    <t>FO124</t>
  </si>
  <si>
    <t>SQUEEZABLE -RPP 240ML PP BOTTLE MOULDED</t>
  </si>
  <si>
    <t>SQUEEZABLE -RPP 240ML PP BOTTLE PRINTED</t>
  </si>
  <si>
    <t>FO130</t>
  </si>
  <si>
    <t>Hood</t>
  </si>
  <si>
    <t>HOOD</t>
  </si>
  <si>
    <t>HOOD MOULDED</t>
  </si>
  <si>
    <t>HDG24NaG24PaG29Pa</t>
  </si>
  <si>
    <t>Geeta</t>
  </si>
  <si>
    <t>Ankush</t>
  </si>
  <si>
    <t>Nipple online inspection</t>
  </si>
  <si>
    <t>NMI</t>
  </si>
  <si>
    <t>Nipple Punching</t>
  </si>
  <si>
    <t>Amresh</t>
  </si>
  <si>
    <t>Nipple Inspection offline</t>
  </si>
  <si>
    <t>Aarti</t>
  </si>
  <si>
    <t>G</t>
  </si>
  <si>
    <t>B</t>
  </si>
  <si>
    <t>Brij lal</t>
  </si>
  <si>
    <t>Lokesh</t>
  </si>
  <si>
    <t>Rinku</t>
  </si>
  <si>
    <t>HM</t>
  </si>
  <si>
    <t xml:space="preserve">Average of Actual Cycle Time per Piece </t>
  </si>
  <si>
    <t>Sandeep-2</t>
  </si>
  <si>
    <t>Anshul</t>
  </si>
  <si>
    <t>Jitender</t>
  </si>
  <si>
    <t>Vaishali</t>
  </si>
  <si>
    <t>Nidhi</t>
  </si>
  <si>
    <t>HOOD MOLDING</t>
  </si>
  <si>
    <t>Ramesh Kumar</t>
  </si>
  <si>
    <t xml:space="preserve">Parvinder </t>
  </si>
  <si>
    <t>DJ24Ba1</t>
  </si>
  <si>
    <t>DJ22BB2J24PA</t>
  </si>
  <si>
    <t>Bin no</t>
  </si>
  <si>
    <t>Ok Qty</t>
  </si>
  <si>
    <t>Dust Ng</t>
  </si>
  <si>
    <t>Scratch mark</t>
  </si>
  <si>
    <t>Flow mark</t>
  </si>
  <si>
    <t>Total Qty</t>
  </si>
  <si>
    <t>Stringe</t>
  </si>
  <si>
    <t>Remark:- total setup Qty =37 (23 bottle and 14 Preform)</t>
  </si>
  <si>
    <t>QC semple =08 Pcs</t>
  </si>
  <si>
    <t>24-10-2020</t>
  </si>
  <si>
    <t>KPP-8 BOTTLE (FO044) TRIAL WMG3B BLOW 2ND MACHINE</t>
  </si>
  <si>
    <t>DJ24Bb2</t>
  </si>
  <si>
    <t>Silicon cutting issue</t>
  </si>
  <si>
    <t>P750J(Hood)</t>
  </si>
  <si>
    <t>P750J(Bottle)</t>
  </si>
  <si>
    <t>-</t>
  </si>
  <si>
    <t>LIM 
MACHINE</t>
  </si>
  <si>
    <t>NIPPLE Size (S,M,L,Y)</t>
  </si>
  <si>
    <t>Material Type</t>
  </si>
  <si>
    <t>Product wt.</t>
  </si>
  <si>
    <t>Month</t>
  </si>
  <si>
    <t>Molded</t>
  </si>
  <si>
    <t>HQ data</t>
  </si>
  <si>
    <t>HOOD INJECTION MACHINE</t>
  </si>
  <si>
    <t>SLIM NECK</t>
  </si>
  <si>
    <t>RPP8(SQ)</t>
  </si>
  <si>
    <t>50ML</t>
  </si>
  <si>
    <t>NIPPLE INJECTION (Silicon)</t>
  </si>
  <si>
    <t>BOTTLE MOLDING (PP-WMG3B)</t>
  </si>
  <si>
    <t xml:space="preserve">Setup </t>
  </si>
  <si>
    <t>Setup%</t>
  </si>
  <si>
    <t>Twinkle</t>
  </si>
  <si>
    <t>Soni Pal</t>
  </si>
  <si>
    <t xml:space="preserve">Soni </t>
  </si>
  <si>
    <t>HMC</t>
  </si>
  <si>
    <t>Hood Moulded</t>
  </si>
  <si>
    <t>C</t>
  </si>
  <si>
    <t>KPP4_H</t>
  </si>
  <si>
    <t>KPP6_H</t>
  </si>
  <si>
    <t>KPP8_H</t>
  </si>
  <si>
    <t>RPP4_H</t>
  </si>
  <si>
    <t>RPP8_H</t>
  </si>
  <si>
    <t>RPP2_H</t>
  </si>
  <si>
    <t>MATERIAL YIELD TARGET</t>
  </si>
  <si>
    <t>Heating ON/OFF</t>
  </si>
  <si>
    <t>Sl.</t>
  </si>
  <si>
    <t>Date</t>
  </si>
  <si>
    <t>SKU Description</t>
  </si>
  <si>
    <t>Okay Qty.</t>
  </si>
  <si>
    <t>Purge Material (in Kg.)</t>
  </si>
  <si>
    <t>Set Up Rejection</t>
  </si>
  <si>
    <t>Line Rejection</t>
  </si>
  <si>
    <t>QC Sample</t>
  </si>
  <si>
    <t>Set Up Rej. %</t>
  </si>
  <si>
    <t>Line Rejection %</t>
  </si>
  <si>
    <t>NIPPLE S TYPE Y SIZE MOULDED</t>
  </si>
  <si>
    <t>09.02.2021</t>
  </si>
  <si>
    <t>NIPPLE S TYPE L SIZE MOULDED</t>
  </si>
  <si>
    <t>10.02.2021</t>
  </si>
  <si>
    <t>12.02.2021</t>
  </si>
  <si>
    <t>16.02.2021</t>
  </si>
  <si>
    <t>17.02.2021</t>
  </si>
  <si>
    <t>NIPPLE S TYPE M SIZE MOULDED</t>
  </si>
  <si>
    <t>18.02.2021</t>
  </si>
  <si>
    <t>NIPPLE S TYPE S SIZE MOULDED</t>
  </si>
  <si>
    <t>19.02.2021</t>
  </si>
  <si>
    <t>NIPPLE S TYPE LL SIZE MOULDED</t>
  </si>
  <si>
    <t>FO136</t>
  </si>
  <si>
    <t>NIPPLE S TYPE LL SIZE INJECTION</t>
  </si>
  <si>
    <t>S-LL Size</t>
  </si>
  <si>
    <t>NIPPLE S TYPE LL SIZE POSTCURED</t>
  </si>
  <si>
    <t>NIPPLE S TYPE LL SIZE PUNCHED</t>
  </si>
  <si>
    <t>NIPPLE S TYPE LL SIZE LASER MARKED</t>
  </si>
  <si>
    <t>NIPPLE S TYPE LL SIZE INSPECTED</t>
  </si>
  <si>
    <t>FO141</t>
  </si>
  <si>
    <t>NIPPLE S TYPE LL SIZE WRAPPED</t>
  </si>
  <si>
    <t>S-LL SIZE</t>
  </si>
  <si>
    <t>MM</t>
  </si>
  <si>
    <t>MOULD MAINTENANCE</t>
  </si>
  <si>
    <t>Bulbul</t>
  </si>
  <si>
    <t>Shivani</t>
  </si>
  <si>
    <t>Vikram</t>
  </si>
  <si>
    <t>MP SHORT/NEW MP</t>
  </si>
  <si>
    <t>Oil Temp High Issue</t>
  </si>
  <si>
    <t xml:space="preserve">Trainings/Medical Checkup </t>
  </si>
  <si>
    <t>M/c No</t>
  </si>
  <si>
    <t>WR</t>
  </si>
  <si>
    <t>Wrapping</t>
  </si>
  <si>
    <t>Hood Molded</t>
  </si>
  <si>
    <t>FO142</t>
  </si>
  <si>
    <t>FO143</t>
  </si>
  <si>
    <t>FO144</t>
  </si>
  <si>
    <t>FO145</t>
  </si>
  <si>
    <t>FO146</t>
  </si>
  <si>
    <t>CAP S TYPE MOLDED RED</t>
  </si>
  <si>
    <t>CAP S TYPE MOLDED BLUE</t>
  </si>
  <si>
    <t>CAP S TYPE MOLDED PINK</t>
  </si>
  <si>
    <t>CAP S TYPE MOLDED PALE BLUE</t>
  </si>
  <si>
    <t>CAP S TYPE MOLDED WHITE</t>
  </si>
  <si>
    <t>CAP S TYPE MOLDED YELLOW</t>
  </si>
  <si>
    <t>FO147</t>
  </si>
  <si>
    <t>CAP</t>
  </si>
  <si>
    <t>CAP Molded</t>
  </si>
  <si>
    <t>CAP MOLDED</t>
  </si>
  <si>
    <t>RM000123</t>
  </si>
  <si>
    <t>RM000112</t>
  </si>
  <si>
    <t>RM000114</t>
  </si>
  <si>
    <t>RM000115</t>
  </si>
  <si>
    <t>RM000107</t>
  </si>
  <si>
    <t>RM000106</t>
  </si>
  <si>
    <t>CAP_RED</t>
  </si>
  <si>
    <t>CAP_PINK</t>
  </si>
  <si>
    <t>CAP_BLUE</t>
  </si>
  <si>
    <t>CAP_PALE BLUE</t>
  </si>
  <si>
    <t>CAP_WHITE</t>
  </si>
  <si>
    <t>CAP_YELLOW</t>
  </si>
  <si>
    <t>HOOD MOLDED</t>
  </si>
  <si>
    <t>HEE25NcE26Pa</t>
  </si>
  <si>
    <t>HEE26NaE26Pb</t>
  </si>
  <si>
    <t>0738/0739</t>
  </si>
  <si>
    <t>HEE26NcE27Pa</t>
  </si>
  <si>
    <t>0752</t>
  </si>
  <si>
    <t>BOTTLE MOLDING ( PP-RP348N HMC)</t>
  </si>
  <si>
    <t>HOOD INJECTION (RP348N HMC)</t>
  </si>
  <si>
    <t>Cap Injection machine</t>
  </si>
  <si>
    <t>Total production</t>
  </si>
  <si>
    <t>Yield Ratio</t>
  </si>
  <si>
    <t>Ok consumed material</t>
  </si>
  <si>
    <t>Total Consumed material</t>
  </si>
  <si>
    <t>Cap</t>
  </si>
  <si>
    <t>P700J</t>
  </si>
  <si>
    <t>PP-P700J</t>
  </si>
  <si>
    <t>PB-201</t>
  </si>
  <si>
    <t>PP-HMC</t>
  </si>
  <si>
    <t>PP-WMG3B</t>
  </si>
  <si>
    <t>Material changeover</t>
  </si>
  <si>
    <t xml:space="preserve">Mold &amp; Filter cleaning </t>
  </si>
  <si>
    <t>HOOD S TYPE MOLDED</t>
  </si>
  <si>
    <t>MATERIAL SHORT/MATERIAL RECHECKING</t>
  </si>
  <si>
    <t>printed Bottle cleaning</t>
  </si>
  <si>
    <t>Anju</t>
  </si>
  <si>
    <t>Tabssum</t>
  </si>
  <si>
    <t>Ruksana</t>
  </si>
  <si>
    <t>Resmina</t>
  </si>
  <si>
    <t>Lauxmi</t>
  </si>
  <si>
    <t>Komal</t>
  </si>
  <si>
    <t>Heat Test</t>
  </si>
  <si>
    <t>ISI PRINTING</t>
  </si>
  <si>
    <t>Trial</t>
  </si>
  <si>
    <t>HEH02Nb</t>
  </si>
  <si>
    <t>2176</t>
  </si>
  <si>
    <t>Nipple sticking at cavity due to polishing done during this preventive maintenance</t>
  </si>
  <si>
    <t>EH02Bb1</t>
  </si>
  <si>
    <t>2175/2177</t>
  </si>
  <si>
    <t>Condensation,Fume,Bubble at thread area replaced with old lip cavity</t>
  </si>
  <si>
    <t>HEH02NbH02Pb</t>
  </si>
  <si>
    <t>2178</t>
  </si>
  <si>
    <t>HEH02Nc</t>
  </si>
  <si>
    <t>Drum Change over</t>
  </si>
  <si>
    <t>EH02BC1</t>
  </si>
  <si>
    <t>2179</t>
  </si>
  <si>
    <t>HEH02NbH02PbH03Pa</t>
  </si>
  <si>
    <t>Material short from postcure stage</t>
  </si>
  <si>
    <t>Yield Ratio August-2021</t>
  </si>
  <si>
    <t>Rejection Ratio August-2021</t>
  </si>
  <si>
    <t>Scrap Ratio August-2021</t>
  </si>
  <si>
    <t>Section wise Plan vs Actual  August-2021</t>
  </si>
  <si>
    <t>Aug</t>
  </si>
  <si>
    <t>EH03Ba1</t>
  </si>
  <si>
    <t>4 time back plate open to cleane round block due to whit spot issue</t>
  </si>
  <si>
    <t>ERP Entry pending due to material not issue in erp</t>
  </si>
  <si>
    <t>HEH03NaH03Pb</t>
  </si>
  <si>
    <t>HEH03Nb</t>
  </si>
  <si>
    <t>EH03Bb1</t>
  </si>
  <si>
    <t>HEH02NcH03PbH03Pb</t>
  </si>
  <si>
    <t>2186/2187</t>
  </si>
  <si>
    <t>2183/2184/2185/2189</t>
  </si>
  <si>
    <t>Material short in ERP.</t>
  </si>
  <si>
    <t>EH03Bc1</t>
  </si>
  <si>
    <t>FR101 Material short in ERP</t>
  </si>
  <si>
    <t>HEH03Nc</t>
  </si>
  <si>
    <t>2190</t>
  </si>
  <si>
    <t>HEH03NaH03PbH04Pa</t>
  </si>
  <si>
    <t>EH04Ba1</t>
  </si>
  <si>
    <t>HEH04Na</t>
  </si>
  <si>
    <t>2191/2192</t>
  </si>
  <si>
    <t>Lot qty pending , 300 pcs punched handover to next shift</t>
  </si>
  <si>
    <t xml:space="preserve">Thickness issue coming </t>
  </si>
  <si>
    <t>Material short in punching stage</t>
  </si>
  <si>
    <t>EH04Bb1</t>
  </si>
  <si>
    <t>Thickness issue coming and heat test fail.</t>
  </si>
  <si>
    <t>2198/2199/2200</t>
  </si>
  <si>
    <t>HEH03NbH04PbH04Pb</t>
  </si>
  <si>
    <t>HEH03NbH04Pb</t>
  </si>
  <si>
    <t>2202/2203/2204</t>
  </si>
  <si>
    <t>HEH04Nb</t>
  </si>
  <si>
    <t>2206/2207/2208</t>
  </si>
  <si>
    <t>EH04Bc1</t>
  </si>
  <si>
    <t>HEH04Nc</t>
  </si>
  <si>
    <t>Monthly plan completed</t>
  </si>
  <si>
    <t>HEH05Na</t>
  </si>
  <si>
    <t>HEH04NbH05Pa</t>
  </si>
  <si>
    <t>HEH04NaH04Pb</t>
  </si>
  <si>
    <t>INJ-1</t>
  </si>
  <si>
    <t>2216/2217</t>
  </si>
  <si>
    <t>CM</t>
  </si>
  <si>
    <t>DA30Ba2EG05Pa</t>
  </si>
  <si>
    <t>2220/2221/2222/2223</t>
  </si>
  <si>
    <t>HEH05Nb</t>
  </si>
  <si>
    <t>Production loss due to middle plate and back plate cleaning.</t>
  </si>
  <si>
    <t>EH05CRa</t>
  </si>
  <si>
    <t>HEH04NbH05PaH05Pb</t>
  </si>
  <si>
    <t>HEH04NbH05Pb</t>
  </si>
  <si>
    <t>2224/2225/2226</t>
  </si>
  <si>
    <t>2227/2229</t>
  </si>
  <si>
    <t>EH05Bb2</t>
  </si>
  <si>
    <t>HEH05Nc</t>
  </si>
  <si>
    <t>EH05Bc2</t>
  </si>
  <si>
    <t>EH05CRc</t>
  </si>
  <si>
    <t>2231</t>
  </si>
  <si>
    <t>2233/2234</t>
  </si>
  <si>
    <t>HEH06Na</t>
  </si>
  <si>
    <t>EH06CRa</t>
  </si>
  <si>
    <t>EH06Ba1</t>
  </si>
  <si>
    <t>Material drum change over and middle plate and back plate cleane 2 time due to bubble and deformation issue</t>
  </si>
  <si>
    <t>EH06Bb2</t>
  </si>
  <si>
    <t>2242/2243</t>
  </si>
  <si>
    <t>EH05Bc2H06Pa</t>
  </si>
  <si>
    <t>SKU change over FO113 to FO048 total loss time 80 min .</t>
  </si>
  <si>
    <t>HEH04NaH04PbH05Pb</t>
  </si>
  <si>
    <t>After SKU change sample give to QC for heat test,heat test pass than start mass prodcution.major issue prifrom sticking.</t>
  </si>
  <si>
    <t>2245/2246/2247</t>
  </si>
  <si>
    <t>HEH06Nb</t>
  </si>
  <si>
    <t>EH06CRb</t>
  </si>
  <si>
    <t>HEH05NaH06Pb</t>
  </si>
  <si>
    <t>HEH05NaH06PbH06Pb</t>
  </si>
  <si>
    <t>Machine stop due to center hole reading issue total loss time 60 min.</t>
  </si>
  <si>
    <t>2251/2252</t>
  </si>
  <si>
    <t>2248/2249/2250</t>
  </si>
  <si>
    <t>HEH06Nc</t>
  </si>
  <si>
    <t>EH06Bc2</t>
  </si>
  <si>
    <t>EH06CRc</t>
  </si>
  <si>
    <t>2254</t>
  </si>
  <si>
    <t>2255</t>
  </si>
  <si>
    <t>SKU Change from "M" size to "S" size.</t>
  </si>
  <si>
    <t>SKU change from FO142 to FO143</t>
  </si>
  <si>
    <t>EH07Ca</t>
  </si>
  <si>
    <t>HEH06NbH07Pa</t>
  </si>
  <si>
    <t>HEH06NcH07Pa</t>
  </si>
  <si>
    <t>EH07Ba2</t>
  </si>
  <si>
    <t>HEH07Na</t>
  </si>
  <si>
    <t>2264/2265/2266</t>
  </si>
  <si>
    <t>HEH05NbH06PbH07Pa</t>
  </si>
  <si>
    <t>2268/2269</t>
  </si>
  <si>
    <t>2 Time machine stop due to cleane lip cavity air vent to avoid fume and polish cavity B due to scratch mark coming in B cavity.</t>
  </si>
  <si>
    <t>2267/2273</t>
  </si>
  <si>
    <t>HEH05NaH05PbH06Pb</t>
  </si>
  <si>
    <t>EH06Bb2H07Pa</t>
  </si>
  <si>
    <t>EH05Bc2H07Pa</t>
  </si>
  <si>
    <t>EG20Ba1H07Pa</t>
  </si>
  <si>
    <t>HEH05NcH07Pa</t>
  </si>
  <si>
    <t>2276/2279/2280</t>
  </si>
  <si>
    <t>2277/2278/2281</t>
  </si>
  <si>
    <t>Lot qty pending , 500 pcs punched handover to next shift</t>
  </si>
  <si>
    <t>EH07CRa</t>
  </si>
  <si>
    <t>HEH07Nb</t>
  </si>
  <si>
    <t>EH07Bb2</t>
  </si>
  <si>
    <t>HEH07Nc</t>
  </si>
  <si>
    <t>EH07Bc2</t>
  </si>
  <si>
    <t>EH07Cc</t>
  </si>
  <si>
    <t>EH07CRc</t>
  </si>
  <si>
    <t>CAP/Hood Moulding</t>
  </si>
  <si>
    <t>IMM</t>
  </si>
  <si>
    <t>Amit (New)</t>
  </si>
  <si>
    <t>Mohit</t>
  </si>
  <si>
    <t>Vikrant</t>
  </si>
  <si>
    <t>CAP/HOOD MOULDING</t>
  </si>
  <si>
    <t>HEH09Na</t>
  </si>
  <si>
    <t>EH09Ba2</t>
  </si>
  <si>
    <t>EH09Ca</t>
  </si>
  <si>
    <t>HEH07NaH09Pa</t>
  </si>
  <si>
    <t>HEH06NbH07PaH09Pa</t>
  </si>
  <si>
    <t>HEH06NcH07PaH09Pa</t>
  </si>
  <si>
    <t>Time loss due to heating stability</t>
  </si>
  <si>
    <t>Start-up and machine start after heat test result</t>
  </si>
  <si>
    <t>Process start-up</t>
  </si>
  <si>
    <t>Callibration of punching machine</t>
  </si>
  <si>
    <t>EH02Bc1H09Pa</t>
  </si>
  <si>
    <t>HEH06NaH07PaH07Pb</t>
  </si>
  <si>
    <t>2299/2300</t>
  </si>
  <si>
    <t>2301/2302</t>
  </si>
  <si>
    <t>EH09Bb2</t>
  </si>
  <si>
    <t>HEH09Nb</t>
  </si>
  <si>
    <t>HEH06NcH07PaH09Pb</t>
  </si>
  <si>
    <t>EH09CRb</t>
  </si>
  <si>
    <t>HEH07NbH09Pb</t>
  </si>
  <si>
    <t>2298/2305</t>
  </si>
  <si>
    <t>2306/2307/2308</t>
  </si>
  <si>
    <t>HEH09NaH09Pc</t>
  </si>
  <si>
    <t>Plan complete as per material availability</t>
  </si>
  <si>
    <t>HEH09Nc</t>
  </si>
  <si>
    <t>EH09Bc2</t>
  </si>
  <si>
    <t>2309/2310/2312</t>
  </si>
  <si>
    <t>machine stop 4 time to cleane lip cavity due to fume issue.</t>
  </si>
  <si>
    <t>2313\2321</t>
  </si>
  <si>
    <t>EH10Ca</t>
  </si>
  <si>
    <t>HEH10Na</t>
  </si>
  <si>
    <t>2327</t>
  </si>
  <si>
    <t>2328/2329</t>
  </si>
  <si>
    <t>HEH07NbH09Pa</t>
  </si>
  <si>
    <t>EH10CRa</t>
  </si>
  <si>
    <t>EH09CRc</t>
  </si>
  <si>
    <t>EH06Bb2H10Pa</t>
  </si>
  <si>
    <t>HEH07NaH09PaH09Pb</t>
  </si>
  <si>
    <t>HEH07NcH09PbH10Pb</t>
  </si>
  <si>
    <t>HEH10Nb</t>
  </si>
  <si>
    <t>HEH09NcH10Pb</t>
  </si>
  <si>
    <t>2332/2333/2334</t>
  </si>
  <si>
    <t>EH10CRb</t>
  </si>
  <si>
    <t>2331/2337</t>
  </si>
  <si>
    <t>2335/2336/2339</t>
  </si>
  <si>
    <t>2338/2340</t>
  </si>
  <si>
    <t>EH05Ca</t>
  </si>
  <si>
    <t>EH10Bc2</t>
  </si>
  <si>
    <t>HEH10Nc</t>
  </si>
  <si>
    <t>EH10Cc</t>
  </si>
  <si>
    <t>HEH10NbH10Pc</t>
  </si>
  <si>
    <t>Machine start after heat test pass , scratch mark isuue so polishing done , at 5 am water lekage happen from pu tube of inj MTC.</t>
  </si>
  <si>
    <t>Plan completed so material change in BLUE .</t>
  </si>
  <si>
    <t>Plan completed as per material availibility</t>
  </si>
  <si>
    <t>2342/2343</t>
  </si>
  <si>
    <t>SKU change over FO048 to FO113 total loss time 220 min .</t>
  </si>
  <si>
    <t>HEH11Na</t>
  </si>
  <si>
    <t>HEH09NbH09Pc</t>
  </si>
  <si>
    <t>2357/2358</t>
  </si>
  <si>
    <t>EH11Ca</t>
  </si>
  <si>
    <t>HEH10NcH11Pa</t>
  </si>
  <si>
    <t>2361/2362</t>
  </si>
  <si>
    <t>EH07Ba1H11Pa</t>
  </si>
  <si>
    <t>HEH09NaH09PaH10Pb</t>
  </si>
  <si>
    <t>2364/2365</t>
  </si>
  <si>
    <t>HEH11NaH11Pb</t>
  </si>
  <si>
    <t>2366/2367/2368</t>
  </si>
  <si>
    <t>HEH11Nb</t>
  </si>
  <si>
    <t>EH11Cb</t>
  </si>
  <si>
    <t>EH11CRb</t>
  </si>
  <si>
    <t>EH11Bc1</t>
  </si>
  <si>
    <t>Machine start after heat test pass , thickness issue coming so adjut parameters but no major improvement coming after that change inj core cooling pipe fan type to round and againe sample given for heat test , heat test result is fail 3 time.</t>
  </si>
  <si>
    <t>HEH11Nc</t>
  </si>
  <si>
    <t>HEH11NCH11PC</t>
  </si>
  <si>
    <t>EH11CRc</t>
  </si>
  <si>
    <t>2375/2376</t>
  </si>
  <si>
    <t>HEH12Na</t>
  </si>
  <si>
    <t>HEH10NcH10PcH12Pa</t>
  </si>
  <si>
    <t>2385/2386</t>
  </si>
  <si>
    <t>EH12Ba2</t>
  </si>
  <si>
    <t>2387</t>
  </si>
  <si>
    <t>2388</t>
  </si>
  <si>
    <t>EH12Ca</t>
  </si>
  <si>
    <t>EH12CRa</t>
  </si>
  <si>
    <t>HEH10NaH10PbH11Pb</t>
  </si>
  <si>
    <t>EH12Bb2</t>
  </si>
  <si>
    <t>HEH10NcH10PcH12Pb</t>
  </si>
  <si>
    <t>2389/2392</t>
  </si>
  <si>
    <t>HEH12Nb</t>
  </si>
  <si>
    <t>2390/2391/2393</t>
  </si>
  <si>
    <t>EH12Cb</t>
  </si>
  <si>
    <t>Setup rejection high due 240 ml bottle yestraday 03 time heat test fail and thickness issue problem coming in bottle .</t>
  </si>
  <si>
    <t>2396/2397/2398</t>
  </si>
  <si>
    <t>HEH11NcH12Pc</t>
  </si>
  <si>
    <t>HEH12Nc</t>
  </si>
  <si>
    <t>EH12Bc2</t>
  </si>
  <si>
    <t>EH12CRc</t>
  </si>
  <si>
    <t>EG21Bc2H12Pa</t>
  </si>
  <si>
    <t>FO008 to FO089 total time</t>
  </si>
  <si>
    <t>SKU change over FO007 to Fo008</t>
  </si>
  <si>
    <t>HEH12NcH13Pa</t>
  </si>
  <si>
    <t>EH13CRc</t>
  </si>
  <si>
    <t>EH13Cc</t>
  </si>
  <si>
    <t>EH13Ba2</t>
  </si>
  <si>
    <t>HEH13Na</t>
  </si>
  <si>
    <t>HEH11NaH11PbH13Pa</t>
  </si>
  <si>
    <t>2413/2414/2415</t>
  </si>
  <si>
    <t>2411/2417</t>
  </si>
  <si>
    <t>Set up rejection high due to thread going insde the barrel during feed the material.</t>
  </si>
  <si>
    <t>HEH11NaH11PbH12Pb</t>
  </si>
  <si>
    <t>EG21Bc2H13Pa</t>
  </si>
  <si>
    <t>EH12Bb2H13Pa</t>
  </si>
  <si>
    <t>SKU changeover FO089 to FO008 total time 80 min and pigeon logo whaiteness .issue and print cat problem.</t>
  </si>
  <si>
    <t xml:space="preserve">                                                                                                                                                                                     </t>
  </si>
  <si>
    <t>2426/2427</t>
  </si>
  <si>
    <t>EH13Cb</t>
  </si>
  <si>
    <t>Plan completed sku change FO144 to FO145</t>
  </si>
  <si>
    <t>EH13Bb2</t>
  </si>
  <si>
    <t>HEH13Nb</t>
  </si>
  <si>
    <t>HEH12NaH12PcH13Pb</t>
  </si>
  <si>
    <t>2428/2429</t>
  </si>
  <si>
    <t>EH13Bc2</t>
  </si>
  <si>
    <t>HEH13Nc</t>
  </si>
  <si>
    <t>HEH13NaH13Pc</t>
  </si>
  <si>
    <t>2432</t>
  </si>
  <si>
    <t>2433</t>
  </si>
  <si>
    <t>2434/2435/2436</t>
  </si>
  <si>
    <t>HEH17Na</t>
  </si>
  <si>
    <t>HEH17NaH17Pa</t>
  </si>
  <si>
    <t>EH17Ba2</t>
  </si>
  <si>
    <t>2449/2450</t>
  </si>
  <si>
    <t>2451</t>
  </si>
  <si>
    <t>EH17Ca</t>
  </si>
  <si>
    <t>HEH12NaH12PcH17Pa</t>
  </si>
  <si>
    <t>HIMANI</t>
  </si>
  <si>
    <t>KAJAL</t>
  </si>
  <si>
    <t>REKHA</t>
  </si>
  <si>
    <t>EH12Bc2H17Pa</t>
  </si>
  <si>
    <t>HEG14CG22</t>
  </si>
  <si>
    <t>HEH11NcH11PcH13Pa</t>
  </si>
  <si>
    <t>HEH17NbH17Pb</t>
  </si>
  <si>
    <t>2459/2460/2461</t>
  </si>
  <si>
    <t>2462/2463/2464</t>
  </si>
  <si>
    <t>HEH17Nb</t>
  </si>
  <si>
    <t>EH17Bb2</t>
  </si>
  <si>
    <t>LZR</t>
  </si>
  <si>
    <t>HEH12NcH13PaH17Pb</t>
  </si>
  <si>
    <t>HEH12BG22</t>
  </si>
  <si>
    <t>2466/2467</t>
  </si>
  <si>
    <t>EH17Cb</t>
  </si>
  <si>
    <t>EH17CRb</t>
  </si>
  <si>
    <t>2465/2468</t>
  </si>
  <si>
    <t>2470/2471</t>
  </si>
  <si>
    <t>Laser machine start in 3:00 pm 60 min loss due to machine setup . Laser marking start Lot.No(HEH12BG22)</t>
  </si>
  <si>
    <t>EH17Cc</t>
  </si>
  <si>
    <t>EH17CRc</t>
  </si>
  <si>
    <t>HEH17Nc</t>
  </si>
  <si>
    <t>EH17Bc2</t>
  </si>
  <si>
    <t>Material drum change over and middle plate cleane</t>
  </si>
  <si>
    <t>Production loss due to wrapping film poly open and poly fold (Nipple Fold)  issue total loss time 80 min.</t>
  </si>
  <si>
    <t>Material change over Pale blue to white due to Pale Blue cap plan completed</t>
  </si>
  <si>
    <t>Plan completed</t>
  </si>
  <si>
    <t>Lip cavity cleaning done</t>
  </si>
  <si>
    <t>2473/2475</t>
  </si>
  <si>
    <t>HEH18Na</t>
  </si>
  <si>
    <t>EH18Ba2</t>
  </si>
  <si>
    <t>HEH13NbH13PcH17Pa</t>
  </si>
  <si>
    <t>2482/2483</t>
  </si>
  <si>
    <t>HEH17NbH18PC</t>
  </si>
  <si>
    <t>2487/2488</t>
  </si>
  <si>
    <t>HEH12CG22</t>
  </si>
  <si>
    <t>New manpower on machine</t>
  </si>
  <si>
    <t>heat mark and fume issue is major</t>
  </si>
  <si>
    <t>EH18Ca</t>
  </si>
  <si>
    <t>HEH12NbH12PcH17Pb</t>
  </si>
  <si>
    <t>Material short in laser stage.</t>
  </si>
  <si>
    <t>HEG22AG22</t>
  </si>
  <si>
    <t>Rejection qty haigh due to wrapping film poly open and poly fold (Nipple Fold)  issue.</t>
  </si>
  <si>
    <t>2491/2492/2493/2494</t>
  </si>
  <si>
    <t>EH13Ba2H18Pa</t>
  </si>
  <si>
    <t>Scale 240 ml shaddow issue screen changeover total loss time 120 min.</t>
  </si>
  <si>
    <t>HEH13NbH13PcH18Pb</t>
  </si>
  <si>
    <t>HEH13BG22</t>
  </si>
  <si>
    <t>2495/2496</t>
  </si>
  <si>
    <t>HEH17NcH187Pb</t>
  </si>
  <si>
    <t>2498/2499</t>
  </si>
  <si>
    <t>HEH18Nb</t>
  </si>
  <si>
    <t>EH18Bb2</t>
  </si>
  <si>
    <t>2497/2500</t>
  </si>
  <si>
    <t>EH18Cb</t>
  </si>
  <si>
    <t>EH18CRb</t>
  </si>
  <si>
    <t>FO148</t>
  </si>
  <si>
    <t>FO149</t>
  </si>
  <si>
    <t>FO150</t>
  </si>
  <si>
    <t>FO151</t>
  </si>
  <si>
    <t>FO152</t>
  </si>
  <si>
    <t>FO153</t>
  </si>
  <si>
    <t>EH18CRc</t>
  </si>
  <si>
    <t>HEH18Nc</t>
  </si>
  <si>
    <t>EH18Bc2</t>
  </si>
  <si>
    <t>HEH18NbH18Pc</t>
  </si>
  <si>
    <t>2503/2504</t>
  </si>
  <si>
    <t>SKU change FO011 (S SIZE)  TO FO148 (LL SIZE)</t>
  </si>
  <si>
    <t>Rejection inctease after filter clening due to Dust .</t>
  </si>
  <si>
    <t>EH19Ba2</t>
  </si>
  <si>
    <t>2525</t>
  </si>
  <si>
    <t>HEH19Na</t>
  </si>
  <si>
    <t>HEH17NbH17PbH19Pa</t>
  </si>
  <si>
    <t>HEH13CG22</t>
  </si>
  <si>
    <t>2537/2538</t>
  </si>
  <si>
    <t>HED23G22</t>
  </si>
  <si>
    <t>HEH13NaH13PcH17Pa</t>
  </si>
  <si>
    <t>HEH13Bc2H19Pa</t>
  </si>
  <si>
    <t>EH19Bb2</t>
  </si>
  <si>
    <t>HEH17NbH18PaH19Pb</t>
  </si>
  <si>
    <t>HEH19Nb</t>
  </si>
  <si>
    <t>HEH18NcH19Pb</t>
  </si>
  <si>
    <t>2552/2553</t>
  </si>
  <si>
    <t>2527/2528/2529</t>
  </si>
  <si>
    <t>2558/2559/2560</t>
  </si>
  <si>
    <t>2555/2556/2557</t>
  </si>
  <si>
    <t>2561/2562/2563/2564</t>
  </si>
  <si>
    <t>HEH19Nc</t>
  </si>
  <si>
    <t>EH19Bc2</t>
  </si>
  <si>
    <t>EH19Hc</t>
  </si>
  <si>
    <t>HEH19NbH19Pc</t>
  </si>
  <si>
    <t>2554</t>
  </si>
  <si>
    <t>ERP Entry pending due to Indivisual QR batch not genrated in ERP OF FO149.</t>
  </si>
  <si>
    <t xml:space="preserve">Mold start up after PM , Set up rejection high due to hood sticking at core side </t>
  </si>
  <si>
    <t>set up after middle plate cleaning</t>
  </si>
  <si>
    <t xml:space="preserve">String is major issue </t>
  </si>
  <si>
    <t>2567/2568</t>
  </si>
  <si>
    <t>EH20Ba2</t>
  </si>
  <si>
    <t>HEH20Na</t>
  </si>
  <si>
    <t>HEH18NaH18PbH20Pa</t>
  </si>
  <si>
    <t>HEH17BG</t>
  </si>
  <si>
    <t>2575|2576|2577|2578</t>
  </si>
  <si>
    <t>2581|2583</t>
  </si>
  <si>
    <t>EH20Ha</t>
  </si>
  <si>
    <t>Heat mark and thickness issue faced, adjust the heating core after that issue resolved.</t>
  </si>
  <si>
    <t>cavity No.-2 and 4 consisitency issue faced, three times middle plate cleaned hence setup rejection high.</t>
  </si>
  <si>
    <t xml:space="preserve">Cavity no.-2 sticking problem in core side, 7-8 times sticking done and polishing done at the same time. </t>
  </si>
  <si>
    <t>Machine/Mould  issue</t>
  </si>
  <si>
    <t>EG05Ba1H20Pa</t>
  </si>
  <si>
    <t>EH22Bb2H20Pa</t>
  </si>
  <si>
    <t>SKU changeover FO008 TO FO088 and fo088 to fo117.</t>
  </si>
  <si>
    <t>HEG09CG22</t>
  </si>
  <si>
    <t>HEG22CG22</t>
  </si>
  <si>
    <t>HEG22BG22</t>
  </si>
  <si>
    <t>HED24GG22</t>
  </si>
  <si>
    <t>EH20Bb2</t>
  </si>
  <si>
    <t>2595/2596</t>
  </si>
  <si>
    <t>2597/2598</t>
  </si>
  <si>
    <t>HEH18NbH18PcH20Pb</t>
  </si>
  <si>
    <t>HEH18AG22</t>
  </si>
  <si>
    <t>2599/2600</t>
  </si>
  <si>
    <t>EH20Hb</t>
  </si>
  <si>
    <t>HEH19NcH20Pb</t>
  </si>
  <si>
    <t>HEH20Nb</t>
  </si>
  <si>
    <t>2605/2606</t>
  </si>
  <si>
    <t>Production loss due to LL size cautting issue.</t>
  </si>
  <si>
    <t>EH20Bc2</t>
  </si>
  <si>
    <t>2608/2609</t>
  </si>
  <si>
    <t>HEH20Nc</t>
  </si>
  <si>
    <t>HEH20NbH20Pc</t>
  </si>
  <si>
    <t>2612/2613</t>
  </si>
  <si>
    <t>KPP-8 Blow mold changeover and load RPP-8 Blow mold, during set up face scratch mark issue</t>
  </si>
  <si>
    <t>Hood (FO130) production loss cavity no.02 sticking problem.</t>
  </si>
  <si>
    <t>2618/2619</t>
  </si>
  <si>
    <t>HEH21Na</t>
  </si>
  <si>
    <t>Machine stop due to mold unload (mould maintenance) .</t>
  </si>
  <si>
    <t>HEH20NcH21Pa</t>
  </si>
  <si>
    <t>2624/2625</t>
  </si>
  <si>
    <t>HEH18NcH19PbH21Pa</t>
  </si>
  <si>
    <t>HEH18BG22</t>
  </si>
  <si>
    <t>HEH17NcH18PbH19Pb</t>
  </si>
  <si>
    <t>HEH02CG22</t>
  </si>
  <si>
    <t>EH21Ba2</t>
  </si>
  <si>
    <t>2628/2629</t>
  </si>
  <si>
    <t>EG23Ba2H21Pa</t>
  </si>
  <si>
    <t>2630</t>
  </si>
  <si>
    <t>EH02Ba1H21Pa</t>
  </si>
  <si>
    <t>Job Changeover in FO116 and Lunch Break</t>
  </si>
  <si>
    <t>PINPM/21-22/2237</t>
  </si>
  <si>
    <t>2256,57,58</t>
  </si>
  <si>
    <t>2634/2635</t>
  </si>
  <si>
    <t>2626/2627</t>
  </si>
  <si>
    <t>2636/2637/2638/2639</t>
  </si>
  <si>
    <t>HEH19NaH19PbH24Pa</t>
  </si>
  <si>
    <t>HEH18CG22</t>
  </si>
  <si>
    <t>2641/2642</t>
  </si>
  <si>
    <t xml:space="preserve"> Pin &amp; die cleaing</t>
  </si>
  <si>
    <t>EH24HA</t>
  </si>
  <si>
    <t>Hood (FO130) production loss cavity no.02 sticking problem.mold unload due to under maintenance.</t>
  </si>
  <si>
    <t>EH03Ba1H24Pa</t>
  </si>
  <si>
    <t>EF22Ba1H24Pa</t>
  </si>
  <si>
    <t>EG23Ba2H24Pa</t>
  </si>
  <si>
    <t>ED14Ba1H24Pa</t>
  </si>
  <si>
    <t>Changeover FO116 TO FO094</t>
  </si>
  <si>
    <t>Changeover FO119 TO FO093</t>
  </si>
  <si>
    <t>Changeover FO094 TO FO119</t>
  </si>
  <si>
    <t>HEH18NaH18PcH20Pb</t>
  </si>
  <si>
    <t>HEH18NcH19PbH20Pb</t>
  </si>
  <si>
    <t>HEH04AG22</t>
  </si>
  <si>
    <t>EH24Bb2</t>
  </si>
  <si>
    <t>Material change Export to Domestic and mold cleaning</t>
  </si>
  <si>
    <t>2645/2646</t>
  </si>
  <si>
    <t>2647/2648/2649/2650/2651</t>
  </si>
  <si>
    <t>EH24Bb1</t>
  </si>
  <si>
    <t>HEH19NcH19Pc</t>
  </si>
  <si>
    <t>HEH19HAH19PbH24Pb</t>
  </si>
  <si>
    <t>2654/2655</t>
  </si>
  <si>
    <t xml:space="preserve">Set up and line rejection high in kpp4 due to reslove the thickness issue </t>
  </si>
  <si>
    <t>EH24Bc1</t>
  </si>
  <si>
    <t>EH24Hc</t>
  </si>
  <si>
    <t>2657</t>
  </si>
  <si>
    <t>2658</t>
  </si>
  <si>
    <t>Saurabh Kumar</t>
  </si>
  <si>
    <t>Abhishek-2</t>
  </si>
  <si>
    <t>Abhishek-1</t>
  </si>
  <si>
    <t>2682/2683</t>
  </si>
  <si>
    <t>EH25Ha</t>
  </si>
  <si>
    <t>2676/2677/2679</t>
  </si>
  <si>
    <t>HEH20NaH20PbH25Pa</t>
  </si>
  <si>
    <t>HEH19BG22</t>
  </si>
  <si>
    <t>2681/2684/2685</t>
  </si>
  <si>
    <t>1.701 Kg booked as Runner wastage</t>
  </si>
  <si>
    <t>Runner wastage booked(28.636440kg)</t>
  </si>
  <si>
    <t>RUNNER WASTAGE BOOKEd(24.6886kg)</t>
  </si>
  <si>
    <t>RUNNER WASTAGE BOOKED 13.688960 KG</t>
  </si>
  <si>
    <t>HEH19BG22,HEH19CG22</t>
  </si>
  <si>
    <t>HEH09AG22</t>
  </si>
  <si>
    <t>2697/2698/2699</t>
  </si>
  <si>
    <t>2700/2701/2702/2703/2704</t>
  </si>
  <si>
    <t>EH24Bb2H25Pa</t>
  </si>
  <si>
    <t>EH21Bb1H25Pa</t>
  </si>
  <si>
    <t>Changeover FO093 TO FO101</t>
  </si>
  <si>
    <t>Changeover FO101 TO FO100</t>
  </si>
  <si>
    <t>Changeover FO100 TO FO096</t>
  </si>
  <si>
    <t>HEH25Nb</t>
  </si>
  <si>
    <t>HEH25NbH25Pb</t>
  </si>
  <si>
    <t>HEH25NbH25PbH25Pb</t>
  </si>
  <si>
    <t>EH25Bb2</t>
  </si>
  <si>
    <t>EH25Hb</t>
  </si>
  <si>
    <t>HEH20NcH20PcH25Pb</t>
  </si>
  <si>
    <t>2705/2706</t>
  </si>
  <si>
    <t>HEH20AG22,HEH20BG22</t>
  </si>
  <si>
    <t>SKU Change FO150 (LL SIZE) TO FO021 (L SIZE)</t>
  </si>
  <si>
    <t>Sku change LL Size to L size in shift A. and mold loaded after PM and mold Start up</t>
  </si>
  <si>
    <t xml:space="preserve">Kpp-4 thickness Major issue </t>
  </si>
  <si>
    <t>EH25Bc1</t>
  </si>
  <si>
    <t>HEH25Nc</t>
  </si>
  <si>
    <t>EH25Hc</t>
  </si>
  <si>
    <t>2715</t>
  </si>
  <si>
    <t>2716</t>
  </si>
  <si>
    <t>PINPM/21-22/2314</t>
  </si>
  <si>
    <t>PINPM/21-22/2294, 96</t>
  </si>
  <si>
    <t>PINPM/21-22/2315,16,17</t>
  </si>
  <si>
    <t>PINPM/21-22/2344,45,49</t>
  </si>
  <si>
    <t>PINPM/21-22/2377,78</t>
  </si>
  <si>
    <t>2405,06</t>
  </si>
  <si>
    <t>PINPM/21-22/2407</t>
  </si>
  <si>
    <t>PINPM/21-22/2423,24,25</t>
  </si>
  <si>
    <t>PINPM/21-22/2437</t>
  </si>
  <si>
    <t>PINPM/21-22/2478,79,80</t>
  </si>
  <si>
    <t>PINPM/21-22/2489,90</t>
  </si>
  <si>
    <t>PINPM/21-22/2570</t>
  </si>
  <si>
    <t>PINPM/21-22/2571</t>
  </si>
  <si>
    <t>PINPM/21-22/2614</t>
  </si>
  <si>
    <t>PINPM/21-22/2569,70,71</t>
  </si>
  <si>
    <t>PINPM/21-22/2614,15</t>
  </si>
  <si>
    <t>PINPM/21-22/2616,17</t>
  </si>
  <si>
    <t>PINPM/21-22/2663</t>
  </si>
  <si>
    <t>PINPM/21-22/2664</t>
  </si>
  <si>
    <t>PINPM/21-22/2665</t>
  </si>
  <si>
    <t>PINPM/21-22/2666</t>
  </si>
  <si>
    <t>PINPM/21-22/2667</t>
  </si>
  <si>
    <t>PINPM/21-22/2717</t>
  </si>
  <si>
    <t>PINPM/21-22/2718</t>
  </si>
  <si>
    <t>PINPM/21-22/2720</t>
  </si>
  <si>
    <t>PINPM/21-22/2719,20</t>
  </si>
  <si>
    <t>HEH26Na</t>
  </si>
  <si>
    <t xml:space="preserve">Silicon duram change loss time 40 min. </t>
  </si>
  <si>
    <t>EH26Ha</t>
  </si>
  <si>
    <t>HEH20CG22</t>
  </si>
  <si>
    <t>HEH25BG22</t>
  </si>
  <si>
    <t>HEH25NbH26Pa</t>
  </si>
  <si>
    <t>2725/2726</t>
  </si>
  <si>
    <t>2722/2723/2728</t>
  </si>
  <si>
    <t>HEH25NbH26PaH26Pa</t>
  </si>
  <si>
    <t>HEH05AG22</t>
  </si>
  <si>
    <t>EH24Bb2H26Pa</t>
  </si>
  <si>
    <t>2754/2755/2756</t>
  </si>
  <si>
    <t>HEH25NcH26Pa</t>
  </si>
  <si>
    <t>2758/2759/2760/2761</t>
  </si>
  <si>
    <t>Punching machine stop due to MP absent.</t>
  </si>
  <si>
    <t>HEH26Nb</t>
  </si>
  <si>
    <t>HEH26NaH26Pb</t>
  </si>
  <si>
    <t>EH26Bb1</t>
  </si>
  <si>
    <t>EH26Hb</t>
  </si>
  <si>
    <t>2762/2763/2764</t>
  </si>
  <si>
    <t>2767/2768</t>
  </si>
  <si>
    <t>2766/2671</t>
  </si>
  <si>
    <t>EH26Bc1</t>
  </si>
  <si>
    <t>HEH26Nc</t>
  </si>
  <si>
    <t>EH26Hc</t>
  </si>
  <si>
    <t>2772</t>
  </si>
  <si>
    <t>2773</t>
  </si>
  <si>
    <t>HEH26NcH27Pa</t>
  </si>
  <si>
    <t>HEH27NA</t>
  </si>
  <si>
    <t>EH27HA</t>
  </si>
  <si>
    <t>2775/2776/2779</t>
  </si>
  <si>
    <t>2780/2781/2782/2783</t>
  </si>
  <si>
    <t>HEH26NBH26Pa</t>
  </si>
  <si>
    <t>HEH25Bg22</t>
  </si>
  <si>
    <t>2784/2785</t>
  </si>
  <si>
    <t>Production loss due to 3-no cavity dent mark issue loss time 60 min.</t>
  </si>
  <si>
    <t>700 PCS Handover in B-shift.</t>
  </si>
  <si>
    <t>2786/2787/2789</t>
  </si>
  <si>
    <t>600 PCS Handover in B-shift.</t>
  </si>
  <si>
    <t>EC25BC1H27Pa</t>
  </si>
  <si>
    <t>2805/2806</t>
  </si>
  <si>
    <t>HEH26AG22</t>
  </si>
  <si>
    <t>HEH26BG22</t>
  </si>
  <si>
    <t>HEH27Nb</t>
  </si>
  <si>
    <t>EH27Bb2</t>
  </si>
  <si>
    <t>HEH27NaH27Pb</t>
  </si>
  <si>
    <t>2808/2809/2810/2811</t>
  </si>
  <si>
    <t>2812/2813</t>
  </si>
  <si>
    <t>HEH26NcH27PaH27Pb</t>
  </si>
  <si>
    <t>2807/2815/2816</t>
  </si>
  <si>
    <t>INJ</t>
  </si>
  <si>
    <t>EH27Hb</t>
  </si>
  <si>
    <t xml:space="preserve">Flow mark and color variation issue face </t>
  </si>
  <si>
    <t>HEH27Nc</t>
  </si>
  <si>
    <t>EH27Bc1</t>
  </si>
  <si>
    <t>INJ1</t>
  </si>
  <si>
    <t>EH27Hc</t>
  </si>
  <si>
    <t>2821</t>
  </si>
  <si>
    <t>2822</t>
  </si>
  <si>
    <t>2823</t>
  </si>
  <si>
    <t>EH28Ba1</t>
  </si>
  <si>
    <t>HEH27NbH28Pa</t>
  </si>
  <si>
    <t>Production plan completed setup rejection high due to flow mark issue.</t>
  </si>
  <si>
    <t>HEH28Na</t>
  </si>
  <si>
    <t>EH28Ha</t>
  </si>
  <si>
    <t>2834/2836</t>
  </si>
  <si>
    <t>2837/2838/2839/2840</t>
  </si>
  <si>
    <t>2827/2828/2842</t>
  </si>
  <si>
    <t>HEH26CG22</t>
  </si>
  <si>
    <t>2846/2847</t>
  </si>
  <si>
    <t>SKU change   FO052(pink) to FO054 (blue) after heat test pass start machine, Flow mark,contamination and colour varition issue .</t>
  </si>
  <si>
    <t>Lot qty pending</t>
  </si>
  <si>
    <t xml:space="preserve">Material short </t>
  </si>
  <si>
    <t>HEH27AG22</t>
  </si>
  <si>
    <t>EH25BC1H28PA</t>
  </si>
  <si>
    <t>EH16BC1H28PA</t>
  </si>
  <si>
    <t>2852/2853</t>
  </si>
  <si>
    <t>EF28Ba1H28PA</t>
  </si>
  <si>
    <t>Changeover FO006 TO FO087</t>
  </si>
  <si>
    <t>Changeover FO087 TO FO102</t>
  </si>
  <si>
    <t>HEH28NaH28Pb</t>
  </si>
  <si>
    <t>HEH28Nb</t>
  </si>
  <si>
    <t>EH28Bb1</t>
  </si>
  <si>
    <t>EH28Hb</t>
  </si>
  <si>
    <t>HEH27NbH27PbH28Pb</t>
  </si>
  <si>
    <t>2857/2865</t>
  </si>
  <si>
    <t>Man power going to pick up silicon drum inside ware house.</t>
  </si>
  <si>
    <t>2863/2869</t>
  </si>
  <si>
    <t>Scratch issue and flow mark major issue</t>
  </si>
  <si>
    <t>EH28Bc1</t>
  </si>
  <si>
    <t>2870</t>
  </si>
  <si>
    <t>HEH28Nc</t>
  </si>
  <si>
    <t>EH28Hc</t>
  </si>
  <si>
    <t>2871</t>
  </si>
  <si>
    <t>HEH28NCH31Pa</t>
  </si>
  <si>
    <t>2873/2874</t>
  </si>
  <si>
    <t>HEH31Na</t>
  </si>
  <si>
    <t>EH31Ha</t>
  </si>
  <si>
    <t>HEH27CG22</t>
  </si>
  <si>
    <t>2881/2882</t>
  </si>
  <si>
    <t xml:space="preserve">machine startup and middle plate cleaning </t>
  </si>
  <si>
    <t>Laser machine chuck open and closing issue machine under maintenance.</t>
  </si>
  <si>
    <t xml:space="preserve">Machine startup and middle plate cleaning </t>
  </si>
  <si>
    <t>HEH11BG22</t>
  </si>
  <si>
    <t>HEH27NbH28PaH28Pb</t>
  </si>
  <si>
    <t>2898/2899/2900/2901</t>
  </si>
  <si>
    <t>2902/2903</t>
  </si>
  <si>
    <t>HEH31Nb</t>
  </si>
  <si>
    <t>HEH28NbH28PbH31Pb</t>
  </si>
  <si>
    <t>2905/2906</t>
  </si>
  <si>
    <t>EH31Hb</t>
  </si>
  <si>
    <t>HEH31NaH31Pb</t>
  </si>
  <si>
    <t>SKU change FO058 TO FO056</t>
  </si>
  <si>
    <t>EH27Bb1H31Pa</t>
  </si>
  <si>
    <t>EH28Ba1H31Pa</t>
  </si>
  <si>
    <t>EH28Bb1H31Pa</t>
  </si>
  <si>
    <t>EH19Bb2H31Pa</t>
  </si>
  <si>
    <t>Production loss due to four time SKU changeover</t>
  </si>
  <si>
    <t>2751,52,53,74</t>
  </si>
  <si>
    <t>2824,25,41</t>
  </si>
  <si>
    <t>2854,72</t>
  </si>
  <si>
    <t>2879,80</t>
  </si>
  <si>
    <t>Red</t>
  </si>
  <si>
    <t>Pink</t>
  </si>
  <si>
    <t>Blue</t>
  </si>
  <si>
    <t>White</t>
  </si>
  <si>
    <t>Yellow</t>
  </si>
  <si>
    <t>Pale Blue</t>
  </si>
  <si>
    <t>Setup %</t>
  </si>
  <si>
    <t>Cummulative</t>
  </si>
  <si>
    <t>Total Production</t>
  </si>
  <si>
    <t>P7001</t>
  </si>
  <si>
    <t>Shift Incharge</t>
  </si>
  <si>
    <t>Shift Incharge name</t>
  </si>
  <si>
    <t>Nitin</t>
  </si>
  <si>
    <t>Himanshu</t>
  </si>
  <si>
    <t>Saurav</t>
  </si>
  <si>
    <t>Badelal</t>
  </si>
  <si>
    <t>Vivek</t>
  </si>
  <si>
    <t>Pintu</t>
  </si>
  <si>
    <t>Average of Machine Availability</t>
  </si>
  <si>
    <t>Average of Quality Ratio</t>
  </si>
  <si>
    <t>Average of Effieciency</t>
  </si>
  <si>
    <t>Average of OEE</t>
  </si>
  <si>
    <t>HEH28AG22</t>
  </si>
  <si>
    <t>2909/2910</t>
  </si>
  <si>
    <t>Machine start up and lot qty pending</t>
  </si>
  <si>
    <t>EI02Na</t>
  </si>
  <si>
    <t>PB201</t>
  </si>
  <si>
    <t>HEH31NaH31PbI02Pa</t>
  </si>
  <si>
    <t>2914/2915</t>
  </si>
  <si>
    <t>Centre hole reading issue</t>
  </si>
  <si>
    <t>Saurabh</t>
  </si>
  <si>
    <t>EI02BA2</t>
  </si>
  <si>
    <t>Machine startup and sample given for heat test and colour variation , flow mark issue</t>
  </si>
  <si>
    <t>EI02Ha</t>
  </si>
  <si>
    <t>HEH31NbI02</t>
  </si>
  <si>
    <t>2916/2917</t>
  </si>
  <si>
    <t>Plan  completed as per material avaialbility</t>
  </si>
  <si>
    <t>HEH27CG22,</t>
  </si>
  <si>
    <t>2919/2920</t>
  </si>
  <si>
    <t>Material short</t>
  </si>
  <si>
    <t>EG22BA2I02PA</t>
  </si>
  <si>
    <t>2931/2932</t>
  </si>
  <si>
    <t>Change over FO008 TO FO035</t>
  </si>
  <si>
    <t>EF17BA1I02PA</t>
  </si>
  <si>
    <t>Change over FO035 TO FO033</t>
  </si>
  <si>
    <t>2918/2925</t>
  </si>
  <si>
    <t>HEH28NbH31PaI02Pb</t>
  </si>
  <si>
    <t>HEI02NaI02PBI02PB</t>
  </si>
  <si>
    <t xml:space="preserve">Sku change FO021 TO FO022, Die cleaning </t>
  </si>
  <si>
    <t>HEI02Nb</t>
  </si>
  <si>
    <t>EI02BB2</t>
  </si>
  <si>
    <t>HEI02NaI02Pb</t>
  </si>
  <si>
    <t>2922/2923</t>
  </si>
  <si>
    <t>EI02Hb</t>
  </si>
  <si>
    <t>EI02Bc2</t>
  </si>
  <si>
    <t>Production loss due to major problem  colour variation , flow mark issue and heat test fail.</t>
  </si>
  <si>
    <t>EI02Hc</t>
  </si>
  <si>
    <t>EI03Ba2</t>
  </si>
  <si>
    <t xml:space="preserve">FR026 shot </t>
  </si>
  <si>
    <t>HEI03Na</t>
  </si>
  <si>
    <t>2934</t>
  </si>
  <si>
    <t>EI03Ha</t>
  </si>
  <si>
    <t>2935</t>
  </si>
  <si>
    <t>HEH31AG22</t>
  </si>
  <si>
    <t>2939/2940/2941</t>
  </si>
  <si>
    <t>HEI02NbI02PbI03Pa</t>
  </si>
  <si>
    <t>2942/2943</t>
  </si>
  <si>
    <t>HEH28BG22,HEH28CG22</t>
  </si>
  <si>
    <t>2946/2947/2948</t>
  </si>
  <si>
    <t>HEH13AG22</t>
  </si>
  <si>
    <t>2949/2950/2951/2952/2953</t>
  </si>
  <si>
    <t>EF17BA1I03PA</t>
  </si>
  <si>
    <t>Changeover FO033 TO FO087</t>
  </si>
  <si>
    <t>EG22BA2I03PA</t>
  </si>
  <si>
    <t>Changeover FO087 TO FO088</t>
  </si>
  <si>
    <t>EI02BA2I03PA</t>
  </si>
  <si>
    <t>2944/2945</t>
  </si>
  <si>
    <t>ISI Print and changeover FO057 TO FO093</t>
  </si>
  <si>
    <t>pending</t>
  </si>
  <si>
    <t>EC09BA2I03PA</t>
  </si>
  <si>
    <t>HEI03NaI03Pb</t>
  </si>
  <si>
    <t>2954/2961</t>
  </si>
  <si>
    <t>Plan completed as per material availability</t>
  </si>
  <si>
    <t>HEI03NaI03Pb03Pb</t>
  </si>
  <si>
    <t>2955</t>
  </si>
  <si>
    <t>HEI03Nb</t>
  </si>
  <si>
    <t>2960/2963</t>
  </si>
  <si>
    <t>EI03Nb</t>
  </si>
  <si>
    <t>Plan completed, Color change over PINK TO BLUE</t>
  </si>
  <si>
    <t>EI03Hb</t>
  </si>
  <si>
    <t>HEH31BG22</t>
  </si>
  <si>
    <t>2956/2957</t>
  </si>
  <si>
    <t>HEI02AG22</t>
  </si>
  <si>
    <t>EI03Bc2</t>
  </si>
  <si>
    <t>2966/2967</t>
  </si>
  <si>
    <t>EI03Hc</t>
  </si>
  <si>
    <t>HEI03Nc</t>
  </si>
  <si>
    <t>EI04Ba2</t>
  </si>
  <si>
    <t xml:space="preserve">Change over RPP8 to KPP6 </t>
  </si>
  <si>
    <t>HEI03NcI04Pa</t>
  </si>
  <si>
    <t>2972/2973/2974</t>
  </si>
  <si>
    <t>HEI03NbI03PbI04Pa</t>
  </si>
  <si>
    <t>2976/2980</t>
  </si>
  <si>
    <t>HEI04NA</t>
  </si>
  <si>
    <t>EI04Ha</t>
  </si>
  <si>
    <t>2982/2983</t>
  </si>
  <si>
    <t>Process stop due to covid vaccination</t>
  </si>
  <si>
    <t>EI03BB2I04PA</t>
  </si>
  <si>
    <t>Changeover FO059 TO FO008</t>
  </si>
  <si>
    <t>EH17BB2I04PA</t>
  </si>
  <si>
    <t>Machine stop due to covid vaccination</t>
  </si>
  <si>
    <t>HEI04Nb</t>
  </si>
  <si>
    <t>2986/2991</t>
  </si>
  <si>
    <t>HEI04NaI04Pb</t>
  </si>
  <si>
    <t>2985/2987</t>
  </si>
  <si>
    <t>HEI03NcI04PaI04Pb</t>
  </si>
  <si>
    <t>2989/2990</t>
  </si>
  <si>
    <t>EI04Hb</t>
  </si>
  <si>
    <t>Plan Completed</t>
  </si>
  <si>
    <t>EI04Bb1</t>
  </si>
  <si>
    <t>Mold loading , machine startup sample given for heat test , mass production started , Flow mark major issue.</t>
  </si>
  <si>
    <t>EI04Bc1</t>
  </si>
  <si>
    <t>Rejection setup haigh due to scratch marck and flow mark issue.</t>
  </si>
  <si>
    <t>EI04Hc</t>
  </si>
  <si>
    <t>ERP pending due to material short in molding stage in ERP.</t>
  </si>
  <si>
    <t>HEIO4Nc</t>
  </si>
  <si>
    <t>EI06Ba1</t>
  </si>
  <si>
    <t>2995</t>
  </si>
  <si>
    <t>LSR alarm major in MTC and machine start-up and wait for heat test result loss time 180min</t>
  </si>
  <si>
    <t>HEI06Na</t>
  </si>
  <si>
    <t>(PB201)Machine automatically stop with injection unit back position, machine statrt-up,heating time</t>
  </si>
  <si>
    <t>EI06Ha</t>
  </si>
  <si>
    <t>2997</t>
  </si>
  <si>
    <t>HEI03NcI04PaI06Pa</t>
  </si>
  <si>
    <t>3001/3002/3003</t>
  </si>
  <si>
    <t>HEI04NbI04PbI06Pa</t>
  </si>
  <si>
    <t>2998/2999/3000</t>
  </si>
  <si>
    <t>HEI03AG12</t>
  </si>
  <si>
    <t>3004</t>
  </si>
  <si>
    <t>Machine start delay due to chuck not working,Down time 360 min.</t>
  </si>
  <si>
    <t>HEI02BG22</t>
  </si>
  <si>
    <t>Machine stop due to no plan</t>
  </si>
  <si>
    <t>HEI03AG22</t>
  </si>
  <si>
    <t>3013/3014</t>
  </si>
  <si>
    <t>EHI07BB2I06PA</t>
  </si>
  <si>
    <t>3006/3007</t>
  </si>
  <si>
    <t>EI04BB1I06PA</t>
  </si>
  <si>
    <t>3228/3229</t>
  </si>
  <si>
    <t>Changeover FO008 TO FO048 and Trial of New Art work</t>
  </si>
  <si>
    <t>3011/3018</t>
  </si>
  <si>
    <t>HEI04NbI04PbI06Pb</t>
  </si>
  <si>
    <t>3019/3020</t>
  </si>
  <si>
    <t>Lot qty pending, low reading issue coming</t>
  </si>
  <si>
    <t>EI06Bb1</t>
  </si>
  <si>
    <t>Machine start up sample given for heat test , inj core polished due to scratch mark , major Issue Flow mark.</t>
  </si>
  <si>
    <t>HEI06Nb</t>
  </si>
  <si>
    <t>HEI06NaI06Pb</t>
  </si>
  <si>
    <t>3017/3024</t>
  </si>
  <si>
    <t>EI06Hb</t>
  </si>
  <si>
    <t>Plan completed , 7 time inj machine stop due to power tripping.</t>
  </si>
  <si>
    <t>EI06Bc2</t>
  </si>
  <si>
    <t>HEI06Nc</t>
  </si>
  <si>
    <t>EI06Hc</t>
  </si>
  <si>
    <t>Blow -2nd major issue flow mark and scratch mark and lock pin sensor issue.</t>
  </si>
  <si>
    <t>HEI06NcI06Pa</t>
  </si>
  <si>
    <t>EI07Ba2</t>
  </si>
  <si>
    <t>3030</t>
  </si>
  <si>
    <t>3031/3032</t>
  </si>
  <si>
    <t>HEI06NaI06PbI07Pa</t>
  </si>
  <si>
    <t>3033/3034/3035</t>
  </si>
  <si>
    <t>EI07Ha</t>
  </si>
  <si>
    <t>EI04BC1I07PA</t>
  </si>
  <si>
    <t>HEI03BG12,HEI03CG22</t>
  </si>
  <si>
    <t>3046/3047/3048</t>
  </si>
  <si>
    <t>EI07Bb2</t>
  </si>
  <si>
    <t>HEI04NbI04PbI07Pb</t>
  </si>
  <si>
    <t xml:space="preserve">ERP Entry pending due to FO016 short in erp </t>
  </si>
  <si>
    <t>HEI04AG12</t>
  </si>
  <si>
    <t>3045/3049/3050</t>
  </si>
  <si>
    <t>HEI07Nb</t>
  </si>
  <si>
    <t>Start (PB203 material)Machine startup and set up done in shift A with New Silicon Material PB203 after cleaning of 2KM and change the silicon suction hose pipe.</t>
  </si>
  <si>
    <t>HEI04NcI07Pb</t>
  </si>
  <si>
    <t>EI07Hb</t>
  </si>
  <si>
    <t>EI06Bb2I07Pa</t>
  </si>
  <si>
    <t>3053/3054/3055/3056</t>
  </si>
  <si>
    <t>Printing machine 2nd shadow and print cat issue .</t>
  </si>
  <si>
    <t>HEI07Nc</t>
  </si>
  <si>
    <t>EI07Hc</t>
  </si>
  <si>
    <t>EI08Ha</t>
  </si>
  <si>
    <t>HEI08Na</t>
  </si>
  <si>
    <t>HEI06NcI07PaI08Pa</t>
  </si>
  <si>
    <t>HEI04CG12</t>
  </si>
  <si>
    <t>3063/3064/3065</t>
  </si>
  <si>
    <t>HEI07NbI08PaI08Pa</t>
  </si>
  <si>
    <t>EI06BC2I08Pa</t>
  </si>
  <si>
    <t>Trial of new art work and 2 time screen changeover due to shadow issue</t>
  </si>
  <si>
    <t>HEI04AG22</t>
  </si>
  <si>
    <t>3075/3076/3077/3078</t>
  </si>
  <si>
    <t>Man power short for 120 min</t>
  </si>
  <si>
    <t>3071/3072/3073/3074</t>
  </si>
  <si>
    <t>HEI06AG12</t>
  </si>
  <si>
    <t>3070/3083/3084</t>
  </si>
  <si>
    <t>HEI07NcI08Pa</t>
  </si>
  <si>
    <t>3085/3086/3087</t>
  </si>
  <si>
    <t>EI08Hb</t>
  </si>
  <si>
    <t>EG22Ba2I08Pb</t>
  </si>
  <si>
    <t>Printing machine 2nd fixture problem and sku change FO089 to FO008 shadow and print cat issue loss time 240 min.</t>
  </si>
  <si>
    <t>HEI08Nb</t>
  </si>
  <si>
    <t>HEI08Nc</t>
  </si>
  <si>
    <t>EI08Hc</t>
  </si>
  <si>
    <t>HEI09Na</t>
  </si>
  <si>
    <t>HEI08NaI09Pa</t>
  </si>
  <si>
    <t>3094/3095</t>
  </si>
  <si>
    <t>Air flow trial for 30 min</t>
  </si>
  <si>
    <t>HEI06BG12</t>
  </si>
  <si>
    <t>3092/3093</t>
  </si>
  <si>
    <t>EH18Ba2I09Pa</t>
  </si>
  <si>
    <t>3102/3103</t>
  </si>
  <si>
    <t>Printing machine 1st and 2nd machine pigeon logo shadow issue total loss time 135 min.</t>
  </si>
  <si>
    <t>EI09Ha</t>
  </si>
  <si>
    <t>3096/3098</t>
  </si>
  <si>
    <t>3116/3117/3118</t>
  </si>
  <si>
    <t>HEI09Nb</t>
  </si>
  <si>
    <t>EI09Hb</t>
  </si>
  <si>
    <t>EH18Bc2I09Pb</t>
  </si>
  <si>
    <t>Printing machine 1st and 2nd machine shadow issue total loss time 135 min.</t>
  </si>
  <si>
    <t>HEI07BH12</t>
  </si>
  <si>
    <t>3111/3112/3113</t>
  </si>
  <si>
    <t>HEI08NbI09Pb</t>
  </si>
  <si>
    <t>3109/3110</t>
  </si>
  <si>
    <t>EI09Hc</t>
  </si>
  <si>
    <t>HEI09Nc</t>
  </si>
  <si>
    <t>HEI08NcI10Pa</t>
  </si>
  <si>
    <t>3137/3138</t>
  </si>
  <si>
    <t>HEI08AH12</t>
  </si>
  <si>
    <t>3139/3140</t>
  </si>
  <si>
    <t>Poly change and 5S</t>
  </si>
  <si>
    <t>HEI10Na</t>
  </si>
  <si>
    <t>HI10HA</t>
  </si>
  <si>
    <t>EH18BC2I10Pa</t>
  </si>
  <si>
    <t xml:space="preserve">Printing machine 1st fixture allingment issue total time loss 150 min  </t>
  </si>
  <si>
    <t>HEI07BG12</t>
  </si>
  <si>
    <t>3146,3147,3154,3157,3158,3159</t>
  </si>
  <si>
    <t>HEI09NaI10Pb</t>
  </si>
  <si>
    <t>3149,3182</t>
  </si>
  <si>
    <t>3150,3151</t>
  </si>
  <si>
    <t>HEI10Nb</t>
  </si>
  <si>
    <t>3152</t>
  </si>
  <si>
    <t>HEI10Hb</t>
  </si>
  <si>
    <t>3153</t>
  </si>
  <si>
    <t>EH19Bb2I02Pb</t>
  </si>
  <si>
    <t>Major issue faced   that printing screen tear of 2 time so production loss.</t>
  </si>
  <si>
    <t>HEI10Nc</t>
  </si>
  <si>
    <t>Machine stop due after plan completed pin change "M"size to "L" size .</t>
  </si>
  <si>
    <t>EI10Hc</t>
  </si>
  <si>
    <t>EI13Ba1</t>
  </si>
  <si>
    <t>3161</t>
  </si>
  <si>
    <t>machine start after heat test and roll-up issue also face</t>
  </si>
  <si>
    <t>EI13Ha</t>
  </si>
  <si>
    <t>HEI10NaI13Pa</t>
  </si>
  <si>
    <t>3165/3166</t>
  </si>
  <si>
    <t>HEI08CH12</t>
  </si>
  <si>
    <t>3163,3164</t>
  </si>
  <si>
    <t>Lot. No. quantity balance</t>
  </si>
  <si>
    <t>EH19Ba2I13PA</t>
  </si>
  <si>
    <t>3167,68,69</t>
  </si>
  <si>
    <t xml:space="preserve">Manpower Short </t>
  </si>
  <si>
    <t>HEI10NbI13PA</t>
  </si>
  <si>
    <t>3170/3171/3172</t>
  </si>
  <si>
    <t>EI13Hb</t>
  </si>
  <si>
    <t>HEI13NB</t>
  </si>
  <si>
    <t>HEI09AH12</t>
  </si>
  <si>
    <t>3176/3177/3178</t>
  </si>
  <si>
    <t>EI13Bb1</t>
  </si>
  <si>
    <t>EH20Ba2I13Pb</t>
  </si>
  <si>
    <t>HEI08NbI09Pa</t>
  </si>
  <si>
    <t>3210/3211/3213</t>
  </si>
  <si>
    <t>HEH20AG22</t>
  </si>
  <si>
    <t>3190,3191, 3192,3193</t>
  </si>
  <si>
    <t>HEI13Nc</t>
  </si>
  <si>
    <t>EI13Bc1</t>
  </si>
  <si>
    <t>EI13Hc</t>
  </si>
  <si>
    <t>HI14Ba1</t>
  </si>
  <si>
    <t>New packing bins quantity is difference as per updated in ERP</t>
  </si>
  <si>
    <t>EI14Ha</t>
  </si>
  <si>
    <t>3196</t>
  </si>
  <si>
    <t>HEI14Na</t>
  </si>
  <si>
    <t>3197</t>
  </si>
  <si>
    <t>HEI10NbI14Pa</t>
  </si>
  <si>
    <t>3199,3200</t>
  </si>
  <si>
    <t>Material short from  molding stage</t>
  </si>
  <si>
    <t>HEI09BH12</t>
  </si>
  <si>
    <t>3194,3195</t>
  </si>
  <si>
    <t>EH20Ba2I14Pa</t>
  </si>
  <si>
    <t>3203,04,06</t>
  </si>
  <si>
    <t>New HQ Scale and Logo Trial</t>
  </si>
  <si>
    <t>HEI09NaI10Pa</t>
  </si>
  <si>
    <t>3221/3222/3223</t>
  </si>
  <si>
    <t>HEI13NBI14Pb</t>
  </si>
  <si>
    <t>3214/3215</t>
  </si>
  <si>
    <t>HEI09CH12</t>
  </si>
  <si>
    <t>3216/3217</t>
  </si>
  <si>
    <t>EI14Hb</t>
  </si>
  <si>
    <t>HEI14Nb</t>
  </si>
  <si>
    <t>EI14Bb1</t>
  </si>
  <si>
    <t>EH07BC2I14Pa</t>
  </si>
  <si>
    <t xml:space="preserve">New artwork trail 100 min </t>
  </si>
  <si>
    <t>EI14Bc1</t>
  </si>
  <si>
    <t>EI14Hc</t>
  </si>
  <si>
    <t>HEI14Nc</t>
  </si>
  <si>
    <t>HEI15Na</t>
  </si>
  <si>
    <t>3229</t>
  </si>
  <si>
    <t>EI15Ha</t>
  </si>
  <si>
    <t>3230</t>
  </si>
  <si>
    <t>EH09Bb2I15Pa</t>
  </si>
  <si>
    <t>Flaming machine trial</t>
  </si>
  <si>
    <t>HEI13NcI15Pa</t>
  </si>
  <si>
    <t>3231,3232</t>
  </si>
  <si>
    <t>HEI10N15AH12</t>
  </si>
  <si>
    <t>3234,3235</t>
  </si>
  <si>
    <t>HEI14NAI15Pb</t>
  </si>
  <si>
    <t>3241/3242/3245</t>
  </si>
  <si>
    <t>EI15Hb</t>
  </si>
  <si>
    <t>HEI15NB</t>
  </si>
  <si>
    <t>HEI10CH12</t>
  </si>
  <si>
    <t>3246/3247</t>
  </si>
  <si>
    <t>HEI13BH22</t>
  </si>
  <si>
    <t>3254/3255/3256</t>
  </si>
  <si>
    <t>EH09Bc2I15PB</t>
  </si>
  <si>
    <t>HEI15Nc</t>
  </si>
  <si>
    <t>EI15Hc</t>
  </si>
  <si>
    <t>3272/3273/3274</t>
  </si>
  <si>
    <t>HEI14NbH16Pa</t>
  </si>
  <si>
    <t>3275/3276/3277</t>
  </si>
  <si>
    <t>HEI16Na</t>
  </si>
  <si>
    <t>3278</t>
  </si>
  <si>
    <t>HEI16Ha</t>
  </si>
  <si>
    <t>3279</t>
  </si>
  <si>
    <t>Robot machine belt broken</t>
  </si>
  <si>
    <t>PINPM/21-22/3257</t>
  </si>
  <si>
    <t>PINPM/21-22/3258</t>
  </si>
  <si>
    <t>HI13Bb1I16Pa</t>
  </si>
  <si>
    <t>Pending</t>
  </si>
  <si>
    <t>EI16Ba1</t>
  </si>
  <si>
    <t>Machine startup after mold Changeover and alighnment done ,wait for heat test result .</t>
  </si>
  <si>
    <t>HEI10NcI14Pa</t>
  </si>
  <si>
    <t>HEI13NbI14Pb</t>
  </si>
  <si>
    <t>3283/3284</t>
  </si>
  <si>
    <t>HEI06CG12</t>
  </si>
  <si>
    <t>3286/3287/3288/3289/3290</t>
  </si>
  <si>
    <t>Plan complted</t>
  </si>
  <si>
    <t>HEI14AH22</t>
  </si>
  <si>
    <t xml:space="preserve">Laser machine stop due to chuck open issue coming at 06:00 pm </t>
  </si>
  <si>
    <t>HEI15NBI16Pb</t>
  </si>
  <si>
    <t>3291/3292</t>
  </si>
  <si>
    <t>EI16Bb1</t>
  </si>
  <si>
    <t>HEI16Nb</t>
  </si>
  <si>
    <t>EI13BC1I16Pb</t>
  </si>
  <si>
    <t>EI16Bc1</t>
  </si>
  <si>
    <t>HEI16Nc</t>
  </si>
  <si>
    <t>EI17Ba1</t>
  </si>
  <si>
    <t>EI17Ba2</t>
  </si>
  <si>
    <t>3309/3314</t>
  </si>
  <si>
    <t xml:space="preserve">Machine start after heat test </t>
  </si>
  <si>
    <t>HEI17Na</t>
  </si>
  <si>
    <t>Material drum changeover and middle plate cleaning</t>
  </si>
  <si>
    <t>HEI15NaI17Pa</t>
  </si>
  <si>
    <t>3310/3311</t>
  </si>
  <si>
    <t>EI14Bc1I17Pa</t>
  </si>
  <si>
    <t>Changeover in FO009</t>
  </si>
  <si>
    <t>EH03Ba1I17Pa</t>
  </si>
  <si>
    <t>3316,17,18</t>
  </si>
  <si>
    <t>HEI14NaI15Pa</t>
  </si>
  <si>
    <t xml:space="preserve">Material not avlable in nipple inpection stage </t>
  </si>
  <si>
    <t>HEH17AG22</t>
  </si>
  <si>
    <t>3342/3343/3344/3345/3357</t>
  </si>
  <si>
    <t>HEI15NcI17Pb</t>
  </si>
  <si>
    <t>3332/3333</t>
  </si>
  <si>
    <t>EI17Hb</t>
  </si>
  <si>
    <t>HEI17Nb</t>
  </si>
  <si>
    <t>EI17Bb1</t>
  </si>
  <si>
    <t>3336/3397</t>
  </si>
  <si>
    <t>EI17Bb2</t>
  </si>
  <si>
    <t>EH03Bb1I17Pb</t>
  </si>
  <si>
    <t>EI17Bc2</t>
  </si>
  <si>
    <t>HEI17Nc</t>
  </si>
  <si>
    <t>Productiopn due to middle plate and back plate cleaning loss time 60 min.</t>
  </si>
  <si>
    <t>EI17Hc</t>
  </si>
  <si>
    <t>EI18Ba2</t>
  </si>
  <si>
    <t>HEI18Na</t>
  </si>
  <si>
    <t>EI18Ha</t>
  </si>
  <si>
    <t>HEI16NaI18Pa</t>
  </si>
  <si>
    <t>EH04Ba1I18Pa</t>
  </si>
  <si>
    <t>3351,54,56</t>
  </si>
  <si>
    <t>Job Changeover in FO006</t>
  </si>
  <si>
    <t>EH20Bb1I18Pa</t>
  </si>
  <si>
    <t>EI20Ba2</t>
  </si>
  <si>
    <t>Machine startup and sample given for heat test,Black dust coming from H.R Nozzle.</t>
  </si>
  <si>
    <t>HEI20Na</t>
  </si>
  <si>
    <t>Machine startup and middle plate cleaning.</t>
  </si>
  <si>
    <t>HEI16NcI20Pa</t>
  </si>
  <si>
    <t>3367/3368</t>
  </si>
  <si>
    <t>Machine startup and flange hole reading issue so pin and die changed</t>
  </si>
  <si>
    <t>EI17Ba2I20Pa</t>
  </si>
  <si>
    <t>Screen Change on 1st Machine due to Pin Hole in Screen</t>
  </si>
  <si>
    <t>3379/3380/3381/3382</t>
  </si>
  <si>
    <t>HEI17NbI20Pb</t>
  </si>
  <si>
    <t>3384/3385</t>
  </si>
  <si>
    <t>Flange hole reading issue</t>
  </si>
  <si>
    <t>3386/3387</t>
  </si>
  <si>
    <t>EI20Bb2</t>
  </si>
  <si>
    <t>HEI20Nb</t>
  </si>
  <si>
    <t>Vergin</t>
  </si>
  <si>
    <t>EI20Cb</t>
  </si>
  <si>
    <t>EI17Bb2I20Pb</t>
  </si>
  <si>
    <t>EI20Cc</t>
  </si>
  <si>
    <t>Recycle</t>
  </si>
  <si>
    <t>EI20CRc</t>
  </si>
  <si>
    <t>HEI20Nc</t>
  </si>
  <si>
    <t>EI20Bc2</t>
  </si>
  <si>
    <t>EI21Ba2</t>
  </si>
  <si>
    <t>HEI21Na</t>
  </si>
  <si>
    <t xml:space="preserve">Machine start up after Pin change and Middle plate cleaning </t>
  </si>
  <si>
    <t>HEI18NaI21Pa</t>
  </si>
  <si>
    <t>3409/3410</t>
  </si>
  <si>
    <t>HEI14CH22</t>
  </si>
  <si>
    <t>3411/3412/3413</t>
  </si>
  <si>
    <t>EI21CRa</t>
  </si>
  <si>
    <t>EI21Ba1</t>
  </si>
  <si>
    <t>Machine start up after blow mold loading and alighnment on blow 1</t>
  </si>
  <si>
    <t>EI17Bc2I21Pa</t>
  </si>
  <si>
    <t>Job Changeover in FO010</t>
  </si>
  <si>
    <t>3435/3436/3437/3438</t>
  </si>
  <si>
    <t>3439/3440</t>
  </si>
  <si>
    <t>HEI20NB</t>
  </si>
  <si>
    <t>3420/3421</t>
  </si>
  <si>
    <t>HEI15AH22</t>
  </si>
  <si>
    <t>3422/3423</t>
  </si>
  <si>
    <t>HEI21Nb</t>
  </si>
  <si>
    <t>EI21CRb</t>
  </si>
  <si>
    <t>EI21Cb</t>
  </si>
  <si>
    <t>EI21Bb1</t>
  </si>
  <si>
    <t>EI21Bb2</t>
  </si>
  <si>
    <t>EG23Ba2I21Pa</t>
  </si>
  <si>
    <t>EI21Bc2</t>
  </si>
  <si>
    <t>EI21Bc1</t>
  </si>
  <si>
    <t>HEI21Nc</t>
  </si>
  <si>
    <t>EI21Cc</t>
  </si>
  <si>
    <t>EI22Ba2</t>
  </si>
  <si>
    <t>3456/3462</t>
  </si>
  <si>
    <t>HEI22Na</t>
  </si>
  <si>
    <t>3457</t>
  </si>
  <si>
    <t>EI22Ca</t>
  </si>
  <si>
    <t>EI22CRa</t>
  </si>
  <si>
    <t>3463</t>
  </si>
  <si>
    <t>HEI15CH22</t>
  </si>
  <si>
    <t>3458/3459</t>
  </si>
  <si>
    <t>HEI20NcI22Pa</t>
  </si>
  <si>
    <t>3460/3461</t>
  </si>
  <si>
    <t>HEEI15BH22</t>
  </si>
  <si>
    <t>3465/3466/3476/3477</t>
  </si>
  <si>
    <t>HEI22Nb</t>
  </si>
  <si>
    <t>EI22CRb</t>
  </si>
  <si>
    <t>HEI21NaI22Pb</t>
  </si>
  <si>
    <t>HEI20NciI22Pb</t>
  </si>
  <si>
    <t xml:space="preserve">Punching machine low reading and tape not fit 120 min </t>
  </si>
  <si>
    <t>3471/3472/3473</t>
  </si>
  <si>
    <t>EI22Bb2</t>
  </si>
  <si>
    <t>EI22Cb</t>
  </si>
  <si>
    <t xml:space="preserve">Change over fo010 to fo092 60 min </t>
  </si>
  <si>
    <t>EH28Bb1I22Pb</t>
  </si>
  <si>
    <t xml:space="preserve">Changeover fo092 to fo094 60 min </t>
  </si>
  <si>
    <t>HEI22Nc</t>
  </si>
  <si>
    <t>SKU change 'Y'-size to 'S'-size and silicon duram change total time 180 min.</t>
  </si>
  <si>
    <t>EI22Bc2</t>
  </si>
  <si>
    <t>EI22CRc</t>
  </si>
  <si>
    <t>EI22Cc</t>
  </si>
  <si>
    <t>EI23Ca</t>
  </si>
  <si>
    <t>EI23CRa</t>
  </si>
  <si>
    <t>HEI23Na</t>
  </si>
  <si>
    <t>Microbubble issue coming after drum changeover in cavity no 1</t>
  </si>
  <si>
    <t>HEI21NaI23Pa</t>
  </si>
  <si>
    <t>HEI22NcI23Pa</t>
  </si>
  <si>
    <t>HEI16CH22</t>
  </si>
  <si>
    <t>3492/3493</t>
  </si>
  <si>
    <t>Sku changeover FO106 TO FO104, Balance qty handover to B Shift</t>
  </si>
  <si>
    <t>EI23Ba1</t>
  </si>
  <si>
    <t>EH28Bb1I23Pa</t>
  </si>
  <si>
    <t>SKU Changeover in FO095</t>
  </si>
  <si>
    <t>EI03Bb2I23Pa</t>
  </si>
  <si>
    <t>3508,3514</t>
  </si>
  <si>
    <t>SKU Changeover in FO093</t>
  </si>
  <si>
    <t>EH24Bb2I23Pa</t>
  </si>
  <si>
    <t>HEI31BG22</t>
  </si>
  <si>
    <t>3547/3548/3549/3550</t>
  </si>
  <si>
    <t>Plan not complet one manpower shot</t>
  </si>
  <si>
    <t>HEI16AH22</t>
  </si>
  <si>
    <t>3515/3516/3517</t>
  </si>
  <si>
    <t>HEI21AH22</t>
  </si>
  <si>
    <t>HEI23NaI23Pb</t>
  </si>
  <si>
    <t>3519/3520</t>
  </si>
  <si>
    <t>HEI23Nb</t>
  </si>
  <si>
    <t>EI23CRb</t>
  </si>
  <si>
    <t xml:space="preserve">RM000123 Stock not available reason entry pending </t>
  </si>
  <si>
    <t>EI23Bb2</t>
  </si>
  <si>
    <t>3522/3523/3542</t>
  </si>
  <si>
    <t>EI23Cb</t>
  </si>
  <si>
    <t>EI23Cc</t>
  </si>
  <si>
    <t>EI23CRc</t>
  </si>
  <si>
    <t>HEI23Nc</t>
  </si>
  <si>
    <t>EI23Bc2</t>
  </si>
  <si>
    <t>HEI23NbI24Pa</t>
  </si>
  <si>
    <t>3530/3531</t>
  </si>
  <si>
    <t>HEI21BH22</t>
  </si>
  <si>
    <t>HEI22CH22</t>
  </si>
  <si>
    <t>HEI24Na</t>
  </si>
  <si>
    <t>1 No cavity microbubble issue</t>
  </si>
  <si>
    <t>EI24CRa</t>
  </si>
  <si>
    <t>EI24Ba1</t>
  </si>
  <si>
    <t>30 gm mass production started heat test fail change some parameters after heat test pass machine started</t>
  </si>
  <si>
    <t>EI2BB2I24Pa</t>
  </si>
  <si>
    <t>Job Change in FO099</t>
  </si>
  <si>
    <t>EI3Bc2I24Pa</t>
  </si>
  <si>
    <t>Job Change in FO098</t>
  </si>
  <si>
    <t>EH28Bb1I24Pa</t>
  </si>
  <si>
    <t>Job Change in FO096</t>
  </si>
  <si>
    <t>EH27Bc1I24Pa</t>
  </si>
  <si>
    <t>EI24CRb</t>
  </si>
  <si>
    <t>Chang over FO143 pink to FO144 blue cap</t>
  </si>
  <si>
    <t>HEI12AH22</t>
  </si>
  <si>
    <t>3543/3544/3545/3546</t>
  </si>
  <si>
    <t>HEI23AH22</t>
  </si>
  <si>
    <t>3560/3561</t>
  </si>
  <si>
    <t>3551/3552/3553/3554/3569</t>
  </si>
  <si>
    <t>HEI24Nb</t>
  </si>
  <si>
    <t>EI24Bb1</t>
  </si>
  <si>
    <t>HEI24NcI24pb</t>
  </si>
  <si>
    <t>3556/3357</t>
  </si>
  <si>
    <t>3558/3559</t>
  </si>
  <si>
    <t>EI24Cb</t>
  </si>
  <si>
    <t>EI24Cc</t>
  </si>
  <si>
    <t>EI24CRc</t>
  </si>
  <si>
    <t>HEI24Nc</t>
  </si>
  <si>
    <t>HEI25Na</t>
  </si>
  <si>
    <t xml:space="preserve">Middle plate cleanining 2 time </t>
  </si>
  <si>
    <t>HEI24NcI25Pa</t>
  </si>
  <si>
    <t>3586/3587/3588</t>
  </si>
  <si>
    <t>3589/3590</t>
  </si>
  <si>
    <t>400 pcs handover to next shift</t>
  </si>
  <si>
    <t>EI25Ba2</t>
  </si>
  <si>
    <t xml:space="preserve">Material changeover domestic to export mold cleaning done and Machine start sample given for heat test </t>
  </si>
  <si>
    <t>EI25CRa</t>
  </si>
  <si>
    <t>EH28Ba1I25Pa</t>
  </si>
  <si>
    <t>Job Changeover in FO101</t>
  </si>
  <si>
    <t>EI02Bb2I25Pa</t>
  </si>
  <si>
    <t>Job Changeover in FO103</t>
  </si>
  <si>
    <t>3599/3600/3601/3614</t>
  </si>
  <si>
    <t>3602/3603</t>
  </si>
  <si>
    <t>HEI14BH22</t>
  </si>
  <si>
    <t>3604/3605/3606</t>
  </si>
  <si>
    <t>EI25Bb2</t>
  </si>
  <si>
    <t xml:space="preserve">Machine stop thicknees problem continew </t>
  </si>
  <si>
    <t>EI25CRb</t>
  </si>
  <si>
    <t>HEI25Nb</t>
  </si>
  <si>
    <t>HEI24NcI25Pb</t>
  </si>
  <si>
    <t>3610/3611</t>
  </si>
  <si>
    <t>HEI24AH22</t>
  </si>
  <si>
    <t>3612/3613</t>
  </si>
  <si>
    <t>200 pcs handover to next shift</t>
  </si>
  <si>
    <t>HEI25Nc</t>
  </si>
  <si>
    <t>Plan completed ,Pin change 'S' size to 'LL' size .</t>
  </si>
  <si>
    <t>EI25Cc</t>
  </si>
  <si>
    <t>EI25CRc</t>
  </si>
  <si>
    <t>HEI25NbI27Pa</t>
  </si>
  <si>
    <t>3630/3631</t>
  </si>
  <si>
    <t>500 pcs hand over to next shift.</t>
  </si>
  <si>
    <t>HEI24BH22</t>
  </si>
  <si>
    <t>3627/3629</t>
  </si>
  <si>
    <t>EI27Ba1</t>
  </si>
  <si>
    <t>Machine start heat test 120min and heat test fail.</t>
  </si>
  <si>
    <t>EI27CRa</t>
  </si>
  <si>
    <t>O</t>
  </si>
  <si>
    <t>Hopper sensar setup and material changeand shift startup.</t>
  </si>
  <si>
    <t>HEI27Na</t>
  </si>
  <si>
    <t>machine startup and heating 120min.</t>
  </si>
  <si>
    <t>Machine stop due cavity no-02 and 08 flash issue.</t>
  </si>
  <si>
    <t>EI16BA2I27Pa</t>
  </si>
  <si>
    <t>Job Changeover in FO008</t>
  </si>
  <si>
    <t>HEI24NaI24Pb</t>
  </si>
  <si>
    <t>3648/3649/3650</t>
  </si>
  <si>
    <t>HEI16H22</t>
  </si>
  <si>
    <t>3652/3653/3654/3655</t>
  </si>
  <si>
    <t>HEI24CG22</t>
  </si>
  <si>
    <t>HEI16CG22</t>
  </si>
  <si>
    <t>3647/3656/3657</t>
  </si>
  <si>
    <t>EI27Bb1</t>
  </si>
  <si>
    <t>FR101 short in ERP.</t>
  </si>
  <si>
    <t>HEI27Nb</t>
  </si>
  <si>
    <t>Silicon duram change over total time 40 min.</t>
  </si>
  <si>
    <t>HEI25NcI27Pb</t>
  </si>
  <si>
    <t>HEI27NaI27Pb</t>
  </si>
  <si>
    <t>EI27Cb</t>
  </si>
  <si>
    <t>HEI27Nc</t>
  </si>
  <si>
    <t>After drum changeover mchine start ,middle and back plat celanig done 2 time due to single material flash fill inside the mold clening done .</t>
  </si>
  <si>
    <t>EI27Cc</t>
  </si>
  <si>
    <t>Material change over Virgen to Recycle</t>
  </si>
  <si>
    <t>EI27CRc</t>
  </si>
  <si>
    <t>HEI17AH22</t>
  </si>
  <si>
    <t>3662/3663</t>
  </si>
  <si>
    <t xml:space="preserve">   A</t>
  </si>
  <si>
    <t>EI28Ba1</t>
  </si>
  <si>
    <t xml:space="preserve">Silver problem continue coming stop the machine </t>
  </si>
  <si>
    <t>HEI27NbI28Pa</t>
  </si>
  <si>
    <t>3678/3679/3680</t>
  </si>
  <si>
    <t>3681/3682</t>
  </si>
  <si>
    <t>EI28CRa</t>
  </si>
  <si>
    <t xml:space="preserve">material change over recycal to vergin </t>
  </si>
  <si>
    <t>EI28Ca</t>
  </si>
  <si>
    <t>HEI28Na</t>
  </si>
  <si>
    <t xml:space="preserve">Machine stop the continew Defarmation and bubble issue comeing </t>
  </si>
  <si>
    <t>3704/3705/3706/3707/3708/3710</t>
  </si>
  <si>
    <t>HEI24CH22</t>
  </si>
  <si>
    <t>3711/3712</t>
  </si>
  <si>
    <t>WR2</t>
  </si>
  <si>
    <t>HEI16BH22</t>
  </si>
  <si>
    <t>EI16Bc1I28Pa</t>
  </si>
  <si>
    <t>HEI20AH22</t>
  </si>
  <si>
    <t>3703/3714/3715</t>
  </si>
  <si>
    <t>EI28Bb1</t>
  </si>
  <si>
    <t>HE22NaI28Pb</t>
  </si>
  <si>
    <t>3717/3718</t>
  </si>
  <si>
    <t>HE28NaI28Pb</t>
  </si>
  <si>
    <t>EI28Cb</t>
  </si>
  <si>
    <t>EI28Cc</t>
  </si>
  <si>
    <t>EI28CRc</t>
  </si>
  <si>
    <t>HEI20CH22</t>
  </si>
  <si>
    <t>3723/3724</t>
  </si>
  <si>
    <t>SKU chaneover FO106 TO FO151</t>
  </si>
  <si>
    <t xml:space="preserve">HEI22NaI29Pa </t>
  </si>
  <si>
    <t>3735/3736</t>
  </si>
  <si>
    <t>HEI27AH22</t>
  </si>
  <si>
    <t>3737/3738</t>
  </si>
  <si>
    <t>EI29CRa</t>
  </si>
  <si>
    <t>3739</t>
  </si>
  <si>
    <t>3745/3756/3757/3761</t>
  </si>
  <si>
    <t>HEI20NaI21Pb</t>
  </si>
  <si>
    <t>3758/3759/3760</t>
  </si>
  <si>
    <t>EI17Bb1I29Pa</t>
  </si>
  <si>
    <t>HEI27CH22</t>
  </si>
  <si>
    <t>3751/3752</t>
  </si>
  <si>
    <t>HEI22NbI29Pb</t>
  </si>
  <si>
    <t>HEI23NaI29Pb</t>
  </si>
  <si>
    <t>3754/3755</t>
  </si>
  <si>
    <t>EI29CRb</t>
  </si>
  <si>
    <t>EI29CRc</t>
  </si>
  <si>
    <t>HEI22AH22</t>
  </si>
  <si>
    <t>3763/3764/3765</t>
  </si>
  <si>
    <t>EI30CRa</t>
  </si>
  <si>
    <t>EI30Ca</t>
  </si>
  <si>
    <t>HEI25AH22</t>
  </si>
  <si>
    <t>3781</t>
  </si>
  <si>
    <t>3782/3783</t>
  </si>
  <si>
    <t>HEI21NcI28Pa</t>
  </si>
  <si>
    <t>3793/3794/3795</t>
  </si>
  <si>
    <t>HEI25NaI27Pa</t>
  </si>
  <si>
    <t>3797/3799</t>
  </si>
  <si>
    <t>HEI28NaI28Pb</t>
  </si>
  <si>
    <t>3798/3800</t>
  </si>
  <si>
    <t>EI30Cb</t>
  </si>
  <si>
    <t>3801/3802</t>
  </si>
  <si>
    <t>3788/3789</t>
  </si>
  <si>
    <t>Plasma treatment trial for printed bottles</t>
  </si>
  <si>
    <t>Virgen</t>
  </si>
  <si>
    <t>EJ04Ca</t>
  </si>
  <si>
    <t>ANSHUL</t>
  </si>
  <si>
    <t>Heating on machine startup</t>
  </si>
  <si>
    <t>EJ04CRa</t>
  </si>
  <si>
    <t>BRIJLAL</t>
  </si>
  <si>
    <t>EJ04Ba2</t>
  </si>
  <si>
    <t>Machine start up and wait for heat test</t>
  </si>
  <si>
    <t>HEI25BH22</t>
  </si>
  <si>
    <t>VIKRAM SINGH</t>
  </si>
  <si>
    <t>Machine start up and Material short</t>
  </si>
  <si>
    <t>EI24Ba1J04Pa</t>
  </si>
  <si>
    <t>Job changeover FO049 TO FO010</t>
  </si>
  <si>
    <t xml:space="preserve">SANDEEP KUMAR  </t>
  </si>
  <si>
    <t>HEJO4Na</t>
  </si>
  <si>
    <t>Heating on machine startup total time 90 min ,and middle plate and back plate cleaning total loss time 60 min. Major issue deformation and microbubble.</t>
  </si>
  <si>
    <t>AARTI II</t>
  </si>
  <si>
    <t>Manpower short</t>
  </si>
  <si>
    <t>RAMESH</t>
  </si>
  <si>
    <t>HEJ04Nb</t>
  </si>
  <si>
    <t xml:space="preserve">Production loss due to maicro babble issue in ( nipple body area)  middle plate and back plate cleaning . </t>
  </si>
  <si>
    <t>EJ04Bb2</t>
  </si>
  <si>
    <t>RAJNI</t>
  </si>
  <si>
    <t>EJO4CRb</t>
  </si>
  <si>
    <t>EI27Ba1J04Pb</t>
  </si>
  <si>
    <t>AMIT 2</t>
  </si>
  <si>
    <t>EJ04CRc</t>
  </si>
  <si>
    <t>EJ04Cc</t>
  </si>
  <si>
    <t>Abhishek-3</t>
  </si>
  <si>
    <t>EJ04Bc2</t>
  </si>
  <si>
    <t>AMRESH KUMAR</t>
  </si>
  <si>
    <t>HEJ04Nc</t>
  </si>
  <si>
    <t xml:space="preserve">Production loss due to maicro babble issue in nipple body area </t>
  </si>
  <si>
    <t xml:space="preserve">JITENDER                 </t>
  </si>
  <si>
    <t>EJ05Ba2</t>
  </si>
  <si>
    <t>EJ05Ca</t>
  </si>
  <si>
    <t>Material changeover Virgen to recycle</t>
  </si>
  <si>
    <t>PARVINDER</t>
  </si>
  <si>
    <t>EJ05CRa</t>
  </si>
  <si>
    <t>TWINKLE</t>
  </si>
  <si>
    <t>HEJ04NaJ05Pa</t>
  </si>
  <si>
    <t>JULIE</t>
  </si>
  <si>
    <t>HEJ04HA22</t>
  </si>
  <si>
    <t>HEJ05Na</t>
  </si>
  <si>
    <t>Machine set up againe to reslove microbubble and deformation issue.</t>
  </si>
  <si>
    <t>SANI KUMAR</t>
  </si>
  <si>
    <t>EI28Bb1J05Pa</t>
  </si>
  <si>
    <t>GEETA 2</t>
  </si>
  <si>
    <t>EJ04Ba2J05Pa</t>
  </si>
  <si>
    <t>ANKUSH</t>
  </si>
  <si>
    <t>HEI23AH11</t>
  </si>
  <si>
    <t>KAPIL KUMAR</t>
  </si>
  <si>
    <t>HEJ04AH22</t>
  </si>
  <si>
    <t>ALOK PANDEY</t>
  </si>
  <si>
    <t>HEI21CH22</t>
  </si>
  <si>
    <t>Darshan</t>
  </si>
  <si>
    <t>EJ05Bb2</t>
  </si>
  <si>
    <t>Gate Balancing issue</t>
  </si>
  <si>
    <t>EJ05CRb</t>
  </si>
  <si>
    <t>EJ05Cb</t>
  </si>
  <si>
    <t>HEI05NaJ05Pb</t>
  </si>
  <si>
    <t>HEJ04CH22</t>
  </si>
  <si>
    <t>EJ04Bb2J05Pb</t>
  </si>
  <si>
    <t>HEJ05Nc</t>
  </si>
  <si>
    <t>EJ05CRc</t>
  </si>
  <si>
    <t>Production loss due to cap thred damage issue.</t>
  </si>
  <si>
    <t>EJ05Bc2</t>
  </si>
  <si>
    <t>EJ06Ba2</t>
  </si>
  <si>
    <t>HEJ06Na</t>
  </si>
  <si>
    <t>HEJ05NcJ06Pa</t>
  </si>
  <si>
    <t>HEI05BH22</t>
  </si>
  <si>
    <t>Material short for 60 min</t>
  </si>
  <si>
    <t>EJ06CRa</t>
  </si>
  <si>
    <t>EJ06Ca</t>
  </si>
  <si>
    <t>HEJ5AH22</t>
  </si>
  <si>
    <t>HEJ06AH22</t>
  </si>
  <si>
    <t>HEJ06NaJ06Pb</t>
  </si>
  <si>
    <t xml:space="preserve">600 Pcs nipple hand over to next shift </t>
  </si>
  <si>
    <t>HEJ05CH22</t>
  </si>
  <si>
    <t>HEJ06Nb</t>
  </si>
  <si>
    <t>EJ06Bb2</t>
  </si>
  <si>
    <t>EJ06Cb</t>
  </si>
  <si>
    <t>EJ06CRb</t>
  </si>
  <si>
    <t>EJ05Bb2J06Pa</t>
  </si>
  <si>
    <t>EJ05Bc2J06Pb</t>
  </si>
  <si>
    <t>HEJ06Nc</t>
  </si>
  <si>
    <t>EJ06Cc</t>
  </si>
  <si>
    <t>EJ06CRc</t>
  </si>
  <si>
    <t>EJ07Ba1</t>
  </si>
  <si>
    <t>Machine startup , heat test fail issue coming , parameter optimization done after that heat test pass , siliver issue major.</t>
  </si>
  <si>
    <t>HEJ07Na</t>
  </si>
  <si>
    <t>HEJ06J07Pa</t>
  </si>
  <si>
    <t>HEJ06CH22</t>
  </si>
  <si>
    <t>EJ07Ca</t>
  </si>
  <si>
    <t>HEJ07NaJ07Pb</t>
  </si>
  <si>
    <t>EJ07CRb</t>
  </si>
  <si>
    <t>HEJ07Nb</t>
  </si>
  <si>
    <t xml:space="preserve">Middle plate cleaing 30 min </t>
  </si>
  <si>
    <t>MB2</t>
  </si>
  <si>
    <t>EJ07Bc2</t>
  </si>
  <si>
    <t>Machine startup sample given for heat test , mass production started . Major isuue prifrom rollup .</t>
  </si>
  <si>
    <t>HEJ07Nc</t>
  </si>
  <si>
    <t>Production loss due to cavity no-02  flange bubble and cavity no-03 maicrobubble in (nipple body area) 2 time middle plate and back plate cleaning .</t>
  </si>
  <si>
    <t>EJ07CRc</t>
  </si>
  <si>
    <t>EI20Ba2J07Pa</t>
  </si>
  <si>
    <t>Manpower Short, And Job Changeover</t>
  </si>
  <si>
    <t>EI20Bc1J07Pa</t>
  </si>
  <si>
    <t>EJ08Ba2</t>
  </si>
  <si>
    <t>HEJ08Na</t>
  </si>
  <si>
    <t>Drum change from LIM-1st to LIM-2nd,SKU change from "LL" to "L" size and polishing done on cavity no.03 &amp; 04.</t>
  </si>
  <si>
    <t>EJ08CRa</t>
  </si>
  <si>
    <t>Virgin</t>
  </si>
  <si>
    <t>EJ08Ca</t>
  </si>
  <si>
    <t>HEJ07AH22</t>
  </si>
  <si>
    <t>EI21Ba2J08Pa</t>
  </si>
  <si>
    <t>Manpower Short</t>
  </si>
  <si>
    <t>HEJ07NcJ08Pb</t>
  </si>
  <si>
    <t>HEJ07CH22</t>
  </si>
  <si>
    <t>HEJ08NbJ08Pb</t>
  </si>
  <si>
    <t xml:space="preserve">Plan not complet change over 600 pcs hand over to next shift </t>
  </si>
  <si>
    <t>HEJ08BH22</t>
  </si>
  <si>
    <t xml:space="preserve">material shot 400 pcs hand over to naxt shift </t>
  </si>
  <si>
    <t>EJ08Cb</t>
  </si>
  <si>
    <t>HEJ08Nb</t>
  </si>
  <si>
    <t>EJ08Bb2</t>
  </si>
  <si>
    <t>EJ08Cc</t>
  </si>
  <si>
    <t>HEJ08Nc</t>
  </si>
  <si>
    <t>2 no cavity having problem short with weld line and white bubble at flange ,middle late cleaning done 2 time no major improvement happen</t>
  </si>
  <si>
    <t>EJ08Bc2</t>
  </si>
  <si>
    <t>Setup due to preform sticking happen at mid night</t>
  </si>
  <si>
    <t>EJ09Ba2</t>
  </si>
  <si>
    <t>HEJ09Na</t>
  </si>
  <si>
    <t>EJ09Ca</t>
  </si>
  <si>
    <t>Cleaning of Material container</t>
  </si>
  <si>
    <t>HEJ08NcJ09Pa</t>
  </si>
  <si>
    <t>EI22Bc1J09Pa</t>
  </si>
  <si>
    <t>HEJ08CH22</t>
  </si>
  <si>
    <t>HEI17BH22</t>
  </si>
  <si>
    <t>EJ09Cb</t>
  </si>
  <si>
    <t>HEJ09NaJ09Pb</t>
  </si>
  <si>
    <t xml:space="preserve">Production loss reason Mock drill traing and machine low reading  </t>
  </si>
  <si>
    <t>HEJ09Nb</t>
  </si>
  <si>
    <t>EJ09Bb2</t>
  </si>
  <si>
    <t>EJ09CRb</t>
  </si>
  <si>
    <t>EI23Ba2J09Pb</t>
  </si>
  <si>
    <t>EJ09Bc2</t>
  </si>
  <si>
    <t>HEJ09Nc</t>
  </si>
  <si>
    <t>Middle plate cleaing 30 min and machine shut down</t>
  </si>
  <si>
    <t>EJ09CRc</t>
  </si>
  <si>
    <t>EJ11Ba2</t>
  </si>
  <si>
    <t>HEJ11Na</t>
  </si>
  <si>
    <t>Machine start up and middle plate cleaning</t>
  </si>
  <si>
    <t>EJ11CRa</t>
  </si>
  <si>
    <t>HEJ09NaJ11Pa</t>
  </si>
  <si>
    <t>Machine start up, and new air flow trial ,Flange hole reading issue ,setting done</t>
  </si>
  <si>
    <t>HEJ09AH22</t>
  </si>
  <si>
    <t>EI23Bb2J11Pa</t>
  </si>
  <si>
    <t xml:space="preserve">   B  </t>
  </si>
  <si>
    <t>EJ11CRb</t>
  </si>
  <si>
    <t>EJ1CRb</t>
  </si>
  <si>
    <t>EJ11Bb2</t>
  </si>
  <si>
    <t>HEJ11Nb</t>
  </si>
  <si>
    <t>HEJ11NaJ11Pb</t>
  </si>
  <si>
    <t>EJ11Bc2</t>
  </si>
  <si>
    <t>Machine startup sample given for heat test , mass production started . Major isuue prifrom rollup and flow mark issue .</t>
  </si>
  <si>
    <t>EJ11CRc</t>
  </si>
  <si>
    <t>EJ11Cc</t>
  </si>
  <si>
    <t>HEJ11Nc</t>
  </si>
  <si>
    <t>EJ12Ba2</t>
  </si>
  <si>
    <t>HEJ12Na</t>
  </si>
  <si>
    <t>EJ12Ca</t>
  </si>
  <si>
    <t>HEJ11NaJ12Pa</t>
  </si>
  <si>
    <t>Pin and die setting due low reading issue in flange</t>
  </si>
  <si>
    <t>HEJ09CH22</t>
  </si>
  <si>
    <t>HEI03Bc2J12Pa</t>
  </si>
  <si>
    <t>Man power short</t>
  </si>
  <si>
    <t>EI02Bb2J12Pa</t>
  </si>
  <si>
    <t>EI25Bb2J12Pa</t>
  </si>
  <si>
    <t>EJ12Bb2</t>
  </si>
  <si>
    <t>EJ12Bb1</t>
  </si>
  <si>
    <t>EJ12Cb</t>
  </si>
  <si>
    <t>EJ12CRb</t>
  </si>
  <si>
    <t>HEJ12Nb</t>
  </si>
  <si>
    <t>HEJ11NcJ12Pb</t>
  </si>
  <si>
    <t>400 Pcs hand over to next shift</t>
  </si>
  <si>
    <t>EJ12Bc1</t>
  </si>
  <si>
    <t>HEJ12Nc</t>
  </si>
  <si>
    <t>Production loss due to duram changeover and major issue mould tolerance 107T alram coming in machine .</t>
  </si>
  <si>
    <t>EJ12CRc</t>
  </si>
  <si>
    <t>EJ13Ba1</t>
  </si>
  <si>
    <t xml:space="preserve">Silver and String major issue some hidden trial done in running mass production in that case set up rejection increase and we found improvement in silver and string ,polishing done for scratch mark 4 time </t>
  </si>
  <si>
    <t>HEJ13Na</t>
  </si>
  <si>
    <t>Mold strock actual value smaller then tolerance of mold protection alarm coming ,ractification done loss time 120 min</t>
  </si>
  <si>
    <t>EJ13CRa</t>
  </si>
  <si>
    <t>Sku change over FO145 TO FO146</t>
  </si>
  <si>
    <t>EJ13Ca</t>
  </si>
  <si>
    <t>HEJ12NbJ13Pa</t>
  </si>
  <si>
    <t>HEJ12BH22</t>
  </si>
  <si>
    <t>NPPLE S TYPE LL SIZE WITH PRINTED</t>
  </si>
  <si>
    <t>HEJ11CH22</t>
  </si>
  <si>
    <t>EJ06Bb2J13Pa</t>
  </si>
  <si>
    <t>EI02BC2J13Pa</t>
  </si>
  <si>
    <t>Change over fo118 to fo101 60 min</t>
  </si>
  <si>
    <t>EG05Bb1J13Pa</t>
  </si>
  <si>
    <t>EJ13Bb1</t>
  </si>
  <si>
    <t>Plan not complet crater problem continuous comeing stop the machine</t>
  </si>
  <si>
    <t>EJ13Cb</t>
  </si>
  <si>
    <t>EJ13CRb</t>
  </si>
  <si>
    <t>HEJ13Nb</t>
  </si>
  <si>
    <t>HEJ13NaJ13Pb</t>
  </si>
  <si>
    <t>500 Pcs hand over to next shift</t>
  </si>
  <si>
    <t>HEJ13Nc</t>
  </si>
  <si>
    <t>EJ13CRc</t>
  </si>
  <si>
    <t>EJ13Cc</t>
  </si>
  <si>
    <t>HEJ13NaJ18Pa</t>
  </si>
  <si>
    <t>Material short and New manpower deploy for punching.</t>
  </si>
  <si>
    <t>HEJ13AH22</t>
  </si>
  <si>
    <t>Material short from punching stage.</t>
  </si>
  <si>
    <t>EJ18Ca</t>
  </si>
  <si>
    <t>HEJ18Na</t>
  </si>
  <si>
    <t>Production loss due to PIN change L-size to M-size and Mould cleaning time due to purge by single material.</t>
  </si>
  <si>
    <t>EJ06Ba1J18Pa</t>
  </si>
  <si>
    <t>Manpower Short, 2nd Machine Shadow Issue</t>
  </si>
  <si>
    <t>HEJ12CH22</t>
  </si>
  <si>
    <t>HEJ13NcJ18Pb</t>
  </si>
  <si>
    <t xml:space="preserve">New material trial </t>
  </si>
  <si>
    <t>HEJ13BH22</t>
  </si>
  <si>
    <t>EJ18Cb</t>
  </si>
  <si>
    <t>HEJ18Nb</t>
  </si>
  <si>
    <t>Two time Middle plate cleaing 60  min</t>
  </si>
  <si>
    <t>HEJ13NcJ18Pc</t>
  </si>
  <si>
    <t>L-size nipple material stock finish on punching</t>
  </si>
  <si>
    <t>HEJ18Nc</t>
  </si>
  <si>
    <t>1,2&amp;5 number cavity countinue Deformation coming with microbubble 3 time middle plate clean but no major improvement fond after that check heaters found 1200 watt heater faulty ,heater replace after that machine run ok</t>
  </si>
  <si>
    <t>EJ18CRc</t>
  </si>
  <si>
    <t>EI06Bb1J18Pa</t>
  </si>
  <si>
    <t>One Manpower short</t>
  </si>
  <si>
    <t>Plasma Treatment Trial</t>
  </si>
  <si>
    <t>HEJ18NaJ19Pa</t>
  </si>
  <si>
    <t>Center hole reading issue and sku change FO021 to FO020 loss time 50 min.</t>
  </si>
  <si>
    <t>HEJ13CH22</t>
  </si>
  <si>
    <t>HEJ18AH22</t>
  </si>
  <si>
    <t>HEJ19Na</t>
  </si>
  <si>
    <t>EJ19CRc</t>
  </si>
  <si>
    <t>EJ12Bb1J19Pa</t>
  </si>
  <si>
    <t>Job Changeover in FO008 and Maintenece Issue in 2nd machine pedal switch</t>
  </si>
  <si>
    <t>HEJ18BH22</t>
  </si>
  <si>
    <t>EJ19Cb</t>
  </si>
  <si>
    <t>HEJ18NcJ19Pb</t>
  </si>
  <si>
    <t xml:space="preserve">New material trial 60 min and centar punch high reading </t>
  </si>
  <si>
    <t>HEJ18CH22</t>
  </si>
  <si>
    <t>EJ19CRb</t>
  </si>
  <si>
    <t>HEJ19Nb</t>
  </si>
  <si>
    <t>EJ12Bb1J19Pb</t>
  </si>
  <si>
    <t>plan not complet man power short</t>
  </si>
  <si>
    <t>EJ19Cc</t>
  </si>
  <si>
    <t>HEJ19Nc</t>
  </si>
  <si>
    <t>HEJ19NaJ20Pa</t>
  </si>
  <si>
    <t>Cavity no-3 center hole reading issue and New manpower deploy for punching.</t>
  </si>
  <si>
    <t>HEJ19AH22</t>
  </si>
  <si>
    <t>EJ20Ca</t>
  </si>
  <si>
    <t>HEJ120Na</t>
  </si>
  <si>
    <t>Production loss due to major isuee cavity no-2 ,1&amp;5 bubble and deformaction issue .</t>
  </si>
  <si>
    <t>EJ13Ba1J20Pa</t>
  </si>
  <si>
    <t>EI04Bc1J20Pa</t>
  </si>
  <si>
    <t>Job Changeover in FO088</t>
  </si>
  <si>
    <t>EJ07BC1J20Pa</t>
  </si>
  <si>
    <t>Job Changeover in FO007</t>
  </si>
  <si>
    <t>HEJ19NcJ20Pb</t>
  </si>
  <si>
    <t>HEJ19CH22</t>
  </si>
  <si>
    <t>EJ20Cb</t>
  </si>
  <si>
    <t>HEJ20Nb</t>
  </si>
  <si>
    <t>EJ20Bb2</t>
  </si>
  <si>
    <t>EJ08Ba2J20Pb</t>
  </si>
  <si>
    <t>EJ20Cc</t>
  </si>
  <si>
    <t>HEJ20Nc</t>
  </si>
  <si>
    <t>1&amp;5 number cavity bubble and deformation issue</t>
  </si>
  <si>
    <t>EJ20BC2</t>
  </si>
  <si>
    <t xml:space="preserve"> Heat test issue coming </t>
  </si>
  <si>
    <t>HEJ12NaJ2021Pa</t>
  </si>
  <si>
    <t>HEJ12AH22</t>
  </si>
  <si>
    <t>EJ21Ba2</t>
  </si>
  <si>
    <t>EJ21Ca</t>
  </si>
  <si>
    <t>HEJ21Na</t>
  </si>
  <si>
    <t>Machine stop due to mold under maintence.</t>
  </si>
  <si>
    <t>EJ08Bb2J21Pa</t>
  </si>
  <si>
    <t>Job changeover in FO008</t>
  </si>
  <si>
    <t>EJ20Bb2J21Pa</t>
  </si>
  <si>
    <t>Shadow Problem in Chinese Printing Machine</t>
  </si>
  <si>
    <t>HEJ20NcJ21Pb</t>
  </si>
  <si>
    <t xml:space="preserve">Material short in punching stage man power send to printing </t>
  </si>
  <si>
    <t>EJ21Bb2</t>
  </si>
  <si>
    <t>EJ21Hb</t>
  </si>
  <si>
    <t>EJ20Bb2J21Pb</t>
  </si>
  <si>
    <t>EJ21Hc</t>
  </si>
  <si>
    <t>EJ21Bc2</t>
  </si>
  <si>
    <t>EJ22Ba2</t>
  </si>
  <si>
    <t>EJ22Ha</t>
  </si>
  <si>
    <t>EJ20Bb2J22Pa</t>
  </si>
  <si>
    <t>Plan Complete</t>
  </si>
  <si>
    <t>HEJ22Nb</t>
  </si>
  <si>
    <t>lim2 Drum change</t>
  </si>
  <si>
    <t>EJ22Hb</t>
  </si>
  <si>
    <t>EJ22Bb2</t>
  </si>
  <si>
    <t>HEJ22NbJ22Pb</t>
  </si>
  <si>
    <t>HEJ22BH22</t>
  </si>
  <si>
    <t>EJ22Bb2J22Pb</t>
  </si>
  <si>
    <t>HEJ22Nc</t>
  </si>
  <si>
    <t>EJ22Hc</t>
  </si>
  <si>
    <t>EJ22Bc2</t>
  </si>
  <si>
    <t>EJ23Ba2</t>
  </si>
  <si>
    <t>HEJ23Na</t>
  </si>
  <si>
    <t>HEJ21AH22</t>
  </si>
  <si>
    <t>EJ23Ha</t>
  </si>
  <si>
    <t>HEJ22Nbj23Pa</t>
  </si>
  <si>
    <t>Pin and die cleaning</t>
  </si>
  <si>
    <t>300 pcs hondover in next shift</t>
  </si>
  <si>
    <t>EJ25Ba2</t>
  </si>
  <si>
    <t>HEJ25Na</t>
  </si>
  <si>
    <t>EJ25Ha</t>
  </si>
  <si>
    <t>HEJ22NcJ25Pa</t>
  </si>
  <si>
    <t>EJ23Ba2J25Pa</t>
  </si>
  <si>
    <t>Manpower short, Rework high due to thickness issue</t>
  </si>
  <si>
    <t>HEJ25AH22</t>
  </si>
  <si>
    <t>HEJ25NaJ25Pb</t>
  </si>
  <si>
    <t>HEJ25Nb</t>
  </si>
  <si>
    <t>EJ25Hb</t>
  </si>
  <si>
    <t>EJ25Bb2</t>
  </si>
  <si>
    <t>EJ23Ba2J25Pb</t>
  </si>
  <si>
    <t>New Manpower</t>
  </si>
  <si>
    <t>EJ25Bc2</t>
  </si>
  <si>
    <t>EJ25Hc</t>
  </si>
  <si>
    <t>HEJ25Nc</t>
  </si>
  <si>
    <t>EJ26Ba2</t>
  </si>
  <si>
    <t>HEJ26Na</t>
  </si>
  <si>
    <t>EJ26Ha</t>
  </si>
  <si>
    <t>HEJ25NcH26Pa</t>
  </si>
  <si>
    <t>HEJ25BH22</t>
  </si>
  <si>
    <t>HEJ26AH22</t>
  </si>
  <si>
    <t>HEJ26NaJ26Pb</t>
  </si>
  <si>
    <t xml:space="preserve">250 Pcs hand over to next shift </t>
  </si>
  <si>
    <t>EJ26Hb</t>
  </si>
  <si>
    <t>EJ26Bb2</t>
  </si>
  <si>
    <t>HEJ26Nb</t>
  </si>
  <si>
    <t>EJ26Hc</t>
  </si>
  <si>
    <t>Silver coming two time mold cleaning</t>
  </si>
  <si>
    <t>EJ26Bc2</t>
  </si>
  <si>
    <t>HEJ26Nc</t>
  </si>
  <si>
    <t>EJ27Ba2</t>
  </si>
  <si>
    <t>HEJ27Na</t>
  </si>
  <si>
    <t>EJ27Ha</t>
  </si>
  <si>
    <t>HEJ27AH22</t>
  </si>
  <si>
    <t>HEJ27NaJ27Pb</t>
  </si>
  <si>
    <t>HEJ26CH22</t>
  </si>
  <si>
    <t>EJ27Hb</t>
  </si>
  <si>
    <t>HEJ27Nb</t>
  </si>
  <si>
    <t xml:space="preserve">B </t>
  </si>
  <si>
    <t>EJ27Bb2</t>
  </si>
  <si>
    <t>EJ27Hc</t>
  </si>
  <si>
    <t>EJ27Bc2</t>
  </si>
  <si>
    <t xml:space="preserve">"A" cavity scratch mark issue polishing done 4 to 5 time  </t>
  </si>
  <si>
    <t>HEJ27Nc</t>
  </si>
  <si>
    <t>Drum changeover and set up done</t>
  </si>
  <si>
    <t>EJ28Ba2</t>
  </si>
  <si>
    <t xml:space="preserve">A&amp;B Cavity scratch marck </t>
  </si>
  <si>
    <t>HEJ28NaJ28Pa</t>
  </si>
  <si>
    <t>HEJ28NAH22</t>
  </si>
  <si>
    <t>HEJ28Na</t>
  </si>
  <si>
    <t>EJ28Ha</t>
  </si>
  <si>
    <t>EJ25Bb2J28Pa</t>
  </si>
  <si>
    <t>HEJ27CH22</t>
  </si>
  <si>
    <t>HEJ28NaJ28Pb</t>
  </si>
  <si>
    <t>200 pcs hondover in next shift</t>
  </si>
  <si>
    <t>HEJ28AH22</t>
  </si>
  <si>
    <t>HEJ28Nb</t>
  </si>
  <si>
    <t>EJ28Hb</t>
  </si>
  <si>
    <t>EJ28Bb2</t>
  </si>
  <si>
    <t>EJ27Ba2J28Pb</t>
  </si>
  <si>
    <t>EJ28Bc2</t>
  </si>
  <si>
    <t>EJ28Hc</t>
  </si>
  <si>
    <t>HEJ28Nc</t>
  </si>
  <si>
    <t>HEJ28NbJ29Pa</t>
  </si>
  <si>
    <t>HEJ28BH22</t>
  </si>
  <si>
    <t>EJ29Ha</t>
  </si>
  <si>
    <t>HEJ29Na</t>
  </si>
  <si>
    <t>EJ27BaJ29Pa</t>
  </si>
  <si>
    <t>Print Cut Problem in Both Printing Machine, Manpower Short</t>
  </si>
  <si>
    <t>HEJ28NcJ29Pb</t>
  </si>
  <si>
    <t>HEJ28CH22</t>
  </si>
  <si>
    <t>HEJ29Nb</t>
  </si>
  <si>
    <t>EJ29Hb</t>
  </si>
  <si>
    <t>EJ28Ba2J29Pb</t>
  </si>
  <si>
    <t>EJ29Bc2</t>
  </si>
  <si>
    <t>30 gm bottle setup in wmg3b , flow mark issue coming at bottom and body area,H.R sprue heater and fuse replace with new one due temp not increase</t>
  </si>
  <si>
    <t>EJ29Hc</t>
  </si>
  <si>
    <t>HEJ29Nc</t>
  </si>
  <si>
    <t>EJ30BA2</t>
  </si>
  <si>
    <t>HEJ30Na</t>
  </si>
  <si>
    <t>EJ30Ha</t>
  </si>
  <si>
    <t>HEJ29NbJ30Pa</t>
  </si>
  <si>
    <t>500 pcs hand over to next shift</t>
  </si>
  <si>
    <t>EJ27Bb2J30Pa</t>
  </si>
  <si>
    <t xml:space="preserve">Man power short for 80 min </t>
  </si>
  <si>
    <t>HEJ29NcJ30Pb</t>
  </si>
  <si>
    <t>HEJ29BH22</t>
  </si>
  <si>
    <t>EJ30Bb2</t>
  </si>
  <si>
    <t>HEJ30Nb</t>
  </si>
  <si>
    <t>EJ30Hc</t>
  </si>
  <si>
    <t>EJ28Ba2J30Pb</t>
  </si>
  <si>
    <t>Machine stop 05:30 am due to shut down</t>
  </si>
  <si>
    <t>EK01Ha</t>
  </si>
  <si>
    <t xml:space="preserve">Machine start up </t>
  </si>
  <si>
    <t>EK01Ba2</t>
  </si>
  <si>
    <t>Machine start up and wait for heat test result</t>
  </si>
  <si>
    <t>HEK01Na</t>
  </si>
  <si>
    <t>Machine start up and middle plate cleane</t>
  </si>
  <si>
    <t>HEJ30NbK01Pa</t>
  </si>
  <si>
    <t>HEJ30AH22</t>
  </si>
  <si>
    <t>HEJ29CH22</t>
  </si>
  <si>
    <t>HEK01NaK01Pb</t>
  </si>
  <si>
    <t>HEJ30BH22</t>
  </si>
  <si>
    <t>EK01Hb</t>
  </si>
  <si>
    <t>EK01Bb2</t>
  </si>
  <si>
    <t>HEK01Nb</t>
  </si>
  <si>
    <t>EJ28Bb2K01Pb</t>
  </si>
  <si>
    <t xml:space="preserve">New artwork trail four colour 480 min </t>
  </si>
  <si>
    <t>EK01Bc2</t>
  </si>
  <si>
    <t>SAURABH</t>
  </si>
  <si>
    <t>SKU change FO044 to FO003 and Machine startup sample given for heat test , mass production started</t>
  </si>
  <si>
    <t>HEK01Nc</t>
  </si>
  <si>
    <t>Production loss due to duram change and middle plate cleaning total time 60 min.</t>
  </si>
  <si>
    <t>EK01Hc</t>
  </si>
  <si>
    <t>EK02Ha</t>
  </si>
  <si>
    <t>EK02Ba2</t>
  </si>
  <si>
    <t>HEK02Na</t>
  </si>
  <si>
    <t>HEK01NaK02Pa</t>
  </si>
  <si>
    <t>HEJ3BH22</t>
  </si>
  <si>
    <t>500 Pcs handover to next shift</t>
  </si>
  <si>
    <t>HEJ30CH22</t>
  </si>
  <si>
    <t>HEK01Nck02Pb</t>
  </si>
  <si>
    <t>HEK01BH22</t>
  </si>
  <si>
    <t>EK02Hb</t>
  </si>
  <si>
    <t>EK02Bb2</t>
  </si>
  <si>
    <t>HEK02Nb</t>
  </si>
  <si>
    <t>EJ28Bc2K02Pbb</t>
  </si>
  <si>
    <t>Gaurav</t>
  </si>
  <si>
    <t>EJ30Ba2K02Pa</t>
  </si>
  <si>
    <t xml:space="preserve">FO008 To fo049 change over </t>
  </si>
  <si>
    <t>vishnu</t>
  </si>
  <si>
    <t>EK02Bc2</t>
  </si>
  <si>
    <t>EK02Hc</t>
  </si>
  <si>
    <t>HEK02Nc</t>
  </si>
  <si>
    <t>Production loss due to machine shutdown 4:00 am.</t>
  </si>
  <si>
    <t>HEK09Na</t>
  </si>
  <si>
    <t>EK09Ha</t>
  </si>
  <si>
    <t xml:space="preserve">Machine start up and 5s done </t>
  </si>
  <si>
    <t>EK09Ba2</t>
  </si>
  <si>
    <t xml:space="preserve">Machine start up , wait for heat test and 5s done </t>
  </si>
  <si>
    <t>HEK02NbK09Pa</t>
  </si>
  <si>
    <t>HEK02BH22</t>
  </si>
  <si>
    <t>EJ30Bb2K09Pa</t>
  </si>
  <si>
    <t>PINTU</t>
  </si>
  <si>
    <t>HEK01NbK02</t>
  </si>
  <si>
    <t>HEK02NbK09Pb</t>
  </si>
  <si>
    <t>EK09Hb</t>
  </si>
  <si>
    <t>EK01Ba2K09Pb</t>
  </si>
  <si>
    <t>EK09Bb2</t>
  </si>
  <si>
    <t>EK09Hc</t>
  </si>
  <si>
    <t>EK09Bc2</t>
  </si>
  <si>
    <t>EK10Ha</t>
  </si>
  <si>
    <t>EK10Ba2</t>
  </si>
  <si>
    <t>HEK02NcK10Pa</t>
  </si>
  <si>
    <t>HEK02HC22</t>
  </si>
  <si>
    <t>EI06Bc2K10Pa</t>
  </si>
  <si>
    <t>pintu</t>
  </si>
  <si>
    <t>Shadow problem in Chinese Machine</t>
  </si>
  <si>
    <t>HIMANSHU</t>
  </si>
  <si>
    <t>EJ08Bc2K10Pb</t>
  </si>
  <si>
    <t>EK10Bb2</t>
  </si>
  <si>
    <t>EK10Hb</t>
  </si>
  <si>
    <t>HEK10Nc</t>
  </si>
  <si>
    <t>Machine start after mold maintenance, In which we face majorly sticking issue in cavity side due to polishing.</t>
  </si>
  <si>
    <t>EK10Hc</t>
  </si>
  <si>
    <t>EK10Bc2</t>
  </si>
  <si>
    <t>EK11Ba2</t>
  </si>
  <si>
    <t>Silver and string major issue faced, barrel &amp; HR temperature optimised.</t>
  </si>
  <si>
    <t>HEK11Na</t>
  </si>
  <si>
    <t>Mould breakdown due to white spot issue in cavities 2,4,6 and 8 no., 5 times polishing done in core pin.</t>
  </si>
  <si>
    <t>EK11Ha</t>
  </si>
  <si>
    <t>HEK1NCK11Pa</t>
  </si>
  <si>
    <t xml:space="preserve">Flange Hole reading issue Pin &amp; Die change,SKU change S-size to Y-size </t>
  </si>
  <si>
    <t>HEK10CH22</t>
  </si>
  <si>
    <t>EJ08Bc2k11Pa</t>
  </si>
  <si>
    <t>HEK11AH22</t>
  </si>
  <si>
    <t>EK11Hb</t>
  </si>
  <si>
    <t>HEK11Nb</t>
  </si>
  <si>
    <t>EK11Bb2</t>
  </si>
  <si>
    <t>HEK11NaK11Pb</t>
  </si>
  <si>
    <t xml:space="preserve">Material short and 600 pcs hand over to next shift </t>
  </si>
  <si>
    <t xml:space="preserve">Material short and 400 pcs hand over to next shift </t>
  </si>
  <si>
    <t>EJ09Bc2K11Pb</t>
  </si>
  <si>
    <t>EK11Hc</t>
  </si>
  <si>
    <t>Production loss due to robot sensor not working in properly total loss time 300.</t>
  </si>
  <si>
    <t>EK11Bc2</t>
  </si>
  <si>
    <t>HEK11Nc</t>
  </si>
  <si>
    <t>EK12Ba2</t>
  </si>
  <si>
    <t>HEK12Na</t>
  </si>
  <si>
    <t>White spot issue in cavity no 4&amp;6 polishing done by cloth and nipple fold issue in cavity no 3.</t>
  </si>
  <si>
    <t>HEK11NcK12Pa</t>
  </si>
  <si>
    <t>HEK11CH22</t>
  </si>
  <si>
    <t>EK02Ba2K12Pa</t>
  </si>
  <si>
    <t>Job Changeover</t>
  </si>
  <si>
    <t>HEK12Nb</t>
  </si>
  <si>
    <t>EK12Hb</t>
  </si>
  <si>
    <t>EK12Bb2</t>
  </si>
  <si>
    <t>EK12Bb1</t>
  </si>
  <si>
    <t>HEK12NaK12Pb</t>
  </si>
  <si>
    <t>EK01Bc2K12Pb</t>
  </si>
  <si>
    <t>B3</t>
  </si>
  <si>
    <t>EK12Bc2</t>
  </si>
  <si>
    <t>Plan completed Mold changeover KPP8 to RPP8 total time 300.</t>
  </si>
  <si>
    <t>HEK12Nc</t>
  </si>
  <si>
    <t>EK12Hc</t>
  </si>
  <si>
    <t>EK13Ba2</t>
  </si>
  <si>
    <t xml:space="preserve">Machinne start and wait for heat test </t>
  </si>
  <si>
    <t>EK13Ha</t>
  </si>
  <si>
    <t>HEK12NbK13Pa</t>
  </si>
  <si>
    <t>HEK12CH22</t>
  </si>
  <si>
    <t>HEK13Na</t>
  </si>
  <si>
    <t xml:space="preserve">Pin changeover and material drum changeover </t>
  </si>
  <si>
    <t>EK02Bc2K13Pa</t>
  </si>
  <si>
    <t>EK13Bb1</t>
  </si>
  <si>
    <t>HEK13NaK13Pb</t>
  </si>
  <si>
    <t>EK13Bb2</t>
  </si>
  <si>
    <t>HEK13Nb</t>
  </si>
  <si>
    <t>EK13Hb</t>
  </si>
  <si>
    <t>EK09Ba2K13Pb</t>
  </si>
  <si>
    <t>HEK13Nc</t>
  </si>
  <si>
    <t>EK13Hc</t>
  </si>
  <si>
    <t>HEK15Na</t>
  </si>
  <si>
    <t>Machine startup and mold cleaning</t>
  </si>
  <si>
    <t>EK15Ha</t>
  </si>
  <si>
    <t>HEK13NbK15Pa</t>
  </si>
  <si>
    <t>Machine startup and die cleaning</t>
  </si>
  <si>
    <t>HEK13BH22</t>
  </si>
  <si>
    <t>Machine startup and Poly change</t>
  </si>
  <si>
    <t>EK09Bc2K15Pa</t>
  </si>
  <si>
    <t>HEK15Nb</t>
  </si>
  <si>
    <t xml:space="preserve">Nipple fold in three cavity kept on coming machine stop 60 min </t>
  </si>
  <si>
    <t>EK15Hb</t>
  </si>
  <si>
    <t xml:space="preserve">Robot is not working </t>
  </si>
  <si>
    <t>EK15Bb2</t>
  </si>
  <si>
    <t>HEK15NbK15Pb</t>
  </si>
  <si>
    <t>HEK13CH22</t>
  </si>
  <si>
    <t>EK10Ba2K15Pb</t>
  </si>
  <si>
    <t>EK15Bc2</t>
  </si>
  <si>
    <t>HEK15Nc</t>
  </si>
  <si>
    <t>Production loss due to 1,3,5,8 cavity no nipple stacking isuue.</t>
  </si>
  <si>
    <t>EK15Hc</t>
  </si>
  <si>
    <t>HEK16Na</t>
  </si>
  <si>
    <t>EK16Ha</t>
  </si>
  <si>
    <t>HEK15NcK16Pa</t>
  </si>
  <si>
    <t>HEK15CH22</t>
  </si>
  <si>
    <t>EK16Ba2</t>
  </si>
  <si>
    <t>EK10Bc2K16Pa</t>
  </si>
  <si>
    <t>HEK13AH22</t>
  </si>
  <si>
    <t>HEK15BH22</t>
  </si>
  <si>
    <t>HEK16Nb</t>
  </si>
  <si>
    <t>EK16Bb2</t>
  </si>
  <si>
    <t>EK16Hb</t>
  </si>
  <si>
    <t>HEK16NbK16Pb</t>
  </si>
  <si>
    <t>EK10Bc2k16pB</t>
  </si>
  <si>
    <t>EK16Bc2</t>
  </si>
  <si>
    <t>HEK16Nc</t>
  </si>
  <si>
    <t>EK17Ba2</t>
  </si>
  <si>
    <t>EK17Ha</t>
  </si>
  <si>
    <t>HEK16NcK17Pa</t>
  </si>
  <si>
    <t>HEK16CH22</t>
  </si>
  <si>
    <t>HEK17Na</t>
  </si>
  <si>
    <t>EK17Ba1</t>
  </si>
  <si>
    <t>EK11Bc2K17Pa</t>
  </si>
  <si>
    <t>HEK16AH22</t>
  </si>
  <si>
    <t>HEK17Nb</t>
  </si>
  <si>
    <t>EK17Hb</t>
  </si>
  <si>
    <t>EK17Bb1</t>
  </si>
  <si>
    <t>HEK17NaK17Pb</t>
  </si>
  <si>
    <t>EK12Ba2K17Pb</t>
  </si>
  <si>
    <t>This production 16-nov Bshift and 17-Nov B shift tottle 6442 .</t>
  </si>
  <si>
    <t>EK17Bc1</t>
  </si>
  <si>
    <t>EK17Hc</t>
  </si>
  <si>
    <t>HEK17Nc</t>
  </si>
  <si>
    <t>Production loss due to cavity number 1 &amp; 5  closed.</t>
  </si>
  <si>
    <t>HEK18Na</t>
  </si>
  <si>
    <t>erp entry and  online inspection pending</t>
  </si>
  <si>
    <t>EK18Ha</t>
  </si>
  <si>
    <t>HEK17NaK18Pa</t>
  </si>
  <si>
    <t>HEK17AH22</t>
  </si>
  <si>
    <t>Machine opreate by new man power, laser mp absent due to helth issue</t>
  </si>
  <si>
    <t>EK18Ba1</t>
  </si>
  <si>
    <t>EK12Bc2K19Pa</t>
  </si>
  <si>
    <t>Manpower Short Changover in FO089</t>
  </si>
  <si>
    <t>EI07Ba2K18Pa</t>
  </si>
  <si>
    <t>Changeover in FO010</t>
  </si>
  <si>
    <t>EJ07Ba1K18Pa</t>
  </si>
  <si>
    <t>HEK01CH22</t>
  </si>
  <si>
    <t>HEK17NcK18Pb</t>
  </si>
  <si>
    <t xml:space="preserve"> HEK17CH22</t>
  </si>
  <si>
    <t>HEK18Nb</t>
  </si>
  <si>
    <t>EK18Hb</t>
  </si>
  <si>
    <t>EK18Bb1</t>
  </si>
  <si>
    <t>EK13Ba2K18Pb</t>
  </si>
  <si>
    <t>EK18Bc1</t>
  </si>
  <si>
    <t>HEK18Nc</t>
  </si>
  <si>
    <t>EK18Hc</t>
  </si>
  <si>
    <t>HEK19Na</t>
  </si>
  <si>
    <t>Online inspection pending</t>
  </si>
  <si>
    <t>EK19Ha</t>
  </si>
  <si>
    <t>HEK18NbK19Pa</t>
  </si>
  <si>
    <t>HEK18AH22</t>
  </si>
  <si>
    <t>EK19Ba1</t>
  </si>
  <si>
    <t>EK19Ba2</t>
  </si>
  <si>
    <t>HEK17CH22</t>
  </si>
  <si>
    <t>EK15Bc2K19Pa</t>
  </si>
  <si>
    <t xml:space="preserve">Change over FO010 to RPP2 50 ml </t>
  </si>
  <si>
    <t>HEK19Nb</t>
  </si>
  <si>
    <t>EK19Hb</t>
  </si>
  <si>
    <t>EK19Bb2</t>
  </si>
  <si>
    <t>EK19Bc2</t>
  </si>
  <si>
    <t>HEK19Nc</t>
  </si>
  <si>
    <t>EK19Hc</t>
  </si>
  <si>
    <t>HEK19NaK19Pc</t>
  </si>
  <si>
    <t>HEK18CH22</t>
  </si>
  <si>
    <t>Machine opreate by new man power</t>
  </si>
  <si>
    <t>HEK20Na</t>
  </si>
  <si>
    <t>EK20Ha</t>
  </si>
  <si>
    <t>HEK19NcK20Pa</t>
  </si>
  <si>
    <t>HEK19AH22</t>
  </si>
  <si>
    <t>EK20Ba2</t>
  </si>
  <si>
    <t>HEK18Nak19Pb</t>
  </si>
  <si>
    <t>HEK19NcK22Pa</t>
  </si>
  <si>
    <t>EK22Ha</t>
  </si>
  <si>
    <t>HEK22Na</t>
  </si>
  <si>
    <t>EK22Ba1</t>
  </si>
  <si>
    <t>material short</t>
  </si>
  <si>
    <t>EK12Bb1K22Pa</t>
  </si>
  <si>
    <t xml:space="preserve">Print machine 2 pigeon logo and scle shadow problem 120 min </t>
  </si>
  <si>
    <t>EK22Bb1</t>
  </si>
  <si>
    <t>EK22Hb</t>
  </si>
  <si>
    <t>HEK22Nb</t>
  </si>
  <si>
    <t>HEK20NaK22Pb</t>
  </si>
  <si>
    <t>HEK19BH22</t>
  </si>
  <si>
    <t>EK22Bc1</t>
  </si>
  <si>
    <t>RPP4 Blue color bottle plan completed after that mold changeover RPP TO KPP4 done .</t>
  </si>
  <si>
    <t>HEK22Nc</t>
  </si>
  <si>
    <t xml:space="preserve">LIM 01 stop due to Diagn, board reports+15v error alarm issue coming since mid night 12 o' clock, </t>
  </si>
  <si>
    <t>HEK22NaK22Pc</t>
  </si>
  <si>
    <t>1st manpower working on blow1 after that start punching machine</t>
  </si>
  <si>
    <t>HEK19CH22</t>
  </si>
  <si>
    <t>New Man power opreate the machine</t>
  </si>
  <si>
    <t>HEK23Na</t>
  </si>
  <si>
    <t>HEK22NbK23Pa</t>
  </si>
  <si>
    <t>HEK20AH22</t>
  </si>
  <si>
    <t xml:space="preserve"> HEK19BH22</t>
  </si>
  <si>
    <t xml:space="preserve">Man power short </t>
  </si>
  <si>
    <t>EK12Bb2K23Pa</t>
  </si>
  <si>
    <t xml:space="preserve">Tow time change over FO113 to FO114 and FO114 to FO115 </t>
  </si>
  <si>
    <t>HEK22NbK23Pb</t>
  </si>
  <si>
    <t>Low reading in comeinga and pin change 40.min</t>
  </si>
  <si>
    <t>HEK18NaK23Pa</t>
  </si>
  <si>
    <t xml:space="preserve">450 Pcs hand over to next shift </t>
  </si>
  <si>
    <t>HEK18AH11</t>
  </si>
  <si>
    <t>HEK23Nb</t>
  </si>
  <si>
    <t>RECYCLE</t>
  </si>
  <si>
    <t>EK23CRb</t>
  </si>
  <si>
    <t>HEK23Nc</t>
  </si>
  <si>
    <t>HEK17NbK23Pc</t>
  </si>
  <si>
    <t>Nipple segregation and manual hole checking</t>
  </si>
  <si>
    <t>HEK17BH22</t>
  </si>
  <si>
    <t>EH23CRc</t>
  </si>
  <si>
    <t>Machine run at higher cycle time due to thread damage issue in cap</t>
  </si>
  <si>
    <t>HEK24Na</t>
  </si>
  <si>
    <t xml:space="preserve">Material drum changeover </t>
  </si>
  <si>
    <t>EK24CRa</t>
  </si>
  <si>
    <t>EK24Ba1</t>
  </si>
  <si>
    <t>Thickness issued continuous in comeing</t>
  </si>
  <si>
    <t>HEK19NaK24Pa</t>
  </si>
  <si>
    <t xml:space="preserve">Die cleaing and machine stop </t>
  </si>
  <si>
    <t>HEK18BH11</t>
  </si>
  <si>
    <t xml:space="preserve">man power short </t>
  </si>
  <si>
    <t>HEK22AH22</t>
  </si>
  <si>
    <t>HEK18CH11</t>
  </si>
  <si>
    <t>EK13Bb2K24Pa</t>
  </si>
  <si>
    <t>Shadow problem in Chinese Machine 160 min</t>
  </si>
  <si>
    <t>HEK19NbK24Pb</t>
  </si>
  <si>
    <t xml:space="preserve">Die change and  setup </t>
  </si>
  <si>
    <t>HEK19AH11</t>
  </si>
  <si>
    <t>EK24CRb</t>
  </si>
  <si>
    <t>HEK24Nb</t>
  </si>
  <si>
    <t>HEK24Nc</t>
  </si>
  <si>
    <t>HEK18NcK24Pc</t>
  </si>
  <si>
    <t>HEK22NbK24Pc</t>
  </si>
  <si>
    <t>Sku change FO020 T0 FO021</t>
  </si>
  <si>
    <t>EK24CRc</t>
  </si>
  <si>
    <t>RM short in erp</t>
  </si>
  <si>
    <t>EK25CRb</t>
  </si>
  <si>
    <t>HEK25Na</t>
  </si>
  <si>
    <t>EK25Ba2</t>
  </si>
  <si>
    <t>HEK22NbK25Pa</t>
  </si>
  <si>
    <t>HEK23NbK25Pa</t>
  </si>
  <si>
    <t xml:space="preserve">Change over L size to LL size </t>
  </si>
  <si>
    <t>HEK22BH22</t>
  </si>
  <si>
    <t>HEK23BH11</t>
  </si>
  <si>
    <t>HEK19BH11</t>
  </si>
  <si>
    <t>HEK19CH11</t>
  </si>
  <si>
    <t>EK22Ba1K25Pa</t>
  </si>
  <si>
    <t xml:space="preserve">Job change over </t>
  </si>
  <si>
    <t>EK16Ba2K25Pa</t>
  </si>
  <si>
    <t>EH28Bc1K25Pa</t>
  </si>
  <si>
    <t>HEK25Nb</t>
  </si>
  <si>
    <t>EK25Bb2</t>
  </si>
  <si>
    <t>HEK23NbK25Pb</t>
  </si>
  <si>
    <t>EK25CRc</t>
  </si>
  <si>
    <t>Plan completed,after that SKU change RED TO PINK</t>
  </si>
  <si>
    <t>VERGIN</t>
  </si>
  <si>
    <t>EK25Cc</t>
  </si>
  <si>
    <t>HEK25Nc</t>
  </si>
  <si>
    <t>EK25Bc2</t>
  </si>
  <si>
    <t>HEK24NbK25Pc</t>
  </si>
  <si>
    <t>HEK24AH11</t>
  </si>
  <si>
    <t>EK26Ca</t>
  </si>
  <si>
    <t>EK26CRa</t>
  </si>
  <si>
    <t>HEK26Na</t>
  </si>
  <si>
    <t>EK26Ba2</t>
  </si>
  <si>
    <t>HEK25NbK26Pa</t>
  </si>
  <si>
    <t>HEK24CH11</t>
  </si>
  <si>
    <t>EH26Ba1</t>
  </si>
  <si>
    <t>SET UP REJECTION HIGH DUE TO LESS THICKNESS ISSUE .TO RESLOVE THICKNESS ISSUE TAKEN MORE TIME .</t>
  </si>
  <si>
    <t>HEK23CH11</t>
  </si>
  <si>
    <t>EJ06Bb2K26Pa</t>
  </si>
  <si>
    <t>HEK26NaK26Pb</t>
  </si>
  <si>
    <t>HEK25BH11</t>
  </si>
  <si>
    <t>HEK26Nb</t>
  </si>
  <si>
    <t>EK26CRb</t>
  </si>
  <si>
    <t>EK26Bb1</t>
  </si>
  <si>
    <t>EK26Bb2</t>
  </si>
  <si>
    <t>EK26Bc1</t>
  </si>
  <si>
    <t>Setup &amp; Rejection high due to less thickness issue.Machine stop  01:00 am due to blue bins shortage.</t>
  </si>
  <si>
    <t>EK26CRc</t>
  </si>
  <si>
    <t>HEK26Nc</t>
  </si>
  <si>
    <t>HEK26NbK26Pc</t>
  </si>
  <si>
    <t>HEK26BH11</t>
  </si>
  <si>
    <t>EK26Bc2</t>
  </si>
  <si>
    <t>EK26Cc</t>
  </si>
  <si>
    <t>HEK27Na</t>
  </si>
  <si>
    <t>LIm01 stop due to 06 number cavity lock broken so mold unload to change the lock and cleanibg on ejector half.</t>
  </si>
  <si>
    <t>EK27Bb2</t>
  </si>
  <si>
    <t>HEK26NcK27Pa</t>
  </si>
  <si>
    <t>HEK26CH11</t>
  </si>
  <si>
    <t>HEK22NcK27Pa</t>
  </si>
  <si>
    <t>EK27Ba1</t>
  </si>
  <si>
    <t>EK27CRa</t>
  </si>
  <si>
    <t>EK26Bb1K27Pa</t>
  </si>
  <si>
    <t>HEK23BH22</t>
  </si>
  <si>
    <t>HEK25CH11</t>
  </si>
  <si>
    <t>HEK23NbK27Pb</t>
  </si>
  <si>
    <t>HEK23CH22</t>
  </si>
  <si>
    <t>EK27CRb</t>
  </si>
  <si>
    <t>HEK27Nb</t>
  </si>
  <si>
    <t xml:space="preserve">Drum change and middle plate cleaing </t>
  </si>
  <si>
    <t xml:space="preserve">machine setup </t>
  </si>
  <si>
    <t>EK27Bb1</t>
  </si>
  <si>
    <t>HEK24NaK27Pc</t>
  </si>
  <si>
    <t>HEK23AH22</t>
  </si>
  <si>
    <t>HEK27Nc</t>
  </si>
  <si>
    <t>Machine stop due to plant shutdown &amp; pin change.</t>
  </si>
  <si>
    <t>Machine stop due to plant shutdown.</t>
  </si>
  <si>
    <t>EK27Bc1</t>
  </si>
  <si>
    <t>EK27CRc</t>
  </si>
  <si>
    <t>EK27Cc</t>
  </si>
  <si>
    <t>HEK29Na</t>
  </si>
  <si>
    <t>Machine startup and middle back plate cleaning</t>
  </si>
  <si>
    <t>EK29Ba1</t>
  </si>
  <si>
    <t xml:space="preserve">Machine startup </t>
  </si>
  <si>
    <t>HEK24NaK29Pa</t>
  </si>
  <si>
    <t>EK29CRa</t>
  </si>
  <si>
    <t>EK29Ca</t>
  </si>
  <si>
    <t>EK26Bc1K29Pa</t>
  </si>
  <si>
    <t>HEK24NbK29Pb</t>
  </si>
  <si>
    <t>HEK29Bb1</t>
  </si>
  <si>
    <t>HEK29Nb</t>
  </si>
  <si>
    <t>EK29CRb</t>
  </si>
  <si>
    <t>HEK25NbK29Pc</t>
  </si>
  <si>
    <t>HEK24CH22</t>
  </si>
  <si>
    <t>HEK29Nc</t>
  </si>
  <si>
    <t>EK29CRc</t>
  </si>
  <si>
    <t>HEK30Na</t>
  </si>
  <si>
    <t>EK30Ba1</t>
  </si>
  <si>
    <t>HEK25NCk30Pa</t>
  </si>
  <si>
    <t>HEK25AH22</t>
  </si>
  <si>
    <t>EK30CRa</t>
  </si>
  <si>
    <t>EK29Bb1k30Pa</t>
  </si>
  <si>
    <t>HEK24BH22</t>
  </si>
  <si>
    <t>EK30CRb</t>
  </si>
  <si>
    <t>HEK30Nb</t>
  </si>
  <si>
    <t>EK30Bb1</t>
  </si>
  <si>
    <t>HEK26NaK30Pb</t>
  </si>
  <si>
    <t>HEK26NbK230Pc</t>
  </si>
  <si>
    <t>HEK25CH22</t>
  </si>
  <si>
    <t>HEK30Nc</t>
  </si>
  <si>
    <t>Production loss due to duram change and middle plate cleaning total time 120 min.</t>
  </si>
  <si>
    <t>EK30Bc1</t>
  </si>
  <si>
    <t>EK30CRc</t>
  </si>
  <si>
    <t>Sep</t>
  </si>
  <si>
    <t>Oct</t>
  </si>
  <si>
    <t>Nov</t>
  </si>
  <si>
    <t>Column Labels</t>
  </si>
  <si>
    <t>Good Production</t>
  </si>
  <si>
    <t>Material Consumption (KG)</t>
  </si>
  <si>
    <t xml:space="preserve"> Material Yield %</t>
  </si>
  <si>
    <t xml:space="preserve">OEE </t>
  </si>
  <si>
    <t xml:space="preserve">P.P. Output  </t>
  </si>
  <si>
    <t>Break Down Hrs.</t>
  </si>
  <si>
    <t xml:space="preserve">Actual Cycle Time </t>
  </si>
  <si>
    <t>Monthly Plan Qty</t>
  </si>
  <si>
    <t>Plan vs Actual</t>
  </si>
  <si>
    <t xml:space="preserve">Setup rej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</si>
</sst>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0">
    <numFmt numFmtId="41" formatCode="_ * #,##0_ ;_ * \-#,##0_ ;_ * &quot;-&quot;_ ;_ @_ "/>
    <numFmt numFmtId="43" formatCode="_ * #,##0.00_ ;_ * \-#,##0.00_ ;_ * &quot;-&quot;??_ ;_ @_ "/>
    <numFmt numFmtId="164" formatCode="_(* #,##0.00_);_(* \(#,##0.00\);_(* &quot;-&quot;??_);_(@_)"/>
    <numFmt numFmtId="165" formatCode="_-* #,##0_-;\-* #,##0_-;_-* &quot;-&quot;_-;_-@_-"/>
    <numFmt numFmtId="166" formatCode="_-* #,##0.00_-;\-* #,##0.00_-;_-* &quot;-&quot;??_-;_-@_-"/>
    <numFmt numFmtId="167" formatCode="0.000"/>
    <numFmt numFmtId="168" formatCode="&quot;฿&quot;#,##0;[Red]\-&quot;฿&quot;#,##0"/>
    <numFmt numFmtId="169" formatCode="_-&quot;฿&quot;* #,##0_-;\-&quot;฿&quot;* #,##0_-;_-&quot;฿&quot;* &quot;-&quot;_-;_-@_-"/>
    <numFmt numFmtId="170" formatCode="_-&quot;฿&quot;* #,##0.00_-;\-&quot;฿&quot;* #,##0.00_-;_-&quot;฿&quot;* &quot;-&quot;??_-;_-@_-"/>
    <numFmt numFmtId="171" formatCode="&quot;¥&quot;#,##0;[Red]\-&quot;¥&quot;#,##0"/>
    <numFmt numFmtId="172" formatCode="&quot;¥&quot;#,##0.00;[Red]\-&quot;¥&quot;#,##0.00"/>
    <numFmt numFmtId="173" formatCode="_(* #,##0_);_(* \(#,##0\);_(* &quot;-&quot;??_);_(@_)"/>
    <numFmt numFmtId="174" formatCode="_-&quot;S$&quot;* #,##0.00_-;\-&quot;S$&quot;* #,##0.00_-;_-&quot;S$&quot;* &quot;-&quot;??_-;_-@_-"/>
    <numFmt numFmtId="175" formatCode="* \(#,##0\);* #,##0_);&quot;-&quot;??_);@"/>
    <numFmt numFmtId="176" formatCode="_-* #,##0\ _F_B_-;\-* #,##0\ _F_B_-;_-* &quot;-&quot;\ _F_B_-;_-@_-"/>
    <numFmt numFmtId="177" formatCode="* #,##0_);* \(#,##0\);&quot;-&quot;??_);@"/>
    <numFmt numFmtId="178" formatCode="_-* #,##0.00\ _F_B_-;\-* #,##0.00\ _F_B_-;_-* &quot;-&quot;??\ _F_B_-;_-@_-"/>
    <numFmt numFmtId="179" formatCode="&quot;฿&quot;\t#,##0_);[Red]\(&quot;฿&quot;\t#,##0\)"/>
    <numFmt numFmtId="180" formatCode="#,##0.000"/>
    <numFmt numFmtId="181" formatCode="&quot;Yes&quot;;&quot;Yes&quot;;&quot;No&quot;"/>
    <numFmt numFmtId="182" formatCode="_-* #,##0.00_-;\-* #,##0.00_-;_-* &quot;-&quot;_-;_-@_-"/>
    <numFmt numFmtId="183" formatCode="_([$€-2]* #,##0.00_);_([$€-2]* \(#,##0.00\);_([$€-2]* &quot;-&quot;??_)"/>
    <numFmt numFmtId="184" formatCode="_ * #,##0_ ;_ * \-#,##0_ ;_ * &quot;-&quot;??_ ;_ @_ "/>
    <numFmt numFmtId="185" formatCode="0.0%"/>
    <numFmt numFmtId="186" formatCode="_-* #,##0.0_-;\-* #,##0.0_-;_-* &quot;-&quot;??_-;_-@_-"/>
    <numFmt numFmtId="187" formatCode="0.0"/>
    <numFmt numFmtId="188" formatCode="#,##0_ ;\-#,##0\ "/>
    <numFmt numFmtId="189" formatCode="_-* #,##0_-;\-* #,##0_-;_-* &quot;-&quot;??_-;_-@_-"/>
    <numFmt numFmtId="190" formatCode="0.0000"/>
    <numFmt numFmtId="191" formatCode="[$-409]d\-mmm;@"/>
  </numFmts>
  <fonts count="150">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font>
    <font>
      <b/>
      <sz val="10"/>
      <color rgb="FF000000"/>
      <name val="Calibri"/>
      <family val="2"/>
    </font>
    <font>
      <sz val="11"/>
      <color rgb="FF000000"/>
      <name val="Calibri"/>
      <family val="2"/>
    </font>
    <font>
      <b/>
      <sz val="11"/>
      <color rgb="FF000000"/>
      <name val="Calibri"/>
      <family val="2"/>
    </font>
    <font>
      <i/>
      <sz val="10"/>
      <color rgb="FF000000"/>
      <name val="Calibri"/>
      <family val="2"/>
    </font>
    <font>
      <b/>
      <i/>
      <sz val="10"/>
      <color rgb="FF000000"/>
      <name val="Calibri"/>
      <family val="2"/>
    </font>
    <font>
      <sz val="11"/>
      <color rgb="FF000000"/>
      <name val="Calibri"/>
      <family val="2"/>
    </font>
    <font>
      <b/>
      <sz val="10"/>
      <name val="Calibri"/>
      <family val="2"/>
    </font>
    <font>
      <sz val="11"/>
      <name val="Calibri"/>
      <family val="2"/>
    </font>
    <font>
      <b/>
      <sz val="11"/>
      <name val="Calibri"/>
      <family val="2"/>
    </font>
    <font>
      <b/>
      <sz val="10"/>
      <color rgb="FFFF0000"/>
      <name val="Calibri"/>
      <family val="2"/>
    </font>
    <font>
      <sz val="10"/>
      <name val="Arial"/>
      <family val="2"/>
    </font>
    <font>
      <sz val="14"/>
      <name val="Cordia New"/>
      <family val="2"/>
      <charset val="222"/>
    </font>
    <font>
      <sz val="11"/>
      <color indexed="8"/>
      <name val="ＭＳ Ｐゴシック"/>
      <family val="3"/>
      <charset val="128"/>
    </font>
    <font>
      <sz val="11"/>
      <color indexed="9"/>
      <name val="ＭＳ Ｐゴシック"/>
      <family val="3"/>
      <charset val="128"/>
    </font>
    <font>
      <sz val="11"/>
      <name val="ＭＳ Ｐゴシック"/>
      <family val="3"/>
      <charset val="128"/>
    </font>
    <font>
      <sz val="12"/>
      <name val="Helv"/>
      <family val="2"/>
    </font>
    <font>
      <sz val="10"/>
      <name val="Times New Roman"/>
      <family val="1"/>
    </font>
    <font>
      <sz val="1"/>
      <color indexed="8"/>
      <name val="Courier"/>
      <family val="3"/>
    </font>
    <font>
      <sz val="8"/>
      <name val="Arial"/>
      <family val="2"/>
    </font>
    <font>
      <b/>
      <sz val="12"/>
      <name val="Arial"/>
      <family val="2"/>
    </font>
    <font>
      <sz val="7"/>
      <name val="Small Fonts"/>
      <family val="2"/>
    </font>
    <font>
      <sz val="11"/>
      <color theme="1"/>
      <name val="Calibri"/>
      <family val="2"/>
      <charset val="222"/>
      <scheme val="minor"/>
    </font>
    <font>
      <sz val="10"/>
      <color indexed="8"/>
      <name val="Arial"/>
      <family val="2"/>
    </font>
    <font>
      <b/>
      <sz val="18"/>
      <color indexed="62"/>
      <name val="ＭＳ Ｐゴシック"/>
      <family val="3"/>
      <charset val="128"/>
    </font>
    <font>
      <b/>
      <sz val="11"/>
      <color indexed="9"/>
      <name val="ＭＳ Ｐゴシック"/>
      <family val="3"/>
      <charset val="128"/>
    </font>
    <font>
      <sz val="11"/>
      <color indexed="19"/>
      <name val="ＭＳ Ｐゴシック"/>
      <family val="3"/>
      <charset val="128"/>
    </font>
    <font>
      <sz val="11"/>
      <color indexed="10"/>
      <name val="ＭＳ Ｐゴシック"/>
      <family val="3"/>
      <charset val="128"/>
    </font>
    <font>
      <sz val="11"/>
      <color indexed="62"/>
      <name val="ＭＳ Ｐゴシック"/>
      <family val="3"/>
      <charset val="128"/>
    </font>
    <font>
      <b/>
      <sz val="11"/>
      <color indexed="63"/>
      <name val="ＭＳ Ｐゴシック"/>
      <family val="3"/>
      <charset val="128"/>
    </font>
    <font>
      <sz val="14"/>
      <color indexed="8"/>
      <name val="CordiaUPC"/>
      <family val="2"/>
    </font>
    <font>
      <sz val="11"/>
      <color indexed="20"/>
      <name val="ＭＳ Ｐゴシック"/>
      <family val="3"/>
      <charset val="128"/>
    </font>
    <font>
      <sz val="9"/>
      <name val="ＭＳ 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10"/>
      <name val="ＭＳ Ｐゴシック"/>
      <family val="3"/>
      <charset val="128"/>
    </font>
    <font>
      <i/>
      <sz val="11"/>
      <color indexed="23"/>
      <name val="ＭＳ Ｐゴシック"/>
      <family val="3"/>
      <charset val="128"/>
    </font>
    <font>
      <b/>
      <sz val="11"/>
      <color indexed="8"/>
      <name val="ＭＳ Ｐゴシック"/>
      <family val="3"/>
      <charset val="128"/>
    </font>
    <font>
      <sz val="14"/>
      <name val="Cordia New"/>
      <family val="2"/>
    </font>
    <font>
      <sz val="11"/>
      <color indexed="8"/>
      <name val="宋体"/>
      <family val="3"/>
      <charset val="128"/>
    </font>
    <font>
      <sz val="11"/>
      <color indexed="9"/>
      <name val="宋体"/>
      <family val="3"/>
      <charset val="128"/>
    </font>
    <font>
      <sz val="11"/>
      <color indexed="8"/>
      <name val="Calibri"/>
      <family val="2"/>
    </font>
    <font>
      <u/>
      <sz val="11"/>
      <color indexed="12"/>
      <name val="Calibri"/>
      <family val="2"/>
    </font>
    <font>
      <sz val="10"/>
      <name val="ＭＳ ゴシック"/>
      <family val="3"/>
      <charset val="128"/>
    </font>
    <font>
      <sz val="11"/>
      <color indexed="17"/>
      <name val="宋体"/>
      <family val="3"/>
      <charset val="128"/>
    </font>
    <font>
      <sz val="11"/>
      <color indexed="20"/>
      <name val="宋体"/>
      <family val="3"/>
      <charset val="128"/>
    </font>
    <font>
      <b/>
      <sz val="18"/>
      <color indexed="56"/>
      <name val="宋体"/>
      <family val="3"/>
      <charset val="128"/>
    </font>
    <font>
      <b/>
      <sz val="15"/>
      <color indexed="56"/>
      <name val="宋体"/>
      <family val="3"/>
      <charset val="128"/>
    </font>
    <font>
      <b/>
      <sz val="13"/>
      <color indexed="56"/>
      <name val="宋体"/>
      <family val="3"/>
      <charset val="128"/>
    </font>
    <font>
      <b/>
      <sz val="11"/>
      <color indexed="56"/>
      <name val="宋体"/>
      <family val="3"/>
      <charset val="128"/>
    </font>
    <font>
      <b/>
      <sz val="11"/>
      <color indexed="9"/>
      <name val="宋体"/>
      <family val="3"/>
      <charset val="128"/>
    </font>
    <font>
      <b/>
      <sz val="11"/>
      <color indexed="8"/>
      <name val="宋体"/>
      <family val="3"/>
      <charset val="128"/>
    </font>
    <font>
      <sz val="12"/>
      <name val="宋体"/>
      <family val="3"/>
      <charset val="128"/>
    </font>
    <font>
      <i/>
      <sz val="11"/>
      <color indexed="23"/>
      <name val="宋体"/>
      <family val="3"/>
      <charset val="128"/>
    </font>
    <font>
      <sz val="11"/>
      <color indexed="10"/>
      <name val="宋体"/>
      <family val="3"/>
      <charset val="128"/>
    </font>
    <font>
      <b/>
      <sz val="11"/>
      <color indexed="52"/>
      <name val="宋体"/>
      <family val="3"/>
      <charset val="128"/>
    </font>
    <font>
      <sz val="11"/>
      <color indexed="62"/>
      <name val="宋体"/>
      <family val="3"/>
      <charset val="128"/>
    </font>
    <font>
      <b/>
      <sz val="11"/>
      <color indexed="63"/>
      <name val="宋体"/>
      <family val="3"/>
      <charset val="128"/>
    </font>
    <font>
      <sz val="11"/>
      <color indexed="60"/>
      <name val="宋体"/>
      <family val="3"/>
      <charset val="128"/>
    </font>
    <font>
      <sz val="11"/>
      <color indexed="52"/>
      <name val="宋体"/>
      <family val="3"/>
      <charset val="128"/>
    </font>
    <font>
      <sz val="11"/>
      <color theme="1"/>
      <name val="Calibri"/>
      <family val="2"/>
      <charset val="128"/>
      <scheme val="minor"/>
    </font>
    <font>
      <sz val="11"/>
      <color theme="1"/>
      <name val="メイリオ"/>
      <family val="2"/>
      <charset val="128"/>
    </font>
    <font>
      <sz val="11"/>
      <name val="Calibri"/>
      <family val="2"/>
    </font>
    <font>
      <b/>
      <sz val="18"/>
      <name val="Calibri"/>
      <family val="2"/>
    </font>
    <font>
      <sz val="10"/>
      <name val="Tahoma"/>
      <family val="2"/>
    </font>
    <font>
      <b/>
      <sz val="16"/>
      <name val="Calibri"/>
      <family val="2"/>
    </font>
    <font>
      <b/>
      <sz val="20"/>
      <name val="Calibri"/>
      <family val="2"/>
    </font>
    <font>
      <sz val="11"/>
      <color theme="1"/>
      <name val="Times New Roman"/>
      <family val="1"/>
    </font>
    <font>
      <sz val="8"/>
      <color theme="1"/>
      <name val="Times New Roman"/>
      <family val="1"/>
    </font>
    <font>
      <b/>
      <sz val="8"/>
      <color theme="1"/>
      <name val="Times New Roman"/>
      <family val="1"/>
    </font>
    <font>
      <sz val="10"/>
      <color theme="0"/>
      <name val="Calibri"/>
      <family val="2"/>
    </font>
    <font>
      <i/>
      <sz val="10"/>
      <color theme="0"/>
      <name val="Calibri"/>
      <family val="2"/>
    </font>
    <font>
      <b/>
      <sz val="11"/>
      <color theme="1"/>
      <name val="Calibri"/>
      <family val="2"/>
    </font>
    <font>
      <b/>
      <i/>
      <sz val="18"/>
      <name val="Calibri"/>
      <family val="2"/>
    </font>
    <font>
      <i/>
      <sz val="11"/>
      <name val="Calibri"/>
      <family val="2"/>
    </font>
    <font>
      <b/>
      <i/>
      <sz val="11"/>
      <name val="Calibri"/>
      <family val="2"/>
    </font>
    <font>
      <i/>
      <sz val="11"/>
      <color rgb="FFFF0000"/>
      <name val="Calibri"/>
      <family val="2"/>
    </font>
    <font>
      <b/>
      <i/>
      <sz val="10"/>
      <color rgb="FF000000"/>
      <name val="Tahoma"/>
      <family val="2"/>
    </font>
    <font>
      <b/>
      <i/>
      <u/>
      <sz val="18"/>
      <name val="Calibri"/>
      <family val="2"/>
    </font>
    <font>
      <sz val="11"/>
      <color theme="1"/>
      <name val="Calibri"/>
      <family val="2"/>
    </font>
    <font>
      <b/>
      <sz val="14"/>
      <name val="Calibri"/>
      <family val="2"/>
    </font>
    <font>
      <b/>
      <sz val="8"/>
      <name val="Calibri"/>
      <family val="2"/>
      <scheme val="minor"/>
    </font>
    <font>
      <b/>
      <sz val="8"/>
      <name val="Arial"/>
      <family val="2"/>
    </font>
    <font>
      <b/>
      <sz val="11"/>
      <color theme="1"/>
      <name val="Calibri"/>
      <family val="2"/>
      <scheme val="minor"/>
    </font>
    <font>
      <b/>
      <sz val="22"/>
      <color theme="1"/>
      <name val="Calibri"/>
      <family val="2"/>
      <scheme val="minor"/>
    </font>
    <font>
      <b/>
      <sz val="11"/>
      <name val="Calibri"/>
      <family val="2"/>
      <scheme val="minor"/>
    </font>
    <font>
      <u/>
      <sz val="11"/>
      <color theme="10"/>
      <name val="Calibri"/>
      <family val="2"/>
    </font>
    <font>
      <sz val="11"/>
      <color theme="0"/>
      <name val="Calibri"/>
      <family val="2"/>
      <scheme val="minor"/>
    </font>
    <font>
      <b/>
      <sz val="10"/>
      <color theme="1"/>
      <name val="Calibri"/>
      <family val="2"/>
    </font>
    <font>
      <sz val="10"/>
      <color rgb="FFFF0000"/>
      <name val="Calibri"/>
      <family val="2"/>
    </font>
    <font>
      <i/>
      <sz val="10"/>
      <color rgb="FFFF0000"/>
      <name val="Calibri"/>
      <family val="2"/>
    </font>
    <font>
      <b/>
      <i/>
      <sz val="10"/>
      <color theme="1"/>
      <name val="Calibri"/>
      <family val="2"/>
    </font>
    <font>
      <sz val="10"/>
      <color theme="1"/>
      <name val="Calibri"/>
      <family val="2"/>
    </font>
    <font>
      <sz val="11"/>
      <color rgb="FFFF0000"/>
      <name val="Calibri"/>
      <family val="2"/>
    </font>
    <font>
      <b/>
      <sz val="30"/>
      <name val="Calibri"/>
      <family val="2"/>
    </font>
    <font>
      <b/>
      <sz val="11"/>
      <name val="PIGEON alp"/>
    </font>
    <font>
      <sz val="11"/>
      <name val="PIGEON alp"/>
    </font>
    <font>
      <sz val="9"/>
      <color theme="1"/>
      <name val="Arial Narrow"/>
      <family val="2"/>
    </font>
    <font>
      <b/>
      <sz val="12"/>
      <color rgb="FFFF0000"/>
      <name val="Arial Narrow"/>
      <family val="2"/>
    </font>
    <font>
      <b/>
      <sz val="12"/>
      <name val="Arial Narrow"/>
      <family val="2"/>
    </font>
    <font>
      <b/>
      <sz val="9"/>
      <color theme="1"/>
      <name val="Arial Narrow"/>
      <family val="2"/>
    </font>
    <font>
      <sz val="11"/>
      <color theme="1"/>
      <name val="Arial"/>
      <family val="2"/>
      <charset val="128"/>
    </font>
    <font>
      <sz val="9"/>
      <name val="Arial Narrow"/>
      <family val="2"/>
    </font>
    <font>
      <b/>
      <sz val="11"/>
      <color rgb="FFFF0000"/>
      <name val="Calibri"/>
      <family val="2"/>
    </font>
    <font>
      <sz val="8"/>
      <color rgb="FFFF0000"/>
      <name val="Times New Roman"/>
      <family val="1"/>
    </font>
    <font>
      <b/>
      <sz val="11"/>
      <name val="Pi"/>
    </font>
    <font>
      <sz val="11"/>
      <color theme="0"/>
      <name val="Calibri"/>
      <family val="2"/>
    </font>
    <font>
      <i/>
      <sz val="11"/>
      <color theme="0"/>
      <name val="Calibri"/>
      <family val="2"/>
    </font>
    <font>
      <b/>
      <i/>
      <sz val="11"/>
      <color theme="1"/>
      <name val="Calibri"/>
      <family val="2"/>
      <scheme val="minor"/>
    </font>
    <font>
      <i/>
      <sz val="11"/>
      <color rgb="FF000000"/>
      <name val="Calibri"/>
      <family val="2"/>
    </font>
    <font>
      <b/>
      <i/>
      <sz val="11"/>
      <color rgb="FF000000"/>
      <name val="Calibri"/>
      <family val="2"/>
      <scheme val="minor"/>
    </font>
    <font>
      <b/>
      <i/>
      <sz val="11"/>
      <name val="Calibri"/>
      <family val="2"/>
      <scheme val="minor"/>
    </font>
    <font>
      <b/>
      <sz val="11"/>
      <color theme="0"/>
      <name val="PIGEON alp"/>
    </font>
    <font>
      <sz val="11"/>
      <color theme="0"/>
      <name val="PIGEON alp"/>
    </font>
    <font>
      <sz val="9"/>
      <color indexed="81"/>
      <name val="Tahoma"/>
      <family val="2"/>
    </font>
    <font>
      <b/>
      <sz val="9"/>
      <color indexed="81"/>
      <name val="Tahoma"/>
      <family val="2"/>
    </font>
    <font>
      <b/>
      <sz val="12"/>
      <name val="Calibri"/>
      <family val="2"/>
    </font>
    <font>
      <sz val="11"/>
      <color rgb="FF9C0006"/>
      <name val="Calibri"/>
      <family val="2"/>
      <scheme val="minor"/>
    </font>
    <font>
      <sz val="18"/>
      <name val="Calibri"/>
      <family val="2"/>
    </font>
    <font>
      <b/>
      <sz val="28"/>
      <name val="Calibri"/>
      <family val="2"/>
    </font>
    <font>
      <b/>
      <sz val="10"/>
      <color rgb="FFFF0000"/>
      <name val="Arial Narrow"/>
      <family val="2"/>
    </font>
    <font>
      <b/>
      <sz val="11"/>
      <color theme="1"/>
      <name val="PIGEON alp"/>
    </font>
    <font>
      <sz val="9"/>
      <color rgb="FF000000"/>
      <name val="Arial Narrow"/>
      <family val="2"/>
    </font>
    <font>
      <b/>
      <sz val="36"/>
      <color rgb="FF000000"/>
      <name val="Calibri"/>
      <family val="2"/>
    </font>
    <font>
      <sz val="11"/>
      <color rgb="FF000000"/>
      <name val="Calibri"/>
      <family val="2"/>
    </font>
    <font>
      <b/>
      <sz val="26"/>
      <name val="Calibri"/>
      <family val="2"/>
    </font>
  </fonts>
  <fills count="54">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indexed="26"/>
        <bgColor indexed="64"/>
      </patternFill>
    </fill>
    <fill>
      <patternFill patternType="solid">
        <fgColor indexed="22"/>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55"/>
      </patternFill>
    </fill>
    <fill>
      <patternFill patternType="solid">
        <fgColor indexed="9"/>
      </patternFill>
    </fill>
    <fill>
      <patternFill patternType="solid">
        <fgColor indexed="46"/>
      </patternFill>
    </fill>
    <fill>
      <patternFill patternType="solid">
        <fgColor indexed="31"/>
      </patternFill>
    </fill>
    <fill>
      <patternFill patternType="solid">
        <fgColor indexed="42"/>
      </patternFill>
    </fill>
    <fill>
      <patternFill patternType="solid">
        <fgColor indexed="1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57"/>
      </patternFill>
    </fill>
    <fill>
      <patternFill patternType="solid">
        <fgColor indexed="22"/>
      </patternFill>
    </fill>
    <fill>
      <patternFill patternType="solid">
        <fgColor theme="8" tint="0.59999389629810485"/>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patternFill>
    </fill>
    <fill>
      <patternFill patternType="solid">
        <fgColor theme="2"/>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C7CE"/>
      </patternFill>
    </fill>
    <fill>
      <patternFill patternType="solid">
        <fgColor rgb="FFFFC000"/>
        <bgColor indexed="64"/>
      </patternFill>
    </fill>
    <fill>
      <patternFill patternType="solid">
        <fgColor rgb="FFFDBBA9"/>
        <bgColor indexed="64"/>
      </patternFill>
    </fill>
    <fill>
      <patternFill patternType="solid">
        <fgColor theme="7" tint="0.39997558519241921"/>
        <bgColor indexed="64"/>
      </patternFill>
    </fill>
  </fills>
  <borders count="1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bottom style="double">
        <color indexed="52"/>
      </bottom>
      <diagonal/>
    </border>
    <border>
      <left style="thin">
        <color auto="1"/>
      </left>
      <right style="thin">
        <color indexed="64"/>
      </right>
      <top style="thin">
        <color auto="1"/>
      </top>
      <bottom style="thin">
        <color indexed="64"/>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auto="1"/>
      </left>
      <right style="thin">
        <color indexed="64"/>
      </right>
      <top style="thin">
        <color auto="1"/>
      </top>
      <bottom style="thin">
        <color indexed="64"/>
      </bottom>
      <diagonal/>
    </border>
    <border>
      <left/>
      <right/>
      <top style="thin">
        <color auto="1"/>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medium">
        <color indexed="27"/>
      </bottom>
      <diagonal/>
    </border>
    <border>
      <left/>
      <right/>
      <top style="thin">
        <color indexed="56"/>
      </top>
      <bottom style="double">
        <color indexed="56"/>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auto="1"/>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thin">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top style="thin">
        <color indexed="64"/>
      </top>
      <bottom/>
      <diagonal/>
    </border>
    <border>
      <left/>
      <right/>
      <top style="medium">
        <color indexed="64"/>
      </top>
      <bottom style="thin">
        <color indexed="64"/>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top style="thin">
        <color indexed="64"/>
      </top>
      <bottom style="medium">
        <color indexed="64"/>
      </bottom>
      <diagonal/>
    </border>
    <border>
      <left style="medium">
        <color indexed="64"/>
      </left>
      <right style="thin">
        <color theme="4" tint="0.39997558519241921"/>
      </right>
      <top style="medium">
        <color indexed="64"/>
      </top>
      <bottom style="thin">
        <color theme="4" tint="0.39997558519241921"/>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276">
    <xf numFmtId="0" fontId="0" fillId="0" borderId="0">
      <alignment vertical="center"/>
    </xf>
    <xf numFmtId="9" fontId="28" fillId="0" borderId="0">
      <alignment vertical="top"/>
      <protection locked="0"/>
    </xf>
    <xf numFmtId="0" fontId="28" fillId="0" borderId="0">
      <protection locked="0"/>
    </xf>
    <xf numFmtId="9" fontId="24" fillId="0" borderId="0">
      <alignment vertical="top"/>
      <protection locked="0"/>
    </xf>
    <xf numFmtId="0" fontId="24" fillId="0" borderId="0">
      <protection locked="0"/>
    </xf>
    <xf numFmtId="0" fontId="21" fillId="0" borderId="0"/>
    <xf numFmtId="164" fontId="21" fillId="0" borderId="0" applyFont="0" applyFill="0" applyBorder="0" applyAlignment="0" applyProtection="0"/>
    <xf numFmtId="0" fontId="33" fillId="0" borderId="0"/>
    <xf numFmtId="166" fontId="33" fillId="0" borderId="0" applyFont="0" applyFill="0" applyBorder="0" applyAlignment="0" applyProtection="0"/>
    <xf numFmtId="166" fontId="33" fillId="0" borderId="0" applyFont="0" applyFill="0" applyBorder="0" applyAlignment="0" applyProtection="0"/>
    <xf numFmtId="164" fontId="33" fillId="0" borderId="0" applyFont="0" applyFill="0" applyBorder="0" applyAlignment="0" applyProtection="0"/>
    <xf numFmtId="166" fontId="33" fillId="0" borderId="0" applyFont="0" applyFill="0" applyBorder="0" applyAlignment="0" applyProtection="0"/>
    <xf numFmtId="0" fontId="33" fillId="0" borderId="0"/>
    <xf numFmtId="0" fontId="33" fillId="0" borderId="0"/>
    <xf numFmtId="0" fontId="33" fillId="0" borderId="0"/>
    <xf numFmtId="0" fontId="34" fillId="0" borderId="0"/>
    <xf numFmtId="0" fontId="35" fillId="10" borderId="0" applyNumberFormat="0" applyBorder="0" applyAlignment="0" applyProtection="0">
      <alignment vertical="center"/>
    </xf>
    <xf numFmtId="0" fontId="35" fillId="11" borderId="0" applyNumberFormat="0" applyBorder="0" applyAlignment="0" applyProtection="0">
      <alignment vertical="center"/>
    </xf>
    <xf numFmtId="0" fontId="35" fillId="12" borderId="0" applyNumberFormat="0" applyBorder="0" applyAlignment="0" applyProtection="0">
      <alignment vertical="center"/>
    </xf>
    <xf numFmtId="0" fontId="35" fillId="13" borderId="0" applyNumberFormat="0" applyBorder="0" applyAlignment="0" applyProtection="0">
      <alignment vertical="center"/>
    </xf>
    <xf numFmtId="0" fontId="35" fillId="14" borderId="0" applyNumberFormat="0" applyBorder="0" applyAlignment="0" applyProtection="0">
      <alignment vertical="center"/>
    </xf>
    <xf numFmtId="0" fontId="35" fillId="12" borderId="0" applyNumberFormat="0" applyBorder="0" applyAlignment="0" applyProtection="0">
      <alignment vertical="center"/>
    </xf>
    <xf numFmtId="0" fontId="35" fillId="14" borderId="0" applyNumberFormat="0" applyBorder="0" applyAlignment="0" applyProtection="0">
      <alignment vertical="center"/>
    </xf>
    <xf numFmtId="0" fontId="35" fillId="11" borderId="0" applyNumberFormat="0" applyBorder="0" applyAlignment="0" applyProtection="0">
      <alignment vertical="center"/>
    </xf>
    <xf numFmtId="0" fontId="35" fillId="15" borderId="0" applyNumberFormat="0" applyBorder="0" applyAlignment="0" applyProtection="0">
      <alignment vertical="center"/>
    </xf>
    <xf numFmtId="0" fontId="35" fillId="16" borderId="0" applyNumberFormat="0" applyBorder="0" applyAlignment="0" applyProtection="0">
      <alignment vertical="center"/>
    </xf>
    <xf numFmtId="0" fontId="35" fillId="14" borderId="0" applyNumberFormat="0" applyBorder="0" applyAlignment="0" applyProtection="0">
      <alignment vertical="center"/>
    </xf>
    <xf numFmtId="0" fontId="35" fillId="12" borderId="0" applyNumberFormat="0" applyBorder="0" applyAlignment="0" applyProtection="0">
      <alignment vertical="center"/>
    </xf>
    <xf numFmtId="0" fontId="36" fillId="14"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6" fillId="16" borderId="0" applyNumberFormat="0" applyBorder="0" applyAlignment="0" applyProtection="0">
      <alignment vertical="center"/>
    </xf>
    <xf numFmtId="0" fontId="36" fillId="14" borderId="0" applyNumberFormat="0" applyBorder="0" applyAlignment="0" applyProtection="0">
      <alignment vertical="center"/>
    </xf>
    <xf numFmtId="0" fontId="36" fillId="11" borderId="0" applyNumberFormat="0" applyBorder="0" applyAlignment="0" applyProtection="0">
      <alignment vertical="center"/>
    </xf>
    <xf numFmtId="38" fontId="37" fillId="0" borderId="0" applyFont="0" applyFill="0" applyBorder="0" applyAlignment="0" applyProtection="0"/>
    <xf numFmtId="40" fontId="37" fillId="0" borderId="0" applyFont="0" applyFill="0" applyBorder="0" applyAlignment="0" applyProtection="0"/>
    <xf numFmtId="164" fontId="37" fillId="0" borderId="0" applyFont="0" applyFill="0" applyBorder="0" applyAlignment="0" applyProtection="0"/>
    <xf numFmtId="174" fontId="38" fillId="0" borderId="0"/>
    <xf numFmtId="175" fontId="39" fillId="0" borderId="0" applyFill="0" applyBorder="0" applyProtection="0"/>
    <xf numFmtId="176" fontId="38" fillId="0" borderId="0"/>
    <xf numFmtId="177" fontId="39" fillId="0" borderId="0" applyFill="0" applyBorder="0" applyProtection="0"/>
    <xf numFmtId="178" fontId="38" fillId="0" borderId="0"/>
    <xf numFmtId="0" fontId="40" fillId="0" borderId="0">
      <protection locked="0"/>
    </xf>
    <xf numFmtId="0" fontId="40" fillId="0" borderId="0">
      <protection locked="0"/>
    </xf>
    <xf numFmtId="0" fontId="40" fillId="0" borderId="0">
      <protection locked="0"/>
    </xf>
    <xf numFmtId="0" fontId="40" fillId="0" borderId="0">
      <protection locked="0"/>
    </xf>
    <xf numFmtId="0" fontId="40" fillId="0" borderId="0">
      <protection locked="0"/>
    </xf>
    <xf numFmtId="0" fontId="40" fillId="0" borderId="0">
      <protection locked="0"/>
    </xf>
    <xf numFmtId="0" fontId="40" fillId="0" borderId="0">
      <protection locked="0"/>
    </xf>
    <xf numFmtId="38" fontId="41" fillId="9" borderId="0" applyNumberFormat="0" applyBorder="0" applyAlignment="0" applyProtection="0"/>
    <xf numFmtId="0" fontId="42" fillId="0" borderId="6" applyNumberFormat="0" applyAlignment="0" applyProtection="0">
      <alignment horizontal="left" vertical="center"/>
    </xf>
    <xf numFmtId="0" fontId="42" fillId="0" borderId="33">
      <alignment horizontal="left" vertical="center"/>
    </xf>
    <xf numFmtId="10" fontId="41" fillId="8" borderId="16" applyNumberFormat="0" applyBorder="0" applyAlignment="0" applyProtection="0"/>
    <xf numFmtId="37" fontId="43" fillId="0" borderId="0"/>
    <xf numFmtId="179" fontId="38" fillId="0" borderId="0"/>
    <xf numFmtId="0" fontId="37" fillId="0" borderId="0">
      <alignment vertical="center"/>
    </xf>
    <xf numFmtId="0" fontId="33" fillId="0" borderId="0"/>
    <xf numFmtId="0" fontId="33" fillId="0" borderId="0"/>
    <xf numFmtId="0" fontId="44" fillId="0" borderId="0"/>
    <xf numFmtId="0" fontId="44" fillId="0" borderId="0"/>
    <xf numFmtId="0" fontId="37" fillId="0" borderId="0"/>
    <xf numFmtId="10" fontId="33" fillId="0" borderId="0" applyFont="0" applyFill="0" applyBorder="0" applyAlignment="0" applyProtection="0"/>
    <xf numFmtId="9" fontId="37" fillId="0" borderId="0" applyFont="0" applyFill="0" applyBorder="0" applyAlignment="0" applyProtection="0"/>
    <xf numFmtId="1" fontId="33" fillId="0" borderId="34" applyNumberFormat="0" applyFill="0" applyAlignment="0" applyProtection="0">
      <alignment horizontal="center" vertical="center"/>
    </xf>
    <xf numFmtId="0" fontId="45" fillId="0" borderId="0">
      <alignment vertical="top"/>
    </xf>
    <xf numFmtId="0" fontId="36" fillId="19"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6"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45" fillId="0" borderId="0">
      <alignment vertical="top"/>
    </xf>
    <xf numFmtId="0" fontId="46" fillId="0" borderId="0" applyNumberFormat="0" applyFill="0" applyBorder="0" applyAlignment="0" applyProtection="0">
      <alignment vertical="center"/>
    </xf>
    <xf numFmtId="0" fontId="47" fillId="23" borderId="35" applyNumberFormat="0" applyAlignment="0" applyProtection="0">
      <alignment vertical="center"/>
    </xf>
    <xf numFmtId="0" fontId="48" fillId="15" borderId="0" applyNumberFormat="0" applyBorder="0" applyAlignment="0" applyProtection="0">
      <alignment vertical="center"/>
    </xf>
    <xf numFmtId="0" fontId="37" fillId="12" borderId="36" applyNumberFormat="0" applyFont="0" applyAlignment="0" applyProtection="0">
      <alignment vertical="center"/>
    </xf>
    <xf numFmtId="0" fontId="49" fillId="0" borderId="37" applyNumberFormat="0" applyFill="0" applyAlignment="0" applyProtection="0">
      <alignment vertical="center"/>
    </xf>
    <xf numFmtId="0" fontId="50" fillId="15" borderId="38" applyNumberFormat="0" applyAlignment="0" applyProtection="0">
      <alignment vertical="center"/>
    </xf>
    <xf numFmtId="0" fontId="51" fillId="24" borderId="39" applyNumberFormat="0" applyAlignment="0" applyProtection="0">
      <alignment vertical="center"/>
    </xf>
    <xf numFmtId="0" fontId="52" fillId="0" borderId="0"/>
    <xf numFmtId="0" fontId="53" fillId="25" borderId="0" applyNumberFormat="0" applyBorder="0" applyAlignment="0" applyProtection="0">
      <alignment vertical="center"/>
    </xf>
    <xf numFmtId="0" fontId="33" fillId="0" borderId="0" applyFont="0" applyFill="0" applyBorder="0" applyAlignment="0" applyProtection="0"/>
    <xf numFmtId="0" fontId="33" fillId="0" borderId="0" applyFont="0" applyFill="0" applyBorder="0" applyAlignment="0" applyProtection="0"/>
    <xf numFmtId="172" fontId="54" fillId="0" borderId="0" applyFont="0" applyFill="0" applyBorder="0" applyAlignment="0" applyProtection="0"/>
    <xf numFmtId="171" fontId="54" fillId="0" borderId="0" applyFont="0" applyFill="0" applyBorder="0" applyAlignment="0" applyProtection="0"/>
    <xf numFmtId="0" fontId="55" fillId="14" borderId="0" applyNumberFormat="0" applyBorder="0" applyAlignment="0" applyProtection="0">
      <alignment vertical="center"/>
    </xf>
    <xf numFmtId="0" fontId="56" fillId="0" borderId="40" applyNumberFormat="0" applyFill="0" applyAlignment="0" applyProtection="0">
      <alignment vertical="center"/>
    </xf>
    <xf numFmtId="0" fontId="57" fillId="0" borderId="41" applyNumberFormat="0" applyFill="0" applyAlignment="0" applyProtection="0">
      <alignment vertical="center"/>
    </xf>
    <xf numFmtId="0" fontId="58" fillId="0" borderId="42" applyNumberFormat="0" applyFill="0" applyAlignment="0" applyProtection="0">
      <alignment vertical="center"/>
    </xf>
    <xf numFmtId="0" fontId="58" fillId="0" borderId="0" applyNumberFormat="0" applyFill="0" applyBorder="0" applyAlignment="0" applyProtection="0">
      <alignment vertical="center"/>
    </xf>
    <xf numFmtId="0" fontId="59" fillId="24" borderId="38" applyNumberFormat="0" applyAlignment="0" applyProtection="0">
      <alignment vertical="center"/>
    </xf>
    <xf numFmtId="0" fontId="60"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61" fillId="0" borderId="43" applyNumberFormat="0" applyFill="0" applyAlignment="0" applyProtection="0">
      <alignment vertical="center"/>
    </xf>
    <xf numFmtId="166" fontId="62" fillId="0" borderId="0" applyFont="0" applyFill="0" applyBorder="0" applyAlignment="0" applyProtection="0"/>
    <xf numFmtId="0" fontId="62" fillId="0" borderId="0"/>
    <xf numFmtId="0" fontId="62" fillId="0" borderId="0"/>
    <xf numFmtId="9" fontId="62" fillId="0" borderId="0" applyFont="0" applyFill="0" applyBorder="0" applyAlignment="0" applyProtection="0"/>
    <xf numFmtId="0" fontId="63" fillId="26" borderId="0" applyNumberFormat="0" applyBorder="0" applyAlignment="0" applyProtection="0">
      <alignment vertical="center"/>
    </xf>
    <xf numFmtId="0" fontId="63" fillId="16" borderId="0" applyNumberFormat="0" applyBorder="0" applyAlignment="0" applyProtection="0">
      <alignment vertical="center"/>
    </xf>
    <xf numFmtId="0" fontId="63" fillId="27" borderId="0" applyNumberFormat="0" applyBorder="0" applyAlignment="0" applyProtection="0">
      <alignment vertical="center"/>
    </xf>
    <xf numFmtId="0" fontId="63" fillId="25" borderId="0" applyNumberFormat="0" applyBorder="0" applyAlignment="0" applyProtection="0">
      <alignment vertical="center"/>
    </xf>
    <xf numFmtId="0" fontId="63" fillId="14" borderId="0" applyNumberFormat="0" applyBorder="0" applyAlignment="0" applyProtection="0">
      <alignment vertical="center"/>
    </xf>
    <xf numFmtId="0" fontId="63" fillId="13" borderId="0" applyNumberFormat="0" applyBorder="0" applyAlignment="0" applyProtection="0">
      <alignment vertical="center"/>
    </xf>
    <xf numFmtId="0" fontId="63" fillId="10" borderId="0" applyNumberFormat="0" applyBorder="0" applyAlignment="0" applyProtection="0">
      <alignment vertical="center"/>
    </xf>
    <xf numFmtId="0" fontId="63" fillId="11" borderId="0" applyNumberFormat="0" applyBorder="0" applyAlignment="0" applyProtection="0">
      <alignment vertical="center"/>
    </xf>
    <xf numFmtId="0" fontId="63" fillId="28" borderId="0" applyNumberFormat="0" applyBorder="0" applyAlignment="0" applyProtection="0">
      <alignment vertical="center"/>
    </xf>
    <xf numFmtId="0" fontId="63" fillId="25" borderId="0" applyNumberFormat="0" applyBorder="0" applyAlignment="0" applyProtection="0">
      <alignment vertical="center"/>
    </xf>
    <xf numFmtId="0" fontId="63" fillId="10" borderId="0" applyNumberFormat="0" applyBorder="0" applyAlignment="0" applyProtection="0">
      <alignment vertical="center"/>
    </xf>
    <xf numFmtId="0" fontId="63" fillId="18" borderId="0" applyNumberFormat="0" applyBorder="0" applyAlignment="0" applyProtection="0">
      <alignment vertical="center"/>
    </xf>
    <xf numFmtId="0" fontId="64" fillId="29" borderId="0" applyNumberFormat="0" applyBorder="0" applyAlignment="0" applyProtection="0">
      <alignment vertical="center"/>
    </xf>
    <xf numFmtId="0" fontId="64" fillId="11" borderId="0" applyNumberFormat="0" applyBorder="0" applyAlignment="0" applyProtection="0">
      <alignment vertical="center"/>
    </xf>
    <xf numFmtId="0" fontId="64" fillId="28" borderId="0" applyNumberFormat="0" applyBorder="0" applyAlignment="0" applyProtection="0">
      <alignment vertical="center"/>
    </xf>
    <xf numFmtId="0" fontId="64" fillId="30" borderId="0" applyNumberFormat="0" applyBorder="0" applyAlignment="0" applyProtection="0">
      <alignment vertical="center"/>
    </xf>
    <xf numFmtId="0" fontId="64" fillId="21" borderId="0" applyNumberFormat="0" applyBorder="0" applyAlignment="0" applyProtection="0">
      <alignment vertical="center"/>
    </xf>
    <xf numFmtId="0" fontId="64" fillId="31" borderId="0" applyNumberFormat="0" applyBorder="0" applyAlignment="0" applyProtection="0">
      <alignment vertical="center"/>
    </xf>
    <xf numFmtId="180" fontId="37" fillId="0" borderId="0" applyFill="0" applyBorder="0">
      <alignment vertical="center"/>
    </xf>
    <xf numFmtId="181" fontId="62" fillId="0" borderId="0" applyFont="0" applyFill="0" applyBorder="0" applyAlignment="0" applyProtection="0"/>
    <xf numFmtId="38" fontId="37" fillId="0" borderId="0" applyFont="0" applyFill="0" applyBorder="0" applyAlignment="0" applyProtection="0"/>
    <xf numFmtId="38" fontId="37" fillId="0" borderId="0" applyFont="0" applyFill="0" applyBorder="0" applyAlignment="0" applyProtection="0">
      <alignment vertical="center"/>
    </xf>
    <xf numFmtId="41" fontId="62" fillId="0" borderId="0" applyFont="0" applyFill="0" applyBorder="0" applyAlignment="0" applyProtection="0"/>
    <xf numFmtId="41" fontId="62" fillId="0" borderId="0" applyFont="0" applyFill="0" applyBorder="0" applyAlignment="0" applyProtection="0"/>
    <xf numFmtId="180" fontId="62" fillId="0" borderId="0" applyFont="0" applyFill="0" applyBorder="0" applyAlignment="0" applyProtection="0"/>
    <xf numFmtId="180" fontId="62" fillId="0" borderId="0" applyFont="0" applyFill="0" applyBorder="0" applyAlignment="0" applyProtection="0"/>
    <xf numFmtId="168" fontId="62" fillId="0" borderId="0" applyFont="0" applyFill="0" applyBorder="0" applyAlignment="0" applyProtection="0"/>
    <xf numFmtId="168" fontId="62" fillId="0" borderId="0" applyFont="0" applyFill="0" applyBorder="0" applyAlignment="0" applyProtection="0"/>
    <xf numFmtId="40" fontId="37" fillId="0" borderId="0" applyFont="0" applyFill="0" applyBorder="0" applyAlignment="0" applyProtection="0">
      <alignment vertical="center"/>
    </xf>
    <xf numFmtId="164" fontId="65" fillId="0" borderId="0" applyFont="0" applyFill="0" applyBorder="0" applyAlignment="0" applyProtection="0"/>
    <xf numFmtId="182" fontId="62" fillId="0" borderId="0" applyFont="0" applyFill="0" applyBorder="0" applyAlignment="0" applyProtection="0"/>
    <xf numFmtId="166" fontId="62" fillId="0" borderId="0" applyFont="0" applyFill="0" applyBorder="0" applyAlignment="0" applyProtection="0"/>
    <xf numFmtId="173" fontId="62" fillId="0" borderId="0" applyFont="0" applyFill="0" applyBorder="0" applyAlignment="0" applyProtection="0"/>
    <xf numFmtId="166" fontId="62" fillId="0" borderId="0" applyFont="0" applyFill="0" applyBorder="0" applyAlignment="0" applyProtection="0"/>
    <xf numFmtId="173" fontId="62" fillId="0" borderId="0" applyFont="0" applyFill="0" applyBorder="0" applyAlignment="0" applyProtection="0"/>
    <xf numFmtId="167" fontId="62" fillId="0" borderId="0" applyFont="0" applyFill="0" applyBorder="0" applyAlignment="0" applyProtection="0"/>
    <xf numFmtId="167" fontId="62" fillId="0" borderId="0" applyFont="0" applyFill="0" applyBorder="0" applyAlignment="0" applyProtection="0"/>
    <xf numFmtId="183" fontId="65" fillId="0" borderId="0" applyFont="0" applyFill="0" applyBorder="0" applyAlignment="0" applyProtection="0"/>
    <xf numFmtId="0" fontId="66" fillId="0" borderId="0" applyNumberFormat="0" applyFill="0" applyBorder="0" applyAlignment="0" applyProtection="0">
      <alignment vertical="top"/>
      <protection locked="0"/>
    </xf>
    <xf numFmtId="1" fontId="67" fillId="0" borderId="0" applyProtection="0"/>
    <xf numFmtId="0" fontId="37" fillId="0" borderId="0">
      <alignment vertical="center"/>
    </xf>
    <xf numFmtId="165" fontId="62" fillId="0" borderId="0" applyFont="0" applyFill="0" applyBorder="0" applyAlignment="0" applyProtection="0"/>
    <xf numFmtId="166" fontId="62" fillId="0" borderId="0" applyFont="0" applyFill="0" applyBorder="0" applyAlignment="0" applyProtection="0"/>
    <xf numFmtId="169" fontId="62" fillId="0" borderId="0" applyFont="0" applyFill="0" applyBorder="0" applyAlignment="0" applyProtection="0"/>
    <xf numFmtId="170" fontId="62" fillId="0" borderId="0" applyFont="0" applyFill="0" applyBorder="0" applyAlignment="0" applyProtection="0"/>
    <xf numFmtId="0" fontId="62" fillId="0" borderId="0"/>
    <xf numFmtId="0" fontId="68" fillId="27" borderId="0" applyNumberFormat="0" applyBorder="0" applyAlignment="0" applyProtection="0">
      <alignment vertical="center"/>
    </xf>
    <xf numFmtId="0" fontId="69" fillId="16" borderId="0" applyNumberFormat="0" applyBorder="0" applyAlignment="0" applyProtection="0">
      <alignment vertical="center"/>
    </xf>
    <xf numFmtId="0" fontId="64" fillId="32" borderId="0" applyNumberFormat="0" applyBorder="0" applyAlignment="0" applyProtection="0">
      <alignment vertical="center"/>
    </xf>
    <xf numFmtId="0" fontId="64" fillId="22" borderId="0" applyNumberFormat="0" applyBorder="0" applyAlignment="0" applyProtection="0">
      <alignment vertical="center"/>
    </xf>
    <xf numFmtId="0" fontId="64" fillId="33" borderId="0" applyNumberFormat="0" applyBorder="0" applyAlignment="0" applyProtection="0">
      <alignment vertical="center"/>
    </xf>
    <xf numFmtId="0" fontId="64" fillId="30" borderId="0" applyNumberFormat="0" applyBorder="0" applyAlignment="0" applyProtection="0">
      <alignment vertical="center"/>
    </xf>
    <xf numFmtId="0" fontId="64" fillId="21" borderId="0" applyNumberFormat="0" applyBorder="0" applyAlignment="0" applyProtection="0">
      <alignment vertical="center"/>
    </xf>
    <xf numFmtId="0" fontId="64" fillId="17" borderId="0" applyNumberFormat="0" applyBorder="0" applyAlignment="0" applyProtection="0">
      <alignment vertical="center"/>
    </xf>
    <xf numFmtId="0" fontId="70" fillId="0" borderId="0" applyNumberFormat="0" applyFill="0" applyBorder="0" applyAlignment="0" applyProtection="0">
      <alignment vertical="center"/>
    </xf>
    <xf numFmtId="0" fontId="71" fillId="0" borderId="44" applyNumberFormat="0" applyFill="0" applyAlignment="0" applyProtection="0">
      <alignment vertical="center"/>
    </xf>
    <xf numFmtId="0" fontId="72" fillId="0" borderId="45" applyNumberFormat="0" applyFill="0" applyAlignment="0" applyProtection="0">
      <alignment vertical="center"/>
    </xf>
    <xf numFmtId="0" fontId="73" fillId="0" borderId="46" applyNumberFormat="0" applyFill="0" applyAlignment="0" applyProtection="0">
      <alignment vertical="center"/>
    </xf>
    <xf numFmtId="0" fontId="73" fillId="0" borderId="0" applyNumberFormat="0" applyFill="0" applyBorder="0" applyAlignment="0" applyProtection="0">
      <alignment vertical="center"/>
    </xf>
    <xf numFmtId="0" fontId="74" fillId="23" borderId="35" applyNumberFormat="0" applyAlignment="0" applyProtection="0">
      <alignment vertical="center"/>
    </xf>
    <xf numFmtId="0" fontId="75" fillId="0" borderId="47" applyNumberFormat="0" applyFill="0" applyAlignment="0" applyProtection="0">
      <alignment vertical="center"/>
    </xf>
    <xf numFmtId="0" fontId="76" fillId="12" borderId="36" applyNumberFormat="0" applyFont="0" applyAlignment="0" applyProtection="0">
      <alignment vertical="center"/>
    </xf>
    <xf numFmtId="0" fontId="77"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9" fillId="34" borderId="38" applyNumberFormat="0" applyAlignment="0" applyProtection="0">
      <alignment vertical="center"/>
    </xf>
    <xf numFmtId="0" fontId="80" fillId="13" borderId="38" applyNumberFormat="0" applyAlignment="0" applyProtection="0">
      <alignment vertical="center"/>
    </xf>
    <xf numFmtId="0" fontId="81" fillId="34" borderId="39" applyNumberFormat="0" applyAlignment="0" applyProtection="0">
      <alignment vertical="center"/>
    </xf>
    <xf numFmtId="0" fontId="82" fillId="15" borderId="0" applyNumberFormat="0" applyBorder="0" applyAlignment="0" applyProtection="0">
      <alignment vertical="center"/>
    </xf>
    <xf numFmtId="0" fontId="83" fillId="0" borderId="48" applyNumberFormat="0" applyFill="0" applyAlignment="0" applyProtection="0">
      <alignment vertical="center"/>
    </xf>
    <xf numFmtId="0" fontId="35" fillId="0" borderId="0"/>
    <xf numFmtId="38" fontId="35" fillId="0" borderId="0" applyFont="0" applyFill="0" applyBorder="0" applyAlignment="0" applyProtection="0">
      <alignment vertical="center"/>
    </xf>
    <xf numFmtId="0" fontId="33" fillId="0" borderId="0"/>
    <xf numFmtId="0" fontId="33" fillId="0" borderId="0"/>
    <xf numFmtId="166" fontId="33"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3" fontId="21" fillId="0" borderId="0" applyFont="0" applyFill="0" applyBorder="0" applyAlignment="0" applyProtection="0"/>
    <xf numFmtId="182" fontId="33" fillId="0" borderId="0" applyFont="0" applyFill="0" applyBorder="0" applyAlignment="0" applyProtection="0"/>
    <xf numFmtId="182" fontId="33" fillId="0" borderId="0" applyFont="0" applyFill="0" applyBorder="0" applyAlignment="0" applyProtection="0"/>
    <xf numFmtId="166" fontId="21" fillId="0" borderId="0" applyFont="0" applyFill="0" applyBorder="0" applyAlignment="0" applyProtection="0"/>
    <xf numFmtId="0" fontId="51" fillId="24" borderId="53" applyNumberFormat="0" applyAlignment="0" applyProtection="0">
      <alignment vertical="center"/>
    </xf>
    <xf numFmtId="0" fontId="50" fillId="15" borderId="52" applyNumberFormat="0" applyAlignment="0" applyProtection="0">
      <alignment vertical="center"/>
    </xf>
    <xf numFmtId="0" fontId="37" fillId="12" borderId="51" applyNumberFormat="0" applyFont="0" applyAlignment="0" applyProtection="0">
      <alignment vertical="center"/>
    </xf>
    <xf numFmtId="164" fontId="33" fillId="0" borderId="0" applyFont="0" applyFill="0" applyBorder="0" applyAlignment="0" applyProtection="0"/>
    <xf numFmtId="0" fontId="42" fillId="0" borderId="50">
      <alignment horizontal="left" vertical="center"/>
    </xf>
    <xf numFmtId="10" fontId="41" fillId="8" borderId="49" applyNumberFormat="0" applyBorder="0" applyAlignment="0" applyProtection="0"/>
    <xf numFmtId="0" fontId="33" fillId="0" borderId="0"/>
    <xf numFmtId="0" fontId="33" fillId="0" borderId="0"/>
    <xf numFmtId="0" fontId="33" fillId="0" borderId="0"/>
    <xf numFmtId="10" fontId="33" fillId="0" borderId="0" applyFont="0" applyFill="0" applyBorder="0" applyAlignment="0" applyProtection="0"/>
    <xf numFmtId="1" fontId="33" fillId="0" borderId="34" applyNumberFormat="0" applyFill="0" applyAlignment="0" applyProtection="0">
      <alignment horizontal="center" vertical="center"/>
    </xf>
    <xf numFmtId="0" fontId="37" fillId="12" borderId="51" applyNumberFormat="0" applyFont="0" applyAlignment="0" applyProtection="0">
      <alignment vertical="center"/>
    </xf>
    <xf numFmtId="0" fontId="50" fillId="15" borderId="52" applyNumberFormat="0" applyAlignment="0" applyProtection="0">
      <alignment vertical="center"/>
    </xf>
    <xf numFmtId="0" fontId="51" fillId="24" borderId="53" applyNumberFormat="0" applyAlignment="0" applyProtection="0">
      <alignment vertical="center"/>
    </xf>
    <xf numFmtId="0" fontId="75" fillId="0" borderId="54" applyNumberFormat="0" applyFill="0" applyAlignment="0" applyProtection="0">
      <alignment vertical="center"/>
    </xf>
    <xf numFmtId="0" fontId="76" fillId="12" borderId="51" applyNumberFormat="0" applyFont="0" applyAlignment="0" applyProtection="0">
      <alignment vertical="center"/>
    </xf>
    <xf numFmtId="0" fontId="59" fillId="24" borderId="52" applyNumberFormat="0" applyAlignment="0" applyProtection="0">
      <alignment vertical="center"/>
    </xf>
    <xf numFmtId="0" fontId="79" fillId="34" borderId="52" applyNumberFormat="0" applyAlignment="0" applyProtection="0">
      <alignment vertical="center"/>
    </xf>
    <xf numFmtId="0" fontId="80" fillId="13" borderId="52" applyNumberFormat="0" applyAlignment="0" applyProtection="0">
      <alignment vertical="center"/>
    </xf>
    <xf numFmtId="0" fontId="81" fillId="34" borderId="53" applyNumberFormat="0" applyAlignment="0" applyProtection="0">
      <alignment vertical="center"/>
    </xf>
    <xf numFmtId="0" fontId="61" fillId="0" borderId="55" applyNumberFormat="0" applyFill="0" applyAlignment="0" applyProtection="0">
      <alignment vertical="center"/>
    </xf>
    <xf numFmtId="0" fontId="21" fillId="0" borderId="0"/>
    <xf numFmtId="0" fontId="75" fillId="0" borderId="54" applyNumberFormat="0" applyFill="0" applyAlignment="0" applyProtection="0">
      <alignment vertical="center"/>
    </xf>
    <xf numFmtId="0" fontId="76" fillId="12" borderId="51" applyNumberFormat="0" applyFont="0" applyAlignment="0" applyProtection="0">
      <alignment vertical="center"/>
    </xf>
    <xf numFmtId="0" fontId="59" fillId="24" borderId="52" applyNumberFormat="0" applyAlignment="0" applyProtection="0">
      <alignment vertical="center"/>
    </xf>
    <xf numFmtId="0" fontId="79" fillId="34" borderId="52" applyNumberFormat="0" applyAlignment="0" applyProtection="0">
      <alignment vertical="center"/>
    </xf>
    <xf numFmtId="0" fontId="80" fillId="13" borderId="52" applyNumberFormat="0" applyAlignment="0" applyProtection="0">
      <alignment vertical="center"/>
    </xf>
    <xf numFmtId="0" fontId="81" fillId="34" borderId="53" applyNumberFormat="0" applyAlignment="0" applyProtection="0">
      <alignment vertical="center"/>
    </xf>
    <xf numFmtId="0" fontId="61" fillId="0" borderId="55" applyNumberFormat="0" applyFill="0" applyAlignment="0" applyProtection="0">
      <alignment vertical="center"/>
    </xf>
    <xf numFmtId="0" fontId="21" fillId="0" borderId="0"/>
    <xf numFmtId="0" fontId="84" fillId="0" borderId="0"/>
    <xf numFmtId="38" fontId="84" fillId="0" borderId="0" applyFont="0" applyFill="0" applyBorder="0" applyAlignment="0" applyProtection="0">
      <alignment vertical="center"/>
    </xf>
    <xf numFmtId="41" fontId="21" fillId="0" borderId="0" applyFont="0" applyFill="0" applyBorder="0" applyAlignment="0" applyProtection="0"/>
    <xf numFmtId="0" fontId="85" fillId="0" borderId="0">
      <alignment vertical="center"/>
    </xf>
    <xf numFmtId="38" fontId="85" fillId="0" borderId="0" applyFont="0" applyFill="0" applyBorder="0" applyAlignment="0" applyProtection="0">
      <alignment vertical="center"/>
    </xf>
    <xf numFmtId="9" fontId="85" fillId="0" borderId="0" applyFont="0" applyFill="0" applyBorder="0" applyAlignment="0" applyProtection="0">
      <alignment vertical="center"/>
    </xf>
    <xf numFmtId="0" fontId="84" fillId="0" borderId="0">
      <alignment vertical="center"/>
    </xf>
    <xf numFmtId="9" fontId="85" fillId="0" borderId="0" applyFont="0" applyFill="0" applyBorder="0" applyAlignment="0" applyProtection="0">
      <alignment vertical="center"/>
    </xf>
    <xf numFmtId="0" fontId="85" fillId="0" borderId="0">
      <alignment vertical="center"/>
    </xf>
    <xf numFmtId="9" fontId="85" fillId="0" borderId="0" applyFont="0" applyFill="0" applyBorder="0" applyAlignment="0" applyProtection="0">
      <alignment vertical="center"/>
    </xf>
    <xf numFmtId="0" fontId="85" fillId="0" borderId="0">
      <alignment vertical="center"/>
    </xf>
    <xf numFmtId="166" fontId="85" fillId="0" borderId="0" applyFont="0" applyFill="0" applyBorder="0" applyAlignment="0" applyProtection="0"/>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0" fontId="85" fillId="0" borderId="0">
      <alignment vertical="center"/>
    </xf>
    <xf numFmtId="166" fontId="85" fillId="0" borderId="0" applyFont="0" applyFill="0" applyBorder="0" applyAlignment="0" applyProtection="0"/>
    <xf numFmtId="0" fontId="85" fillId="0" borderId="0">
      <alignment vertical="center"/>
    </xf>
    <xf numFmtId="166" fontId="85" fillId="0" borderId="0" applyFont="0" applyFill="0" applyBorder="0" applyAlignment="0" applyProtection="0"/>
    <xf numFmtId="0" fontId="85" fillId="0" borderId="0">
      <alignment vertical="center"/>
    </xf>
    <xf numFmtId="166" fontId="85" fillId="0" borderId="0" applyFont="0" applyFill="0" applyBorder="0" applyAlignment="0" applyProtection="0"/>
    <xf numFmtId="166" fontId="85" fillId="0" borderId="0" applyFont="0" applyFill="0" applyBorder="0" applyAlignment="0" applyProtection="0"/>
    <xf numFmtId="166" fontId="85" fillId="0" borderId="0" applyFont="0" applyFill="0" applyBorder="0" applyAlignment="0" applyProtection="0"/>
    <xf numFmtId="0" fontId="85" fillId="0" borderId="0">
      <alignment vertical="center"/>
    </xf>
    <xf numFmtId="9" fontId="21" fillId="0" borderId="0" applyFont="0" applyFill="0" applyBorder="0" applyAlignment="0" applyProtection="0"/>
    <xf numFmtId="0" fontId="21" fillId="0" borderId="0"/>
    <xf numFmtId="164" fontId="21" fillId="0" borderId="0" applyFont="0" applyFill="0" applyBorder="0" applyAlignment="0" applyProtection="0"/>
    <xf numFmtId="0" fontId="42" fillId="0" borderId="57">
      <alignment horizontal="lef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60" applyNumberFormat="0" applyAlignment="0" applyProtection="0">
      <alignment vertical="center"/>
    </xf>
    <xf numFmtId="0" fontId="58" fillId="0" borderId="61" applyNumberFormat="0" applyFill="0" applyAlignment="0" applyProtection="0">
      <alignment vertical="center"/>
    </xf>
    <xf numFmtId="0" fontId="59" fillId="24" borderId="59" applyNumberFormat="0" applyAlignment="0" applyProtection="0">
      <alignment vertical="center"/>
    </xf>
    <xf numFmtId="0" fontId="61" fillId="0" borderId="62" applyNumberFormat="0" applyFill="0" applyAlignment="0" applyProtection="0">
      <alignment vertical="center"/>
    </xf>
    <xf numFmtId="0" fontId="73" fillId="0" borderId="63" applyNumberFormat="0" applyFill="0" applyAlignment="0" applyProtection="0">
      <alignment vertical="center"/>
    </xf>
    <xf numFmtId="0" fontId="75" fillId="0" borderId="64" applyNumberFormat="0" applyFill="0" applyAlignment="0" applyProtection="0">
      <alignment vertical="center"/>
    </xf>
    <xf numFmtId="0" fontId="76" fillId="12" borderId="58" applyNumberFormat="0" applyFon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60" applyNumberFormat="0" applyAlignment="0" applyProtection="0">
      <alignment vertical="center"/>
    </xf>
    <xf numFmtId="0" fontId="51" fillId="24" borderId="60" applyNumberFormat="0" applyAlignment="0" applyProtection="0">
      <alignment vertical="center"/>
    </xf>
    <xf numFmtId="0" fontId="50" fillId="15" borderId="59" applyNumberFormat="0" applyAlignment="0" applyProtection="0">
      <alignment vertical="center"/>
    </xf>
    <xf numFmtId="0" fontId="37" fillId="12" borderId="58" applyNumberFormat="0" applyFont="0" applyAlignment="0" applyProtection="0">
      <alignment vertical="center"/>
    </xf>
    <xf numFmtId="0" fontId="42" fillId="0" borderId="57">
      <alignment horizontal="lef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60" applyNumberFormat="0" applyAlignment="0" applyProtection="0">
      <alignment vertical="center"/>
    </xf>
    <xf numFmtId="0" fontId="75" fillId="0" borderId="64"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60" applyNumberFormat="0" applyAlignment="0" applyProtection="0">
      <alignment vertical="center"/>
    </xf>
    <xf numFmtId="0" fontId="61" fillId="0" borderId="62" applyNumberFormat="0" applyFill="0" applyAlignment="0" applyProtection="0">
      <alignment vertical="center"/>
    </xf>
    <xf numFmtId="0" fontId="75" fillId="0" borderId="64"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60" applyNumberFormat="0" applyAlignment="0" applyProtection="0">
      <alignment vertical="center"/>
    </xf>
    <xf numFmtId="0" fontId="61" fillId="0" borderId="62" applyNumberFormat="0" applyFill="0" applyAlignment="0" applyProtection="0">
      <alignment vertical="center"/>
    </xf>
    <xf numFmtId="9" fontId="21" fillId="0" borderId="0" applyFont="0" applyFill="0" applyBorder="0" applyAlignment="0" applyProtection="0"/>
    <xf numFmtId="166" fontId="86" fillId="0" borderId="0" applyFont="0" applyFill="0" applyBorder="0" applyAlignment="0" applyProtection="0"/>
    <xf numFmtId="0" fontId="88" fillId="0" borderId="0"/>
    <xf numFmtId="0" fontId="84" fillId="0" borderId="0">
      <alignment vertical="center"/>
    </xf>
    <xf numFmtId="0" fontId="20" fillId="0" borderId="0"/>
    <xf numFmtId="9" fontId="20" fillId="0" borderId="0" applyFont="0" applyFill="0" applyBorder="0" applyAlignment="0" applyProtection="0"/>
    <xf numFmtId="0" fontId="19" fillId="0" borderId="0"/>
    <xf numFmtId="9" fontId="24" fillId="0" borderId="0">
      <alignment vertical="top"/>
      <protection locked="0"/>
    </xf>
    <xf numFmtId="9" fontId="24" fillId="0" borderId="0">
      <alignment vertical="top"/>
      <protection locked="0"/>
    </xf>
    <xf numFmtId="0" fontId="18" fillId="0" borderId="0"/>
    <xf numFmtId="164" fontId="18"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173" fontId="18" fillId="0" borderId="0" applyFont="0" applyFill="0" applyBorder="0" applyAlignment="0" applyProtection="0"/>
    <xf numFmtId="166" fontId="18" fillId="0" borderId="0" applyFont="0" applyFill="0" applyBorder="0" applyAlignment="0" applyProtection="0"/>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18" fillId="0" borderId="0"/>
    <xf numFmtId="0" fontId="81" fillId="34" borderId="39" applyNumberFormat="0" applyAlignment="0" applyProtection="0">
      <alignment vertical="center"/>
    </xf>
    <xf numFmtId="0" fontId="18" fillId="0" borderId="0"/>
    <xf numFmtId="41" fontId="18" fillId="0" borderId="0" applyFont="0" applyFill="0" applyBorder="0" applyAlignment="0" applyProtection="0"/>
    <xf numFmtId="9" fontId="18" fillId="0" borderId="0" applyFont="0" applyFill="0" applyBorder="0" applyAlignment="0" applyProtection="0"/>
    <xf numFmtId="0" fontId="18" fillId="0" borderId="0"/>
    <xf numFmtId="164" fontId="18" fillId="0" borderId="0" applyFont="0" applyFill="0" applyBorder="0" applyAlignment="0" applyProtection="0"/>
    <xf numFmtId="0" fontId="51" fillId="24" borderId="3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81" fillId="34" borderId="39" applyNumberFormat="0" applyAlignment="0" applyProtection="0">
      <alignment vertical="center"/>
    </xf>
    <xf numFmtId="9" fontId="18" fillId="0" borderId="0" applyFont="0" applyFill="0" applyBorder="0" applyAlignment="0" applyProtection="0"/>
    <xf numFmtId="166" fontId="30"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7" fillId="0" borderId="0"/>
    <xf numFmtId="0" fontId="16" fillId="0" borderId="0"/>
    <xf numFmtId="0" fontId="15" fillId="0" borderId="0"/>
    <xf numFmtId="9" fontId="15" fillId="0" borderId="0" applyFont="0" applyFill="0" applyBorder="0" applyAlignment="0" applyProtection="0"/>
    <xf numFmtId="0" fontId="13" fillId="0" borderId="0"/>
    <xf numFmtId="9" fontId="13" fillId="0" borderId="0" applyFont="0" applyFill="0" applyBorder="0" applyAlignment="0" applyProtection="0"/>
    <xf numFmtId="0" fontId="12" fillId="0" borderId="0"/>
    <xf numFmtId="9" fontId="12" fillId="0" borderId="0" applyFont="0" applyFill="0" applyBorder="0" applyAlignment="0" applyProtection="0"/>
    <xf numFmtId="0" fontId="11" fillId="0" borderId="0"/>
    <xf numFmtId="9" fontId="11" fillId="0" borderId="0" applyFont="0" applyFill="0" applyBorder="0" applyAlignment="0" applyProtection="0"/>
    <xf numFmtId="0" fontId="10" fillId="0" borderId="0"/>
    <xf numFmtId="9" fontId="10" fillId="0" borderId="0" applyFont="0" applyFill="0" applyBorder="0" applyAlignment="0" applyProtection="0"/>
    <xf numFmtId="0" fontId="9" fillId="0" borderId="0"/>
    <xf numFmtId="9" fontId="9" fillId="0" borderId="0" applyFont="0" applyFill="0" applyBorder="0" applyAlignment="0" applyProtection="0"/>
    <xf numFmtId="0" fontId="110" fillId="0" borderId="0" applyNumberFormat="0" applyFill="0" applyBorder="0" applyAlignment="0" applyProtection="0">
      <alignment vertical="center"/>
    </xf>
    <xf numFmtId="0" fontId="111" fillId="43" borderId="0" applyNumberFormat="0" applyBorder="0" applyAlignment="0" applyProtection="0"/>
    <xf numFmtId="0" fontId="30" fillId="0" borderId="0">
      <alignment vertical="center"/>
    </xf>
    <xf numFmtId="9" fontId="8" fillId="0" borderId="0" applyFont="0" applyFill="0" applyBorder="0" applyAlignment="0" applyProtection="0"/>
    <xf numFmtId="0" fontId="30" fillId="0" borderId="0">
      <alignment vertical="center"/>
    </xf>
    <xf numFmtId="9" fontId="7" fillId="0" borderId="0" applyFont="0" applyFill="0" applyBorder="0" applyAlignment="0" applyProtection="0"/>
    <xf numFmtId="0" fontId="7" fillId="0" borderId="0"/>
    <xf numFmtId="0" fontId="125" fillId="0" borderId="0"/>
    <xf numFmtId="173" fontId="125" fillId="0" borderId="0" applyFont="0" applyFill="0" applyBorder="0" applyAlignment="0" applyProtection="0"/>
    <xf numFmtId="164" fontId="7" fillId="0" borderId="0" applyFont="0" applyFill="0" applyBorder="0" applyAlignment="0" applyProtection="0"/>
    <xf numFmtId="0" fontId="7" fillId="0" borderId="0"/>
    <xf numFmtId="9" fontId="6" fillId="0" borderId="0" applyFont="0" applyFill="0" applyBorder="0" applyAlignment="0" applyProtection="0"/>
    <xf numFmtId="9" fontId="5" fillId="0" borderId="0" applyFont="0" applyFill="0" applyBorder="0" applyAlignment="0" applyProtection="0"/>
    <xf numFmtId="0" fontId="4" fillId="0" borderId="0"/>
    <xf numFmtId="9" fontId="24" fillId="0" borderId="0">
      <alignment vertical="top"/>
      <protection locked="0"/>
    </xf>
    <xf numFmtId="0" fontId="3" fillId="0" borderId="0"/>
    <xf numFmtId="164" fontId="3" fillId="0" borderId="0" applyFont="0" applyFill="0" applyBorder="0" applyAlignment="0" applyProtection="0"/>
    <xf numFmtId="9" fontId="24" fillId="0" borderId="0">
      <alignment vertical="top"/>
      <protection locked="0"/>
    </xf>
    <xf numFmtId="9" fontId="24" fillId="0" borderId="0">
      <alignment vertical="top"/>
      <protection locked="0"/>
    </xf>
    <xf numFmtId="166" fontId="3" fillId="0" borderId="0" applyFont="0" applyFill="0" applyBorder="0" applyAlignment="0" applyProtection="0"/>
    <xf numFmtId="166" fontId="3" fillId="0" borderId="0" applyFont="0" applyFill="0" applyBorder="0" applyAlignment="0" applyProtection="0"/>
    <xf numFmtId="173" fontId="3" fillId="0" borderId="0" applyFont="0" applyFill="0" applyBorder="0" applyAlignment="0" applyProtection="0"/>
    <xf numFmtId="166" fontId="3" fillId="0" borderId="0" applyFont="0" applyFill="0" applyBorder="0" applyAlignment="0" applyProtection="0"/>
    <xf numFmtId="0" fontId="3" fillId="0" borderId="0"/>
    <xf numFmtId="166" fontId="30" fillId="0" borderId="0" applyFont="0" applyFill="0" applyBorder="0" applyAlignment="0" applyProtection="0"/>
    <xf numFmtId="9" fontId="24" fillId="0" borderId="0">
      <alignment vertical="top"/>
      <protection locked="0"/>
    </xf>
    <xf numFmtId="0" fontId="3" fillId="0" borderId="0"/>
    <xf numFmtId="41" fontId="3" fillId="0" borderId="0" applyFont="0" applyFill="0" applyBorder="0" applyAlignment="0" applyProtection="0"/>
    <xf numFmtId="166" fontId="30" fillId="0" borderId="0" applyFont="0" applyFill="0" applyBorder="0" applyAlignment="0" applyProtection="0"/>
    <xf numFmtId="9" fontId="3"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166" fontId="30"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164"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73" fontId="3" fillId="0" borderId="0" applyFont="0" applyFill="0" applyBorder="0" applyAlignment="0" applyProtection="0"/>
    <xf numFmtId="166" fontId="3" fillId="0" borderId="0" applyFont="0" applyFill="0" applyBorder="0" applyAlignment="0" applyProtection="0"/>
    <xf numFmtId="0" fontId="51" fillId="24" borderId="60" applyNumberFormat="0" applyAlignment="0" applyProtection="0">
      <alignment vertical="center"/>
    </xf>
    <xf numFmtId="0" fontId="51" fillId="24" borderId="60" applyNumberFormat="0" applyAlignment="0" applyProtection="0">
      <alignment vertical="center"/>
    </xf>
    <xf numFmtId="0" fontId="81" fillId="34" borderId="60" applyNumberFormat="0" applyAlignment="0" applyProtection="0">
      <alignment vertical="center"/>
    </xf>
    <xf numFmtId="0" fontId="3" fillId="0" borderId="0"/>
    <xf numFmtId="0" fontId="81" fillId="34" borderId="60" applyNumberFormat="0" applyAlignment="0" applyProtection="0">
      <alignment vertical="center"/>
    </xf>
    <xf numFmtId="0" fontId="3" fillId="0" borderId="0"/>
    <xf numFmtId="41" fontId="3" fillId="0" borderId="0" applyFont="0" applyFill="0" applyBorder="0" applyAlignment="0" applyProtection="0"/>
    <xf numFmtId="9" fontId="3" fillId="0" borderId="0" applyFont="0" applyFill="0" applyBorder="0" applyAlignment="0" applyProtection="0"/>
    <xf numFmtId="0" fontId="3" fillId="0" borderId="0"/>
    <xf numFmtId="164" fontId="3" fillId="0" borderId="0" applyFont="0" applyFill="0" applyBorder="0" applyAlignment="0" applyProtection="0"/>
    <xf numFmtId="0" fontId="51" fillId="24" borderId="60" applyNumberFormat="0" applyAlignment="0" applyProtection="0">
      <alignment vertical="center"/>
    </xf>
    <xf numFmtId="0" fontId="81" fillId="34" borderId="60" applyNumberFormat="0" applyAlignment="0" applyProtection="0">
      <alignment vertical="center"/>
    </xf>
    <xf numFmtId="0" fontId="51" fillId="24" borderId="60" applyNumberFormat="0" applyAlignment="0" applyProtection="0">
      <alignment vertical="center"/>
    </xf>
    <xf numFmtId="0" fontId="51" fillId="24" borderId="60" applyNumberFormat="0" applyAlignment="0" applyProtection="0">
      <alignment vertical="center"/>
    </xf>
    <xf numFmtId="0" fontId="81" fillId="34" borderId="60" applyNumberFormat="0" applyAlignment="0" applyProtection="0">
      <alignment vertical="center"/>
    </xf>
    <xf numFmtId="0" fontId="81" fillId="34" borderId="60" applyNumberFormat="0" applyAlignment="0" applyProtection="0">
      <alignment vertical="center"/>
    </xf>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9" fontId="24" fillId="0" borderId="0">
      <alignment vertical="top"/>
      <protection locked="0"/>
    </xf>
    <xf numFmtId="164" fontId="3" fillId="0" borderId="0" applyFont="0" applyFill="0" applyBorder="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0" fontId="3" fillId="0" borderId="0"/>
    <xf numFmtId="166" fontId="30" fillId="0" borderId="0" applyFont="0" applyFill="0" applyBorder="0" applyAlignment="0" applyProtection="0"/>
    <xf numFmtId="166" fontId="30" fillId="0" borderId="0" applyFont="0" applyFill="0" applyBorder="0" applyAlignment="0" applyProtection="0"/>
    <xf numFmtId="0" fontId="141" fillId="50" borderId="0" applyNumberFormat="0" applyBorder="0" applyAlignment="0" applyProtection="0"/>
    <xf numFmtId="9" fontId="24" fillId="0" borderId="0">
      <alignment vertical="top"/>
      <protection locked="0"/>
    </xf>
    <xf numFmtId="0" fontId="2" fillId="0" borderId="0"/>
    <xf numFmtId="164" fontId="2" fillId="0" borderId="0" applyFont="0" applyFill="0" applyBorder="0" applyAlignment="0" applyProtection="0"/>
    <xf numFmtId="166" fontId="30" fillId="0" borderId="0" applyFont="0" applyFill="0" applyBorder="0" applyAlignment="0" applyProtection="0"/>
    <xf numFmtId="9" fontId="24" fillId="0" borderId="0">
      <alignment vertical="top"/>
      <protection locked="0"/>
    </xf>
    <xf numFmtId="166" fontId="2" fillId="0" borderId="0" applyFont="0" applyFill="0" applyBorder="0" applyAlignment="0" applyProtection="0"/>
    <xf numFmtId="166" fontId="2" fillId="0" borderId="0" applyFont="0" applyFill="0" applyBorder="0" applyAlignment="0" applyProtection="0"/>
    <xf numFmtId="173" fontId="2" fillId="0" borderId="0" applyFont="0" applyFill="0" applyBorder="0" applyAlignment="0" applyProtection="0"/>
    <xf numFmtId="166" fontId="2" fillId="0" borderId="0" applyFont="0" applyFill="0" applyBorder="0" applyAlignment="0" applyProtection="0"/>
    <xf numFmtId="0" fontId="75" fillId="0" borderId="47" applyNumberFormat="0" applyFill="0" applyAlignment="0" applyProtection="0">
      <alignment vertical="center"/>
    </xf>
    <xf numFmtId="0" fontId="2" fillId="0" borderId="0"/>
    <xf numFmtId="0" fontId="75" fillId="0" borderId="47" applyNumberFormat="0" applyFill="0" applyAlignment="0" applyProtection="0">
      <alignment vertical="center"/>
    </xf>
    <xf numFmtId="0" fontId="2" fillId="0" borderId="0"/>
    <xf numFmtId="41"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0" fontId="75" fillId="0" borderId="47" applyNumberFormat="0" applyFill="0" applyAlignment="0" applyProtection="0">
      <alignment vertical="center"/>
    </xf>
    <xf numFmtId="0" fontId="75" fillId="0" borderId="47" applyNumberFormat="0" applyFill="0" applyAlignment="0" applyProtection="0">
      <alignment vertical="center"/>
    </xf>
    <xf numFmtId="0" fontId="75" fillId="0" borderId="47" applyNumberFormat="0" applyFill="0" applyAlignment="0" applyProtection="0">
      <alignment vertical="center"/>
    </xf>
    <xf numFmtId="9" fontId="2" fillId="0" borderId="0" applyFont="0" applyFill="0" applyBorder="0" applyAlignment="0" applyProtection="0"/>
    <xf numFmtId="166" fontId="30"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73" fontId="2" fillId="0" borderId="0" applyFont="0" applyFill="0" applyBorder="0" applyAlignment="0" applyProtection="0"/>
    <xf numFmtId="166"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73" fontId="2" fillId="0" borderId="0" applyFont="0" applyFill="0" applyBorder="0" applyAlignment="0" applyProtection="0"/>
    <xf numFmtId="166"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73" fontId="2" fillId="0" borderId="0" applyFont="0" applyFill="0" applyBorder="0" applyAlignment="0" applyProtection="0"/>
    <xf numFmtId="166" fontId="2" fillId="0" borderId="0" applyFont="0" applyFill="0" applyBorder="0" applyAlignment="0" applyProtection="0"/>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2" fillId="0" borderId="0"/>
    <xf numFmtId="0" fontId="81" fillId="34" borderId="39" applyNumberFormat="0" applyAlignment="0" applyProtection="0">
      <alignment vertical="center"/>
    </xf>
    <xf numFmtId="0" fontId="2" fillId="0" borderId="0"/>
    <xf numFmtId="41"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0" fontId="51" fillId="24" borderId="3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81" fillId="34" borderId="39" applyNumberFormat="0" applyAlignment="0" applyProtection="0">
      <alignment vertical="center"/>
    </xf>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66" fontId="30" fillId="0" borderId="0" applyFont="0" applyFill="0" applyBorder="0" applyAlignment="0" applyProtection="0"/>
    <xf numFmtId="0" fontId="30" fillId="0" borderId="0">
      <alignment vertical="center"/>
    </xf>
    <xf numFmtId="0" fontId="2" fillId="0" borderId="0"/>
    <xf numFmtId="43" fontId="2" fillId="0" borderId="0" applyFont="0" applyFill="0" applyBorder="0" applyAlignment="0" applyProtection="0"/>
    <xf numFmtId="43" fontId="33" fillId="0" borderId="0" applyFont="0" applyFill="0" applyBorder="0" applyAlignment="0" applyProtection="0"/>
    <xf numFmtId="43" fontId="37" fillId="0" borderId="0" applyFont="0" applyFill="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59" fillId="24" borderId="59" applyNumberFormat="0" applyAlignment="0" applyProtection="0">
      <alignment vertical="center"/>
    </xf>
    <xf numFmtId="0" fontId="61" fillId="0" borderId="62" applyNumberFormat="0" applyFill="0" applyAlignment="0" applyProtection="0">
      <alignment vertical="center"/>
    </xf>
    <xf numFmtId="41" fontId="62" fillId="0" borderId="0" applyFont="0" applyFill="0" applyBorder="0" applyAlignment="0" applyProtection="0"/>
    <xf numFmtId="41" fontId="62" fillId="0" borderId="0" applyFont="0" applyFill="0" applyBorder="0" applyAlignment="0" applyProtection="0"/>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166" fontId="2" fillId="0" borderId="0" applyFont="0" applyFill="0" applyBorder="0" applyAlignment="0" applyProtection="0"/>
    <xf numFmtId="166" fontId="2" fillId="0" borderId="0" applyFont="0" applyFill="0" applyBorder="0" applyAlignment="0" applyProtection="0"/>
    <xf numFmtId="173" fontId="2" fillId="0" borderId="0" applyFont="0" applyFill="0" applyBorder="0" applyAlignment="0" applyProtection="0"/>
    <xf numFmtId="166" fontId="2" fillId="0" borderId="0" applyFont="0" applyFill="0" applyBorder="0" applyAlignment="0" applyProtection="0"/>
    <xf numFmtId="0" fontId="51" fillId="24" borderId="39" applyNumberFormat="0" applyAlignment="0" applyProtection="0">
      <alignment vertical="center"/>
    </xf>
    <xf numFmtId="0" fontId="50" fillId="15" borderId="59" applyNumberFormat="0" applyAlignment="0" applyProtection="0">
      <alignment vertical="center"/>
    </xf>
    <xf numFmtId="0" fontId="37" fillId="12" borderId="58" applyNumberFormat="0" applyFont="0" applyAlignment="0" applyProtection="0">
      <alignment vertical="center"/>
    </xf>
    <xf numFmtId="43" fontId="33" fillId="0" borderId="0" applyFont="0" applyFill="0" applyBorder="0" applyAlignment="0" applyProtection="0"/>
    <xf numFmtId="0" fontId="42" fillId="0" borderId="57">
      <alignment horizontal="lef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2" fillId="0" borderId="0"/>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2" fillId="0" borderId="0"/>
    <xf numFmtId="41"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42" fillId="0" borderId="57">
      <alignment horizontal="lef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59" fillId="24" borderId="59" applyNumberFormat="0" applyAlignment="0" applyProtection="0">
      <alignment vertical="center"/>
    </xf>
    <xf numFmtId="0" fontId="61" fillId="0" borderId="62" applyNumberFormat="0" applyFill="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0" fillId="15" borderId="59" applyNumberFormat="0" applyAlignment="0" applyProtection="0">
      <alignment vertical="center"/>
    </xf>
    <xf numFmtId="0" fontId="37" fillId="12" borderId="58" applyNumberFormat="0" applyFont="0" applyAlignment="0" applyProtection="0">
      <alignment vertical="center"/>
    </xf>
    <xf numFmtId="0" fontId="42" fillId="0" borderId="57">
      <alignment horizontal="lef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73" fontId="2" fillId="0" borderId="0" applyFont="0" applyFill="0" applyBorder="0" applyAlignment="0" applyProtection="0"/>
    <xf numFmtId="166" fontId="2" fillId="0" borderId="0" applyFont="0" applyFill="0" applyBorder="0" applyAlignment="0" applyProtection="0"/>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2" fillId="0" borderId="0"/>
    <xf numFmtId="0" fontId="81" fillId="34" borderId="39" applyNumberFormat="0" applyAlignment="0" applyProtection="0">
      <alignment vertical="center"/>
    </xf>
    <xf numFmtId="0" fontId="2" fillId="0" borderId="0"/>
    <xf numFmtId="41"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51" fillId="24" borderId="3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81" fillId="34" borderId="39" applyNumberFormat="0" applyAlignment="0" applyProtection="0">
      <alignment vertical="center"/>
    </xf>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30" fillId="0" borderId="0">
      <alignment vertical="center"/>
    </xf>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59" fillId="24" borderId="59" applyNumberFormat="0" applyAlignment="0" applyProtection="0">
      <alignment vertical="center"/>
    </xf>
    <xf numFmtId="0" fontId="61" fillId="0" borderId="62" applyNumberFormat="0" applyFill="0" applyAlignment="0" applyProtection="0">
      <alignment vertical="center"/>
    </xf>
    <xf numFmtId="41" fontId="62" fillId="0" borderId="0" applyFont="0" applyFill="0" applyBorder="0" applyAlignment="0" applyProtection="0"/>
    <xf numFmtId="41" fontId="62" fillId="0" borderId="0" applyFont="0" applyFill="0" applyBorder="0" applyAlignment="0" applyProtection="0"/>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0" fillId="15" borderId="59" applyNumberFormat="0" applyAlignment="0" applyProtection="0">
      <alignment vertical="center"/>
    </xf>
    <xf numFmtId="0" fontId="37" fillId="12" borderId="58" applyNumberFormat="0" applyFont="0" applyAlignment="0" applyProtection="0">
      <alignment vertical="center"/>
    </xf>
    <xf numFmtId="0" fontId="42" fillId="0" borderId="57">
      <alignment horizontal="lef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41" fontId="2" fillId="0" borderId="0" applyFont="0" applyFill="0" applyBorder="0" applyAlignment="0" applyProtection="0"/>
    <xf numFmtId="0" fontId="42" fillId="0" borderId="57">
      <alignment horizontal="lef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59" fillId="24" borderId="59" applyNumberFormat="0" applyAlignment="0" applyProtection="0">
      <alignment vertical="center"/>
    </xf>
    <xf numFmtId="0" fontId="61" fillId="0" borderId="62" applyNumberFormat="0" applyFill="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0" fillId="15" borderId="59" applyNumberFormat="0" applyAlignment="0" applyProtection="0">
      <alignment vertical="center"/>
    </xf>
    <xf numFmtId="0" fontId="37" fillId="12" borderId="58" applyNumberFormat="0" applyFont="0" applyAlignment="0" applyProtection="0">
      <alignment vertical="center"/>
    </xf>
    <xf numFmtId="0" fontId="42" fillId="0" borderId="57">
      <alignment horizontal="lef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81" fillId="34" borderId="39" applyNumberFormat="0" applyAlignment="0" applyProtection="0">
      <alignment vertical="center"/>
    </xf>
    <xf numFmtId="41" fontId="2" fillId="0" borderId="0" applyFont="0" applyFill="0" applyBorder="0" applyAlignment="0" applyProtection="0"/>
    <xf numFmtId="0" fontId="51" fillId="24" borderId="3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81" fillId="34" borderId="39" applyNumberFormat="0" applyAlignment="0" applyProtection="0">
      <alignment vertical="center"/>
    </xf>
    <xf numFmtId="0" fontId="30" fillId="0" borderId="0">
      <alignment vertical="center"/>
    </xf>
    <xf numFmtId="41" fontId="62" fillId="0" borderId="0" applyFont="0" applyFill="0" applyBorder="0" applyAlignment="0" applyProtection="0"/>
    <xf numFmtId="41" fontId="6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0" fontId="30" fillId="0" borderId="0">
      <alignment vertical="center"/>
    </xf>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59" fillId="24" borderId="59" applyNumberFormat="0" applyAlignment="0" applyProtection="0">
      <alignment vertical="center"/>
    </xf>
    <xf numFmtId="0" fontId="61" fillId="0" borderId="62" applyNumberFormat="0" applyFill="0" applyAlignment="0" applyProtection="0">
      <alignment vertical="center"/>
    </xf>
    <xf numFmtId="41" fontId="62" fillId="0" borderId="0" applyFont="0" applyFill="0" applyBorder="0" applyAlignment="0" applyProtection="0"/>
    <xf numFmtId="41" fontId="62" fillId="0" borderId="0" applyFont="0" applyFill="0" applyBorder="0" applyAlignment="0" applyProtection="0"/>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0" fillId="15" borderId="59" applyNumberFormat="0" applyAlignment="0" applyProtection="0">
      <alignment vertical="center"/>
    </xf>
    <xf numFmtId="0" fontId="37" fillId="12" borderId="58" applyNumberFormat="0" applyFont="0" applyAlignment="0" applyProtection="0">
      <alignmen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41" fontId="2" fillId="0" borderId="0" applyFont="0" applyFill="0" applyBorder="0" applyAlignment="0" applyProtection="0"/>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59" fillId="24" borderId="59" applyNumberFormat="0" applyAlignment="0" applyProtection="0">
      <alignment vertical="center"/>
    </xf>
    <xf numFmtId="0" fontId="61" fillId="0" borderId="62" applyNumberFormat="0" applyFill="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0" fillId="15" borderId="59" applyNumberFormat="0" applyAlignment="0" applyProtection="0">
      <alignment vertical="center"/>
    </xf>
    <xf numFmtId="0" fontId="37" fillId="12" borderId="58" applyNumberFormat="0" applyFont="0" applyAlignment="0" applyProtection="0">
      <alignment vertical="center"/>
    </xf>
    <xf numFmtId="10" fontId="41" fillId="8" borderId="56" applyNumberFormat="0" applyBorder="0" applyAlignment="0" applyProtection="0"/>
    <xf numFmtId="0" fontId="37" fillId="12" borderId="58" applyNumberFormat="0" applyFont="0" applyAlignment="0" applyProtection="0">
      <alignment vertical="center"/>
    </xf>
    <xf numFmtId="0" fontId="50" fillId="15" borderId="59" applyNumberFormat="0" applyAlignment="0" applyProtection="0">
      <alignment vertical="center"/>
    </xf>
    <xf numFmtId="0" fontId="51" fillId="24" borderId="39" applyNumberFormat="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75" fillId="0" borderId="47" applyNumberFormat="0" applyFill="0" applyAlignment="0" applyProtection="0">
      <alignment vertical="center"/>
    </xf>
    <xf numFmtId="0" fontId="76" fillId="12" borderId="58" applyNumberFormat="0" applyFont="0" applyAlignment="0" applyProtection="0">
      <alignment vertical="center"/>
    </xf>
    <xf numFmtId="0" fontId="59" fillId="24" borderId="59" applyNumberFormat="0" applyAlignment="0" applyProtection="0">
      <alignment vertical="center"/>
    </xf>
    <xf numFmtId="0" fontId="79" fillId="34" borderId="59" applyNumberFormat="0" applyAlignment="0" applyProtection="0">
      <alignment vertical="center"/>
    </xf>
    <xf numFmtId="0" fontId="80" fillId="13" borderId="59" applyNumberFormat="0" applyAlignment="0" applyProtection="0">
      <alignment vertical="center"/>
    </xf>
    <xf numFmtId="0" fontId="81" fillId="34" borderId="39" applyNumberFormat="0" applyAlignment="0" applyProtection="0">
      <alignment vertical="center"/>
    </xf>
    <xf numFmtId="0" fontId="61" fillId="0" borderId="62" applyNumberFormat="0" applyFill="0" applyAlignment="0" applyProtection="0">
      <alignment vertical="center"/>
    </xf>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81" fillId="34" borderId="39" applyNumberFormat="0" applyAlignment="0" applyProtection="0">
      <alignment vertical="center"/>
    </xf>
    <xf numFmtId="41" fontId="2" fillId="0" borderId="0" applyFont="0" applyFill="0" applyBorder="0" applyAlignment="0" applyProtection="0"/>
    <xf numFmtId="0" fontId="51" fillId="24" borderId="3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81" fillId="34" borderId="39" applyNumberFormat="0" applyAlignment="0" applyProtection="0">
      <alignment vertical="center"/>
    </xf>
    <xf numFmtId="0" fontId="110" fillId="0" borderId="0" applyNumberFormat="0" applyFill="0" applyBorder="0" applyAlignment="0" applyProtection="0">
      <alignment vertical="center"/>
    </xf>
    <xf numFmtId="9" fontId="2" fillId="0" borderId="0" applyFont="0" applyFill="0" applyBorder="0" applyAlignment="0" applyProtection="0"/>
    <xf numFmtId="0" fontId="33" fillId="0" borderId="0"/>
    <xf numFmtId="0" fontId="30" fillId="0" borderId="0">
      <alignment vertical="center"/>
    </xf>
    <xf numFmtId="9" fontId="24" fillId="0" borderId="0">
      <alignment vertical="top"/>
      <protection locked="0"/>
    </xf>
    <xf numFmtId="0" fontId="42" fillId="0" borderId="33">
      <alignment horizontal="left" vertical="center"/>
    </xf>
    <xf numFmtId="10" fontId="41" fillId="8" borderId="56" applyNumberFormat="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2" fillId="0" borderId="0" applyFont="0" applyFill="0" applyBorder="0" applyAlignment="0" applyProtection="0"/>
    <xf numFmtId="166" fontId="30"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73" fontId="2" fillId="0" borderId="0" applyFont="0" applyFill="0" applyBorder="0" applyAlignment="0" applyProtection="0"/>
    <xf numFmtId="166"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73" fontId="2" fillId="0" borderId="0" applyFont="0" applyFill="0" applyBorder="0" applyAlignment="0" applyProtection="0"/>
    <xf numFmtId="166" fontId="2" fillId="0" borderId="0" applyFont="0" applyFill="0" applyBorder="0" applyAlignment="0" applyProtection="0"/>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2" fillId="0" borderId="0"/>
    <xf numFmtId="0" fontId="81" fillId="34" borderId="39" applyNumberFormat="0" applyAlignment="0" applyProtection="0">
      <alignment vertical="center"/>
    </xf>
    <xf numFmtId="0" fontId="2" fillId="0" borderId="0"/>
    <xf numFmtId="41"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51" fillId="24" borderId="39" applyNumberFormat="0" applyAlignment="0" applyProtection="0">
      <alignment vertical="center"/>
    </xf>
    <xf numFmtId="0" fontId="81" fillId="34" borderId="39" applyNumberFormat="0" applyAlignment="0" applyProtection="0">
      <alignment vertical="center"/>
    </xf>
    <xf numFmtId="0" fontId="51" fillId="24" borderId="39" applyNumberFormat="0" applyAlignment="0" applyProtection="0">
      <alignment vertical="center"/>
    </xf>
    <xf numFmtId="0" fontId="51" fillId="24" borderId="39" applyNumberFormat="0" applyAlignment="0" applyProtection="0">
      <alignment vertical="center"/>
    </xf>
    <xf numFmtId="0" fontId="81" fillId="34" borderId="39" applyNumberFormat="0" applyAlignment="0" applyProtection="0">
      <alignment vertical="center"/>
    </xf>
    <xf numFmtId="0" fontId="81" fillId="34" borderId="39" applyNumberFormat="0" applyAlignment="0" applyProtection="0">
      <alignment vertical="center"/>
    </xf>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166" fontId="30" fillId="0" borderId="0" applyFont="0" applyFill="0" applyBorder="0" applyAlignment="0" applyProtection="0"/>
    <xf numFmtId="9" fontId="24" fillId="0" borderId="0">
      <alignment vertical="top"/>
      <protection locked="0"/>
    </xf>
    <xf numFmtId="9" fontId="24" fillId="0" borderId="0">
      <alignment vertical="top"/>
      <protection locked="0"/>
    </xf>
    <xf numFmtId="166" fontId="30" fillId="0" borderId="0" applyFont="0" applyFill="0" applyBorder="0" applyAlignment="0" applyProtection="0"/>
    <xf numFmtId="166" fontId="30" fillId="0" borderId="0" applyFont="0" applyFill="0" applyBorder="0" applyAlignment="0" applyProtection="0"/>
    <xf numFmtId="9" fontId="24" fillId="0" borderId="0">
      <alignment vertical="top"/>
      <protection locked="0"/>
    </xf>
    <xf numFmtId="0" fontId="30" fillId="0" borderId="0">
      <alignment vertical="center"/>
    </xf>
    <xf numFmtId="9" fontId="24" fillId="0" borderId="0">
      <alignment vertical="top"/>
      <protection locked="0"/>
    </xf>
    <xf numFmtId="0" fontId="1" fillId="0" borderId="0"/>
    <xf numFmtId="43" fontId="1"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166" fontId="30"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33" fillId="0" borderId="0" applyFont="0" applyFill="0" applyBorder="0" applyAlignment="0" applyProtection="0"/>
    <xf numFmtId="43" fontId="37"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43" fontId="33"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62" fillId="0" borderId="0" applyFont="0" applyFill="0" applyBorder="0" applyAlignment="0" applyProtection="0"/>
    <xf numFmtId="41" fontId="6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42" fillId="0" borderId="57">
      <alignment horizontal="left" vertical="center"/>
    </xf>
    <xf numFmtId="41" fontId="62" fillId="0" borderId="0" applyFont="0" applyFill="0" applyBorder="0" applyAlignment="0" applyProtection="0"/>
    <xf numFmtId="41" fontId="6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73"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cellStyleXfs>
  <cellXfs count="987">
    <xf numFmtId="0" fontId="0" fillId="0" borderId="0" xfId="0">
      <alignment vertical="center"/>
    </xf>
    <xf numFmtId="0" fontId="22" fillId="0" borderId="0" xfId="0" applyFont="1" applyAlignment="1"/>
    <xf numFmtId="0" fontId="26" fillId="0" borderId="0" xfId="0" applyFont="1" applyAlignment="1"/>
    <xf numFmtId="0" fontId="0" fillId="0" borderId="0" xfId="0" applyBorder="1">
      <alignment vertical="center"/>
    </xf>
    <xf numFmtId="0" fontId="30" fillId="0" borderId="0" xfId="0" applyFont="1">
      <alignment vertical="center"/>
    </xf>
    <xf numFmtId="0" fontId="31" fillId="0" borderId="0" xfId="0" applyFont="1">
      <alignment vertical="center"/>
    </xf>
    <xf numFmtId="0" fontId="23" fillId="37" borderId="4" xfId="0" applyFont="1" applyFill="1" applyBorder="1">
      <alignment vertical="center"/>
    </xf>
    <xf numFmtId="0" fontId="22" fillId="37" borderId="2" xfId="1" applyNumberFormat="1" applyFont="1" applyFill="1" applyBorder="1" applyAlignment="1" applyProtection="1">
      <alignment horizontal="center" vertical="center"/>
    </xf>
    <xf numFmtId="2" fontId="22" fillId="37" borderId="5" xfId="0" applyNumberFormat="1" applyFont="1" applyFill="1" applyBorder="1" applyAlignment="1">
      <alignment horizontal="center" vertical="center"/>
    </xf>
    <xf numFmtId="0" fontId="22" fillId="37" borderId="0" xfId="1" applyNumberFormat="1" applyFont="1" applyFill="1" applyBorder="1" applyAlignment="1" applyProtection="1">
      <alignment horizontal="center" vertical="center"/>
    </xf>
    <xf numFmtId="0" fontId="22" fillId="37" borderId="5" xfId="1" applyNumberFormat="1" applyFont="1" applyFill="1" applyBorder="1" applyAlignment="1" applyProtection="1">
      <alignment horizontal="center" vertical="center"/>
    </xf>
    <xf numFmtId="0" fontId="22" fillId="37" borderId="4" xfId="0" applyFont="1" applyFill="1" applyBorder="1" applyAlignment="1">
      <alignment horizontal="center" vertical="center"/>
    </xf>
    <xf numFmtId="0" fontId="0" fillId="0" borderId="6" xfId="0" applyBorder="1">
      <alignment vertical="center"/>
    </xf>
    <xf numFmtId="0" fontId="24" fillId="0" borderId="0" xfId="4" applyAlignment="1" applyProtection="1"/>
    <xf numFmtId="0" fontId="24" fillId="0" borderId="16" xfId="4" applyFont="1" applyBorder="1" applyAlignment="1" applyProtection="1"/>
    <xf numFmtId="0" fontId="24" fillId="0" borderId="0" xfId="4" applyAlignment="1" applyProtection="1">
      <alignment horizontal="center" vertical="center"/>
    </xf>
    <xf numFmtId="0" fontId="24" fillId="0" borderId="0" xfId="4" applyAlignment="1" applyProtection="1">
      <alignment horizontal="left"/>
    </xf>
    <xf numFmtId="0" fontId="22" fillId="5" borderId="0" xfId="1" applyNumberFormat="1" applyFont="1" applyFill="1" applyBorder="1" applyAlignment="1" applyProtection="1">
      <alignment horizontal="center" vertical="center"/>
    </xf>
    <xf numFmtId="0" fontId="22" fillId="5" borderId="5" xfId="1" applyNumberFormat="1" applyFont="1" applyFill="1" applyBorder="1" applyAlignment="1" applyProtection="1">
      <alignment horizontal="center" vertical="center"/>
    </xf>
    <xf numFmtId="0" fontId="22" fillId="5" borderId="11" xfId="1" applyNumberFormat="1" applyFont="1" applyFill="1" applyBorder="1" applyAlignment="1" applyProtection="1">
      <alignment horizontal="center" vertical="center"/>
    </xf>
    <xf numFmtId="0" fontId="22" fillId="5" borderId="12" xfId="1" applyNumberFormat="1" applyFont="1" applyFill="1" applyBorder="1" applyAlignment="1" applyProtection="1">
      <alignment horizontal="center" vertical="center"/>
    </xf>
    <xf numFmtId="0" fontId="29" fillId="0" borderId="10" xfId="0" applyFont="1" applyFill="1" applyBorder="1" applyAlignment="1">
      <alignment horizontal="center" vertical="center"/>
    </xf>
    <xf numFmtId="0" fontId="0" fillId="0" borderId="16" xfId="0" applyBorder="1" applyAlignment="1">
      <alignment horizontal="center" vertical="center"/>
    </xf>
    <xf numFmtId="0" fontId="22" fillId="37" borderId="11" xfId="1" applyNumberFormat="1" applyFont="1" applyFill="1" applyBorder="1" applyAlignment="1" applyProtection="1">
      <alignment horizontal="center" vertical="center"/>
    </xf>
    <xf numFmtId="0" fontId="87" fillId="0" borderId="0" xfId="0" applyFont="1">
      <alignment vertical="center"/>
    </xf>
    <xf numFmtId="0" fontId="23" fillId="37" borderId="25" xfId="0" applyFont="1" applyFill="1" applyBorder="1">
      <alignment vertical="center"/>
    </xf>
    <xf numFmtId="0" fontId="23" fillId="5" borderId="25" xfId="0" applyFont="1" applyFill="1" applyBorder="1">
      <alignment vertical="center"/>
    </xf>
    <xf numFmtId="0" fontId="23" fillId="5" borderId="27" xfId="0" applyFont="1" applyFill="1" applyBorder="1">
      <alignment vertical="center"/>
    </xf>
    <xf numFmtId="0" fontId="0" fillId="0" borderId="0" xfId="0" applyFill="1" applyBorder="1" applyAlignment="1">
      <alignment horizontal="center" vertical="center" wrapText="1"/>
    </xf>
    <xf numFmtId="0" fontId="22" fillId="37" borderId="1" xfId="0" applyFont="1" applyFill="1" applyBorder="1" applyAlignment="1">
      <alignment horizontal="center" vertical="center"/>
    </xf>
    <xf numFmtId="2" fontId="22" fillId="37" borderId="3" xfId="0" applyNumberFormat="1" applyFont="1" applyFill="1" applyBorder="1" applyAlignment="1">
      <alignment horizontal="center" vertical="center"/>
    </xf>
    <xf numFmtId="0" fontId="22" fillId="37" borderId="9" xfId="0" applyFont="1" applyFill="1" applyBorder="1" applyAlignment="1">
      <alignment horizontal="center" vertical="center"/>
    </xf>
    <xf numFmtId="2" fontId="22" fillId="37" borderId="12" xfId="0" applyNumberFormat="1" applyFont="1" applyFill="1" applyBorder="1" applyAlignment="1">
      <alignment horizontal="center" vertical="center"/>
    </xf>
    <xf numFmtId="0" fontId="22" fillId="5" borderId="4" xfId="1" applyNumberFormat="1" applyFont="1" applyFill="1" applyBorder="1" applyAlignment="1" applyProtection="1">
      <alignment horizontal="center" vertical="center"/>
    </xf>
    <xf numFmtId="0" fontId="22" fillId="5" borderId="9" xfId="1" applyNumberFormat="1" applyFont="1" applyFill="1" applyBorder="1" applyAlignment="1" applyProtection="1">
      <alignment horizontal="center" vertical="center"/>
    </xf>
    <xf numFmtId="0" fontId="94" fillId="0" borderId="0" xfId="0" applyFont="1" applyAlignment="1"/>
    <xf numFmtId="0" fontId="95" fillId="0" borderId="0" xfId="0" applyFont="1" applyAlignment="1"/>
    <xf numFmtId="0" fontId="24" fillId="0" borderId="16" xfId="4" applyFont="1" applyBorder="1" applyAlignment="1" applyProtection="1">
      <alignment horizontal="left" vertical="center"/>
    </xf>
    <xf numFmtId="0" fontId="25" fillId="0" borderId="16" xfId="4" applyFont="1" applyBorder="1" applyAlignment="1" applyProtection="1">
      <alignment horizontal="center" vertical="center"/>
    </xf>
    <xf numFmtId="0" fontId="25" fillId="0" borderId="16" xfId="4" applyFont="1" applyBorder="1" applyAlignment="1" applyProtection="1">
      <alignment horizontal="left" vertical="center"/>
    </xf>
    <xf numFmtId="0" fontId="25" fillId="0" borderId="16" xfId="4" applyFont="1" applyBorder="1" applyAlignment="1" applyProtection="1"/>
    <xf numFmtId="0" fontId="25" fillId="0" borderId="0" xfId="4" applyFont="1" applyAlignment="1" applyProtection="1"/>
    <xf numFmtId="10" fontId="22" fillId="37" borderId="3" xfId="1" applyNumberFormat="1" applyFont="1" applyFill="1" applyBorder="1" applyAlignment="1" applyProtection="1">
      <alignment horizontal="center" vertical="center"/>
    </xf>
    <xf numFmtId="10" fontId="22" fillId="37" borderId="5" xfId="1" applyNumberFormat="1" applyFont="1" applyFill="1" applyBorder="1" applyAlignment="1" applyProtection="1">
      <alignment horizontal="center" vertical="center"/>
    </xf>
    <xf numFmtId="10" fontId="22" fillId="37" borderId="12" xfId="1" applyNumberFormat="1" applyFont="1" applyFill="1" applyBorder="1" applyAlignment="1" applyProtection="1">
      <alignment horizontal="center" vertical="center"/>
    </xf>
    <xf numFmtId="10" fontId="22" fillId="5" borderId="4" xfId="1" applyNumberFormat="1" applyFont="1" applyFill="1" applyBorder="1" applyAlignment="1" applyProtection="1">
      <alignment horizontal="center" vertical="center"/>
    </xf>
    <xf numFmtId="10" fontId="22" fillId="5" borderId="5" xfId="1" applyNumberFormat="1" applyFont="1" applyFill="1" applyBorder="1" applyAlignment="1" applyProtection="1">
      <alignment horizontal="center" vertical="center"/>
    </xf>
    <xf numFmtId="10" fontId="22" fillId="5" borderId="12" xfId="1" applyNumberFormat="1" applyFont="1" applyFill="1" applyBorder="1" applyAlignment="1" applyProtection="1">
      <alignment horizontal="center" vertical="center"/>
    </xf>
    <xf numFmtId="0" fontId="25" fillId="0" borderId="16" xfId="4" quotePrefix="1" applyFont="1" applyBorder="1" applyAlignment="1" applyProtection="1">
      <alignment horizontal="center" vertical="center"/>
    </xf>
    <xf numFmtId="0" fontId="23" fillId="37" borderId="26" xfId="0" applyFont="1" applyFill="1" applyBorder="1">
      <alignment vertical="center"/>
    </xf>
    <xf numFmtId="0" fontId="23" fillId="37" borderId="27" xfId="0" applyFont="1" applyFill="1" applyBorder="1">
      <alignment vertical="center"/>
    </xf>
    <xf numFmtId="0" fontId="23" fillId="5" borderId="25" xfId="1" applyNumberFormat="1" applyFont="1" applyFill="1" applyBorder="1" applyAlignment="1" applyProtection="1">
      <alignment horizontal="left" vertical="center"/>
    </xf>
    <xf numFmtId="0" fontId="23" fillId="5" borderId="27" xfId="1" applyNumberFormat="1" applyFont="1" applyFill="1" applyBorder="1" applyAlignment="1" applyProtection="1">
      <alignment horizontal="left" vertical="center"/>
    </xf>
    <xf numFmtId="0" fontId="0" fillId="0" borderId="0" xfId="0" applyNumberFormat="1">
      <alignment vertical="center"/>
    </xf>
    <xf numFmtId="0" fontId="0" fillId="0" borderId="0" xfId="0" applyNumberFormat="1" applyAlignment="1">
      <alignment horizontal="center" vertical="center"/>
    </xf>
    <xf numFmtId="0" fontId="29" fillId="0" borderId="26" xfId="0" applyFont="1" applyFill="1" applyBorder="1" applyAlignment="1">
      <alignment horizontal="center" vertical="center"/>
    </xf>
    <xf numFmtId="0" fontId="0" fillId="0" borderId="0" xfId="0" applyFill="1" applyBorder="1">
      <alignment vertical="center"/>
    </xf>
    <xf numFmtId="0" fontId="98" fillId="0" borderId="0" xfId="0" applyFont="1">
      <alignment vertical="center"/>
    </xf>
    <xf numFmtId="0" fontId="99" fillId="0" borderId="0" xfId="0" applyFont="1" applyAlignment="1">
      <alignment horizontal="left" vertical="center"/>
    </xf>
    <xf numFmtId="0" fontId="98" fillId="0" borderId="0" xfId="0" applyFont="1" applyAlignment="1">
      <alignment horizontal="center" vertical="center"/>
    </xf>
    <xf numFmtId="0" fontId="100" fillId="0" borderId="0" xfId="0" applyFont="1">
      <alignment vertical="center"/>
    </xf>
    <xf numFmtId="0" fontId="98" fillId="3" borderId="16" xfId="0" applyFont="1" applyFill="1" applyBorder="1" applyAlignment="1">
      <alignment horizontal="center" vertical="center"/>
    </xf>
    <xf numFmtId="0" fontId="25" fillId="0" borderId="56" xfId="4" applyFont="1" applyBorder="1" applyAlignment="1" applyProtection="1">
      <alignment horizontal="center" vertical="center"/>
    </xf>
    <xf numFmtId="0" fontId="24" fillId="0" borderId="56" xfId="4" applyFont="1" applyBorder="1" applyAlignment="1" applyProtection="1">
      <alignment horizontal="left" vertical="center"/>
    </xf>
    <xf numFmtId="0" fontId="24" fillId="0" borderId="56" xfId="4" applyFont="1" applyBorder="1" applyAlignment="1" applyProtection="1"/>
    <xf numFmtId="0" fontId="92" fillId="0" borderId="0" xfId="0" applyFont="1" applyFill="1" applyBorder="1" applyAlignment="1">
      <alignment horizontal="center" vertical="center"/>
    </xf>
    <xf numFmtId="0" fontId="93" fillId="0" borderId="0" xfId="0" applyFont="1" applyFill="1" applyBorder="1" applyAlignment="1">
      <alignment horizontal="center" vertical="center" wrapText="1"/>
    </xf>
    <xf numFmtId="0" fontId="0" fillId="0" borderId="0" xfId="0">
      <alignment vertical="center"/>
    </xf>
    <xf numFmtId="0" fontId="98" fillId="0" borderId="0" xfId="0" applyNumberFormat="1" applyFont="1">
      <alignment vertical="center"/>
    </xf>
    <xf numFmtId="0" fontId="104" fillId="0" borderId="0" xfId="0" applyFont="1">
      <alignment vertical="center"/>
    </xf>
    <xf numFmtId="0" fontId="0" fillId="0" borderId="0" xfId="0" applyAlignment="1">
      <alignment horizontal="center" vertical="center" wrapText="1"/>
    </xf>
    <xf numFmtId="0" fontId="30" fillId="0" borderId="0" xfId="0" applyFont="1" applyAlignment="1">
      <alignment horizontal="center" vertical="center" wrapText="1"/>
    </xf>
    <xf numFmtId="0" fontId="30" fillId="0" borderId="16" xfId="0" applyFont="1" applyBorder="1">
      <alignment vertical="center"/>
    </xf>
    <xf numFmtId="0" fontId="30" fillId="0" borderId="16" xfId="0" applyFont="1" applyBorder="1" applyAlignment="1">
      <alignment horizontal="center" vertical="center" wrapText="1"/>
    </xf>
    <xf numFmtId="0" fontId="23" fillId="7" borderId="10" xfId="0" applyFont="1" applyFill="1" applyBorder="1">
      <alignment vertical="center"/>
    </xf>
    <xf numFmtId="0" fontId="23" fillId="7" borderId="25" xfId="0" applyFont="1" applyFill="1" applyBorder="1">
      <alignment vertical="center"/>
    </xf>
    <xf numFmtId="0" fontId="27" fillId="7" borderId="4" xfId="0" applyFont="1" applyFill="1" applyBorder="1">
      <alignment vertical="center"/>
    </xf>
    <xf numFmtId="0" fontId="27" fillId="7" borderId="25" xfId="0" applyFont="1" applyFill="1" applyBorder="1">
      <alignment vertical="center"/>
    </xf>
    <xf numFmtId="0" fontId="27" fillId="7" borderId="0" xfId="0" applyFont="1" applyFill="1" applyBorder="1" applyAlignment="1">
      <alignment horizontal="center" vertical="center"/>
    </xf>
    <xf numFmtId="10" fontId="27" fillId="7" borderId="9" xfId="1" applyNumberFormat="1" applyFont="1" applyFill="1" applyBorder="1" applyAlignment="1" applyProtection="1">
      <alignment horizontal="center" vertical="center"/>
    </xf>
    <xf numFmtId="10" fontId="27" fillId="7" borderId="12" xfId="1" applyNumberFormat="1" applyFont="1" applyFill="1" applyBorder="1" applyAlignment="1" applyProtection="1">
      <alignment horizontal="center" vertical="center"/>
    </xf>
    <xf numFmtId="0" fontId="27" fillId="7" borderId="9" xfId="0" applyFont="1" applyFill="1" applyBorder="1" applyAlignment="1">
      <alignment horizontal="center" vertical="center"/>
    </xf>
    <xf numFmtId="0" fontId="27" fillId="7" borderId="7" xfId="0" applyFont="1" applyFill="1" applyBorder="1">
      <alignment vertical="center"/>
    </xf>
    <xf numFmtId="0" fontId="27" fillId="7" borderId="10" xfId="0" applyFont="1" applyFill="1" applyBorder="1">
      <alignment vertical="center"/>
    </xf>
    <xf numFmtId="0" fontId="27" fillId="7" borderId="11" xfId="0" applyFont="1" applyFill="1" applyBorder="1" applyAlignment="1">
      <alignment horizontal="center" vertical="center"/>
    </xf>
    <xf numFmtId="10" fontId="27" fillId="7" borderId="8" xfId="1" applyNumberFormat="1" applyFont="1" applyFill="1" applyBorder="1" applyAlignment="1" applyProtection="1">
      <alignment horizontal="center" vertical="center"/>
    </xf>
    <xf numFmtId="0" fontId="27" fillId="7" borderId="6" xfId="0" applyFont="1" applyFill="1" applyBorder="1" applyAlignment="1">
      <alignment horizontal="center" vertical="center"/>
    </xf>
    <xf numFmtId="2" fontId="27" fillId="7" borderId="8" xfId="0" applyNumberFormat="1" applyFont="1" applyFill="1" applyBorder="1" applyAlignment="1">
      <alignment horizontal="center" vertical="center"/>
    </xf>
    <xf numFmtId="0" fontId="27" fillId="7" borderId="7" xfId="0" applyFont="1" applyFill="1" applyBorder="1" applyAlignment="1">
      <alignment horizontal="center" vertical="center"/>
    </xf>
    <xf numFmtId="0" fontId="27" fillId="7" borderId="11" xfId="0" applyNumberFormat="1" applyFont="1" applyFill="1" applyBorder="1" applyAlignment="1">
      <alignment horizontal="center" vertical="center"/>
    </xf>
    <xf numFmtId="0" fontId="27" fillId="7" borderId="12" xfId="0" applyFont="1" applyFill="1" applyBorder="1" applyAlignment="1">
      <alignment horizontal="center" vertical="center"/>
    </xf>
    <xf numFmtId="0" fontId="22" fillId="7" borderId="0" xfId="0" applyFont="1" applyFill="1" applyAlignment="1">
      <alignment horizontal="center" vertical="center"/>
    </xf>
    <xf numFmtId="0" fontId="22" fillId="7" borderId="0" xfId="0" applyFont="1" applyFill="1">
      <alignment vertical="center"/>
    </xf>
    <xf numFmtId="0" fontId="22" fillId="0" borderId="0" xfId="0" applyFont="1" applyFill="1" applyAlignment="1"/>
    <xf numFmtId="0" fontId="94" fillId="0" borderId="0" xfId="0" applyFont="1" applyFill="1" applyAlignment="1"/>
    <xf numFmtId="0" fontId="0" fillId="0" borderId="0" xfId="0" applyFill="1">
      <alignment vertical="center"/>
    </xf>
    <xf numFmtId="0" fontId="26" fillId="0" borderId="0" xfId="0" applyFont="1" applyFill="1" applyAlignment="1"/>
    <xf numFmtId="0" fontId="30" fillId="0" borderId="18" xfId="0" applyFont="1" applyBorder="1" applyAlignment="1">
      <alignment horizontal="center" vertical="center" wrapText="1"/>
    </xf>
    <xf numFmtId="0" fontId="0" fillId="0" borderId="20" xfId="0" applyBorder="1" applyAlignment="1">
      <alignment horizontal="center" vertical="center" wrapText="1"/>
    </xf>
    <xf numFmtId="0" fontId="30" fillId="0" borderId="79" xfId="0" applyFont="1" applyBorder="1">
      <alignment vertical="center"/>
    </xf>
    <xf numFmtId="0" fontId="0" fillId="0" borderId="78" xfId="0" applyBorder="1" applyAlignment="1">
      <alignment horizontal="center" vertical="center" wrapText="1"/>
    </xf>
    <xf numFmtId="0" fontId="30" fillId="0" borderId="21" xfId="0" applyFont="1" applyBorder="1">
      <alignment vertical="center"/>
    </xf>
    <xf numFmtId="0" fontId="30" fillId="0" borderId="22" xfId="0" applyFont="1" applyBorder="1">
      <alignment vertical="center"/>
    </xf>
    <xf numFmtId="0" fontId="30" fillId="0" borderId="22" xfId="0" applyFont="1" applyBorder="1" applyAlignment="1">
      <alignment horizontal="center" vertical="center" wrapText="1"/>
    </xf>
    <xf numFmtId="0" fontId="0" fillId="0" borderId="23" xfId="0" applyBorder="1" applyAlignment="1">
      <alignment horizontal="center" vertical="center" wrapText="1"/>
    </xf>
    <xf numFmtId="0" fontId="30" fillId="0" borderId="0" xfId="0" applyFont="1" applyBorder="1">
      <alignment vertical="center"/>
    </xf>
    <xf numFmtId="0" fontId="30" fillId="0" borderId="0" xfId="0" applyFont="1" applyBorder="1" applyAlignment="1">
      <alignment horizontal="center" vertical="center" wrapText="1"/>
    </xf>
    <xf numFmtId="0" fontId="0" fillId="0" borderId="0" xfId="0" applyBorder="1" applyAlignment="1">
      <alignment horizontal="center" vertical="center" wrapText="1"/>
    </xf>
    <xf numFmtId="0" fontId="104" fillId="0" borderId="31" xfId="0" applyFont="1" applyBorder="1">
      <alignment vertical="center"/>
    </xf>
    <xf numFmtId="0" fontId="104" fillId="0" borderId="85" xfId="0" applyFont="1" applyBorder="1">
      <alignment vertical="center"/>
    </xf>
    <xf numFmtId="0" fontId="104" fillId="0" borderId="85" xfId="0" applyFont="1" applyBorder="1" applyAlignment="1">
      <alignment horizontal="center" vertical="center" wrapText="1"/>
    </xf>
    <xf numFmtId="0" fontId="104" fillId="0" borderId="32" xfId="0" applyFont="1" applyBorder="1" applyAlignment="1">
      <alignment horizontal="center" vertical="center" wrapText="1"/>
    </xf>
    <xf numFmtId="0" fontId="23" fillId="40" borderId="26" xfId="0" applyFont="1" applyFill="1" applyBorder="1">
      <alignment vertical="center"/>
    </xf>
    <xf numFmtId="0" fontId="22" fillId="40" borderId="2" xfId="1" applyNumberFormat="1" applyFont="1" applyFill="1" applyBorder="1" applyAlignment="1" applyProtection="1">
      <alignment horizontal="center" vertical="center"/>
    </xf>
    <xf numFmtId="10" fontId="22" fillId="40" borderId="3" xfId="1" applyNumberFormat="1" applyFont="1" applyFill="1" applyBorder="1" applyAlignment="1" applyProtection="1">
      <alignment horizontal="center" vertical="center"/>
    </xf>
    <xf numFmtId="2" fontId="22" fillId="40" borderId="3" xfId="0" applyNumberFormat="1" applyFont="1" applyFill="1" applyBorder="1" applyAlignment="1">
      <alignment horizontal="center" vertical="center"/>
    </xf>
    <xf numFmtId="0" fontId="22" fillId="40" borderId="0" xfId="1" applyNumberFormat="1" applyFont="1" applyFill="1" applyBorder="1" applyAlignment="1" applyProtection="1">
      <alignment horizontal="center" vertical="center"/>
    </xf>
    <xf numFmtId="10" fontId="22" fillId="40" borderId="5" xfId="1" applyNumberFormat="1" applyFont="1" applyFill="1" applyBorder="1" applyAlignment="1" applyProtection="1">
      <alignment horizontal="center" vertical="center"/>
    </xf>
    <xf numFmtId="2" fontId="22" fillId="40" borderId="5" xfId="0" applyNumberFormat="1" applyFont="1" applyFill="1" applyBorder="1" applyAlignment="1">
      <alignment horizontal="center" vertical="center"/>
    </xf>
    <xf numFmtId="0" fontId="22" fillId="40" borderId="11" xfId="1" applyNumberFormat="1" applyFont="1" applyFill="1" applyBorder="1" applyAlignment="1" applyProtection="1">
      <alignment horizontal="center" vertical="center"/>
    </xf>
    <xf numFmtId="10" fontId="22" fillId="40" borderId="12" xfId="1" applyNumberFormat="1" applyFont="1" applyFill="1" applyBorder="1" applyAlignment="1" applyProtection="1">
      <alignment horizontal="center" vertical="center"/>
    </xf>
    <xf numFmtId="2" fontId="22" fillId="40" borderId="12" xfId="0" applyNumberFormat="1" applyFont="1" applyFill="1" applyBorder="1" applyAlignment="1">
      <alignment horizontal="center" vertical="center"/>
    </xf>
    <xf numFmtId="0" fontId="23" fillId="35" borderId="7" xfId="0" applyFont="1" applyFill="1" applyBorder="1">
      <alignment vertical="center"/>
    </xf>
    <xf numFmtId="0" fontId="23" fillId="35" borderId="10" xfId="0" applyFont="1" applyFill="1" applyBorder="1">
      <alignment vertical="center"/>
    </xf>
    <xf numFmtId="0" fontId="23" fillId="35" borderId="6" xfId="0" applyFont="1" applyFill="1" applyBorder="1" applyAlignment="1">
      <alignment horizontal="center" vertical="center"/>
    </xf>
    <xf numFmtId="0" fontId="23" fillId="35" borderId="8" xfId="0" applyFont="1" applyFill="1" applyBorder="1" applyAlignment="1">
      <alignment horizontal="center" vertical="center"/>
    </xf>
    <xf numFmtId="0" fontId="23" fillId="35" borderId="3" xfId="0" applyFont="1" applyFill="1" applyBorder="1" applyAlignment="1">
      <alignment horizontal="center" vertical="center"/>
    </xf>
    <xf numFmtId="0" fontId="23" fillId="35" borderId="2" xfId="0" applyFont="1" applyFill="1" applyBorder="1" applyAlignment="1">
      <alignment horizontal="center" vertical="center"/>
    </xf>
    <xf numFmtId="0" fontId="23" fillId="35" borderId="2" xfId="0" applyNumberFormat="1" applyFont="1" applyFill="1" applyBorder="1" applyAlignment="1">
      <alignment horizontal="center" vertical="center"/>
    </xf>
    <xf numFmtId="0" fontId="23" fillId="41" borderId="25" xfId="0" applyFont="1" applyFill="1" applyBorder="1">
      <alignment vertical="center"/>
    </xf>
    <xf numFmtId="0" fontId="22" fillId="41" borderId="0" xfId="1" applyNumberFormat="1" applyFont="1" applyFill="1" applyBorder="1" applyAlignment="1" applyProtection="1">
      <alignment horizontal="center" vertical="center"/>
    </xf>
    <xf numFmtId="0" fontId="22" fillId="41" borderId="4" xfId="0" applyFont="1" applyFill="1" applyBorder="1" applyAlignment="1">
      <alignment horizontal="center" vertical="center"/>
    </xf>
    <xf numFmtId="0" fontId="22" fillId="41" borderId="0" xfId="0" applyNumberFormat="1" applyFont="1" applyFill="1" applyBorder="1" applyAlignment="1">
      <alignment horizontal="center" vertical="center"/>
    </xf>
    <xf numFmtId="0" fontId="22" fillId="41" borderId="5" xfId="0" applyNumberFormat="1" applyFont="1" applyFill="1" applyBorder="1" applyAlignment="1">
      <alignment horizontal="center" vertical="center"/>
    </xf>
    <xf numFmtId="0" fontId="23" fillId="41" borderId="27" xfId="0" applyFont="1" applyFill="1" applyBorder="1">
      <alignment vertical="center"/>
    </xf>
    <xf numFmtId="0" fontId="22" fillId="41" borderId="9" xfId="0" applyFont="1" applyFill="1" applyBorder="1" applyAlignment="1">
      <alignment horizontal="center" vertical="center"/>
    </xf>
    <xf numFmtId="0" fontId="22" fillId="41" borderId="11" xfId="0" applyNumberFormat="1" applyFont="1" applyFill="1" applyBorder="1" applyAlignment="1">
      <alignment horizontal="center" vertical="center"/>
    </xf>
    <xf numFmtId="0" fontId="22" fillId="41" borderId="12" xfId="0" applyNumberFormat="1" applyFont="1" applyFill="1" applyBorder="1" applyAlignment="1">
      <alignment horizontal="center" vertical="center"/>
    </xf>
    <xf numFmtId="0" fontId="27" fillId="7" borderId="9" xfId="0" applyFont="1" applyFill="1" applyBorder="1">
      <alignment vertical="center"/>
    </xf>
    <xf numFmtId="0" fontId="27" fillId="7" borderId="27" xfId="0" applyFont="1" applyFill="1" applyBorder="1">
      <alignment vertical="center"/>
    </xf>
    <xf numFmtId="0" fontId="23" fillId="5" borderId="4" xfId="0" applyFont="1" applyFill="1" applyBorder="1">
      <alignment vertical="center"/>
    </xf>
    <xf numFmtId="0" fontId="22" fillId="5" borderId="0" xfId="0" applyNumberFormat="1" applyFont="1" applyFill="1" applyBorder="1" applyAlignment="1">
      <alignment horizontal="center" vertical="center"/>
    </xf>
    <xf numFmtId="0" fontId="22" fillId="5" borderId="5" xfId="0" applyNumberFormat="1" applyFont="1" applyFill="1" applyBorder="1" applyAlignment="1">
      <alignment horizontal="center" vertical="center"/>
    </xf>
    <xf numFmtId="0" fontId="23" fillId="35" borderId="1" xfId="0" applyFont="1" applyFill="1" applyBorder="1">
      <alignment vertical="center"/>
    </xf>
    <xf numFmtId="0" fontId="23" fillId="35" borderId="26" xfId="0" applyFont="1" applyFill="1" applyBorder="1">
      <alignment vertical="center"/>
    </xf>
    <xf numFmtId="0" fontId="27" fillId="7" borderId="11" xfId="1" applyNumberFormat="1" applyFont="1" applyFill="1" applyBorder="1" applyAlignment="1" applyProtection="1">
      <alignment horizontal="center" vertical="center"/>
    </xf>
    <xf numFmtId="0" fontId="23" fillId="37" borderId="1" xfId="0" applyFont="1" applyFill="1" applyBorder="1">
      <alignment vertical="center"/>
    </xf>
    <xf numFmtId="0" fontId="23" fillId="37" borderId="26" xfId="1" applyNumberFormat="1" applyFont="1" applyFill="1" applyBorder="1" applyAlignment="1" applyProtection="1">
      <alignment horizontal="left" vertical="center"/>
    </xf>
    <xf numFmtId="0" fontId="22" fillId="37" borderId="3" xfId="1" applyNumberFormat="1" applyFont="1" applyFill="1" applyBorder="1" applyAlignment="1" applyProtection="1">
      <alignment horizontal="center" vertical="center"/>
    </xf>
    <xf numFmtId="0" fontId="22" fillId="37" borderId="2" xfId="0" applyFont="1" applyFill="1" applyBorder="1" applyAlignment="1">
      <alignment horizontal="center" vertical="center"/>
    </xf>
    <xf numFmtId="0" fontId="23" fillId="37" borderId="25" xfId="1" applyNumberFormat="1" applyFont="1" applyFill="1" applyBorder="1" applyAlignment="1" applyProtection="1">
      <alignment horizontal="left" vertical="center"/>
    </xf>
    <xf numFmtId="0" fontId="22" fillId="37" borderId="0" xfId="0" applyFont="1" applyFill="1" applyBorder="1" applyAlignment="1">
      <alignment horizontal="center" vertical="center"/>
    </xf>
    <xf numFmtId="0" fontId="23" fillId="37" borderId="9" xfId="0" applyFont="1" applyFill="1" applyBorder="1">
      <alignment vertical="center"/>
    </xf>
    <xf numFmtId="0" fontId="23" fillId="37" borderId="27" xfId="1" applyNumberFormat="1" applyFont="1" applyFill="1" applyBorder="1" applyAlignment="1" applyProtection="1">
      <alignment horizontal="left" vertical="center"/>
    </xf>
    <xf numFmtId="0" fontId="22" fillId="37" borderId="12" xfId="1" applyNumberFormat="1" applyFont="1" applyFill="1" applyBorder="1" applyAlignment="1" applyProtection="1">
      <alignment horizontal="center" vertical="center"/>
    </xf>
    <xf numFmtId="0" fontId="22" fillId="37" borderId="11" xfId="0" applyFont="1" applyFill="1" applyBorder="1" applyAlignment="1">
      <alignment horizontal="center" vertical="center"/>
    </xf>
    <xf numFmtId="0" fontId="24" fillId="0" borderId="0" xfId="0" applyFont="1" applyFill="1">
      <alignment vertical="center"/>
    </xf>
    <xf numFmtId="0" fontId="24" fillId="0" borderId="0" xfId="0" applyFont="1" applyFill="1" applyAlignment="1">
      <alignment horizontal="center" vertical="center"/>
    </xf>
    <xf numFmtId="0" fontId="22" fillId="0" borderId="0" xfId="0" applyFont="1" applyFill="1" applyAlignment="1">
      <alignment horizontal="center" vertical="center"/>
    </xf>
    <xf numFmtId="0" fontId="90" fillId="0" borderId="0" xfId="0" applyFont="1" applyFill="1">
      <alignment vertical="center"/>
    </xf>
    <xf numFmtId="185" fontId="0" fillId="0" borderId="0" xfId="0" applyNumberFormat="1" applyFill="1" applyBorder="1">
      <alignment vertical="center"/>
    </xf>
    <xf numFmtId="9" fontId="28" fillId="0" borderId="0" xfId="1" applyFill="1">
      <alignment vertical="top"/>
      <protection locked="0"/>
    </xf>
    <xf numFmtId="184" fontId="0" fillId="0" borderId="0" xfId="0" applyNumberFormat="1" applyFill="1">
      <alignment vertical="center"/>
    </xf>
    <xf numFmtId="10" fontId="24" fillId="0" borderId="0" xfId="280" applyNumberFormat="1" applyFill="1">
      <alignment vertical="top"/>
      <protection locked="0"/>
    </xf>
    <xf numFmtId="0" fontId="31" fillId="0" borderId="26" xfId="0" applyFont="1" applyFill="1" applyBorder="1">
      <alignment vertical="center"/>
    </xf>
    <xf numFmtId="0" fontId="0" fillId="0" borderId="26" xfId="0" applyFill="1" applyBorder="1" applyAlignment="1">
      <alignment horizontal="center" vertical="center"/>
    </xf>
    <xf numFmtId="0" fontId="29" fillId="0" borderId="24" xfId="0" applyFont="1" applyFill="1" applyBorder="1" applyAlignment="1">
      <alignment horizontal="center" vertical="center" wrapText="1"/>
    </xf>
    <xf numFmtId="0" fontId="29" fillId="0" borderId="30" xfId="0" applyFont="1" applyFill="1" applyBorder="1" applyAlignment="1">
      <alignment horizontal="center" vertical="center" wrapText="1"/>
    </xf>
    <xf numFmtId="0" fontId="22" fillId="0" borderId="0" xfId="0" applyFont="1" applyFill="1" applyBorder="1" applyAlignment="1">
      <alignment horizontal="center" vertical="center"/>
    </xf>
    <xf numFmtId="0" fontId="31" fillId="0" borderId="73" xfId="0" applyFont="1" applyFill="1" applyBorder="1" applyAlignment="1">
      <alignment horizontal="center" vertical="center"/>
    </xf>
    <xf numFmtId="1" fontId="0" fillId="0" borderId="13" xfId="0" applyNumberFormat="1" applyFill="1" applyBorder="1" applyAlignment="1">
      <alignment horizontal="center" vertical="center"/>
    </xf>
    <xf numFmtId="1" fontId="0" fillId="0" borderId="19" xfId="0" applyNumberFormat="1" applyFill="1" applyBorder="1" applyAlignment="1">
      <alignment horizontal="center" vertical="center"/>
    </xf>
    <xf numFmtId="10" fontId="25" fillId="0" borderId="17" xfId="280" applyNumberFormat="1" applyFont="1" applyFill="1" applyBorder="1" applyAlignment="1" applyProtection="1">
      <alignment horizontal="center" vertical="center"/>
    </xf>
    <xf numFmtId="10" fontId="25" fillId="0" borderId="20" xfId="280" applyNumberFormat="1" applyFont="1" applyFill="1" applyBorder="1" applyAlignment="1" applyProtection="1">
      <alignment horizontal="center" vertical="center"/>
    </xf>
    <xf numFmtId="0" fontId="31" fillId="0" borderId="71" xfId="0" applyFont="1" applyFill="1" applyBorder="1" applyAlignment="1">
      <alignment horizontal="center" vertical="center"/>
    </xf>
    <xf numFmtId="1" fontId="0" fillId="0" borderId="65" xfId="0" applyNumberFormat="1" applyFill="1" applyBorder="1" applyAlignment="1">
      <alignment horizontal="center" vertical="center"/>
    </xf>
    <xf numFmtId="1" fontId="0" fillId="0" borderId="66" xfId="0" applyNumberFormat="1" applyFill="1" applyBorder="1" applyAlignment="1">
      <alignment horizontal="center" vertical="center"/>
    </xf>
    <xf numFmtId="0" fontId="31" fillId="0" borderId="72" xfId="0" applyFont="1" applyFill="1" applyBorder="1" applyAlignment="1">
      <alignment horizontal="center" vertical="center"/>
    </xf>
    <xf numFmtId="1" fontId="0" fillId="0" borderId="21" xfId="0" applyNumberFormat="1" applyFill="1" applyBorder="1" applyAlignment="1">
      <alignment horizontal="center" vertical="center"/>
    </xf>
    <xf numFmtId="1" fontId="0" fillId="0" borderId="23" xfId="0" applyNumberFormat="1" applyFill="1" applyBorder="1" applyAlignment="1">
      <alignment horizontal="center" vertical="center"/>
    </xf>
    <xf numFmtId="10" fontId="25" fillId="0" borderId="21" xfId="280" applyNumberFormat="1" applyFont="1" applyFill="1" applyBorder="1" applyAlignment="1" applyProtection="1">
      <alignment horizontal="center" vertical="center"/>
    </xf>
    <xf numFmtId="10" fontId="25" fillId="0" borderId="23" xfId="280" applyNumberFormat="1" applyFont="1" applyFill="1" applyBorder="1" applyAlignment="1" applyProtection="1">
      <alignment horizontal="center" vertical="center"/>
    </xf>
    <xf numFmtId="0" fontId="91" fillId="0" borderId="0" xfId="0" applyFont="1" applyFill="1" applyBorder="1" applyAlignment="1">
      <alignment horizontal="center" vertical="center"/>
    </xf>
    <xf numFmtId="0" fontId="22" fillId="0" borderId="0" xfId="0" applyFont="1" applyFill="1">
      <alignment vertical="center"/>
    </xf>
    <xf numFmtId="17" fontId="87" fillId="0" borderId="0" xfId="0" applyNumberFormat="1" applyFont="1">
      <alignment vertical="center"/>
    </xf>
    <xf numFmtId="0" fontId="25" fillId="0" borderId="2" xfId="0" applyFont="1" applyFill="1" applyBorder="1" applyAlignment="1">
      <alignment vertical="center"/>
    </xf>
    <xf numFmtId="2" fontId="105" fillId="2" borderId="16" xfId="0" applyNumberFormat="1" applyFont="1" applyFill="1" applyBorder="1" applyAlignment="1">
      <alignment horizontal="center" vertical="center"/>
    </xf>
    <xf numFmtId="0" fontId="30" fillId="0" borderId="17" xfId="0" applyFont="1" applyBorder="1" applyAlignment="1">
      <alignment vertical="center" wrapText="1"/>
    </xf>
    <xf numFmtId="0" fontId="30" fillId="0" borderId="18" xfId="0" applyFont="1" applyBorder="1" applyAlignment="1">
      <alignment vertical="center" wrapText="1"/>
    </xf>
    <xf numFmtId="0" fontId="106" fillId="41" borderId="16" xfId="0" applyFont="1" applyFill="1" applyBorder="1" applyAlignment="1">
      <alignment horizontal="center" vertical="center"/>
    </xf>
    <xf numFmtId="0" fontId="108" fillId="0" borderId="0" xfId="311" applyFont="1"/>
    <xf numFmtId="0" fontId="15" fillId="0" borderId="0" xfId="311"/>
    <xf numFmtId="0" fontId="107" fillId="0" borderId="0" xfId="311" applyFont="1"/>
    <xf numFmtId="0" fontId="15" fillId="0" borderId="87" xfId="311" applyBorder="1"/>
    <xf numFmtId="0" fontId="107" fillId="0" borderId="87" xfId="311" applyFont="1" applyBorder="1"/>
    <xf numFmtId="0" fontId="15" fillId="0" borderId="28" xfId="311" applyBorder="1"/>
    <xf numFmtId="187" fontId="107" fillId="0" borderId="28" xfId="311" applyNumberFormat="1" applyFont="1" applyBorder="1"/>
    <xf numFmtId="0" fontId="109" fillId="0" borderId="0" xfId="311" applyFont="1" applyFill="1" applyBorder="1" applyAlignment="1">
      <alignment vertical="center"/>
    </xf>
    <xf numFmtId="0" fontId="15" fillId="0" borderId="0" xfId="311" applyBorder="1"/>
    <xf numFmtId="0" fontId="107" fillId="0" borderId="0" xfId="311" applyFont="1" applyBorder="1"/>
    <xf numFmtId="187" fontId="107" fillId="0" borderId="0" xfId="311" applyNumberFormat="1" applyFont="1" applyBorder="1"/>
    <xf numFmtId="0" fontId="14" fillId="0" borderId="0" xfId="311" applyFont="1"/>
    <xf numFmtId="9" fontId="28" fillId="0" borderId="0" xfId="1">
      <alignment vertical="top"/>
      <protection locked="0"/>
    </xf>
    <xf numFmtId="166" fontId="0" fillId="0" borderId="0" xfId="274" applyFont="1" applyAlignment="1">
      <alignment vertical="center"/>
    </xf>
    <xf numFmtId="0" fontId="110" fillId="0" borderId="0" xfId="323">
      <alignment vertical="center"/>
    </xf>
    <xf numFmtId="0" fontId="0" fillId="0" borderId="0" xfId="0" applyAlignment="1">
      <alignment horizontal="center" vertical="center"/>
    </xf>
    <xf numFmtId="188" fontId="0" fillId="0" borderId="0" xfId="274" applyNumberFormat="1" applyFont="1" applyAlignment="1">
      <alignment vertical="center"/>
    </xf>
    <xf numFmtId="0" fontId="113" fillId="0" borderId="0" xfId="0" applyFont="1" applyFill="1" applyAlignment="1"/>
    <xf numFmtId="0" fontId="113" fillId="0" borderId="0" xfId="0" applyFont="1" applyAlignment="1"/>
    <xf numFmtId="0" fontId="114" fillId="0" borderId="0" xfId="0" applyFont="1" applyAlignment="1"/>
    <xf numFmtId="2" fontId="113" fillId="0" borderId="0" xfId="0" applyNumberFormat="1" applyFont="1" applyAlignment="1"/>
    <xf numFmtId="0" fontId="32" fillId="0" borderId="0" xfId="0" applyFont="1" applyAlignment="1"/>
    <xf numFmtId="10" fontId="115" fillId="7" borderId="11" xfId="1" applyNumberFormat="1" applyFont="1" applyFill="1" applyBorder="1" applyAlignment="1" applyProtection="1">
      <alignment horizontal="center" vertical="center"/>
    </xf>
    <xf numFmtId="0" fontId="112" fillId="35" borderId="2" xfId="0" applyFont="1" applyFill="1" applyBorder="1" applyAlignment="1">
      <alignment horizontal="center" vertical="center"/>
    </xf>
    <xf numFmtId="9" fontId="116" fillId="40" borderId="2" xfId="1" applyFont="1" applyFill="1" applyBorder="1" applyAlignment="1" applyProtection="1">
      <alignment horizontal="center" vertical="center"/>
    </xf>
    <xf numFmtId="9" fontId="116" fillId="40" borderId="0" xfId="1" applyFont="1" applyFill="1" applyBorder="1" applyAlignment="1" applyProtection="1">
      <alignment horizontal="center" vertical="center"/>
    </xf>
    <xf numFmtId="9" fontId="116" fillId="40" borderId="11" xfId="1" applyFont="1" applyFill="1" applyBorder="1" applyAlignment="1" applyProtection="1">
      <alignment horizontal="center" vertical="center"/>
    </xf>
    <xf numFmtId="9" fontId="116" fillId="5" borderId="0" xfId="1" applyNumberFormat="1" applyFont="1" applyFill="1" applyBorder="1" applyAlignment="1" applyProtection="1">
      <alignment horizontal="center" vertical="center"/>
    </xf>
    <xf numFmtId="9" fontId="116" fillId="5" borderId="11" xfId="1" applyNumberFormat="1" applyFont="1" applyFill="1" applyBorder="1" applyAlignment="1" applyProtection="1">
      <alignment horizontal="center" vertical="center"/>
    </xf>
    <xf numFmtId="0" fontId="116" fillId="41" borderId="0" xfId="0" applyFont="1" applyFill="1" applyBorder="1" applyAlignment="1">
      <alignment horizontal="center" vertical="center"/>
    </xf>
    <xf numFmtId="0" fontId="116" fillId="41" borderId="11" xfId="0" applyFont="1" applyFill="1" applyBorder="1" applyAlignment="1">
      <alignment horizontal="center" vertical="center"/>
    </xf>
    <xf numFmtId="0" fontId="116" fillId="5" borderId="0" xfId="0" applyFont="1" applyFill="1" applyBorder="1" applyAlignment="1">
      <alignment horizontal="center" vertical="center"/>
    </xf>
    <xf numFmtId="0" fontId="115" fillId="7" borderId="11" xfId="0" applyFont="1" applyFill="1" applyBorder="1" applyAlignment="1">
      <alignment horizontal="center" vertical="center"/>
    </xf>
    <xf numFmtId="0" fontId="116" fillId="37" borderId="2" xfId="0" applyFont="1" applyFill="1" applyBorder="1" applyAlignment="1">
      <alignment horizontal="center" vertical="center"/>
    </xf>
    <xf numFmtId="0" fontId="116" fillId="37" borderId="0" xfId="0" applyFont="1" applyFill="1" applyBorder="1" applyAlignment="1">
      <alignment horizontal="center" vertical="center"/>
    </xf>
    <xf numFmtId="0" fontId="116" fillId="37" borderId="11" xfId="0" applyFont="1" applyFill="1" applyBorder="1" applyAlignment="1">
      <alignment horizontal="center" vertical="center"/>
    </xf>
    <xf numFmtId="0" fontId="103" fillId="0" borderId="0" xfId="0" applyFont="1" applyFill="1" applyAlignment="1">
      <alignment horizontal="center" vertical="center"/>
    </xf>
    <xf numFmtId="0" fontId="103" fillId="0" borderId="0" xfId="0" applyFont="1" applyFill="1">
      <alignment vertical="center"/>
    </xf>
    <xf numFmtId="0" fontId="116" fillId="0" borderId="0" xfId="0" applyFont="1" applyFill="1" applyAlignment="1">
      <alignment horizontal="center" vertical="center"/>
    </xf>
    <xf numFmtId="0" fontId="116" fillId="7" borderId="0" xfId="0" applyFont="1" applyFill="1" applyAlignment="1">
      <alignment horizontal="center" vertical="center"/>
    </xf>
    <xf numFmtId="0" fontId="98" fillId="0" borderId="0" xfId="0" applyNumberFormat="1" applyFont="1" applyAlignment="1">
      <alignment horizontal="center" vertical="center"/>
    </xf>
    <xf numFmtId="0" fontId="0" fillId="0" borderId="0" xfId="0" quotePrefix="1">
      <alignment vertical="center"/>
    </xf>
    <xf numFmtId="0" fontId="31" fillId="0" borderId="31" xfId="0" applyFont="1" applyFill="1" applyBorder="1" applyAlignment="1">
      <alignment vertical="center"/>
    </xf>
    <xf numFmtId="0" fontId="31" fillId="0" borderId="32" xfId="0" applyFont="1" applyFill="1" applyBorder="1" applyAlignment="1">
      <alignment vertical="center"/>
    </xf>
    <xf numFmtId="0" fontId="31" fillId="0" borderId="1" xfId="0" applyFont="1" applyFill="1" applyBorder="1" applyAlignment="1">
      <alignment vertical="center"/>
    </xf>
    <xf numFmtId="0" fontId="31" fillId="0" borderId="3" xfId="0" applyFont="1" applyFill="1" applyBorder="1" applyAlignment="1">
      <alignment vertical="center"/>
    </xf>
    <xf numFmtId="0" fontId="117" fillId="0" borderId="0" xfId="0" applyFont="1" applyFill="1">
      <alignment vertical="center"/>
    </xf>
    <xf numFmtId="0" fontId="32" fillId="0" borderId="0" xfId="0" applyFont="1" applyFill="1" applyBorder="1" applyAlignment="1">
      <alignment horizontal="center" vertical="center"/>
    </xf>
    <xf numFmtId="0" fontId="117" fillId="0" borderId="0" xfId="0" applyFont="1" applyAlignment="1"/>
    <xf numFmtId="185" fontId="28" fillId="0" borderId="0" xfId="1" applyNumberFormat="1" applyAlignment="1">
      <alignment horizontal="center" vertical="top"/>
      <protection locked="0"/>
    </xf>
    <xf numFmtId="189" fontId="22" fillId="0" borderId="16" xfId="274" applyNumberFormat="1" applyFont="1" applyFill="1" applyBorder="1" applyAlignment="1">
      <alignment horizontal="center" vertical="center" wrapText="1"/>
    </xf>
    <xf numFmtId="0" fontId="31" fillId="0" borderId="71" xfId="0" applyFont="1" applyFill="1" applyBorder="1" applyAlignment="1">
      <alignment horizontal="center" vertical="center" wrapText="1"/>
    </xf>
    <xf numFmtId="0" fontId="23" fillId="0" borderId="85" xfId="0" applyFont="1" applyFill="1" applyBorder="1" applyAlignment="1">
      <alignment horizontal="center" vertical="center" wrapText="1"/>
    </xf>
    <xf numFmtId="189" fontId="22" fillId="0" borderId="18" xfId="274" applyNumberFormat="1" applyFont="1" applyFill="1" applyBorder="1" applyAlignment="1">
      <alignment horizontal="center" vertical="center" wrapText="1"/>
    </xf>
    <xf numFmtId="0" fontId="31" fillId="0" borderId="88" xfId="0" applyFont="1" applyFill="1" applyBorder="1" applyAlignment="1">
      <alignment horizontal="center" vertical="center" wrapText="1"/>
    </xf>
    <xf numFmtId="0" fontId="23" fillId="0" borderId="3" xfId="0" applyFont="1" applyFill="1" applyBorder="1" applyAlignment="1">
      <alignment horizontal="center" vertical="center" wrapText="1"/>
    </xf>
    <xf numFmtId="185" fontId="28" fillId="0" borderId="89" xfId="1" applyNumberFormat="1" applyBorder="1" applyProtection="1">
      <alignment vertical="top"/>
    </xf>
    <xf numFmtId="185" fontId="28" fillId="0" borderId="67" xfId="1" applyNumberFormat="1" applyBorder="1" applyProtection="1">
      <alignment vertical="top"/>
    </xf>
    <xf numFmtId="0" fontId="23" fillId="0" borderId="31" xfId="0" applyFont="1" applyFill="1" applyBorder="1" applyAlignment="1">
      <alignment horizontal="center" vertical="center" wrapText="1"/>
    </xf>
    <xf numFmtId="0" fontId="23" fillId="0" borderId="32" xfId="0" applyFont="1" applyFill="1" applyBorder="1" applyAlignment="1">
      <alignment horizontal="center" vertical="center" wrapText="1"/>
    </xf>
    <xf numFmtId="189" fontId="22" fillId="0" borderId="17" xfId="274" applyNumberFormat="1" applyFont="1" applyFill="1" applyBorder="1" applyAlignment="1">
      <alignment horizontal="center" vertical="center" wrapText="1"/>
    </xf>
    <xf numFmtId="189" fontId="22" fillId="0" borderId="20" xfId="274" applyNumberFormat="1" applyFont="1" applyFill="1" applyBorder="1" applyAlignment="1">
      <alignment horizontal="center" vertical="center" wrapText="1"/>
    </xf>
    <xf numFmtId="189" fontId="22" fillId="0" borderId="79" xfId="274" applyNumberFormat="1" applyFont="1" applyFill="1" applyBorder="1" applyAlignment="1">
      <alignment horizontal="center" vertical="center" wrapText="1"/>
    </xf>
    <xf numFmtId="189" fontId="22" fillId="0" borderId="78" xfId="274" applyNumberFormat="1" applyFont="1" applyFill="1" applyBorder="1" applyAlignment="1">
      <alignment horizontal="center" vertical="center" wrapText="1"/>
    </xf>
    <xf numFmtId="0" fontId="31" fillId="0" borderId="90" xfId="0" applyFont="1" applyFill="1" applyBorder="1" applyAlignment="1">
      <alignment horizontal="center" vertical="center" wrapText="1"/>
    </xf>
    <xf numFmtId="189" fontId="22" fillId="0" borderId="91" xfId="274" applyNumberFormat="1" applyFont="1" applyFill="1" applyBorder="1" applyAlignment="1">
      <alignment horizontal="center" vertical="center" wrapText="1"/>
    </xf>
    <xf numFmtId="189" fontId="22" fillId="0" borderId="92" xfId="274" applyNumberFormat="1" applyFont="1" applyFill="1" applyBorder="1" applyAlignment="1">
      <alignment horizontal="center" vertical="center" wrapText="1"/>
    </xf>
    <xf numFmtId="189" fontId="22" fillId="0" borderId="93" xfId="274" applyNumberFormat="1" applyFont="1" applyFill="1" applyBorder="1" applyAlignment="1">
      <alignment horizontal="center" vertical="center" wrapText="1"/>
    </xf>
    <xf numFmtId="185" fontId="28" fillId="0" borderId="94" xfId="1" applyNumberFormat="1" applyBorder="1" applyProtection="1">
      <alignment vertical="top"/>
    </xf>
    <xf numFmtId="0" fontId="25" fillId="0" borderId="10" xfId="0" applyFont="1" applyFill="1" applyBorder="1" applyAlignment="1">
      <alignment horizontal="center" vertical="center"/>
    </xf>
    <xf numFmtId="189" fontId="22" fillId="0" borderId="24" xfId="0" applyNumberFormat="1" applyFont="1" applyFill="1" applyBorder="1" applyAlignment="1">
      <alignment horizontal="center" vertical="center"/>
    </xf>
    <xf numFmtId="189" fontId="22" fillId="0" borderId="29" xfId="0" applyNumberFormat="1" applyFont="1" applyFill="1" applyBorder="1" applyAlignment="1">
      <alignment horizontal="center" vertical="center"/>
    </xf>
    <xf numFmtId="189" fontId="22" fillId="0" borderId="30" xfId="0" applyNumberFormat="1" applyFont="1" applyFill="1" applyBorder="1" applyAlignment="1">
      <alignment horizontal="center" vertical="center"/>
    </xf>
    <xf numFmtId="1" fontId="0" fillId="0" borderId="15" xfId="0" applyNumberFormat="1" applyFill="1" applyBorder="1" applyAlignment="1">
      <alignment horizontal="center" vertical="center"/>
    </xf>
    <xf numFmtId="1" fontId="0" fillId="0" borderId="76" xfId="0" applyNumberFormat="1" applyFill="1" applyBorder="1" applyAlignment="1">
      <alignment horizontal="center" vertical="center"/>
    </xf>
    <xf numFmtId="1" fontId="0" fillId="0" borderId="74" xfId="0" applyNumberFormat="1" applyFill="1" applyBorder="1" applyAlignment="1">
      <alignment horizontal="center" vertical="center"/>
    </xf>
    <xf numFmtId="0" fontId="29" fillId="0" borderId="31" xfId="0" applyFont="1" applyFill="1" applyBorder="1" applyAlignment="1">
      <alignment horizontal="center" vertical="center" wrapText="1"/>
    </xf>
    <xf numFmtId="0" fontId="29" fillId="0" borderId="32" xfId="0" applyFont="1" applyFill="1" applyBorder="1" applyAlignment="1">
      <alignment horizontal="center" vertical="center" wrapText="1"/>
    </xf>
    <xf numFmtId="10" fontId="25" fillId="0" borderId="79" xfId="280" applyNumberFormat="1" applyFont="1" applyFill="1" applyBorder="1" applyAlignment="1" applyProtection="1">
      <alignment horizontal="center" vertical="center"/>
    </xf>
    <xf numFmtId="10" fontId="25" fillId="0" borderId="78" xfId="280" applyNumberFormat="1" applyFont="1" applyFill="1" applyBorder="1" applyAlignment="1" applyProtection="1">
      <alignment horizontal="center" vertical="center"/>
    </xf>
    <xf numFmtId="0" fontId="96" fillId="0" borderId="2" xfId="0" applyFont="1" applyFill="1" applyBorder="1" applyAlignment="1">
      <alignment vertical="center"/>
    </xf>
    <xf numFmtId="0" fontId="25" fillId="0" borderId="3" xfId="0" applyFont="1" applyFill="1" applyBorder="1" applyAlignment="1">
      <alignment vertical="center"/>
    </xf>
    <xf numFmtId="10" fontId="22" fillId="37" borderId="0" xfId="1" applyNumberFormat="1" applyFont="1" applyFill="1" applyBorder="1" applyAlignment="1" applyProtection="1">
      <alignment horizontal="center" vertical="center"/>
    </xf>
    <xf numFmtId="10" fontId="22" fillId="37" borderId="2" xfId="1" applyNumberFormat="1" applyFont="1" applyFill="1" applyBorder="1" applyAlignment="1" applyProtection="1">
      <alignment horizontal="center" vertical="center"/>
    </xf>
    <xf numFmtId="0" fontId="30" fillId="0" borderId="17" xfId="0" applyFont="1" applyBorder="1">
      <alignment vertical="center"/>
    </xf>
    <xf numFmtId="0" fontId="30" fillId="0" borderId="18" xfId="0" applyFont="1" applyBorder="1">
      <alignment vertical="center"/>
    </xf>
    <xf numFmtId="166" fontId="0" fillId="0" borderId="0" xfId="0" applyNumberFormat="1">
      <alignment vertical="center"/>
    </xf>
    <xf numFmtId="166" fontId="104" fillId="0" borderId="0" xfId="0" applyNumberFormat="1" applyFont="1">
      <alignment vertical="center"/>
    </xf>
    <xf numFmtId="0" fontId="22" fillId="44" borderId="2" xfId="1" applyNumberFormat="1" applyFont="1" applyFill="1" applyBorder="1" applyAlignment="1" applyProtection="1">
      <alignment horizontal="center" vertical="center"/>
    </xf>
    <xf numFmtId="2" fontId="22" fillId="44" borderId="3" xfId="0" applyNumberFormat="1" applyFont="1" applyFill="1" applyBorder="1" applyAlignment="1">
      <alignment horizontal="center" vertical="center"/>
    </xf>
    <xf numFmtId="0" fontId="22" fillId="44" borderId="0" xfId="1" applyNumberFormat="1" applyFont="1" applyFill="1" applyBorder="1" applyAlignment="1" applyProtection="1">
      <alignment horizontal="center" vertical="center"/>
    </xf>
    <xf numFmtId="2" fontId="22" fillId="44" borderId="5" xfId="0" applyNumberFormat="1" applyFont="1" applyFill="1" applyBorder="1" applyAlignment="1">
      <alignment horizontal="center" vertical="center"/>
    </xf>
    <xf numFmtId="0" fontId="22" fillId="44" borderId="11" xfId="1" applyNumberFormat="1" applyFont="1" applyFill="1" applyBorder="1" applyAlignment="1" applyProtection="1">
      <alignment horizontal="center" vertical="center"/>
    </xf>
    <xf numFmtId="2" fontId="22" fillId="44" borderId="12" xfId="0" applyNumberFormat="1" applyFont="1" applyFill="1" applyBorder="1" applyAlignment="1">
      <alignment horizontal="center" vertical="center"/>
    </xf>
    <xf numFmtId="0" fontId="22" fillId="41" borderId="11" xfId="1" applyNumberFormat="1" applyFont="1" applyFill="1" applyBorder="1" applyAlignment="1" applyProtection="1">
      <alignment horizontal="center" vertical="center"/>
    </xf>
    <xf numFmtId="185" fontId="28" fillId="0" borderId="8" xfId="1" applyNumberFormat="1" applyFill="1" applyBorder="1" applyProtection="1">
      <alignment vertical="top"/>
    </xf>
    <xf numFmtId="0" fontId="25" fillId="0" borderId="14" xfId="4" applyFont="1" applyBorder="1" applyAlignment="1" applyProtection="1">
      <alignment horizontal="center" vertical="center"/>
    </xf>
    <xf numFmtId="0" fontId="24" fillId="0" borderId="14" xfId="4" applyFont="1" applyBorder="1" applyAlignment="1" applyProtection="1">
      <alignment horizontal="left" vertical="center"/>
    </xf>
    <xf numFmtId="0" fontId="24" fillId="0" borderId="14" xfId="4" applyFont="1" applyBorder="1" applyAlignment="1" applyProtection="1"/>
    <xf numFmtId="0" fontId="24" fillId="0" borderId="16" xfId="4" applyBorder="1" applyAlignment="1" applyProtection="1"/>
    <xf numFmtId="0" fontId="25" fillId="0" borderId="95" xfId="4" applyFont="1" applyBorder="1" applyAlignment="1" applyProtection="1">
      <alignment horizontal="center" vertical="center"/>
    </xf>
    <xf numFmtId="0" fontId="24" fillId="0" borderId="95" xfId="4" applyFont="1" applyBorder="1" applyAlignment="1" applyProtection="1">
      <alignment horizontal="left" vertical="center"/>
    </xf>
    <xf numFmtId="0" fontId="24" fillId="0" borderId="95" xfId="4" applyFont="1" applyBorder="1" applyAlignment="1" applyProtection="1"/>
    <xf numFmtId="0" fontId="118" fillId="0" borderId="0" xfId="325" applyFont="1">
      <alignment vertical="center"/>
    </xf>
    <xf numFmtId="0" fontId="30" fillId="0" borderId="0" xfId="325">
      <alignment vertical="center"/>
    </xf>
    <xf numFmtId="0" fontId="119" fillId="45" borderId="7" xfId="325" applyFont="1" applyFill="1" applyBorder="1" applyAlignment="1">
      <alignment horizontal="center" vertical="center"/>
    </xf>
    <xf numFmtId="0" fontId="119" fillId="45" borderId="24" xfId="325" applyFont="1" applyFill="1" applyBorder="1" applyAlignment="1">
      <alignment horizontal="center" vertical="center"/>
    </xf>
    <xf numFmtId="0" fontId="119" fillId="45" borderId="29" xfId="325" applyFont="1" applyFill="1" applyBorder="1" applyAlignment="1">
      <alignment horizontal="center" vertical="center"/>
    </xf>
    <xf numFmtId="0" fontId="119" fillId="45" borderId="30" xfId="325" applyFont="1" applyFill="1" applyBorder="1" applyAlignment="1">
      <alignment horizontal="center" vertical="center"/>
    </xf>
    <xf numFmtId="0" fontId="119" fillId="45" borderId="83" xfId="325" applyFont="1" applyFill="1" applyBorder="1" applyAlignment="1">
      <alignment horizontal="center" vertical="center"/>
    </xf>
    <xf numFmtId="0" fontId="119" fillId="45" borderId="14" xfId="325" applyFont="1" applyFill="1" applyBorder="1" applyAlignment="1">
      <alignment horizontal="center" vertical="center"/>
    </xf>
    <xf numFmtId="10" fontId="119" fillId="45" borderId="14" xfId="326" applyNumberFormat="1" applyFont="1" applyFill="1" applyBorder="1" applyAlignment="1">
      <alignment horizontal="center" vertical="center"/>
    </xf>
    <xf numFmtId="10" fontId="119" fillId="45" borderId="19" xfId="326" applyNumberFormat="1" applyFont="1" applyFill="1" applyBorder="1" applyAlignment="1">
      <alignment horizontal="center" vertical="center"/>
    </xf>
    <xf numFmtId="0" fontId="119" fillId="45" borderId="81" xfId="325" applyFont="1" applyFill="1" applyBorder="1" applyAlignment="1">
      <alignment horizontal="center" vertical="center"/>
    </xf>
    <xf numFmtId="0" fontId="119" fillId="45" borderId="96" xfId="325" applyFont="1" applyFill="1" applyBorder="1" applyAlignment="1">
      <alignment horizontal="center" vertical="center"/>
    </xf>
    <xf numFmtId="0" fontId="31" fillId="0" borderId="24" xfId="325" applyFont="1" applyBorder="1">
      <alignment vertical="center"/>
    </xf>
    <xf numFmtId="10" fontId="31" fillId="0" borderId="29" xfId="326" applyNumberFormat="1" applyFont="1" applyBorder="1" applyAlignment="1">
      <alignment vertical="center"/>
    </xf>
    <xf numFmtId="10" fontId="31" fillId="0" borderId="30" xfId="326" applyNumberFormat="1" applyFont="1" applyBorder="1" applyAlignment="1">
      <alignment horizontal="center" vertical="center"/>
    </xf>
    <xf numFmtId="10" fontId="31" fillId="0" borderId="30" xfId="326" applyNumberFormat="1" applyFont="1" applyBorder="1" applyAlignment="1">
      <alignment vertical="center"/>
    </xf>
    <xf numFmtId="0" fontId="119" fillId="0" borderId="0" xfId="325" applyFont="1" applyFill="1" applyBorder="1" applyAlignment="1">
      <alignment horizontal="center" vertical="center"/>
    </xf>
    <xf numFmtId="0" fontId="120" fillId="0" borderId="0" xfId="325" applyFont="1" applyFill="1" applyBorder="1" applyAlignment="1">
      <alignment horizontal="center" vertical="center"/>
    </xf>
    <xf numFmtId="9" fontId="120" fillId="0" borderId="0" xfId="326" applyNumberFormat="1" applyFont="1" applyFill="1" applyBorder="1" applyAlignment="1">
      <alignment horizontal="center" vertical="center"/>
    </xf>
    <xf numFmtId="0" fontId="30" fillId="0" borderId="0" xfId="325" applyBorder="1">
      <alignment vertical="center"/>
    </xf>
    <xf numFmtId="0" fontId="30" fillId="0" borderId="0" xfId="325" applyFill="1" applyBorder="1">
      <alignment vertical="center"/>
    </xf>
    <xf numFmtId="0" fontId="120" fillId="0" borderId="16" xfId="325" applyFont="1" applyFill="1" applyBorder="1" applyAlignment="1">
      <alignment horizontal="center" vertical="center"/>
    </xf>
    <xf numFmtId="185" fontId="120" fillId="0" borderId="16" xfId="326" applyNumberFormat="1" applyFont="1" applyFill="1" applyBorder="1" applyAlignment="1">
      <alignment horizontal="center" vertical="center"/>
    </xf>
    <xf numFmtId="0" fontId="120" fillId="0" borderId="0" xfId="325" applyFont="1" applyFill="1" applyBorder="1" applyAlignment="1">
      <alignment horizontal="left" vertical="center" wrapText="1"/>
    </xf>
    <xf numFmtId="1" fontId="30" fillId="0" borderId="0" xfId="325" applyNumberFormat="1">
      <alignment vertical="center"/>
    </xf>
    <xf numFmtId="0" fontId="120" fillId="0" borderId="0" xfId="325" applyFont="1" applyFill="1" applyBorder="1" applyAlignment="1">
      <alignment horizontal="left" vertical="center"/>
    </xf>
    <xf numFmtId="1" fontId="119" fillId="45" borderId="13" xfId="325" applyNumberFormat="1" applyFont="1" applyFill="1" applyBorder="1" applyAlignment="1">
      <alignment horizontal="center" vertical="center"/>
    </xf>
    <xf numFmtId="1" fontId="31" fillId="0" borderId="24" xfId="325" applyNumberFormat="1" applyFont="1" applyBorder="1">
      <alignment vertical="center"/>
    </xf>
    <xf numFmtId="0" fontId="30" fillId="0" borderId="0" xfId="327">
      <alignment vertical="center"/>
    </xf>
    <xf numFmtId="17" fontId="30" fillId="0" borderId="0" xfId="327" applyNumberFormat="1">
      <alignment vertical="center"/>
    </xf>
    <xf numFmtId="0" fontId="30" fillId="0" borderId="0" xfId="327" applyFont="1">
      <alignment vertical="center"/>
    </xf>
    <xf numFmtId="10" fontId="30" fillId="0" borderId="0" xfId="327" applyNumberFormat="1">
      <alignment vertical="center"/>
    </xf>
    <xf numFmtId="0" fontId="30" fillId="0" borderId="0" xfId="327" applyNumberFormat="1">
      <alignment vertical="center"/>
    </xf>
    <xf numFmtId="17" fontId="30" fillId="0" borderId="0" xfId="327" applyNumberFormat="1" applyFont="1">
      <alignment vertical="center"/>
    </xf>
    <xf numFmtId="10" fontId="24" fillId="0" borderId="0" xfId="280" applyNumberFormat="1">
      <alignment vertical="top"/>
      <protection locked="0"/>
    </xf>
    <xf numFmtId="10" fontId="24" fillId="0" borderId="0" xfId="280" applyNumberFormat="1" applyAlignment="1">
      <alignment horizontal="right" vertical="top"/>
      <protection locked="0"/>
    </xf>
    <xf numFmtId="0" fontId="121" fillId="0" borderId="0" xfId="329" applyFont="1"/>
    <xf numFmtId="0" fontId="122" fillId="0" borderId="0" xfId="329" applyFont="1"/>
    <xf numFmtId="0" fontId="123" fillId="0" borderId="0" xfId="329" applyFont="1"/>
    <xf numFmtId="0" fontId="121" fillId="42" borderId="7" xfId="330" applyFont="1" applyFill="1" applyBorder="1" applyAlignment="1">
      <alignment horizontal="center"/>
    </xf>
    <xf numFmtId="0" fontId="121" fillId="42" borderId="10" xfId="330" applyFont="1" applyFill="1" applyBorder="1"/>
    <xf numFmtId="0" fontId="121" fillId="42" borderId="6" xfId="330" applyFont="1" applyFill="1" applyBorder="1"/>
    <xf numFmtId="0" fontId="121" fillId="42" borderId="10" xfId="330" applyFont="1" applyFill="1" applyBorder="1" applyAlignment="1">
      <alignment horizontal="center"/>
    </xf>
    <xf numFmtId="189" fontId="121" fillId="42" borderId="29" xfId="331" applyNumberFormat="1" applyFont="1" applyFill="1" applyBorder="1" applyAlignment="1">
      <alignment horizontal="center" vertical="center"/>
    </xf>
    <xf numFmtId="0" fontId="121" fillId="0" borderId="88" xfId="330" applyFont="1" applyFill="1" applyBorder="1" applyAlignment="1">
      <alignment horizontal="center"/>
    </xf>
    <xf numFmtId="10" fontId="121" fillId="0" borderId="71" xfId="328" applyNumberFormat="1" applyFont="1" applyFill="1" applyBorder="1" applyAlignment="1">
      <alignment horizontal="center"/>
    </xf>
    <xf numFmtId="0" fontId="121" fillId="0" borderId="71" xfId="330" applyFont="1" applyFill="1" applyBorder="1" applyAlignment="1">
      <alignment horizontal="center"/>
    </xf>
    <xf numFmtId="0" fontId="121" fillId="47" borderId="71" xfId="330" applyFont="1" applyFill="1" applyBorder="1" applyAlignment="1">
      <alignment horizontal="center"/>
    </xf>
    <xf numFmtId="0" fontId="121" fillId="47" borderId="99" xfId="330" applyFont="1" applyFill="1" applyBorder="1" applyAlignment="1">
      <alignment horizontal="center"/>
    </xf>
    <xf numFmtId="10" fontId="121" fillId="47" borderId="71" xfId="328" applyNumberFormat="1" applyFont="1" applyFill="1" applyBorder="1" applyAlignment="1">
      <alignment horizontal="center"/>
    </xf>
    <xf numFmtId="0" fontId="121" fillId="38" borderId="99" xfId="330" applyFont="1" applyFill="1" applyBorder="1" applyAlignment="1">
      <alignment horizontal="center"/>
    </xf>
    <xf numFmtId="0" fontId="121" fillId="46" borderId="99" xfId="330" applyFont="1" applyFill="1" applyBorder="1" applyAlignment="1">
      <alignment horizontal="center"/>
    </xf>
    <xf numFmtId="0" fontId="121" fillId="0" borderId="0" xfId="0" applyFont="1" applyAlignment="1"/>
    <xf numFmtId="0" fontId="122" fillId="0" borderId="0" xfId="0" applyFont="1" applyAlignment="1"/>
    <xf numFmtId="0" fontId="123" fillId="0" borderId="0" xfId="0" applyFont="1" applyAlignment="1"/>
    <xf numFmtId="0" fontId="121" fillId="0" borderId="0" xfId="330" applyFont="1" applyFill="1" applyBorder="1"/>
    <xf numFmtId="0" fontId="127" fillId="0" borderId="0" xfId="0" applyFont="1" applyFill="1" applyAlignment="1">
      <alignment horizontal="center"/>
    </xf>
    <xf numFmtId="0" fontId="32" fillId="0" borderId="0" xfId="0" applyFont="1" applyFill="1" applyBorder="1" applyAlignment="1">
      <alignment horizontal="left"/>
    </xf>
    <xf numFmtId="2" fontId="113" fillId="0" borderId="0" xfId="0" applyNumberFormat="1" applyFont="1" applyFill="1" applyBorder="1" applyAlignment="1">
      <alignment horizontal="left"/>
    </xf>
    <xf numFmtId="2" fontId="114" fillId="0" borderId="0" xfId="0" applyNumberFormat="1" applyFont="1" applyFill="1" applyBorder="1" applyAlignment="1">
      <alignment horizontal="left"/>
    </xf>
    <xf numFmtId="2" fontId="32" fillId="0" borderId="0" xfId="0" applyNumberFormat="1" applyFont="1" applyFill="1" applyBorder="1" applyAlignment="1">
      <alignment horizontal="left"/>
    </xf>
    <xf numFmtId="0" fontId="113" fillId="0" borderId="0" xfId="0" applyFont="1" applyFill="1" applyAlignment="1">
      <alignment horizontal="left"/>
    </xf>
    <xf numFmtId="0" fontId="128" fillId="0" borderId="0" xfId="0" applyFont="1" applyFill="1" applyAlignment="1">
      <alignment horizontal="center" vertical="center"/>
    </xf>
    <xf numFmtId="0" fontId="121" fillId="0" borderId="0" xfId="329" applyFont="1" applyFill="1" applyBorder="1"/>
    <xf numFmtId="0" fontId="30" fillId="0" borderId="0" xfId="325" applyAlignment="1">
      <alignment horizontal="center" vertical="center"/>
    </xf>
    <xf numFmtId="1" fontId="27" fillId="7" borderId="0" xfId="0" applyNumberFormat="1" applyFont="1" applyFill="1" applyBorder="1" applyAlignment="1">
      <alignment horizontal="center" vertical="center"/>
    </xf>
    <xf numFmtId="0" fontId="27" fillId="7" borderId="8" xfId="0" applyFont="1" applyFill="1" applyBorder="1" applyAlignment="1">
      <alignment horizontal="center" vertical="center"/>
    </xf>
    <xf numFmtId="14" fontId="22" fillId="0" borderId="0" xfId="0" applyNumberFormat="1" applyFont="1" applyFill="1" applyAlignment="1"/>
    <xf numFmtId="0" fontId="0" fillId="0" borderId="0" xfId="0" applyAlignment="1">
      <alignment vertical="center"/>
    </xf>
    <xf numFmtId="0" fontId="30" fillId="0" borderId="16" xfId="0" applyFont="1" applyFill="1" applyBorder="1">
      <alignment vertical="center"/>
    </xf>
    <xf numFmtId="0" fontId="23" fillId="35" borderId="0" xfId="0" applyFont="1" applyFill="1" applyBorder="1" applyAlignment="1">
      <alignment horizontal="center" vertical="center"/>
    </xf>
    <xf numFmtId="0" fontId="23" fillId="35" borderId="5" xfId="0" applyFont="1" applyFill="1" applyBorder="1" applyAlignment="1">
      <alignment horizontal="center" vertical="center"/>
    </xf>
    <xf numFmtId="0" fontId="99" fillId="0" borderId="76" xfId="0" applyFont="1" applyFill="1" applyBorder="1">
      <alignment vertical="center"/>
    </xf>
    <xf numFmtId="1" fontId="98" fillId="0" borderId="16" xfId="0" applyNumberFormat="1" applyFont="1" applyFill="1" applyBorder="1" applyAlignment="1">
      <alignment horizontal="center" vertical="center"/>
    </xf>
    <xf numFmtId="0" fontId="98" fillId="0" borderId="16" xfId="0" applyNumberFormat="1" applyFont="1" applyFill="1" applyBorder="1" applyAlignment="1">
      <alignment horizontal="center" vertical="center"/>
    </xf>
    <xf numFmtId="0" fontId="98" fillId="0" borderId="16" xfId="0" applyFont="1" applyFill="1" applyBorder="1" applyAlignment="1">
      <alignment horizontal="center" vertical="center"/>
    </xf>
    <xf numFmtId="0" fontId="98" fillId="0" borderId="76" xfId="0" applyFont="1" applyFill="1" applyBorder="1" applyAlignment="1">
      <alignment horizontal="center" vertical="center"/>
    </xf>
    <xf numFmtId="0" fontId="132" fillId="0" borderId="14" xfId="0" applyFont="1" applyFill="1" applyBorder="1" applyAlignment="1">
      <alignment horizontal="center" vertical="center" wrapText="1"/>
    </xf>
    <xf numFmtId="185" fontId="133" fillId="0" borderId="16" xfId="280" applyNumberFormat="1" applyFont="1" applyFill="1" applyBorder="1" applyProtection="1">
      <alignment vertical="top"/>
    </xf>
    <xf numFmtId="9" fontId="24" fillId="0" borderId="16" xfId="280" applyFont="1" applyFill="1" applyBorder="1" applyAlignment="1" applyProtection="1">
      <alignment horizontal="center" vertical="top"/>
    </xf>
    <xf numFmtId="1" fontId="133" fillId="0" borderId="14" xfId="280" applyNumberFormat="1" applyFont="1" applyFill="1" applyBorder="1" applyProtection="1">
      <alignment vertical="top"/>
    </xf>
    <xf numFmtId="9" fontId="24" fillId="0" borderId="14" xfId="280" applyFont="1" applyFill="1" applyBorder="1" applyAlignment="1" applyProtection="1">
      <alignment horizontal="center" vertical="top"/>
    </xf>
    <xf numFmtId="0" fontId="30" fillId="0" borderId="0" xfId="0" applyFont="1" applyFill="1">
      <alignment vertical="center"/>
    </xf>
    <xf numFmtId="0" fontId="99" fillId="0" borderId="16" xfId="0" applyFont="1" applyFill="1" applyBorder="1" applyAlignment="1">
      <alignment vertical="center"/>
    </xf>
    <xf numFmtId="0" fontId="134" fillId="4" borderId="10" xfId="0" applyFont="1" applyFill="1" applyBorder="1" applyAlignment="1">
      <alignment horizontal="center" vertical="center" wrapText="1"/>
    </xf>
    <xf numFmtId="188" fontId="134" fillId="4" borderId="10" xfId="274" applyNumberFormat="1" applyFont="1" applyFill="1" applyBorder="1" applyAlignment="1">
      <alignment horizontal="center" vertical="center" wrapText="1"/>
    </xf>
    <xf numFmtId="0" fontId="132" fillId="4" borderId="10" xfId="0" applyFont="1" applyFill="1" applyBorder="1" applyAlignment="1">
      <alignment horizontal="center" vertical="center" wrapText="1"/>
    </xf>
    <xf numFmtId="0" fontId="132" fillId="0" borderId="10" xfId="0" applyFont="1" applyFill="1" applyBorder="1" applyAlignment="1">
      <alignment horizontal="center" vertical="center" wrapText="1"/>
    </xf>
    <xf numFmtId="0" fontId="135" fillId="4" borderId="10" xfId="0" applyFont="1" applyFill="1" applyBorder="1" applyAlignment="1">
      <alignment horizontal="center" vertical="center" wrapText="1"/>
    </xf>
    <xf numFmtId="0" fontId="134" fillId="4" borderId="10" xfId="0" applyNumberFormat="1" applyFont="1" applyFill="1" applyBorder="1" applyAlignment="1">
      <alignment horizontal="center" vertical="center" wrapText="1"/>
    </xf>
    <xf numFmtId="0" fontId="99" fillId="4" borderId="30" xfId="0" applyFont="1" applyFill="1" applyBorder="1" applyAlignment="1">
      <alignment vertical="center"/>
    </xf>
    <xf numFmtId="0" fontId="30" fillId="0" borderId="10" xfId="0" applyFont="1" applyFill="1" applyBorder="1" applyAlignment="1">
      <alignment horizontal="center" wrapText="1"/>
    </xf>
    <xf numFmtId="0" fontId="134" fillId="4" borderId="10" xfId="0" applyFont="1" applyFill="1" applyBorder="1" applyAlignment="1">
      <alignment horizontal="center" wrapText="1"/>
    </xf>
    <xf numFmtId="0" fontId="97" fillId="0" borderId="0" xfId="0" applyFont="1" applyAlignment="1">
      <alignment horizontal="center" vertical="center"/>
    </xf>
    <xf numFmtId="16" fontId="99" fillId="4" borderId="14" xfId="0" applyNumberFormat="1" applyFont="1" applyFill="1" applyBorder="1" applyAlignment="1">
      <alignment horizontal="center" vertical="center"/>
    </xf>
    <xf numFmtId="0" fontId="0" fillId="4" borderId="0" xfId="0" applyFill="1" applyAlignment="1">
      <alignment horizontal="center" vertical="center"/>
    </xf>
    <xf numFmtId="0" fontId="134" fillId="4" borderId="27" xfId="0" applyFont="1" applyFill="1" applyBorder="1" applyAlignment="1">
      <alignment horizontal="center" vertical="center" wrapText="1"/>
    </xf>
    <xf numFmtId="0" fontId="99" fillId="0" borderId="11" xfId="0" applyFont="1" applyBorder="1" applyAlignment="1">
      <alignment horizontal="center" vertical="center"/>
    </xf>
    <xf numFmtId="1" fontId="22" fillId="0" borderId="0" xfId="0" applyNumberFormat="1" applyFont="1" applyFill="1" applyAlignment="1">
      <alignment horizontal="center" vertical="center"/>
    </xf>
    <xf numFmtId="0" fontId="24" fillId="0" borderId="0" xfId="4" applyBorder="1" applyAlignment="1" applyProtection="1"/>
    <xf numFmtId="0" fontId="23" fillId="35" borderId="8" xfId="0" applyFont="1" applyFill="1" applyBorder="1">
      <alignment vertical="center"/>
    </xf>
    <xf numFmtId="0" fontId="30" fillId="0" borderId="22" xfId="0" applyFont="1" applyFill="1" applyBorder="1">
      <alignment vertical="center"/>
    </xf>
    <xf numFmtId="0" fontId="89" fillId="0" borderId="0" xfId="327" applyFont="1" applyAlignment="1">
      <alignment vertical="center"/>
    </xf>
    <xf numFmtId="17" fontId="30" fillId="0" borderId="0" xfId="327" quotePrefix="1" applyNumberFormat="1" applyFont="1">
      <alignment vertical="center"/>
    </xf>
    <xf numFmtId="10" fontId="27" fillId="7" borderId="7" xfId="1" applyNumberFormat="1" applyFont="1" applyFill="1" applyBorder="1" applyAlignment="1" applyProtection="1">
      <alignment horizontal="center" vertical="center"/>
    </xf>
    <xf numFmtId="0" fontId="115" fillId="7" borderId="6" xfId="0" applyFont="1" applyFill="1" applyBorder="1" applyAlignment="1">
      <alignment horizontal="center" vertical="center"/>
    </xf>
    <xf numFmtId="0" fontId="27" fillId="7" borderId="6" xfId="0" applyNumberFormat="1" applyFont="1" applyFill="1" applyBorder="1" applyAlignment="1">
      <alignment horizontal="center" vertical="center"/>
    </xf>
    <xf numFmtId="1" fontId="22" fillId="5" borderId="0" xfId="1" applyNumberFormat="1" applyFont="1" applyFill="1" applyBorder="1" applyAlignment="1" applyProtection="1">
      <alignment horizontal="center" vertical="center"/>
    </xf>
    <xf numFmtId="0" fontId="23" fillId="35" borderId="4" xfId="0" applyFont="1" applyFill="1" applyBorder="1">
      <alignment vertical="center"/>
    </xf>
    <xf numFmtId="0" fontId="23" fillId="35" borderId="25" xfId="0" applyFont="1" applyFill="1" applyBorder="1">
      <alignment vertical="center"/>
    </xf>
    <xf numFmtId="0" fontId="130" fillId="0" borderId="0" xfId="325" applyFont="1">
      <alignment vertical="center"/>
    </xf>
    <xf numFmtId="0" fontId="136" fillId="0" borderId="0" xfId="325" applyFont="1" applyFill="1" applyBorder="1" applyAlignment="1">
      <alignment horizontal="center" vertical="center"/>
    </xf>
    <xf numFmtId="0" fontId="137" fillId="0" borderId="0" xfId="325" applyFont="1" applyFill="1" applyBorder="1" applyAlignment="1">
      <alignment horizontal="center" vertical="center"/>
    </xf>
    <xf numFmtId="9" fontId="137" fillId="0" borderId="0" xfId="326" applyNumberFormat="1" applyFont="1" applyFill="1" applyBorder="1" applyAlignment="1">
      <alignment horizontal="center" vertical="center"/>
    </xf>
    <xf numFmtId="0" fontId="130" fillId="0" borderId="0" xfId="325" applyFont="1" applyFill="1" applyBorder="1" applyAlignment="1">
      <alignment vertical="center"/>
    </xf>
    <xf numFmtId="0" fontId="130" fillId="0" borderId="0" xfId="325" applyFont="1" applyAlignment="1">
      <alignment horizontal="center" vertical="center"/>
    </xf>
    <xf numFmtId="0" fontId="130" fillId="0" borderId="0" xfId="325" applyFont="1" applyAlignment="1">
      <alignment horizontal="left" vertical="center"/>
    </xf>
    <xf numFmtId="0" fontId="130" fillId="0" borderId="0" xfId="325" applyFont="1" applyFill="1" applyBorder="1" applyAlignment="1">
      <alignment horizontal="center" vertical="center"/>
    </xf>
    <xf numFmtId="0" fontId="22" fillId="37" borderId="0" xfId="280" applyNumberFormat="1" applyFont="1" applyFill="1" applyBorder="1" applyAlignment="1" applyProtection="1">
      <alignment horizontal="center" vertical="center"/>
    </xf>
    <xf numFmtId="0" fontId="28" fillId="0" borderId="0" xfId="1" applyNumberFormat="1">
      <alignment vertical="top"/>
      <protection locked="0"/>
    </xf>
    <xf numFmtId="0" fontId="126" fillId="0" borderId="0" xfId="329" applyFont="1"/>
    <xf numFmtId="0" fontId="0" fillId="0" borderId="0" xfId="0" applyAlignment="1">
      <alignment horizontal="center" vertical="center"/>
    </xf>
    <xf numFmtId="2" fontId="30" fillId="0" borderId="73" xfId="0" applyNumberFormat="1" applyFont="1" applyFill="1" applyBorder="1" applyAlignment="1">
      <alignment horizontal="center" vertical="center"/>
    </xf>
    <xf numFmtId="2" fontId="133" fillId="0" borderId="14" xfId="280" applyNumberFormat="1" applyFont="1" applyFill="1" applyBorder="1" applyAlignment="1" applyProtection="1">
      <alignment horizontal="center" vertical="center"/>
    </xf>
    <xf numFmtId="2" fontId="133" fillId="0" borderId="15" xfId="280" applyNumberFormat="1" applyFont="1" applyFill="1" applyBorder="1" applyAlignment="1" applyProtection="1">
      <alignment horizontal="center" vertical="center"/>
    </xf>
    <xf numFmtId="187" fontId="24" fillId="0" borderId="14" xfId="280" applyNumberFormat="1" applyFont="1" applyFill="1" applyBorder="1" applyAlignment="1" applyProtection="1">
      <alignment horizontal="center" vertical="top"/>
    </xf>
    <xf numFmtId="0" fontId="30" fillId="0" borderId="16" xfId="0" applyFont="1" applyBorder="1" applyAlignment="1">
      <alignment horizontal="left" vertical="center"/>
    </xf>
    <xf numFmtId="1" fontId="0" fillId="0" borderId="16" xfId="0" applyNumberFormat="1" applyBorder="1" applyAlignment="1">
      <alignment horizontal="center" vertical="center"/>
    </xf>
    <xf numFmtId="0" fontId="0" fillId="0" borderId="16" xfId="0" applyBorder="1" applyAlignment="1">
      <alignment horizontal="left" vertical="center"/>
    </xf>
    <xf numFmtId="2" fontId="0" fillId="0" borderId="16" xfId="0" applyNumberFormat="1" applyBorder="1" applyAlignment="1">
      <alignment horizontal="center" vertical="center" wrapText="1"/>
    </xf>
    <xf numFmtId="2" fontId="0" fillId="5" borderId="16" xfId="0" applyNumberFormat="1" applyFill="1" applyBorder="1" applyAlignment="1">
      <alignment horizontal="center" vertical="center" wrapText="1"/>
    </xf>
    <xf numFmtId="185" fontId="133" fillId="0" borderId="101" xfId="280" applyNumberFormat="1" applyFont="1" applyFill="1" applyBorder="1" applyProtection="1">
      <alignment vertical="top"/>
    </xf>
    <xf numFmtId="0" fontId="134" fillId="2" borderId="10" xfId="0" applyFont="1" applyFill="1" applyBorder="1" applyAlignment="1">
      <alignment horizontal="center" vertical="center" wrapText="1"/>
    </xf>
    <xf numFmtId="0" fontId="134" fillId="2" borderId="10" xfId="0" applyNumberFormat="1" applyFont="1" applyFill="1" applyBorder="1" applyAlignment="1">
      <alignment horizontal="center" vertical="center" wrapText="1"/>
    </xf>
    <xf numFmtId="0" fontId="134" fillId="48" borderId="10" xfId="0" applyNumberFormat="1" applyFont="1" applyFill="1" applyBorder="1" applyAlignment="1">
      <alignment horizontal="center" vertical="center" wrapText="1"/>
    </xf>
    <xf numFmtId="186" fontId="98" fillId="0" borderId="14" xfId="305" applyNumberFormat="1" applyFont="1" applyFill="1" applyBorder="1" applyAlignment="1">
      <alignment horizontal="center"/>
    </xf>
    <xf numFmtId="185" fontId="133" fillId="0" borderId="14" xfId="280" applyNumberFormat="1" applyFont="1" applyFill="1" applyBorder="1" applyAlignment="1" applyProtection="1">
      <alignment horizontal="center" vertical="top"/>
    </xf>
    <xf numFmtId="0" fontId="30" fillId="0" borderId="0" xfId="327" applyFont="1" applyAlignment="1">
      <alignment horizontal="center" vertical="center"/>
    </xf>
    <xf numFmtId="10" fontId="0" fillId="0" borderId="0" xfId="335" applyNumberFormat="1" applyFont="1" applyAlignment="1">
      <alignment vertical="center"/>
    </xf>
    <xf numFmtId="0" fontId="0" fillId="0" borderId="0" xfId="335" applyNumberFormat="1" applyFont="1" applyAlignment="1">
      <alignment vertical="center"/>
    </xf>
    <xf numFmtId="185" fontId="0" fillId="0" borderId="0" xfId="335" applyNumberFormat="1" applyFont="1" applyAlignment="1">
      <alignment vertical="center"/>
    </xf>
    <xf numFmtId="0" fontId="140" fillId="49" borderId="16" xfId="0" applyFont="1" applyFill="1" applyBorder="1" applyAlignment="1">
      <alignment vertical="center"/>
    </xf>
    <xf numFmtId="0" fontId="140" fillId="49" borderId="16" xfId="0" applyFont="1" applyFill="1" applyBorder="1" applyAlignment="1">
      <alignment horizontal="center" vertical="center"/>
    </xf>
    <xf numFmtId="9" fontId="24" fillId="0" borderId="0" xfId="1" applyFont="1">
      <alignment vertical="top"/>
      <protection locked="0"/>
    </xf>
    <xf numFmtId="0" fontId="134" fillId="0" borderId="27" xfId="0" applyFont="1" applyFill="1" applyBorder="1" applyAlignment="1">
      <alignment horizontal="center" vertical="center" wrapText="1"/>
    </xf>
    <xf numFmtId="187" fontId="99" fillId="0" borderId="16" xfId="0" applyNumberFormat="1" applyFont="1" applyFill="1" applyBorder="1" applyAlignment="1">
      <alignment horizontal="left" vertical="center"/>
    </xf>
    <xf numFmtId="188" fontId="98" fillId="0" borderId="16" xfId="305" applyNumberFormat="1" applyFont="1" applyFill="1" applyBorder="1" applyAlignment="1">
      <alignment horizontal="center" vertical="center"/>
    </xf>
    <xf numFmtId="166" fontId="30" fillId="0" borderId="16" xfId="0" applyNumberFormat="1" applyFont="1" applyFill="1" applyBorder="1" applyAlignment="1">
      <alignment vertical="center"/>
    </xf>
    <xf numFmtId="0" fontId="0" fillId="0" borderId="0" xfId="0">
      <alignment vertical="center"/>
    </xf>
    <xf numFmtId="0" fontId="0" fillId="0" borderId="16" xfId="0" applyBorder="1">
      <alignment vertical="center"/>
    </xf>
    <xf numFmtId="0" fontId="0" fillId="0" borderId="0" xfId="0" applyAlignment="1">
      <alignment horizontal="center" vertical="center" wrapText="1"/>
    </xf>
    <xf numFmtId="0" fontId="0" fillId="0" borderId="0" xfId="0" applyAlignment="1">
      <alignment horizontal="center" vertical="center"/>
    </xf>
    <xf numFmtId="0" fontId="99" fillId="0" borderId="14" xfId="0" applyFont="1" applyFill="1" applyBorder="1" applyAlignment="1">
      <alignment horizontal="center" vertical="center"/>
    </xf>
    <xf numFmtId="0" fontId="99" fillId="0" borderId="16" xfId="0" applyFont="1" applyFill="1" applyBorder="1">
      <alignment vertical="center"/>
    </xf>
    <xf numFmtId="0" fontId="99" fillId="0" borderId="16" xfId="0" applyFont="1" applyFill="1" applyBorder="1" applyAlignment="1">
      <alignment horizontal="left" vertical="center"/>
    </xf>
    <xf numFmtId="0" fontId="98" fillId="0" borderId="16" xfId="0" applyFont="1" applyFill="1" applyBorder="1" applyAlignment="1">
      <alignment vertical="center"/>
    </xf>
    <xf numFmtId="0" fontId="102" fillId="4" borderId="16" xfId="0" applyFont="1" applyFill="1" applyBorder="1" applyAlignment="1">
      <alignment vertical="center" wrapText="1"/>
    </xf>
    <xf numFmtId="0" fontId="132" fillId="0" borderId="15" xfId="0" applyFont="1" applyFill="1" applyBorder="1" applyAlignment="1">
      <alignment horizontal="center" vertical="center" wrapText="1"/>
    </xf>
    <xf numFmtId="166" fontId="133" fillId="0" borderId="28" xfId="305" applyFont="1" applyFill="1" applyBorder="1" applyAlignment="1" applyProtection="1">
      <alignment horizontal="center" vertical="top"/>
    </xf>
    <xf numFmtId="0" fontId="134" fillId="4" borderId="26" xfId="0" applyFont="1" applyFill="1" applyBorder="1" applyAlignment="1">
      <alignment horizontal="center" vertical="center" wrapText="1"/>
    </xf>
    <xf numFmtId="189" fontId="133" fillId="0" borderId="16" xfId="305" applyNumberFormat="1" applyFont="1" applyFill="1" applyBorder="1" applyAlignment="1" applyProtection="1">
      <alignment horizontal="center" vertical="top"/>
    </xf>
    <xf numFmtId="14" fontId="0" fillId="0" borderId="0" xfId="0" applyNumberFormat="1">
      <alignment vertical="center"/>
    </xf>
    <xf numFmtId="191" fontId="99" fillId="4" borderId="14" xfId="0" applyNumberFormat="1" applyFont="1" applyFill="1" applyBorder="1" applyAlignment="1">
      <alignment horizontal="center" vertical="center"/>
    </xf>
    <xf numFmtId="0" fontId="23" fillId="7" borderId="26" xfId="0" applyFont="1" applyFill="1" applyBorder="1">
      <alignment vertical="center"/>
    </xf>
    <xf numFmtId="0" fontId="23" fillId="35" borderId="6" xfId="0" applyFont="1" applyFill="1" applyBorder="1">
      <alignment vertical="center"/>
    </xf>
    <xf numFmtId="0" fontId="27" fillId="7" borderId="1" xfId="0" applyFont="1" applyFill="1" applyBorder="1">
      <alignment vertical="center"/>
    </xf>
    <xf numFmtId="0" fontId="27" fillId="7" borderId="26" xfId="0" applyFont="1" applyFill="1" applyBorder="1">
      <alignment vertical="center"/>
    </xf>
    <xf numFmtId="0" fontId="27" fillId="7" borderId="1" xfId="0" applyFont="1" applyFill="1" applyBorder="1" applyAlignment="1">
      <alignment horizontal="center" vertical="center"/>
    </xf>
    <xf numFmtId="9" fontId="103" fillId="7" borderId="2" xfId="1" applyFont="1" applyFill="1" applyBorder="1" applyAlignment="1">
      <alignment horizontal="center" vertical="center"/>
      <protection locked="0"/>
    </xf>
    <xf numFmtId="190" fontId="28" fillId="7" borderId="2" xfId="1" applyNumberFormat="1" applyFill="1" applyBorder="1" applyAlignment="1">
      <alignment horizontal="center" vertical="center"/>
      <protection locked="0"/>
    </xf>
    <xf numFmtId="2" fontId="27" fillId="7" borderId="3" xfId="0" applyNumberFormat="1" applyFont="1" applyFill="1" applyBorder="1" applyAlignment="1">
      <alignment horizontal="center" vertical="center"/>
    </xf>
    <xf numFmtId="0" fontId="23" fillId="35" borderId="7" xfId="0" applyFont="1" applyFill="1" applyBorder="1" applyAlignment="1">
      <alignment horizontal="center" vertical="center"/>
    </xf>
    <xf numFmtId="0" fontId="112" fillId="35" borderId="6" xfId="0" applyFont="1" applyFill="1" applyBorder="1" applyAlignment="1">
      <alignment horizontal="center" vertical="center"/>
    </xf>
    <xf numFmtId="0" fontId="23" fillId="35" borderId="6" xfId="0" applyNumberFormat="1" applyFont="1" applyFill="1" applyBorder="1" applyAlignment="1">
      <alignment horizontal="center" vertical="center"/>
    </xf>
    <xf numFmtId="2" fontId="32" fillId="0" borderId="6" xfId="0" applyNumberFormat="1" applyFont="1" applyFill="1" applyBorder="1" applyAlignment="1">
      <alignment horizontal="left"/>
    </xf>
    <xf numFmtId="0" fontId="113" fillId="0" borderId="6" xfId="0" applyFont="1" applyBorder="1" applyAlignment="1"/>
    <xf numFmtId="0" fontId="32" fillId="0" borderId="6" xfId="0" applyFont="1" applyFill="1" applyBorder="1" applyAlignment="1">
      <alignment horizontal="center" vertical="center"/>
    </xf>
    <xf numFmtId="0" fontId="94" fillId="0" borderId="6" xfId="0" applyFont="1" applyBorder="1" applyAlignment="1"/>
    <xf numFmtId="0" fontId="22" fillId="0" borderId="6" xfId="0" applyFont="1" applyBorder="1" applyAlignment="1"/>
    <xf numFmtId="0" fontId="23" fillId="40" borderId="1" xfId="0" applyFont="1" applyFill="1" applyBorder="1">
      <alignment vertical="center"/>
    </xf>
    <xf numFmtId="0" fontId="23" fillId="40" borderId="4" xfId="0" applyFont="1" applyFill="1" applyBorder="1">
      <alignment vertical="center"/>
    </xf>
    <xf numFmtId="0" fontId="22" fillId="40" borderId="1" xfId="280" applyNumberFormat="1" applyFont="1" applyFill="1" applyBorder="1" applyAlignment="1" applyProtection="1">
      <alignment horizontal="center" vertical="center"/>
    </xf>
    <xf numFmtId="0" fontId="22" fillId="40" borderId="3" xfId="1" applyNumberFormat="1" applyFont="1" applyFill="1" applyBorder="1" applyAlignment="1" applyProtection="1">
      <alignment horizontal="center" vertical="center"/>
    </xf>
    <xf numFmtId="0" fontId="23" fillId="41" borderId="26" xfId="0" applyFont="1" applyFill="1" applyBorder="1">
      <alignment vertical="center"/>
    </xf>
    <xf numFmtId="0" fontId="22" fillId="41" borderId="1" xfId="1" applyNumberFormat="1" applyFont="1" applyFill="1" applyBorder="1" applyAlignment="1" applyProtection="1">
      <alignment horizontal="center" vertical="center"/>
    </xf>
    <xf numFmtId="0" fontId="22" fillId="41" borderId="2" xfId="1" applyNumberFormat="1" applyFont="1" applyFill="1" applyBorder="1" applyAlignment="1" applyProtection="1">
      <alignment horizontal="center" vertical="center"/>
    </xf>
    <xf numFmtId="0" fontId="22" fillId="41" borderId="3" xfId="1" applyNumberFormat="1" applyFont="1" applyFill="1" applyBorder="1" applyAlignment="1" applyProtection="1">
      <alignment horizontal="center" vertical="center"/>
    </xf>
    <xf numFmtId="0" fontId="22" fillId="41" borderId="4" xfId="1" applyNumberFormat="1" applyFont="1" applyFill="1" applyBorder="1" applyAlignment="1" applyProtection="1">
      <alignment horizontal="center" vertical="center"/>
    </xf>
    <xf numFmtId="0" fontId="22" fillId="41" borderId="5" xfId="1" applyNumberFormat="1" applyFont="1" applyFill="1" applyBorder="1" applyAlignment="1" applyProtection="1">
      <alignment horizontal="center" vertical="center"/>
    </xf>
    <xf numFmtId="0" fontId="22" fillId="41" borderId="9" xfId="1" applyNumberFormat="1" applyFont="1" applyFill="1" applyBorder="1" applyAlignment="1" applyProtection="1">
      <alignment horizontal="center" vertical="center"/>
    </xf>
    <xf numFmtId="0" fontId="22" fillId="41" borderId="12" xfId="1" applyNumberFormat="1" applyFont="1" applyFill="1" applyBorder="1" applyAlignment="1" applyProtection="1">
      <alignment horizontal="center" vertical="center"/>
    </xf>
    <xf numFmtId="10" fontId="22" fillId="41" borderId="3" xfId="1" applyNumberFormat="1" applyFont="1" applyFill="1" applyBorder="1" applyAlignment="1" applyProtection="1">
      <alignment horizontal="center" vertical="center"/>
    </xf>
    <xf numFmtId="10" fontId="22" fillId="41" borderId="5" xfId="1" applyNumberFormat="1" applyFont="1" applyFill="1" applyBorder="1" applyAlignment="1" applyProtection="1">
      <alignment horizontal="center" vertical="center"/>
    </xf>
    <xf numFmtId="0" fontId="22" fillId="41" borderId="1" xfId="0" applyFont="1" applyFill="1" applyBorder="1" applyAlignment="1">
      <alignment horizontal="center" vertical="center"/>
    </xf>
    <xf numFmtId="0" fontId="116" fillId="41" borderId="2" xfId="0" applyFont="1" applyFill="1" applyBorder="1" applyAlignment="1">
      <alignment horizontal="center" vertical="center"/>
    </xf>
    <xf numFmtId="0" fontId="22" fillId="41" borderId="2" xfId="0" applyNumberFormat="1" applyFont="1" applyFill="1" applyBorder="1" applyAlignment="1">
      <alignment horizontal="center" vertical="center"/>
    </xf>
    <xf numFmtId="0" fontId="22" fillId="41" borderId="3" xfId="0" applyNumberFormat="1" applyFont="1" applyFill="1" applyBorder="1" applyAlignment="1">
      <alignment horizontal="center" vertical="center"/>
    </xf>
    <xf numFmtId="0" fontId="99" fillId="0" borderId="102" xfId="0" applyFont="1" applyFill="1" applyBorder="1" applyAlignment="1">
      <alignment horizontal="left" vertical="center"/>
    </xf>
    <xf numFmtId="187" fontId="99" fillId="0" borderId="102" xfId="0" applyNumberFormat="1" applyFont="1" applyFill="1" applyBorder="1" applyAlignment="1">
      <alignment horizontal="left" vertical="center"/>
    </xf>
    <xf numFmtId="188" fontId="98" fillId="0" borderId="102" xfId="305" applyNumberFormat="1" applyFont="1" applyFill="1" applyBorder="1" applyAlignment="1">
      <alignment horizontal="center" vertical="center"/>
    </xf>
    <xf numFmtId="0" fontId="99" fillId="0" borderId="16" xfId="0" applyFont="1" applyFill="1" applyBorder="1" applyAlignment="1">
      <alignment horizontal="center" vertical="center"/>
    </xf>
    <xf numFmtId="0" fontId="132" fillId="0" borderId="16" xfId="0" applyFont="1" applyFill="1" applyBorder="1" applyAlignment="1">
      <alignment horizontal="center" vertical="center" wrapText="1"/>
    </xf>
    <xf numFmtId="0" fontId="0" fillId="0" borderId="16" xfId="0" applyBorder="1" applyAlignment="1">
      <alignment vertical="center"/>
    </xf>
    <xf numFmtId="0" fontId="99" fillId="0" borderId="16" xfId="0" applyFont="1" applyBorder="1">
      <alignment vertical="center"/>
    </xf>
    <xf numFmtId="0" fontId="99" fillId="0" borderId="16" xfId="0" applyFont="1" applyBorder="1" applyAlignment="1">
      <alignment vertical="center"/>
    </xf>
    <xf numFmtId="17" fontId="90" fillId="0" borderId="0" xfId="0" applyNumberFormat="1" applyFont="1" applyFill="1" applyAlignment="1">
      <alignment horizontal="center" vertical="center"/>
    </xf>
    <xf numFmtId="188" fontId="98" fillId="0" borderId="16" xfId="274" applyNumberFormat="1" applyFont="1" applyBorder="1" applyAlignment="1">
      <alignment horizontal="center" vertical="center"/>
    </xf>
    <xf numFmtId="16" fontId="99" fillId="0" borderId="14" xfId="0" applyNumberFormat="1" applyFont="1" applyFill="1" applyBorder="1" applyAlignment="1">
      <alignment horizontal="left" vertical="center"/>
    </xf>
    <xf numFmtId="0" fontId="99" fillId="0" borderId="16" xfId="0" applyFont="1" applyBorder="1" applyAlignment="1">
      <alignment horizontal="left" vertical="center"/>
    </xf>
    <xf numFmtId="0" fontId="99" fillId="0" borderId="16" xfId="0" applyFont="1" applyBorder="1" applyAlignment="1">
      <alignment horizontal="center" vertical="center"/>
    </xf>
    <xf numFmtId="0" fontId="23" fillId="40" borderId="9" xfId="0" applyFont="1" applyFill="1" applyBorder="1">
      <alignment vertical="center"/>
    </xf>
    <xf numFmtId="0" fontId="23" fillId="41" borderId="11" xfId="0" applyFont="1" applyFill="1" applyBorder="1" applyAlignment="1">
      <alignment horizontal="left" vertical="center"/>
    </xf>
    <xf numFmtId="16" fontId="99" fillId="4" borderId="16" xfId="0" applyNumberFormat="1" applyFont="1" applyFill="1" applyBorder="1" applyAlignment="1">
      <alignment horizontal="center" vertical="center"/>
    </xf>
    <xf numFmtId="0" fontId="97" fillId="0" borderId="0" xfId="0" applyFont="1" applyAlignment="1">
      <alignment horizontal="left" vertical="center"/>
    </xf>
    <xf numFmtId="0" fontId="134" fillId="4" borderId="27" xfId="0" applyFont="1" applyFill="1" applyBorder="1" applyAlignment="1">
      <alignment horizontal="left" vertical="center" wrapText="1"/>
    </xf>
    <xf numFmtId="0" fontId="99" fillId="0" borderId="14" xfId="0" applyFont="1" applyFill="1" applyBorder="1" applyAlignment="1">
      <alignment horizontal="left" vertical="center"/>
    </xf>
    <xf numFmtId="0" fontId="31" fillId="0" borderId="77" xfId="0" applyFont="1" applyFill="1" applyBorder="1" applyAlignment="1">
      <alignment horizontal="left" vertical="center"/>
    </xf>
    <xf numFmtId="0" fontId="0" fillId="0" borderId="0" xfId="0" applyAlignment="1">
      <alignment horizontal="left" vertical="center"/>
    </xf>
    <xf numFmtId="0" fontId="142" fillId="0" borderId="0" xfId="0" applyFont="1">
      <alignment vertical="center"/>
    </xf>
    <xf numFmtId="0" fontId="0" fillId="0" borderId="16" xfId="0" applyBorder="1" applyAlignment="1">
      <alignment horizontal="center" vertical="center"/>
    </xf>
    <xf numFmtId="0" fontId="0" fillId="0" borderId="16"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vertical="center"/>
    </xf>
    <xf numFmtId="0" fontId="0" fillId="0" borderId="16" xfId="0" applyBorder="1">
      <alignment vertical="center"/>
    </xf>
    <xf numFmtId="0" fontId="30" fillId="4" borderId="16" xfId="0" applyFont="1" applyFill="1" applyBorder="1" applyAlignment="1">
      <alignment horizontal="center" vertical="center"/>
    </xf>
    <xf numFmtId="0" fontId="0" fillId="0" borderId="0" xfId="0" pivotButton="1">
      <alignment vertical="center"/>
    </xf>
    <xf numFmtId="0" fontId="22" fillId="40" borderId="0" xfId="0" applyFont="1" applyFill="1" applyBorder="1" applyAlignment="1">
      <alignment horizontal="center" vertical="center"/>
    </xf>
    <xf numFmtId="10" fontId="22" fillId="40" borderId="2" xfId="1" applyNumberFormat="1" applyFont="1" applyFill="1" applyBorder="1" applyAlignment="1" applyProtection="1">
      <alignment horizontal="center" vertical="center"/>
    </xf>
    <xf numFmtId="0" fontId="22" fillId="40" borderId="2" xfId="0" applyFont="1" applyFill="1" applyBorder="1" applyAlignment="1">
      <alignment horizontal="center" vertical="center"/>
    </xf>
    <xf numFmtId="0" fontId="22" fillId="40" borderId="11" xfId="0" applyFont="1" applyFill="1" applyBorder="1" applyAlignment="1">
      <alignment horizontal="center" vertical="center"/>
    </xf>
    <xf numFmtId="0" fontId="23" fillId="35" borderId="25" xfId="0" applyFont="1" applyFill="1" applyBorder="1" applyAlignment="1">
      <alignment horizontal="center" vertical="center"/>
    </xf>
    <xf numFmtId="9" fontId="116" fillId="40" borderId="6" xfId="1" applyFont="1" applyFill="1" applyBorder="1" applyAlignment="1" applyProtection="1">
      <alignment horizontal="center" vertical="center"/>
    </xf>
    <xf numFmtId="2" fontId="22" fillId="40" borderId="8" xfId="0" applyNumberFormat="1" applyFont="1" applyFill="1" applyBorder="1" applyAlignment="1">
      <alignment horizontal="center" vertical="center"/>
    </xf>
    <xf numFmtId="0" fontId="143" fillId="0" borderId="0" xfId="325" applyFont="1" applyBorder="1" applyAlignment="1">
      <alignment vertical="center"/>
    </xf>
    <xf numFmtId="0" fontId="0" fillId="0" borderId="16" xfId="0" applyBorder="1" applyAlignment="1">
      <alignment horizontal="center" vertical="center"/>
    </xf>
    <xf numFmtId="0" fontId="31" fillId="0" borderId="16" xfId="0" applyFont="1" applyBorder="1" applyAlignment="1">
      <alignment horizontal="center" vertical="center"/>
    </xf>
    <xf numFmtId="0" fontId="31" fillId="2" borderId="0" xfId="0" applyFont="1" applyFill="1">
      <alignment vertical="center"/>
    </xf>
    <xf numFmtId="0" fontId="30" fillId="0" borderId="0" xfId="0" applyFont="1" applyFill="1" applyBorder="1">
      <alignment vertical="center"/>
    </xf>
    <xf numFmtId="2" fontId="30" fillId="0" borderId="25" xfId="0" applyNumberFormat="1" applyFont="1" applyFill="1" applyBorder="1" applyAlignment="1">
      <alignment horizontal="center" vertical="center"/>
    </xf>
    <xf numFmtId="2" fontId="30" fillId="0" borderId="88" xfId="0" applyNumberFormat="1" applyFont="1" applyFill="1" applyBorder="1" applyAlignment="1">
      <alignment horizontal="center" vertical="center"/>
    </xf>
    <xf numFmtId="0" fontId="30" fillId="0" borderId="16" xfId="0" applyFont="1" applyBorder="1" applyAlignment="1">
      <alignment horizontal="center" vertical="center"/>
    </xf>
    <xf numFmtId="187" fontId="113" fillId="0" borderId="0" xfId="0" applyNumberFormat="1" applyFont="1" applyAlignment="1"/>
    <xf numFmtId="2" fontId="114" fillId="0" borderId="0" xfId="0" applyNumberFormat="1" applyFont="1" applyAlignment="1"/>
    <xf numFmtId="187" fontId="114" fillId="0" borderId="0" xfId="0" applyNumberFormat="1" applyFont="1" applyAlignment="1"/>
    <xf numFmtId="1" fontId="30" fillId="0" borderId="65" xfId="0" applyNumberFormat="1" applyFont="1" applyFill="1" applyBorder="1" applyAlignment="1">
      <alignment horizontal="center" vertical="center"/>
    </xf>
    <xf numFmtId="1" fontId="30" fillId="0" borderId="76" xfId="0" applyNumberFormat="1" applyFont="1" applyFill="1" applyBorder="1" applyAlignment="1">
      <alignment horizontal="center" vertical="center"/>
    </xf>
    <xf numFmtId="10" fontId="31" fillId="0" borderId="82" xfId="0" applyNumberFormat="1" applyFont="1" applyFill="1" applyBorder="1" applyAlignment="1">
      <alignment horizontal="center" vertical="center"/>
    </xf>
    <xf numFmtId="10" fontId="31" fillId="0" borderId="67" xfId="0" applyNumberFormat="1" applyFont="1" applyFill="1" applyBorder="1" applyAlignment="1">
      <alignment horizontal="center" vertical="center"/>
    </xf>
    <xf numFmtId="10" fontId="31" fillId="0" borderId="84" xfId="0" applyNumberFormat="1" applyFont="1" applyFill="1" applyBorder="1" applyAlignment="1">
      <alignment horizontal="center" vertical="center"/>
    </xf>
    <xf numFmtId="0" fontId="121" fillId="0" borderId="0" xfId="329" applyFont="1" applyBorder="1"/>
    <xf numFmtId="0" fontId="121" fillId="0" borderId="0" xfId="330" applyFont="1" applyBorder="1"/>
    <xf numFmtId="0" fontId="121" fillId="4" borderId="88" xfId="330" applyFont="1" applyFill="1" applyBorder="1"/>
    <xf numFmtId="0" fontId="121" fillId="4" borderId="98" xfId="330" applyFont="1" applyFill="1" applyBorder="1" applyAlignment="1">
      <alignment horizontal="center" vertical="center"/>
    </xf>
    <xf numFmtId="10" fontId="121" fillId="4" borderId="71" xfId="328" applyNumberFormat="1" applyFont="1" applyFill="1" applyBorder="1"/>
    <xf numFmtId="10" fontId="121" fillId="4" borderId="57" xfId="328" applyNumberFormat="1" applyFont="1" applyFill="1" applyBorder="1"/>
    <xf numFmtId="0" fontId="121" fillId="4" borderId="71" xfId="330" applyFont="1" applyFill="1" applyBorder="1"/>
    <xf numFmtId="0" fontId="121" fillId="4" borderId="57" xfId="330" applyFont="1" applyFill="1" applyBorder="1"/>
    <xf numFmtId="0" fontId="121" fillId="4" borderId="99" xfId="330" applyFont="1" applyFill="1" applyBorder="1"/>
    <xf numFmtId="0" fontId="121" fillId="4" borderId="97" xfId="330" applyFont="1" applyFill="1" applyBorder="1"/>
    <xf numFmtId="0" fontId="121" fillId="4" borderId="99" xfId="330" applyFont="1" applyFill="1" applyBorder="1" applyAlignment="1">
      <alignment horizontal="center" vertical="center"/>
    </xf>
    <xf numFmtId="0" fontId="121" fillId="4" borderId="97" xfId="330" applyFont="1" applyFill="1" applyBorder="1" applyAlignment="1">
      <alignment horizontal="center" vertical="center"/>
    </xf>
    <xf numFmtId="0" fontId="121" fillId="4" borderId="72" xfId="330" applyFont="1" applyFill="1" applyBorder="1"/>
    <xf numFmtId="0" fontId="121" fillId="4" borderId="75" xfId="330" applyFont="1" applyFill="1" applyBorder="1"/>
    <xf numFmtId="10" fontId="121" fillId="0" borderId="71" xfId="328" applyNumberFormat="1" applyFont="1" applyFill="1" applyBorder="1" applyAlignment="1">
      <alignment horizontal="center" vertical="center"/>
    </xf>
    <xf numFmtId="1" fontId="121" fillId="47" borderId="71" xfId="328" applyNumberFormat="1" applyFont="1" applyFill="1" applyBorder="1" applyAlignment="1">
      <alignment horizontal="center" vertical="center"/>
    </xf>
    <xf numFmtId="1" fontId="121" fillId="0" borderId="88" xfId="332" applyNumberFormat="1" applyFont="1" applyFill="1" applyBorder="1" applyAlignment="1">
      <alignment horizontal="center" vertical="center"/>
    </xf>
    <xf numFmtId="1" fontId="121" fillId="0" borderId="71" xfId="332" applyNumberFormat="1" applyFont="1" applyFill="1" applyBorder="1" applyAlignment="1">
      <alignment horizontal="center" vertical="center"/>
    </xf>
    <xf numFmtId="1" fontId="121" fillId="47" borderId="71" xfId="332" applyNumberFormat="1" applyFont="1" applyFill="1" applyBorder="1" applyAlignment="1">
      <alignment horizontal="center" vertical="center"/>
    </xf>
    <xf numFmtId="0" fontId="121" fillId="0" borderId="88" xfId="330" applyFont="1" applyFill="1" applyBorder="1" applyAlignment="1">
      <alignment horizontal="left" vertical="center"/>
    </xf>
    <xf numFmtId="10" fontId="121" fillId="0" borderId="71" xfId="328" applyNumberFormat="1" applyFont="1" applyFill="1" applyBorder="1" applyAlignment="1">
      <alignment horizontal="left" vertical="center"/>
    </xf>
    <xf numFmtId="0" fontId="121" fillId="0" borderId="71" xfId="330" applyFont="1" applyFill="1" applyBorder="1" applyAlignment="1">
      <alignment horizontal="left" vertical="center"/>
    </xf>
    <xf numFmtId="0" fontId="121" fillId="47" borderId="71" xfId="330" applyFont="1" applyFill="1" applyBorder="1" applyAlignment="1">
      <alignment horizontal="left" vertical="center"/>
    </xf>
    <xf numFmtId="0" fontId="121" fillId="47" borderId="99" xfId="330" applyFont="1" applyFill="1" applyBorder="1" applyAlignment="1">
      <alignment horizontal="left" vertical="center"/>
    </xf>
    <xf numFmtId="10" fontId="121" fillId="47" borderId="71" xfId="328" applyNumberFormat="1" applyFont="1" applyFill="1" applyBorder="1" applyAlignment="1">
      <alignment horizontal="left" vertical="center"/>
    </xf>
    <xf numFmtId="0" fontId="121" fillId="38" borderId="99" xfId="330" applyFont="1" applyFill="1" applyBorder="1" applyAlignment="1">
      <alignment horizontal="left" vertical="center"/>
    </xf>
    <xf numFmtId="0" fontId="121" fillId="46" borderId="99" xfId="330" applyFont="1" applyFill="1" applyBorder="1" applyAlignment="1">
      <alignment horizontal="left" vertical="center"/>
    </xf>
    <xf numFmtId="10" fontId="121" fillId="46" borderId="71" xfId="328" applyNumberFormat="1" applyFont="1" applyFill="1" applyBorder="1" applyAlignment="1">
      <alignment horizontal="left" vertical="center"/>
    </xf>
    <xf numFmtId="187" fontId="121" fillId="38" borderId="71" xfId="328" applyNumberFormat="1" applyFont="1" applyFill="1" applyBorder="1" applyAlignment="1">
      <alignment horizontal="center" vertical="center"/>
    </xf>
    <xf numFmtId="1" fontId="121" fillId="46" borderId="71" xfId="328" applyNumberFormat="1" applyFont="1" applyFill="1" applyBorder="1" applyAlignment="1">
      <alignment horizontal="center" vertical="center"/>
    </xf>
    <xf numFmtId="10" fontId="121" fillId="46" borderId="99" xfId="328" applyNumberFormat="1" applyFont="1" applyFill="1" applyBorder="1" applyAlignment="1">
      <alignment horizontal="center" vertical="center"/>
    </xf>
    <xf numFmtId="0" fontId="144" fillId="0" borderId="0" xfId="329" applyFont="1" applyAlignment="1">
      <alignment horizontal="left"/>
    </xf>
    <xf numFmtId="0" fontId="121" fillId="0" borderId="0" xfId="329" applyFont="1" applyAlignment="1">
      <alignment horizontal="center" vertical="center"/>
    </xf>
    <xf numFmtId="0" fontId="126" fillId="51" borderId="0" xfId="329" applyFont="1" applyFill="1" applyAlignment="1">
      <alignment horizontal="center" vertical="center"/>
    </xf>
    <xf numFmtId="0" fontId="124" fillId="46" borderId="72" xfId="330" applyFont="1" applyFill="1" applyBorder="1" applyAlignment="1">
      <alignment horizontal="left" vertical="center"/>
    </xf>
    <xf numFmtId="0" fontId="124" fillId="46" borderId="72" xfId="330" applyFont="1" applyFill="1" applyBorder="1" applyAlignment="1">
      <alignment horizontal="center"/>
    </xf>
    <xf numFmtId="10" fontId="124" fillId="46" borderId="72" xfId="328" applyNumberFormat="1" applyFont="1" applyFill="1" applyBorder="1" applyAlignment="1">
      <alignment horizontal="center" vertical="center"/>
    </xf>
    <xf numFmtId="2" fontId="121" fillId="4" borderId="97" xfId="330" applyNumberFormat="1" applyFont="1" applyFill="1" applyBorder="1" applyAlignment="1">
      <alignment horizontal="center" vertical="center"/>
    </xf>
    <xf numFmtId="0" fontId="121" fillId="4" borderId="99" xfId="330" applyFont="1" applyFill="1" applyBorder="1" applyAlignment="1">
      <alignment horizontal="center"/>
    </xf>
    <xf numFmtId="10" fontId="121" fillId="4" borderId="57" xfId="328" applyNumberFormat="1" applyFont="1" applyFill="1" applyBorder="1" applyAlignment="1">
      <alignment horizontal="center" vertical="center"/>
    </xf>
    <xf numFmtId="9" fontId="121" fillId="0" borderId="71" xfId="328" applyNumberFormat="1" applyFont="1" applyFill="1" applyBorder="1" applyAlignment="1">
      <alignment horizontal="center" vertical="center"/>
    </xf>
    <xf numFmtId="0" fontId="121" fillId="0" borderId="26" xfId="329" applyFont="1" applyFill="1" applyBorder="1" applyAlignment="1">
      <alignment vertical="center" wrapText="1"/>
    </xf>
    <xf numFmtId="0" fontId="121" fillId="0" borderId="25" xfId="329" applyFont="1" applyFill="1" applyBorder="1" applyAlignment="1">
      <alignment vertical="center" wrapText="1"/>
    </xf>
    <xf numFmtId="0" fontId="121" fillId="0" borderId="27" xfId="329" applyFont="1" applyFill="1" applyBorder="1" applyAlignment="1">
      <alignment vertical="center" wrapText="1"/>
    </xf>
    <xf numFmtId="0" fontId="121" fillId="4" borderId="72" xfId="330" applyFont="1" applyFill="1" applyBorder="1" applyAlignment="1">
      <alignment horizontal="center"/>
    </xf>
    <xf numFmtId="1" fontId="121" fillId="4" borderId="99" xfId="330" applyNumberFormat="1" applyFont="1" applyFill="1" applyBorder="1" applyAlignment="1">
      <alignment horizontal="center" vertical="center"/>
    </xf>
    <xf numFmtId="1" fontId="121" fillId="4" borderId="99" xfId="330" applyNumberFormat="1" applyFont="1" applyFill="1" applyBorder="1" applyAlignment="1">
      <alignment horizontal="center"/>
    </xf>
    <xf numFmtId="0" fontId="99" fillId="0" borderId="75" xfId="0" applyFont="1" applyBorder="1" applyAlignment="1">
      <alignment horizontal="left" vertical="center"/>
    </xf>
    <xf numFmtId="0" fontId="0" fillId="0" borderId="75" xfId="0" applyBorder="1" applyAlignment="1">
      <alignment vertical="center"/>
    </xf>
    <xf numFmtId="0" fontId="99" fillId="36" borderId="75" xfId="0" applyFont="1" applyFill="1" applyBorder="1" applyAlignment="1">
      <alignment horizontal="center" vertical="center"/>
    </xf>
    <xf numFmtId="188" fontId="98" fillId="0" borderId="75" xfId="274" applyNumberFormat="1" applyFont="1" applyBorder="1" applyAlignment="1">
      <alignment horizontal="center" vertical="center"/>
    </xf>
    <xf numFmtId="0" fontId="100" fillId="0" borderId="75" xfId="0" applyFont="1" applyFill="1" applyBorder="1" applyAlignment="1">
      <alignment horizontal="center" vertical="center"/>
    </xf>
    <xf numFmtId="0" fontId="131" fillId="0" borderId="75" xfId="0" applyFont="1" applyFill="1" applyBorder="1">
      <alignment vertical="center"/>
    </xf>
    <xf numFmtId="0" fontId="131" fillId="0" borderId="75" xfId="0" applyFont="1" applyFill="1" applyBorder="1" applyAlignment="1">
      <alignment horizontal="center" vertical="center"/>
    </xf>
    <xf numFmtId="0" fontId="98" fillId="0" borderId="75" xfId="0" applyFont="1" applyBorder="1" applyAlignment="1">
      <alignment horizontal="center" vertical="center"/>
    </xf>
    <xf numFmtId="0" fontId="99" fillId="36" borderId="75" xfId="0" applyNumberFormat="1" applyFont="1" applyFill="1" applyBorder="1" applyAlignment="1">
      <alignment horizontal="center" vertical="center"/>
    </xf>
    <xf numFmtId="0" fontId="98" fillId="0" borderId="84" xfId="0" applyFont="1" applyBorder="1" applyAlignment="1">
      <alignment vertical="center"/>
    </xf>
    <xf numFmtId="0" fontId="99" fillId="36" borderId="84" xfId="0" applyFont="1" applyFill="1" applyBorder="1" applyAlignment="1">
      <alignment horizontal="center" vertical="center"/>
    </xf>
    <xf numFmtId="0" fontId="110" fillId="0" borderId="0" xfId="323" applyAlignment="1">
      <alignment horizontal="left" vertical="center"/>
    </xf>
    <xf numFmtId="0" fontId="99" fillId="36" borderId="75" xfId="0" applyFont="1" applyFill="1" applyBorder="1" applyAlignment="1">
      <alignment horizontal="left" vertical="center"/>
    </xf>
    <xf numFmtId="0" fontId="99" fillId="0" borderId="76" xfId="0" applyFont="1" applyFill="1" applyBorder="1" applyAlignment="1">
      <alignment horizontal="left" vertical="center"/>
    </xf>
    <xf numFmtId="0" fontId="23" fillId="40" borderId="104" xfId="0" applyFont="1" applyFill="1" applyBorder="1">
      <alignment vertical="center"/>
    </xf>
    <xf numFmtId="0" fontId="96" fillId="0" borderId="17" xfId="325" applyFont="1" applyBorder="1" applyAlignment="1">
      <alignment horizontal="center" vertical="center"/>
    </xf>
    <xf numFmtId="0" fontId="145" fillId="0" borderId="18" xfId="325" applyFont="1" applyFill="1" applyBorder="1" applyAlignment="1">
      <alignment horizontal="center" vertical="center"/>
    </xf>
    <xf numFmtId="9" fontId="145" fillId="0" borderId="18" xfId="326" applyNumberFormat="1" applyFont="1" applyFill="1" applyBorder="1" applyAlignment="1">
      <alignment horizontal="center" vertical="center"/>
    </xf>
    <xf numFmtId="0" fontId="96" fillId="0" borderId="20" xfId="325" applyFont="1" applyFill="1" applyBorder="1" applyAlignment="1">
      <alignment horizontal="center" vertical="center"/>
    </xf>
    <xf numFmtId="1" fontId="119" fillId="45" borderId="22" xfId="325" applyNumberFormat="1" applyFont="1" applyFill="1" applyBorder="1" applyAlignment="1">
      <alignment horizontal="center" vertical="center"/>
    </xf>
    <xf numFmtId="0" fontId="24" fillId="0" borderId="16" xfId="4" applyFont="1" applyBorder="1" applyAlignment="1" applyProtection="1">
      <alignment horizontal="center" vertical="center"/>
    </xf>
    <xf numFmtId="0" fontId="24" fillId="0" borderId="76" xfId="4" applyFont="1" applyBorder="1" applyAlignment="1" applyProtection="1">
      <alignment horizontal="center" vertical="center"/>
    </xf>
    <xf numFmtId="0" fontId="24" fillId="0" borderId="16" xfId="4" applyBorder="1" applyAlignment="1" applyProtection="1">
      <alignment horizontal="center" vertical="center"/>
    </xf>
    <xf numFmtId="0" fontId="24" fillId="0" borderId="14" xfId="4" applyBorder="1" applyAlignment="1" applyProtection="1">
      <alignment horizontal="center" vertical="center"/>
    </xf>
    <xf numFmtId="0" fontId="24" fillId="0" borderId="14" xfId="4" applyFont="1" applyBorder="1" applyAlignment="1" applyProtection="1">
      <alignment horizontal="center" vertical="center"/>
    </xf>
    <xf numFmtId="0" fontId="119" fillId="45" borderId="103" xfId="325" applyFont="1" applyFill="1" applyBorder="1" applyAlignment="1">
      <alignment horizontal="center" vertical="center"/>
    </xf>
    <xf numFmtId="10" fontId="119" fillId="45" borderId="80" xfId="326" applyNumberFormat="1" applyFont="1" applyFill="1" applyBorder="1" applyAlignment="1">
      <alignment horizontal="center" vertical="center"/>
    </xf>
    <xf numFmtId="10" fontId="119" fillId="45" borderId="70" xfId="326" applyNumberFormat="1" applyFont="1" applyFill="1" applyBorder="1" applyAlignment="1">
      <alignment horizontal="center" vertical="center"/>
    </xf>
    <xf numFmtId="0" fontId="31" fillId="0" borderId="78" xfId="325" applyFont="1" applyBorder="1">
      <alignment vertical="center"/>
    </xf>
    <xf numFmtId="0" fontId="31" fillId="0" borderId="78" xfId="325" applyFont="1" applyBorder="1" applyAlignment="1">
      <alignment vertical="center" wrapText="1"/>
    </xf>
    <xf numFmtId="187" fontId="121" fillId="38" borderId="81" xfId="328" applyNumberFormat="1" applyFont="1" applyFill="1" applyBorder="1" applyAlignment="1">
      <alignment horizontal="center" vertical="center"/>
    </xf>
    <xf numFmtId="0" fontId="124" fillId="46" borderId="105" xfId="330" applyFont="1" applyFill="1" applyBorder="1" applyAlignment="1">
      <alignment horizontal="left" vertical="center"/>
    </xf>
    <xf numFmtId="0" fontId="124" fillId="46" borderId="105" xfId="330" applyFont="1" applyFill="1" applyBorder="1" applyAlignment="1">
      <alignment horizontal="center"/>
    </xf>
    <xf numFmtId="10" fontId="124" fillId="46" borderId="105" xfId="328" applyNumberFormat="1" applyFont="1" applyFill="1" applyBorder="1" applyAlignment="1">
      <alignment horizontal="center" vertical="center"/>
    </xf>
    <xf numFmtId="1" fontId="120" fillId="0" borderId="107" xfId="325" applyNumberFormat="1" applyFont="1" applyFill="1" applyBorder="1" applyAlignment="1">
      <alignment horizontal="center" vertical="center"/>
    </xf>
    <xf numFmtId="185" fontId="120" fillId="0" borderId="107" xfId="326" applyNumberFormat="1" applyFont="1" applyFill="1" applyBorder="1" applyAlignment="1">
      <alignment horizontal="center" vertical="center"/>
    </xf>
    <xf numFmtId="0" fontId="120" fillId="0" borderId="107" xfId="325" applyFont="1" applyFill="1" applyBorder="1" applyAlignment="1">
      <alignment horizontal="center" vertical="center"/>
    </xf>
    <xf numFmtId="0" fontId="31" fillId="0" borderId="108" xfId="325" applyFont="1" applyBorder="1">
      <alignment vertical="center"/>
    </xf>
    <xf numFmtId="0" fontId="129" fillId="0" borderId="29" xfId="325" applyFont="1" applyBorder="1" applyAlignment="1">
      <alignment horizontal="center" vertical="center"/>
    </xf>
    <xf numFmtId="9" fontId="129" fillId="0" borderId="29" xfId="326" applyNumberFormat="1" applyFont="1" applyFill="1" applyBorder="1" applyAlignment="1">
      <alignment horizontal="center" vertical="center"/>
    </xf>
    <xf numFmtId="185" fontId="129" fillId="0" borderId="29" xfId="326" applyNumberFormat="1" applyFont="1" applyFill="1" applyBorder="1" applyAlignment="1">
      <alignment horizontal="center" vertical="center"/>
    </xf>
    <xf numFmtId="0" fontId="30" fillId="0" borderId="30" xfId="325" applyBorder="1">
      <alignment vertical="center"/>
    </xf>
    <xf numFmtId="0" fontId="120" fillId="0" borderId="14" xfId="325" applyFont="1" applyFill="1" applyBorder="1" applyAlignment="1">
      <alignment horizontal="center" vertical="center"/>
    </xf>
    <xf numFmtId="9" fontId="31" fillId="0" borderId="14" xfId="326" applyFont="1" applyBorder="1" applyAlignment="1">
      <alignment horizontal="center" vertical="center"/>
    </xf>
    <xf numFmtId="185" fontId="120" fillId="0" borderId="14" xfId="326" applyNumberFormat="1" applyFont="1" applyFill="1" applyBorder="1" applyAlignment="1">
      <alignment horizontal="center" vertical="center"/>
    </xf>
    <xf numFmtId="0" fontId="31" fillId="0" borderId="19" xfId="325" applyFont="1" applyBorder="1">
      <alignment vertical="center"/>
    </xf>
    <xf numFmtId="0" fontId="119" fillId="46" borderId="29" xfId="325" applyFont="1" applyFill="1" applyBorder="1" applyAlignment="1">
      <alignment horizontal="center" vertical="center"/>
    </xf>
    <xf numFmtId="187" fontId="99" fillId="0" borderId="109" xfId="0" applyNumberFormat="1" applyFont="1" applyFill="1" applyBorder="1" applyAlignment="1">
      <alignment horizontal="left" vertical="center"/>
    </xf>
    <xf numFmtId="0" fontId="23" fillId="41" borderId="2" xfId="0" applyFont="1" applyFill="1" applyBorder="1" applyAlignment="1">
      <alignment horizontal="left" vertical="center"/>
    </xf>
    <xf numFmtId="0" fontId="23" fillId="41" borderId="0" xfId="0" applyFont="1" applyFill="1" applyBorder="1" applyAlignment="1">
      <alignment horizontal="left" vertical="center"/>
    </xf>
    <xf numFmtId="0" fontId="0" fillId="0" borderId="3" xfId="0" applyFill="1" applyBorder="1" applyAlignment="1">
      <alignment horizontal="center" vertical="center"/>
    </xf>
    <xf numFmtId="10" fontId="24" fillId="0" borderId="3" xfId="280" applyNumberFormat="1" applyFill="1" applyBorder="1" applyAlignment="1" applyProtection="1">
      <alignment horizontal="center" vertical="top"/>
    </xf>
    <xf numFmtId="10" fontId="24" fillId="0" borderId="5" xfId="280" applyNumberFormat="1" applyFill="1" applyBorder="1" applyAlignment="1" applyProtection="1">
      <alignment horizontal="center" vertical="top"/>
    </xf>
    <xf numFmtId="10" fontId="24" fillId="0" borderId="12" xfId="280" applyNumberFormat="1" applyFill="1" applyBorder="1" applyAlignment="1" applyProtection="1">
      <alignment horizontal="center" vertical="top"/>
    </xf>
    <xf numFmtId="0" fontId="0" fillId="0" borderId="2" xfId="0" applyFill="1" applyBorder="1" applyAlignment="1">
      <alignment horizontal="center" vertical="center"/>
    </xf>
    <xf numFmtId="184" fontId="0" fillId="0" borderId="2" xfId="0" applyNumberFormat="1" applyFill="1" applyBorder="1" applyAlignment="1">
      <alignment horizontal="center" vertical="center"/>
    </xf>
    <xf numFmtId="184" fontId="0" fillId="0" borderId="26" xfId="0" applyNumberFormat="1" applyFill="1" applyBorder="1" applyAlignment="1">
      <alignment horizontal="center" vertical="center"/>
    </xf>
    <xf numFmtId="184" fontId="0" fillId="0" borderId="0" xfId="0" applyNumberFormat="1" applyFill="1" applyBorder="1" applyAlignment="1">
      <alignment horizontal="center" vertical="center"/>
    </xf>
    <xf numFmtId="184" fontId="0" fillId="0" borderId="25" xfId="0" applyNumberFormat="1" applyFill="1" applyBorder="1" applyAlignment="1">
      <alignment horizontal="center" vertical="center"/>
    </xf>
    <xf numFmtId="184" fontId="0" fillId="0" borderId="11" xfId="0" applyNumberFormat="1" applyFill="1" applyBorder="1" applyAlignment="1">
      <alignment horizontal="center" vertical="center"/>
    </xf>
    <xf numFmtId="184" fontId="0" fillId="0" borderId="27" xfId="0" applyNumberFormat="1" applyFill="1" applyBorder="1" applyAlignment="1">
      <alignment horizontal="center" vertical="center"/>
    </xf>
    <xf numFmtId="0" fontId="0" fillId="0" borderId="26" xfId="0" applyFill="1" applyBorder="1" applyAlignment="1">
      <alignment horizontal="left" vertical="center"/>
    </xf>
    <xf numFmtId="0" fontId="0" fillId="0" borderId="25" xfId="0" applyFill="1" applyBorder="1" applyAlignment="1">
      <alignment horizontal="left" vertical="center"/>
    </xf>
    <xf numFmtId="0" fontId="0" fillId="0" borderId="27" xfId="0" applyFill="1" applyBorder="1" applyAlignment="1">
      <alignment horizontal="left" vertical="center"/>
    </xf>
    <xf numFmtId="0" fontId="0" fillId="0" borderId="1" xfId="0" applyFill="1" applyBorder="1" applyAlignment="1">
      <alignment horizontal="left" vertical="center"/>
    </xf>
    <xf numFmtId="0" fontId="0" fillId="0" borderId="4" xfId="0" applyFill="1" applyBorder="1" applyAlignment="1">
      <alignment horizontal="left" vertical="center"/>
    </xf>
    <xf numFmtId="0" fontId="0" fillId="0" borderId="9" xfId="0" applyFill="1" applyBorder="1" applyAlignment="1">
      <alignment horizontal="left" vertical="center"/>
    </xf>
    <xf numFmtId="1" fontId="30" fillId="0" borderId="0" xfId="325" applyNumberFormat="1" applyAlignment="1">
      <alignment horizontal="center" vertical="center"/>
    </xf>
    <xf numFmtId="2" fontId="30" fillId="0" borderId="0" xfId="325" applyNumberFormat="1" applyAlignment="1">
      <alignment horizontal="center" vertical="center"/>
    </xf>
    <xf numFmtId="0" fontId="124" fillId="51" borderId="14" xfId="330" applyFont="1" applyFill="1" applyBorder="1" applyAlignment="1">
      <alignment horizontal="left" vertical="center"/>
    </xf>
    <xf numFmtId="0" fontId="124" fillId="51" borderId="14" xfId="330" applyFont="1" applyFill="1" applyBorder="1" applyAlignment="1">
      <alignment horizontal="center"/>
    </xf>
    <xf numFmtId="10" fontId="124" fillId="51" borderId="14" xfId="328" applyNumberFormat="1" applyFont="1" applyFill="1" applyBorder="1" applyAlignment="1">
      <alignment horizontal="center" vertical="center"/>
    </xf>
    <xf numFmtId="0" fontId="121" fillId="47" borderId="110" xfId="330" applyFont="1" applyFill="1" applyBorder="1" applyAlignment="1">
      <alignment horizontal="left" vertical="center"/>
    </xf>
    <xf numFmtId="0" fontId="121" fillId="47" borderId="110" xfId="330" applyFont="1" applyFill="1" applyBorder="1" applyAlignment="1">
      <alignment horizontal="center"/>
    </xf>
    <xf numFmtId="0" fontId="121" fillId="38" borderId="110" xfId="330" applyFont="1" applyFill="1" applyBorder="1" applyAlignment="1">
      <alignment horizontal="left" vertical="center"/>
    </xf>
    <xf numFmtId="0" fontId="121" fillId="38" borderId="110" xfId="330" applyFont="1" applyFill="1" applyBorder="1" applyAlignment="1">
      <alignment horizontal="center"/>
    </xf>
    <xf numFmtId="0" fontId="121" fillId="46" borderId="110" xfId="330" applyFont="1" applyFill="1" applyBorder="1" applyAlignment="1">
      <alignment horizontal="left" vertical="center"/>
    </xf>
    <xf numFmtId="0" fontId="121" fillId="46" borderId="110" xfId="330" applyFont="1" applyFill="1" applyBorder="1" applyAlignment="1">
      <alignment horizontal="center"/>
    </xf>
    <xf numFmtId="10" fontId="121" fillId="46" borderId="110" xfId="328" applyNumberFormat="1" applyFont="1" applyFill="1" applyBorder="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0" fillId="0" borderId="0" xfId="0" applyAlignment="1">
      <alignment vertical="center" wrapText="1"/>
    </xf>
    <xf numFmtId="0" fontId="31" fillId="0" borderId="16" xfId="0" applyFont="1" applyBorder="1" applyAlignment="1">
      <alignment horizontal="center" vertical="center" wrapText="1"/>
    </xf>
    <xf numFmtId="10" fontId="28" fillId="0" borderId="0" xfId="1" applyNumberFormat="1" applyAlignment="1">
      <alignment horizontal="center" vertical="top"/>
      <protection locked="0"/>
    </xf>
    <xf numFmtId="0" fontId="0" fillId="0" borderId="16" xfId="0" applyBorder="1" applyAlignment="1"/>
    <xf numFmtId="0" fontId="30" fillId="0" borderId="16" xfId="0" applyFont="1" applyBorder="1" applyAlignment="1"/>
    <xf numFmtId="0" fontId="0" fillId="0" borderId="16" xfId="0" applyBorder="1" applyAlignment="1">
      <alignment horizontal="right"/>
    </xf>
    <xf numFmtId="0" fontId="22" fillId="44" borderId="2" xfId="0" applyFont="1" applyFill="1" applyBorder="1" applyAlignment="1">
      <alignment horizontal="center" vertical="center"/>
    </xf>
    <xf numFmtId="0" fontId="22" fillId="44" borderId="0" xfId="0" applyFont="1" applyFill="1" applyBorder="1" applyAlignment="1">
      <alignment horizontal="center" vertical="center"/>
    </xf>
    <xf numFmtId="0" fontId="22" fillId="44" borderId="11" xfId="0" applyFont="1" applyFill="1" applyBorder="1" applyAlignment="1">
      <alignment horizontal="center" vertical="center"/>
    </xf>
    <xf numFmtId="0" fontId="119" fillId="46" borderId="30" xfId="325" applyFont="1" applyFill="1" applyBorder="1" applyAlignment="1">
      <alignment horizontal="left" vertical="center"/>
    </xf>
    <xf numFmtId="0" fontId="119" fillId="46" borderId="24" xfId="325" applyFont="1" applyFill="1" applyBorder="1" applyAlignment="1">
      <alignment horizontal="left" vertical="center"/>
    </xf>
    <xf numFmtId="0" fontId="30" fillId="5" borderId="13" xfId="325" applyFill="1" applyBorder="1" applyAlignment="1">
      <alignment horizontal="left" vertical="center"/>
    </xf>
    <xf numFmtId="0" fontId="30" fillId="5" borderId="79" xfId="325" applyFill="1" applyBorder="1" applyAlignment="1">
      <alignment horizontal="left" vertical="center"/>
    </xf>
    <xf numFmtId="0" fontId="30" fillId="5" borderId="106" xfId="325" applyFill="1" applyBorder="1" applyAlignment="1">
      <alignment horizontal="left" vertical="center"/>
    </xf>
    <xf numFmtId="0" fontId="31" fillId="0" borderId="24" xfId="325" applyFont="1" applyBorder="1" applyAlignment="1">
      <alignment horizontal="left" vertical="center"/>
    </xf>
    <xf numFmtId="0" fontId="119" fillId="46" borderId="29" xfId="325" applyFont="1" applyFill="1" applyBorder="1" applyAlignment="1">
      <alignment horizontal="center"/>
    </xf>
    <xf numFmtId="1" fontId="119" fillId="6" borderId="14" xfId="325" applyNumberFormat="1" applyFont="1" applyFill="1" applyBorder="1" applyAlignment="1">
      <alignment horizontal="center"/>
    </xf>
    <xf numFmtId="0" fontId="120" fillId="0" borderId="14" xfId="325" applyFont="1" applyFill="1" applyBorder="1" applyAlignment="1">
      <alignment horizontal="center"/>
    </xf>
    <xf numFmtId="1" fontId="119" fillId="6" borderId="16" xfId="325" applyNumberFormat="1" applyFont="1" applyFill="1" applyBorder="1" applyAlignment="1">
      <alignment horizontal="center"/>
    </xf>
    <xf numFmtId="0" fontId="120" fillId="0" borderId="16" xfId="325" applyFont="1" applyFill="1" applyBorder="1" applyAlignment="1">
      <alignment horizontal="center"/>
    </xf>
    <xf numFmtId="1" fontId="119" fillId="6" borderId="107" xfId="325" applyNumberFormat="1" applyFont="1" applyFill="1" applyBorder="1" applyAlignment="1">
      <alignment horizontal="center"/>
    </xf>
    <xf numFmtId="1" fontId="120" fillId="0" borderId="107" xfId="325" applyNumberFormat="1" applyFont="1" applyFill="1" applyBorder="1" applyAlignment="1">
      <alignment horizontal="center"/>
    </xf>
    <xf numFmtId="1" fontId="129" fillId="0" borderId="29" xfId="325" applyNumberFormat="1" applyFont="1" applyBorder="1" applyAlignment="1">
      <alignment horizontal="center"/>
    </xf>
    <xf numFmtId="0" fontId="129" fillId="0" borderId="29" xfId="325" applyFont="1" applyBorder="1" applyAlignment="1">
      <alignment horizontal="center"/>
    </xf>
    <xf numFmtId="1" fontId="31" fillId="0" borderId="24" xfId="325" applyNumberFormat="1" applyFont="1" applyBorder="1" applyAlignment="1">
      <alignment horizontal="center" vertical="center"/>
    </xf>
    <xf numFmtId="0" fontId="31" fillId="0" borderId="24" xfId="325" applyFont="1" applyBorder="1" applyAlignment="1">
      <alignment horizontal="center" vertical="center"/>
    </xf>
    <xf numFmtId="10" fontId="31" fillId="0" borderId="29" xfId="326" applyNumberFormat="1" applyFont="1" applyBorder="1" applyAlignment="1">
      <alignment horizontal="center" vertical="center"/>
    </xf>
    <xf numFmtId="0" fontId="23" fillId="37" borderId="0" xfId="0" applyFont="1" applyFill="1" applyBorder="1">
      <alignment vertical="center"/>
    </xf>
    <xf numFmtId="0" fontId="23" fillId="37" borderId="2" xfId="0" applyFont="1" applyFill="1" applyBorder="1">
      <alignment vertical="center"/>
    </xf>
    <xf numFmtId="0" fontId="23" fillId="37" borderId="11" xfId="0" applyFont="1" applyFill="1" applyBorder="1">
      <alignment vertical="center"/>
    </xf>
    <xf numFmtId="1" fontId="22" fillId="37" borderId="1" xfId="1" applyNumberFormat="1" applyFont="1" applyFill="1" applyBorder="1" applyAlignment="1" applyProtection="1">
      <alignment horizontal="center" vertical="center"/>
    </xf>
    <xf numFmtId="1" fontId="22" fillId="37" borderId="4" xfId="1" applyNumberFormat="1" applyFont="1" applyFill="1" applyBorder="1" applyAlignment="1" applyProtection="1">
      <alignment horizontal="center" vertical="center"/>
    </xf>
    <xf numFmtId="1" fontId="22" fillId="37" borderId="9" xfId="1" applyNumberFormat="1" applyFont="1" applyFill="1" applyBorder="1" applyAlignment="1" applyProtection="1">
      <alignment horizontal="center" vertical="center"/>
    </xf>
    <xf numFmtId="1" fontId="27" fillId="7" borderId="11" xfId="0" applyNumberFormat="1" applyFont="1" applyFill="1" applyBorder="1" applyAlignment="1">
      <alignment horizontal="center" vertical="center"/>
    </xf>
    <xf numFmtId="0" fontId="23" fillId="7" borderId="27" xfId="0" applyFont="1" applyFill="1" applyBorder="1">
      <alignment vertical="center"/>
    </xf>
    <xf numFmtId="0" fontId="22" fillId="37" borderId="1" xfId="280" applyNumberFormat="1" applyFont="1" applyFill="1" applyBorder="1" applyAlignment="1" applyProtection="1">
      <alignment horizontal="center" vertical="center"/>
    </xf>
    <xf numFmtId="0" fontId="22" fillId="37" borderId="4" xfId="280" applyNumberFormat="1" applyFont="1" applyFill="1" applyBorder="1" applyAlignment="1" applyProtection="1">
      <alignment horizontal="center" vertical="center"/>
    </xf>
    <xf numFmtId="0" fontId="22" fillId="37" borderId="9" xfId="280" applyNumberFormat="1" applyFont="1" applyFill="1" applyBorder="1" applyAlignment="1" applyProtection="1">
      <alignment horizontal="center" vertical="center"/>
    </xf>
    <xf numFmtId="1" fontId="24" fillId="0" borderId="0" xfId="0" applyNumberFormat="1" applyFont="1" applyFill="1" applyAlignment="1">
      <alignment horizontal="center" vertical="center"/>
    </xf>
    <xf numFmtId="0" fontId="119" fillId="45" borderId="4" xfId="325" applyFont="1" applyFill="1" applyBorder="1" applyAlignment="1">
      <alignment horizontal="center" vertical="center"/>
    </xf>
    <xf numFmtId="1" fontId="120" fillId="0" borderId="16" xfId="325" applyNumberFormat="1" applyFont="1" applyFill="1" applyBorder="1" applyAlignment="1">
      <alignment horizontal="center"/>
    </xf>
    <xf numFmtId="1" fontId="120" fillId="0" borderId="16" xfId="325" applyNumberFormat="1" applyFont="1" applyFill="1" applyBorder="1" applyAlignment="1">
      <alignment horizontal="center" vertical="center"/>
    </xf>
    <xf numFmtId="10" fontId="120" fillId="0" borderId="14" xfId="326" applyNumberFormat="1" applyFont="1" applyFill="1" applyBorder="1" applyAlignment="1">
      <alignment horizontal="center" vertical="center"/>
    </xf>
    <xf numFmtId="10" fontId="120" fillId="0" borderId="16" xfId="326" applyNumberFormat="1" applyFont="1" applyFill="1" applyBorder="1" applyAlignment="1">
      <alignment horizontal="center" vertical="center"/>
    </xf>
    <xf numFmtId="10" fontId="120" fillId="0" borderId="107" xfId="326" applyNumberFormat="1" applyFont="1" applyFill="1" applyBorder="1" applyAlignment="1">
      <alignment horizontal="center" vertical="center"/>
    </xf>
    <xf numFmtId="167" fontId="0" fillId="0" borderId="0" xfId="0" applyNumberFormat="1">
      <alignment vertical="center"/>
    </xf>
    <xf numFmtId="10" fontId="22" fillId="5" borderId="3" xfId="1" applyNumberFormat="1" applyFont="1" applyFill="1" applyBorder="1" applyAlignment="1" applyProtection="1">
      <alignment horizontal="center"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23" fillId="41" borderId="1" xfId="0" applyFont="1" applyFill="1" applyBorder="1">
      <alignment vertical="center"/>
    </xf>
    <xf numFmtId="0" fontId="23" fillId="41" borderId="4" xfId="0" applyFont="1" applyFill="1" applyBorder="1">
      <alignment vertical="center"/>
    </xf>
    <xf numFmtId="0" fontId="23" fillId="41" borderId="9" xfId="0" applyFont="1" applyFill="1" applyBorder="1">
      <alignment vertical="center"/>
    </xf>
    <xf numFmtId="10" fontId="22" fillId="41" borderId="2" xfId="1" applyNumberFormat="1" applyFont="1" applyFill="1" applyBorder="1" applyAlignment="1" applyProtection="1">
      <alignment horizontal="center" vertical="center"/>
    </xf>
    <xf numFmtId="10" fontId="22" fillId="41" borderId="0" xfId="1" applyNumberFormat="1" applyFont="1" applyFill="1" applyBorder="1" applyAlignment="1" applyProtection="1">
      <alignment horizontal="center" vertical="center"/>
    </xf>
    <xf numFmtId="0" fontId="23" fillId="5" borderId="9" xfId="0" applyFont="1" applyFill="1" applyBorder="1">
      <alignment vertical="center"/>
    </xf>
    <xf numFmtId="10" fontId="22" fillId="40" borderId="0" xfId="1" applyNumberFormat="1" applyFont="1" applyFill="1" applyBorder="1" applyAlignment="1" applyProtection="1">
      <alignment horizontal="center" vertical="center"/>
    </xf>
    <xf numFmtId="10" fontId="22" fillId="40" borderId="11" xfId="1" applyNumberFormat="1" applyFont="1" applyFill="1" applyBorder="1" applyAlignment="1" applyProtection="1">
      <alignment horizontal="center" vertical="center"/>
    </xf>
    <xf numFmtId="10" fontId="22" fillId="5" borderId="2" xfId="1" applyNumberFormat="1" applyFont="1" applyFill="1" applyBorder="1" applyAlignment="1" applyProtection="1">
      <alignment horizontal="center" vertical="center"/>
    </xf>
    <xf numFmtId="10" fontId="22" fillId="5" borderId="0" xfId="1" applyNumberFormat="1" applyFont="1" applyFill="1" applyBorder="1" applyAlignment="1" applyProtection="1">
      <alignment horizontal="center" vertical="center"/>
    </xf>
    <xf numFmtId="10" fontId="22" fillId="5" borderId="11" xfId="1" applyNumberFormat="1" applyFont="1" applyFill="1" applyBorder="1" applyAlignment="1" applyProtection="1">
      <alignment horizontal="center" vertical="center"/>
    </xf>
    <xf numFmtId="0" fontId="29" fillId="7" borderId="0" xfId="1" applyNumberFormat="1" applyFont="1" applyFill="1" applyBorder="1" applyAlignment="1" applyProtection="1">
      <alignment horizontal="center" vertical="center"/>
    </xf>
    <xf numFmtId="0" fontId="29" fillId="7" borderId="5" xfId="1" applyNumberFormat="1" applyFont="1" applyFill="1" applyBorder="1" applyAlignment="1" applyProtection="1">
      <alignment horizontal="center" vertical="center"/>
    </xf>
    <xf numFmtId="0" fontId="22" fillId="40" borderId="4" xfId="280" applyNumberFormat="1" applyFont="1" applyFill="1" applyBorder="1" applyAlignment="1" applyProtection="1">
      <alignment horizontal="center" vertical="center"/>
    </xf>
    <xf numFmtId="0" fontId="22" fillId="40" borderId="5" xfId="1" applyNumberFormat="1" applyFont="1" applyFill="1" applyBorder="1" applyAlignment="1" applyProtection="1">
      <alignment horizontal="center" vertical="center"/>
    </xf>
    <xf numFmtId="0" fontId="22" fillId="40" borderId="9" xfId="280" applyNumberFormat="1" applyFont="1" applyFill="1" applyBorder="1" applyAlignment="1" applyProtection="1">
      <alignment horizontal="center" vertical="center"/>
    </xf>
    <xf numFmtId="0" fontId="22" fillId="5" borderId="4" xfId="280" applyNumberFormat="1" applyFont="1" applyFill="1" applyBorder="1" applyAlignment="1" applyProtection="1">
      <alignment horizontal="center" vertical="center"/>
    </xf>
    <xf numFmtId="0" fontId="22" fillId="5" borderId="9" xfId="280" applyNumberFormat="1" applyFont="1" applyFill="1" applyBorder="1" applyAlignment="1" applyProtection="1">
      <alignment horizontal="center" vertical="center"/>
    </xf>
    <xf numFmtId="10" fontId="22" fillId="37" borderId="11" xfId="1" applyNumberFormat="1" applyFont="1" applyFill="1" applyBorder="1" applyAlignment="1" applyProtection="1">
      <alignment horizontal="center" vertical="center"/>
    </xf>
    <xf numFmtId="0" fontId="22" fillId="40" borderId="12" xfId="1" applyNumberFormat="1" applyFont="1" applyFill="1" applyBorder="1" applyAlignment="1" applyProtection="1">
      <alignment horizontal="center" vertical="center"/>
    </xf>
    <xf numFmtId="190" fontId="22" fillId="52" borderId="6" xfId="1" applyNumberFormat="1" applyFont="1" applyFill="1" applyBorder="1" applyAlignment="1" applyProtection="1">
      <alignment horizontal="center" vertical="center"/>
    </xf>
    <xf numFmtId="0" fontId="0" fillId="4" borderId="16" xfId="0" applyFill="1" applyBorder="1" applyAlignment="1">
      <alignment horizontal="center" vertical="center"/>
    </xf>
    <xf numFmtId="0" fontId="0" fillId="0" borderId="16" xfId="0" applyBorder="1" applyAlignment="1">
      <alignment horizontal="center" vertical="center"/>
    </xf>
    <xf numFmtId="0" fontId="0" fillId="0" borderId="14" xfId="0" applyBorder="1" applyAlignment="1">
      <alignment horizontal="left" vertical="center"/>
    </xf>
    <xf numFmtId="0" fontId="0" fillId="0" borderId="14" xfId="0" applyBorder="1" applyAlignment="1">
      <alignment horizontal="left" vertical="center" wrapText="1"/>
    </xf>
    <xf numFmtId="0" fontId="0" fillId="0" borderId="16" xfId="0" applyFill="1" applyBorder="1" applyAlignment="1">
      <alignment horizontal="center" vertical="center"/>
    </xf>
    <xf numFmtId="9" fontId="24" fillId="0" borderId="16" xfId="280" applyBorder="1">
      <alignment vertical="top"/>
      <protection locked="0"/>
    </xf>
    <xf numFmtId="166" fontId="30" fillId="0" borderId="10" xfId="305" applyFont="1" applyBorder="1" applyAlignment="1">
      <alignment horizontal="center" vertical="center" wrapText="1"/>
    </xf>
    <xf numFmtId="166" fontId="30" fillId="0" borderId="69" xfId="305" applyFont="1" applyBorder="1" applyAlignment="1">
      <alignment horizontal="center" vertical="center" wrapText="1"/>
    </xf>
    <xf numFmtId="166" fontId="30" fillId="0" borderId="68" xfId="305" applyFont="1" applyBorder="1" applyAlignment="1">
      <alignment horizontal="center" vertical="center" wrapText="1"/>
    </xf>
    <xf numFmtId="166" fontId="30" fillId="0" borderId="80" xfId="305" applyFont="1" applyFill="1" applyBorder="1" applyAlignment="1">
      <alignment horizontal="center" vertical="center" wrapText="1"/>
    </xf>
    <xf numFmtId="166" fontId="30" fillId="0" borderId="86" xfId="305" applyFont="1" applyFill="1" applyBorder="1" applyAlignment="1">
      <alignment horizontal="center" vertical="center" wrapText="1"/>
    </xf>
    <xf numFmtId="0" fontId="0" fillId="0" borderId="24" xfId="0" pivotButton="1" applyBorder="1">
      <alignment vertical="center"/>
    </xf>
    <xf numFmtId="0" fontId="0" fillId="0" borderId="16" xfId="0" applyBorder="1">
      <alignment vertical="center"/>
    </xf>
    <xf numFmtId="1" fontId="0" fillId="0" borderId="16" xfId="0" applyNumberFormat="1" applyBorder="1" applyAlignment="1">
      <alignment horizontal="center" vertical="center"/>
    </xf>
    <xf numFmtId="9" fontId="0" fillId="0" borderId="16" xfId="0" applyNumberFormat="1" applyBorder="1" applyAlignment="1">
      <alignment horizontal="center" vertical="center"/>
    </xf>
    <xf numFmtId="10" fontId="0" fillId="0" borderId="16" xfId="0" applyNumberFormat="1" applyBorder="1" applyAlignment="1">
      <alignment horizontal="center" vertical="center"/>
    </xf>
    <xf numFmtId="2" fontId="0" fillId="0" borderId="16" xfId="0" applyNumberFormat="1" applyBorder="1" applyAlignment="1">
      <alignment horizontal="center" vertical="center"/>
    </xf>
    <xf numFmtId="0" fontId="0" fillId="0" borderId="16" xfId="0" applyNumberFormat="1" applyBorder="1" applyAlignment="1">
      <alignment horizontal="center" vertical="center"/>
    </xf>
    <xf numFmtId="2" fontId="0" fillId="0" borderId="16" xfId="0" applyNumberFormat="1" applyBorder="1" applyAlignment="1">
      <alignment horizontal="left" vertical="center" wrapText="1"/>
    </xf>
    <xf numFmtId="0" fontId="23" fillId="53" borderId="26" xfId="0" applyFont="1" applyFill="1" applyBorder="1">
      <alignment vertical="center"/>
    </xf>
    <xf numFmtId="0" fontId="22" fillId="53" borderId="1" xfId="280" applyNumberFormat="1" applyFont="1" applyFill="1" applyBorder="1" applyAlignment="1" applyProtection="1">
      <alignment horizontal="center" vertical="center"/>
    </xf>
    <xf numFmtId="0" fontId="22" fillId="53" borderId="2" xfId="1" applyNumberFormat="1" applyFont="1" applyFill="1" applyBorder="1" applyAlignment="1" applyProtection="1">
      <alignment horizontal="center" vertical="center"/>
    </xf>
    <xf numFmtId="0" fontId="22" fillId="53" borderId="3" xfId="1" applyNumberFormat="1" applyFont="1" applyFill="1" applyBorder="1" applyAlignment="1" applyProtection="1">
      <alignment horizontal="center" vertical="center"/>
    </xf>
    <xf numFmtId="10" fontId="22" fillId="53" borderId="2" xfId="1" applyNumberFormat="1" applyFont="1" applyFill="1" applyBorder="1" applyAlignment="1" applyProtection="1">
      <alignment horizontal="center" vertical="center"/>
    </xf>
    <xf numFmtId="10" fontId="22" fillId="53" borderId="3" xfId="1" applyNumberFormat="1" applyFont="1" applyFill="1" applyBorder="1" applyAlignment="1" applyProtection="1">
      <alignment horizontal="center" vertical="center"/>
    </xf>
    <xf numFmtId="0" fontId="22" fillId="53" borderId="2" xfId="0" applyFont="1" applyFill="1" applyBorder="1" applyAlignment="1">
      <alignment horizontal="center" vertical="center"/>
    </xf>
    <xf numFmtId="9" fontId="116" fillId="53" borderId="2" xfId="1" applyFont="1" applyFill="1" applyBorder="1" applyAlignment="1" applyProtection="1">
      <alignment horizontal="center" vertical="center"/>
    </xf>
    <xf numFmtId="2" fontId="22" fillId="53" borderId="3" xfId="0" applyNumberFormat="1" applyFont="1" applyFill="1" applyBorder="1" applyAlignment="1">
      <alignment horizontal="center" vertical="center"/>
    </xf>
    <xf numFmtId="0" fontId="23" fillId="53" borderId="25" xfId="0" applyFont="1" applyFill="1" applyBorder="1">
      <alignment vertical="center"/>
    </xf>
    <xf numFmtId="0" fontId="22" fillId="53" borderId="4" xfId="280" applyNumberFormat="1" applyFont="1" applyFill="1" applyBorder="1" applyAlignment="1" applyProtection="1">
      <alignment horizontal="center" vertical="center"/>
    </xf>
    <xf numFmtId="0" fontId="22" fillId="53" borderId="0" xfId="1" applyNumberFormat="1" applyFont="1" applyFill="1" applyBorder="1" applyAlignment="1" applyProtection="1">
      <alignment horizontal="center" vertical="center"/>
    </xf>
    <xf numFmtId="0" fontId="22" fillId="53" borderId="5" xfId="1" applyNumberFormat="1" applyFont="1" applyFill="1" applyBorder="1" applyAlignment="1" applyProtection="1">
      <alignment horizontal="center" vertical="center"/>
    </xf>
    <xf numFmtId="10" fontId="22" fillId="53" borderId="0" xfId="1" applyNumberFormat="1" applyFont="1" applyFill="1" applyBorder="1" applyAlignment="1" applyProtection="1">
      <alignment horizontal="center" vertical="center"/>
    </xf>
    <xf numFmtId="10" fontId="22" fillId="53" borderId="5" xfId="1" applyNumberFormat="1" applyFont="1" applyFill="1" applyBorder="1" applyAlignment="1" applyProtection="1">
      <alignment horizontal="center" vertical="center"/>
    </xf>
    <xf numFmtId="0" fontId="22" fillId="53" borderId="0" xfId="0" applyFont="1" applyFill="1" applyBorder="1" applyAlignment="1">
      <alignment horizontal="center" vertical="center"/>
    </xf>
    <xf numFmtId="9" fontId="116" fillId="53" borderId="0" xfId="1" applyFont="1" applyFill="1" applyBorder="1" applyAlignment="1" applyProtection="1">
      <alignment horizontal="center" vertical="center"/>
    </xf>
    <xf numFmtId="2" fontId="22" fillId="53" borderId="5" xfId="0" applyNumberFormat="1" applyFont="1" applyFill="1" applyBorder="1" applyAlignment="1">
      <alignment horizontal="center" vertical="center"/>
    </xf>
    <xf numFmtId="0" fontId="23" fillId="53" borderId="27" xfId="0" applyFont="1" applyFill="1" applyBorder="1">
      <alignment vertical="center"/>
    </xf>
    <xf numFmtId="0" fontId="22" fillId="53" borderId="9" xfId="280" applyNumberFormat="1" applyFont="1" applyFill="1" applyBorder="1" applyAlignment="1" applyProtection="1">
      <alignment horizontal="center" vertical="center"/>
    </xf>
    <xf numFmtId="0" fontId="22" fillId="53" borderId="11" xfId="1" applyNumberFormat="1" applyFont="1" applyFill="1" applyBorder="1" applyAlignment="1" applyProtection="1">
      <alignment horizontal="center" vertical="center"/>
    </xf>
    <xf numFmtId="0" fontId="22" fillId="53" borderId="12" xfId="1" applyNumberFormat="1" applyFont="1" applyFill="1" applyBorder="1" applyAlignment="1" applyProtection="1">
      <alignment horizontal="center" vertical="center"/>
    </xf>
    <xf numFmtId="0" fontId="22" fillId="53" borderId="11" xfId="0" applyFont="1" applyFill="1" applyBorder="1" applyAlignment="1">
      <alignment horizontal="center" vertical="center"/>
    </xf>
    <xf numFmtId="9" fontId="116" fillId="53" borderId="11" xfId="1" applyFont="1" applyFill="1" applyBorder="1" applyAlignment="1" applyProtection="1">
      <alignment horizontal="center" vertical="center"/>
    </xf>
    <xf numFmtId="2" fontId="22" fillId="53" borderId="12" xfId="0" applyNumberFormat="1" applyFont="1" applyFill="1" applyBorder="1" applyAlignment="1">
      <alignment horizontal="center" vertical="center"/>
    </xf>
    <xf numFmtId="0" fontId="0" fillId="0" borderId="16" xfId="0" applyBorder="1" applyAlignment="1">
      <alignment horizontal="center" vertical="center"/>
    </xf>
    <xf numFmtId="0" fontId="24" fillId="0" borderId="56" xfId="4" applyFont="1" applyBorder="1" applyAlignment="1" applyProtection="1">
      <alignment horizontal="center" vertical="center"/>
    </xf>
    <xf numFmtId="0" fontId="24" fillId="0" borderId="95" xfId="4" applyFont="1" applyBorder="1" applyAlignment="1" applyProtection="1">
      <alignment horizontal="center" vertical="center"/>
    </xf>
    <xf numFmtId="0" fontId="24" fillId="0" borderId="100" xfId="4" applyFont="1" applyBorder="1" applyAlignment="1" applyProtection="1">
      <alignment horizontal="center" vertical="center"/>
    </xf>
    <xf numFmtId="0" fontId="25" fillId="0" borderId="16" xfId="4" applyFont="1" applyBorder="1" applyAlignment="1" applyProtection="1">
      <alignment horizontal="left"/>
    </xf>
    <xf numFmtId="0" fontId="24" fillId="0" borderId="14" xfId="4" applyFont="1" applyBorder="1" applyAlignment="1" applyProtection="1">
      <alignment horizontal="left"/>
    </xf>
    <xf numFmtId="0" fontId="24" fillId="0" borderId="16" xfId="4" applyFont="1" applyBorder="1" applyAlignment="1" applyProtection="1">
      <alignment horizontal="left"/>
    </xf>
    <xf numFmtId="0" fontId="24" fillId="0" borderId="56" xfId="4" applyFont="1" applyBorder="1" applyAlignment="1" applyProtection="1">
      <alignment horizontal="left"/>
    </xf>
    <xf numFmtId="0" fontId="24" fillId="0" borderId="95" xfId="4" applyFont="1" applyBorder="1" applyAlignment="1" applyProtection="1">
      <alignment horizontal="left"/>
    </xf>
    <xf numFmtId="0" fontId="23" fillId="35" borderId="27" xfId="0" applyFont="1" applyFill="1" applyBorder="1" applyAlignment="1">
      <alignment horizontal="center" vertical="center"/>
    </xf>
    <xf numFmtId="0" fontId="99" fillId="0" borderId="0" xfId="0" applyNumberFormat="1" applyFont="1" applyFill="1" applyAlignment="1">
      <alignment horizontal="left" vertical="center"/>
    </xf>
    <xf numFmtId="0" fontId="99" fillId="0" borderId="75" xfId="0" applyNumberFormat="1" applyFont="1" applyFill="1" applyBorder="1" applyAlignment="1">
      <alignment horizontal="left" vertical="center"/>
    </xf>
    <xf numFmtId="0" fontId="101" fillId="0" borderId="16" xfId="0" quotePrefix="1" applyFont="1" applyFill="1" applyBorder="1" applyAlignment="1">
      <alignment horizontal="left" vertical="top"/>
    </xf>
    <xf numFmtId="0" fontId="31" fillId="0" borderId="0" xfId="0" applyNumberFormat="1" applyFont="1" applyFill="1" applyAlignment="1">
      <alignment horizontal="left" vertical="center"/>
    </xf>
    <xf numFmtId="0" fontId="31" fillId="0" borderId="112" xfId="325" applyFont="1" applyBorder="1">
      <alignment vertical="center"/>
    </xf>
    <xf numFmtId="187" fontId="99" fillId="0" borderId="113" xfId="0" applyNumberFormat="1" applyFont="1" applyFill="1" applyBorder="1" applyAlignment="1">
      <alignment horizontal="left" vertical="center"/>
    </xf>
    <xf numFmtId="0" fontId="121" fillId="0" borderId="16" xfId="329" applyFont="1" applyBorder="1" applyAlignment="1">
      <alignment horizontal="left" vertical="center"/>
    </xf>
    <xf numFmtId="0" fontId="121" fillId="0" borderId="16" xfId="329" applyFont="1" applyBorder="1" applyAlignment="1">
      <alignment horizontal="center" vertical="center"/>
    </xf>
    <xf numFmtId="0" fontId="121" fillId="0" borderId="16" xfId="329" applyFont="1" applyBorder="1" applyAlignment="1">
      <alignment horizontal="center"/>
    </xf>
    <xf numFmtId="0" fontId="121" fillId="46" borderId="16" xfId="330" applyFont="1" applyFill="1" applyBorder="1" applyAlignment="1">
      <alignment horizontal="left" vertical="center"/>
    </xf>
    <xf numFmtId="0" fontId="121" fillId="42" borderId="16" xfId="330" applyFont="1" applyFill="1" applyBorder="1" applyAlignment="1">
      <alignment horizontal="center" vertical="center"/>
    </xf>
    <xf numFmtId="0" fontId="121" fillId="42" borderId="16" xfId="330" applyFont="1" applyFill="1" applyBorder="1" applyAlignment="1">
      <alignment horizontal="left" vertical="center"/>
    </xf>
    <xf numFmtId="189" fontId="121" fillId="42" borderId="16" xfId="331" applyNumberFormat="1" applyFont="1" applyFill="1" applyBorder="1" applyAlignment="1">
      <alignment horizontal="center" vertical="center"/>
    </xf>
    <xf numFmtId="189" fontId="121" fillId="42" borderId="16" xfId="331" applyNumberFormat="1" applyFont="1" applyFill="1" applyBorder="1" applyAlignment="1">
      <alignment horizontal="center" vertical="center" wrapText="1"/>
    </xf>
    <xf numFmtId="0" fontId="23" fillId="35" borderId="16" xfId="0" applyFont="1" applyFill="1" applyBorder="1" applyAlignment="1">
      <alignment horizontal="center" vertical="center" wrapText="1"/>
    </xf>
    <xf numFmtId="0" fontId="121" fillId="46" borderId="16" xfId="330" applyFont="1" applyFill="1" applyBorder="1" applyAlignment="1">
      <alignment horizontal="center" vertical="center"/>
    </xf>
    <xf numFmtId="2" fontId="121" fillId="0" borderId="16" xfId="329" applyNumberFormat="1" applyFont="1" applyBorder="1" applyAlignment="1">
      <alignment horizontal="center"/>
    </xf>
    <xf numFmtId="1" fontId="121" fillId="0" borderId="16" xfId="329" applyNumberFormat="1" applyFont="1" applyBorder="1" applyAlignment="1">
      <alignment horizontal="center"/>
    </xf>
    <xf numFmtId="185" fontId="146" fillId="46" borderId="16" xfId="1" applyNumberFormat="1" applyFont="1" applyFill="1" applyBorder="1" applyAlignment="1">
      <alignment horizontal="center" vertical="center"/>
      <protection locked="0"/>
    </xf>
    <xf numFmtId="0" fontId="124" fillId="51" borderId="14" xfId="330" applyFont="1" applyFill="1" applyBorder="1" applyAlignment="1">
      <alignment horizontal="center" vertical="center"/>
    </xf>
    <xf numFmtId="0" fontId="97" fillId="0" borderId="77" xfId="0" applyFont="1" applyBorder="1" applyAlignment="1">
      <alignment horizontal="left" vertical="center"/>
    </xf>
    <xf numFmtId="0" fontId="99" fillId="36" borderId="0" xfId="0" applyFont="1" applyFill="1" applyAlignment="1">
      <alignment horizontal="center" vertical="center"/>
    </xf>
    <xf numFmtId="0" fontId="0" fillId="4" borderId="16" xfId="0" applyFill="1" applyBorder="1" applyAlignment="1">
      <alignment horizontal="center" vertical="center"/>
    </xf>
    <xf numFmtId="188" fontId="98" fillId="0" borderId="16" xfId="305" applyNumberFormat="1" applyFont="1" applyBorder="1" applyAlignment="1">
      <alignment horizontal="center" vertical="center"/>
    </xf>
    <xf numFmtId="16" fontId="0" fillId="0" borderId="30" xfId="0" applyNumberFormat="1" applyBorder="1" applyAlignment="1">
      <alignment horizontal="center" vertical="center"/>
    </xf>
    <xf numFmtId="1" fontId="0" fillId="0" borderId="29" xfId="0" applyNumberFormat="1" applyBorder="1" applyAlignment="1">
      <alignment horizontal="center" vertical="center"/>
    </xf>
    <xf numFmtId="167" fontId="0" fillId="0" borderId="29" xfId="0" applyNumberFormat="1" applyBorder="1" applyAlignment="1">
      <alignment horizontal="center" vertical="center"/>
    </xf>
    <xf numFmtId="0" fontId="147" fillId="0" borderId="0" xfId="0" applyFont="1" applyFill="1" applyBorder="1" applyAlignment="1">
      <alignment vertical="top" wrapText="1"/>
    </xf>
    <xf numFmtId="0" fontId="0" fillId="0" borderId="10" xfId="0" applyBorder="1">
      <alignment vertical="center"/>
    </xf>
    <xf numFmtId="9" fontId="0" fillId="0" borderId="30" xfId="0" applyNumberFormat="1" applyBorder="1" applyAlignment="1">
      <alignment horizontal="center" vertical="center"/>
    </xf>
    <xf numFmtId="2" fontId="30" fillId="0" borderId="16" xfId="0" applyNumberFormat="1" applyFont="1" applyBorder="1" applyAlignment="1">
      <alignment horizontal="left" vertical="center" wrapText="1"/>
    </xf>
    <xf numFmtId="0" fontId="0" fillId="0" borderId="18" xfId="0" pivotButton="1" applyBorder="1" applyAlignment="1">
      <alignment horizontal="center" vertical="center"/>
    </xf>
    <xf numFmtId="0" fontId="0" fillId="0" borderId="18" xfId="0" applyBorder="1" applyAlignment="1">
      <alignment horizontal="center" vertical="center"/>
    </xf>
    <xf numFmtId="0" fontId="0" fillId="0" borderId="24" xfId="0" applyBorder="1">
      <alignment vertical="center"/>
    </xf>
    <xf numFmtId="0" fontId="0" fillId="4" borderId="16" xfId="0" applyFill="1" applyBorder="1" applyAlignment="1">
      <alignment horizontal="center" vertical="center"/>
    </xf>
    <xf numFmtId="0" fontId="0" fillId="0" borderId="16" xfId="0" applyBorder="1" applyAlignment="1">
      <alignment horizontal="center" vertical="center"/>
    </xf>
    <xf numFmtId="167" fontId="98" fillId="0" borderId="16" xfId="0" applyNumberFormat="1" applyFont="1" applyFill="1" applyBorder="1" applyAlignment="1">
      <alignment horizontal="center" vertical="center"/>
    </xf>
    <xf numFmtId="0" fontId="30" fillId="2" borderId="16" xfId="0" applyFont="1" applyFill="1" applyBorder="1" applyAlignment="1">
      <alignment horizontal="center" vertical="center"/>
    </xf>
    <xf numFmtId="1" fontId="0" fillId="0" borderId="24" xfId="0" applyNumberFormat="1" applyBorder="1" applyAlignment="1">
      <alignment horizontal="center" vertical="center"/>
    </xf>
    <xf numFmtId="3" fontId="101" fillId="0" borderId="16" xfId="0" quotePrefix="1" applyNumberFormat="1" applyFont="1" applyFill="1" applyBorder="1" applyAlignment="1">
      <alignment horizontal="left" vertical="top"/>
    </xf>
    <xf numFmtId="1" fontId="0" fillId="0" borderId="18" xfId="0" applyNumberFormat="1" applyBorder="1" applyAlignment="1">
      <alignment horizontal="center" vertical="center"/>
    </xf>
    <xf numFmtId="9" fontId="0" fillId="0" borderId="18" xfId="0" applyNumberFormat="1" applyBorder="1" applyAlignment="1">
      <alignment horizontal="center" vertical="center"/>
    </xf>
    <xf numFmtId="0" fontId="0" fillId="0" borderId="18" xfId="0" applyNumberFormat="1" applyBorder="1" applyAlignment="1">
      <alignment horizontal="center" vertical="center"/>
    </xf>
    <xf numFmtId="10" fontId="0" fillId="0" borderId="18" xfId="0" applyNumberFormat="1" applyBorder="1" applyAlignment="1">
      <alignment horizontal="center" vertical="center"/>
    </xf>
    <xf numFmtId="2" fontId="0" fillId="0" borderId="18" xfId="0" applyNumberFormat="1" applyBorder="1" applyAlignment="1">
      <alignment horizontal="center" vertical="center"/>
    </xf>
    <xf numFmtId="2" fontId="31" fillId="0" borderId="16" xfId="0" applyNumberFormat="1" applyFont="1" applyBorder="1" applyAlignment="1">
      <alignment horizontal="left" vertical="center" wrapText="1"/>
    </xf>
    <xf numFmtId="2" fontId="96" fillId="39" borderId="26" xfId="0" applyNumberFormat="1" applyFont="1" applyFill="1" applyBorder="1" applyAlignment="1">
      <alignment vertical="center" wrapText="1"/>
    </xf>
    <xf numFmtId="0" fontId="24" fillId="0" borderId="0" xfId="0" applyFont="1">
      <alignment vertical="center"/>
    </xf>
    <xf numFmtId="0" fontId="0" fillId="0" borderId="20" xfId="0" applyBorder="1" applyAlignment="1">
      <alignment horizontal="center" vertical="center"/>
    </xf>
    <xf numFmtId="9" fontId="0" fillId="0" borderId="78" xfId="0" applyNumberFormat="1" applyBorder="1" applyAlignment="1">
      <alignment horizontal="center" vertical="center"/>
    </xf>
    <xf numFmtId="9" fontId="0" fillId="0" borderId="20" xfId="0" applyNumberFormat="1" applyBorder="1" applyAlignment="1">
      <alignment horizontal="center" vertical="center"/>
    </xf>
    <xf numFmtId="0" fontId="0" fillId="0" borderId="88" xfId="0" applyBorder="1">
      <alignment vertical="center"/>
    </xf>
    <xf numFmtId="2" fontId="31" fillId="0" borderId="26" xfId="0" applyNumberFormat="1" applyFont="1" applyBorder="1" applyAlignment="1">
      <alignment horizontal="center" vertical="center"/>
    </xf>
    <xf numFmtId="1" fontId="0" fillId="0" borderId="17" xfId="0" applyNumberFormat="1" applyBorder="1" applyAlignment="1">
      <alignment horizontal="center" vertical="center"/>
    </xf>
    <xf numFmtId="1" fontId="0" fillId="0" borderId="79" xfId="0" applyNumberFormat="1" applyBorder="1" applyAlignment="1">
      <alignment horizontal="center" vertical="center"/>
    </xf>
    <xf numFmtId="2" fontId="0" fillId="0" borderId="88" xfId="0" pivotButton="1" applyNumberFormat="1" applyBorder="1" applyAlignment="1">
      <alignment horizontal="center" vertical="center" wrapText="1"/>
    </xf>
    <xf numFmtId="0" fontId="0" fillId="0" borderId="71" xfId="0" applyBorder="1">
      <alignment vertical="center"/>
    </xf>
    <xf numFmtId="2" fontId="0" fillId="0" borderId="24" xfId="0" applyNumberFormat="1" applyBorder="1" applyAlignment="1">
      <alignment horizontal="left" vertical="center" wrapText="1"/>
    </xf>
    <xf numFmtId="2" fontId="0" fillId="0" borderId="29" xfId="0" applyNumberFormat="1" applyBorder="1" applyAlignment="1">
      <alignment horizontal="center" vertical="center" wrapText="1"/>
    </xf>
    <xf numFmtId="2" fontId="0" fillId="0" borderId="29" xfId="0" applyNumberFormat="1" applyBorder="1" applyAlignment="1">
      <alignment horizontal="center" wrapText="1"/>
    </xf>
    <xf numFmtId="2" fontId="0" fillId="0" borderId="30" xfId="0" applyNumberFormat="1" applyBorder="1" applyAlignment="1">
      <alignment horizontal="center" vertical="center" wrapText="1"/>
    </xf>
    <xf numFmtId="2" fontId="30" fillId="0" borderId="71" xfId="0" applyNumberFormat="1" applyFont="1" applyBorder="1" applyAlignment="1">
      <alignment horizontal="left" vertical="center" wrapText="1"/>
    </xf>
    <xf numFmtId="0" fontId="99" fillId="0" borderId="0" xfId="0" applyFont="1" applyAlignment="1">
      <alignment horizontal="center" vertical="center"/>
    </xf>
    <xf numFmtId="0" fontId="0" fillId="0" borderId="71" xfId="0" applyBorder="1" applyAlignment="1">
      <alignment vertical="center"/>
    </xf>
    <xf numFmtId="0" fontId="31" fillId="0" borderId="0" xfId="0" applyFont="1" applyAlignment="1">
      <alignment vertical="center"/>
    </xf>
    <xf numFmtId="16" fontId="31" fillId="4" borderId="16" xfId="0" applyNumberFormat="1" applyFont="1" applyFill="1" applyBorder="1" applyAlignment="1">
      <alignment horizontal="center" vertical="center"/>
    </xf>
    <xf numFmtId="9" fontId="148" fillId="0" borderId="29" xfId="0" applyNumberFormat="1" applyFont="1" applyFill="1" applyBorder="1" applyAlignment="1" applyProtection="1">
      <alignment horizontal="center" vertical="center"/>
      <protection locked="0"/>
    </xf>
    <xf numFmtId="0" fontId="0" fillId="4" borderId="16" xfId="0" applyFill="1" applyBorder="1" applyAlignment="1">
      <alignment horizontal="center" vertical="center"/>
    </xf>
    <xf numFmtId="0" fontId="0" fillId="0" borderId="16" xfId="0" applyBorder="1" applyAlignment="1">
      <alignment horizontal="center" vertical="center"/>
    </xf>
    <xf numFmtId="0" fontId="0" fillId="2" borderId="16" xfId="0" applyFill="1" applyBorder="1" applyAlignment="1">
      <alignment horizontal="center" vertical="center"/>
    </xf>
    <xf numFmtId="0" fontId="0" fillId="0" borderId="16" xfId="0" applyFill="1" applyBorder="1" applyAlignment="1">
      <alignment horizontal="center" vertical="center"/>
    </xf>
    <xf numFmtId="0" fontId="0" fillId="4" borderId="16" xfId="0" applyFill="1" applyBorder="1" applyAlignment="1">
      <alignment horizontal="center" vertical="center"/>
    </xf>
    <xf numFmtId="0" fontId="0" fillId="0" borderId="16" xfId="0" applyFill="1" applyBorder="1" applyAlignment="1">
      <alignment vertical="center" wrapText="1"/>
    </xf>
    <xf numFmtId="0" fontId="0" fillId="0" borderId="16" xfId="0" applyFill="1" applyBorder="1">
      <alignment vertical="center"/>
    </xf>
    <xf numFmtId="0" fontId="0" fillId="2" borderId="16" xfId="0" applyFill="1" applyBorder="1" applyAlignment="1">
      <alignment horizontal="center" vertical="center" wrapText="1"/>
    </xf>
    <xf numFmtId="0" fontId="0" fillId="3" borderId="16" xfId="0" applyFill="1" applyBorder="1" applyAlignment="1">
      <alignment horizontal="center" vertical="center" wrapText="1"/>
    </xf>
    <xf numFmtId="184" fontId="0" fillId="0" borderId="16" xfId="274" applyNumberFormat="1" applyFont="1" applyFill="1" applyBorder="1" applyAlignment="1">
      <alignment vertical="center"/>
    </xf>
    <xf numFmtId="0" fontId="0" fillId="0" borderId="16" xfId="0" applyFont="1" applyFill="1" applyBorder="1" applyAlignment="1">
      <alignment horizontal="center" vertical="center"/>
    </xf>
    <xf numFmtId="10" fontId="0" fillId="2" borderId="16" xfId="0" applyNumberFormat="1" applyFill="1" applyBorder="1" applyAlignment="1">
      <alignment horizontal="center" vertical="center"/>
    </xf>
    <xf numFmtId="10" fontId="0" fillId="3" borderId="16" xfId="0" applyNumberFormat="1" applyFill="1" applyBorder="1" applyAlignment="1">
      <alignment horizontal="center" vertical="center"/>
    </xf>
    <xf numFmtId="0" fontId="23" fillId="53" borderId="0" xfId="0" applyFont="1" applyFill="1" applyBorder="1">
      <alignment vertical="center"/>
    </xf>
    <xf numFmtId="0" fontId="23" fillId="40" borderId="26" xfId="280" applyNumberFormat="1" applyFont="1" applyFill="1" applyBorder="1" applyAlignment="1" applyProtection="1">
      <alignment horizontal="left" vertical="center"/>
    </xf>
    <xf numFmtId="0" fontId="23" fillId="40" borderId="25" xfId="280" applyNumberFormat="1" applyFont="1" applyFill="1" applyBorder="1" applyAlignment="1" applyProtection="1">
      <alignment horizontal="left" vertical="center"/>
    </xf>
    <xf numFmtId="0" fontId="23" fillId="40" borderId="27" xfId="280" applyNumberFormat="1" applyFont="1" applyFill="1" applyBorder="1" applyAlignment="1" applyProtection="1">
      <alignment horizontal="left" vertical="center"/>
    </xf>
    <xf numFmtId="0" fontId="23" fillId="35" borderId="5" xfId="0" applyFont="1" applyFill="1" applyBorder="1">
      <alignment vertical="center"/>
    </xf>
    <xf numFmtId="1" fontId="27" fillId="7" borderId="6" xfId="0" applyNumberFormat="1" applyFont="1" applyFill="1" applyBorder="1" applyAlignment="1">
      <alignment horizontal="center" vertical="center"/>
    </xf>
    <xf numFmtId="0" fontId="29" fillId="7" borderId="6" xfId="1" applyNumberFormat="1" applyFont="1" applyFill="1" applyBorder="1" applyAlignment="1" applyProtection="1">
      <alignment horizontal="center" vertical="center"/>
    </xf>
    <xf numFmtId="9" fontId="103" fillId="7" borderId="6" xfId="1" applyFont="1" applyFill="1" applyBorder="1" applyAlignment="1">
      <alignment horizontal="center" vertical="center"/>
      <protection locked="0"/>
    </xf>
    <xf numFmtId="190" fontId="28" fillId="7" borderId="6" xfId="1" applyNumberFormat="1" applyFill="1" applyBorder="1" applyAlignment="1">
      <alignment horizontal="center" vertical="center"/>
      <protection locked="0"/>
    </xf>
    <xf numFmtId="9" fontId="28" fillId="44" borderId="2" xfId="1" applyFill="1" applyBorder="1" applyAlignment="1">
      <alignment horizontal="center" vertical="top"/>
      <protection locked="0"/>
    </xf>
    <xf numFmtId="9" fontId="28" fillId="44" borderId="0" xfId="1" applyFill="1" applyBorder="1" applyAlignment="1">
      <alignment horizontal="center" vertical="top"/>
      <protection locked="0"/>
    </xf>
    <xf numFmtId="9" fontId="28" fillId="44" borderId="11" xfId="1" applyFill="1" applyBorder="1" applyAlignment="1">
      <alignment horizontal="center" vertical="top"/>
      <protection locked="0"/>
    </xf>
    <xf numFmtId="1" fontId="27" fillId="7" borderId="12" xfId="0" applyNumberFormat="1" applyFont="1" applyFill="1" applyBorder="1" applyAlignment="1">
      <alignment horizontal="center" vertical="center"/>
    </xf>
    <xf numFmtId="0" fontId="23" fillId="7" borderId="9" xfId="0" applyFont="1" applyFill="1" applyBorder="1">
      <alignment vertical="center"/>
    </xf>
    <xf numFmtId="10" fontId="27" fillId="7" borderId="11" xfId="1" applyNumberFormat="1" applyFont="1" applyFill="1" applyBorder="1" applyAlignment="1" applyProtection="1">
      <alignment horizontal="center" vertical="center"/>
    </xf>
    <xf numFmtId="10" fontId="27" fillId="7" borderId="6" xfId="1" applyNumberFormat="1" applyFont="1" applyFill="1" applyBorder="1" applyAlignment="1" applyProtection="1">
      <alignment horizontal="center" vertical="center"/>
    </xf>
    <xf numFmtId="0" fontId="22" fillId="40" borderId="6" xfId="0" applyFont="1" applyFill="1" applyBorder="1" applyAlignment="1">
      <alignment horizontal="center" vertical="center"/>
    </xf>
    <xf numFmtId="10" fontId="22" fillId="40" borderId="9" xfId="1" applyNumberFormat="1" applyFont="1" applyFill="1" applyBorder="1" applyAlignment="1" applyProtection="1">
      <alignment horizontal="center" vertical="center"/>
    </xf>
    <xf numFmtId="0" fontId="23" fillId="35" borderId="9" xfId="0" applyFont="1" applyFill="1" applyBorder="1" applyAlignment="1">
      <alignment horizontal="center" vertical="center"/>
    </xf>
    <xf numFmtId="0" fontId="23" fillId="35" borderId="12" xfId="0" applyFont="1" applyFill="1" applyBorder="1" applyAlignment="1">
      <alignment horizontal="center" vertical="center"/>
    </xf>
    <xf numFmtId="0" fontId="22" fillId="5" borderId="0" xfId="0" applyFont="1" applyFill="1" applyBorder="1" applyAlignment="1">
      <alignment horizontal="center" vertical="center"/>
    </xf>
    <xf numFmtId="10" fontId="22" fillId="5" borderId="1" xfId="1" applyNumberFormat="1" applyFont="1" applyFill="1" applyBorder="1" applyAlignment="1" applyProtection="1">
      <alignment horizontal="center" vertical="center"/>
    </xf>
    <xf numFmtId="10" fontId="22" fillId="5" borderId="9" xfId="1" applyNumberFormat="1" applyFont="1" applyFill="1" applyBorder="1" applyAlignment="1" applyProtection="1">
      <alignment horizontal="center" vertical="center"/>
    </xf>
    <xf numFmtId="0" fontId="31" fillId="0" borderId="16" xfId="0" applyFont="1" applyFill="1" applyBorder="1">
      <alignment vertical="center"/>
    </xf>
    <xf numFmtId="184" fontId="31" fillId="0" borderId="16" xfId="274" applyNumberFormat="1" applyFont="1" applyFill="1" applyBorder="1" applyAlignment="1">
      <alignment vertical="center"/>
    </xf>
    <xf numFmtId="189" fontId="31" fillId="0" borderId="16" xfId="274" applyNumberFormat="1" applyFont="1" applyFill="1" applyBorder="1" applyAlignment="1">
      <alignment vertical="center"/>
    </xf>
    <xf numFmtId="0" fontId="31" fillId="0" borderId="16" xfId="0" applyFont="1" applyFill="1" applyBorder="1" applyAlignment="1">
      <alignment horizontal="right" vertical="center"/>
    </xf>
    <xf numFmtId="10" fontId="31" fillId="2" borderId="16" xfId="0" applyNumberFormat="1" applyFont="1" applyFill="1" applyBorder="1" applyAlignment="1">
      <alignment horizontal="center" vertical="center"/>
    </xf>
    <xf numFmtId="10" fontId="31" fillId="3" borderId="16" xfId="0" applyNumberFormat="1" applyFont="1" applyFill="1" applyBorder="1" applyAlignment="1">
      <alignment horizontal="center" vertical="center"/>
    </xf>
    <xf numFmtId="0" fontId="30" fillId="0" borderId="3" xfId="0" applyFont="1" applyFill="1" applyBorder="1" applyAlignment="1">
      <alignment horizontal="center" vertical="center"/>
    </xf>
    <xf numFmtId="0" fontId="30" fillId="0" borderId="3" xfId="0" applyFont="1" applyFill="1" applyBorder="1" applyAlignment="1">
      <alignment horizontal="center" vertical="center" wrapText="1"/>
    </xf>
    <xf numFmtId="1" fontId="24" fillId="0" borderId="3" xfId="280" applyNumberFormat="1" applyFill="1" applyBorder="1" applyAlignment="1" applyProtection="1">
      <alignment horizontal="center" vertical="top"/>
    </xf>
    <xf numFmtId="1" fontId="24" fillId="0" borderId="5" xfId="280" applyNumberFormat="1" applyFill="1" applyBorder="1" applyAlignment="1" applyProtection="1">
      <alignment horizontal="center" vertical="top"/>
    </xf>
    <xf numFmtId="0" fontId="30" fillId="0" borderId="26" xfId="0" applyFont="1" applyFill="1" applyBorder="1" applyAlignment="1">
      <alignment horizontal="left" vertical="center"/>
    </xf>
    <xf numFmtId="0" fontId="30" fillId="0" borderId="27" xfId="0" applyFont="1" applyFill="1" applyBorder="1" applyAlignment="1">
      <alignment horizontal="left" vertical="center"/>
    </xf>
    <xf numFmtId="10" fontId="24" fillId="0" borderId="26" xfId="280" applyNumberFormat="1" applyFill="1" applyBorder="1" applyAlignment="1" applyProtection="1">
      <alignment horizontal="center" vertical="top"/>
    </xf>
    <xf numFmtId="10" fontId="24" fillId="0" borderId="27" xfId="280" applyNumberFormat="1" applyFill="1" applyBorder="1" applyAlignment="1" applyProtection="1">
      <alignment horizontal="center" vertical="top"/>
    </xf>
    <xf numFmtId="1" fontId="24" fillId="0" borderId="26" xfId="280" applyNumberFormat="1" applyFill="1" applyBorder="1" applyAlignment="1" applyProtection="1">
      <alignment horizontal="center" vertical="top"/>
    </xf>
    <xf numFmtId="1" fontId="24" fillId="0" borderId="27" xfId="280" applyNumberFormat="1" applyFill="1" applyBorder="1" applyAlignment="1" applyProtection="1">
      <alignment horizontal="center" vertical="top"/>
    </xf>
    <xf numFmtId="1" fontId="24" fillId="0" borderId="12" xfId="280" applyNumberFormat="1" applyFill="1" applyBorder="1" applyAlignment="1" applyProtection="1">
      <alignment horizontal="center" vertical="top"/>
    </xf>
    <xf numFmtId="10" fontId="103" fillId="51" borderId="16" xfId="0" applyNumberFormat="1" applyFont="1" applyFill="1" applyBorder="1" applyAlignment="1">
      <alignment horizontal="center" vertical="center"/>
    </xf>
    <xf numFmtId="10" fontId="96" fillId="51" borderId="16" xfId="0" applyNumberFormat="1" applyFont="1" applyFill="1" applyBorder="1" applyAlignment="1">
      <alignment horizontal="center" vertical="center"/>
    </xf>
    <xf numFmtId="0" fontId="134" fillId="4" borderId="10" xfId="0" applyFont="1" applyFill="1" applyBorder="1" applyAlignment="1">
      <alignment horizontal="left" vertical="center" wrapText="1"/>
    </xf>
    <xf numFmtId="0" fontId="30" fillId="0" borderId="0" xfId="0" applyFont="1" applyAlignment="1">
      <alignment vertical="center" wrapText="1"/>
    </xf>
    <xf numFmtId="0" fontId="118" fillId="0" borderId="7" xfId="325" applyFont="1" applyBorder="1" applyAlignment="1">
      <alignment vertical="center"/>
    </xf>
    <xf numFmtId="0" fontId="118" fillId="0" borderId="6" xfId="325" applyFont="1" applyBorder="1" applyAlignment="1">
      <alignment vertical="center"/>
    </xf>
    <xf numFmtId="0" fontId="118" fillId="0" borderId="0" xfId="325" applyFont="1" applyBorder="1" applyAlignment="1">
      <alignment vertical="center"/>
    </xf>
    <xf numFmtId="10" fontId="0" fillId="0" borderId="0" xfId="0" applyNumberFormat="1" applyAlignment="1">
      <alignment horizontal="center" vertical="center"/>
    </xf>
    <xf numFmtId="2" fontId="0" fillId="0" borderId="0" xfId="0" applyNumberFormat="1" applyAlignment="1">
      <alignment horizontal="center" vertical="center"/>
    </xf>
    <xf numFmtId="0" fontId="134" fillId="4" borderId="10" xfId="0" applyFont="1" applyFill="1" applyBorder="1" applyAlignment="1">
      <alignment horizontal="left" vertical="center"/>
    </xf>
    <xf numFmtId="0" fontId="134" fillId="0" borderId="10" xfId="0" quotePrefix="1" applyNumberFormat="1" applyFont="1" applyFill="1" applyBorder="1" applyAlignment="1">
      <alignment horizontal="left" vertical="center" wrapText="1"/>
    </xf>
    <xf numFmtId="2" fontId="30" fillId="0" borderId="16" xfId="0" applyNumberFormat="1" applyFont="1" applyBorder="1" applyAlignment="1">
      <alignment horizontal="left" vertical="center"/>
    </xf>
    <xf numFmtId="2" fontId="0" fillId="0" borderId="16" xfId="0" applyNumberFormat="1" applyBorder="1" applyAlignment="1">
      <alignment horizontal="left" vertical="center"/>
    </xf>
    <xf numFmtId="0" fontId="117" fillId="0" borderId="0" xfId="0" applyFont="1" applyFill="1" applyAlignment="1">
      <alignment vertical="center"/>
    </xf>
    <xf numFmtId="2" fontId="31" fillId="0" borderId="16" xfId="0" applyNumberFormat="1" applyFont="1" applyBorder="1" applyAlignment="1">
      <alignment horizontal="left" vertical="center"/>
    </xf>
    <xf numFmtId="0" fontId="30" fillId="0" borderId="0" xfId="0" applyFont="1" applyAlignment="1">
      <alignment vertical="center"/>
    </xf>
    <xf numFmtId="0" fontId="99" fillId="36" borderId="0" xfId="0" applyFont="1" applyFill="1" applyBorder="1" applyAlignment="1">
      <alignment horizontal="center" vertical="center"/>
    </xf>
    <xf numFmtId="0" fontId="30" fillId="0" borderId="0" xfId="0" applyFont="1" applyFill="1" applyBorder="1" applyAlignment="1">
      <alignment horizontal="center" wrapText="1"/>
    </xf>
    <xf numFmtId="2" fontId="30" fillId="0" borderId="0" xfId="0" applyNumberFormat="1" applyFont="1" applyFill="1" applyBorder="1" applyAlignment="1">
      <alignment horizontal="center" vertical="center"/>
    </xf>
    <xf numFmtId="10" fontId="0" fillId="0" borderId="0" xfId="0" applyNumberFormat="1">
      <alignment vertical="center"/>
    </xf>
    <xf numFmtId="166" fontId="0" fillId="0" borderId="0" xfId="0" applyNumberFormat="1" applyAlignment="1">
      <alignment horizontal="left" vertical="center"/>
    </xf>
    <xf numFmtId="189" fontId="0" fillId="0" borderId="0" xfId="0" applyNumberFormat="1">
      <alignment vertical="center"/>
    </xf>
    <xf numFmtId="0" fontId="0" fillId="0" borderId="0" xfId="0" applyAlignment="1">
      <alignment horizontal="left" vertical="center" indent="1"/>
    </xf>
    <xf numFmtId="187" fontId="0" fillId="0" borderId="0" xfId="0" applyNumberFormat="1">
      <alignment vertical="center"/>
    </xf>
    <xf numFmtId="1" fontId="0" fillId="0" borderId="0" xfId="0" applyNumberFormat="1">
      <alignment vertical="center"/>
    </xf>
    <xf numFmtId="0" fontId="140" fillId="0" borderId="28" xfId="0" applyFont="1" applyBorder="1" applyAlignment="1">
      <alignment horizontal="center" vertical="center"/>
    </xf>
    <xf numFmtId="0" fontId="102" fillId="4" borderId="76" xfId="0" applyFont="1" applyFill="1" applyBorder="1" applyAlignment="1">
      <alignment horizontal="center" vertical="center" wrapText="1"/>
    </xf>
    <xf numFmtId="0" fontId="102" fillId="4" borderId="77" xfId="0" applyFont="1" applyFill="1" applyBorder="1" applyAlignment="1">
      <alignment horizontal="center" vertical="center" wrapText="1"/>
    </xf>
    <xf numFmtId="166" fontId="30" fillId="0" borderId="103" xfId="305" applyFont="1" applyBorder="1" applyAlignment="1">
      <alignment horizontal="center" vertical="center"/>
    </xf>
    <xf numFmtId="166" fontId="30" fillId="0" borderId="75" xfId="305" applyFont="1" applyBorder="1" applyAlignment="1">
      <alignment horizontal="center" vertical="center"/>
    </xf>
    <xf numFmtId="166" fontId="30" fillId="0" borderId="84" xfId="305" applyFont="1" applyBorder="1" applyAlignment="1">
      <alignment horizontal="center" vertical="center"/>
    </xf>
    <xf numFmtId="0" fontId="0" fillId="0" borderId="16" xfId="0" applyFill="1" applyBorder="1" applyAlignment="1">
      <alignment horizontal="center" vertical="center" wrapText="1"/>
    </xf>
    <xf numFmtId="0" fontId="0" fillId="0" borderId="16" xfId="0" applyFill="1" applyBorder="1" applyAlignment="1">
      <alignment horizontal="center" vertical="center"/>
    </xf>
    <xf numFmtId="0" fontId="0" fillId="0" borderId="114" xfId="0" applyFill="1" applyBorder="1" applyAlignment="1">
      <alignment horizontal="center" vertical="center" wrapText="1"/>
    </xf>
    <xf numFmtId="0" fontId="0" fillId="0" borderId="34" xfId="0" applyFill="1" applyBorder="1" applyAlignment="1">
      <alignment horizontal="center" vertical="center" wrapText="1"/>
    </xf>
    <xf numFmtId="0" fontId="0" fillId="0" borderId="14" xfId="0" applyFill="1" applyBorder="1" applyAlignment="1">
      <alignment horizontal="center" vertical="center" wrapText="1"/>
    </xf>
    <xf numFmtId="0" fontId="103" fillId="0" borderId="16" xfId="0" applyFont="1" applyFill="1" applyBorder="1" applyAlignment="1">
      <alignment horizontal="center" vertical="center" wrapText="1"/>
    </xf>
    <xf numFmtId="0" fontId="149" fillId="0" borderId="0" xfId="325" applyFont="1" applyBorder="1" applyAlignment="1">
      <alignment horizontal="center" vertical="center"/>
    </xf>
    <xf numFmtId="0" fontId="143" fillId="0" borderId="0" xfId="325" applyFont="1" applyBorder="1" applyAlignment="1">
      <alignment horizontal="center" vertical="center"/>
    </xf>
    <xf numFmtId="0" fontId="87" fillId="0" borderId="26" xfId="325" applyFont="1" applyBorder="1" applyAlignment="1">
      <alignment horizontal="center" vertical="center" textRotation="90"/>
    </xf>
    <xf numFmtId="0" fontId="87" fillId="0" borderId="25" xfId="325" applyFont="1" applyBorder="1" applyAlignment="1">
      <alignment horizontal="center" vertical="center" textRotation="90"/>
    </xf>
    <xf numFmtId="0" fontId="87" fillId="0" borderId="27" xfId="325" applyFont="1" applyBorder="1" applyAlignment="1">
      <alignment horizontal="center" vertical="center" textRotation="90"/>
    </xf>
    <xf numFmtId="0" fontId="87" fillId="0" borderId="1" xfId="325" applyFont="1" applyBorder="1" applyAlignment="1">
      <alignment horizontal="center" vertical="center" textRotation="90"/>
    </xf>
    <xf numFmtId="0" fontId="87" fillId="0" borderId="4" xfId="325" applyFont="1" applyBorder="1" applyAlignment="1">
      <alignment horizontal="center" vertical="center" textRotation="90"/>
    </xf>
    <xf numFmtId="0" fontId="87" fillId="0" borderId="9" xfId="325" applyFont="1" applyBorder="1" applyAlignment="1">
      <alignment horizontal="center" vertical="center" textRotation="90"/>
    </xf>
    <xf numFmtId="0" fontId="89" fillId="0" borderId="26" xfId="325" applyFont="1" applyBorder="1" applyAlignment="1">
      <alignment horizontal="center" vertical="center" textRotation="90"/>
    </xf>
    <xf numFmtId="0" fontId="89" fillId="0" borderId="25" xfId="325" applyFont="1" applyBorder="1" applyAlignment="1">
      <alignment horizontal="center" vertical="center" textRotation="90"/>
    </xf>
    <xf numFmtId="0" fontId="89" fillId="0" borderId="27" xfId="325" applyFont="1" applyBorder="1" applyAlignment="1">
      <alignment horizontal="center" vertical="center" textRotation="90"/>
    </xf>
    <xf numFmtId="0" fontId="31" fillId="0" borderId="26" xfId="325" applyFont="1" applyBorder="1" applyAlignment="1">
      <alignment horizontal="center" vertical="center" wrapText="1"/>
    </xf>
    <xf numFmtId="0" fontId="31" fillId="0" borderId="27" xfId="325" applyFont="1" applyBorder="1" applyAlignment="1">
      <alignment horizontal="center" vertical="center" wrapText="1"/>
    </xf>
    <xf numFmtId="0" fontId="0" fillId="4" borderId="16" xfId="0" applyFill="1" applyBorder="1" applyAlignment="1">
      <alignment horizontal="center" vertical="center"/>
    </xf>
    <xf numFmtId="0" fontId="0" fillId="0" borderId="111" xfId="0" applyBorder="1" applyAlignment="1">
      <alignment horizontal="center" vertical="center" wrapText="1"/>
    </xf>
    <xf numFmtId="0" fontId="0" fillId="0" borderId="14" xfId="0" applyBorder="1" applyAlignment="1">
      <alignment horizontal="center" vertical="center" wrapText="1"/>
    </xf>
    <xf numFmtId="0" fontId="0" fillId="0" borderId="111" xfId="0" applyBorder="1" applyAlignment="1">
      <alignment horizontal="left" vertical="center" wrapText="1"/>
    </xf>
    <xf numFmtId="0" fontId="0" fillId="0" borderId="14" xfId="0" applyBorder="1" applyAlignment="1">
      <alignment horizontal="left" vertical="center" wrapText="1"/>
    </xf>
    <xf numFmtId="0" fontId="0" fillId="0" borderId="111" xfId="0" applyBorder="1" applyAlignment="1">
      <alignment horizontal="left" vertical="center"/>
    </xf>
    <xf numFmtId="0" fontId="0" fillId="0" borderId="14" xfId="0" applyBorder="1" applyAlignment="1">
      <alignment horizontal="left" vertical="center"/>
    </xf>
    <xf numFmtId="0" fontId="0" fillId="0" borderId="111" xfId="0" applyBorder="1" applyAlignment="1">
      <alignment horizontal="center" vertical="center"/>
    </xf>
    <xf numFmtId="0" fontId="0" fillId="0" borderId="14" xfId="0" applyBorder="1" applyAlignment="1">
      <alignment horizontal="center" vertical="center"/>
    </xf>
    <xf numFmtId="0" fontId="0" fillId="2" borderId="16" xfId="0" applyFill="1" applyBorder="1" applyAlignment="1">
      <alignment horizontal="center" vertical="center"/>
    </xf>
    <xf numFmtId="0" fontId="0" fillId="0" borderId="16" xfId="0" applyBorder="1" applyAlignment="1">
      <alignment horizontal="center" vertical="center"/>
    </xf>
    <xf numFmtId="0" fontId="30" fillId="0" borderId="0" xfId="327" applyFont="1" applyAlignment="1">
      <alignment horizontal="center" vertical="center"/>
    </xf>
    <xf numFmtId="0" fontId="30" fillId="0" borderId="0" xfId="327" applyAlignment="1">
      <alignment horizontal="center" vertical="center"/>
    </xf>
    <xf numFmtId="0" fontId="121" fillId="0" borderId="26" xfId="329" applyFont="1" applyBorder="1" applyAlignment="1">
      <alignment horizontal="center" vertical="center" wrapText="1"/>
    </xf>
    <xf numFmtId="0" fontId="121" fillId="0" borderId="25" xfId="329" applyFont="1" applyBorder="1" applyAlignment="1">
      <alignment horizontal="center" vertical="center"/>
    </xf>
    <xf numFmtId="0" fontId="121" fillId="0" borderId="27" xfId="329" applyFont="1" applyBorder="1" applyAlignment="1">
      <alignment horizontal="center" vertical="center"/>
    </xf>
    <xf numFmtId="0" fontId="121" fillId="0" borderId="16" xfId="329" applyFont="1" applyBorder="1" applyAlignment="1">
      <alignment horizontal="left" vertical="center" wrapText="1"/>
    </xf>
    <xf numFmtId="0" fontId="121" fillId="0" borderId="26" xfId="329" applyFont="1" applyFill="1" applyBorder="1" applyAlignment="1">
      <alignment horizontal="center" vertical="center" wrapText="1"/>
    </xf>
    <xf numFmtId="0" fontId="121" fillId="0" borderId="25" xfId="329" applyFont="1" applyFill="1" applyBorder="1" applyAlignment="1">
      <alignment horizontal="center" vertical="center" wrapText="1"/>
    </xf>
    <xf numFmtId="0" fontId="121" fillId="0" borderId="27" xfId="329" applyFont="1" applyFill="1" applyBorder="1" applyAlignment="1">
      <alignment horizontal="center" vertical="center" wrapText="1"/>
    </xf>
  </cellXfs>
  <cellStyles count="1276">
    <cellStyle name="20% - アクセント 1" xfId="16"/>
    <cellStyle name="20% - アクセント 2" xfId="17"/>
    <cellStyle name="20% - アクセント 3" xfId="18"/>
    <cellStyle name="20% - アクセント 4" xfId="19"/>
    <cellStyle name="20% - アクセント 5" xfId="20"/>
    <cellStyle name="20% - アクセント 6" xfId="21"/>
    <cellStyle name="20% - 强调文字颜色 1" xfId="98"/>
    <cellStyle name="20% - 强调文字颜色 2" xfId="99"/>
    <cellStyle name="20% - 强调文字颜色 3" xfId="100"/>
    <cellStyle name="20% - 强调文字颜色 4" xfId="101"/>
    <cellStyle name="20% - 强调文字颜色 5" xfId="102"/>
    <cellStyle name="20% - 强调文字颜色 6" xfId="103"/>
    <cellStyle name="40% - アクセント 1" xfId="22"/>
    <cellStyle name="40% - アクセント 2" xfId="23"/>
    <cellStyle name="40% - アクセント 3" xfId="24"/>
    <cellStyle name="40% - アクセント 4" xfId="25"/>
    <cellStyle name="40% - アクセント 5" xfId="26"/>
    <cellStyle name="40% - アクセント 6" xfId="27"/>
    <cellStyle name="40% - 强调文字颜色 1" xfId="104"/>
    <cellStyle name="40% - 强调文字颜色 2" xfId="105"/>
    <cellStyle name="40% - 强调文字颜色 3" xfId="106"/>
    <cellStyle name="40% - 强调文字颜色 4" xfId="107"/>
    <cellStyle name="40% - 强调文字颜色 5" xfId="108"/>
    <cellStyle name="40% - 强调文字颜色 6" xfId="109"/>
    <cellStyle name="60% - アクセント 1" xfId="28"/>
    <cellStyle name="60% - アクセント 2" xfId="29"/>
    <cellStyle name="60% - アクセント 3" xfId="30"/>
    <cellStyle name="60% - アクセント 4" xfId="31"/>
    <cellStyle name="60% - アクセント 5" xfId="32"/>
    <cellStyle name="60% - アクセント 6" xfId="33"/>
    <cellStyle name="60% - 强调文字颜色 1" xfId="110"/>
    <cellStyle name="60% - 强调文字颜色 2" xfId="111"/>
    <cellStyle name="60% - 强调文字颜色 3" xfId="112"/>
    <cellStyle name="60% - 强调文字颜色 4" xfId="113"/>
    <cellStyle name="60% - 强调文字颜色 5" xfId="114"/>
    <cellStyle name="60% - 强调文字颜色 6" xfId="115"/>
    <cellStyle name="Accent5" xfId="324" builtinId="45" hidden="1"/>
    <cellStyle name="Bad 2" xfId="411"/>
    <cellStyle name="Calc Currency (0)" xfId="116"/>
    <cellStyle name="Comma" xfId="274" builtinId="3"/>
    <cellStyle name="Comma [0] 10" xfId="168"/>
    <cellStyle name="Comma [0] 11" xfId="214"/>
    <cellStyle name="Comma [0] 2" xfId="34"/>
    <cellStyle name="Comma [0] 2 2" xfId="212"/>
    <cellStyle name="Comma [0] 2 2 2" xfId="294"/>
    <cellStyle name="Comma [0] 2 2 2 2" xfId="372"/>
    <cellStyle name="Comma [0] 2 2 2 2 2" xfId="882"/>
    <cellStyle name="Comma [0] 2 2 2 2 2 2" xfId="1247"/>
    <cellStyle name="Comma [0] 2 2 2 2 3" xfId="749"/>
    <cellStyle name="Comma [0] 2 2 2 2 3 2" xfId="1205"/>
    <cellStyle name="Comma [0] 2 2 2 2 4" xfId="503"/>
    <cellStyle name="Comma [0] 2 2 2 2 4 2" xfId="1114"/>
    <cellStyle name="Comma [0] 2 2 2 2 5" xfId="1006"/>
    <cellStyle name="Comma [0] 2 2 2 3" xfId="760"/>
    <cellStyle name="Comma [0] 2 2 2 3 2" xfId="1209"/>
    <cellStyle name="Comma [0] 2 2 2 4" xfId="833"/>
    <cellStyle name="Comma [0] 2 2 2 4 2" xfId="1214"/>
    <cellStyle name="Comma [0] 2 2 2 5" xfId="851"/>
    <cellStyle name="Comma [0] 2 2 2 5 2" xfId="1220"/>
    <cellStyle name="Comma [0] 2 2 2 6" xfId="642"/>
    <cellStyle name="Comma [0] 2 2 2 6 2" xfId="1175"/>
    <cellStyle name="Comma [0] 2 2 2 7" xfId="445"/>
    <cellStyle name="Comma [0] 2 2 2 7 2" xfId="1060"/>
    <cellStyle name="Comma [0] 2 2 2 8" xfId="952"/>
    <cellStyle name="Comma [0] 2 2 3" xfId="350"/>
    <cellStyle name="Comma [0] 2 2 3 2" xfId="862"/>
    <cellStyle name="Comma [0] 2 2 3 2 2" xfId="1231"/>
    <cellStyle name="Comma [0] 2 2 3 3" xfId="710"/>
    <cellStyle name="Comma [0] 2 2 3 3 2" xfId="1204"/>
    <cellStyle name="Comma [0] 2 2 3 4" xfId="483"/>
    <cellStyle name="Comma [0] 2 2 3 4 2" xfId="1098"/>
    <cellStyle name="Comma [0] 2 2 3 5" xfId="990"/>
    <cellStyle name="Comma [0] 2 2 4" xfId="759"/>
    <cellStyle name="Comma [0] 2 2 4 2" xfId="1208"/>
    <cellStyle name="Comma [0] 2 2 5" xfId="796"/>
    <cellStyle name="Comma [0] 2 2 5 2" xfId="1213"/>
    <cellStyle name="Comma [0] 2 2 6" xfId="849"/>
    <cellStyle name="Comma [0] 2 2 6 2" xfId="1219"/>
    <cellStyle name="Comma [0] 2 2 7" xfId="588"/>
    <cellStyle name="Comma [0] 2 2 7 2" xfId="1159"/>
    <cellStyle name="Comma [0] 2 2 8" xfId="425"/>
    <cellStyle name="Comma [0] 2 2 8 2" xfId="1044"/>
    <cellStyle name="Comma [0] 2 2 9" xfId="935"/>
    <cellStyle name="Comma [0] 3" xfId="117"/>
    <cellStyle name="Comma [0] 4" xfId="118"/>
    <cellStyle name="Comma [0] 5" xfId="119"/>
    <cellStyle name="Comma [0] 6" xfId="120"/>
    <cellStyle name="Comma [0] 6 2" xfId="681"/>
    <cellStyle name="Comma [0] 6 2 2" xfId="1202"/>
    <cellStyle name="Comma [0] 6 3" xfId="757"/>
    <cellStyle name="Comma [0] 6 3 2" xfId="1206"/>
    <cellStyle name="Comma [0] 6 4" xfId="768"/>
    <cellStyle name="Comma [0] 6 4 2" xfId="1211"/>
    <cellStyle name="Comma [0] 6 5" xfId="847"/>
    <cellStyle name="Comma [0] 6 5 2" xfId="1217"/>
    <cellStyle name="Comma [0] 6 6" xfId="552"/>
    <cellStyle name="Comma [0] 6 6 2" xfId="1150"/>
    <cellStyle name="Comma [0] 6 7" xfId="927"/>
    <cellStyle name="Comma [0] 7" xfId="121"/>
    <cellStyle name="Comma [0] 7 2" xfId="682"/>
    <cellStyle name="Comma [0] 7 2 2" xfId="1203"/>
    <cellStyle name="Comma [0] 7 3" xfId="758"/>
    <cellStyle name="Comma [0] 7 3 2" xfId="1207"/>
    <cellStyle name="Comma [0] 7 4" xfId="769"/>
    <cellStyle name="Comma [0] 7 4 2" xfId="1212"/>
    <cellStyle name="Comma [0] 7 5" xfId="848"/>
    <cellStyle name="Comma [0] 7 5 2" xfId="1218"/>
    <cellStyle name="Comma [0] 7 6" xfId="553"/>
    <cellStyle name="Comma [0] 7 6 2" xfId="1151"/>
    <cellStyle name="Comma [0] 7 7" xfId="928"/>
    <cellStyle name="Comma [0] 8" xfId="122"/>
    <cellStyle name="Comma [0] 9" xfId="123"/>
    <cellStyle name="Comma 10" xfId="124"/>
    <cellStyle name="Comma 11" xfId="125"/>
    <cellStyle name="Comma 12" xfId="126"/>
    <cellStyle name="Comma 13" xfId="35"/>
    <cellStyle name="Comma 14" xfId="176"/>
    <cellStyle name="Comma 14 2" xfId="286"/>
    <cellStyle name="Comma 14 2 2" xfId="364"/>
    <cellStyle name="Comma 14 2 2 2" xfId="874"/>
    <cellStyle name="Comma 14 2 2 2 2" xfId="1243"/>
    <cellStyle name="Comma 14 2 2 3" xfId="495"/>
    <cellStyle name="Comma 14 2 2 3 2" xfId="1110"/>
    <cellStyle name="Comma 14 2 2 4" xfId="1002"/>
    <cellStyle name="Comma 14 2 3" xfId="634"/>
    <cellStyle name="Comma 14 2 3 2" xfId="1171"/>
    <cellStyle name="Comma 14 2 4" xfId="441"/>
    <cellStyle name="Comma 14 2 4 2" xfId="1056"/>
    <cellStyle name="Comma 14 2 5" xfId="948"/>
    <cellStyle name="Comma 14 3" xfId="344"/>
    <cellStyle name="Comma 14 3 2" xfId="858"/>
    <cellStyle name="Comma 14 3 2 2" xfId="1227"/>
    <cellStyle name="Comma 14 3 3" xfId="479"/>
    <cellStyle name="Comma 14 3 3 2" xfId="1094"/>
    <cellStyle name="Comma 14 3 4" xfId="986"/>
    <cellStyle name="Comma 14 4" xfId="561"/>
    <cellStyle name="Comma 14 4 2" xfId="1154"/>
    <cellStyle name="Comma 14 5" xfId="419"/>
    <cellStyle name="Comma 14 5 2" xfId="1040"/>
    <cellStyle name="Comma 14 6" xfId="931"/>
    <cellStyle name="Comma 15" xfId="221"/>
    <cellStyle name="Comma 16" xfId="226"/>
    <cellStyle name="Comma 17" xfId="228"/>
    <cellStyle name="Comma 18" xfId="230"/>
    <cellStyle name="Comma 19" xfId="231"/>
    <cellStyle name="Comma 2" xfId="9"/>
    <cellStyle name="Comma 2 2" xfId="10"/>
    <cellStyle name="Comma 2 2 2" xfId="183"/>
    <cellStyle name="Comma 2 2 2 2" xfId="566"/>
    <cellStyle name="Comma 2 2 2 2 2" xfId="1156"/>
    <cellStyle name="Comma 2 2 3" xfId="545"/>
    <cellStyle name="Comma 2 2 3 2" xfId="1148"/>
    <cellStyle name="Comma 2 3" xfId="36"/>
    <cellStyle name="Comma 2 3 2" xfId="546"/>
    <cellStyle name="Comma 2 3 2 2" xfId="1149"/>
    <cellStyle name="Comma 2 4" xfId="94"/>
    <cellStyle name="Comma 2 5" xfId="171"/>
    <cellStyle name="Comma 2 6" xfId="177"/>
    <cellStyle name="Comma 2_TP Price List 2010  USD" xfId="127"/>
    <cellStyle name="Comma 20" xfId="232"/>
    <cellStyle name="Comma 21" xfId="6"/>
    <cellStyle name="Comma 21 2" xfId="283"/>
    <cellStyle name="Comma 21 2 2" xfId="361"/>
    <cellStyle name="Comma 21 2 2 2" xfId="871"/>
    <cellStyle name="Comma 21 2 2 2 2" xfId="1240"/>
    <cellStyle name="Comma 21 2 2 3" xfId="492"/>
    <cellStyle name="Comma 21 2 2 3 2" xfId="1107"/>
    <cellStyle name="Comma 21 2 2 4" xfId="999"/>
    <cellStyle name="Comma 21 2 3" xfId="631"/>
    <cellStyle name="Comma 21 2 3 2" xfId="1168"/>
    <cellStyle name="Comma 21 2 4" xfId="438"/>
    <cellStyle name="Comma 21 2 4 2" xfId="1053"/>
    <cellStyle name="Comma 21 2 5" xfId="945"/>
    <cellStyle name="Comma 21 3" xfId="339"/>
    <cellStyle name="Comma 21 3 2" xfId="855"/>
    <cellStyle name="Comma 21 3 2 2" xfId="1224"/>
    <cellStyle name="Comma 21 3 3" xfId="476"/>
    <cellStyle name="Comma 21 3 3 2" xfId="1091"/>
    <cellStyle name="Comma 21 3 4" xfId="983"/>
    <cellStyle name="Comma 21 4" xfId="544"/>
    <cellStyle name="Comma 21 4 2" xfId="1147"/>
    <cellStyle name="Comma 21 5" xfId="414"/>
    <cellStyle name="Comma 21 5 2" xfId="1037"/>
    <cellStyle name="Comma 21 6" xfId="926"/>
    <cellStyle name="Comma 22" xfId="236"/>
    <cellStyle name="Comma 22 2" xfId="297"/>
    <cellStyle name="Comma 22 2 2" xfId="375"/>
    <cellStyle name="Comma 22 2 2 2" xfId="885"/>
    <cellStyle name="Comma 22 2 2 2 2" xfId="1250"/>
    <cellStyle name="Comma 22 2 2 3" xfId="506"/>
    <cellStyle name="Comma 22 2 2 3 2" xfId="1117"/>
    <cellStyle name="Comma 22 2 2 4" xfId="1009"/>
    <cellStyle name="Comma 22 2 3" xfId="645"/>
    <cellStyle name="Comma 22 2 3 2" xfId="1178"/>
    <cellStyle name="Comma 22 2 4" xfId="448"/>
    <cellStyle name="Comma 22 2 4 2" xfId="1063"/>
    <cellStyle name="Comma 22 2 5" xfId="955"/>
    <cellStyle name="Comma 22 3" xfId="354"/>
    <cellStyle name="Comma 22 3 2" xfId="865"/>
    <cellStyle name="Comma 22 3 2 2" xfId="1234"/>
    <cellStyle name="Comma 22 3 3" xfId="486"/>
    <cellStyle name="Comma 22 3 3 2" xfId="1101"/>
    <cellStyle name="Comma 22 3 4" xfId="993"/>
    <cellStyle name="Comma 22 4" xfId="591"/>
    <cellStyle name="Comma 22 4 2" xfId="1162"/>
    <cellStyle name="Comma 22 5" xfId="428"/>
    <cellStyle name="Comma 22 5 2" xfId="1047"/>
    <cellStyle name="Comma 22 6" xfId="938"/>
    <cellStyle name="Comma 23" xfId="305"/>
    <cellStyle name="Comma 24" xfId="332"/>
    <cellStyle name="Comma 24 2" xfId="404"/>
    <cellStyle name="Comma 24 2 2" xfId="673"/>
    <cellStyle name="Comma 24 2 2 2" xfId="1200"/>
    <cellStyle name="Comma 24 2 3" xfId="534"/>
    <cellStyle name="Comma 24 2 3 2" xfId="1139"/>
    <cellStyle name="Comma 24 2 4" xfId="1031"/>
    <cellStyle name="Comma 24 3" xfId="541"/>
    <cellStyle name="Comma 24 4" xfId="470"/>
    <cellStyle name="Comma 24 4 2" xfId="1085"/>
    <cellStyle name="Comma 24 5" xfId="977"/>
    <cellStyle name="Comma 25" xfId="356"/>
    <cellStyle name="Comma 26" xfId="409"/>
    <cellStyle name="Comma 27" xfId="347"/>
    <cellStyle name="Comma 28" xfId="410"/>
    <cellStyle name="Comma 29" xfId="351"/>
    <cellStyle name="Comma 3" xfId="11"/>
    <cellStyle name="Comma 3 2" xfId="173"/>
    <cellStyle name="Comma 3 2 2" xfId="178"/>
    <cellStyle name="Comma 3 3" xfId="172"/>
    <cellStyle name="Comma 30" xfId="850"/>
    <cellStyle name="Comma 31" xfId="540"/>
    <cellStyle name="Comma 31 2" xfId="1145"/>
    <cellStyle name="Comma 32" xfId="433"/>
    <cellStyle name="Comma 33" xfId="917"/>
    <cellStyle name="Comma 34" xfId="920"/>
    <cellStyle name="Comma 35" xfId="415"/>
    <cellStyle name="Comma 36" xfId="921"/>
    <cellStyle name="Comma 37" xfId="940"/>
    <cellStyle name="Comma 4" xfId="8"/>
    <cellStyle name="Comma 4 2" xfId="174"/>
    <cellStyle name="Comma 4 2 2" xfId="175"/>
    <cellStyle name="Comma 4 2 2 2" xfId="179"/>
    <cellStyle name="Comma 4 2 2 2 2" xfId="287"/>
    <cellStyle name="Comma 4 2 2 2 2 2" xfId="365"/>
    <cellStyle name="Comma 4 2 2 2 2 2 2" xfId="875"/>
    <cellStyle name="Comma 4 2 2 2 2 2 2 2" xfId="1244"/>
    <cellStyle name="Comma 4 2 2 2 2 2 3" xfId="496"/>
    <cellStyle name="Comma 4 2 2 2 2 2 3 2" xfId="1111"/>
    <cellStyle name="Comma 4 2 2 2 2 2 4" xfId="1003"/>
    <cellStyle name="Comma 4 2 2 2 2 3" xfId="635"/>
    <cellStyle name="Comma 4 2 2 2 2 3 2" xfId="1172"/>
    <cellStyle name="Comma 4 2 2 2 2 4" xfId="442"/>
    <cellStyle name="Comma 4 2 2 2 2 4 2" xfId="1057"/>
    <cellStyle name="Comma 4 2 2 2 2 5" xfId="949"/>
    <cellStyle name="Comma 4 2 2 2 3" xfId="345"/>
    <cellStyle name="Comma 4 2 2 2 3 2" xfId="859"/>
    <cellStyle name="Comma 4 2 2 2 3 2 2" xfId="1228"/>
    <cellStyle name="Comma 4 2 2 2 3 3" xfId="480"/>
    <cellStyle name="Comma 4 2 2 2 3 3 2" xfId="1095"/>
    <cellStyle name="Comma 4 2 2 2 3 4" xfId="987"/>
    <cellStyle name="Comma 4 2 2 2 4" xfId="562"/>
    <cellStyle name="Comma 4 2 2 2 4 2" xfId="1155"/>
    <cellStyle name="Comma 4 2 2 2 5" xfId="420"/>
    <cellStyle name="Comma 4 2 2 2 5 2" xfId="1041"/>
    <cellStyle name="Comma 4 2 2 2 6" xfId="932"/>
    <cellStyle name="Comma 4 2 2 3" xfId="285"/>
    <cellStyle name="Comma 4 2 2 3 2" xfId="363"/>
    <cellStyle name="Comma 4 2 2 3 2 2" xfId="873"/>
    <cellStyle name="Comma 4 2 2 3 2 2 2" xfId="1242"/>
    <cellStyle name="Comma 4 2 2 3 2 3" xfId="494"/>
    <cellStyle name="Comma 4 2 2 3 2 3 2" xfId="1109"/>
    <cellStyle name="Comma 4 2 2 3 2 4" xfId="1001"/>
    <cellStyle name="Comma 4 2 2 3 3" xfId="633"/>
    <cellStyle name="Comma 4 2 2 3 3 2" xfId="1170"/>
    <cellStyle name="Comma 4 2 2 3 4" xfId="440"/>
    <cellStyle name="Comma 4 2 2 3 4 2" xfId="1055"/>
    <cellStyle name="Comma 4 2 2 3 5" xfId="947"/>
    <cellStyle name="Comma 4 2 2 4" xfId="343"/>
    <cellStyle name="Comma 4 2 2 4 2" xfId="857"/>
    <cellStyle name="Comma 4 2 2 4 2 2" xfId="1226"/>
    <cellStyle name="Comma 4 2 2 4 3" xfId="478"/>
    <cellStyle name="Comma 4 2 2 4 3 2" xfId="1093"/>
    <cellStyle name="Comma 4 2 2 4 4" xfId="985"/>
    <cellStyle name="Comma 4 2 2 5" xfId="560"/>
    <cellStyle name="Comma 4 2 2 5 2" xfId="1153"/>
    <cellStyle name="Comma 4 2 2 6" xfId="418"/>
    <cellStyle name="Comma 4 2 2 6 2" xfId="1039"/>
    <cellStyle name="Comma 4 2 2 7" xfId="930"/>
    <cellStyle name="Comma 4 2 3" xfId="284"/>
    <cellStyle name="Comma 4 2 3 2" xfId="362"/>
    <cellStyle name="Comma 4 2 3 2 2" xfId="872"/>
    <cellStyle name="Comma 4 2 3 2 2 2" xfId="1241"/>
    <cellStyle name="Comma 4 2 3 2 3" xfId="493"/>
    <cellStyle name="Comma 4 2 3 2 3 2" xfId="1108"/>
    <cellStyle name="Comma 4 2 3 2 4" xfId="1000"/>
    <cellStyle name="Comma 4 2 3 3" xfId="632"/>
    <cellStyle name="Comma 4 2 3 3 2" xfId="1169"/>
    <cellStyle name="Comma 4 2 3 4" xfId="439"/>
    <cellStyle name="Comma 4 2 3 4 2" xfId="1054"/>
    <cellStyle name="Comma 4 2 3 5" xfId="946"/>
    <cellStyle name="Comma 4 2 4" xfId="342"/>
    <cellStyle name="Comma 4 2 4 2" xfId="856"/>
    <cellStyle name="Comma 4 2 4 2 2" xfId="1225"/>
    <cellStyle name="Comma 4 2 4 3" xfId="477"/>
    <cellStyle name="Comma 4 2 4 3 2" xfId="1092"/>
    <cellStyle name="Comma 4 2 4 4" xfId="984"/>
    <cellStyle name="Comma 4 2 5" xfId="559"/>
    <cellStyle name="Comma 4 2 5 2" xfId="1152"/>
    <cellStyle name="Comma 4 2 6" xfId="417"/>
    <cellStyle name="Comma 4 2 6 2" xfId="1038"/>
    <cellStyle name="Comma 4 2 7" xfId="929"/>
    <cellStyle name="Comma 5" xfId="128"/>
    <cellStyle name="Comma 5 2" xfId="129"/>
    <cellStyle name="Comma 5 3" xfId="130"/>
    <cellStyle name="Comma 6" xfId="131"/>
    <cellStyle name="Comma 7" xfId="132"/>
    <cellStyle name="Comma 8" xfId="133"/>
    <cellStyle name="Comma 9" xfId="134"/>
    <cellStyle name="Comma 9 2" xfId="331"/>
    <cellStyle name="comma zerodec" xfId="37"/>
    <cellStyle name="Credit" xfId="38"/>
    <cellStyle name="Currency1" xfId="39"/>
    <cellStyle name="Debit" xfId="40"/>
    <cellStyle name="Dollar (zero dec)" xfId="41"/>
    <cellStyle name="Euro" xfId="135"/>
    <cellStyle name="F2" xfId="42"/>
    <cellStyle name="F3" xfId="43"/>
    <cellStyle name="F4" xfId="44"/>
    <cellStyle name="F5" xfId="45"/>
    <cellStyle name="F6" xfId="46"/>
    <cellStyle name="F7" xfId="47"/>
    <cellStyle name="F8" xfId="48"/>
    <cellStyle name="Grey" xfId="49"/>
    <cellStyle name="Header1" xfId="50"/>
    <cellStyle name="Header2" xfId="51"/>
    <cellStyle name="Header2 2" xfId="184"/>
    <cellStyle name="Header2 2 2" xfId="254"/>
    <cellStyle name="Header2 2 2 2" xfId="726"/>
    <cellStyle name="Header2 2 2 3" xfId="607"/>
    <cellStyle name="Header2 2 3" xfId="691"/>
    <cellStyle name="Header2 2 4" xfId="567"/>
    <cellStyle name="Header2 3" xfId="237"/>
    <cellStyle name="Header2 3 2" xfId="711"/>
    <cellStyle name="Header2 3 3" xfId="592"/>
    <cellStyle name="Header2 4" xfId="845"/>
    <cellStyle name="Header2 4 2" xfId="1216"/>
    <cellStyle name="Hyperlink" xfId="323" builtinId="8"/>
    <cellStyle name="Hyperlink 2" xfId="136"/>
    <cellStyle name="Hyperlink 3" xfId="840"/>
    <cellStyle name="Input [yellow]" xfId="52"/>
    <cellStyle name="Input [yellow] 2" xfId="185"/>
    <cellStyle name="Input [yellow] 2 2" xfId="255"/>
    <cellStyle name="Input [yellow] 2 2 2" xfId="727"/>
    <cellStyle name="Input [yellow] 2 2 3" xfId="811"/>
    <cellStyle name="Input [yellow] 2 2 4" xfId="608"/>
    <cellStyle name="Input [yellow] 2 3" xfId="692"/>
    <cellStyle name="Input [yellow] 2 4" xfId="778"/>
    <cellStyle name="Input [yellow] 2 5" xfId="568"/>
    <cellStyle name="Input [yellow] 3" xfId="238"/>
    <cellStyle name="Input [yellow] 3 2" xfId="712"/>
    <cellStyle name="Input [yellow] 3 3" xfId="797"/>
    <cellStyle name="Input [yellow] 3 4" xfId="593"/>
    <cellStyle name="Input [yellow] 4" xfId="846"/>
    <cellStyle name="KWE標準" xfId="137"/>
    <cellStyle name="no dec" xfId="53"/>
    <cellStyle name="Normal" xfId="0" builtinId="0"/>
    <cellStyle name="Normal - Style1" xfId="54"/>
    <cellStyle name="Normal 10" xfId="213"/>
    <cellStyle name="Normal 11" xfId="220"/>
    <cellStyle name="Normal 12" xfId="225"/>
    <cellStyle name="Normal 13" xfId="227"/>
    <cellStyle name="Normal 14" xfId="229"/>
    <cellStyle name="Normal 15" xfId="2"/>
    <cellStyle name="Normal 15 2" xfId="4"/>
    <cellStyle name="Normal 15 3" xfId="209"/>
    <cellStyle name="Normal 15 3 2" xfId="293"/>
    <cellStyle name="Normal 15 3 2 2" xfId="371"/>
    <cellStyle name="Normal 15 3 2 2 2" xfId="881"/>
    <cellStyle name="Normal 15 3 2 2 2 2" xfId="1246"/>
    <cellStyle name="Normal 15 3 2 2 3" xfId="502"/>
    <cellStyle name="Normal 15 3 2 2 3 2" xfId="1113"/>
    <cellStyle name="Normal 15 3 2 2 4" xfId="1005"/>
    <cellStyle name="Normal 15 3 2 3" xfId="641"/>
    <cellStyle name="Normal 15 3 2 3 2" xfId="1174"/>
    <cellStyle name="Normal 15 3 2 4" xfId="444"/>
    <cellStyle name="Normal 15 3 2 4 2" xfId="1059"/>
    <cellStyle name="Normal 15 3 2 5" xfId="951"/>
    <cellStyle name="Normal 15 3 3" xfId="349"/>
    <cellStyle name="Normal 15 3 3 2" xfId="861"/>
    <cellStyle name="Normal 15 3 3 2 2" xfId="1230"/>
    <cellStyle name="Normal 15 3 3 3" xfId="482"/>
    <cellStyle name="Normal 15 3 3 3 2" xfId="1097"/>
    <cellStyle name="Normal 15 3 3 4" xfId="989"/>
    <cellStyle name="Normal 15 3 4" xfId="587"/>
    <cellStyle name="Normal 15 3 4 2" xfId="1158"/>
    <cellStyle name="Normal 15 3 5" xfId="424"/>
    <cellStyle name="Normal 15 3 5 2" xfId="1043"/>
    <cellStyle name="Normal 15 3 6" xfId="934"/>
    <cellStyle name="Normal 16" xfId="218"/>
    <cellStyle name="Normal 17" xfId="5"/>
    <cellStyle name="Normal 17 2" xfId="282"/>
    <cellStyle name="Normal 17 2 2" xfId="360"/>
    <cellStyle name="Normal 17 2 2 2" xfId="870"/>
    <cellStyle name="Normal 17 2 2 2 2" xfId="1239"/>
    <cellStyle name="Normal 17 2 2 3" xfId="491"/>
    <cellStyle name="Normal 17 2 2 3 2" xfId="1106"/>
    <cellStyle name="Normal 17 2 2 4" xfId="998"/>
    <cellStyle name="Normal 17 2 3" xfId="630"/>
    <cellStyle name="Normal 17 2 3 2" xfId="1167"/>
    <cellStyle name="Normal 17 2 4" xfId="437"/>
    <cellStyle name="Normal 17 2 4 2" xfId="1052"/>
    <cellStyle name="Normal 17 2 5" xfId="944"/>
    <cellStyle name="Normal 17 3" xfId="338"/>
    <cellStyle name="Normal 17 3 2" xfId="854"/>
    <cellStyle name="Normal 17 3 2 2" xfId="1223"/>
    <cellStyle name="Normal 17 3 3" xfId="475"/>
    <cellStyle name="Normal 17 3 3 2" xfId="1090"/>
    <cellStyle name="Normal 17 3 4" xfId="982"/>
    <cellStyle name="Normal 17 4" xfId="543"/>
    <cellStyle name="Normal 17 4 2" xfId="1146"/>
    <cellStyle name="Normal 17 5" xfId="413"/>
    <cellStyle name="Normal 17 5 2" xfId="1036"/>
    <cellStyle name="Normal 17 6" xfId="925"/>
    <cellStyle name="Normal 18" xfId="235"/>
    <cellStyle name="Normal 18 2" xfId="296"/>
    <cellStyle name="Normal 18 2 2" xfId="374"/>
    <cellStyle name="Normal 18 2 2 2" xfId="884"/>
    <cellStyle name="Normal 18 2 2 2 2" xfId="1249"/>
    <cellStyle name="Normal 18 2 2 3" xfId="505"/>
    <cellStyle name="Normal 18 2 2 3 2" xfId="1116"/>
    <cellStyle name="Normal 18 2 2 4" xfId="1008"/>
    <cellStyle name="Normal 18 2 3" xfId="644"/>
    <cellStyle name="Normal 18 2 3 2" xfId="1177"/>
    <cellStyle name="Normal 18 2 4" xfId="447"/>
    <cellStyle name="Normal 18 2 4 2" xfId="1062"/>
    <cellStyle name="Normal 18 2 5" xfId="954"/>
    <cellStyle name="Normal 18 3" xfId="353"/>
    <cellStyle name="Normal 18 3 2" xfId="864"/>
    <cellStyle name="Normal 18 3 2 2" xfId="1233"/>
    <cellStyle name="Normal 18 3 3" xfId="485"/>
    <cellStyle name="Normal 18 3 3 2" xfId="1100"/>
    <cellStyle name="Normal 18 3 4" xfId="992"/>
    <cellStyle name="Normal 18 4" xfId="590"/>
    <cellStyle name="Normal 18 4 2" xfId="1161"/>
    <cellStyle name="Normal 18 5" xfId="427"/>
    <cellStyle name="Normal 18 5 2" xfId="1046"/>
    <cellStyle name="Normal 18 6" xfId="937"/>
    <cellStyle name="Normal 19" xfId="275"/>
    <cellStyle name="Normal 2" xfId="12"/>
    <cellStyle name="Normal 2 2" xfId="13"/>
    <cellStyle name="Normal 2 2 2" xfId="96"/>
    <cellStyle name="Normal 2 2 3" xfId="186"/>
    <cellStyle name="Normal 2 2 5" xfId="842"/>
    <cellStyle name="Normal 2 3" xfId="55"/>
    <cellStyle name="Normal 2 3 2" xfId="333"/>
    <cellStyle name="Normal 2 3 2 2" xfId="405"/>
    <cellStyle name="Normal 2 3 2 2 2" xfId="913"/>
    <cellStyle name="Normal 2 3 2 2 2 2" xfId="1272"/>
    <cellStyle name="Normal 2 3 2 2 3" xfId="535"/>
    <cellStyle name="Normal 2 3 2 2 3 2" xfId="1140"/>
    <cellStyle name="Normal 2 3 2 2 4" xfId="1032"/>
    <cellStyle name="Normal 2 3 2 3" xfId="674"/>
    <cellStyle name="Normal 2 3 2 3 2" xfId="1201"/>
    <cellStyle name="Normal 2 3 2 4" xfId="471"/>
    <cellStyle name="Normal 2 3 2 4 2" xfId="1086"/>
    <cellStyle name="Normal 2 3 2 5" xfId="978"/>
    <cellStyle name="Normal 2 4" xfId="95"/>
    <cellStyle name="Normal 2 5" xfId="170"/>
    <cellStyle name="Normal 2 6" xfId="276"/>
    <cellStyle name="Normal 2 7" xfId="327"/>
    <cellStyle name="Normal 2_TP Price List 2010  USD" xfId="138"/>
    <cellStyle name="Normal 20" xfId="277"/>
    <cellStyle name="Normal 20 2" xfId="306"/>
    <cellStyle name="Normal 20 2 2" xfId="383"/>
    <cellStyle name="Normal 20 2 2 2" xfId="893"/>
    <cellStyle name="Normal 20 2 2 2 2" xfId="1252"/>
    <cellStyle name="Normal 20 2 2 3" xfId="514"/>
    <cellStyle name="Normal 20 2 2 3 2" xfId="1119"/>
    <cellStyle name="Normal 20 2 2 4" xfId="1011"/>
    <cellStyle name="Normal 20 2 3" xfId="653"/>
    <cellStyle name="Normal 20 2 3 2" xfId="1180"/>
    <cellStyle name="Normal 20 2 4" xfId="450"/>
    <cellStyle name="Normal 20 2 4 2" xfId="1065"/>
    <cellStyle name="Normal 20 2 5" xfId="957"/>
    <cellStyle name="Normal 20 3" xfId="357"/>
    <cellStyle name="Normal 20 3 2" xfId="867"/>
    <cellStyle name="Normal 20 3 2 2" xfId="1236"/>
    <cellStyle name="Normal 20 3 3" xfId="488"/>
    <cellStyle name="Normal 20 3 3 2" xfId="1103"/>
    <cellStyle name="Normal 20 3 4" xfId="995"/>
    <cellStyle name="Normal 20 4" xfId="627"/>
    <cellStyle name="Normal 20 4 2" xfId="1164"/>
    <cellStyle name="Normal 20 5" xfId="434"/>
    <cellStyle name="Normal 20 5 2" xfId="1049"/>
    <cellStyle name="Normal 20 6" xfId="941"/>
    <cellStyle name="Normal 21" xfId="279"/>
    <cellStyle name="Normal 21 2" xfId="308"/>
    <cellStyle name="Normal 21 2 2" xfId="385"/>
    <cellStyle name="Normal 21 2 2 2" xfId="895"/>
    <cellStyle name="Normal 21 2 2 2 2" xfId="1254"/>
    <cellStyle name="Normal 21 2 2 3" xfId="516"/>
    <cellStyle name="Normal 21 2 2 3 2" xfId="1121"/>
    <cellStyle name="Normal 21 2 2 4" xfId="1013"/>
    <cellStyle name="Normal 21 2 3" xfId="655"/>
    <cellStyle name="Normal 21 2 3 2" xfId="1182"/>
    <cellStyle name="Normal 21 2 4" xfId="452"/>
    <cellStyle name="Normal 21 2 4 2" xfId="1067"/>
    <cellStyle name="Normal 21 2 5" xfId="959"/>
    <cellStyle name="Normal 21 3" xfId="359"/>
    <cellStyle name="Normal 21 3 2" xfId="869"/>
    <cellStyle name="Normal 21 3 2 2" xfId="1238"/>
    <cellStyle name="Normal 21 3 3" xfId="490"/>
    <cellStyle name="Normal 21 3 3 2" xfId="1105"/>
    <cellStyle name="Normal 21 3 4" xfId="997"/>
    <cellStyle name="Normal 21 4" xfId="629"/>
    <cellStyle name="Normal 21 4 2" xfId="1166"/>
    <cellStyle name="Normal 21 5" xfId="436"/>
    <cellStyle name="Normal 21 5 2" xfId="1051"/>
    <cellStyle name="Normal 21 6" xfId="943"/>
    <cellStyle name="Normal 22" xfId="309"/>
    <cellStyle name="Normal 22 2" xfId="386"/>
    <cellStyle name="Normal 22 2 2" xfId="896"/>
    <cellStyle name="Normal 22 2 2 2" xfId="1255"/>
    <cellStyle name="Normal 22 2 3" xfId="517"/>
    <cellStyle name="Normal 22 2 3 2" xfId="1122"/>
    <cellStyle name="Normal 22 2 4" xfId="1014"/>
    <cellStyle name="Normal 22 3" xfId="656"/>
    <cellStyle name="Normal 22 3 2" xfId="1183"/>
    <cellStyle name="Normal 22 4" xfId="453"/>
    <cellStyle name="Normal 22 4 2" xfId="1068"/>
    <cellStyle name="Normal 22 5" xfId="960"/>
    <cellStyle name="Normal 23" xfId="310"/>
    <cellStyle name="Normal 23 2" xfId="387"/>
    <cellStyle name="Normal 23 2 2" xfId="897"/>
    <cellStyle name="Normal 23 2 2 2" xfId="1256"/>
    <cellStyle name="Normal 23 2 3" xfId="518"/>
    <cellStyle name="Normal 23 2 3 2" xfId="1123"/>
    <cellStyle name="Normal 23 2 4" xfId="1015"/>
    <cellStyle name="Normal 23 3" xfId="657"/>
    <cellStyle name="Normal 23 3 2" xfId="1184"/>
    <cellStyle name="Normal 23 4" xfId="454"/>
    <cellStyle name="Normal 23 4 2" xfId="1069"/>
    <cellStyle name="Normal 23 5" xfId="961"/>
    <cellStyle name="Normal 24" xfId="311"/>
    <cellStyle name="Normal 24 2" xfId="388"/>
    <cellStyle name="Normal 24 2 2" xfId="898"/>
    <cellStyle name="Normal 24 2 2 2" xfId="923"/>
    <cellStyle name="Normal 24 2 2 3" xfId="1257"/>
    <cellStyle name="Normal 24 2 3" xfId="519"/>
    <cellStyle name="Normal 24 2 3 2" xfId="1124"/>
    <cellStyle name="Normal 24 2 4" xfId="1016"/>
    <cellStyle name="Normal 24 3" xfId="658"/>
    <cellStyle name="Normal 24 3 2" xfId="1185"/>
    <cellStyle name="Normal 24 4" xfId="455"/>
    <cellStyle name="Normal 24 4 2" xfId="1070"/>
    <cellStyle name="Normal 24 5" xfId="962"/>
    <cellStyle name="Normal 25" xfId="313"/>
    <cellStyle name="Normal 25 2" xfId="390"/>
    <cellStyle name="Normal 25 2 2" xfId="900"/>
    <cellStyle name="Normal 25 2 2 2" xfId="1259"/>
    <cellStyle name="Normal 25 2 3" xfId="521"/>
    <cellStyle name="Normal 25 2 3 2" xfId="1126"/>
    <cellStyle name="Normal 25 2 4" xfId="1018"/>
    <cellStyle name="Normal 25 3" xfId="660"/>
    <cellStyle name="Normal 25 3 2" xfId="1187"/>
    <cellStyle name="Normal 25 4" xfId="457"/>
    <cellStyle name="Normal 25 4 2" xfId="1072"/>
    <cellStyle name="Normal 25 5" xfId="964"/>
    <cellStyle name="Normal 26" xfId="315"/>
    <cellStyle name="Normal 26 2" xfId="392"/>
    <cellStyle name="Normal 26 2 2" xfId="902"/>
    <cellStyle name="Normal 26 2 2 2" xfId="1261"/>
    <cellStyle name="Normal 26 2 3" xfId="523"/>
    <cellStyle name="Normal 26 2 3 2" xfId="1128"/>
    <cellStyle name="Normal 26 2 4" xfId="1020"/>
    <cellStyle name="Normal 26 3" xfId="662"/>
    <cellStyle name="Normal 26 3 2" xfId="1189"/>
    <cellStyle name="Normal 26 4" xfId="459"/>
    <cellStyle name="Normal 26 4 2" xfId="1074"/>
    <cellStyle name="Normal 26 5" xfId="966"/>
    <cellStyle name="Normal 27" xfId="317"/>
    <cellStyle name="Normal 27 2" xfId="394"/>
    <cellStyle name="Normal 27 2 2" xfId="904"/>
    <cellStyle name="Normal 27 2 2 2" xfId="1263"/>
    <cellStyle name="Normal 27 2 3" xfId="525"/>
    <cellStyle name="Normal 27 2 3 2" xfId="1130"/>
    <cellStyle name="Normal 27 2 4" xfId="1022"/>
    <cellStyle name="Normal 27 3" xfId="664"/>
    <cellStyle name="Normal 27 3 2" xfId="1191"/>
    <cellStyle name="Normal 27 4" xfId="461"/>
    <cellStyle name="Normal 27 4 2" xfId="1076"/>
    <cellStyle name="Normal 27 5" xfId="968"/>
    <cellStyle name="Normal 28" xfId="319"/>
    <cellStyle name="Normal 28 2" xfId="396"/>
    <cellStyle name="Normal 28 2 2" xfId="906"/>
    <cellStyle name="Normal 28 2 2 2" xfId="1265"/>
    <cellStyle name="Normal 28 2 3" xfId="527"/>
    <cellStyle name="Normal 28 2 3 2" xfId="1132"/>
    <cellStyle name="Normal 28 2 4" xfId="1024"/>
    <cellStyle name="Normal 28 3" xfId="666"/>
    <cellStyle name="Normal 28 3 2" xfId="1193"/>
    <cellStyle name="Normal 28 4" xfId="463"/>
    <cellStyle name="Normal 28 4 2" xfId="1078"/>
    <cellStyle name="Normal 28 5" xfId="970"/>
    <cellStyle name="Normal 29" xfId="321"/>
    <cellStyle name="Normal 29 2" xfId="398"/>
    <cellStyle name="Normal 29 2 2" xfId="908"/>
    <cellStyle name="Normal 29 2 2 2" xfId="1267"/>
    <cellStyle name="Normal 29 2 3" xfId="529"/>
    <cellStyle name="Normal 29 2 3 2" xfId="1134"/>
    <cellStyle name="Normal 29 2 4" xfId="1026"/>
    <cellStyle name="Normal 29 3" xfId="668"/>
    <cellStyle name="Normal 29 3 2" xfId="1195"/>
    <cellStyle name="Normal 29 4" xfId="465"/>
    <cellStyle name="Normal 29 4 2" xfId="1080"/>
    <cellStyle name="Normal 29 5" xfId="972"/>
    <cellStyle name="Normal 3" xfId="14"/>
    <cellStyle name="Normal 3 2" xfId="15"/>
    <cellStyle name="Normal 3 2 2" xfId="201"/>
    <cellStyle name="Normal 3 2 2 2" xfId="291"/>
    <cellStyle name="Normal 3 2 2 2 2" xfId="369"/>
    <cellStyle name="Normal 3 2 2 2 2 2" xfId="879"/>
    <cellStyle name="Normal 3 2 2 2 2 2 2" xfId="1245"/>
    <cellStyle name="Normal 3 2 2 2 2 3" xfId="500"/>
    <cellStyle name="Normal 3 2 2 2 2 3 2" xfId="1112"/>
    <cellStyle name="Normal 3 2 2 2 2 4" xfId="1004"/>
    <cellStyle name="Normal 3 2 2 2 3" xfId="639"/>
    <cellStyle name="Normal 3 2 2 2 3 2" xfId="1173"/>
    <cellStyle name="Normal 3 2 2 2 4" xfId="443"/>
    <cellStyle name="Normal 3 2 2 2 4 2" xfId="1058"/>
    <cellStyle name="Normal 3 2 2 2 5" xfId="950"/>
    <cellStyle name="Normal 3 2 2 3" xfId="346"/>
    <cellStyle name="Normal 3 2 2 3 2" xfId="860"/>
    <cellStyle name="Normal 3 2 2 3 2 2" xfId="1229"/>
    <cellStyle name="Normal 3 2 2 3 3" xfId="481"/>
    <cellStyle name="Normal 3 2 2 3 3 2" xfId="1096"/>
    <cellStyle name="Normal 3 2 2 3 4" xfId="988"/>
    <cellStyle name="Normal 3 2 2 4" xfId="579"/>
    <cellStyle name="Normal 3 2 2 4 2" xfId="1157"/>
    <cellStyle name="Normal 3 2 2 5" xfId="422"/>
    <cellStyle name="Normal 3 2 2 5 2" xfId="1042"/>
    <cellStyle name="Normal 3 2 2 6" xfId="933"/>
    <cellStyle name="Normal 3 3" xfId="169"/>
    <cellStyle name="Normal 30" xfId="325"/>
    <cellStyle name="Normal 31" xfId="329"/>
    <cellStyle name="Normal 31 2" xfId="402"/>
    <cellStyle name="Normal 31 2 2" xfId="912"/>
    <cellStyle name="Normal 31 2 2 2" xfId="1271"/>
    <cellStyle name="Normal 31 2 3" xfId="533"/>
    <cellStyle name="Normal 31 2 3 2" xfId="1138"/>
    <cellStyle name="Normal 31 2 4" xfId="1030"/>
    <cellStyle name="Normal 31 3" xfId="672"/>
    <cellStyle name="Normal 31 3 2" xfId="1199"/>
    <cellStyle name="Normal 31 4" xfId="469"/>
    <cellStyle name="Normal 31 4 2" xfId="1084"/>
    <cellStyle name="Normal 31 5" xfId="976"/>
    <cellStyle name="Normal 32" xfId="336"/>
    <cellStyle name="Normal 32 2" xfId="408"/>
    <cellStyle name="Normal 32 2 2" xfId="916"/>
    <cellStyle name="Normal 32 2 2 2" xfId="1275"/>
    <cellStyle name="Normal 32 2 3" xfId="538"/>
    <cellStyle name="Normal 32 2 3 2" xfId="1143"/>
    <cellStyle name="Normal 32 2 4" xfId="1035"/>
    <cellStyle name="Normal 32 3" xfId="853"/>
    <cellStyle name="Normal 32 3 2" xfId="1222"/>
    <cellStyle name="Normal 32 4" xfId="542"/>
    <cellStyle name="Normal 32 5" xfId="474"/>
    <cellStyle name="Normal 32 5 2" xfId="1089"/>
    <cellStyle name="Normal 32 6" xfId="981"/>
    <cellStyle name="Normal 33" xfId="675"/>
    <cellStyle name="Normal 34" xfId="756"/>
    <cellStyle name="Normal 35" xfId="762"/>
    <cellStyle name="Normal 36" xfId="843"/>
    <cellStyle name="Normal 37" xfId="539"/>
    <cellStyle name="Normal 37 2" xfId="1144"/>
    <cellStyle name="Normal 4" xfId="7"/>
    <cellStyle name="Normal 4 2" xfId="56"/>
    <cellStyle name="Normal 4 2 2" xfId="187"/>
    <cellStyle name="Normal 5" xfId="57"/>
    <cellStyle name="Normal 5 2" xfId="188"/>
    <cellStyle name="Normal 55" xfId="330"/>
    <cellStyle name="Normal 6" xfId="58"/>
    <cellStyle name="Normal 7" xfId="59"/>
    <cellStyle name="Normal 8" xfId="60"/>
    <cellStyle name="Normal 9" xfId="167"/>
    <cellStyle name="Percent" xfId="1" builtinId="5"/>
    <cellStyle name="Percent [2]" xfId="61"/>
    <cellStyle name="Percent [2] 2" xfId="189"/>
    <cellStyle name="Percent 10" xfId="273"/>
    <cellStyle name="Percent 10 2" xfId="304"/>
    <cellStyle name="Percent 10 2 2" xfId="382"/>
    <cellStyle name="Percent 10 2 2 2" xfId="892"/>
    <cellStyle name="Percent 10 2 2 2 2" xfId="1251"/>
    <cellStyle name="Percent 10 2 2 3" xfId="513"/>
    <cellStyle name="Percent 10 2 2 3 2" xfId="1118"/>
    <cellStyle name="Percent 10 2 2 4" xfId="1010"/>
    <cellStyle name="Percent 10 2 3" xfId="652"/>
    <cellStyle name="Percent 10 2 3 2" xfId="1179"/>
    <cellStyle name="Percent 10 2 4" xfId="449"/>
    <cellStyle name="Percent 10 2 4 2" xfId="1064"/>
    <cellStyle name="Percent 10 2 5" xfId="956"/>
    <cellStyle name="Percent 10 3" xfId="355"/>
    <cellStyle name="Percent 10 3 2" xfId="866"/>
    <cellStyle name="Percent 10 3 2 2" xfId="1235"/>
    <cellStyle name="Percent 10 3 3" xfId="487"/>
    <cellStyle name="Percent 10 3 3 2" xfId="1102"/>
    <cellStyle name="Percent 10 3 4" xfId="994"/>
    <cellStyle name="Percent 10 4" xfId="626"/>
    <cellStyle name="Percent 10 4 2" xfId="1163"/>
    <cellStyle name="Percent 10 5" xfId="432"/>
    <cellStyle name="Percent 10 5 2" xfId="1048"/>
    <cellStyle name="Percent 10 6" xfId="939"/>
    <cellStyle name="Percent 11" xfId="278"/>
    <cellStyle name="Percent 11 2" xfId="307"/>
    <cellStyle name="Percent 11 2 2" xfId="384"/>
    <cellStyle name="Percent 11 2 2 2" xfId="894"/>
    <cellStyle name="Percent 11 2 2 2 2" xfId="1253"/>
    <cellStyle name="Percent 11 2 2 3" xfId="515"/>
    <cellStyle name="Percent 11 2 2 3 2" xfId="1120"/>
    <cellStyle name="Percent 11 2 2 4" xfId="1012"/>
    <cellStyle name="Percent 11 2 3" xfId="654"/>
    <cellStyle name="Percent 11 2 3 2" xfId="1181"/>
    <cellStyle name="Percent 11 2 4" xfId="451"/>
    <cellStyle name="Percent 11 2 4 2" xfId="1066"/>
    <cellStyle name="Percent 11 2 5" xfId="958"/>
    <cellStyle name="Percent 11 3" xfId="358"/>
    <cellStyle name="Percent 11 3 2" xfId="868"/>
    <cellStyle name="Percent 11 3 2 2" xfId="1237"/>
    <cellStyle name="Percent 11 3 3" xfId="489"/>
    <cellStyle name="Percent 11 3 3 2" xfId="1104"/>
    <cellStyle name="Percent 11 3 4" xfId="996"/>
    <cellStyle name="Percent 11 4" xfId="628"/>
    <cellStyle name="Percent 11 4 2" xfId="1165"/>
    <cellStyle name="Percent 11 5" xfId="435"/>
    <cellStyle name="Percent 11 5 2" xfId="1050"/>
    <cellStyle name="Percent 11 6" xfId="942"/>
    <cellStyle name="Percent 12" xfId="280"/>
    <cellStyle name="Percent 13" xfId="281"/>
    <cellStyle name="Percent 14" xfId="312"/>
    <cellStyle name="Percent 14 2" xfId="389"/>
    <cellStyle name="Percent 14 2 2" xfId="899"/>
    <cellStyle name="Percent 14 2 2 2" xfId="1258"/>
    <cellStyle name="Percent 14 2 3" xfId="520"/>
    <cellStyle name="Percent 14 2 3 2" xfId="1125"/>
    <cellStyle name="Percent 14 2 4" xfId="1017"/>
    <cellStyle name="Percent 14 3" xfId="659"/>
    <cellStyle name="Percent 14 3 2" xfId="1186"/>
    <cellStyle name="Percent 14 4" xfId="456"/>
    <cellStyle name="Percent 14 4 2" xfId="1071"/>
    <cellStyle name="Percent 14 5" xfId="963"/>
    <cellStyle name="Percent 15" xfId="314"/>
    <cellStyle name="Percent 15 2" xfId="391"/>
    <cellStyle name="Percent 15 2 2" xfId="901"/>
    <cellStyle name="Percent 15 2 2 2" xfId="1260"/>
    <cellStyle name="Percent 15 2 3" xfId="522"/>
    <cellStyle name="Percent 15 2 3 2" xfId="1127"/>
    <cellStyle name="Percent 15 2 4" xfId="1019"/>
    <cellStyle name="Percent 15 3" xfId="661"/>
    <cellStyle name="Percent 15 3 2" xfId="1188"/>
    <cellStyle name="Percent 15 4" xfId="458"/>
    <cellStyle name="Percent 15 4 2" xfId="1073"/>
    <cellStyle name="Percent 15 5" xfId="965"/>
    <cellStyle name="Percent 16" xfId="316"/>
    <cellStyle name="Percent 16 2" xfId="393"/>
    <cellStyle name="Percent 16 2 2" xfId="903"/>
    <cellStyle name="Percent 16 2 2 2" xfId="1262"/>
    <cellStyle name="Percent 16 2 3" xfId="524"/>
    <cellStyle name="Percent 16 2 3 2" xfId="1129"/>
    <cellStyle name="Percent 16 2 4" xfId="1021"/>
    <cellStyle name="Percent 16 3" xfId="663"/>
    <cellStyle name="Percent 16 3 2" xfId="1190"/>
    <cellStyle name="Percent 16 4" xfId="460"/>
    <cellStyle name="Percent 16 4 2" xfId="1075"/>
    <cellStyle name="Percent 16 5" xfId="967"/>
    <cellStyle name="Percent 17" xfId="318"/>
    <cellStyle name="Percent 17 2" xfId="395"/>
    <cellStyle name="Percent 17 2 2" xfId="905"/>
    <cellStyle name="Percent 17 2 2 2" xfId="1264"/>
    <cellStyle name="Percent 17 2 3" xfId="526"/>
    <cellStyle name="Percent 17 2 3 2" xfId="1131"/>
    <cellStyle name="Percent 17 2 4" xfId="1023"/>
    <cellStyle name="Percent 17 3" xfId="665"/>
    <cellStyle name="Percent 17 3 2" xfId="1192"/>
    <cellStyle name="Percent 17 4" xfId="462"/>
    <cellStyle name="Percent 17 4 2" xfId="1077"/>
    <cellStyle name="Percent 17 5" xfId="969"/>
    <cellStyle name="Percent 18" xfId="320"/>
    <cellStyle name="Percent 18 2" xfId="397"/>
    <cellStyle name="Percent 18 2 2" xfId="907"/>
    <cellStyle name="Percent 18 2 2 2" xfId="1266"/>
    <cellStyle name="Percent 18 2 3" xfId="528"/>
    <cellStyle name="Percent 18 2 3 2" xfId="1133"/>
    <cellStyle name="Percent 18 2 4" xfId="1025"/>
    <cellStyle name="Percent 18 3" xfId="667"/>
    <cellStyle name="Percent 18 3 2" xfId="1194"/>
    <cellStyle name="Percent 18 4" xfId="464"/>
    <cellStyle name="Percent 18 4 2" xfId="1079"/>
    <cellStyle name="Percent 18 5" xfId="971"/>
    <cellStyle name="Percent 19" xfId="322"/>
    <cellStyle name="Percent 19 2" xfId="399"/>
    <cellStyle name="Percent 19 2 2" xfId="909"/>
    <cellStyle name="Percent 19 2 2 2" xfId="1268"/>
    <cellStyle name="Percent 19 2 3" xfId="530"/>
    <cellStyle name="Percent 19 2 3 2" xfId="1135"/>
    <cellStyle name="Percent 19 2 4" xfId="1027"/>
    <cellStyle name="Percent 19 3" xfId="669"/>
    <cellStyle name="Percent 19 3 2" xfId="1196"/>
    <cellStyle name="Percent 19 4" xfId="466"/>
    <cellStyle name="Percent 19 4 2" xfId="1081"/>
    <cellStyle name="Percent 19 5" xfId="973"/>
    <cellStyle name="Percent 2" xfId="3"/>
    <cellStyle name="Percent 2 2" xfId="97"/>
    <cellStyle name="Percent 2 3" xfId="62"/>
    <cellStyle name="Percent 2 4" xfId="328"/>
    <cellStyle name="Percent 2 4 2" xfId="334"/>
    <cellStyle name="Percent 2 4 2 2" xfId="335"/>
    <cellStyle name="Percent 2 4 2 2 2" xfId="407"/>
    <cellStyle name="Percent 2 4 2 2 2 2" xfId="915"/>
    <cellStyle name="Percent 2 4 2 2 2 2 2" xfId="1274"/>
    <cellStyle name="Percent 2 4 2 2 2 3" xfId="537"/>
    <cellStyle name="Percent 2 4 2 2 2 3 2" xfId="1142"/>
    <cellStyle name="Percent 2 4 2 2 2 4" xfId="1034"/>
    <cellStyle name="Percent 2 4 2 2 3" xfId="852"/>
    <cellStyle name="Percent 2 4 2 2 3 2" xfId="1221"/>
    <cellStyle name="Percent 2 4 2 2 4" xfId="473"/>
    <cellStyle name="Percent 2 4 2 2 4 2" xfId="1088"/>
    <cellStyle name="Percent 2 4 2 2 5" xfId="980"/>
    <cellStyle name="Percent 2 4 2 3" xfId="406"/>
    <cellStyle name="Percent 2 4 2 3 2" xfId="914"/>
    <cellStyle name="Percent 2 4 2 3 2 2" xfId="1273"/>
    <cellStyle name="Percent 2 4 2 3 3" xfId="536"/>
    <cellStyle name="Percent 2 4 2 3 3 2" xfId="1141"/>
    <cellStyle name="Percent 2 4 2 3 4" xfId="1033"/>
    <cellStyle name="Percent 2 4 2 4" xfId="761"/>
    <cellStyle name="Percent 2 4 2 4 2" xfId="1210"/>
    <cellStyle name="Percent 2 4 2 5" xfId="472"/>
    <cellStyle name="Percent 2 4 2 5 2" xfId="1087"/>
    <cellStyle name="Percent 2 4 2 6" xfId="979"/>
    <cellStyle name="Percent 2 4 3" xfId="401"/>
    <cellStyle name="Percent 2 4 3 2" xfId="911"/>
    <cellStyle name="Percent 2 4 3 2 2" xfId="1270"/>
    <cellStyle name="Percent 2 4 3 3" xfId="532"/>
    <cellStyle name="Percent 2 4 3 3 2" xfId="1137"/>
    <cellStyle name="Percent 2 4 3 4" xfId="1029"/>
    <cellStyle name="Percent 2 4 4" xfId="671"/>
    <cellStyle name="Percent 2 4 4 2" xfId="1198"/>
    <cellStyle name="Percent 2 4 5" xfId="468"/>
    <cellStyle name="Percent 2 4 5 2" xfId="1083"/>
    <cellStyle name="Percent 2 4 6" xfId="975"/>
    <cellStyle name="Percent 20" xfId="326"/>
    <cellStyle name="Percent 20 2" xfId="400"/>
    <cellStyle name="Percent 20 2 2" xfId="910"/>
    <cellStyle name="Percent 20 2 2 2" xfId="1269"/>
    <cellStyle name="Percent 20 2 3" xfId="531"/>
    <cellStyle name="Percent 20 2 3 2" xfId="1136"/>
    <cellStyle name="Percent 20 2 4" xfId="1028"/>
    <cellStyle name="Percent 20 3" xfId="670"/>
    <cellStyle name="Percent 20 3 2" xfId="1197"/>
    <cellStyle name="Percent 20 4" xfId="467"/>
    <cellStyle name="Percent 20 4 2" xfId="1082"/>
    <cellStyle name="Percent 20 5" xfId="974"/>
    <cellStyle name="Percent 21" xfId="337"/>
    <cellStyle name="Percent 22" xfId="348"/>
    <cellStyle name="Percent 23" xfId="340"/>
    <cellStyle name="Percent 24" xfId="403"/>
    <cellStyle name="Percent 25" xfId="341"/>
    <cellStyle name="Percent 26" xfId="844"/>
    <cellStyle name="Percent 27" xfId="841"/>
    <cellStyle name="Percent 27 2" xfId="1215"/>
    <cellStyle name="Percent 28" xfId="412"/>
    <cellStyle name="Percent 29" xfId="416"/>
    <cellStyle name="Percent 3" xfId="215"/>
    <cellStyle name="Percent 30" xfId="919"/>
    <cellStyle name="Percent 31" xfId="918"/>
    <cellStyle name="Percent 32" xfId="922"/>
    <cellStyle name="Percent 33" xfId="924"/>
    <cellStyle name="Percent 4" xfId="219"/>
    <cellStyle name="Percent 5" xfId="223"/>
    <cellStyle name="Percent 6" xfId="222"/>
    <cellStyle name="Percent 7" xfId="224"/>
    <cellStyle name="Percent 8" xfId="217"/>
    <cellStyle name="Percent 9" xfId="234"/>
    <cellStyle name="Percent 9 2" xfId="295"/>
    <cellStyle name="Percent 9 2 2" xfId="373"/>
    <cellStyle name="Percent 9 2 2 2" xfId="883"/>
    <cellStyle name="Percent 9 2 2 2 2" xfId="1248"/>
    <cellStyle name="Percent 9 2 2 3" xfId="504"/>
    <cellStyle name="Percent 9 2 2 3 2" xfId="1115"/>
    <cellStyle name="Percent 9 2 2 4" xfId="1007"/>
    <cellStyle name="Percent 9 2 3" xfId="643"/>
    <cellStyle name="Percent 9 2 3 2" xfId="1176"/>
    <cellStyle name="Percent 9 2 4" xfId="446"/>
    <cellStyle name="Percent 9 2 4 2" xfId="1061"/>
    <cellStyle name="Percent 9 2 5" xfId="953"/>
    <cellStyle name="Percent 9 3" xfId="352"/>
    <cellStyle name="Percent 9 3 2" xfId="863"/>
    <cellStyle name="Percent 9 3 2 2" xfId="1232"/>
    <cellStyle name="Percent 9 3 3" xfId="484"/>
    <cellStyle name="Percent 9 3 3 2" xfId="1099"/>
    <cellStyle name="Percent 9 3 4" xfId="991"/>
    <cellStyle name="Percent 9 4" xfId="589"/>
    <cellStyle name="Percent 9 4 2" xfId="1160"/>
    <cellStyle name="Percent 9 5" xfId="426"/>
    <cellStyle name="Percent 9 5 2" xfId="1045"/>
    <cellStyle name="Percent 9 6" xfId="936"/>
    <cellStyle name="Quantity" xfId="63"/>
    <cellStyle name="Quantity 2" xfId="190"/>
    <cellStyle name="Style 1" xfId="64"/>
    <cellStyle name="アクセント 1" xfId="65"/>
    <cellStyle name="アクセント 2" xfId="66"/>
    <cellStyle name="アクセント 3" xfId="67"/>
    <cellStyle name="アクセント 4" xfId="68"/>
    <cellStyle name="アクセント 5" xfId="69"/>
    <cellStyle name="アクセント 6" xfId="70"/>
    <cellStyle name="スタイル 1" xfId="71"/>
    <cellStyle name="タイトル" xfId="72"/>
    <cellStyle name="チェック セル" xfId="73"/>
    <cellStyle name="どちらでもない" xfId="74"/>
    <cellStyle name="メモ" xfId="75"/>
    <cellStyle name="メモ 2" xfId="191"/>
    <cellStyle name="メモ 2 2" xfId="256"/>
    <cellStyle name="メモ 2 2 2" xfId="728"/>
    <cellStyle name="メモ 2 2 3" xfId="812"/>
    <cellStyle name="メモ 2 2 4" xfId="609"/>
    <cellStyle name="メモ 2 3" xfId="693"/>
    <cellStyle name="メモ 2 4" xfId="779"/>
    <cellStyle name="メモ 2 5" xfId="569"/>
    <cellStyle name="メモ 3" xfId="182"/>
    <cellStyle name="メモ 3 2" xfId="253"/>
    <cellStyle name="メモ 3 2 2" xfId="725"/>
    <cellStyle name="メモ 3 2 3" xfId="810"/>
    <cellStyle name="メモ 3 2 4" xfId="606"/>
    <cellStyle name="メモ 3 3" xfId="690"/>
    <cellStyle name="メモ 3 4" xfId="777"/>
    <cellStyle name="メモ 3 5" xfId="565"/>
    <cellStyle name="メモ 4" xfId="239"/>
    <cellStyle name="メモ 4 2" xfId="713"/>
    <cellStyle name="メモ 4 3" xfId="798"/>
    <cellStyle name="メモ 4 4" xfId="594"/>
    <cellStyle name="メモ 5" xfId="676"/>
    <cellStyle name="メモ 6" xfId="763"/>
    <cellStyle name="メモ 7" xfId="547"/>
    <cellStyle name="リンク セル" xfId="76"/>
    <cellStyle name="เครื่องหมายจุลภาค [0]_ASSEMBpw4_picture" xfId="139"/>
    <cellStyle name="เครื่องหมายจุลภาค_ASSEMBpw4_picture" xfId="140"/>
    <cellStyle name="เครื่องหมายสกุลเงิน [0]_ASSEMBpw4_picture" xfId="141"/>
    <cellStyle name="เครื่องหมายสกุลเงิน_ASSEMBpw4_picture" xfId="142"/>
    <cellStyle name="ปกติ_ASSEMBpw4_picture" xfId="143"/>
    <cellStyle name="入力" xfId="77"/>
    <cellStyle name="入力 2" xfId="192"/>
    <cellStyle name="入力 2 2" xfId="257"/>
    <cellStyle name="入力 2 2 2" xfId="729"/>
    <cellStyle name="入力 2 2 3" xfId="813"/>
    <cellStyle name="入力 2 2 4" xfId="610"/>
    <cellStyle name="入力 2 3" xfId="694"/>
    <cellStyle name="入力 2 4" xfId="780"/>
    <cellStyle name="入力 2 5" xfId="570"/>
    <cellStyle name="入力 3" xfId="181"/>
    <cellStyle name="入力 3 2" xfId="252"/>
    <cellStyle name="入力 3 2 2" xfId="724"/>
    <cellStyle name="入力 3 2 3" xfId="809"/>
    <cellStyle name="入力 3 2 4" xfId="605"/>
    <cellStyle name="入力 3 3" xfId="689"/>
    <cellStyle name="入力 3 4" xfId="776"/>
    <cellStyle name="入力 3 5" xfId="564"/>
    <cellStyle name="入力 4" xfId="240"/>
    <cellStyle name="入力 4 2" xfId="714"/>
    <cellStyle name="入力 4 3" xfId="799"/>
    <cellStyle name="入力 4 4" xfId="595"/>
    <cellStyle name="入力 5" xfId="677"/>
    <cellStyle name="入力 6" xfId="764"/>
    <cellStyle name="入力 7" xfId="548"/>
    <cellStyle name="出力" xfId="78"/>
    <cellStyle name="出力 2" xfId="193"/>
    <cellStyle name="出力 2 2" xfId="258"/>
    <cellStyle name="出力 2 2 2" xfId="301"/>
    <cellStyle name="出力 2 2 2 2" xfId="379"/>
    <cellStyle name="出力 2 2 2 2 2" xfId="889"/>
    <cellStyle name="出力 2 2 2 2 3" xfId="753"/>
    <cellStyle name="出力 2 2 2 2 4" xfId="510"/>
    <cellStyle name="出力 2 2 2 3" xfId="837"/>
    <cellStyle name="出力 2 2 2 4" xfId="649"/>
    <cellStyle name="出力 2 2 3" xfId="730"/>
    <cellStyle name="出力 2 2 4" xfId="814"/>
    <cellStyle name="出力 2 2 5" xfId="611"/>
    <cellStyle name="出力 2 3" xfId="289"/>
    <cellStyle name="出力 2 3 2" xfId="367"/>
    <cellStyle name="出力 2 3 2 2" xfId="877"/>
    <cellStyle name="出力 2 3 2 3" xfId="746"/>
    <cellStyle name="出力 2 3 2 4" xfId="498"/>
    <cellStyle name="出力 2 3 3" xfId="830"/>
    <cellStyle name="出力 2 3 4" xfId="637"/>
    <cellStyle name="出力 2 4" xfId="695"/>
    <cellStyle name="出力 2 5" xfId="781"/>
    <cellStyle name="出力 2 6" xfId="571"/>
    <cellStyle name="出力 3" xfId="180"/>
    <cellStyle name="出力 3 2" xfId="251"/>
    <cellStyle name="出力 3 2 2" xfId="300"/>
    <cellStyle name="出力 3 2 2 2" xfId="378"/>
    <cellStyle name="出力 3 2 2 2 2" xfId="888"/>
    <cellStyle name="出力 3 2 2 2 3" xfId="752"/>
    <cellStyle name="出力 3 2 2 2 4" xfId="509"/>
    <cellStyle name="出力 3 2 2 3" xfId="836"/>
    <cellStyle name="出力 3 2 2 4" xfId="648"/>
    <cellStyle name="出力 3 2 3" xfId="723"/>
    <cellStyle name="出力 3 2 4" xfId="808"/>
    <cellStyle name="出力 3 2 5" xfId="604"/>
    <cellStyle name="出力 3 3" xfId="288"/>
    <cellStyle name="出力 3 3 2" xfId="366"/>
    <cellStyle name="出力 3 3 2 2" xfId="876"/>
    <cellStyle name="出力 3 3 2 3" xfId="745"/>
    <cellStyle name="出力 3 3 2 4" xfId="497"/>
    <cellStyle name="出力 3 3 3" xfId="829"/>
    <cellStyle name="出力 3 3 4" xfId="636"/>
    <cellStyle name="出力 3 4" xfId="688"/>
    <cellStyle name="出力 3 5" xfId="775"/>
    <cellStyle name="出力 3 6" xfId="563"/>
    <cellStyle name="出力 4" xfId="241"/>
    <cellStyle name="出力 4 2" xfId="298"/>
    <cellStyle name="出力 4 2 2" xfId="376"/>
    <cellStyle name="出力 4 2 2 2" xfId="886"/>
    <cellStyle name="出力 4 2 2 3" xfId="750"/>
    <cellStyle name="出力 4 2 2 4" xfId="507"/>
    <cellStyle name="出力 4 2 3" xfId="834"/>
    <cellStyle name="出力 4 2 4" xfId="646"/>
    <cellStyle name="出力 4 3" xfId="715"/>
    <cellStyle name="出力 4 4" xfId="800"/>
    <cellStyle name="出力 4 5" xfId="596"/>
    <cellStyle name="出力 5" xfId="678"/>
    <cellStyle name="出力 6" xfId="765"/>
    <cellStyle name="出力 7" xfId="549"/>
    <cellStyle name="好" xfId="144"/>
    <cellStyle name="差" xfId="145"/>
    <cellStyle name="常规_BS.PL.COST.ADMIN_08'02" xfId="79"/>
    <cellStyle name="强调文字颜色 1" xfId="146"/>
    <cellStyle name="强调文字颜色 2" xfId="147"/>
    <cellStyle name="强调文字颜色 3" xfId="148"/>
    <cellStyle name="强调文字颜色 4" xfId="149"/>
    <cellStyle name="强调文字颜色 5" xfId="150"/>
    <cellStyle name="强调文字颜色 6" xfId="151"/>
    <cellStyle name="悪い" xfId="80"/>
    <cellStyle name="标题" xfId="152"/>
    <cellStyle name="标题 1" xfId="153"/>
    <cellStyle name="标题 2" xfId="154"/>
    <cellStyle name="标题 3" xfId="155"/>
    <cellStyle name="标题 3 2" xfId="245"/>
    <cellStyle name="标题 4" xfId="156"/>
    <cellStyle name="桁区切り 3" xfId="211"/>
    <cellStyle name="桁蟻唇Ｆ [0.00]_pldt dis" xfId="81"/>
    <cellStyle name="桁蟻唇Ｆ_pldt0]_p" xfId="82"/>
    <cellStyle name="检查单元格" xfId="157"/>
    <cellStyle name="標準 2" xfId="216"/>
    <cellStyle name="標準 3" xfId="210"/>
    <cellStyle name="標準 4" xfId="233"/>
    <cellStyle name="汇总" xfId="158"/>
    <cellStyle name="汇总 2" xfId="194"/>
    <cellStyle name="汇总 2 2" xfId="259"/>
    <cellStyle name="汇总 2 2 2" xfId="731"/>
    <cellStyle name="汇总 2 2 3" xfId="815"/>
    <cellStyle name="汇总 2 2 4" xfId="612"/>
    <cellStyle name="汇总 2 2 5" xfId="430"/>
    <cellStyle name="汇总 2 3" xfId="696"/>
    <cellStyle name="汇总 2 4" xfId="782"/>
    <cellStyle name="汇总 2 5" xfId="572"/>
    <cellStyle name="汇总 2 6" xfId="421"/>
    <cellStyle name="汇总 3" xfId="202"/>
    <cellStyle name="汇总 3 2" xfId="266"/>
    <cellStyle name="汇总 3 2 2" xfId="738"/>
    <cellStyle name="汇总 3 2 3" xfId="822"/>
    <cellStyle name="汇总 3 2 4" xfId="619"/>
    <cellStyle name="汇总 3 2 5" xfId="431"/>
    <cellStyle name="汇总 3 3" xfId="703"/>
    <cellStyle name="汇总 3 4" xfId="789"/>
    <cellStyle name="汇总 3 5" xfId="580"/>
    <cellStyle name="汇总 3 6" xfId="423"/>
    <cellStyle name="汇总 4" xfId="246"/>
    <cellStyle name="汇总 4 2" xfId="718"/>
    <cellStyle name="汇总 4 3" xfId="803"/>
    <cellStyle name="汇总 4 4" xfId="599"/>
    <cellStyle name="汇总 4 5" xfId="429"/>
    <cellStyle name="汇总 5" xfId="683"/>
    <cellStyle name="汇总 6" xfId="770"/>
    <cellStyle name="汇总 7" xfId="554"/>
    <cellStyle name="注释" xfId="159"/>
    <cellStyle name="注释 2" xfId="195"/>
    <cellStyle name="注释 2 2" xfId="260"/>
    <cellStyle name="注释 2 2 2" xfId="732"/>
    <cellStyle name="注释 2 2 3" xfId="816"/>
    <cellStyle name="注释 2 2 4" xfId="613"/>
    <cellStyle name="注释 2 3" xfId="697"/>
    <cellStyle name="注释 2 4" xfId="783"/>
    <cellStyle name="注释 2 5" xfId="573"/>
    <cellStyle name="注释 3" xfId="203"/>
    <cellStyle name="注释 3 2" xfId="267"/>
    <cellStyle name="注释 3 2 2" xfId="739"/>
    <cellStyle name="注释 3 2 3" xfId="823"/>
    <cellStyle name="注释 3 2 4" xfId="620"/>
    <cellStyle name="注释 3 3" xfId="704"/>
    <cellStyle name="注释 3 4" xfId="790"/>
    <cellStyle name="注释 3 5" xfId="581"/>
    <cellStyle name="注释 4" xfId="247"/>
    <cellStyle name="注释 4 2" xfId="719"/>
    <cellStyle name="注释 4 3" xfId="804"/>
    <cellStyle name="注释 4 4" xfId="600"/>
    <cellStyle name="注释 5" xfId="684"/>
    <cellStyle name="注释 6" xfId="771"/>
    <cellStyle name="注释 7" xfId="555"/>
    <cellStyle name="脱浦 [0.00]_・窟嘘" xfId="83"/>
    <cellStyle name="脱浦_・窟嘘" xfId="84"/>
    <cellStyle name="良い" xfId="85"/>
    <cellStyle name="見出し 1" xfId="86"/>
    <cellStyle name="見出し 2" xfId="87"/>
    <cellStyle name="見出し 3" xfId="88"/>
    <cellStyle name="見出し 3 2" xfId="242"/>
    <cellStyle name="見出し 4" xfId="89"/>
    <cellStyle name="解释性文本" xfId="160"/>
    <cellStyle name="計算" xfId="90"/>
    <cellStyle name="計算 2" xfId="196"/>
    <cellStyle name="計算 2 2" xfId="261"/>
    <cellStyle name="計算 2 2 2" xfId="733"/>
    <cellStyle name="計算 2 2 3" xfId="817"/>
    <cellStyle name="計算 2 2 4" xfId="614"/>
    <cellStyle name="計算 2 3" xfId="698"/>
    <cellStyle name="計算 2 4" xfId="784"/>
    <cellStyle name="計算 2 5" xfId="574"/>
    <cellStyle name="計算 3" xfId="204"/>
    <cellStyle name="計算 3 2" xfId="268"/>
    <cellStyle name="計算 3 2 2" xfId="740"/>
    <cellStyle name="計算 3 2 3" xfId="824"/>
    <cellStyle name="計算 3 2 4" xfId="621"/>
    <cellStyle name="計算 3 3" xfId="705"/>
    <cellStyle name="計算 3 4" xfId="791"/>
    <cellStyle name="計算 3 5" xfId="582"/>
    <cellStyle name="計算 4" xfId="243"/>
    <cellStyle name="計算 4 2" xfId="716"/>
    <cellStyle name="計算 4 3" xfId="801"/>
    <cellStyle name="計算 4 4" xfId="597"/>
    <cellStyle name="計算 5" xfId="679"/>
    <cellStyle name="計算 6" xfId="766"/>
    <cellStyle name="計算 7" xfId="550"/>
    <cellStyle name="説明文" xfId="91"/>
    <cellStyle name="警告文" xfId="92"/>
    <cellStyle name="警告文本" xfId="161"/>
    <cellStyle name="计算" xfId="162"/>
    <cellStyle name="计算 2" xfId="197"/>
    <cellStyle name="计算 2 2" xfId="262"/>
    <cellStyle name="计算 2 2 2" xfId="734"/>
    <cellStyle name="计算 2 2 3" xfId="818"/>
    <cellStyle name="计算 2 2 4" xfId="615"/>
    <cellStyle name="计算 2 3" xfId="699"/>
    <cellStyle name="计算 2 4" xfId="785"/>
    <cellStyle name="计算 2 5" xfId="575"/>
    <cellStyle name="计算 3" xfId="205"/>
    <cellStyle name="计算 3 2" xfId="269"/>
    <cellStyle name="计算 3 2 2" xfId="741"/>
    <cellStyle name="计算 3 2 3" xfId="825"/>
    <cellStyle name="计算 3 2 4" xfId="622"/>
    <cellStyle name="计算 3 3" xfId="706"/>
    <cellStyle name="计算 3 4" xfId="792"/>
    <cellStyle name="计算 3 5" xfId="583"/>
    <cellStyle name="计算 4" xfId="248"/>
    <cellStyle name="计算 4 2" xfId="720"/>
    <cellStyle name="计算 4 3" xfId="805"/>
    <cellStyle name="计算 4 4" xfId="601"/>
    <cellStyle name="计算 5" xfId="685"/>
    <cellStyle name="计算 6" xfId="772"/>
    <cellStyle name="计算 7" xfId="556"/>
    <cellStyle name="输入" xfId="163"/>
    <cellStyle name="输入 2" xfId="198"/>
    <cellStyle name="输入 2 2" xfId="263"/>
    <cellStyle name="输入 2 2 2" xfId="735"/>
    <cellStyle name="输入 2 2 3" xfId="819"/>
    <cellStyle name="输入 2 2 4" xfId="616"/>
    <cellStyle name="输入 2 3" xfId="700"/>
    <cellStyle name="输入 2 4" xfId="786"/>
    <cellStyle name="输入 2 5" xfId="576"/>
    <cellStyle name="输入 3" xfId="206"/>
    <cellStyle name="输入 3 2" xfId="270"/>
    <cellStyle name="输入 3 2 2" xfId="742"/>
    <cellStyle name="输入 3 2 3" xfId="826"/>
    <cellStyle name="输入 3 2 4" xfId="623"/>
    <cellStyle name="输入 3 3" xfId="707"/>
    <cellStyle name="输入 3 4" xfId="793"/>
    <cellStyle name="输入 3 5" xfId="584"/>
    <cellStyle name="输入 4" xfId="249"/>
    <cellStyle name="输入 4 2" xfId="721"/>
    <cellStyle name="输入 4 3" xfId="806"/>
    <cellStyle name="输入 4 4" xfId="602"/>
    <cellStyle name="输入 5" xfId="686"/>
    <cellStyle name="输入 6" xfId="773"/>
    <cellStyle name="输入 7" xfId="557"/>
    <cellStyle name="输出" xfId="164"/>
    <cellStyle name="输出 2" xfId="199"/>
    <cellStyle name="输出 2 2" xfId="264"/>
    <cellStyle name="输出 2 2 2" xfId="302"/>
    <cellStyle name="输出 2 2 2 2" xfId="380"/>
    <cellStyle name="输出 2 2 2 2 2" xfId="890"/>
    <cellStyle name="输出 2 2 2 2 3" xfId="754"/>
    <cellStyle name="输出 2 2 2 2 4" xfId="511"/>
    <cellStyle name="输出 2 2 2 3" xfId="838"/>
    <cellStyle name="输出 2 2 2 4" xfId="650"/>
    <cellStyle name="输出 2 2 3" xfId="736"/>
    <cellStyle name="输出 2 2 4" xfId="820"/>
    <cellStyle name="输出 2 2 5" xfId="617"/>
    <cellStyle name="输出 2 3" xfId="290"/>
    <cellStyle name="输出 2 3 2" xfId="368"/>
    <cellStyle name="输出 2 3 2 2" xfId="878"/>
    <cellStyle name="输出 2 3 2 3" xfId="747"/>
    <cellStyle name="输出 2 3 2 4" xfId="499"/>
    <cellStyle name="输出 2 3 3" xfId="831"/>
    <cellStyle name="输出 2 3 4" xfId="638"/>
    <cellStyle name="输出 2 4" xfId="701"/>
    <cellStyle name="输出 2 5" xfId="787"/>
    <cellStyle name="输出 2 6" xfId="577"/>
    <cellStyle name="输出 3" xfId="207"/>
    <cellStyle name="输出 3 2" xfId="271"/>
    <cellStyle name="输出 3 2 2" xfId="303"/>
    <cellStyle name="输出 3 2 2 2" xfId="381"/>
    <cellStyle name="输出 3 2 2 2 2" xfId="891"/>
    <cellStyle name="输出 3 2 2 2 3" xfId="755"/>
    <cellStyle name="输出 3 2 2 2 4" xfId="512"/>
    <cellStyle name="输出 3 2 2 3" xfId="839"/>
    <cellStyle name="输出 3 2 2 4" xfId="651"/>
    <cellStyle name="输出 3 2 3" xfId="743"/>
    <cellStyle name="输出 3 2 4" xfId="827"/>
    <cellStyle name="输出 3 2 5" xfId="624"/>
    <cellStyle name="输出 3 3" xfId="292"/>
    <cellStyle name="输出 3 3 2" xfId="370"/>
    <cellStyle name="输出 3 3 2 2" xfId="880"/>
    <cellStyle name="输出 3 3 2 3" xfId="748"/>
    <cellStyle name="输出 3 3 2 4" xfId="501"/>
    <cellStyle name="输出 3 3 3" xfId="832"/>
    <cellStyle name="输出 3 3 4" xfId="640"/>
    <cellStyle name="输出 3 4" xfId="708"/>
    <cellStyle name="输出 3 5" xfId="794"/>
    <cellStyle name="输出 3 6" xfId="585"/>
    <cellStyle name="输出 4" xfId="250"/>
    <cellStyle name="输出 4 2" xfId="299"/>
    <cellStyle name="输出 4 2 2" xfId="377"/>
    <cellStyle name="输出 4 2 2 2" xfId="887"/>
    <cellStyle name="输出 4 2 2 3" xfId="751"/>
    <cellStyle name="输出 4 2 2 4" xfId="508"/>
    <cellStyle name="输出 4 2 3" xfId="835"/>
    <cellStyle name="输出 4 2 4" xfId="647"/>
    <cellStyle name="输出 4 3" xfId="722"/>
    <cellStyle name="输出 4 4" xfId="807"/>
    <cellStyle name="输出 4 5" xfId="603"/>
    <cellStyle name="输出 5" xfId="687"/>
    <cellStyle name="输出 6" xfId="774"/>
    <cellStyle name="输出 7" xfId="558"/>
    <cellStyle name="适中" xfId="165"/>
    <cellStyle name="链接单元格" xfId="166"/>
    <cellStyle name="集計" xfId="93"/>
    <cellStyle name="集計 2" xfId="200"/>
    <cellStyle name="集計 2 2" xfId="265"/>
    <cellStyle name="集計 2 2 2" xfId="737"/>
    <cellStyle name="集計 2 2 3" xfId="821"/>
    <cellStyle name="集計 2 2 4" xfId="618"/>
    <cellStyle name="集計 2 3" xfId="702"/>
    <cellStyle name="集計 2 4" xfId="788"/>
    <cellStyle name="集計 2 5" xfId="578"/>
    <cellStyle name="集計 3" xfId="208"/>
    <cellStyle name="集計 3 2" xfId="272"/>
    <cellStyle name="集計 3 2 2" xfId="744"/>
    <cellStyle name="集計 3 2 3" xfId="828"/>
    <cellStyle name="集計 3 2 4" xfId="625"/>
    <cellStyle name="集計 3 3" xfId="709"/>
    <cellStyle name="集計 3 4" xfId="795"/>
    <cellStyle name="集計 3 5" xfId="586"/>
    <cellStyle name="集計 4" xfId="244"/>
    <cellStyle name="集計 4 2" xfId="717"/>
    <cellStyle name="集計 4 3" xfId="802"/>
    <cellStyle name="集計 4 4" xfId="598"/>
    <cellStyle name="集計 5" xfId="680"/>
    <cellStyle name="集計 6" xfId="767"/>
    <cellStyle name="集計 7" xfId="551"/>
  </cellStyles>
  <dxfs count="453">
    <dxf>
      <numFmt numFmtId="166" formatCode="_-* #,##0.00_-;\-* #,##0.00_-;_-* &quot;-&quot;??_-;_-@_-"/>
    </dxf>
    <dxf>
      <numFmt numFmtId="186" formatCode="_-* #,##0.0_-;\-* #,##0.0_-;_-* &quot;-&quot;??_-;_-@_-"/>
    </dxf>
    <dxf>
      <numFmt numFmtId="189" formatCode="_-* #,##0_-;\-* #,##0_-;_-* &quot;-&quot;??_-;_-@_-"/>
    </dxf>
    <dxf>
      <numFmt numFmtId="192" formatCode="0.00000"/>
    </dxf>
    <dxf>
      <numFmt numFmtId="190" formatCode="0.0000"/>
    </dxf>
    <dxf>
      <numFmt numFmtId="167" formatCode="0.000"/>
    </dxf>
    <dxf>
      <numFmt numFmtId="2" formatCode="0.00"/>
    </dxf>
    <dxf>
      <numFmt numFmtId="187" formatCode="0.0"/>
    </dxf>
    <dxf>
      <numFmt numFmtId="1" formatCode="0"/>
    </dxf>
    <dxf>
      <numFmt numFmtId="14" formatCode="0.00%"/>
    </dxf>
    <dxf>
      <alignment horizontal="center"/>
    </dxf>
    <dxf>
      <numFmt numFmtId="14" formatCode="0.00%"/>
    </dxf>
    <dxf>
      <alignment wrapText="1"/>
    </dxf>
    <dxf>
      <numFmt numFmtId="2" formatCode="0.00"/>
    </dxf>
    <dxf>
      <numFmt numFmtId="1" formatCode="0"/>
    </dxf>
    <dxf>
      <alignment horizontal="center"/>
    </dxf>
    <dxf>
      <numFmt numFmtId="14"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0"/>
        <color rgb="FF000000"/>
        <name val="Calibri"/>
        <scheme val="none"/>
      </font>
      <fill>
        <patternFill patternType="solid">
          <fgColor indexed="64"/>
          <bgColor theme="0" tint="-0.14999847407452621"/>
        </patternFill>
      </fill>
      <border diagonalUp="0" diagonalDown="0">
        <left/>
        <right/>
        <top style="medium">
          <color auto="1"/>
        </top>
        <bottom style="medium">
          <color auto="1"/>
        </bottom>
        <vertical/>
        <horizontal style="medium">
          <color auto="1"/>
        </horizontal>
      </border>
    </dxf>
    <dxf>
      <border outline="0">
        <left style="medium">
          <color indexed="64"/>
        </left>
        <top style="medium">
          <color indexed="64"/>
        </top>
      </border>
    </dxf>
    <dxf>
      <font>
        <b/>
        <i val="0"/>
        <strike val="0"/>
        <condense val="0"/>
        <extend val="0"/>
        <outline val="0"/>
        <shadow val="0"/>
        <u val="none"/>
        <vertAlign val="baseline"/>
        <sz val="10"/>
        <color rgb="FF000000"/>
        <name val="Calibri"/>
        <scheme val="none"/>
      </font>
      <fill>
        <patternFill patternType="solid">
          <fgColor indexed="64"/>
          <bgColor theme="0" tint="-0.14999847407452621"/>
        </patternFill>
      </fill>
    </dxf>
    <dxf>
      <border outline="0">
        <bottom style="medium">
          <color indexed="64"/>
        </bottom>
      </border>
    </dxf>
    <dxf>
      <font>
        <b/>
        <i val="0"/>
        <strike val="0"/>
        <condense val="0"/>
        <extend val="0"/>
        <outline val="0"/>
        <shadow val="0"/>
        <u val="none"/>
        <vertAlign val="baseline"/>
        <sz val="10"/>
        <color rgb="FF000000"/>
        <name val="Calibri"/>
        <scheme val="none"/>
      </font>
      <fill>
        <patternFill patternType="solid">
          <fgColor indexed="64"/>
          <bgColor theme="8" tint="0.59999389629810485"/>
        </patternFill>
      </fill>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right style="medium">
          <color indexed="64"/>
        </right>
      </border>
    </dxf>
    <dxf>
      <border>
        <right style="medium">
          <color indexed="64"/>
        </right>
      </border>
    </dxf>
    <dxf>
      <border>
        <right style="medium">
          <color indexed="64"/>
        </right>
      </border>
    </dxf>
    <dxf>
      <border>
        <right style="medium">
          <color indexed="64"/>
        </right>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bottom" readingOrder="0"/>
    </dxf>
    <dxf>
      <alignment horizontal="center" readingOrder="0"/>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numFmt numFmtId="2" formatCode="0.00"/>
      <alignment horizontal="left" wrapText="1" readingOrder="0"/>
    </dxf>
    <dxf>
      <numFmt numFmtId="2" formatCode="0.00"/>
      <alignment horizontal="left" wrapText="1"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0" readingOrder="0"/>
    </dxf>
    <dxf>
      <alignment wrapText="0" readingOrder="0"/>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center" readingOrder="0"/>
    </dxf>
    <dxf>
      <numFmt numFmtId="2" formatCode="0.00"/>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b val="0"/>
        <i val="0"/>
        <strike val="0"/>
        <condense val="0"/>
        <extend val="0"/>
        <outline val="0"/>
        <shadow val="0"/>
        <u val="none"/>
        <vertAlign val="baseline"/>
        <sz val="11"/>
        <color rgb="FF000000"/>
        <name val="Calibri"/>
        <scheme val="none"/>
      </font>
      <numFmt numFmtId="13" formatCode="0%"/>
      <fill>
        <patternFill patternType="none">
          <fgColor indexed="64"/>
          <bgColor indexed="65"/>
        </patternFill>
      </fill>
      <alignment horizontal="general" vertical="top" textRotation="0" wrapText="0" indent="0" justifyLastLine="0" shrinkToFit="0" readingOrder="0"/>
      <border diagonalUp="0" diagonalDown="0" outline="0">
        <left/>
        <right/>
        <top/>
        <bottom/>
      </border>
      <protection locked="0" hidden="0"/>
    </dxf>
    <dxf>
      <numFmt numFmtId="1" formatCode="0"/>
    </dxf>
    <dxf>
      <numFmt numFmtId="1" formatCode="0"/>
    </dxf>
    <dxf>
      <alignment horizontal="center"/>
    </dxf>
    <dxf>
      <alignment horizontal="center"/>
    </dxf>
    <dxf>
      <alignment horizontal="center"/>
    </dxf>
    <dxf>
      <alignment horizontal="center"/>
    </dxf>
    <dxf>
      <alignment horizontal="center"/>
    </dxf>
    <dxf>
      <alignment wrapText="1"/>
    </dxf>
    <dxf>
      <alignment wrapText="1"/>
    </dxf>
    <dxf>
      <numFmt numFmtId="13" formatCode="0%"/>
    </dxf>
    <dxf>
      <numFmt numFmtId="1" formatCode="0"/>
    </dxf>
    <dxf>
      <numFmt numFmtId="14" formatCode="0.00%"/>
    </dxf>
    <dxf>
      <alignment wrapText="1"/>
    </dxf>
    <dxf>
      <numFmt numFmtId="13" formatCode="0%"/>
    </dxf>
    <dxf>
      <numFmt numFmtId="14" formatCode="0.00%"/>
    </dxf>
    <dxf>
      <numFmt numFmtId="189" formatCode="_-* #,##0_-;\-* #,##0_-;_-* &quot;-&quot;??_-;_-@_-"/>
    </dxf>
    <dxf>
      <numFmt numFmtId="186" formatCode="_-* #,##0.0_-;\-* #,##0.0_-;_-* &quot;-&quot;??_-;_-@_-"/>
    </dxf>
    <dxf>
      <numFmt numFmtId="166" formatCode="_-* #,##0.00_-;\-* #,##0.00_-;_-* &quot;-&quot;??_-;_-@_-"/>
    </dxf>
    <dxf>
      <numFmt numFmtId="1" formatCode="0"/>
    </dxf>
    <dxf>
      <numFmt numFmtId="187" formatCode="0.0"/>
    </dxf>
    <dxf>
      <numFmt numFmtId="2" formatCode="0.00"/>
    </dxf>
    <dxf>
      <numFmt numFmtId="167" formatCode="0.000"/>
    </dxf>
    <dxf>
      <numFmt numFmtId="190" formatCode="0.0000"/>
    </dxf>
    <dxf>
      <numFmt numFmtId="192" formatCode="0.00000"/>
    </dxf>
    <dxf>
      <numFmt numFmtId="189" formatCode="_-* #,##0_-;\-* #,##0_-;_-* &quot;-&quot;??_-;_-@_-"/>
    </dxf>
    <dxf>
      <numFmt numFmtId="186" formatCode="_-* #,##0.0_-;\-* #,##0.0_-;_-* &quot;-&quot;??_-;_-@_-"/>
    </dxf>
    <dxf>
      <numFmt numFmtId="166" formatCode="_-* #,##0.00_-;\-* #,##0.00_-;_-* &quot;-&quot;??_-;_-@_-"/>
    </dxf>
    <dxf>
      <numFmt numFmtId="189" formatCode="_-* #,##0_-;\-* #,##0_-;_-* &quot;-&quot;??_-;_-@_-"/>
    </dxf>
    <dxf>
      <numFmt numFmtId="186" formatCode="_-* #,##0.0_-;\-* #,##0.0_-;_-* &quot;-&quot;??_-;_-@_-"/>
    </dxf>
    <dxf>
      <numFmt numFmtId="166" formatCode="_-* #,##0.00_-;\-* #,##0.00_-;_-* &quot;-&quot;??_-;_-@_-"/>
    </dxf>
    <dxf>
      <numFmt numFmtId="14" formatCode="0.00%"/>
    </dxf>
    <dxf>
      <numFmt numFmtId="1" formatCode="0"/>
    </dxf>
    <dxf>
      <numFmt numFmtId="187" formatCode="0.0"/>
    </dxf>
    <dxf>
      <numFmt numFmtId="2" formatCode="0.00"/>
    </dxf>
    <dxf>
      <numFmt numFmtId="167" formatCode="0.000"/>
    </dxf>
    <dxf>
      <numFmt numFmtId="190" formatCode="0.0000"/>
    </dxf>
    <dxf>
      <numFmt numFmtId="192" formatCode="0.00000"/>
    </dxf>
    <dxf>
      <numFmt numFmtId="189" formatCode="_-* #,##0_-;\-* #,##0_-;_-* &quot;-&quot;??_-;_-@_-"/>
    </dxf>
    <dxf>
      <numFmt numFmtId="186" formatCode="_-* #,##0.0_-;\-* #,##0.0_-;_-* &quot;-&quot;??_-;_-@_-"/>
    </dxf>
    <dxf>
      <numFmt numFmtId="166" formatCode="_-* #,##0.00_-;\-* #,##0.00_-;_-* &quot;-&quot;??_-;_-@_-"/>
    </dxf>
    <dxf>
      <numFmt numFmtId="189" formatCode="_-* #,##0_-;\-* #,##0_-;_-* &quot;-&quot;??_-;_-@_-"/>
    </dxf>
    <dxf>
      <numFmt numFmtId="186" formatCode="_-* #,##0.0_-;\-* #,##0.0_-;_-* &quot;-&quot;??_-;_-@_-"/>
    </dxf>
    <dxf>
      <numFmt numFmtId="166" formatCode="_-* #,##0.00_-;\-* #,##0.00_-;_-* &quot;-&quot;??_-;_-@_-"/>
    </dxf>
    <dxf>
      <numFmt numFmtId="189" formatCode="_-* #,##0_-;\-* #,##0_-;_-* &quot;-&quot;??_-;_-@_-"/>
    </dxf>
    <dxf>
      <numFmt numFmtId="186" formatCode="_-* #,##0.0_-;\-* #,##0.0_-;_-* &quot;-&quot;??_-;_-@_-"/>
    </dxf>
    <dxf>
      <numFmt numFmtId="166" formatCode="_-* #,##0.00_-;\-* #,##0.00_-;_-* &quot;-&quot;??_-;_-@_-"/>
    </dxf>
    <dxf>
      <numFmt numFmtId="166" formatCode="_-* #,##0.00_-;\-* #,##0.00_-;_-* &quot;-&quot;??_-;_-@_-"/>
    </dxf>
    <dxf>
      <numFmt numFmtId="14" formatCode="0.00%"/>
    </dxf>
    <dxf>
      <numFmt numFmtId="1" formatCode="0"/>
    </dxf>
    <dxf>
      <numFmt numFmtId="187" formatCode="0.0"/>
    </dxf>
    <dxf>
      <numFmt numFmtId="2" formatCode="0.00"/>
    </dxf>
    <dxf>
      <numFmt numFmtId="167" formatCode="0.000"/>
    </dxf>
    <dxf>
      <numFmt numFmtId="190" formatCode="0.0000"/>
    </dxf>
    <dxf>
      <numFmt numFmtId="192" formatCode="0.00000"/>
    </dxf>
    <dxf>
      <numFmt numFmtId="189" formatCode="_-* #,##0_-;\-* #,##0_-;_-* &quot;-&quot;??_-;_-@_-"/>
    </dxf>
    <dxf>
      <numFmt numFmtId="186" formatCode="_-* #,##0.0_-;\-* #,##0.0_-;_-* &quot;-&quot;??_-;_-@_-"/>
    </dxf>
    <dxf>
      <numFmt numFmtId="166" formatCode="_-* #,##0.00_-;\-* #,##0.00_-;_-* &quot;-&quot;??_-;_-@_-"/>
    </dxf>
    <dxf>
      <numFmt numFmtId="14" formatCode="0.00%"/>
    </dxf>
    <dxf>
      <numFmt numFmtId="189" formatCode="_-* #,##0_-;\-* #,##0_-;_-* &quot;-&quot;??_-;_-@_-"/>
    </dxf>
    <dxf>
      <numFmt numFmtId="186" formatCode="_-* #,##0.0_-;\-* #,##0.0_-;_-* &quot;-&quot;??_-;_-@_-"/>
    </dxf>
    <dxf>
      <numFmt numFmtId="166" formatCode="_-* #,##0.00_-;\-* #,##0.00_-;_-* &quot;-&quot;??_-;_-@_-"/>
    </dxf>
    <dxf>
      <numFmt numFmtId="189" formatCode="_-* #,##0_-;\-* #,##0_-;_-* &quot;-&quot;??_-;_-@_-"/>
    </dxf>
    <dxf>
      <numFmt numFmtId="186" formatCode="_-* #,##0.0_-;\-* #,##0.0_-;_-* &quot;-&quot;??_-;_-@_-"/>
    </dxf>
    <dxf>
      <numFmt numFmtId="166" formatCode="_-* #,##0.00_-;\-* #,##0.00_-;_-* &quot;-&quot;??_-;_-@_-"/>
    </dxf>
    <dxf>
      <numFmt numFmtId="166" formatCode="_-* #,##0.00_-;\-* #,##0.00_-;_-* &quot;-&quot;??_-;_-@_-"/>
    </dxf>
    <dxf>
      <numFmt numFmtId="189" formatCode="_-* #,##0_-;\-* #,##0_-;_-* &quot;-&quot;??_-;_-@_-"/>
    </dxf>
    <dxf>
      <numFmt numFmtId="186" formatCode="_-* #,##0.0_-;\-* #,##0.0_-;_-* &quot;-&quot;??_-;_-@_-"/>
    </dxf>
    <dxf>
      <numFmt numFmtId="166" formatCode="_-* #,##0.00_-;\-* #,##0.00_-;_-* &quot;-&quot;??_-;_-@_-"/>
    </dxf>
    <dxf>
      <numFmt numFmtId="189" formatCode="_-* #,##0_-;\-* #,##0_-;_-* &quot;-&quot;??_-;_-@_-"/>
    </dxf>
    <dxf>
      <numFmt numFmtId="186" formatCode="_-* #,##0.0_-;\-* #,##0.0_-;_-* &quot;-&quot;??_-;_-@_-"/>
    </dxf>
    <dxf>
      <numFmt numFmtId="166" formatCode="_-* #,##0.00_-;\-* #,##0.00_-;_-* &quot;-&quot;??_-;_-@_-"/>
    </dxf>
    <dxf>
      <numFmt numFmtId="166" formatCode="_-* #,##0.00_-;\-* #,##0.00_-;_-* &quot;-&quot;??_-;_-@_-"/>
    </dxf>
    <dxf>
      <numFmt numFmtId="189" formatCode="_-* #,##0_-;\-* #,##0_-;_-* &quot;-&quot;??_-;_-@_-"/>
    </dxf>
    <dxf>
      <numFmt numFmtId="186" formatCode="_-* #,##0.0_-;\-* #,##0.0_-;_-* &quot;-&quot;??_-;_-@_-"/>
    </dxf>
    <dxf>
      <numFmt numFmtId="166" formatCode="_-* #,##0.00_-;\-* #,##0.00_-;_-* &quot;-&quot;??_-;_-@_-"/>
    </dxf>
    <dxf>
      <numFmt numFmtId="189" formatCode="_-* #,##0_-;\-* #,##0_-;_-* &quot;-&quot;??_-;_-@_-"/>
    </dxf>
    <dxf>
      <numFmt numFmtId="186" formatCode="_-* #,##0.0_-;\-* #,##0.0_-;_-* &quot;-&quot;??_-;_-@_-"/>
    </dxf>
    <dxf>
      <numFmt numFmtId="166" formatCode="_-* #,##0.00_-;\-* #,##0.00_-;_-* &quot;-&quot;??_-;_-@_-"/>
    </dxf>
    <dxf>
      <numFmt numFmtId="166" formatCode="_-* #,##0.00_-;\-* #,##0.00_-;_-* &quot;-&quot;??_-;_-@_-"/>
    </dxf>
    <dxf>
      <numFmt numFmtId="1" formatCode="0"/>
    </dxf>
    <dxf>
      <numFmt numFmtId="187" formatCode="0.0"/>
    </dxf>
    <dxf>
      <numFmt numFmtId="2" formatCode="0.00"/>
    </dxf>
    <dxf>
      <numFmt numFmtId="167" formatCode="0.000"/>
    </dxf>
    <dxf>
      <numFmt numFmtId="190" formatCode="0.0000"/>
    </dxf>
    <dxf>
      <numFmt numFmtId="192" formatCode="0.00000"/>
    </dxf>
    <dxf>
      <numFmt numFmtId="0" formatCode="General"/>
    </dxf>
    <dxf>
      <numFmt numFmtId="14" formatCode="0.00%"/>
    </dxf>
    <dxf>
      <numFmt numFmtId="189" formatCode="_-* #,##0_-;\-* #,##0_-;_-* &quot;-&quot;??_-;_-@_-"/>
    </dxf>
    <dxf>
      <numFmt numFmtId="186" formatCode="_-* #,##0.0_-;\-* #,##0.0_-;_-* &quot;-&quot;??_-;_-@_-"/>
    </dxf>
    <dxf>
      <numFmt numFmtId="166" formatCode="_-* #,##0.00_-;\-* #,##0.00_-;_-* &quot;-&quot;??_-;_-@_-"/>
    </dxf>
    <dxf>
      <numFmt numFmtId="187" formatCode="0.0"/>
    </dxf>
    <dxf>
      <numFmt numFmtId="1" formatCode="0"/>
    </dxf>
    <dxf>
      <numFmt numFmtId="187" formatCode="0.0"/>
    </dxf>
    <dxf>
      <numFmt numFmtId="2" formatCode="0.00"/>
    </dxf>
    <dxf>
      <numFmt numFmtId="167" formatCode="0.000"/>
    </dxf>
    <dxf>
      <numFmt numFmtId="190" formatCode="0.0000"/>
    </dxf>
    <dxf>
      <numFmt numFmtId="192" formatCode="0.00000"/>
    </dxf>
    <dxf>
      <numFmt numFmtId="189" formatCode="_-* #,##0_-;\-* #,##0_-;_-* &quot;-&quot;??_-;_-@_-"/>
    </dxf>
    <dxf>
      <numFmt numFmtId="186" formatCode="_-* #,##0.0_-;\-* #,##0.0_-;_-* &quot;-&quot;??_-;_-@_-"/>
    </dxf>
    <dxf>
      <numFmt numFmtId="166" formatCode="_-* #,##0.00_-;\-* #,##0.00_-;_-* &quot;-&quot;??_-;_-@_-"/>
    </dxf>
    <dxf>
      <numFmt numFmtId="14" formatCode="0.00%"/>
    </dxf>
    <dxf>
      <numFmt numFmtId="189" formatCode="_-* #,##0_-;\-* #,##0_-;_-* &quot;-&quot;??_-;_-@_-"/>
    </dxf>
    <dxf>
      <numFmt numFmtId="186" formatCode="_-* #,##0.0_-;\-* #,##0.0_-;_-* &quot;-&quot;??_-;_-@_-"/>
    </dxf>
    <dxf>
      <numFmt numFmtId="166" formatCode="_-* #,##0.00_-;\-* #,##0.00_-;_-* &quot;-&quot;??_-;_-@_-"/>
    </dxf>
    <dxf>
      <numFmt numFmtId="193" formatCode="m/d/yyyy"/>
    </dxf>
    <dxf>
      <numFmt numFmtId="193" formatCode="m/d/yyyy"/>
    </dxf>
    <dxf>
      <font>
        <color rgb="FF9C0006"/>
      </font>
      <fill>
        <patternFill>
          <bgColor rgb="FFFFC7CE"/>
        </patternFill>
      </fill>
    </dxf>
    <dxf>
      <fill>
        <patternFill>
          <bgColor rgb="FFFFFF00"/>
        </patternFill>
      </fill>
    </dxf>
    <dxf>
      <fill>
        <patternFill>
          <bgColor rgb="FF6F5249"/>
        </patternFill>
      </fill>
    </dxf>
    <dxf>
      <fill>
        <patternFill>
          <bgColor rgb="FFFFFF00"/>
        </patternFill>
      </fill>
    </dxf>
    <dxf>
      <fill>
        <patternFill>
          <bgColor rgb="FFFF3300"/>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4" tint="-0.24994659260841701"/>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6F5249"/>
        </patternFill>
      </fill>
    </dxf>
    <dxf>
      <fill>
        <patternFill>
          <bgColor rgb="FFFFFF00"/>
        </patternFill>
      </fill>
    </dxf>
    <dxf>
      <fill>
        <patternFill>
          <bgColor rgb="FFFF3300"/>
        </patternFill>
      </fill>
    </dxf>
    <dxf>
      <fill>
        <patternFill>
          <bgColor theme="9" tint="0.39994506668294322"/>
        </patternFill>
      </fill>
    </dxf>
    <dxf>
      <fill>
        <patternFill>
          <bgColor theme="4" tint="-0.24994659260841701"/>
        </patternFill>
      </fill>
    </dxf>
    <dxf>
      <fill>
        <patternFill>
          <bgColor theme="7" tint="0.39994506668294322"/>
        </patternFill>
      </fill>
    </dxf>
    <dxf>
      <fill>
        <patternFill>
          <bgColor theme="9" tint="0.39994506668294322"/>
        </patternFill>
      </fill>
    </dxf>
    <dxf>
      <fill>
        <patternFill>
          <bgColor theme="4" tint="-0.24994659260841701"/>
        </patternFill>
      </fill>
    </dxf>
    <dxf>
      <fill>
        <patternFill>
          <bgColor theme="7" tint="0.39994506668294322"/>
        </patternFill>
      </fill>
    </dxf>
    <dxf>
      <font>
        <color rgb="FF9C0006"/>
      </font>
      <fill>
        <patternFill>
          <bgColor rgb="FFFFC7CE"/>
        </patternFill>
      </fill>
    </dxf>
    <dxf>
      <fill>
        <patternFill>
          <bgColor rgb="FFFFFF00"/>
        </patternFill>
      </fill>
    </dxf>
    <dxf>
      <fill>
        <patternFill>
          <bgColor rgb="FF6F5249"/>
        </patternFill>
      </fill>
    </dxf>
    <dxf>
      <fill>
        <patternFill>
          <bgColor rgb="FFFFFF00"/>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6F5249"/>
        </patternFill>
      </fill>
    </dxf>
    <dxf>
      <fill>
        <patternFill>
          <bgColor rgb="FFFFFF00"/>
        </patternFill>
      </fill>
    </dxf>
    <dxf>
      <fill>
        <patternFill>
          <bgColor rgb="FFFF3300"/>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4" tint="-0.24994659260841701"/>
        </patternFill>
      </fill>
    </dxf>
    <dxf>
      <fill>
        <patternFill>
          <bgColor theme="7" tint="0.39994506668294322"/>
        </patternFill>
      </fill>
    </dxf>
    <dxf>
      <fill>
        <patternFill>
          <bgColor theme="9" tint="0.39994506668294322"/>
        </patternFill>
      </fill>
    </dxf>
    <dxf>
      <fill>
        <patternFill>
          <bgColor theme="4" tint="-0.24994659260841701"/>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4" tint="-0.24994659260841701"/>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4" tint="-0.24994659260841701"/>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6F5249"/>
        </patternFill>
      </fill>
    </dxf>
    <dxf>
      <fill>
        <patternFill>
          <bgColor rgb="FFFFFF00"/>
        </patternFill>
      </fill>
    </dxf>
    <dxf>
      <fill>
        <patternFill>
          <bgColor rgb="FFFF3300"/>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4" tint="-0.24994659260841701"/>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6F5249"/>
        </patternFill>
      </fill>
    </dxf>
    <dxf>
      <fill>
        <patternFill>
          <bgColor rgb="FFFFFF00"/>
        </patternFill>
      </fill>
    </dxf>
    <dxf>
      <fill>
        <patternFill>
          <bgColor rgb="FFFF3300"/>
        </patternFill>
      </fill>
    </dxf>
    <dxf>
      <fill>
        <patternFill>
          <bgColor theme="9" tint="0.39994506668294322"/>
        </patternFill>
      </fill>
    </dxf>
    <dxf>
      <fill>
        <patternFill>
          <bgColor theme="4" tint="-0.24994659260841701"/>
        </patternFill>
      </fill>
    </dxf>
    <dxf>
      <fill>
        <patternFill>
          <bgColor theme="7" tint="0.39994506668294322"/>
        </patternFill>
      </fill>
    </dxf>
    <dxf>
      <fill>
        <patternFill>
          <bgColor theme="9" tint="0.39994506668294322"/>
        </patternFill>
      </fill>
    </dxf>
    <dxf>
      <fill>
        <patternFill>
          <bgColor theme="4" tint="-0.24994659260841701"/>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rgb="FFFF33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color rgb="FF9C0006"/>
      </font>
      <fill>
        <patternFill>
          <bgColor rgb="FFFFC7CE"/>
        </patternFill>
      </fill>
    </dxf>
    <dxf>
      <font>
        <b/>
        <i val="0"/>
      </font>
      <fill>
        <patternFill>
          <bgColor rgb="FFFFFF00"/>
        </patternFill>
      </fill>
    </dxf>
    <dxf>
      <fill>
        <patternFill>
          <bgColor theme="9" tint="0.39994506668294322"/>
        </patternFill>
      </fill>
    </dxf>
    <dxf>
      <fill>
        <patternFill>
          <bgColor theme="4" tint="-0.24994659260841701"/>
        </patternFill>
      </fill>
    </dxf>
    <dxf>
      <fill>
        <patternFill>
          <bgColor theme="7" tint="0.39994506668294322"/>
        </patternFill>
      </fill>
    </dxf>
    <dxf>
      <numFmt numFmtId="193" formatCode="m/d/yyyy"/>
    </dxf>
    <dxf>
      <numFmt numFmtId="193" formatCode="m/d/yyyy"/>
    </dxf>
    <dxf>
      <numFmt numFmtId="193" formatCode="m/d/yyyy"/>
    </dxf>
    <dxf>
      <numFmt numFmtId="193" formatCode="m/d/yyyy"/>
    </dxf>
  </dxfs>
  <tableStyles count="2" defaultTableStyle="TableStyleMedium2" defaultPivotStyle="PivotStyleLight16">
    <tableStyle name="PivotTable Style 1" table="0" count="0"/>
    <tableStyle name="Table Style 1" pivot="0" count="0"/>
  </tableStyles>
  <colors>
    <mruColors>
      <color rgb="FFFFCCFF"/>
      <color rgb="FFFFA3DE"/>
      <color rgb="FFFDBBA9"/>
      <color rgb="FFFF5050"/>
      <color rgb="FFFF3300"/>
      <color rgb="FF6F5249"/>
      <color rgb="FF770B03"/>
      <color rgb="FFAA61C7"/>
      <color rgb="FFB775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externalLink" Target="externalLinks/externalLink1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3.xml"/><Relationship Id="rId42" Type="http://schemas.openxmlformats.org/officeDocument/2006/relationships/pivotCacheDefinition" Target="pivotCache/pivotCacheDefinition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externalLink" Target="externalLinks/externalLink17.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externalLink" Target="externalLinks/externalLink16.xml"/><Relationship Id="rId40" Type="http://schemas.openxmlformats.org/officeDocument/2006/relationships/externalLink" Target="externalLinks/externalLink19.xml"/><Relationship Id="rId45"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externalLink" Target="externalLinks/externalLink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43" Type="http://schemas.openxmlformats.org/officeDocument/2006/relationships/pivotCacheDefinition" Target="pivotCache/pivotCacheDefinition3.xml"/><Relationship Id="rId48"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Sheet4!$C$17:$C$18</c:f>
              <c:strCache>
                <c:ptCount val="1"/>
                <c:pt idx="0">
                  <c:v>Aug</c:v>
                </c:pt>
              </c:strCache>
            </c:strRef>
          </c:tx>
          <c:spPr>
            <a:solidFill>
              <a:schemeClr val="accent1"/>
            </a:solidFill>
            <a:ln>
              <a:noFill/>
            </a:ln>
            <a:effectLst/>
          </c:spPr>
          <c:invertIfNegative val="0"/>
          <c:cat>
            <c:strRef>
              <c:f>Sheet4!$B$19:$B$29</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Sheet4!$C$19:$C$29</c:f>
              <c:numCache>
                <c:formatCode>_-* #,##0_-;\-* #,##0_-;_-* "-"??_-;_-@_-</c:formatCode>
                <c:ptCount val="10"/>
                <c:pt idx="0">
                  <c:v>136099</c:v>
                </c:pt>
                <c:pt idx="1">
                  <c:v>79436</c:v>
                </c:pt>
                <c:pt idx="2">
                  <c:v>124733</c:v>
                </c:pt>
                <c:pt idx="3">
                  <c:v>85138</c:v>
                </c:pt>
                <c:pt idx="4">
                  <c:v>115640</c:v>
                </c:pt>
                <c:pt idx="5">
                  <c:v>274730</c:v>
                </c:pt>
                <c:pt idx="6">
                  <c:v>270430</c:v>
                </c:pt>
                <c:pt idx="7">
                  <c:v>264162</c:v>
                </c:pt>
                <c:pt idx="8">
                  <c:v>246627</c:v>
                </c:pt>
                <c:pt idx="9">
                  <c:v>161749</c:v>
                </c:pt>
              </c:numCache>
            </c:numRef>
          </c:val>
          <c:extLst>
            <c:ext xmlns:c16="http://schemas.microsoft.com/office/drawing/2014/chart" uri="{C3380CC4-5D6E-409C-BE32-E72D297353CC}">
              <c16:uniqueId val="{00000000-A463-4E91-961C-45B6FDC6C96F}"/>
            </c:ext>
          </c:extLst>
        </c:ser>
        <c:ser>
          <c:idx val="1"/>
          <c:order val="1"/>
          <c:tx>
            <c:strRef>
              <c:f>Sheet4!$D$17:$D$18</c:f>
              <c:strCache>
                <c:ptCount val="1"/>
                <c:pt idx="0">
                  <c:v>Sep</c:v>
                </c:pt>
              </c:strCache>
            </c:strRef>
          </c:tx>
          <c:spPr>
            <a:solidFill>
              <a:schemeClr val="accent2"/>
            </a:solidFill>
            <a:ln>
              <a:noFill/>
            </a:ln>
            <a:effectLst/>
          </c:spPr>
          <c:invertIfNegative val="0"/>
          <c:cat>
            <c:strRef>
              <c:f>Sheet4!$B$19:$B$29</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Sheet4!$D$19:$D$29</c:f>
              <c:numCache>
                <c:formatCode>_-* #,##0_-;\-* #,##0_-;_-* "-"??_-;_-@_-</c:formatCode>
                <c:ptCount val="10"/>
                <c:pt idx="0">
                  <c:v>126372</c:v>
                </c:pt>
                <c:pt idx="1">
                  <c:v>145125</c:v>
                </c:pt>
                <c:pt idx="2">
                  <c:v>118224</c:v>
                </c:pt>
                <c:pt idx="3">
                  <c:v>189198</c:v>
                </c:pt>
                <c:pt idx="4">
                  <c:v>293463</c:v>
                </c:pt>
                <c:pt idx="5">
                  <c:v>273117</c:v>
                </c:pt>
                <c:pt idx="6">
                  <c:v>51560</c:v>
                </c:pt>
                <c:pt idx="7">
                  <c:v>283153</c:v>
                </c:pt>
                <c:pt idx="8">
                  <c:v>286474</c:v>
                </c:pt>
                <c:pt idx="9">
                  <c:v>171349</c:v>
                </c:pt>
              </c:numCache>
            </c:numRef>
          </c:val>
          <c:extLst>
            <c:ext xmlns:c16="http://schemas.microsoft.com/office/drawing/2014/chart" uri="{C3380CC4-5D6E-409C-BE32-E72D297353CC}">
              <c16:uniqueId val="{00000001-A463-4E91-961C-45B6FDC6C96F}"/>
            </c:ext>
          </c:extLst>
        </c:ser>
        <c:ser>
          <c:idx val="2"/>
          <c:order val="2"/>
          <c:tx>
            <c:strRef>
              <c:f>Sheet4!$E$17:$E$18</c:f>
              <c:strCache>
                <c:ptCount val="1"/>
                <c:pt idx="0">
                  <c:v>Oct</c:v>
                </c:pt>
              </c:strCache>
            </c:strRef>
          </c:tx>
          <c:spPr>
            <a:solidFill>
              <a:schemeClr val="accent3"/>
            </a:solidFill>
            <a:ln>
              <a:noFill/>
            </a:ln>
            <a:effectLst/>
          </c:spPr>
          <c:invertIfNegative val="0"/>
          <c:cat>
            <c:strRef>
              <c:f>Sheet4!$B$19:$B$29</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Sheet4!$E$19:$E$29</c:f>
              <c:numCache>
                <c:formatCode>_-* #,##0_-;\-* #,##0_-;_-* "-"??_-;_-@_-</c:formatCode>
                <c:ptCount val="10"/>
                <c:pt idx="0">
                  <c:v>133945</c:v>
                </c:pt>
                <c:pt idx="1">
                  <c:v>156226</c:v>
                </c:pt>
                <c:pt idx="2">
                  <c:v>153631</c:v>
                </c:pt>
                <c:pt idx="3">
                  <c:v>114375</c:v>
                </c:pt>
                <c:pt idx="4">
                  <c:v>240917</c:v>
                </c:pt>
                <c:pt idx="5">
                  <c:v>250441</c:v>
                </c:pt>
                <c:pt idx="7">
                  <c:v>237348</c:v>
                </c:pt>
                <c:pt idx="8">
                  <c:v>239979</c:v>
                </c:pt>
                <c:pt idx="9">
                  <c:v>187574</c:v>
                </c:pt>
              </c:numCache>
            </c:numRef>
          </c:val>
          <c:extLst>
            <c:ext xmlns:c16="http://schemas.microsoft.com/office/drawing/2014/chart" uri="{C3380CC4-5D6E-409C-BE32-E72D297353CC}">
              <c16:uniqueId val="{00000002-A463-4E91-961C-45B6FDC6C96F}"/>
            </c:ext>
          </c:extLst>
        </c:ser>
        <c:ser>
          <c:idx val="3"/>
          <c:order val="3"/>
          <c:tx>
            <c:strRef>
              <c:f>Sheet4!$F$17:$F$18</c:f>
              <c:strCache>
                <c:ptCount val="1"/>
                <c:pt idx="0">
                  <c:v>Nov</c:v>
                </c:pt>
              </c:strCache>
            </c:strRef>
          </c:tx>
          <c:spPr>
            <a:solidFill>
              <a:schemeClr val="accent4"/>
            </a:solidFill>
            <a:ln>
              <a:noFill/>
            </a:ln>
            <a:effectLst/>
          </c:spPr>
          <c:invertIfNegative val="0"/>
          <c:cat>
            <c:strRef>
              <c:f>Sheet4!$B$19:$B$29</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Sheet4!$F$19:$F$29</c:f>
              <c:numCache>
                <c:formatCode>_-* #,##0_-;\-* #,##0_-;_-* "-"??_-;_-@_-</c:formatCode>
                <c:ptCount val="10"/>
                <c:pt idx="0">
                  <c:v>158406</c:v>
                </c:pt>
                <c:pt idx="1">
                  <c:v>123579</c:v>
                </c:pt>
                <c:pt idx="2">
                  <c:v>91815</c:v>
                </c:pt>
                <c:pt idx="3">
                  <c:v>175222</c:v>
                </c:pt>
                <c:pt idx="4">
                  <c:v>291083</c:v>
                </c:pt>
                <c:pt idx="5">
                  <c:v>384220</c:v>
                </c:pt>
                <c:pt idx="7">
                  <c:v>299983</c:v>
                </c:pt>
                <c:pt idx="8">
                  <c:v>282167</c:v>
                </c:pt>
                <c:pt idx="9">
                  <c:v>123144</c:v>
                </c:pt>
              </c:numCache>
            </c:numRef>
          </c:val>
          <c:extLst>
            <c:ext xmlns:c16="http://schemas.microsoft.com/office/drawing/2014/chart" uri="{C3380CC4-5D6E-409C-BE32-E72D297353CC}">
              <c16:uniqueId val="{00000003-A463-4E91-961C-45B6FDC6C96F}"/>
            </c:ext>
          </c:extLst>
        </c:ser>
        <c:dLbls>
          <c:showLegendKey val="0"/>
          <c:showVal val="0"/>
          <c:showCatName val="0"/>
          <c:showSerName val="0"/>
          <c:showPercent val="0"/>
          <c:showBubbleSize val="0"/>
        </c:dLbls>
        <c:gapWidth val="219"/>
        <c:overlap val="-27"/>
        <c:axId val="684524720"/>
        <c:axId val="684524392"/>
      </c:barChart>
      <c:catAx>
        <c:axId val="68452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524392"/>
        <c:crosses val="autoZero"/>
        <c:auto val="1"/>
        <c:lblAlgn val="ctr"/>
        <c:lblOffset val="100"/>
        <c:noMultiLvlLbl val="0"/>
      </c:catAx>
      <c:valAx>
        <c:axId val="68452439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5247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Sheet4!$C$147:$C$148</c:f>
              <c:strCache>
                <c:ptCount val="1"/>
                <c:pt idx="0">
                  <c:v>8</c:v>
                </c:pt>
              </c:strCache>
            </c:strRef>
          </c:tx>
          <c:spPr>
            <a:solidFill>
              <a:schemeClr val="accent1"/>
            </a:solidFill>
            <a:ln>
              <a:noFill/>
            </a:ln>
            <a:effectLst/>
          </c:spPr>
          <c:invertIfNegative val="0"/>
          <c:cat>
            <c:strRef>
              <c:f>Sheet4!$B$149:$B$152</c:f>
              <c:strCache>
                <c:ptCount val="3"/>
                <c:pt idx="0">
                  <c:v>HMC</c:v>
                </c:pt>
                <c:pt idx="1">
                  <c:v>Silicon</c:v>
                </c:pt>
                <c:pt idx="2">
                  <c:v>WMG3B</c:v>
                </c:pt>
              </c:strCache>
            </c:strRef>
          </c:cat>
          <c:val>
            <c:numRef>
              <c:f>Sheet4!$C$149:$C$152</c:f>
              <c:numCache>
                <c:formatCode>_-* #,##0_-;\-* #,##0_-;_-* "-"??_-;_-@_-</c:formatCode>
                <c:ptCount val="3"/>
                <c:pt idx="0">
                  <c:v>4148.9330000000009</c:v>
                </c:pt>
                <c:pt idx="1">
                  <c:v>1798.0887999999998</c:v>
                </c:pt>
                <c:pt idx="2">
                  <c:v>523.30424000000005</c:v>
                </c:pt>
              </c:numCache>
            </c:numRef>
          </c:val>
          <c:extLst>
            <c:ext xmlns:c16="http://schemas.microsoft.com/office/drawing/2014/chart" uri="{C3380CC4-5D6E-409C-BE32-E72D297353CC}">
              <c16:uniqueId val="{00000000-4434-49C5-B8B2-7EB3125C38D9}"/>
            </c:ext>
          </c:extLst>
        </c:ser>
        <c:ser>
          <c:idx val="1"/>
          <c:order val="1"/>
          <c:tx>
            <c:strRef>
              <c:f>Sheet4!$D$147:$D$148</c:f>
              <c:strCache>
                <c:ptCount val="1"/>
                <c:pt idx="0">
                  <c:v>9</c:v>
                </c:pt>
              </c:strCache>
            </c:strRef>
          </c:tx>
          <c:spPr>
            <a:solidFill>
              <a:schemeClr val="accent2"/>
            </a:solidFill>
            <a:ln>
              <a:noFill/>
            </a:ln>
            <a:effectLst/>
          </c:spPr>
          <c:invertIfNegative val="0"/>
          <c:cat>
            <c:strRef>
              <c:f>Sheet4!$B$149:$B$152</c:f>
              <c:strCache>
                <c:ptCount val="3"/>
                <c:pt idx="0">
                  <c:v>HMC</c:v>
                </c:pt>
                <c:pt idx="1">
                  <c:v>Silicon</c:v>
                </c:pt>
                <c:pt idx="2">
                  <c:v>WMG3B</c:v>
                </c:pt>
              </c:strCache>
            </c:strRef>
          </c:cat>
          <c:val>
            <c:numRef>
              <c:f>Sheet4!$D$149:$D$152</c:f>
              <c:numCache>
                <c:formatCode>_-* #,##0_-;\-* #,##0_-;_-* "-"??_-;_-@_-</c:formatCode>
                <c:ptCount val="3"/>
                <c:pt idx="0">
                  <c:v>4311.593100000001</c:v>
                </c:pt>
                <c:pt idx="1">
                  <c:v>1872.0025999999998</c:v>
                </c:pt>
                <c:pt idx="2">
                  <c:v>946.56792999999993</c:v>
                </c:pt>
              </c:numCache>
            </c:numRef>
          </c:val>
          <c:extLst>
            <c:ext xmlns:c16="http://schemas.microsoft.com/office/drawing/2014/chart" uri="{C3380CC4-5D6E-409C-BE32-E72D297353CC}">
              <c16:uniqueId val="{00000001-4434-49C5-B8B2-7EB3125C38D9}"/>
            </c:ext>
          </c:extLst>
        </c:ser>
        <c:ser>
          <c:idx val="2"/>
          <c:order val="2"/>
          <c:tx>
            <c:strRef>
              <c:f>Sheet4!$E$147:$E$148</c:f>
              <c:strCache>
                <c:ptCount val="1"/>
                <c:pt idx="0">
                  <c:v>10</c:v>
                </c:pt>
              </c:strCache>
            </c:strRef>
          </c:tx>
          <c:spPr>
            <a:solidFill>
              <a:schemeClr val="accent3"/>
            </a:solidFill>
            <a:ln>
              <a:noFill/>
            </a:ln>
            <a:effectLst/>
          </c:spPr>
          <c:invertIfNegative val="0"/>
          <c:cat>
            <c:strRef>
              <c:f>Sheet4!$B$149:$B$152</c:f>
              <c:strCache>
                <c:ptCount val="3"/>
                <c:pt idx="0">
                  <c:v>HMC</c:v>
                </c:pt>
                <c:pt idx="1">
                  <c:v>Silicon</c:v>
                </c:pt>
                <c:pt idx="2">
                  <c:v>WMG3B</c:v>
                </c:pt>
              </c:strCache>
            </c:strRef>
          </c:cat>
          <c:val>
            <c:numRef>
              <c:f>Sheet4!$E$149:$E$152</c:f>
              <c:numCache>
                <c:formatCode>_-* #,##0_-;\-* #,##0_-;_-* "-"??_-;_-@_-</c:formatCode>
                <c:ptCount val="3"/>
                <c:pt idx="0">
                  <c:v>4621.3081999999995</c:v>
                </c:pt>
                <c:pt idx="1">
                  <c:v>1434.7532000000008</c:v>
                </c:pt>
                <c:pt idx="2">
                  <c:v>459.96460000000008</c:v>
                </c:pt>
              </c:numCache>
            </c:numRef>
          </c:val>
          <c:extLst>
            <c:ext xmlns:c16="http://schemas.microsoft.com/office/drawing/2014/chart" uri="{C3380CC4-5D6E-409C-BE32-E72D297353CC}">
              <c16:uniqueId val="{00000002-4434-49C5-B8B2-7EB3125C38D9}"/>
            </c:ext>
          </c:extLst>
        </c:ser>
        <c:ser>
          <c:idx val="3"/>
          <c:order val="3"/>
          <c:tx>
            <c:strRef>
              <c:f>Sheet4!$F$147:$F$148</c:f>
              <c:strCache>
                <c:ptCount val="1"/>
                <c:pt idx="0">
                  <c:v>11</c:v>
                </c:pt>
              </c:strCache>
            </c:strRef>
          </c:tx>
          <c:spPr>
            <a:solidFill>
              <a:schemeClr val="accent4"/>
            </a:solidFill>
            <a:ln>
              <a:noFill/>
            </a:ln>
            <a:effectLst/>
          </c:spPr>
          <c:invertIfNegative val="0"/>
          <c:cat>
            <c:strRef>
              <c:f>Sheet4!$B$149:$B$152</c:f>
              <c:strCache>
                <c:ptCount val="3"/>
                <c:pt idx="0">
                  <c:v>HMC</c:v>
                </c:pt>
                <c:pt idx="1">
                  <c:v>Silicon</c:v>
                </c:pt>
                <c:pt idx="2">
                  <c:v>WMG3B</c:v>
                </c:pt>
              </c:strCache>
            </c:strRef>
          </c:cat>
          <c:val>
            <c:numRef>
              <c:f>Sheet4!$F$149:$F$152</c:f>
              <c:numCache>
                <c:formatCode>_-* #,##0_-;\-* #,##0_-;_-* "-"??_-;_-@_-</c:formatCode>
                <c:ptCount val="3"/>
                <c:pt idx="0">
                  <c:v>5485.0159249999988</c:v>
                </c:pt>
                <c:pt idx="1">
                  <c:v>2453.1875999999993</c:v>
                </c:pt>
                <c:pt idx="2">
                  <c:v>610.82711000000006</c:v>
                </c:pt>
              </c:numCache>
            </c:numRef>
          </c:val>
          <c:extLst>
            <c:ext xmlns:c16="http://schemas.microsoft.com/office/drawing/2014/chart" uri="{C3380CC4-5D6E-409C-BE32-E72D297353CC}">
              <c16:uniqueId val="{00000003-4434-49C5-B8B2-7EB3125C38D9}"/>
            </c:ext>
          </c:extLst>
        </c:ser>
        <c:dLbls>
          <c:showLegendKey val="0"/>
          <c:showVal val="0"/>
          <c:showCatName val="0"/>
          <c:showSerName val="0"/>
          <c:showPercent val="0"/>
          <c:showBubbleSize val="0"/>
        </c:dLbls>
        <c:gapWidth val="219"/>
        <c:overlap val="-27"/>
        <c:axId val="820952408"/>
        <c:axId val="820956016"/>
      </c:barChart>
      <c:catAx>
        <c:axId val="820952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56016"/>
        <c:crosses val="autoZero"/>
        <c:auto val="1"/>
        <c:lblAlgn val="ctr"/>
        <c:lblOffset val="100"/>
        <c:noMultiLvlLbl val="0"/>
      </c:catAx>
      <c:valAx>
        <c:axId val="82095601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52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Aug-2021.xlsx]Sheet4!PivotTable4</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Sheet4!$C$154:$C$155</c:f>
              <c:strCache>
                <c:ptCount val="1"/>
                <c:pt idx="0">
                  <c:v>8</c:v>
                </c:pt>
              </c:strCache>
            </c:strRef>
          </c:tx>
          <c:spPr>
            <a:solidFill>
              <a:schemeClr val="accent1"/>
            </a:solidFill>
            <a:ln>
              <a:noFill/>
            </a:ln>
            <a:effectLst/>
          </c:spPr>
          <c:invertIfNegative val="0"/>
          <c:cat>
            <c:strRef>
              <c:f>Sheet4!$B$156:$B$159</c:f>
              <c:strCache>
                <c:ptCount val="3"/>
                <c:pt idx="0">
                  <c:v>HMC</c:v>
                </c:pt>
                <c:pt idx="1">
                  <c:v>Silicon</c:v>
                </c:pt>
                <c:pt idx="2">
                  <c:v>WMG3B</c:v>
                </c:pt>
              </c:strCache>
            </c:strRef>
          </c:cat>
          <c:val>
            <c:numRef>
              <c:f>Sheet4!$C$156:$C$159</c:f>
              <c:numCache>
                <c:formatCode>0.00%</c:formatCode>
                <c:ptCount val="3"/>
                <c:pt idx="0">
                  <c:v>0.95382355889225623</c:v>
                </c:pt>
                <c:pt idx="1">
                  <c:v>0.93886824900265453</c:v>
                </c:pt>
                <c:pt idx="2">
                  <c:v>0.91689725855645099</c:v>
                </c:pt>
              </c:numCache>
            </c:numRef>
          </c:val>
          <c:extLst>
            <c:ext xmlns:c16="http://schemas.microsoft.com/office/drawing/2014/chart" uri="{C3380CC4-5D6E-409C-BE32-E72D297353CC}">
              <c16:uniqueId val="{00000000-DEB3-481A-A9EC-A08C9959F63B}"/>
            </c:ext>
          </c:extLst>
        </c:ser>
        <c:ser>
          <c:idx val="1"/>
          <c:order val="1"/>
          <c:tx>
            <c:strRef>
              <c:f>Sheet4!$D$154:$D$155</c:f>
              <c:strCache>
                <c:ptCount val="1"/>
                <c:pt idx="0">
                  <c:v>9</c:v>
                </c:pt>
              </c:strCache>
            </c:strRef>
          </c:tx>
          <c:spPr>
            <a:solidFill>
              <a:schemeClr val="accent2"/>
            </a:solidFill>
            <a:ln>
              <a:noFill/>
            </a:ln>
            <a:effectLst/>
          </c:spPr>
          <c:invertIfNegative val="0"/>
          <c:cat>
            <c:strRef>
              <c:f>Sheet4!$B$156:$B$159</c:f>
              <c:strCache>
                <c:ptCount val="3"/>
                <c:pt idx="0">
                  <c:v>HMC</c:v>
                </c:pt>
                <c:pt idx="1">
                  <c:v>Silicon</c:v>
                </c:pt>
                <c:pt idx="2">
                  <c:v>WMG3B</c:v>
                </c:pt>
              </c:strCache>
            </c:strRef>
          </c:cat>
          <c:val>
            <c:numRef>
              <c:f>Sheet4!$D$156:$D$159</c:f>
              <c:numCache>
                <c:formatCode>0.00%</c:formatCode>
                <c:ptCount val="3"/>
                <c:pt idx="0">
                  <c:v>0.97990345195695572</c:v>
                </c:pt>
                <c:pt idx="1">
                  <c:v>0.93968063208128527</c:v>
                </c:pt>
                <c:pt idx="2">
                  <c:v>0.92667731779514073</c:v>
                </c:pt>
              </c:numCache>
            </c:numRef>
          </c:val>
          <c:extLst>
            <c:ext xmlns:c16="http://schemas.microsoft.com/office/drawing/2014/chart" uri="{C3380CC4-5D6E-409C-BE32-E72D297353CC}">
              <c16:uniqueId val="{00000001-DEB3-481A-A9EC-A08C9959F63B}"/>
            </c:ext>
          </c:extLst>
        </c:ser>
        <c:ser>
          <c:idx val="2"/>
          <c:order val="2"/>
          <c:tx>
            <c:strRef>
              <c:f>Sheet4!$E$154:$E$155</c:f>
              <c:strCache>
                <c:ptCount val="1"/>
                <c:pt idx="0">
                  <c:v>10</c:v>
                </c:pt>
              </c:strCache>
            </c:strRef>
          </c:tx>
          <c:spPr>
            <a:solidFill>
              <a:schemeClr val="accent3"/>
            </a:solidFill>
            <a:ln>
              <a:noFill/>
            </a:ln>
            <a:effectLst/>
          </c:spPr>
          <c:invertIfNegative val="0"/>
          <c:cat>
            <c:strRef>
              <c:f>Sheet4!$B$156:$B$159</c:f>
              <c:strCache>
                <c:ptCount val="3"/>
                <c:pt idx="0">
                  <c:v>HMC</c:v>
                </c:pt>
                <c:pt idx="1">
                  <c:v>Silicon</c:v>
                </c:pt>
                <c:pt idx="2">
                  <c:v>WMG3B</c:v>
                </c:pt>
              </c:strCache>
            </c:strRef>
          </c:cat>
          <c:val>
            <c:numRef>
              <c:f>Sheet4!$E$156:$E$159</c:f>
              <c:numCache>
                <c:formatCode>0.00%</c:formatCode>
                <c:ptCount val="3"/>
                <c:pt idx="0">
                  <c:v>0.97407827049256079</c:v>
                </c:pt>
                <c:pt idx="1">
                  <c:v>0.95639792698029835</c:v>
                </c:pt>
                <c:pt idx="2">
                  <c:v>0.92916208097162234</c:v>
                </c:pt>
              </c:numCache>
            </c:numRef>
          </c:val>
          <c:extLst>
            <c:ext xmlns:c16="http://schemas.microsoft.com/office/drawing/2014/chart" uri="{C3380CC4-5D6E-409C-BE32-E72D297353CC}">
              <c16:uniqueId val="{00000002-DEB3-481A-A9EC-A08C9959F63B}"/>
            </c:ext>
          </c:extLst>
        </c:ser>
        <c:ser>
          <c:idx val="3"/>
          <c:order val="3"/>
          <c:tx>
            <c:strRef>
              <c:f>Sheet4!$F$154:$F$155</c:f>
              <c:strCache>
                <c:ptCount val="1"/>
                <c:pt idx="0">
                  <c:v>11</c:v>
                </c:pt>
              </c:strCache>
            </c:strRef>
          </c:tx>
          <c:spPr>
            <a:solidFill>
              <a:schemeClr val="accent4"/>
            </a:solidFill>
            <a:ln>
              <a:noFill/>
            </a:ln>
            <a:effectLst/>
          </c:spPr>
          <c:invertIfNegative val="0"/>
          <c:cat>
            <c:strRef>
              <c:f>Sheet4!$B$156:$B$159</c:f>
              <c:strCache>
                <c:ptCount val="3"/>
                <c:pt idx="0">
                  <c:v>HMC</c:v>
                </c:pt>
                <c:pt idx="1">
                  <c:v>Silicon</c:v>
                </c:pt>
                <c:pt idx="2">
                  <c:v>WMG3B</c:v>
                </c:pt>
              </c:strCache>
            </c:strRef>
          </c:cat>
          <c:val>
            <c:numRef>
              <c:f>Sheet4!$F$156:$F$159</c:f>
              <c:numCache>
                <c:formatCode>0.00%</c:formatCode>
                <c:ptCount val="3"/>
                <c:pt idx="0">
                  <c:v>0.97191496222732299</c:v>
                </c:pt>
                <c:pt idx="1">
                  <c:v>0.95254000683989071</c:v>
                </c:pt>
                <c:pt idx="2">
                  <c:v>0.9213415639071969</c:v>
                </c:pt>
              </c:numCache>
            </c:numRef>
          </c:val>
          <c:extLst>
            <c:ext xmlns:c16="http://schemas.microsoft.com/office/drawing/2014/chart" uri="{C3380CC4-5D6E-409C-BE32-E72D297353CC}">
              <c16:uniqueId val="{00000003-DEB3-481A-A9EC-A08C9959F63B}"/>
            </c:ext>
          </c:extLst>
        </c:ser>
        <c:dLbls>
          <c:showLegendKey val="0"/>
          <c:showVal val="0"/>
          <c:showCatName val="0"/>
          <c:showSerName val="0"/>
          <c:showPercent val="0"/>
          <c:showBubbleSize val="0"/>
        </c:dLbls>
        <c:gapWidth val="219"/>
        <c:overlap val="-27"/>
        <c:axId val="517448448"/>
        <c:axId val="517451400"/>
      </c:barChart>
      <c:catAx>
        <c:axId val="51744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51400"/>
        <c:crosses val="autoZero"/>
        <c:auto val="1"/>
        <c:lblAlgn val="ctr"/>
        <c:lblOffset val="100"/>
        <c:noMultiLvlLbl val="0"/>
      </c:catAx>
      <c:valAx>
        <c:axId val="517451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48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Aug-2021.xlsx]Sheet4!PivotTable5</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Sheet4!$C$161:$C$162</c:f>
              <c:strCache>
                <c:ptCount val="1"/>
                <c:pt idx="0">
                  <c:v>8</c:v>
                </c:pt>
              </c:strCache>
            </c:strRef>
          </c:tx>
          <c:spPr>
            <a:solidFill>
              <a:schemeClr val="accent1"/>
            </a:solidFill>
            <a:ln>
              <a:noFill/>
            </a:ln>
            <a:effectLst/>
          </c:spPr>
          <c:invertIfNegative val="0"/>
          <c:cat>
            <c:strRef>
              <c:f>Sheet4!$B$163:$B$171</c:f>
              <c:strCache>
                <c:ptCount val="8"/>
                <c:pt idx="0">
                  <c:v>BOTTLE MOLDED</c:v>
                </c:pt>
                <c:pt idx="1">
                  <c:v>BOTTLE PRINTED</c:v>
                </c:pt>
                <c:pt idx="2">
                  <c:v>CAP MOLDED</c:v>
                </c:pt>
                <c:pt idx="3">
                  <c:v>HOOD MOLDED</c:v>
                </c:pt>
                <c:pt idx="4">
                  <c:v>NIPPLE LASER MARKING</c:v>
                </c:pt>
                <c:pt idx="5">
                  <c:v>NIPPLE MOLDED</c:v>
                </c:pt>
                <c:pt idx="6">
                  <c:v>NIPPLE PUNCH</c:v>
                </c:pt>
                <c:pt idx="7">
                  <c:v>NIPPLE WRAP PRINTED</c:v>
                </c:pt>
              </c:strCache>
            </c:strRef>
          </c:cat>
          <c:val>
            <c:numRef>
              <c:f>Sheet4!$C$163:$C$171</c:f>
              <c:numCache>
                <c:formatCode>0.00%</c:formatCode>
                <c:ptCount val="8"/>
                <c:pt idx="0">
                  <c:v>0.84872448065476314</c:v>
                </c:pt>
                <c:pt idx="1">
                  <c:v>0.66482076585939076</c:v>
                </c:pt>
                <c:pt idx="2">
                  <c:v>0.86747377733458486</c:v>
                </c:pt>
                <c:pt idx="3">
                  <c:v>0.99411172141861304</c:v>
                </c:pt>
                <c:pt idx="4">
                  <c:v>0.80056077229310296</c:v>
                </c:pt>
                <c:pt idx="5">
                  <c:v>0.86583963269827979</c:v>
                </c:pt>
                <c:pt idx="6">
                  <c:v>0.81257310705885644</c:v>
                </c:pt>
                <c:pt idx="7">
                  <c:v>0.8043350662767883</c:v>
                </c:pt>
              </c:numCache>
            </c:numRef>
          </c:val>
          <c:extLst>
            <c:ext xmlns:c16="http://schemas.microsoft.com/office/drawing/2014/chart" uri="{C3380CC4-5D6E-409C-BE32-E72D297353CC}">
              <c16:uniqueId val="{00000000-2B1C-43F4-985B-976A9D9D0EB9}"/>
            </c:ext>
          </c:extLst>
        </c:ser>
        <c:ser>
          <c:idx val="1"/>
          <c:order val="1"/>
          <c:tx>
            <c:strRef>
              <c:f>Sheet4!$D$161:$D$162</c:f>
              <c:strCache>
                <c:ptCount val="1"/>
                <c:pt idx="0">
                  <c:v>9</c:v>
                </c:pt>
              </c:strCache>
            </c:strRef>
          </c:tx>
          <c:spPr>
            <a:solidFill>
              <a:schemeClr val="accent2"/>
            </a:solidFill>
            <a:ln>
              <a:noFill/>
            </a:ln>
            <a:effectLst/>
          </c:spPr>
          <c:invertIfNegative val="0"/>
          <c:cat>
            <c:strRef>
              <c:f>Sheet4!$B$163:$B$171</c:f>
              <c:strCache>
                <c:ptCount val="8"/>
                <c:pt idx="0">
                  <c:v>BOTTLE MOLDED</c:v>
                </c:pt>
                <c:pt idx="1">
                  <c:v>BOTTLE PRINTED</c:v>
                </c:pt>
                <c:pt idx="2">
                  <c:v>CAP MOLDED</c:v>
                </c:pt>
                <c:pt idx="3">
                  <c:v>HOOD MOLDED</c:v>
                </c:pt>
                <c:pt idx="4">
                  <c:v>NIPPLE LASER MARKING</c:v>
                </c:pt>
                <c:pt idx="5">
                  <c:v>NIPPLE MOLDED</c:v>
                </c:pt>
                <c:pt idx="6">
                  <c:v>NIPPLE PUNCH</c:v>
                </c:pt>
                <c:pt idx="7">
                  <c:v>NIPPLE WRAP PRINTED</c:v>
                </c:pt>
              </c:strCache>
            </c:strRef>
          </c:cat>
          <c:val>
            <c:numRef>
              <c:f>Sheet4!$D$163:$D$171</c:f>
              <c:numCache>
                <c:formatCode>0.00%</c:formatCode>
                <c:ptCount val="8"/>
                <c:pt idx="0">
                  <c:v>0.79817189182274495</c:v>
                </c:pt>
                <c:pt idx="1">
                  <c:v>0.83326561129271093</c:v>
                </c:pt>
                <c:pt idx="2">
                  <c:v>0.9086697984477059</c:v>
                </c:pt>
                <c:pt idx="3">
                  <c:v>1.0777437605195452</c:v>
                </c:pt>
                <c:pt idx="4">
                  <c:v>0.81927834599073712</c:v>
                </c:pt>
                <c:pt idx="5">
                  <c:v>0.82880745123832544</c:v>
                </c:pt>
                <c:pt idx="6">
                  <c:v>0.78016277095000552</c:v>
                </c:pt>
                <c:pt idx="7">
                  <c:v>0.67860281795971344</c:v>
                </c:pt>
              </c:numCache>
            </c:numRef>
          </c:val>
          <c:extLst>
            <c:ext xmlns:c16="http://schemas.microsoft.com/office/drawing/2014/chart" uri="{C3380CC4-5D6E-409C-BE32-E72D297353CC}">
              <c16:uniqueId val="{00000001-2B1C-43F4-985B-976A9D9D0EB9}"/>
            </c:ext>
          </c:extLst>
        </c:ser>
        <c:ser>
          <c:idx val="2"/>
          <c:order val="2"/>
          <c:tx>
            <c:strRef>
              <c:f>Sheet4!$E$161:$E$162</c:f>
              <c:strCache>
                <c:ptCount val="1"/>
                <c:pt idx="0">
                  <c:v>10</c:v>
                </c:pt>
              </c:strCache>
            </c:strRef>
          </c:tx>
          <c:spPr>
            <a:solidFill>
              <a:schemeClr val="accent3"/>
            </a:solidFill>
            <a:ln>
              <a:noFill/>
            </a:ln>
            <a:effectLst/>
          </c:spPr>
          <c:invertIfNegative val="0"/>
          <c:cat>
            <c:strRef>
              <c:f>Sheet4!$B$163:$B$171</c:f>
              <c:strCache>
                <c:ptCount val="8"/>
                <c:pt idx="0">
                  <c:v>BOTTLE MOLDED</c:v>
                </c:pt>
                <c:pt idx="1">
                  <c:v>BOTTLE PRINTED</c:v>
                </c:pt>
                <c:pt idx="2">
                  <c:v>CAP MOLDED</c:v>
                </c:pt>
                <c:pt idx="3">
                  <c:v>HOOD MOLDED</c:v>
                </c:pt>
                <c:pt idx="4">
                  <c:v>NIPPLE LASER MARKING</c:v>
                </c:pt>
                <c:pt idx="5">
                  <c:v>NIPPLE MOLDED</c:v>
                </c:pt>
                <c:pt idx="6">
                  <c:v>NIPPLE PUNCH</c:v>
                </c:pt>
                <c:pt idx="7">
                  <c:v>NIPPLE WRAP PRINTED</c:v>
                </c:pt>
              </c:strCache>
            </c:strRef>
          </c:cat>
          <c:val>
            <c:numRef>
              <c:f>Sheet4!$E$163:$E$171</c:f>
              <c:numCache>
                <c:formatCode>0.00%</c:formatCode>
                <c:ptCount val="8"/>
                <c:pt idx="0">
                  <c:v>0.84387693130230057</c:v>
                </c:pt>
                <c:pt idx="1">
                  <c:v>1.1450498562567033</c:v>
                </c:pt>
                <c:pt idx="2">
                  <c:v>0.86926112562514546</c:v>
                </c:pt>
                <c:pt idx="3">
                  <c:v>0.99525789408237708</c:v>
                </c:pt>
                <c:pt idx="4">
                  <c:v>0.79539868955984927</c:v>
                </c:pt>
                <c:pt idx="5">
                  <c:v>0.79626197824066058</c:v>
                </c:pt>
                <c:pt idx="6">
                  <c:v>0.7731638359917532</c:v>
                </c:pt>
                <c:pt idx="7">
                  <c:v>0.64540211038324302</c:v>
                </c:pt>
              </c:numCache>
            </c:numRef>
          </c:val>
          <c:extLst>
            <c:ext xmlns:c16="http://schemas.microsoft.com/office/drawing/2014/chart" uri="{C3380CC4-5D6E-409C-BE32-E72D297353CC}">
              <c16:uniqueId val="{00000002-2B1C-43F4-985B-976A9D9D0EB9}"/>
            </c:ext>
          </c:extLst>
        </c:ser>
        <c:ser>
          <c:idx val="3"/>
          <c:order val="3"/>
          <c:tx>
            <c:strRef>
              <c:f>Sheet4!$F$161:$F$162</c:f>
              <c:strCache>
                <c:ptCount val="1"/>
                <c:pt idx="0">
                  <c:v>11</c:v>
                </c:pt>
              </c:strCache>
            </c:strRef>
          </c:tx>
          <c:spPr>
            <a:solidFill>
              <a:schemeClr val="accent4"/>
            </a:solidFill>
            <a:ln>
              <a:noFill/>
            </a:ln>
            <a:effectLst/>
          </c:spPr>
          <c:invertIfNegative val="0"/>
          <c:cat>
            <c:strRef>
              <c:f>Sheet4!$B$163:$B$171</c:f>
              <c:strCache>
                <c:ptCount val="8"/>
                <c:pt idx="0">
                  <c:v>BOTTLE MOLDED</c:v>
                </c:pt>
                <c:pt idx="1">
                  <c:v>BOTTLE PRINTED</c:v>
                </c:pt>
                <c:pt idx="2">
                  <c:v>CAP MOLDED</c:v>
                </c:pt>
                <c:pt idx="3">
                  <c:v>HOOD MOLDED</c:v>
                </c:pt>
                <c:pt idx="4">
                  <c:v>NIPPLE LASER MARKING</c:v>
                </c:pt>
                <c:pt idx="5">
                  <c:v>NIPPLE MOLDED</c:v>
                </c:pt>
                <c:pt idx="6">
                  <c:v>NIPPLE PUNCH</c:v>
                </c:pt>
                <c:pt idx="7">
                  <c:v>NIPPLE WRAP PRINTED</c:v>
                </c:pt>
              </c:strCache>
            </c:strRef>
          </c:cat>
          <c:val>
            <c:numRef>
              <c:f>Sheet4!$F$163:$F$171</c:f>
              <c:numCache>
                <c:formatCode>0.00%</c:formatCode>
                <c:ptCount val="8"/>
                <c:pt idx="0">
                  <c:v>0.81841648027075431</c:v>
                </c:pt>
                <c:pt idx="1">
                  <c:v>1.07002024484368</c:v>
                </c:pt>
                <c:pt idx="2">
                  <c:v>0.9771713256008645</c:v>
                </c:pt>
                <c:pt idx="3">
                  <c:v>0.95045747237019562</c:v>
                </c:pt>
                <c:pt idx="4">
                  <c:v>0.75013124563242495</c:v>
                </c:pt>
                <c:pt idx="5">
                  <c:v>0.79079948532793143</c:v>
                </c:pt>
                <c:pt idx="6">
                  <c:v>0.77280969993170223</c:v>
                </c:pt>
                <c:pt idx="7">
                  <c:v>0.7510134341475786</c:v>
                </c:pt>
              </c:numCache>
            </c:numRef>
          </c:val>
          <c:extLst>
            <c:ext xmlns:c16="http://schemas.microsoft.com/office/drawing/2014/chart" uri="{C3380CC4-5D6E-409C-BE32-E72D297353CC}">
              <c16:uniqueId val="{00000003-2B1C-43F4-985B-976A9D9D0EB9}"/>
            </c:ext>
          </c:extLst>
        </c:ser>
        <c:dLbls>
          <c:showLegendKey val="0"/>
          <c:showVal val="0"/>
          <c:showCatName val="0"/>
          <c:showSerName val="0"/>
          <c:showPercent val="0"/>
          <c:showBubbleSize val="0"/>
        </c:dLbls>
        <c:gapWidth val="219"/>
        <c:overlap val="-27"/>
        <c:axId val="377336072"/>
        <c:axId val="377337384"/>
      </c:barChart>
      <c:catAx>
        <c:axId val="37733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337384"/>
        <c:crosses val="autoZero"/>
        <c:auto val="1"/>
        <c:lblAlgn val="ctr"/>
        <c:lblOffset val="100"/>
        <c:noMultiLvlLbl val="0"/>
      </c:catAx>
      <c:valAx>
        <c:axId val="3773373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336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Sheet4!$C$175:$C$176</c:f>
              <c:strCache>
                <c:ptCount val="1"/>
                <c:pt idx="0">
                  <c:v>8</c:v>
                </c:pt>
              </c:strCache>
            </c:strRef>
          </c:tx>
          <c:spPr>
            <a:solidFill>
              <a:schemeClr val="accent1"/>
            </a:solidFill>
            <a:ln>
              <a:noFill/>
            </a:ln>
            <a:effectLst/>
          </c:spPr>
          <c:invertIfNegative val="0"/>
          <c:cat>
            <c:strRef>
              <c:f>Sheet4!$B$177:$B$187</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Sheet4!$C$177:$C$187</c:f>
              <c:numCache>
                <c:formatCode>0</c:formatCode>
                <c:ptCount val="10"/>
                <c:pt idx="0">
                  <c:v>2430.3392857142858</c:v>
                </c:pt>
                <c:pt idx="1">
                  <c:v>372.04999999999995</c:v>
                </c:pt>
                <c:pt idx="2">
                  <c:v>3118.3249999999998</c:v>
                </c:pt>
                <c:pt idx="3">
                  <c:v>4480.9473684210525</c:v>
                </c:pt>
                <c:pt idx="4">
                  <c:v>5506.666666666667</c:v>
                </c:pt>
                <c:pt idx="5">
                  <c:v>4736.7241379310344</c:v>
                </c:pt>
                <c:pt idx="6">
                  <c:v>7116.5789473684208</c:v>
                </c:pt>
                <c:pt idx="7">
                  <c:v>6003.681818181818</c:v>
                </c:pt>
                <c:pt idx="8">
                  <c:v>6413.958333333333</c:v>
                </c:pt>
                <c:pt idx="9">
                  <c:v>7365.1428571428569</c:v>
                </c:pt>
              </c:numCache>
            </c:numRef>
          </c:val>
          <c:extLst>
            <c:ext xmlns:c16="http://schemas.microsoft.com/office/drawing/2014/chart" uri="{C3380CC4-5D6E-409C-BE32-E72D297353CC}">
              <c16:uniqueId val="{00000000-5E5E-4144-929E-14BAED36EAAD}"/>
            </c:ext>
          </c:extLst>
        </c:ser>
        <c:ser>
          <c:idx val="1"/>
          <c:order val="1"/>
          <c:tx>
            <c:strRef>
              <c:f>Sheet4!$D$175:$D$176</c:f>
              <c:strCache>
                <c:ptCount val="1"/>
                <c:pt idx="0">
                  <c:v>9</c:v>
                </c:pt>
              </c:strCache>
            </c:strRef>
          </c:tx>
          <c:spPr>
            <a:solidFill>
              <a:schemeClr val="accent2"/>
            </a:solidFill>
            <a:ln>
              <a:noFill/>
            </a:ln>
            <a:effectLst/>
          </c:spPr>
          <c:invertIfNegative val="0"/>
          <c:cat>
            <c:strRef>
              <c:f>Sheet4!$B$177:$B$187</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Sheet4!$D$177:$D$187</c:f>
              <c:numCache>
                <c:formatCode>0</c:formatCode>
                <c:ptCount val="10"/>
                <c:pt idx="0">
                  <c:v>2340.2222222222222</c:v>
                </c:pt>
                <c:pt idx="1">
                  <c:v>558.39473684210532</c:v>
                </c:pt>
                <c:pt idx="2">
                  <c:v>2749.3953488372094</c:v>
                </c:pt>
                <c:pt idx="3">
                  <c:v>5113.4594594594591</c:v>
                </c:pt>
                <c:pt idx="4">
                  <c:v>5537.0377358490568</c:v>
                </c:pt>
                <c:pt idx="5">
                  <c:v>4477.3278688524588</c:v>
                </c:pt>
                <c:pt idx="6">
                  <c:v>5728.8888888888887</c:v>
                </c:pt>
                <c:pt idx="7">
                  <c:v>5445.25</c:v>
                </c:pt>
                <c:pt idx="8">
                  <c:v>6208.7258064516127</c:v>
                </c:pt>
                <c:pt idx="9">
                  <c:v>5711.6333333333332</c:v>
                </c:pt>
              </c:numCache>
            </c:numRef>
          </c:val>
          <c:extLst>
            <c:ext xmlns:c16="http://schemas.microsoft.com/office/drawing/2014/chart" uri="{C3380CC4-5D6E-409C-BE32-E72D297353CC}">
              <c16:uniqueId val="{00000001-5E5E-4144-929E-14BAED36EAAD}"/>
            </c:ext>
          </c:extLst>
        </c:ser>
        <c:ser>
          <c:idx val="2"/>
          <c:order val="2"/>
          <c:tx>
            <c:strRef>
              <c:f>Sheet4!$E$175:$E$176</c:f>
              <c:strCache>
                <c:ptCount val="1"/>
                <c:pt idx="0">
                  <c:v>10</c:v>
                </c:pt>
              </c:strCache>
            </c:strRef>
          </c:tx>
          <c:spPr>
            <a:solidFill>
              <a:schemeClr val="accent3"/>
            </a:solidFill>
            <a:ln>
              <a:noFill/>
            </a:ln>
            <a:effectLst/>
          </c:spPr>
          <c:invertIfNegative val="0"/>
          <c:cat>
            <c:strRef>
              <c:f>Sheet4!$B$177:$B$187</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Sheet4!$E$177:$E$187</c:f>
              <c:numCache>
                <c:formatCode>0</c:formatCode>
                <c:ptCount val="10"/>
                <c:pt idx="0">
                  <c:v>2678.9</c:v>
                </c:pt>
                <c:pt idx="1">
                  <c:v>725.11022727272723</c:v>
                </c:pt>
                <c:pt idx="2">
                  <c:v>2845.0185185185187</c:v>
                </c:pt>
                <c:pt idx="3">
                  <c:v>4765.625</c:v>
                </c:pt>
                <c:pt idx="4">
                  <c:v>5876.0243902439024</c:v>
                </c:pt>
                <c:pt idx="5">
                  <c:v>4317.9482758620688</c:v>
                </c:pt>
                <c:pt idx="7">
                  <c:v>5933.7</c:v>
                </c:pt>
                <c:pt idx="8">
                  <c:v>8073.770833333333</c:v>
                </c:pt>
                <c:pt idx="9">
                  <c:v>5516.8823529411766</c:v>
                </c:pt>
              </c:numCache>
            </c:numRef>
          </c:val>
          <c:extLst>
            <c:ext xmlns:c16="http://schemas.microsoft.com/office/drawing/2014/chart" uri="{C3380CC4-5D6E-409C-BE32-E72D297353CC}">
              <c16:uniqueId val="{00000002-5E5E-4144-929E-14BAED36EAAD}"/>
            </c:ext>
          </c:extLst>
        </c:ser>
        <c:ser>
          <c:idx val="3"/>
          <c:order val="3"/>
          <c:tx>
            <c:strRef>
              <c:f>Sheet4!$F$175:$F$176</c:f>
              <c:strCache>
                <c:ptCount val="1"/>
                <c:pt idx="0">
                  <c:v>11</c:v>
                </c:pt>
              </c:strCache>
            </c:strRef>
          </c:tx>
          <c:spPr>
            <a:solidFill>
              <a:schemeClr val="accent4"/>
            </a:solidFill>
            <a:ln>
              <a:noFill/>
            </a:ln>
            <a:effectLst/>
          </c:spPr>
          <c:invertIfNegative val="0"/>
          <c:cat>
            <c:strRef>
              <c:f>Sheet4!$B$177:$B$187</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Sheet4!$F$177:$F$187</c:f>
              <c:numCache>
                <c:formatCode>0</c:formatCode>
                <c:ptCount val="10"/>
                <c:pt idx="0">
                  <c:v>2514.3809523809523</c:v>
                </c:pt>
                <c:pt idx="1">
                  <c:v>837.81481481481489</c:v>
                </c:pt>
                <c:pt idx="2">
                  <c:v>3672.6</c:v>
                </c:pt>
                <c:pt idx="3">
                  <c:v>4492.8717948717949</c:v>
                </c:pt>
                <c:pt idx="4">
                  <c:v>5492.132075471698</c:v>
                </c:pt>
                <c:pt idx="5">
                  <c:v>4317.0786516853932</c:v>
                </c:pt>
                <c:pt idx="7">
                  <c:v>5660.0566037735853</c:v>
                </c:pt>
                <c:pt idx="8">
                  <c:v>7691.8269230769229</c:v>
                </c:pt>
                <c:pt idx="9">
                  <c:v>6337.409090909091</c:v>
                </c:pt>
              </c:numCache>
            </c:numRef>
          </c:val>
          <c:extLst>
            <c:ext xmlns:c16="http://schemas.microsoft.com/office/drawing/2014/chart" uri="{C3380CC4-5D6E-409C-BE32-E72D297353CC}">
              <c16:uniqueId val="{00000003-5E5E-4144-929E-14BAED36EAAD}"/>
            </c:ext>
          </c:extLst>
        </c:ser>
        <c:dLbls>
          <c:showLegendKey val="0"/>
          <c:showVal val="0"/>
          <c:showCatName val="0"/>
          <c:showSerName val="0"/>
          <c:showPercent val="0"/>
          <c:showBubbleSize val="0"/>
        </c:dLbls>
        <c:gapWidth val="219"/>
        <c:overlap val="-27"/>
        <c:axId val="517450088"/>
        <c:axId val="517458288"/>
      </c:barChart>
      <c:catAx>
        <c:axId val="517450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58288"/>
        <c:crosses val="autoZero"/>
        <c:auto val="1"/>
        <c:lblAlgn val="ctr"/>
        <c:lblOffset val="100"/>
        <c:noMultiLvlLbl val="0"/>
      </c:catAx>
      <c:valAx>
        <c:axId val="517458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500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Aug-2021.xlsx]Sheet4!PivotTable7</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Sheet4!$C$190:$C$191</c:f>
              <c:strCache>
                <c:ptCount val="1"/>
                <c:pt idx="0">
                  <c:v>8</c:v>
                </c:pt>
              </c:strCache>
            </c:strRef>
          </c:tx>
          <c:spPr>
            <a:solidFill>
              <a:schemeClr val="accent1"/>
            </a:solidFill>
            <a:ln>
              <a:noFill/>
            </a:ln>
            <a:effectLst/>
          </c:spPr>
          <c:invertIfNegative val="0"/>
          <c:cat>
            <c:strRef>
              <c:f>Sheet4!$B$192:$B$198</c:f>
              <c:strCache>
                <c:ptCount val="6"/>
                <c:pt idx="0">
                  <c:v>BOTTLE MOLDED</c:v>
                </c:pt>
                <c:pt idx="1">
                  <c:v>BOTTLE PRINTED</c:v>
                </c:pt>
                <c:pt idx="2">
                  <c:v>CAP MOLDED</c:v>
                </c:pt>
                <c:pt idx="3">
                  <c:v>HOOD MOLDED</c:v>
                </c:pt>
                <c:pt idx="4">
                  <c:v>NIPPLE MOLDED</c:v>
                </c:pt>
                <c:pt idx="5">
                  <c:v>NIPPLE PUNCH INSPECTED</c:v>
                </c:pt>
              </c:strCache>
            </c:strRef>
          </c:cat>
          <c:val>
            <c:numRef>
              <c:f>Sheet4!$C$192:$C$198</c:f>
              <c:numCache>
                <c:formatCode>0.00%</c:formatCode>
                <c:ptCount val="6"/>
                <c:pt idx="0">
                  <c:v>2.2317923940837963E-2</c:v>
                </c:pt>
                <c:pt idx="1">
                  <c:v>1.5845944802874993E-2</c:v>
                </c:pt>
                <c:pt idx="2">
                  <c:v>1.8259913286866093E-3</c:v>
                </c:pt>
                <c:pt idx="3">
                  <c:v>9.6586566370660282E-3</c:v>
                </c:pt>
                <c:pt idx="4">
                  <c:v>1.3221572004142333E-2</c:v>
                </c:pt>
                <c:pt idx="5">
                  <c:v>7.817445511287725E-3</c:v>
                </c:pt>
              </c:numCache>
            </c:numRef>
          </c:val>
          <c:extLst>
            <c:ext xmlns:c16="http://schemas.microsoft.com/office/drawing/2014/chart" uri="{C3380CC4-5D6E-409C-BE32-E72D297353CC}">
              <c16:uniqueId val="{00000000-1DE0-4ED1-88CF-822F9FA30E04}"/>
            </c:ext>
          </c:extLst>
        </c:ser>
        <c:ser>
          <c:idx val="1"/>
          <c:order val="1"/>
          <c:tx>
            <c:strRef>
              <c:f>Sheet4!$D$190:$D$191</c:f>
              <c:strCache>
                <c:ptCount val="1"/>
                <c:pt idx="0">
                  <c:v>9</c:v>
                </c:pt>
              </c:strCache>
            </c:strRef>
          </c:tx>
          <c:spPr>
            <a:solidFill>
              <a:schemeClr val="accent2"/>
            </a:solidFill>
            <a:ln>
              <a:noFill/>
            </a:ln>
            <a:effectLst/>
          </c:spPr>
          <c:invertIfNegative val="0"/>
          <c:cat>
            <c:strRef>
              <c:f>Sheet4!$B$192:$B$198</c:f>
              <c:strCache>
                <c:ptCount val="6"/>
                <c:pt idx="0">
                  <c:v>BOTTLE MOLDED</c:v>
                </c:pt>
                <c:pt idx="1">
                  <c:v>BOTTLE PRINTED</c:v>
                </c:pt>
                <c:pt idx="2">
                  <c:v>CAP MOLDED</c:v>
                </c:pt>
                <c:pt idx="3">
                  <c:v>HOOD MOLDED</c:v>
                </c:pt>
                <c:pt idx="4">
                  <c:v>NIPPLE MOLDED</c:v>
                </c:pt>
                <c:pt idx="5">
                  <c:v>NIPPLE PUNCH INSPECTED</c:v>
                </c:pt>
              </c:strCache>
            </c:strRef>
          </c:cat>
          <c:val>
            <c:numRef>
              <c:f>Sheet4!$D$192:$D$198</c:f>
              <c:numCache>
                <c:formatCode>0.00%</c:formatCode>
                <c:ptCount val="6"/>
                <c:pt idx="0">
                  <c:v>2.0927502579260574E-2</c:v>
                </c:pt>
                <c:pt idx="1">
                  <c:v>1.0007592359610721E-2</c:v>
                </c:pt>
                <c:pt idx="2">
                  <c:v>1.2393379578005017E-3</c:v>
                </c:pt>
                <c:pt idx="3">
                  <c:v>1.6389257519458906E-3</c:v>
                </c:pt>
                <c:pt idx="4">
                  <c:v>2.3530065383134992E-2</c:v>
                </c:pt>
                <c:pt idx="5">
                  <c:v>7.3040197303023604E-3</c:v>
                </c:pt>
              </c:numCache>
            </c:numRef>
          </c:val>
          <c:extLst>
            <c:ext xmlns:c16="http://schemas.microsoft.com/office/drawing/2014/chart" uri="{C3380CC4-5D6E-409C-BE32-E72D297353CC}">
              <c16:uniqueId val="{00000001-1DE0-4ED1-88CF-822F9FA30E04}"/>
            </c:ext>
          </c:extLst>
        </c:ser>
        <c:ser>
          <c:idx val="2"/>
          <c:order val="2"/>
          <c:tx>
            <c:strRef>
              <c:f>Sheet4!$E$190:$E$191</c:f>
              <c:strCache>
                <c:ptCount val="1"/>
                <c:pt idx="0">
                  <c:v>10</c:v>
                </c:pt>
              </c:strCache>
            </c:strRef>
          </c:tx>
          <c:spPr>
            <a:solidFill>
              <a:schemeClr val="accent3"/>
            </a:solidFill>
            <a:ln>
              <a:noFill/>
            </a:ln>
            <a:effectLst/>
          </c:spPr>
          <c:invertIfNegative val="0"/>
          <c:cat>
            <c:strRef>
              <c:f>Sheet4!$B$192:$B$198</c:f>
              <c:strCache>
                <c:ptCount val="6"/>
                <c:pt idx="0">
                  <c:v>BOTTLE MOLDED</c:v>
                </c:pt>
                <c:pt idx="1">
                  <c:v>BOTTLE PRINTED</c:v>
                </c:pt>
                <c:pt idx="2">
                  <c:v>CAP MOLDED</c:v>
                </c:pt>
                <c:pt idx="3">
                  <c:v>HOOD MOLDED</c:v>
                </c:pt>
                <c:pt idx="4">
                  <c:v>NIPPLE MOLDED</c:v>
                </c:pt>
                <c:pt idx="5">
                  <c:v>NIPPLE PUNCH INSPECTED</c:v>
                </c:pt>
              </c:strCache>
            </c:strRef>
          </c:cat>
          <c:val>
            <c:numRef>
              <c:f>Sheet4!$E$192:$E$198</c:f>
              <c:numCache>
                <c:formatCode>0.00%</c:formatCode>
                <c:ptCount val="6"/>
                <c:pt idx="0">
                  <c:v>2.0933668184602669E-2</c:v>
                </c:pt>
                <c:pt idx="1">
                  <c:v>8.961899122272356E-3</c:v>
                </c:pt>
                <c:pt idx="2">
                  <c:v>6.4337878106429723E-4</c:v>
                </c:pt>
                <c:pt idx="3">
                  <c:v>2.1694394662514853E-3</c:v>
                </c:pt>
                <c:pt idx="4">
                  <c:v>1.5050802756243263E-2</c:v>
                </c:pt>
                <c:pt idx="5">
                  <c:v>9.5184430527361138E-3</c:v>
                </c:pt>
              </c:numCache>
            </c:numRef>
          </c:val>
          <c:extLst>
            <c:ext xmlns:c16="http://schemas.microsoft.com/office/drawing/2014/chart" uri="{C3380CC4-5D6E-409C-BE32-E72D297353CC}">
              <c16:uniqueId val="{00000002-1DE0-4ED1-88CF-822F9FA30E04}"/>
            </c:ext>
          </c:extLst>
        </c:ser>
        <c:ser>
          <c:idx val="3"/>
          <c:order val="3"/>
          <c:tx>
            <c:strRef>
              <c:f>Sheet4!$F$190:$F$191</c:f>
              <c:strCache>
                <c:ptCount val="1"/>
                <c:pt idx="0">
                  <c:v>11</c:v>
                </c:pt>
              </c:strCache>
            </c:strRef>
          </c:tx>
          <c:spPr>
            <a:solidFill>
              <a:schemeClr val="accent4"/>
            </a:solidFill>
            <a:ln>
              <a:noFill/>
            </a:ln>
            <a:effectLst/>
          </c:spPr>
          <c:invertIfNegative val="0"/>
          <c:cat>
            <c:strRef>
              <c:f>Sheet4!$B$192:$B$198</c:f>
              <c:strCache>
                <c:ptCount val="6"/>
                <c:pt idx="0">
                  <c:v>BOTTLE MOLDED</c:v>
                </c:pt>
                <c:pt idx="1">
                  <c:v>BOTTLE PRINTED</c:v>
                </c:pt>
                <c:pt idx="2">
                  <c:v>CAP MOLDED</c:v>
                </c:pt>
                <c:pt idx="3">
                  <c:v>HOOD MOLDED</c:v>
                </c:pt>
                <c:pt idx="4">
                  <c:v>NIPPLE MOLDED</c:v>
                </c:pt>
                <c:pt idx="5">
                  <c:v>NIPPLE PUNCH INSPECTED</c:v>
                </c:pt>
              </c:strCache>
            </c:strRef>
          </c:cat>
          <c:val>
            <c:numRef>
              <c:f>Sheet4!$F$192:$F$198</c:f>
              <c:numCache>
                <c:formatCode>0.00%</c:formatCode>
                <c:ptCount val="6"/>
                <c:pt idx="0">
                  <c:v>2.1075943103838403E-2</c:v>
                </c:pt>
                <c:pt idx="1">
                  <c:v>1.2208450359672109E-2</c:v>
                </c:pt>
                <c:pt idx="2">
                  <c:v>1.0808962472569001E-3</c:v>
                </c:pt>
                <c:pt idx="3">
                  <c:v>2.3557876818069076E-3</c:v>
                </c:pt>
                <c:pt idx="4">
                  <c:v>1.4610733320863363E-2</c:v>
                </c:pt>
                <c:pt idx="5">
                  <c:v>6.0700423911882089E-3</c:v>
                </c:pt>
              </c:numCache>
            </c:numRef>
          </c:val>
          <c:extLst>
            <c:ext xmlns:c16="http://schemas.microsoft.com/office/drawing/2014/chart" uri="{C3380CC4-5D6E-409C-BE32-E72D297353CC}">
              <c16:uniqueId val="{00000003-1DE0-4ED1-88CF-822F9FA30E04}"/>
            </c:ext>
          </c:extLst>
        </c:ser>
        <c:dLbls>
          <c:showLegendKey val="0"/>
          <c:showVal val="0"/>
          <c:showCatName val="0"/>
          <c:showSerName val="0"/>
          <c:showPercent val="0"/>
          <c:showBubbleSize val="0"/>
        </c:dLbls>
        <c:gapWidth val="219"/>
        <c:overlap val="-27"/>
        <c:axId val="820968152"/>
        <c:axId val="820966184"/>
      </c:barChart>
      <c:catAx>
        <c:axId val="820968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66184"/>
        <c:crosses val="autoZero"/>
        <c:auto val="1"/>
        <c:lblAlgn val="ctr"/>
        <c:lblOffset val="100"/>
        <c:noMultiLvlLbl val="0"/>
      </c:catAx>
      <c:valAx>
        <c:axId val="820966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68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Aug-2021.xlsx]Sheet4!PivotTable8</c:name>
    <c:fmtId val="1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clustered"/>
        <c:varyColors val="0"/>
        <c:ser>
          <c:idx val="0"/>
          <c:order val="0"/>
          <c:tx>
            <c:strRef>
              <c:f>Sheet4!$C$201:$C$202</c:f>
              <c:strCache>
                <c:ptCount val="1"/>
                <c:pt idx="0">
                  <c:v>8</c:v>
                </c:pt>
              </c:strCache>
            </c:strRef>
          </c:tx>
          <c:spPr>
            <a:solidFill>
              <a:schemeClr val="accent1"/>
            </a:solidFill>
            <a:ln>
              <a:noFill/>
            </a:ln>
            <a:effectLst/>
          </c:spPr>
          <c:invertIfNegative val="0"/>
          <c:cat>
            <c:strRef>
              <c:f>Sheet4!$B$203:$B$209</c:f>
              <c:strCache>
                <c:ptCount val="6"/>
                <c:pt idx="0">
                  <c:v>BOTTLE MOLDED</c:v>
                </c:pt>
                <c:pt idx="1">
                  <c:v>BOTTLE PRINTED</c:v>
                </c:pt>
                <c:pt idx="2">
                  <c:v>CAP MOLDED</c:v>
                </c:pt>
                <c:pt idx="3">
                  <c:v>HOOD MOLDED</c:v>
                </c:pt>
                <c:pt idx="4">
                  <c:v>NIPPLE MOLDED</c:v>
                </c:pt>
                <c:pt idx="5">
                  <c:v>NIPPLE PUNCH INSPECTED</c:v>
                </c:pt>
              </c:strCache>
            </c:strRef>
          </c:cat>
          <c:val>
            <c:numRef>
              <c:f>Sheet4!$C$203:$C$209</c:f>
              <c:numCache>
                <c:formatCode>0.00%</c:formatCode>
                <c:ptCount val="6"/>
                <c:pt idx="0">
                  <c:v>2.3547854310574216E-2</c:v>
                </c:pt>
                <c:pt idx="1">
                  <c:v>0</c:v>
                </c:pt>
                <c:pt idx="2">
                  <c:v>7.0256786767671148E-4</c:v>
                </c:pt>
                <c:pt idx="3">
                  <c:v>2.2538505933750889E-2</c:v>
                </c:pt>
                <c:pt idx="4">
                  <c:v>1.7054062563544775E-2</c:v>
                </c:pt>
                <c:pt idx="5">
                  <c:v>0</c:v>
                </c:pt>
              </c:numCache>
            </c:numRef>
          </c:val>
          <c:extLst>
            <c:ext xmlns:c16="http://schemas.microsoft.com/office/drawing/2014/chart" uri="{C3380CC4-5D6E-409C-BE32-E72D297353CC}">
              <c16:uniqueId val="{00000000-77C0-49D9-84F5-F82BDDC24304}"/>
            </c:ext>
          </c:extLst>
        </c:ser>
        <c:ser>
          <c:idx val="1"/>
          <c:order val="1"/>
          <c:tx>
            <c:strRef>
              <c:f>Sheet4!$D$201:$D$202</c:f>
              <c:strCache>
                <c:ptCount val="1"/>
                <c:pt idx="0">
                  <c:v>9</c:v>
                </c:pt>
              </c:strCache>
            </c:strRef>
          </c:tx>
          <c:spPr>
            <a:solidFill>
              <a:schemeClr val="accent2"/>
            </a:solidFill>
            <a:ln>
              <a:noFill/>
            </a:ln>
            <a:effectLst/>
          </c:spPr>
          <c:invertIfNegative val="0"/>
          <c:cat>
            <c:strRef>
              <c:f>Sheet4!$B$203:$B$209</c:f>
              <c:strCache>
                <c:ptCount val="6"/>
                <c:pt idx="0">
                  <c:v>BOTTLE MOLDED</c:v>
                </c:pt>
                <c:pt idx="1">
                  <c:v>BOTTLE PRINTED</c:v>
                </c:pt>
                <c:pt idx="2">
                  <c:v>CAP MOLDED</c:v>
                </c:pt>
                <c:pt idx="3">
                  <c:v>HOOD MOLDED</c:v>
                </c:pt>
                <c:pt idx="4">
                  <c:v>NIPPLE MOLDED</c:v>
                </c:pt>
                <c:pt idx="5">
                  <c:v>NIPPLE PUNCH INSPECTED</c:v>
                </c:pt>
              </c:strCache>
            </c:strRef>
          </c:cat>
          <c:val>
            <c:numRef>
              <c:f>Sheet4!$D$203:$D$209</c:f>
              <c:numCache>
                <c:formatCode>0.00%</c:formatCode>
                <c:ptCount val="6"/>
                <c:pt idx="0">
                  <c:v>1.9240488053005881E-2</c:v>
                </c:pt>
                <c:pt idx="1">
                  <c:v>0</c:v>
                </c:pt>
                <c:pt idx="2">
                  <c:v>3.697267719155544E-5</c:v>
                </c:pt>
                <c:pt idx="3">
                  <c:v>4.4554382672022815E-4</c:v>
                </c:pt>
                <c:pt idx="4">
                  <c:v>2.054231073082928E-2</c:v>
                </c:pt>
                <c:pt idx="5">
                  <c:v>0</c:v>
                </c:pt>
              </c:numCache>
            </c:numRef>
          </c:val>
          <c:extLst>
            <c:ext xmlns:c16="http://schemas.microsoft.com/office/drawing/2014/chart" uri="{C3380CC4-5D6E-409C-BE32-E72D297353CC}">
              <c16:uniqueId val="{00000001-77C0-49D9-84F5-F82BDDC24304}"/>
            </c:ext>
          </c:extLst>
        </c:ser>
        <c:ser>
          <c:idx val="2"/>
          <c:order val="2"/>
          <c:tx>
            <c:strRef>
              <c:f>Sheet4!$E$201:$E$202</c:f>
              <c:strCache>
                <c:ptCount val="1"/>
                <c:pt idx="0">
                  <c:v>10</c:v>
                </c:pt>
              </c:strCache>
            </c:strRef>
          </c:tx>
          <c:spPr>
            <a:solidFill>
              <a:schemeClr val="accent3"/>
            </a:solidFill>
            <a:ln>
              <a:noFill/>
            </a:ln>
            <a:effectLst/>
          </c:spPr>
          <c:invertIfNegative val="0"/>
          <c:cat>
            <c:strRef>
              <c:f>Sheet4!$B$203:$B$209</c:f>
              <c:strCache>
                <c:ptCount val="6"/>
                <c:pt idx="0">
                  <c:v>BOTTLE MOLDED</c:v>
                </c:pt>
                <c:pt idx="1">
                  <c:v>BOTTLE PRINTED</c:v>
                </c:pt>
                <c:pt idx="2">
                  <c:v>CAP MOLDED</c:v>
                </c:pt>
                <c:pt idx="3">
                  <c:v>HOOD MOLDED</c:v>
                </c:pt>
                <c:pt idx="4">
                  <c:v>NIPPLE MOLDED</c:v>
                </c:pt>
                <c:pt idx="5">
                  <c:v>NIPPLE PUNCH INSPECTED</c:v>
                </c:pt>
              </c:strCache>
            </c:strRef>
          </c:cat>
          <c:val>
            <c:numRef>
              <c:f>Sheet4!$E$203:$E$209</c:f>
              <c:numCache>
                <c:formatCode>0.00%</c:formatCode>
                <c:ptCount val="6"/>
                <c:pt idx="0">
                  <c:v>1.6425389317872807E-2</c:v>
                </c:pt>
                <c:pt idx="1">
                  <c:v>0</c:v>
                </c:pt>
                <c:pt idx="2">
                  <c:v>2.565046226593953E-4</c:v>
                </c:pt>
                <c:pt idx="3">
                  <c:v>1.6123063038269939E-3</c:v>
                </c:pt>
                <c:pt idx="4">
                  <c:v>2.4760804812732788E-2</c:v>
                </c:pt>
                <c:pt idx="5">
                  <c:v>0</c:v>
                </c:pt>
              </c:numCache>
            </c:numRef>
          </c:val>
          <c:extLst>
            <c:ext xmlns:c16="http://schemas.microsoft.com/office/drawing/2014/chart" uri="{C3380CC4-5D6E-409C-BE32-E72D297353CC}">
              <c16:uniqueId val="{00000002-77C0-49D9-84F5-F82BDDC24304}"/>
            </c:ext>
          </c:extLst>
        </c:ser>
        <c:ser>
          <c:idx val="3"/>
          <c:order val="3"/>
          <c:tx>
            <c:strRef>
              <c:f>Sheet4!$F$201:$F$202</c:f>
              <c:strCache>
                <c:ptCount val="1"/>
                <c:pt idx="0">
                  <c:v>11</c:v>
                </c:pt>
              </c:strCache>
            </c:strRef>
          </c:tx>
          <c:spPr>
            <a:solidFill>
              <a:schemeClr val="accent4"/>
            </a:solidFill>
            <a:ln>
              <a:noFill/>
            </a:ln>
            <a:effectLst/>
          </c:spPr>
          <c:invertIfNegative val="0"/>
          <c:cat>
            <c:strRef>
              <c:f>Sheet4!$B$203:$B$209</c:f>
              <c:strCache>
                <c:ptCount val="6"/>
                <c:pt idx="0">
                  <c:v>BOTTLE MOLDED</c:v>
                </c:pt>
                <c:pt idx="1">
                  <c:v>BOTTLE PRINTED</c:v>
                </c:pt>
                <c:pt idx="2">
                  <c:v>CAP MOLDED</c:v>
                </c:pt>
                <c:pt idx="3">
                  <c:v>HOOD MOLDED</c:v>
                </c:pt>
                <c:pt idx="4">
                  <c:v>NIPPLE MOLDED</c:v>
                </c:pt>
                <c:pt idx="5">
                  <c:v>NIPPLE PUNCH INSPECTED</c:v>
                </c:pt>
              </c:strCache>
            </c:strRef>
          </c:cat>
          <c:val>
            <c:numRef>
              <c:f>Sheet4!$F$203:$F$209</c:f>
              <c:numCache>
                <c:formatCode>0.00%</c:formatCode>
                <c:ptCount val="6"/>
                <c:pt idx="0">
                  <c:v>2.0593259036925108E-2</c:v>
                </c:pt>
                <c:pt idx="1">
                  <c:v>0</c:v>
                </c:pt>
                <c:pt idx="2">
                  <c:v>2.402542258970764E-4</c:v>
                </c:pt>
                <c:pt idx="3">
                  <c:v>2.2137613165356842E-3</c:v>
                </c:pt>
                <c:pt idx="4">
                  <c:v>1.4889667678722971E-2</c:v>
                </c:pt>
                <c:pt idx="5">
                  <c:v>0</c:v>
                </c:pt>
              </c:numCache>
            </c:numRef>
          </c:val>
          <c:extLst>
            <c:ext xmlns:c16="http://schemas.microsoft.com/office/drawing/2014/chart" uri="{C3380CC4-5D6E-409C-BE32-E72D297353CC}">
              <c16:uniqueId val="{00000003-77C0-49D9-84F5-F82BDDC24304}"/>
            </c:ext>
          </c:extLst>
        </c:ser>
        <c:dLbls>
          <c:showLegendKey val="0"/>
          <c:showVal val="0"/>
          <c:showCatName val="0"/>
          <c:showSerName val="0"/>
          <c:showPercent val="0"/>
          <c:showBubbleSize val="0"/>
        </c:dLbls>
        <c:gapWidth val="219"/>
        <c:overlap val="-27"/>
        <c:axId val="571781072"/>
        <c:axId val="571787304"/>
      </c:barChart>
      <c:catAx>
        <c:axId val="57178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787304"/>
        <c:crosses val="autoZero"/>
        <c:auto val="1"/>
        <c:lblAlgn val="ctr"/>
        <c:lblOffset val="100"/>
        <c:noMultiLvlLbl val="0"/>
      </c:catAx>
      <c:valAx>
        <c:axId val="571787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781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Aug-2021.xlsx]Sheet4!PivotTable9</c:name>
    <c:fmtId val="2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Sheet4!$C$212:$C$213</c:f>
              <c:strCache>
                <c:ptCount val="1"/>
                <c:pt idx="0">
                  <c:v>8</c:v>
                </c:pt>
              </c:strCache>
            </c:strRef>
          </c:tx>
          <c:spPr>
            <a:solidFill>
              <a:schemeClr val="accent1"/>
            </a:solidFill>
            <a:ln>
              <a:noFill/>
            </a:ln>
            <a:effectLst/>
          </c:spPr>
          <c:invertIfNegative val="0"/>
          <c:cat>
            <c:strRef>
              <c:f>Sheet4!$B$214:$B$223</c:f>
              <c:strCache>
                <c:ptCount val="9"/>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strCache>
            </c:strRef>
          </c:cat>
          <c:val>
            <c:numRef>
              <c:f>Sheet4!$C$214:$C$223</c:f>
              <c:numCache>
                <c:formatCode>0</c:formatCode>
                <c:ptCount val="9"/>
                <c:pt idx="0">
                  <c:v>33.4</c:v>
                </c:pt>
                <c:pt idx="1">
                  <c:v>40.083333333333343</c:v>
                </c:pt>
                <c:pt idx="2">
                  <c:v>12.833333333333334</c:v>
                </c:pt>
                <c:pt idx="3">
                  <c:v>3.7833333333333332</c:v>
                </c:pt>
                <c:pt idx="4">
                  <c:v>16.833333333333332</c:v>
                </c:pt>
                <c:pt idx="5">
                  <c:v>34.916666666666671</c:v>
                </c:pt>
                <c:pt idx="6">
                  <c:v>36.333333333333329</c:v>
                </c:pt>
                <c:pt idx="7">
                  <c:v>20.5</c:v>
                </c:pt>
                <c:pt idx="8">
                  <c:v>5.666666666666667</c:v>
                </c:pt>
              </c:numCache>
            </c:numRef>
          </c:val>
          <c:extLst>
            <c:ext xmlns:c16="http://schemas.microsoft.com/office/drawing/2014/chart" uri="{C3380CC4-5D6E-409C-BE32-E72D297353CC}">
              <c16:uniqueId val="{00000000-6CE0-4E47-B8DB-5DC7EE8C4F97}"/>
            </c:ext>
          </c:extLst>
        </c:ser>
        <c:ser>
          <c:idx val="1"/>
          <c:order val="1"/>
          <c:tx>
            <c:strRef>
              <c:f>Sheet4!$D$212:$D$213</c:f>
              <c:strCache>
                <c:ptCount val="1"/>
                <c:pt idx="0">
                  <c:v>9</c:v>
                </c:pt>
              </c:strCache>
            </c:strRef>
          </c:tx>
          <c:spPr>
            <a:solidFill>
              <a:schemeClr val="accent2"/>
            </a:solidFill>
            <a:ln>
              <a:noFill/>
            </a:ln>
            <a:effectLst/>
          </c:spPr>
          <c:invertIfNegative val="0"/>
          <c:cat>
            <c:strRef>
              <c:f>Sheet4!$B$214:$B$223</c:f>
              <c:strCache>
                <c:ptCount val="9"/>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strCache>
            </c:strRef>
          </c:cat>
          <c:val>
            <c:numRef>
              <c:f>Sheet4!$D$214:$D$223</c:f>
              <c:numCache>
                <c:formatCode>0</c:formatCode>
                <c:ptCount val="9"/>
                <c:pt idx="0">
                  <c:v>54.333333333333329</c:v>
                </c:pt>
                <c:pt idx="1">
                  <c:v>69.3</c:v>
                </c:pt>
                <c:pt idx="2">
                  <c:v>7.75</c:v>
                </c:pt>
                <c:pt idx="3">
                  <c:v>5.6666666666666661</c:v>
                </c:pt>
                <c:pt idx="4">
                  <c:v>43.749999999999979</c:v>
                </c:pt>
                <c:pt idx="5">
                  <c:v>36.583333333333329</c:v>
                </c:pt>
                <c:pt idx="6">
                  <c:v>49.5833333333333</c:v>
                </c:pt>
                <c:pt idx="7">
                  <c:v>20.833333333333332</c:v>
                </c:pt>
                <c:pt idx="8">
                  <c:v>10.16666666666667</c:v>
                </c:pt>
              </c:numCache>
            </c:numRef>
          </c:val>
          <c:extLst>
            <c:ext xmlns:c16="http://schemas.microsoft.com/office/drawing/2014/chart" uri="{C3380CC4-5D6E-409C-BE32-E72D297353CC}">
              <c16:uniqueId val="{00000001-6CE0-4E47-B8DB-5DC7EE8C4F97}"/>
            </c:ext>
          </c:extLst>
        </c:ser>
        <c:ser>
          <c:idx val="2"/>
          <c:order val="2"/>
          <c:tx>
            <c:strRef>
              <c:f>Sheet4!$E$212:$E$213</c:f>
              <c:strCache>
                <c:ptCount val="1"/>
                <c:pt idx="0">
                  <c:v>10</c:v>
                </c:pt>
              </c:strCache>
            </c:strRef>
          </c:tx>
          <c:spPr>
            <a:solidFill>
              <a:schemeClr val="accent3"/>
            </a:solidFill>
            <a:ln>
              <a:noFill/>
            </a:ln>
            <a:effectLst/>
          </c:spPr>
          <c:invertIfNegative val="0"/>
          <c:cat>
            <c:strRef>
              <c:f>Sheet4!$B$214:$B$223</c:f>
              <c:strCache>
                <c:ptCount val="9"/>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strCache>
            </c:strRef>
          </c:cat>
          <c:val>
            <c:numRef>
              <c:f>Sheet4!$E$214:$E$223</c:f>
              <c:numCache>
                <c:formatCode>0</c:formatCode>
                <c:ptCount val="9"/>
                <c:pt idx="0">
                  <c:v>43</c:v>
                </c:pt>
                <c:pt idx="1">
                  <c:v>32.166666666666679</c:v>
                </c:pt>
                <c:pt idx="2">
                  <c:v>36.416666666666671</c:v>
                </c:pt>
                <c:pt idx="3">
                  <c:v>7.6666666666666652</c:v>
                </c:pt>
                <c:pt idx="4">
                  <c:v>43.083333333333314</c:v>
                </c:pt>
                <c:pt idx="5">
                  <c:v>61.916666666666671</c:v>
                </c:pt>
                <c:pt idx="6">
                  <c:v>41.66666666666665</c:v>
                </c:pt>
                <c:pt idx="7">
                  <c:v>14.16666666666667</c:v>
                </c:pt>
                <c:pt idx="8">
                  <c:v>19.166666666666664</c:v>
                </c:pt>
              </c:numCache>
            </c:numRef>
          </c:val>
          <c:extLst>
            <c:ext xmlns:c16="http://schemas.microsoft.com/office/drawing/2014/chart" uri="{C3380CC4-5D6E-409C-BE32-E72D297353CC}">
              <c16:uniqueId val="{00000002-6CE0-4E47-B8DB-5DC7EE8C4F97}"/>
            </c:ext>
          </c:extLst>
        </c:ser>
        <c:ser>
          <c:idx val="3"/>
          <c:order val="3"/>
          <c:tx>
            <c:strRef>
              <c:f>Sheet4!$F$212:$F$213</c:f>
              <c:strCache>
                <c:ptCount val="1"/>
                <c:pt idx="0">
                  <c:v>11</c:v>
                </c:pt>
              </c:strCache>
            </c:strRef>
          </c:tx>
          <c:spPr>
            <a:solidFill>
              <a:schemeClr val="accent4"/>
            </a:solidFill>
            <a:ln>
              <a:noFill/>
            </a:ln>
            <a:effectLst/>
          </c:spPr>
          <c:invertIfNegative val="0"/>
          <c:cat>
            <c:strRef>
              <c:f>Sheet4!$B$214:$B$223</c:f>
              <c:strCache>
                <c:ptCount val="9"/>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strCache>
            </c:strRef>
          </c:cat>
          <c:val>
            <c:numRef>
              <c:f>Sheet4!$F$214:$F$223</c:f>
              <c:numCache>
                <c:formatCode>0</c:formatCode>
                <c:ptCount val="9"/>
                <c:pt idx="0">
                  <c:v>33.833333333333336</c:v>
                </c:pt>
                <c:pt idx="1">
                  <c:v>31.333333333333329</c:v>
                </c:pt>
                <c:pt idx="2">
                  <c:v>2.9166666666666665</c:v>
                </c:pt>
                <c:pt idx="3">
                  <c:v>6.5</c:v>
                </c:pt>
                <c:pt idx="4">
                  <c:v>30.166666666666671</c:v>
                </c:pt>
                <c:pt idx="5">
                  <c:v>42.5</c:v>
                </c:pt>
                <c:pt idx="6">
                  <c:v>39.550000000000011</c:v>
                </c:pt>
                <c:pt idx="7">
                  <c:v>15.000000000000004</c:v>
                </c:pt>
                <c:pt idx="8">
                  <c:v>6.6666666666666661</c:v>
                </c:pt>
              </c:numCache>
            </c:numRef>
          </c:val>
          <c:extLst>
            <c:ext xmlns:c16="http://schemas.microsoft.com/office/drawing/2014/chart" uri="{C3380CC4-5D6E-409C-BE32-E72D297353CC}">
              <c16:uniqueId val="{00000003-6CE0-4E47-B8DB-5DC7EE8C4F97}"/>
            </c:ext>
          </c:extLst>
        </c:ser>
        <c:dLbls>
          <c:showLegendKey val="0"/>
          <c:showVal val="0"/>
          <c:showCatName val="0"/>
          <c:showSerName val="0"/>
          <c:showPercent val="0"/>
          <c:showBubbleSize val="0"/>
        </c:dLbls>
        <c:gapWidth val="219"/>
        <c:overlap val="-27"/>
        <c:axId val="377350832"/>
        <c:axId val="377346568"/>
      </c:barChart>
      <c:catAx>
        <c:axId val="37735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346568"/>
        <c:crosses val="autoZero"/>
        <c:auto val="1"/>
        <c:lblAlgn val="ctr"/>
        <c:lblOffset val="100"/>
        <c:noMultiLvlLbl val="0"/>
      </c:catAx>
      <c:valAx>
        <c:axId val="377346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350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Aug-2021.xlsx]Sheet4!PivotTable10</c:name>
    <c:fmtId val="2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Sheet4!$C$226:$C$227</c:f>
              <c:strCache>
                <c:ptCount val="1"/>
                <c:pt idx="0">
                  <c:v>8</c:v>
                </c:pt>
              </c:strCache>
            </c:strRef>
          </c:tx>
          <c:spPr>
            <a:solidFill>
              <a:schemeClr val="accent1"/>
            </a:solidFill>
            <a:ln>
              <a:noFill/>
            </a:ln>
            <a:effectLst/>
          </c:spPr>
          <c:invertIfNegative val="0"/>
          <c:cat>
            <c:strRef>
              <c:f>Sheet4!$B$228:$B$237</c:f>
              <c:strCache>
                <c:ptCount val="9"/>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strCache>
            </c:strRef>
          </c:cat>
          <c:val>
            <c:numRef>
              <c:f>Sheet4!$C$228:$C$237</c:f>
              <c:numCache>
                <c:formatCode>0.0</c:formatCode>
                <c:ptCount val="9"/>
                <c:pt idx="0">
                  <c:v>9.6019588640721629</c:v>
                </c:pt>
                <c:pt idx="1">
                  <c:v>34.724536758178004</c:v>
                </c:pt>
                <c:pt idx="2">
                  <c:v>6.5803039253654063</c:v>
                </c:pt>
                <c:pt idx="3">
                  <c:v>5.8955010879561787</c:v>
                </c:pt>
                <c:pt idx="4">
                  <c:v>3.942511117512185</c:v>
                </c:pt>
                <c:pt idx="5">
                  <c:v>5.5778112340902783</c:v>
                </c:pt>
                <c:pt idx="6">
                  <c:v>3.8014511334675216</c:v>
                </c:pt>
                <c:pt idx="7">
                  <c:v>3.602297129519398</c:v>
                </c:pt>
                <c:pt idx="8">
                  <c:v>3.2768002417988487</c:v>
                </c:pt>
              </c:numCache>
            </c:numRef>
          </c:val>
          <c:extLst>
            <c:ext xmlns:c16="http://schemas.microsoft.com/office/drawing/2014/chart" uri="{C3380CC4-5D6E-409C-BE32-E72D297353CC}">
              <c16:uniqueId val="{00000000-8686-45CE-ABAF-872D5D180014}"/>
            </c:ext>
          </c:extLst>
        </c:ser>
        <c:ser>
          <c:idx val="1"/>
          <c:order val="1"/>
          <c:tx>
            <c:strRef>
              <c:f>Sheet4!$D$226:$D$227</c:f>
              <c:strCache>
                <c:ptCount val="1"/>
                <c:pt idx="0">
                  <c:v>9</c:v>
                </c:pt>
              </c:strCache>
            </c:strRef>
          </c:tx>
          <c:spPr>
            <a:solidFill>
              <a:schemeClr val="accent2"/>
            </a:solidFill>
            <a:ln>
              <a:noFill/>
            </a:ln>
            <a:effectLst/>
          </c:spPr>
          <c:invertIfNegative val="0"/>
          <c:cat>
            <c:strRef>
              <c:f>Sheet4!$B$228:$B$237</c:f>
              <c:strCache>
                <c:ptCount val="9"/>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strCache>
            </c:strRef>
          </c:cat>
          <c:val>
            <c:numRef>
              <c:f>Sheet4!$D$228:$D$237</c:f>
              <c:numCache>
                <c:formatCode>0.0</c:formatCode>
                <c:ptCount val="9"/>
                <c:pt idx="0">
                  <c:v>9.5601229841230708</c:v>
                </c:pt>
                <c:pt idx="1">
                  <c:v>61.996678086449457</c:v>
                </c:pt>
                <c:pt idx="2">
                  <c:v>6.470636075934741</c:v>
                </c:pt>
                <c:pt idx="3">
                  <c:v>5.4765953429754397</c:v>
                </c:pt>
                <c:pt idx="4">
                  <c:v>3.7858515840514251</c:v>
                </c:pt>
                <c:pt idx="5">
                  <c:v>6.1656126656741739</c:v>
                </c:pt>
                <c:pt idx="6">
                  <c:v>3.8563172202420946</c:v>
                </c:pt>
                <c:pt idx="7">
                  <c:v>3.0927509671845144</c:v>
                </c:pt>
                <c:pt idx="8">
                  <c:v>3.2391280247984713</c:v>
                </c:pt>
              </c:numCache>
            </c:numRef>
          </c:val>
          <c:extLst>
            <c:ext xmlns:c16="http://schemas.microsoft.com/office/drawing/2014/chart" uri="{C3380CC4-5D6E-409C-BE32-E72D297353CC}">
              <c16:uniqueId val="{00000001-8686-45CE-ABAF-872D5D180014}"/>
            </c:ext>
          </c:extLst>
        </c:ser>
        <c:ser>
          <c:idx val="2"/>
          <c:order val="2"/>
          <c:tx>
            <c:strRef>
              <c:f>Sheet4!$E$226:$E$227</c:f>
              <c:strCache>
                <c:ptCount val="1"/>
                <c:pt idx="0">
                  <c:v>10</c:v>
                </c:pt>
              </c:strCache>
            </c:strRef>
          </c:tx>
          <c:spPr>
            <a:solidFill>
              <a:schemeClr val="accent3"/>
            </a:solidFill>
            <a:ln>
              <a:noFill/>
            </a:ln>
            <a:effectLst/>
          </c:spPr>
          <c:invertIfNegative val="0"/>
          <c:cat>
            <c:strRef>
              <c:f>Sheet4!$B$228:$B$237</c:f>
              <c:strCache>
                <c:ptCount val="9"/>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strCache>
            </c:strRef>
          </c:cat>
          <c:val>
            <c:numRef>
              <c:f>Sheet4!$E$228:$E$237</c:f>
              <c:numCache>
                <c:formatCode>0.0</c:formatCode>
                <c:ptCount val="9"/>
                <c:pt idx="0">
                  <c:v>9.3191370308145558</c:v>
                </c:pt>
                <c:pt idx="1">
                  <c:v>26.861717719345574</c:v>
                </c:pt>
                <c:pt idx="2">
                  <c:v>5.9947294267605953</c:v>
                </c:pt>
                <c:pt idx="3">
                  <c:v>5.7870701042406765</c:v>
                </c:pt>
                <c:pt idx="4">
                  <c:v>3.8776197394100276</c:v>
                </c:pt>
                <c:pt idx="5">
                  <c:v>5.5995843682262372</c:v>
                </c:pt>
                <c:pt idx="6">
                  <c:v>3.9094942423198402</c:v>
                </c:pt>
                <c:pt idx="7">
                  <c:v>2.9197057492077181</c:v>
                </c:pt>
                <c:pt idx="8">
                  <c:v>3.1168326605928658</c:v>
                </c:pt>
              </c:numCache>
            </c:numRef>
          </c:val>
          <c:extLst>
            <c:ext xmlns:c16="http://schemas.microsoft.com/office/drawing/2014/chart" uri="{C3380CC4-5D6E-409C-BE32-E72D297353CC}">
              <c16:uniqueId val="{00000002-8686-45CE-ABAF-872D5D180014}"/>
            </c:ext>
          </c:extLst>
        </c:ser>
        <c:ser>
          <c:idx val="3"/>
          <c:order val="3"/>
          <c:tx>
            <c:strRef>
              <c:f>Sheet4!$F$226:$F$227</c:f>
              <c:strCache>
                <c:ptCount val="1"/>
                <c:pt idx="0">
                  <c:v>11</c:v>
                </c:pt>
              </c:strCache>
            </c:strRef>
          </c:tx>
          <c:spPr>
            <a:solidFill>
              <a:schemeClr val="accent4"/>
            </a:solidFill>
            <a:ln>
              <a:noFill/>
            </a:ln>
            <a:effectLst/>
          </c:spPr>
          <c:invertIfNegative val="0"/>
          <c:cat>
            <c:strRef>
              <c:f>Sheet4!$B$228:$B$237</c:f>
              <c:strCache>
                <c:ptCount val="9"/>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strCache>
            </c:strRef>
          </c:cat>
          <c:val>
            <c:numRef>
              <c:f>Sheet4!$F$228:$F$237</c:f>
              <c:numCache>
                <c:formatCode>0.0</c:formatCode>
                <c:ptCount val="9"/>
                <c:pt idx="0">
                  <c:v>10.702367897407136</c:v>
                </c:pt>
                <c:pt idx="1">
                  <c:v>30.413190855857025</c:v>
                </c:pt>
                <c:pt idx="2">
                  <c:v>6.1548681439829807</c:v>
                </c:pt>
                <c:pt idx="3">
                  <c:v>6.2798892523446801</c:v>
                </c:pt>
                <c:pt idx="4">
                  <c:v>4.3854719831220628</c:v>
                </c:pt>
                <c:pt idx="5">
                  <c:v>6.4770345671798202</c:v>
                </c:pt>
                <c:pt idx="6">
                  <c:v>4.2741704964790319</c:v>
                </c:pt>
                <c:pt idx="7">
                  <c:v>2.9669322339656787</c:v>
                </c:pt>
                <c:pt idx="8">
                  <c:v>3.7844174679445075</c:v>
                </c:pt>
              </c:numCache>
            </c:numRef>
          </c:val>
          <c:extLst>
            <c:ext xmlns:c16="http://schemas.microsoft.com/office/drawing/2014/chart" uri="{C3380CC4-5D6E-409C-BE32-E72D297353CC}">
              <c16:uniqueId val="{00000003-8686-45CE-ABAF-872D5D180014}"/>
            </c:ext>
          </c:extLst>
        </c:ser>
        <c:dLbls>
          <c:showLegendKey val="0"/>
          <c:showVal val="0"/>
          <c:showCatName val="0"/>
          <c:showSerName val="0"/>
          <c:showPercent val="0"/>
          <c:showBubbleSize val="0"/>
        </c:dLbls>
        <c:gapWidth val="219"/>
        <c:overlap val="-27"/>
        <c:axId val="377335416"/>
        <c:axId val="377339024"/>
      </c:barChart>
      <c:catAx>
        <c:axId val="377335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339024"/>
        <c:crosses val="autoZero"/>
        <c:auto val="1"/>
        <c:lblAlgn val="ctr"/>
        <c:lblOffset val="100"/>
        <c:noMultiLvlLbl val="0"/>
      </c:catAx>
      <c:valAx>
        <c:axId val="3773390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3354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Aug-2021.xlsx]Sheet4!PivotTable11</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Sheet4!$C$1:$C$2</c:f>
              <c:strCache>
                <c:ptCount val="1"/>
                <c:pt idx="0">
                  <c:v>Aug</c:v>
                </c:pt>
              </c:strCache>
            </c:strRef>
          </c:tx>
          <c:spPr>
            <a:solidFill>
              <a:schemeClr val="accent1"/>
            </a:solidFill>
            <a:ln>
              <a:noFill/>
            </a:ln>
            <a:effectLst/>
          </c:spPr>
          <c:invertIfNegative val="0"/>
          <c:cat>
            <c:strRef>
              <c:f>Sheet4!$B$3:$B$13</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Sheet4!$C$3:$C$13</c:f>
              <c:numCache>
                <c:formatCode>_-* #,##0_-;\-* #,##0_-;_-* "-"??_-;_-@_-</c:formatCode>
                <c:ptCount val="10"/>
                <c:pt idx="0">
                  <c:v>126271.5</c:v>
                </c:pt>
                <c:pt idx="1">
                  <c:v>80230</c:v>
                </c:pt>
                <c:pt idx="2">
                  <c:v>127964</c:v>
                </c:pt>
                <c:pt idx="3">
                  <c:v>78603</c:v>
                </c:pt>
                <c:pt idx="4">
                  <c:v>126627</c:v>
                </c:pt>
                <c:pt idx="5">
                  <c:v>275625</c:v>
                </c:pt>
                <c:pt idx="6">
                  <c:v>257155</c:v>
                </c:pt>
                <c:pt idx="7">
                  <c:v>274509</c:v>
                </c:pt>
                <c:pt idx="8">
                  <c:v>247343</c:v>
                </c:pt>
                <c:pt idx="9">
                  <c:v>159104</c:v>
                </c:pt>
              </c:numCache>
            </c:numRef>
          </c:val>
          <c:extLst>
            <c:ext xmlns:c16="http://schemas.microsoft.com/office/drawing/2014/chart" uri="{C3380CC4-5D6E-409C-BE32-E72D297353CC}">
              <c16:uniqueId val="{00000000-D6AC-4A90-8FB7-E0A4EB391484}"/>
            </c:ext>
          </c:extLst>
        </c:ser>
        <c:ser>
          <c:idx val="1"/>
          <c:order val="1"/>
          <c:tx>
            <c:strRef>
              <c:f>Sheet4!$D$1:$D$2</c:f>
              <c:strCache>
                <c:ptCount val="1"/>
                <c:pt idx="0">
                  <c:v>Sep</c:v>
                </c:pt>
              </c:strCache>
            </c:strRef>
          </c:tx>
          <c:spPr>
            <a:solidFill>
              <a:schemeClr val="accent2"/>
            </a:solidFill>
            <a:ln>
              <a:noFill/>
            </a:ln>
            <a:effectLst/>
          </c:spPr>
          <c:invertIfNegative val="0"/>
          <c:cat>
            <c:strRef>
              <c:f>Sheet4!$B$3:$B$13</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Sheet4!$D$3:$D$13</c:f>
              <c:numCache>
                <c:formatCode>_-* #,##0_-;\-* #,##0_-;_-* "-"??_-;_-@_-</c:formatCode>
                <c:ptCount val="10"/>
                <c:pt idx="0">
                  <c:v>124212</c:v>
                </c:pt>
                <c:pt idx="1">
                  <c:v>173137</c:v>
                </c:pt>
                <c:pt idx="2">
                  <c:v>115359</c:v>
                </c:pt>
                <c:pt idx="3">
                  <c:v>149437.5</c:v>
                </c:pt>
                <c:pt idx="4">
                  <c:v>310180</c:v>
                </c:pt>
                <c:pt idx="5">
                  <c:v>274403</c:v>
                </c:pt>
                <c:pt idx="6">
                  <c:v>58608</c:v>
                </c:pt>
                <c:pt idx="7">
                  <c:v>308670</c:v>
                </c:pt>
                <c:pt idx="8">
                  <c:v>294793</c:v>
                </c:pt>
                <c:pt idx="9">
                  <c:v>174239</c:v>
                </c:pt>
              </c:numCache>
            </c:numRef>
          </c:val>
          <c:extLst>
            <c:ext xmlns:c16="http://schemas.microsoft.com/office/drawing/2014/chart" uri="{C3380CC4-5D6E-409C-BE32-E72D297353CC}">
              <c16:uniqueId val="{00000001-D6AC-4A90-8FB7-E0A4EB391484}"/>
            </c:ext>
          </c:extLst>
        </c:ser>
        <c:ser>
          <c:idx val="2"/>
          <c:order val="2"/>
          <c:tx>
            <c:strRef>
              <c:f>Sheet4!$E$1:$E$2</c:f>
              <c:strCache>
                <c:ptCount val="1"/>
                <c:pt idx="0">
                  <c:v>Oct</c:v>
                </c:pt>
              </c:strCache>
            </c:strRef>
          </c:tx>
          <c:spPr>
            <a:solidFill>
              <a:schemeClr val="accent3"/>
            </a:solidFill>
            <a:ln>
              <a:noFill/>
            </a:ln>
            <a:effectLst/>
          </c:spPr>
          <c:invertIfNegative val="0"/>
          <c:cat>
            <c:strRef>
              <c:f>Sheet4!$B$3:$B$13</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Sheet4!$E$3:$E$13</c:f>
              <c:numCache>
                <c:formatCode>_-* #,##0_-;\-* #,##0_-;_-* "-"??_-;_-@_-</c:formatCode>
                <c:ptCount val="10"/>
                <c:pt idx="0">
                  <c:v>124618</c:v>
                </c:pt>
                <c:pt idx="1">
                  <c:v>172230</c:v>
                </c:pt>
                <c:pt idx="2">
                  <c:v>155974</c:v>
                </c:pt>
                <c:pt idx="3">
                  <c:v>98214</c:v>
                </c:pt>
                <c:pt idx="4">
                  <c:v>265000</c:v>
                </c:pt>
                <c:pt idx="5">
                  <c:v>266923</c:v>
                </c:pt>
                <c:pt idx="7">
                  <c:v>260725</c:v>
                </c:pt>
                <c:pt idx="8">
                  <c:v>272520</c:v>
                </c:pt>
                <c:pt idx="9">
                  <c:v>203358</c:v>
                </c:pt>
              </c:numCache>
            </c:numRef>
          </c:val>
          <c:extLst>
            <c:ext xmlns:c16="http://schemas.microsoft.com/office/drawing/2014/chart" uri="{C3380CC4-5D6E-409C-BE32-E72D297353CC}">
              <c16:uniqueId val="{00000002-D6AC-4A90-8FB7-E0A4EB391484}"/>
            </c:ext>
          </c:extLst>
        </c:ser>
        <c:ser>
          <c:idx val="3"/>
          <c:order val="3"/>
          <c:tx>
            <c:strRef>
              <c:f>Sheet4!$F$1:$F$2</c:f>
              <c:strCache>
                <c:ptCount val="1"/>
                <c:pt idx="0">
                  <c:v>Nov</c:v>
                </c:pt>
              </c:strCache>
            </c:strRef>
          </c:tx>
          <c:spPr>
            <a:solidFill>
              <a:schemeClr val="accent4"/>
            </a:solidFill>
            <a:ln>
              <a:noFill/>
            </a:ln>
            <a:effectLst/>
          </c:spPr>
          <c:invertIfNegative val="0"/>
          <c:cat>
            <c:strRef>
              <c:f>Sheet4!$B$3:$B$13</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Sheet4!$F$3:$F$13</c:f>
              <c:numCache>
                <c:formatCode>_-* #,##0_-;\-* #,##0_-;_-* "-"??_-;_-@_-</c:formatCode>
                <c:ptCount val="10"/>
                <c:pt idx="0">
                  <c:v>152839</c:v>
                </c:pt>
                <c:pt idx="1">
                  <c:v>143674</c:v>
                </c:pt>
                <c:pt idx="2">
                  <c:v>82740</c:v>
                </c:pt>
                <c:pt idx="3">
                  <c:v>160469</c:v>
                </c:pt>
                <c:pt idx="4">
                  <c:v>327625</c:v>
                </c:pt>
                <c:pt idx="5">
                  <c:v>381559</c:v>
                </c:pt>
                <c:pt idx="7">
                  <c:v>331150</c:v>
                </c:pt>
                <c:pt idx="8">
                  <c:v>303000</c:v>
                </c:pt>
                <c:pt idx="9">
                  <c:v>124022</c:v>
                </c:pt>
              </c:numCache>
            </c:numRef>
          </c:val>
          <c:extLst>
            <c:ext xmlns:c16="http://schemas.microsoft.com/office/drawing/2014/chart" uri="{C3380CC4-5D6E-409C-BE32-E72D297353CC}">
              <c16:uniqueId val="{00000003-D6AC-4A90-8FB7-E0A4EB391484}"/>
            </c:ext>
          </c:extLst>
        </c:ser>
        <c:dLbls>
          <c:showLegendKey val="0"/>
          <c:showVal val="0"/>
          <c:showCatName val="0"/>
          <c:showSerName val="0"/>
          <c:showPercent val="0"/>
          <c:showBubbleSize val="0"/>
        </c:dLbls>
        <c:gapWidth val="219"/>
        <c:overlap val="-27"/>
        <c:axId val="511110352"/>
        <c:axId val="511110024"/>
      </c:barChart>
      <c:catAx>
        <c:axId val="51111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10024"/>
        <c:crosses val="autoZero"/>
        <c:auto val="1"/>
        <c:lblAlgn val="ctr"/>
        <c:lblOffset val="100"/>
        <c:noMultiLvlLbl val="0"/>
      </c:catAx>
      <c:valAx>
        <c:axId val="5111100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10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Production Report Aug-2021.xlsx]Sheet4!PivotTable12</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Sheet4!$C$31:$C$32</c:f>
              <c:strCache>
                <c:ptCount val="1"/>
                <c:pt idx="0">
                  <c:v>Aug</c:v>
                </c:pt>
              </c:strCache>
            </c:strRef>
          </c:tx>
          <c:spPr>
            <a:solidFill>
              <a:schemeClr val="accent1"/>
            </a:solidFill>
            <a:ln>
              <a:noFill/>
            </a:ln>
            <a:effectLst/>
          </c:spPr>
          <c:invertIfNegative val="0"/>
          <c:cat>
            <c:strRef>
              <c:f>Sheet4!$B$33:$B$43</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Sheet4!$C$33:$C$43</c:f>
              <c:numCache>
                <c:formatCode>0.00%</c:formatCode>
                <c:ptCount val="10"/>
                <c:pt idx="0">
                  <c:v>1.0546184356807393</c:v>
                </c:pt>
                <c:pt idx="1">
                  <c:v>0.88430379747129162</c:v>
                </c:pt>
                <c:pt idx="2">
                  <c:v>1.0019522522163657</c:v>
                </c:pt>
                <c:pt idx="3">
                  <c:v>1.083139320382174</c:v>
                </c:pt>
                <c:pt idx="4">
                  <c:v>0.92120984545339624</c:v>
                </c:pt>
                <c:pt idx="5">
                  <c:v>0.99613053675654362</c:v>
                </c:pt>
                <c:pt idx="6">
                  <c:v>1.0982798190737153</c:v>
                </c:pt>
                <c:pt idx="7">
                  <c:v>0.9686368054178992</c:v>
                </c:pt>
                <c:pt idx="8">
                  <c:v>1.0217043963145138</c:v>
                </c:pt>
                <c:pt idx="9">
                  <c:v>1.0535492824864552</c:v>
                </c:pt>
              </c:numCache>
            </c:numRef>
          </c:val>
          <c:extLst>
            <c:ext xmlns:c16="http://schemas.microsoft.com/office/drawing/2014/chart" uri="{C3380CC4-5D6E-409C-BE32-E72D297353CC}">
              <c16:uniqueId val="{00000000-DB2E-46EF-B3E5-B227C54C3997}"/>
            </c:ext>
          </c:extLst>
        </c:ser>
        <c:ser>
          <c:idx val="1"/>
          <c:order val="1"/>
          <c:tx>
            <c:strRef>
              <c:f>Sheet4!$D$31:$D$32</c:f>
              <c:strCache>
                <c:ptCount val="1"/>
                <c:pt idx="0">
                  <c:v>Sep</c:v>
                </c:pt>
              </c:strCache>
            </c:strRef>
          </c:tx>
          <c:spPr>
            <a:solidFill>
              <a:schemeClr val="accent2"/>
            </a:solidFill>
            <a:ln>
              <a:noFill/>
            </a:ln>
            <a:effectLst/>
          </c:spPr>
          <c:invertIfNegative val="0"/>
          <c:cat>
            <c:strRef>
              <c:f>Sheet4!$B$33:$B$43</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Sheet4!$D$33:$D$43</c:f>
              <c:numCache>
                <c:formatCode>0.00%</c:formatCode>
                <c:ptCount val="10"/>
                <c:pt idx="0">
                  <c:v>1.0212159500434215</c:v>
                </c:pt>
                <c:pt idx="1">
                  <c:v>0.88141684218056948</c:v>
                </c:pt>
                <c:pt idx="2">
                  <c:v>1.0368639265184429</c:v>
                </c:pt>
                <c:pt idx="3">
                  <c:v>1.2743321220478583</c:v>
                </c:pt>
                <c:pt idx="4">
                  <c:v>0.95611678831645586</c:v>
                </c:pt>
                <c:pt idx="5">
                  <c:v>0.97677726419478406</c:v>
                </c:pt>
                <c:pt idx="6">
                  <c:v>0.88193225467813297</c:v>
                </c:pt>
                <c:pt idx="7">
                  <c:v>0.92151939298546737</c:v>
                </c:pt>
                <c:pt idx="8">
                  <c:v>1.0013736640651887</c:v>
                </c:pt>
                <c:pt idx="9">
                  <c:v>1.0164022432341084</c:v>
                </c:pt>
              </c:numCache>
            </c:numRef>
          </c:val>
          <c:extLst>
            <c:ext xmlns:c16="http://schemas.microsoft.com/office/drawing/2014/chart" uri="{C3380CC4-5D6E-409C-BE32-E72D297353CC}">
              <c16:uniqueId val="{00000001-DB2E-46EF-B3E5-B227C54C3997}"/>
            </c:ext>
          </c:extLst>
        </c:ser>
        <c:ser>
          <c:idx val="2"/>
          <c:order val="2"/>
          <c:tx>
            <c:strRef>
              <c:f>Sheet4!$E$31:$E$32</c:f>
              <c:strCache>
                <c:ptCount val="1"/>
                <c:pt idx="0">
                  <c:v>Oct</c:v>
                </c:pt>
              </c:strCache>
            </c:strRef>
          </c:tx>
          <c:spPr>
            <a:solidFill>
              <a:schemeClr val="accent3"/>
            </a:solidFill>
            <a:ln>
              <a:noFill/>
            </a:ln>
            <a:effectLst/>
          </c:spPr>
          <c:invertIfNegative val="0"/>
          <c:cat>
            <c:strRef>
              <c:f>Sheet4!$B$33:$B$43</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Sheet4!$E$33:$E$43</c:f>
              <c:numCache>
                <c:formatCode>0.00%</c:formatCode>
                <c:ptCount val="10"/>
                <c:pt idx="0">
                  <c:v>1.0685051069433757</c:v>
                </c:pt>
                <c:pt idx="1">
                  <c:v>0.88823980684795056</c:v>
                </c:pt>
                <c:pt idx="2">
                  <c:v>1.0007309794446544</c:v>
                </c:pt>
                <c:pt idx="3">
                  <c:v>1.163482537332474</c:v>
                </c:pt>
                <c:pt idx="4">
                  <c:v>0.9387621628597238</c:v>
                </c:pt>
                <c:pt idx="5">
                  <c:v>0.93420672998183951</c:v>
                </c:pt>
                <c:pt idx="7">
                  <c:v>0.92050494505494507</c:v>
                </c:pt>
                <c:pt idx="8">
                  <c:v>0.88253270642288861</c:v>
                </c:pt>
                <c:pt idx="9">
                  <c:v>0.92259389342109444</c:v>
                </c:pt>
              </c:numCache>
            </c:numRef>
          </c:val>
          <c:extLst>
            <c:ext xmlns:c16="http://schemas.microsoft.com/office/drawing/2014/chart" uri="{C3380CC4-5D6E-409C-BE32-E72D297353CC}">
              <c16:uniqueId val="{00000002-DB2E-46EF-B3E5-B227C54C3997}"/>
            </c:ext>
          </c:extLst>
        </c:ser>
        <c:ser>
          <c:idx val="3"/>
          <c:order val="3"/>
          <c:tx>
            <c:strRef>
              <c:f>Sheet4!$F$31:$F$32</c:f>
              <c:strCache>
                <c:ptCount val="1"/>
                <c:pt idx="0">
                  <c:v>Nov</c:v>
                </c:pt>
              </c:strCache>
            </c:strRef>
          </c:tx>
          <c:spPr>
            <a:solidFill>
              <a:schemeClr val="accent4"/>
            </a:solidFill>
            <a:ln>
              <a:noFill/>
            </a:ln>
            <a:effectLst/>
          </c:spPr>
          <c:invertIfNegative val="0"/>
          <c:cat>
            <c:strRef>
              <c:f>Sheet4!$B$33:$B$43</c:f>
              <c:strCache>
                <c:ptCount val="10"/>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strCache>
            </c:strRef>
          </c:cat>
          <c:val>
            <c:numRef>
              <c:f>Sheet4!$F$33:$F$43</c:f>
              <c:numCache>
                <c:formatCode>0.00%</c:formatCode>
                <c:ptCount val="10"/>
                <c:pt idx="0">
                  <c:v>1.0345064424297434</c:v>
                </c:pt>
                <c:pt idx="1">
                  <c:v>0.81626008172993658</c:v>
                </c:pt>
                <c:pt idx="2">
                  <c:v>1.1335857628272927</c:v>
                </c:pt>
                <c:pt idx="3">
                  <c:v>1.0920806063599273</c:v>
                </c:pt>
                <c:pt idx="4">
                  <c:v>0.88994192016429208</c:v>
                </c:pt>
                <c:pt idx="5">
                  <c:v>1.0008495545899203</c:v>
                </c:pt>
                <c:pt idx="7">
                  <c:v>0.90688174066351368</c:v>
                </c:pt>
                <c:pt idx="8">
                  <c:v>0.94525574719766436</c:v>
                </c:pt>
                <c:pt idx="9">
                  <c:v>0.97533042133489289</c:v>
                </c:pt>
              </c:numCache>
            </c:numRef>
          </c:val>
          <c:extLst>
            <c:ext xmlns:c16="http://schemas.microsoft.com/office/drawing/2014/chart" uri="{C3380CC4-5D6E-409C-BE32-E72D297353CC}">
              <c16:uniqueId val="{00000003-DB2E-46EF-B3E5-B227C54C3997}"/>
            </c:ext>
          </c:extLst>
        </c:ser>
        <c:dLbls>
          <c:showLegendKey val="0"/>
          <c:showVal val="0"/>
          <c:showCatName val="0"/>
          <c:showSerName val="0"/>
          <c:showPercent val="0"/>
          <c:showBubbleSize val="0"/>
        </c:dLbls>
        <c:gapWidth val="219"/>
        <c:overlap val="-27"/>
        <c:axId val="531815952"/>
        <c:axId val="531819232"/>
      </c:barChart>
      <c:catAx>
        <c:axId val="53181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19232"/>
        <c:crosses val="autoZero"/>
        <c:auto val="1"/>
        <c:lblAlgn val="ctr"/>
        <c:lblOffset val="100"/>
        <c:noMultiLvlLbl val="0"/>
      </c:catAx>
      <c:valAx>
        <c:axId val="531819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15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 vs Actual</a:t>
            </a:r>
            <a:r>
              <a:rPr lang="en-US" baseline="0"/>
              <a:t> July -2021</a:t>
            </a:r>
          </a:p>
        </c:rich>
      </c:tx>
      <c:layout>
        <c:manualLayout>
          <c:xMode val="edge"/>
          <c:yMode val="edge"/>
          <c:x val="0.32890519877675839"/>
          <c:y val="3.4934497816593885E-2"/>
        </c:manualLayout>
      </c:layout>
      <c:overlay val="0"/>
      <c:spPr>
        <a:noFill/>
        <a:ln>
          <a:noFill/>
        </a:ln>
        <a:effectLst/>
      </c:spPr>
    </c:title>
    <c:autoTitleDeleted val="0"/>
    <c:plotArea>
      <c:layout>
        <c:manualLayout>
          <c:layoutTarget val="inner"/>
          <c:xMode val="edge"/>
          <c:yMode val="edge"/>
          <c:x val="5.7099301076225656E-2"/>
          <c:y val="0.23253929975035165"/>
          <c:w val="0.88561406898725969"/>
          <c:h val="0.47859920450186583"/>
        </c:manualLayout>
      </c:layout>
      <c:barChart>
        <c:barDir val="col"/>
        <c:grouping val="clustered"/>
        <c:varyColors val="0"/>
        <c:ser>
          <c:idx val="0"/>
          <c:order val="0"/>
          <c:tx>
            <c:strRef>
              <c:f>'Prod Summary'!$K$46</c:f>
              <c:strCache>
                <c:ptCount val="1"/>
                <c:pt idx="0">
                  <c:v>PLAN</c:v>
                </c:pt>
              </c:strCache>
            </c:strRef>
          </c:tx>
          <c:spPr>
            <a:solidFill>
              <a:schemeClr val="accent1"/>
            </a:solidFill>
            <a:ln>
              <a:noFill/>
            </a:ln>
            <a:effectLst/>
          </c:spPr>
          <c:invertIfNegative val="0"/>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Summary'!$K$47:$K$54</c:f>
              <c:numCache>
                <c:formatCode>0</c:formatCode>
                <c:ptCount val="8"/>
                <c:pt idx="0">
                  <c:v>134206</c:v>
                </c:pt>
                <c:pt idx="1">
                  <c:v>89120</c:v>
                </c:pt>
                <c:pt idx="2">
                  <c:v>290025</c:v>
                </c:pt>
                <c:pt idx="3">
                  <c:v>289495</c:v>
                </c:pt>
                <c:pt idx="4">
                  <c:v>286932</c:v>
                </c:pt>
                <c:pt idx="5">
                  <c:v>0</c:v>
                </c:pt>
                <c:pt idx="6">
                  <c:v>279000</c:v>
                </c:pt>
                <c:pt idx="7">
                  <c:v>210223</c:v>
                </c:pt>
              </c:numCache>
            </c:numRef>
          </c:val>
          <c:extLst>
            <c:ext xmlns:c16="http://schemas.microsoft.com/office/drawing/2014/chart" uri="{C3380CC4-5D6E-409C-BE32-E72D297353CC}">
              <c16:uniqueId val="{00000000-1937-4DFF-B59E-5ED358AC1779}"/>
            </c:ext>
          </c:extLst>
        </c:ser>
        <c:ser>
          <c:idx val="1"/>
          <c:order val="1"/>
          <c:tx>
            <c:strRef>
              <c:f>'Prod Summary'!$L$46</c:f>
              <c:strCache>
                <c:ptCount val="1"/>
                <c:pt idx="0">
                  <c:v>ACTUAL</c:v>
                </c:pt>
              </c:strCache>
            </c:strRef>
          </c:tx>
          <c:spPr>
            <a:solidFill>
              <a:schemeClr val="accent2"/>
            </a:solidFill>
            <a:ln>
              <a:noFill/>
            </a:ln>
            <a:effectLst/>
          </c:spPr>
          <c:invertIfNegative val="0"/>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Summary'!$L$47:$L$54</c:f>
              <c:numCache>
                <c:formatCode>General</c:formatCode>
                <c:ptCount val="8"/>
                <c:pt idx="0">
                  <c:v>554822</c:v>
                </c:pt>
                <c:pt idx="1">
                  <c:v>504366</c:v>
                </c:pt>
                <c:pt idx="2" formatCode="0">
                  <c:v>1182508</c:v>
                </c:pt>
                <c:pt idx="3" formatCode="0">
                  <c:v>321990</c:v>
                </c:pt>
                <c:pt idx="4" formatCode="0">
                  <c:v>1084646</c:v>
                </c:pt>
                <c:pt idx="5">
                  <c:v>941103</c:v>
                </c:pt>
                <c:pt idx="6">
                  <c:v>1055247</c:v>
                </c:pt>
                <c:pt idx="7">
                  <c:v>643816</c:v>
                </c:pt>
              </c:numCache>
            </c:numRef>
          </c:val>
          <c:extLst>
            <c:ext xmlns:c16="http://schemas.microsoft.com/office/drawing/2014/chart" uri="{C3380CC4-5D6E-409C-BE32-E72D297353CC}">
              <c16:uniqueId val="{00000001-1937-4DFF-B59E-5ED358AC1779}"/>
            </c:ext>
          </c:extLst>
        </c:ser>
        <c:ser>
          <c:idx val="2"/>
          <c:order val="2"/>
          <c:tx>
            <c:strRef>
              <c:f>'Prod Summary'!$N$46</c:f>
              <c:strCache>
                <c:ptCount val="1"/>
                <c:pt idx="0">
                  <c:v>REJ</c:v>
                </c:pt>
              </c:strCache>
            </c:strRef>
          </c:tx>
          <c:spPr>
            <a:solidFill>
              <a:schemeClr val="accent3"/>
            </a:solidFill>
            <a:ln>
              <a:noFill/>
            </a:ln>
            <a:effectLst/>
          </c:spPr>
          <c:invertIfNegative val="0"/>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Summary'!$N$47:$N$54</c:f>
              <c:numCache>
                <c:formatCode>General</c:formatCode>
                <c:ptCount val="8"/>
                <c:pt idx="0">
                  <c:v>11239</c:v>
                </c:pt>
                <c:pt idx="1">
                  <c:v>4797</c:v>
                </c:pt>
                <c:pt idx="2" formatCode="0">
                  <c:v>16084</c:v>
                </c:pt>
                <c:pt idx="3" formatCode="0">
                  <c:v>0</c:v>
                </c:pt>
                <c:pt idx="4" formatCode="0">
                  <c:v>214</c:v>
                </c:pt>
                <c:pt idx="5">
                  <c:v>31</c:v>
                </c:pt>
                <c:pt idx="6">
                  <c:v>7041</c:v>
                </c:pt>
                <c:pt idx="7">
                  <c:v>396</c:v>
                </c:pt>
              </c:numCache>
            </c:numRef>
          </c:val>
          <c:extLst>
            <c:ext xmlns:c16="http://schemas.microsoft.com/office/drawing/2014/chart" uri="{C3380CC4-5D6E-409C-BE32-E72D297353CC}">
              <c16:uniqueId val="{00000002-1937-4DFF-B59E-5ED358AC1779}"/>
            </c:ext>
          </c:extLst>
        </c:ser>
        <c:dLbls>
          <c:showLegendKey val="0"/>
          <c:showVal val="0"/>
          <c:showCatName val="0"/>
          <c:showSerName val="0"/>
          <c:showPercent val="0"/>
          <c:showBubbleSize val="0"/>
        </c:dLbls>
        <c:gapWidth val="219"/>
        <c:overlap val="-27"/>
        <c:axId val="-1378965696"/>
        <c:axId val="-1378965152"/>
      </c:barChart>
      <c:lineChart>
        <c:grouping val="standard"/>
        <c:varyColors val="0"/>
        <c:ser>
          <c:idx val="3"/>
          <c:order val="3"/>
          <c:tx>
            <c:strRef>
              <c:f>'Prod Summary'!$O$46</c:f>
              <c:strCache>
                <c:ptCount val="1"/>
                <c:pt idx="0">
                  <c:v>REJ %</c:v>
                </c:pt>
              </c:strCache>
            </c:strRef>
          </c:tx>
          <c:spPr>
            <a:ln w="28575" cap="rnd">
              <a:solidFill>
                <a:schemeClr val="accent4"/>
              </a:solidFill>
              <a:round/>
            </a:ln>
            <a:effectLst/>
          </c:spPr>
          <c:marker>
            <c:symbol val="none"/>
          </c:marker>
          <c:dLbls>
            <c:dLbl>
              <c:idx val="0"/>
              <c:layout>
                <c:manualLayout>
                  <c:x val="0"/>
                  <c:y val="-4.91228070175439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678-4AB1-AE13-04BC5885ED38}"/>
                </c:ext>
              </c:extLst>
            </c:dLbl>
            <c:dLbl>
              <c:idx val="1"/>
              <c:layout>
                <c:manualLayout>
                  <c:x val="-4.551985486666366E-17"/>
                  <c:y val="-4.9122807017543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78-4AB1-AE13-04BC5885ED38}"/>
                </c:ext>
              </c:extLst>
            </c:dLbl>
            <c:dLbl>
              <c:idx val="2"/>
              <c:layout>
                <c:manualLayout>
                  <c:x val="-4.551985486666366E-17"/>
                  <c:y val="-4.21052631578946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78-4AB1-AE13-04BC5885ED38}"/>
                </c:ext>
              </c:extLst>
            </c:dLbl>
            <c:dLbl>
              <c:idx val="3"/>
              <c:layout>
                <c:manualLayout>
                  <c:x val="-9.103970973332732E-17"/>
                  <c:y val="-4.9122807017543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78-4AB1-AE13-04BC5885ED38}"/>
                </c:ext>
              </c:extLst>
            </c:dLbl>
            <c:dLbl>
              <c:idx val="4"/>
              <c:layout>
                <c:manualLayout>
                  <c:x val="0"/>
                  <c:y val="-6.31578947368421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678-4AB1-AE13-04BC5885ED38}"/>
                </c:ext>
              </c:extLst>
            </c:dLbl>
            <c:dLbl>
              <c:idx val="5"/>
              <c:layout>
                <c:manualLayout>
                  <c:x val="-1.8207941946665464E-16"/>
                  <c:y val="-4.91228070175439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78-4AB1-AE13-04BC5885ED38}"/>
                </c:ext>
              </c:extLst>
            </c:dLbl>
            <c:dLbl>
              <c:idx val="7"/>
              <c:layout>
                <c:manualLayout>
                  <c:x val="-2.4829298572315332E-3"/>
                  <c:y val="-4.21052631578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A9-429E-BC00-BA577A495E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Summary'!$J$47:$J$54</c:f>
              <c:strCache>
                <c:ptCount val="8"/>
                <c:pt idx="0">
                  <c:v>BLOW</c:v>
                </c:pt>
                <c:pt idx="1">
                  <c:v>PRINTING</c:v>
                </c:pt>
                <c:pt idx="2">
                  <c:v>LIM</c:v>
                </c:pt>
                <c:pt idx="3">
                  <c:v>POSTCURE</c:v>
                </c:pt>
                <c:pt idx="4">
                  <c:v>PUNCHING</c:v>
                </c:pt>
                <c:pt idx="5">
                  <c:v>LAZER</c:v>
                </c:pt>
                <c:pt idx="6">
                  <c:v>INSPECTION</c:v>
                </c:pt>
                <c:pt idx="7">
                  <c:v>WRAPPING</c:v>
                </c:pt>
              </c:strCache>
            </c:strRef>
          </c:cat>
          <c:val>
            <c:numRef>
              <c:f>'Prod Summary'!$O$47:$O$54</c:f>
              <c:numCache>
                <c:formatCode>0.00%</c:formatCode>
                <c:ptCount val="8"/>
                <c:pt idx="0">
                  <c:v>1.9854750636415511E-2</c:v>
                </c:pt>
                <c:pt idx="1">
                  <c:v>9.4213444417603001E-3</c:v>
                </c:pt>
                <c:pt idx="2">
                  <c:v>1.3419078385305426E-2</c:v>
                </c:pt>
                <c:pt idx="3">
                  <c:v>0</c:v>
                </c:pt>
                <c:pt idx="4">
                  <c:v>1.9726047600612061E-4</c:v>
                </c:pt>
                <c:pt idx="5">
                  <c:v>3.2938986371760029E-5</c:v>
                </c:pt>
                <c:pt idx="6">
                  <c:v>6.628146039492115E-3</c:v>
                </c:pt>
                <c:pt idx="7">
                  <c:v>6.14704476166231E-4</c:v>
                </c:pt>
              </c:numCache>
            </c:numRef>
          </c:val>
          <c:smooth val="0"/>
          <c:extLst>
            <c:ext xmlns:c16="http://schemas.microsoft.com/office/drawing/2014/chart" uri="{C3380CC4-5D6E-409C-BE32-E72D297353CC}">
              <c16:uniqueId val="{00000003-1937-4DFF-B59E-5ED358AC1779}"/>
            </c:ext>
          </c:extLst>
        </c:ser>
        <c:ser>
          <c:idx val="4"/>
          <c:order val="4"/>
          <c:tx>
            <c:strRef>
              <c:f>'Prod Summary'!$M$46</c:f>
              <c:strCache>
                <c:ptCount val="1"/>
                <c:pt idx="0">
                  <c:v>Achieve %</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 Summary'!$J$47:$J$54</c:f>
              <c:strCache>
                <c:ptCount val="8"/>
                <c:pt idx="0">
                  <c:v>BLOW</c:v>
                </c:pt>
                <c:pt idx="1">
                  <c:v>PRINTING</c:v>
                </c:pt>
                <c:pt idx="2">
                  <c:v>LIM</c:v>
                </c:pt>
                <c:pt idx="3">
                  <c:v>POSTCURE</c:v>
                </c:pt>
                <c:pt idx="4">
                  <c:v>PUNCHING</c:v>
                </c:pt>
                <c:pt idx="5">
                  <c:v>LAZER</c:v>
                </c:pt>
                <c:pt idx="6">
                  <c:v>INSPECTION</c:v>
                </c:pt>
                <c:pt idx="7">
                  <c:v>WRAPPING</c:v>
                </c:pt>
              </c:strCache>
            </c:strRef>
          </c:cat>
          <c:val>
            <c:numRef>
              <c:f>'Prod Summary'!$M$47:$M$54</c:f>
              <c:numCache>
                <c:formatCode>0%</c:formatCode>
                <c:ptCount val="8"/>
                <c:pt idx="0">
                  <c:v>4.1341072679313893</c:v>
                </c:pt>
                <c:pt idx="1">
                  <c:v>5.6594030520646319</c:v>
                </c:pt>
                <c:pt idx="2">
                  <c:v>4.0772623049737096</c:v>
                </c:pt>
                <c:pt idx="3">
                  <c:v>1.1122471890706229</c:v>
                </c:pt>
                <c:pt idx="4">
                  <c:v>3.7801500006970294</c:v>
                </c:pt>
                <c:pt idx="5">
                  <c:v>0</c:v>
                </c:pt>
                <c:pt idx="6">
                  <c:v>3.7822473118279571</c:v>
                </c:pt>
                <c:pt idx="7">
                  <c:v>3.0625383521308325</c:v>
                </c:pt>
              </c:numCache>
            </c:numRef>
          </c:val>
          <c:smooth val="0"/>
          <c:extLst>
            <c:ext xmlns:c16="http://schemas.microsoft.com/office/drawing/2014/chart" uri="{C3380CC4-5D6E-409C-BE32-E72D297353CC}">
              <c16:uniqueId val="{00000004-1937-4DFF-B59E-5ED358AC1779}"/>
            </c:ext>
          </c:extLst>
        </c:ser>
        <c:dLbls>
          <c:showLegendKey val="0"/>
          <c:showVal val="0"/>
          <c:showCatName val="0"/>
          <c:showSerName val="0"/>
          <c:showPercent val="0"/>
          <c:showBubbleSize val="0"/>
        </c:dLbls>
        <c:marker val="1"/>
        <c:smooth val="0"/>
        <c:axId val="-1378967872"/>
        <c:axId val="-1378964608"/>
      </c:lineChart>
      <c:catAx>
        <c:axId val="-137896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65152"/>
        <c:crosses val="autoZero"/>
        <c:auto val="1"/>
        <c:lblAlgn val="ctr"/>
        <c:lblOffset val="100"/>
        <c:noMultiLvlLbl val="0"/>
      </c:catAx>
      <c:valAx>
        <c:axId val="-1378965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65696"/>
        <c:crosses val="autoZero"/>
        <c:crossBetween val="between"/>
      </c:valAx>
      <c:valAx>
        <c:axId val="-1378964608"/>
        <c:scaling>
          <c:orientation val="minMax"/>
          <c:max val="1.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67872"/>
        <c:crosses val="max"/>
        <c:crossBetween val="between"/>
      </c:valAx>
      <c:catAx>
        <c:axId val="-1378967872"/>
        <c:scaling>
          <c:orientation val="minMax"/>
        </c:scaling>
        <c:delete val="1"/>
        <c:axPos val="b"/>
        <c:numFmt formatCode="General" sourceLinked="1"/>
        <c:majorTickMark val="out"/>
        <c:minorTickMark val="none"/>
        <c:tickLblPos val="nextTo"/>
        <c:crossAx val="-13789646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868033541261887"/>
          <c:y val="0.16182041597084684"/>
          <c:w val="0.66072621604117665"/>
          <c:h val="0.44042866483025983"/>
        </c:manualLayout>
      </c:layout>
      <c:lineChart>
        <c:grouping val="stacked"/>
        <c:varyColors val="0"/>
        <c:ser>
          <c:idx val="2"/>
          <c:order val="2"/>
          <c:tx>
            <c:strRef>
              <c:f>'[19]Last three month data'!$A$18:$B$18</c:f>
              <c:strCache>
                <c:ptCount val="1"/>
                <c:pt idx="0">
                  <c:v>LIM Rej %</c:v>
                </c:pt>
              </c:strCache>
            </c:strRef>
          </c:tx>
          <c:marker>
            <c:symbol val="none"/>
          </c:marker>
          <c:val>
            <c:numRef>
              <c:f>'[19]Last three month data'!$C$18:$D$18</c:f>
              <c:numCache>
                <c:formatCode>General</c:formatCode>
                <c:ptCount val="2"/>
                <c:pt idx="0">
                  <c:v>1.1338089483191038E-2</c:v>
                </c:pt>
                <c:pt idx="1">
                  <c:v>7.7663738594263418E-3</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8-A38E-4DBD-A132-EF3ED363D0C0}"/>
            </c:ext>
          </c:extLst>
        </c:ser>
        <c:ser>
          <c:idx val="5"/>
          <c:order val="5"/>
          <c:tx>
            <c:strRef>
              <c:f>'[19]Last three month data'!$A$21:$B$21</c:f>
              <c:strCache>
                <c:ptCount val="1"/>
                <c:pt idx="0">
                  <c:v>PUNCHING Rej %</c:v>
                </c:pt>
              </c:strCache>
            </c:strRef>
          </c:tx>
          <c:marker>
            <c:symbol val="none"/>
          </c:marker>
          <c:val>
            <c:numRef>
              <c:f>'[19]Last three month data'!$C$21:$D$21</c:f>
              <c:numCache>
                <c:formatCode>General</c:formatCode>
                <c:ptCount val="2"/>
                <c:pt idx="0">
                  <c:v>2.0407385841083605E-3</c:v>
                </c:pt>
                <c:pt idx="1">
                  <c:v>1.6274031855703585E-3</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9-A38E-4DBD-A132-EF3ED363D0C0}"/>
            </c:ext>
          </c:extLst>
        </c:ser>
        <c:ser>
          <c:idx val="8"/>
          <c:order val="8"/>
          <c:tx>
            <c:strRef>
              <c:f>'[19]Last three month data'!$A$24:$B$24</c:f>
              <c:strCache>
                <c:ptCount val="1"/>
                <c:pt idx="0">
                  <c:v>INSPECTION Rej %</c:v>
                </c:pt>
              </c:strCache>
            </c:strRef>
          </c:tx>
          <c:marker>
            <c:symbol val="none"/>
          </c:marker>
          <c:val>
            <c:numRef>
              <c:f>'[19]Last three month data'!$C$24:$D$24</c:f>
              <c:numCache>
                <c:formatCode>General</c:formatCode>
                <c:ptCount val="2"/>
                <c:pt idx="0">
                  <c:v>1.3373897170672345E-2</c:v>
                </c:pt>
                <c:pt idx="1">
                  <c:v>2.6443000895472552E-2</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A-A38E-4DBD-A132-EF3ED363D0C0}"/>
            </c:ext>
          </c:extLst>
        </c:ser>
        <c:ser>
          <c:idx val="11"/>
          <c:order val="11"/>
          <c:tx>
            <c:strRef>
              <c:f>'[19]Last three month data'!$A$27:$B$27</c:f>
              <c:strCache>
                <c:ptCount val="1"/>
                <c:pt idx="0">
                  <c:v>WRAPING Rej %</c:v>
                </c:pt>
              </c:strCache>
            </c:strRef>
          </c:tx>
          <c:marker>
            <c:symbol val="none"/>
          </c:marker>
          <c:val>
            <c:numRef>
              <c:f>'[19]Last three month data'!$C$27:$D$27</c:f>
              <c:numCache>
                <c:formatCode>General</c:formatCode>
                <c:ptCount val="2"/>
                <c:pt idx="0">
                  <c:v>1.0457297625147709E-4</c:v>
                </c:pt>
                <c:pt idx="1">
                  <c:v>4.4012470199889967E-4</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B-A38E-4DBD-A132-EF3ED363D0C0}"/>
            </c:ext>
          </c:extLst>
        </c:ser>
        <c:dLbls>
          <c:showLegendKey val="0"/>
          <c:showVal val="0"/>
          <c:showCatName val="0"/>
          <c:showSerName val="0"/>
          <c:showPercent val="0"/>
          <c:showBubbleSize val="0"/>
        </c:dLbls>
        <c:marker val="1"/>
        <c:smooth val="0"/>
        <c:axId val="-1378962976"/>
        <c:axId val="-1378962432"/>
      </c:lineChart>
      <c:lineChart>
        <c:grouping val="standard"/>
        <c:varyColors val="0"/>
        <c:ser>
          <c:idx val="0"/>
          <c:order val="0"/>
          <c:tx>
            <c:strRef>
              <c:f>'[19]Last three month data'!$A$16:$B$16</c:f>
              <c:strCache>
                <c:ptCount val="1"/>
                <c:pt idx="0">
                  <c:v>LIM</c:v>
                </c:pt>
              </c:strCache>
            </c:strRef>
          </c:tx>
          <c:marker>
            <c:symbol val="none"/>
          </c:marker>
          <c:val>
            <c:numRef>
              <c:f>'[19]Last three month data'!$C$16:$D$16</c:f>
              <c:numCache>
                <c:formatCode>General</c:formatCode>
                <c:ptCount val="2"/>
                <c:pt idx="0">
                  <c:v>153906</c:v>
                </c:pt>
                <c:pt idx="1">
                  <c:v>305548</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0-A38E-4DBD-A132-EF3ED363D0C0}"/>
            </c:ext>
          </c:extLst>
        </c:ser>
        <c:ser>
          <c:idx val="1"/>
          <c:order val="1"/>
          <c:tx>
            <c:strRef>
              <c:f>'[19]Last three month data'!$A$17:$B$17</c:f>
              <c:strCache>
                <c:ptCount val="1"/>
                <c:pt idx="0">
                  <c:v>Rej</c:v>
                </c:pt>
              </c:strCache>
            </c:strRef>
          </c:tx>
          <c:marker>
            <c:symbol val="none"/>
          </c:marker>
          <c:val>
            <c:numRef>
              <c:f>'[19]Last three month data'!$C$17:$D$17</c:f>
              <c:numCache>
                <c:formatCode>General</c:formatCode>
                <c:ptCount val="2"/>
                <c:pt idx="0">
                  <c:v>1745</c:v>
                </c:pt>
                <c:pt idx="1">
                  <c:v>2373</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1-A38E-4DBD-A132-EF3ED363D0C0}"/>
            </c:ext>
          </c:extLst>
        </c:ser>
        <c:ser>
          <c:idx val="3"/>
          <c:order val="3"/>
          <c:tx>
            <c:strRef>
              <c:f>'[19]Last three month data'!$A$19:$B$19</c:f>
              <c:strCache>
                <c:ptCount val="1"/>
                <c:pt idx="0">
                  <c:v>LIM Punching</c:v>
                </c:pt>
              </c:strCache>
            </c:strRef>
          </c:tx>
          <c:marker>
            <c:symbol val="none"/>
          </c:marker>
          <c:val>
            <c:numRef>
              <c:f>'[19]Last three month data'!$C$19:$D$19</c:f>
              <c:numCache>
                <c:formatCode>General</c:formatCode>
                <c:ptCount val="2"/>
                <c:pt idx="0">
                  <c:v>183757</c:v>
                </c:pt>
                <c:pt idx="1">
                  <c:v>280201</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2-A38E-4DBD-A132-EF3ED363D0C0}"/>
            </c:ext>
          </c:extLst>
        </c:ser>
        <c:ser>
          <c:idx val="4"/>
          <c:order val="4"/>
          <c:tx>
            <c:strRef>
              <c:f>'[19]Last three month data'!$A$20:$B$20</c:f>
              <c:strCache>
                <c:ptCount val="1"/>
                <c:pt idx="0">
                  <c:v>LIM Rej</c:v>
                </c:pt>
              </c:strCache>
            </c:strRef>
          </c:tx>
          <c:marker>
            <c:symbol val="none"/>
          </c:marker>
          <c:val>
            <c:numRef>
              <c:f>'[19]Last three month data'!$C$20:$D$20</c:f>
              <c:numCache>
                <c:formatCode>General</c:formatCode>
                <c:ptCount val="2"/>
                <c:pt idx="0">
                  <c:v>375</c:v>
                </c:pt>
                <c:pt idx="1">
                  <c:v>456</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3-A38E-4DBD-A132-EF3ED363D0C0}"/>
            </c:ext>
          </c:extLst>
        </c:ser>
        <c:ser>
          <c:idx val="6"/>
          <c:order val="6"/>
          <c:tx>
            <c:strRef>
              <c:f>'[19]Last three month data'!$A$22:$B$22</c:f>
              <c:strCache>
                <c:ptCount val="1"/>
                <c:pt idx="0">
                  <c:v>PUNCHING Insp</c:v>
                </c:pt>
              </c:strCache>
            </c:strRef>
          </c:tx>
          <c:marker>
            <c:symbol val="none"/>
          </c:marker>
          <c:val>
            <c:numRef>
              <c:f>'[19]Last three month data'!$C$22:$D$22</c:f>
              <c:numCache>
                <c:formatCode>General</c:formatCode>
                <c:ptCount val="2"/>
                <c:pt idx="0">
                  <c:v>246525</c:v>
                </c:pt>
                <c:pt idx="1">
                  <c:v>263548</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4-A38E-4DBD-A132-EF3ED363D0C0}"/>
            </c:ext>
          </c:extLst>
        </c:ser>
        <c:ser>
          <c:idx val="7"/>
          <c:order val="7"/>
          <c:tx>
            <c:strRef>
              <c:f>'[19]Last three month data'!$A$23:$B$23</c:f>
              <c:strCache>
                <c:ptCount val="1"/>
                <c:pt idx="0">
                  <c:v>PUNCHING Rej</c:v>
                </c:pt>
              </c:strCache>
            </c:strRef>
          </c:tx>
          <c:marker>
            <c:symbol val="none"/>
          </c:marker>
          <c:val>
            <c:numRef>
              <c:f>'[19]Last three month data'!$C$23:$D$23</c:f>
              <c:numCache>
                <c:formatCode>General</c:formatCode>
                <c:ptCount val="2"/>
                <c:pt idx="0">
                  <c:v>3297</c:v>
                </c:pt>
                <c:pt idx="1">
                  <c:v>6969</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5-A38E-4DBD-A132-EF3ED363D0C0}"/>
            </c:ext>
          </c:extLst>
        </c:ser>
        <c:ser>
          <c:idx val="9"/>
          <c:order val="9"/>
          <c:tx>
            <c:strRef>
              <c:f>'[19]Last three month data'!$A$25:$B$25</c:f>
              <c:strCache>
                <c:ptCount val="1"/>
                <c:pt idx="0">
                  <c:v>INSPECTION Wraping</c:v>
                </c:pt>
              </c:strCache>
            </c:strRef>
          </c:tx>
          <c:marker>
            <c:symbol val="none"/>
          </c:marker>
          <c:val>
            <c:numRef>
              <c:f>'[19]Last three month data'!$C$25:$D$25</c:f>
              <c:numCache>
                <c:formatCode>General</c:formatCode>
                <c:ptCount val="2"/>
                <c:pt idx="0">
                  <c:v>95627</c:v>
                </c:pt>
                <c:pt idx="1">
                  <c:v>54530</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6-A38E-4DBD-A132-EF3ED363D0C0}"/>
            </c:ext>
          </c:extLst>
        </c:ser>
        <c:ser>
          <c:idx val="10"/>
          <c:order val="10"/>
          <c:tx>
            <c:strRef>
              <c:f>'[19]Last three month data'!$A$26:$B$26</c:f>
              <c:strCache>
                <c:ptCount val="1"/>
                <c:pt idx="0">
                  <c:v>INSPECTION Rej</c:v>
                </c:pt>
              </c:strCache>
            </c:strRef>
          </c:tx>
          <c:marker>
            <c:symbol val="none"/>
          </c:marker>
          <c:val>
            <c:numRef>
              <c:f>'[19]Last three month data'!$C$26:$D$26</c:f>
              <c:numCache>
                <c:formatCode>General</c:formatCode>
                <c:ptCount val="2"/>
                <c:pt idx="0">
                  <c:v>10</c:v>
                </c:pt>
                <c:pt idx="1">
                  <c:v>24</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7-A38E-4DBD-A132-EF3ED363D0C0}"/>
            </c:ext>
          </c:extLst>
        </c:ser>
        <c:dLbls>
          <c:showLegendKey val="0"/>
          <c:showVal val="0"/>
          <c:showCatName val="0"/>
          <c:showSerName val="0"/>
          <c:showPercent val="0"/>
          <c:showBubbleSize val="0"/>
        </c:dLbls>
        <c:marker val="1"/>
        <c:smooth val="0"/>
        <c:axId val="-1378962976"/>
        <c:axId val="-1378962432"/>
      </c:lineChart>
      <c:lineChart>
        <c:grouping val="stacked"/>
        <c:varyColors val="0"/>
        <c:ser>
          <c:idx val="12"/>
          <c:order val="12"/>
          <c:tx>
            <c:strRef>
              <c:f>'[19]Last three month data'!$A$28:$B$28</c:f>
              <c:strCache>
                <c:ptCount val="1"/>
                <c:pt idx="0">
                  <c:v>Nipple Total Rej %</c:v>
                </c:pt>
              </c:strCache>
            </c:strRef>
          </c:tx>
          <c:marker>
            <c:symbol val="circle"/>
            <c:size val="5"/>
            <c:spPr>
              <a:solidFill>
                <a:schemeClr val="accent1">
                  <a:lumMod val="80000"/>
                  <a:lumOff val="20000"/>
                </a:schemeClr>
              </a:solidFill>
              <a:ln w="9525">
                <a:solidFill>
                  <a:schemeClr val="accent1">
                    <a:lumMod val="80000"/>
                    <a:lumOff val="2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'[19]Last three month data'!$C$28:$D$28</c:f>
              <c:numCache>
                <c:formatCode>General</c:formatCode>
                <c:ptCount val="2"/>
                <c:pt idx="0">
                  <c:v>2.1399999999999999E-2</c:v>
                </c:pt>
                <c:pt idx="1">
                  <c:v>3.7600000000000001E-2</c:v>
                </c:pt>
              </c:numCache>
            </c:numRef>
          </c:val>
          <c:smooth val="0"/>
          <c:extLst>
            <c:ext xmlns:c15="http://schemas.microsoft.com/office/drawing/2012/chart" uri="{02D57815-91ED-43cb-92C2-25804820EDAC}">
              <c15:filteredCategoryTitle>
                <c15:cat>
                  <c:numRef>
                    <c:extLst xmlns:c16="http://schemas.microsoft.com/office/drawing/2014/chart">
                      <c:ext uri="{02D57815-91ED-43cb-92C2-25804820EDAC}">
                        <c15:formulaRef>
                          <c15:sqref>'[19]Last three month data'!$C$15:$D$15</c15:sqref>
                        </c15:formulaRef>
                      </c:ext>
                    </c:extLst>
                    <c:numCache>
                      <c:formatCode>General</c:formatCode>
                      <c:ptCount val="2"/>
                      <c:pt idx="0">
                        <c:v>42736</c:v>
                      </c:pt>
                      <c:pt idx="1">
                        <c:v>42767</c:v>
                      </c:pt>
                    </c:numCache>
                  </c:numRef>
                </c15:cat>
              </c15:filteredCategoryTitle>
            </c:ext>
            <c:ext xmlns:c16="http://schemas.microsoft.com/office/drawing/2014/chart" uri="{C3380CC4-5D6E-409C-BE32-E72D297353CC}">
              <c16:uniqueId val="{0000000C-A38E-4DBD-A132-EF3ED363D0C0}"/>
            </c:ext>
          </c:extLst>
        </c:ser>
        <c:dLbls>
          <c:showLegendKey val="0"/>
          <c:showVal val="0"/>
          <c:showCatName val="0"/>
          <c:showSerName val="0"/>
          <c:showPercent val="0"/>
          <c:showBubbleSize val="0"/>
        </c:dLbls>
        <c:marker val="1"/>
        <c:smooth val="0"/>
        <c:axId val="-1378961888"/>
        <c:axId val="-1378961344"/>
      </c:lineChart>
      <c:catAx>
        <c:axId val="-137896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62432"/>
        <c:crosses val="autoZero"/>
        <c:auto val="1"/>
        <c:lblAlgn val="ctr"/>
        <c:lblOffset val="100"/>
        <c:noMultiLvlLbl val="1"/>
      </c:catAx>
      <c:valAx>
        <c:axId val="-137896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62976"/>
        <c:crosses val="autoZero"/>
        <c:crossBetween val="between"/>
      </c:valAx>
      <c:valAx>
        <c:axId val="-13789613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61888"/>
        <c:crosses val="max"/>
        <c:crossBetween val="between"/>
      </c:valAx>
      <c:catAx>
        <c:axId val="-1378961888"/>
        <c:scaling>
          <c:orientation val="minMax"/>
        </c:scaling>
        <c:delete val="1"/>
        <c:axPos val="b"/>
        <c:numFmt formatCode="General" sourceLinked="1"/>
        <c:majorTickMark val="out"/>
        <c:minorTickMark val="none"/>
        <c:tickLblPos val="nextTo"/>
        <c:crossAx val="-1378961344"/>
        <c:crosses val="autoZero"/>
        <c:auto val="1"/>
        <c:lblAlgn val="ctr"/>
        <c:lblOffset val="100"/>
        <c:noMultiLvlLbl val="1"/>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43" r="0.35" t="0.75" header="0.3" footer="0.3"/>
    <c:pageSetup orientation="landscape"/>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BOTTLE REJECTION TREND 2020-21 </a:t>
            </a:r>
          </a:p>
        </c:rich>
      </c:tx>
      <c:overlay val="0"/>
      <c:spPr>
        <a:noFill/>
        <a:ln>
          <a:noFill/>
        </a:ln>
        <a:effectLst/>
      </c:spPr>
    </c:title>
    <c:autoTitleDeleted val="0"/>
    <c:plotArea>
      <c:layout>
        <c:manualLayout>
          <c:layoutTarget val="inner"/>
          <c:xMode val="edge"/>
          <c:yMode val="edge"/>
          <c:x val="0.11750471635092985"/>
          <c:y val="4.5046151314477201E-2"/>
          <c:w val="0.8820900653749939"/>
          <c:h val="0.65832003449265286"/>
        </c:manualLayout>
      </c:layout>
      <c:lineChart>
        <c:grouping val="standard"/>
        <c:varyColors val="0"/>
        <c:ser>
          <c:idx val="0"/>
          <c:order val="0"/>
          <c:tx>
            <c:strRef>
              <c:f>'Rej Trend'!$A$78</c:f>
              <c:strCache>
                <c:ptCount val="1"/>
                <c:pt idx="0">
                  <c:v>Nov-19</c:v>
                </c:pt>
              </c:strCache>
            </c:strRef>
          </c:tx>
          <c:marker>
            <c:spPr>
              <a:solidFill>
                <a:schemeClr val="accent1"/>
              </a:solidFill>
              <a:ln w="9525">
                <a:solidFill>
                  <a:schemeClr val="accent1"/>
                </a:solidFill>
              </a:ln>
              <a:effectLst/>
            </c:spPr>
          </c:marker>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Trend'!$B$78:$G$78</c:f>
              <c:numCache>
                <c:formatCode>0.00%</c:formatCode>
                <c:ptCount val="6"/>
                <c:pt idx="0">
                  <c:v>1.7593674184562855E-2</c:v>
                </c:pt>
                <c:pt idx="1">
                  <c:v>2.5484339462362646E-2</c:v>
                </c:pt>
                <c:pt idx="2">
                  <c:v>1.533520419114549E-2</c:v>
                </c:pt>
                <c:pt idx="3">
                  <c:v>1.5957446808510637E-2</c:v>
                </c:pt>
                <c:pt idx="4">
                  <c:v>3.433169344367995E-2</c:v>
                </c:pt>
                <c:pt idx="5">
                  <c:v>3.6024070259134774E-2</c:v>
                </c:pt>
              </c:numCache>
            </c:numRef>
          </c:val>
          <c:smooth val="0"/>
          <c:extLst>
            <c:ext xmlns:c16="http://schemas.microsoft.com/office/drawing/2014/chart" uri="{C3380CC4-5D6E-409C-BE32-E72D297353CC}">
              <c16:uniqueId val="{00000000-3BD6-4531-85C2-565D4E876AA8}"/>
            </c:ext>
          </c:extLst>
        </c:ser>
        <c:ser>
          <c:idx val="1"/>
          <c:order val="1"/>
          <c:tx>
            <c:strRef>
              <c:f>'Rej Trend'!$A$79</c:f>
              <c:strCache>
                <c:ptCount val="1"/>
                <c:pt idx="0">
                  <c:v>Dec-19</c:v>
                </c:pt>
              </c:strCache>
            </c:strRef>
          </c:tx>
          <c:marker>
            <c:spPr>
              <a:solidFill>
                <a:schemeClr val="accent2"/>
              </a:solidFill>
              <a:ln w="9525">
                <a:solidFill>
                  <a:schemeClr val="accent2"/>
                </a:solidFill>
              </a:ln>
              <a:effectLst/>
            </c:spPr>
          </c:marker>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Trend'!$B$79:$G$79</c:f>
              <c:numCache>
                <c:formatCode>0.00%</c:formatCode>
                <c:ptCount val="6"/>
                <c:pt idx="0">
                  <c:v>2.5926045953916455E-2</c:v>
                </c:pt>
                <c:pt idx="1">
                  <c:v>2.6015478116391936E-2</c:v>
                </c:pt>
                <c:pt idx="2">
                  <c:v>1.5041590786041246E-2</c:v>
                </c:pt>
                <c:pt idx="3">
                  <c:v>1.5643064436212599E-2</c:v>
                </c:pt>
                <c:pt idx="4">
                  <c:v>4.1743270385445119E-2</c:v>
                </c:pt>
                <c:pt idx="5">
                  <c:v>5.3454576357610264E-2</c:v>
                </c:pt>
              </c:numCache>
            </c:numRef>
          </c:val>
          <c:smooth val="0"/>
          <c:extLst>
            <c:ext xmlns:c16="http://schemas.microsoft.com/office/drawing/2014/chart" uri="{C3380CC4-5D6E-409C-BE32-E72D297353CC}">
              <c16:uniqueId val="{00000001-3BD6-4531-85C2-565D4E876AA8}"/>
            </c:ext>
          </c:extLst>
        </c:ser>
        <c:ser>
          <c:idx val="2"/>
          <c:order val="2"/>
          <c:tx>
            <c:strRef>
              <c:f>'Rej Trend'!$A$80</c:f>
              <c:strCache>
                <c:ptCount val="1"/>
                <c:pt idx="0">
                  <c:v>Jan-20</c:v>
                </c:pt>
              </c:strCache>
            </c:strRef>
          </c:tx>
          <c:marker>
            <c:spPr>
              <a:ln w="38100"/>
            </c:spPr>
          </c:marker>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Trend'!$B$80:$G$80</c:f>
              <c:numCache>
                <c:formatCode>0.00%</c:formatCode>
                <c:ptCount val="6"/>
                <c:pt idx="0">
                  <c:v>1.8598094577636878E-2</c:v>
                </c:pt>
                <c:pt idx="1">
                  <c:v>2.7320997191872372E-2</c:v>
                </c:pt>
                <c:pt idx="2">
                  <c:v>8.260781345840339E-3</c:v>
                </c:pt>
                <c:pt idx="3">
                  <c:v>1.5611394452046274E-2</c:v>
                </c:pt>
                <c:pt idx="4">
                  <c:v>2.590854302886203E-2</c:v>
                </c:pt>
                <c:pt idx="5">
                  <c:v>4.2710517602913584E-2</c:v>
                </c:pt>
              </c:numCache>
            </c:numRef>
          </c:val>
          <c:smooth val="0"/>
          <c:extLst>
            <c:ext xmlns:c16="http://schemas.microsoft.com/office/drawing/2014/chart" uri="{C3380CC4-5D6E-409C-BE32-E72D297353CC}">
              <c16:uniqueId val="{00000002-3BD6-4531-85C2-565D4E876AA8}"/>
            </c:ext>
          </c:extLst>
        </c:ser>
        <c:dLbls>
          <c:showLegendKey val="0"/>
          <c:showVal val="0"/>
          <c:showCatName val="0"/>
          <c:showSerName val="0"/>
          <c:showPercent val="0"/>
          <c:showBubbleSize val="0"/>
        </c:dLbls>
        <c:marker val="1"/>
        <c:smooth val="0"/>
        <c:axId val="-1379240432"/>
        <c:axId val="-1023351792"/>
      </c:lineChart>
      <c:catAx>
        <c:axId val="-13792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51792"/>
        <c:crosses val="autoZero"/>
        <c:auto val="1"/>
        <c:lblAlgn val="ctr"/>
        <c:lblOffset val="100"/>
        <c:noMultiLvlLbl val="0"/>
      </c:catAx>
      <c:valAx>
        <c:axId val="-1023351792"/>
        <c:scaling>
          <c:orientation val="minMax"/>
          <c:max val="0.1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24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22" r="0.32" t="0.75" header="0.3" footer="0.3"/>
    <c:pageSetup paperSize="9"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NIPPLE REJECTION TREND 2020-2021</a:t>
            </a:r>
          </a:p>
        </c:rich>
      </c:tx>
      <c:overlay val="0"/>
      <c:spPr>
        <a:noFill/>
        <a:ln>
          <a:noFill/>
        </a:ln>
        <a:effectLst/>
      </c:spPr>
    </c:title>
    <c:autoTitleDeleted val="0"/>
    <c:plotArea>
      <c:layout/>
      <c:lineChart>
        <c:grouping val="standard"/>
        <c:varyColors val="0"/>
        <c:ser>
          <c:idx val="0"/>
          <c:order val="0"/>
          <c:tx>
            <c:strRef>
              <c:f>'Rej Trend'!$A$106</c:f>
              <c:strCache>
                <c:ptCount val="1"/>
                <c:pt idx="0">
                  <c:v>Dec-19</c:v>
                </c:pt>
              </c:strCache>
            </c:strRef>
          </c:tx>
          <c:marker>
            <c:spPr>
              <a:solidFill>
                <a:schemeClr val="accent1"/>
              </a:solidFill>
              <a:ln w="9525">
                <a:solidFill>
                  <a:schemeClr val="accent1"/>
                </a:solidFill>
              </a:ln>
              <a:effectLst/>
            </c:spPr>
          </c:marker>
          <c:cat>
            <c:strRef>
              <c:f>'Rej Trend'!$B$94:$F$94</c:f>
              <c:strCache>
                <c:ptCount val="5"/>
                <c:pt idx="0">
                  <c:v>LIM</c:v>
                </c:pt>
                <c:pt idx="1">
                  <c:v>PUNCHING</c:v>
                </c:pt>
                <c:pt idx="2">
                  <c:v>INSPECTION</c:v>
                </c:pt>
                <c:pt idx="3">
                  <c:v>WRAPING</c:v>
                </c:pt>
                <c:pt idx="4">
                  <c:v>COMMULATIVE</c:v>
                </c:pt>
              </c:strCache>
            </c:strRef>
          </c:cat>
          <c:val>
            <c:numRef>
              <c:f>'Rej Trend'!$B$106:$F$106</c:f>
              <c:numCache>
                <c:formatCode>0.00%</c:formatCode>
                <c:ptCount val="5"/>
                <c:pt idx="0">
                  <c:v>2.0447450971368967E-2</c:v>
                </c:pt>
                <c:pt idx="1">
                  <c:v>0</c:v>
                </c:pt>
                <c:pt idx="2">
                  <c:v>1.4085595893376214E-2</c:v>
                </c:pt>
                <c:pt idx="3">
                  <c:v>-1.1388483965014577E-5</c:v>
                </c:pt>
                <c:pt idx="4">
                  <c:v>3.3954586024840021E-2</c:v>
                </c:pt>
              </c:numCache>
            </c:numRef>
          </c:val>
          <c:smooth val="0"/>
          <c:extLst>
            <c:ext xmlns:c16="http://schemas.microsoft.com/office/drawing/2014/chart" uri="{C3380CC4-5D6E-409C-BE32-E72D297353CC}">
              <c16:uniqueId val="{00000000-B4D8-46A5-B38B-B0A1340CD4E6}"/>
            </c:ext>
          </c:extLst>
        </c:ser>
        <c:ser>
          <c:idx val="1"/>
          <c:order val="1"/>
          <c:tx>
            <c:strRef>
              <c:f>'Rej Trend'!$A$107</c:f>
              <c:strCache>
                <c:ptCount val="1"/>
                <c:pt idx="0">
                  <c:v>Jan-20</c:v>
                </c:pt>
              </c:strCache>
            </c:strRef>
          </c:tx>
          <c:marker>
            <c:spPr>
              <a:solidFill>
                <a:schemeClr val="accent2"/>
              </a:solidFill>
              <a:ln w="9525">
                <a:solidFill>
                  <a:schemeClr val="accent2"/>
                </a:solidFill>
              </a:ln>
              <a:effectLst/>
            </c:spPr>
          </c:marker>
          <c:cat>
            <c:strRef>
              <c:f>'Rej Trend'!$B$94:$F$94</c:f>
              <c:strCache>
                <c:ptCount val="5"/>
                <c:pt idx="0">
                  <c:v>LIM</c:v>
                </c:pt>
                <c:pt idx="1">
                  <c:v>PUNCHING</c:v>
                </c:pt>
                <c:pt idx="2">
                  <c:v>INSPECTION</c:v>
                </c:pt>
                <c:pt idx="3">
                  <c:v>WRAPING</c:v>
                </c:pt>
                <c:pt idx="4">
                  <c:v>COMMULATIVE</c:v>
                </c:pt>
              </c:strCache>
            </c:strRef>
          </c:cat>
          <c:val>
            <c:numRef>
              <c:f>'Rej Trend'!$B$107:$F$107</c:f>
              <c:numCache>
                <c:formatCode>0.00%</c:formatCode>
                <c:ptCount val="5"/>
                <c:pt idx="0">
                  <c:v>1.3419078385305426E-2</c:v>
                </c:pt>
                <c:pt idx="1">
                  <c:v>2.1200579605411125E-4</c:v>
                </c:pt>
                <c:pt idx="2">
                  <c:v>6.6356269815569299E-3</c:v>
                </c:pt>
                <c:pt idx="3">
                  <c:v>6.14704476166231E-4</c:v>
                </c:pt>
                <c:pt idx="4">
                  <c:v>1.9848288658692866E-2</c:v>
                </c:pt>
              </c:numCache>
            </c:numRef>
          </c:val>
          <c:smooth val="0"/>
          <c:extLst>
            <c:ext xmlns:c16="http://schemas.microsoft.com/office/drawing/2014/chart" uri="{C3380CC4-5D6E-409C-BE32-E72D297353CC}">
              <c16:uniqueId val="{00000001-B4D8-46A5-B38B-B0A1340CD4E6}"/>
            </c:ext>
          </c:extLst>
        </c:ser>
        <c:ser>
          <c:idx val="2"/>
          <c:order val="2"/>
          <c:tx>
            <c:strRef>
              <c:f>'Rej Trend'!$A$108</c:f>
              <c:strCache>
                <c:ptCount val="1"/>
                <c:pt idx="0">
                  <c:v>Feb-20</c:v>
                </c:pt>
              </c:strCache>
            </c:strRef>
          </c:tx>
          <c:marker>
            <c:spPr>
              <a:ln w="38100"/>
            </c:spPr>
          </c:marker>
          <c:cat>
            <c:strRef>
              <c:f>'Rej Trend'!$B$94:$F$94</c:f>
              <c:strCache>
                <c:ptCount val="5"/>
                <c:pt idx="0">
                  <c:v>LIM</c:v>
                </c:pt>
                <c:pt idx="1">
                  <c:v>PUNCHING</c:v>
                </c:pt>
                <c:pt idx="2">
                  <c:v>INSPECTION</c:v>
                </c:pt>
                <c:pt idx="3">
                  <c:v>WRAPING</c:v>
                </c:pt>
                <c:pt idx="4">
                  <c:v>COMMULATIVE</c:v>
                </c:pt>
              </c:strCache>
            </c:strRef>
          </c:cat>
          <c:val>
            <c:numRef>
              <c:f>'Rej Trend'!$B$108:$F$108</c:f>
              <c:numCache>
                <c:formatCode>0.00%</c:formatCode>
                <c:ptCount val="5"/>
                <c:pt idx="0">
                  <c:v>1.4779850175814097E-2</c:v>
                </c:pt>
                <c:pt idx="1">
                  <c:v>0</c:v>
                </c:pt>
                <c:pt idx="2">
                  <c:v>1.6275090290975444E-2</c:v>
                </c:pt>
                <c:pt idx="3">
                  <c:v>1.433650648010093E-5</c:v>
                </c:pt>
                <c:pt idx="4">
                  <c:v>3.0728158077798041E-2</c:v>
                </c:pt>
              </c:numCache>
            </c:numRef>
          </c:val>
          <c:smooth val="0"/>
          <c:extLst>
            <c:ext xmlns:c16="http://schemas.microsoft.com/office/drawing/2014/chart" uri="{C3380CC4-5D6E-409C-BE32-E72D297353CC}">
              <c16:uniqueId val="{00000002-B4D8-46A5-B38B-B0A1340CD4E6}"/>
            </c:ext>
          </c:extLst>
        </c:ser>
        <c:dLbls>
          <c:showLegendKey val="0"/>
          <c:showVal val="0"/>
          <c:showCatName val="0"/>
          <c:showSerName val="0"/>
          <c:showPercent val="0"/>
          <c:showBubbleSize val="0"/>
        </c:dLbls>
        <c:marker val="1"/>
        <c:smooth val="0"/>
        <c:axId val="-1023362128"/>
        <c:axId val="-1023353968"/>
      </c:lineChart>
      <c:catAx>
        <c:axId val="-102336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3353968"/>
        <c:crosses val="autoZero"/>
        <c:auto val="1"/>
        <c:lblAlgn val="ctr"/>
        <c:lblOffset val="100"/>
        <c:noMultiLvlLbl val="0"/>
      </c:catAx>
      <c:valAx>
        <c:axId val="-10233539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336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26" r="0.38" t="0.75" header="0.3" footer="0.3"/>
    <c:pageSetup paperSize="9" orientation="landscape"/>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Blow rejection Trend</a:t>
            </a:r>
          </a:p>
        </c:rich>
      </c:tx>
      <c:overlay val="0"/>
      <c:spPr>
        <a:noFill/>
        <a:ln>
          <a:noFill/>
        </a:ln>
        <a:effectLst/>
      </c:spPr>
    </c:title>
    <c:autoTitleDeleted val="0"/>
    <c:plotArea>
      <c:layout/>
      <c:lineChart>
        <c:grouping val="standard"/>
        <c:varyColors val="0"/>
        <c:ser>
          <c:idx val="0"/>
          <c:order val="0"/>
          <c:tx>
            <c:strRef>
              <c:f>'Rej Trend'!$B$67</c:f>
              <c:strCache>
                <c:ptCount val="1"/>
                <c:pt idx="0">
                  <c:v>P750J</c:v>
                </c:pt>
              </c:strCache>
            </c:strRef>
          </c:tx>
          <c:spPr>
            <a:ln w="28575" cap="rnd">
              <a:solidFill>
                <a:schemeClr val="accent1"/>
              </a:solidFill>
              <a:round/>
            </a:ln>
            <a:effectLst/>
          </c:spPr>
          <c:marker>
            <c:symbol val="none"/>
          </c:marker>
          <c:cat>
            <c:numRef>
              <c:f>'Rej Trend'!$A$69:$A$80</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Trend'!$B$69:$B$80</c:f>
              <c:numCache>
                <c:formatCode>0.00%</c:formatCode>
                <c:ptCount val="12"/>
                <c:pt idx="0">
                  <c:v>3.39E-2</c:v>
                </c:pt>
                <c:pt idx="1">
                  <c:v>3.3615116066387271E-2</c:v>
                </c:pt>
                <c:pt idx="2">
                  <c:v>1.9438491213030432E-2</c:v>
                </c:pt>
                <c:pt idx="3">
                  <c:v>1.9599999999999999E-2</c:v>
                </c:pt>
                <c:pt idx="4">
                  <c:v>1.7593674184562855E-2</c:v>
                </c:pt>
                <c:pt idx="5">
                  <c:v>2.5484339462362646E-2</c:v>
                </c:pt>
                <c:pt idx="6">
                  <c:v>1.533520419114549E-2</c:v>
                </c:pt>
                <c:pt idx="7">
                  <c:v>1.5957446808510637E-2</c:v>
                </c:pt>
                <c:pt idx="8">
                  <c:v>1.2524673607005802E-2</c:v>
                </c:pt>
                <c:pt idx="9">
                  <c:v>1.7593674184562855E-2</c:v>
                </c:pt>
                <c:pt idx="10">
                  <c:v>2.5926045953916455E-2</c:v>
                </c:pt>
                <c:pt idx="11">
                  <c:v>1.8598094577636878E-2</c:v>
                </c:pt>
              </c:numCache>
            </c:numRef>
          </c:val>
          <c:smooth val="0"/>
          <c:extLst>
            <c:ext xmlns:c16="http://schemas.microsoft.com/office/drawing/2014/chart" uri="{C3380CC4-5D6E-409C-BE32-E72D297353CC}">
              <c16:uniqueId val="{00000000-E539-4255-B452-6835C2BE4D6D}"/>
            </c:ext>
          </c:extLst>
        </c:ser>
        <c:ser>
          <c:idx val="1"/>
          <c:order val="1"/>
          <c:tx>
            <c:strRef>
              <c:f>'Rej Trend'!$C$67</c:f>
              <c:strCache>
                <c:ptCount val="1"/>
                <c:pt idx="0">
                  <c:v>WMG3B</c:v>
                </c:pt>
              </c:strCache>
            </c:strRef>
          </c:tx>
          <c:spPr>
            <a:ln w="28575" cap="rnd">
              <a:solidFill>
                <a:schemeClr val="accent2"/>
              </a:solidFill>
              <a:round/>
            </a:ln>
            <a:effectLst/>
          </c:spPr>
          <c:marker>
            <c:symbol val="none"/>
          </c:marker>
          <c:cat>
            <c:numRef>
              <c:f>'Rej Trend'!$A$69:$A$80</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Trend'!$C$69:$C$80</c:f>
              <c:numCache>
                <c:formatCode>0.00%</c:formatCode>
                <c:ptCount val="12"/>
                <c:pt idx="0">
                  <c:v>5.5300000000000002E-2</c:v>
                </c:pt>
                <c:pt idx="1">
                  <c:v>5.8459251919742383E-2</c:v>
                </c:pt>
                <c:pt idx="2">
                  <c:v>4.107348980377068E-2</c:v>
                </c:pt>
                <c:pt idx="3">
                  <c:v>2.7300000000000001E-2</c:v>
                </c:pt>
                <c:pt idx="4">
                  <c:v>2.5484339462362646E-2</c:v>
                </c:pt>
                <c:pt idx="5">
                  <c:v>1.533520419114549E-2</c:v>
                </c:pt>
                <c:pt idx="6">
                  <c:v>1.5957446808510637E-2</c:v>
                </c:pt>
                <c:pt idx="7">
                  <c:v>2.4862828194945341E-2</c:v>
                </c:pt>
                <c:pt idx="8">
                  <c:v>1.6310744913401714E-2</c:v>
                </c:pt>
                <c:pt idx="9">
                  <c:v>2.5484339462362646E-2</c:v>
                </c:pt>
                <c:pt idx="10">
                  <c:v>2.6015478116391936E-2</c:v>
                </c:pt>
                <c:pt idx="11">
                  <c:v>2.7320997191872372E-2</c:v>
                </c:pt>
              </c:numCache>
            </c:numRef>
          </c:val>
          <c:smooth val="0"/>
          <c:extLst>
            <c:ext xmlns:c16="http://schemas.microsoft.com/office/drawing/2014/chart" uri="{C3380CC4-5D6E-409C-BE32-E72D297353CC}">
              <c16:uniqueId val="{00000001-E539-4255-B452-6835C2BE4D6D}"/>
            </c:ext>
          </c:extLst>
        </c:ser>
        <c:dLbls>
          <c:showLegendKey val="0"/>
          <c:showVal val="0"/>
          <c:showCatName val="0"/>
          <c:showSerName val="0"/>
          <c:showPercent val="0"/>
          <c:showBubbleSize val="0"/>
        </c:dLbls>
        <c:smooth val="0"/>
        <c:axId val="-1023364304"/>
        <c:axId val="-1023356688"/>
      </c:lineChart>
      <c:dateAx>
        <c:axId val="-102336430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56688"/>
        <c:crosses val="autoZero"/>
        <c:auto val="1"/>
        <c:lblOffset val="100"/>
        <c:baseTimeUnit val="days"/>
      </c:dateAx>
      <c:valAx>
        <c:axId val="-1023356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6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Printing Rejection</a:t>
            </a:r>
            <a:r>
              <a:rPr lang="en-US" baseline="0"/>
              <a:t> Trend</a:t>
            </a:r>
            <a:endParaRPr lang="en-US"/>
          </a:p>
        </c:rich>
      </c:tx>
      <c:overlay val="0"/>
      <c:spPr>
        <a:noFill/>
        <a:ln>
          <a:noFill/>
        </a:ln>
        <a:effectLst/>
      </c:spPr>
    </c:title>
    <c:autoTitleDeleted val="0"/>
    <c:plotArea>
      <c:layout/>
      <c:lineChart>
        <c:grouping val="standard"/>
        <c:varyColors val="0"/>
        <c:ser>
          <c:idx val="2"/>
          <c:order val="2"/>
          <c:tx>
            <c:strRef>
              <c:f>'Rej Trend'!$D$67</c:f>
              <c:strCache>
                <c:ptCount val="1"/>
                <c:pt idx="0">
                  <c:v>P750J</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'Rej Trend'!$A$69:$A$80</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Trend'!$D$69:$D$80</c:f>
              <c:numCache>
                <c:formatCode>0.00%</c:formatCode>
                <c:ptCount val="12"/>
                <c:pt idx="0">
                  <c:v>5.7000000000000002E-3</c:v>
                </c:pt>
                <c:pt idx="1">
                  <c:v>3.7911601695309952E-3</c:v>
                </c:pt>
                <c:pt idx="2">
                  <c:v>3.0909626140712392E-3</c:v>
                </c:pt>
                <c:pt idx="3">
                  <c:v>7.9000000000000008E-3</c:v>
                </c:pt>
                <c:pt idx="4">
                  <c:v>1.533520419114549E-2</c:v>
                </c:pt>
                <c:pt idx="5">
                  <c:v>1.5957446808510637E-2</c:v>
                </c:pt>
                <c:pt idx="6">
                  <c:v>2.4862828194945341E-2</c:v>
                </c:pt>
                <c:pt idx="7">
                  <c:v>0</c:v>
                </c:pt>
                <c:pt idx="8">
                  <c:v>9.9094816896751255E-3</c:v>
                </c:pt>
                <c:pt idx="9">
                  <c:v>1.533520419114549E-2</c:v>
                </c:pt>
                <c:pt idx="10">
                  <c:v>1.5041590786041246E-2</c:v>
                </c:pt>
                <c:pt idx="11">
                  <c:v>8.260781345840339E-3</c:v>
                </c:pt>
              </c:numCache>
            </c:numRef>
          </c:val>
          <c:smooth val="0"/>
          <c:extLst>
            <c:ext xmlns:c16="http://schemas.microsoft.com/office/drawing/2014/chart" uri="{C3380CC4-5D6E-409C-BE32-E72D297353CC}">
              <c16:uniqueId val="{00000000-BF48-4411-B9CC-CB6C9E490A36}"/>
            </c:ext>
          </c:extLst>
        </c:ser>
        <c:ser>
          <c:idx val="3"/>
          <c:order val="3"/>
          <c:tx>
            <c:strRef>
              <c:f>'Rej Trend'!$E$67</c:f>
              <c:strCache>
                <c:ptCount val="1"/>
                <c:pt idx="0">
                  <c:v>WMG3B</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'Rej Trend'!$A$69:$A$80</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Trend'!$E$69:$E$80</c:f>
              <c:numCache>
                <c:formatCode>0.00%</c:formatCode>
                <c:ptCount val="12"/>
                <c:pt idx="0">
                  <c:v>7.1999999999999998E-3</c:v>
                </c:pt>
                <c:pt idx="1">
                  <c:v>8.2014853083629321E-3</c:v>
                </c:pt>
                <c:pt idx="2">
                  <c:v>1.2921983524471006E-2</c:v>
                </c:pt>
                <c:pt idx="3">
                  <c:v>9.6000000000000002E-4</c:v>
                </c:pt>
                <c:pt idx="4">
                  <c:v>1.5957446808510637E-2</c:v>
                </c:pt>
                <c:pt idx="5">
                  <c:v>2.4862828194945341E-2</c:v>
                </c:pt>
                <c:pt idx="6">
                  <c:v>0</c:v>
                </c:pt>
                <c:pt idx="7">
                  <c:v>0</c:v>
                </c:pt>
                <c:pt idx="8">
                  <c:v>1.1539544047283985E-2</c:v>
                </c:pt>
                <c:pt idx="9">
                  <c:v>1.5957446808510637E-2</c:v>
                </c:pt>
                <c:pt idx="10">
                  <c:v>1.5643064436212599E-2</c:v>
                </c:pt>
                <c:pt idx="11">
                  <c:v>1.5611394452046274E-2</c:v>
                </c:pt>
              </c:numCache>
            </c:numRef>
          </c:val>
          <c:smooth val="0"/>
          <c:extLst>
            <c:ext xmlns:c16="http://schemas.microsoft.com/office/drawing/2014/chart" uri="{C3380CC4-5D6E-409C-BE32-E72D297353CC}">
              <c16:uniqueId val="{00000001-BF48-4411-B9CC-CB6C9E490A36}"/>
            </c:ext>
          </c:extLst>
        </c:ser>
        <c:dLbls>
          <c:showLegendKey val="0"/>
          <c:showVal val="0"/>
          <c:showCatName val="0"/>
          <c:showSerName val="0"/>
          <c:showPercent val="0"/>
          <c:showBubbleSize val="0"/>
        </c:dLbls>
        <c:smooth val="0"/>
        <c:axId val="-1023360496"/>
        <c:axId val="-1023363216"/>
        <c:extLst>
          <c:ext xmlns:c15="http://schemas.microsoft.com/office/drawing/2012/chart" uri="{02D57815-91ED-43cb-92C2-25804820EDAC}">
            <c15:filteredLineSeries>
              <c15:ser>
                <c:idx val="0"/>
                <c:order val="0"/>
                <c:tx>
                  <c:strRef>
                    <c:extLst>
                      <c:ext uri="{02D57815-91ED-43cb-92C2-25804820EDAC}">
                        <c15:formulaRef>
                          <c15:sqref>'Rej Trend'!$B$67</c15:sqref>
                        </c15:formulaRef>
                      </c:ext>
                    </c:extLst>
                    <c:strCache>
                      <c:ptCount val="1"/>
                      <c:pt idx="0">
                        <c:v>P750J</c:v>
                      </c:pt>
                    </c:strCache>
                  </c:strRef>
                </c:tx>
                <c:spPr>
                  <a:ln w="28575" cap="rnd">
                    <a:solidFill>
                      <a:schemeClr val="accent1"/>
                    </a:solidFill>
                    <a:round/>
                  </a:ln>
                  <a:effectLst/>
                </c:spPr>
                <c:marker>
                  <c:symbol val="none"/>
                </c:marker>
                <c:cat>
                  <c:numRef>
                    <c:extLst>
                      <c:ext uri="{02D57815-91ED-43cb-92C2-25804820EDAC}">
                        <c15:formulaRef>
                          <c15:sqref>'Rej Trend'!$A$69:$A$80</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c:ext uri="{02D57815-91ED-43cb-92C2-25804820EDAC}">
                        <c15:formulaRef>
                          <c15:sqref>'Rej Trend'!$B$69:$B$80</c15:sqref>
                        </c15:formulaRef>
                      </c:ext>
                    </c:extLst>
                    <c:numCache>
                      <c:formatCode>0.00%</c:formatCode>
                      <c:ptCount val="12"/>
                      <c:pt idx="0">
                        <c:v>3.39E-2</c:v>
                      </c:pt>
                      <c:pt idx="1">
                        <c:v>3.3615116066387271E-2</c:v>
                      </c:pt>
                      <c:pt idx="2">
                        <c:v>1.9438491213030432E-2</c:v>
                      </c:pt>
                      <c:pt idx="3">
                        <c:v>1.9599999999999999E-2</c:v>
                      </c:pt>
                      <c:pt idx="4">
                        <c:v>1.7593674184562855E-2</c:v>
                      </c:pt>
                      <c:pt idx="5">
                        <c:v>2.5484339462362646E-2</c:v>
                      </c:pt>
                      <c:pt idx="6">
                        <c:v>1.533520419114549E-2</c:v>
                      </c:pt>
                      <c:pt idx="7">
                        <c:v>1.5957446808510637E-2</c:v>
                      </c:pt>
                      <c:pt idx="8">
                        <c:v>1.2524673607005802E-2</c:v>
                      </c:pt>
                      <c:pt idx="9">
                        <c:v>1.7593674184562855E-2</c:v>
                      </c:pt>
                      <c:pt idx="10">
                        <c:v>2.5926045953916455E-2</c:v>
                      </c:pt>
                      <c:pt idx="11">
                        <c:v>1.8598094577636878E-2</c:v>
                      </c:pt>
                    </c:numCache>
                  </c:numRef>
                </c:val>
                <c:smooth val="0"/>
                <c:extLst>
                  <c:ext xmlns:c16="http://schemas.microsoft.com/office/drawing/2014/chart" uri="{C3380CC4-5D6E-409C-BE32-E72D297353CC}">
                    <c16:uniqueId val="{00000002-BF48-4411-B9CC-CB6C9E490A3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'Rej Trend'!$C$67</c15:sqref>
                        </c15:formulaRef>
                      </c:ext>
                    </c:extLst>
                    <c:strCache>
                      <c:ptCount val="1"/>
                      <c:pt idx="0">
                        <c:v>WMG3B</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'Rej Trend'!$A$69:$A$80</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Trend'!$C$69:$C$80</c15:sqref>
                        </c15:formulaRef>
                      </c:ext>
                    </c:extLst>
                    <c:numCache>
                      <c:formatCode>0.00%</c:formatCode>
                      <c:ptCount val="12"/>
                      <c:pt idx="0">
                        <c:v>5.5300000000000002E-2</c:v>
                      </c:pt>
                      <c:pt idx="1">
                        <c:v>5.8459251919742383E-2</c:v>
                      </c:pt>
                      <c:pt idx="2">
                        <c:v>4.107348980377068E-2</c:v>
                      </c:pt>
                      <c:pt idx="3">
                        <c:v>2.7300000000000001E-2</c:v>
                      </c:pt>
                      <c:pt idx="4">
                        <c:v>2.5484339462362646E-2</c:v>
                      </c:pt>
                      <c:pt idx="5">
                        <c:v>1.533520419114549E-2</c:v>
                      </c:pt>
                      <c:pt idx="6">
                        <c:v>1.5957446808510637E-2</c:v>
                      </c:pt>
                      <c:pt idx="7">
                        <c:v>2.4862828194945341E-2</c:v>
                      </c:pt>
                      <c:pt idx="8">
                        <c:v>1.6310744913401714E-2</c:v>
                      </c:pt>
                      <c:pt idx="9">
                        <c:v>2.5484339462362646E-2</c:v>
                      </c:pt>
                      <c:pt idx="10">
                        <c:v>2.6015478116391936E-2</c:v>
                      </c:pt>
                      <c:pt idx="11">
                        <c:v>2.7320997191872372E-2</c:v>
                      </c:pt>
                    </c:numCache>
                  </c:numRef>
                </c:val>
                <c:smooth val="0"/>
                <c:extLst xmlns:c15="http://schemas.microsoft.com/office/drawing/2012/chart">
                  <c:ext xmlns:c16="http://schemas.microsoft.com/office/drawing/2014/chart" uri="{C3380CC4-5D6E-409C-BE32-E72D297353CC}">
                    <c16:uniqueId val="{00000003-BF48-4411-B9CC-CB6C9E490A36}"/>
                  </c:ext>
                </c:extLst>
              </c15:ser>
            </c15:filteredLineSeries>
          </c:ext>
        </c:extLst>
      </c:lineChart>
      <c:dateAx>
        <c:axId val="-102336049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63216"/>
        <c:crosses val="autoZero"/>
        <c:auto val="1"/>
        <c:lblOffset val="100"/>
        <c:baseTimeUnit val="days"/>
      </c:dateAx>
      <c:valAx>
        <c:axId val="-1023363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60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'Rej Trend'!$B$94</c:f>
              <c:strCache>
                <c:ptCount val="1"/>
                <c:pt idx="0">
                  <c:v>LIM</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'Rej Trend'!$A$96:$A$107</c15:sqref>
                  </c15:fullRef>
                </c:ext>
              </c:extLst>
              <c:f>('Rej Trend'!$A$96,'Rej Trend'!$A$102:$A$107)</c:f>
              <c:numCache>
                <c:formatCode>mmm\-yy</c:formatCode>
                <c:ptCount val="7"/>
                <c:pt idx="0">
                  <c:v>43515</c:v>
                </c:pt>
                <c:pt idx="1">
                  <c:v>43696</c:v>
                </c:pt>
                <c:pt idx="2">
                  <c:v>43727</c:v>
                </c:pt>
                <c:pt idx="3">
                  <c:v>43757</c:v>
                </c:pt>
                <c:pt idx="4">
                  <c:v>43788</c:v>
                </c:pt>
                <c:pt idx="5">
                  <c:v>43818</c:v>
                </c:pt>
                <c:pt idx="6">
                  <c:v>43831</c:v>
                </c:pt>
              </c:numCache>
            </c:numRef>
          </c:cat>
          <c:val>
            <c:numRef>
              <c:extLst>
                <c:ext xmlns:c15="http://schemas.microsoft.com/office/drawing/2012/chart" uri="{02D57815-91ED-43cb-92C2-25804820EDAC}">
                  <c15:fullRef>
                    <c15:sqref>'Rej Trend'!$B$96:$B$107</c15:sqref>
                  </c15:fullRef>
                </c:ext>
              </c:extLst>
              <c:f>('Rej Trend'!$B$96,'Rej Trend'!$B$102:$B$107)</c:f>
              <c:numCache>
                <c:formatCode>0.00%</c:formatCode>
                <c:ptCount val="7"/>
                <c:pt idx="0">
                  <c:v>3.1199999999999999E-2</c:v>
                </c:pt>
                <c:pt idx="1">
                  <c:v>1.986902091097114E-2</c:v>
                </c:pt>
                <c:pt idx="2">
                  <c:v>1.9526761100095862E-2</c:v>
                </c:pt>
                <c:pt idx="3">
                  <c:v>1.6341442268309383E-2</c:v>
                </c:pt>
                <c:pt idx="4">
                  <c:v>2.4862828194945341E-2</c:v>
                </c:pt>
                <c:pt idx="5">
                  <c:v>2.0447450971368967E-2</c:v>
                </c:pt>
                <c:pt idx="6">
                  <c:v>1.3419078385305426E-2</c:v>
                </c:pt>
              </c:numCache>
            </c:numRef>
          </c:val>
          <c:smooth val="0"/>
          <c:extLst>
            <c:ext xmlns:c16="http://schemas.microsoft.com/office/drawing/2014/chart" uri="{C3380CC4-5D6E-409C-BE32-E72D297353CC}">
              <c16:uniqueId val="{00000000-9F43-4488-AAB0-C2A6CE4EB537}"/>
            </c:ext>
          </c:extLst>
        </c:ser>
        <c:dLbls>
          <c:showLegendKey val="0"/>
          <c:showVal val="0"/>
          <c:showCatName val="0"/>
          <c:showSerName val="0"/>
          <c:showPercent val="0"/>
          <c:showBubbleSize val="0"/>
        </c:dLbls>
        <c:smooth val="0"/>
        <c:axId val="-1023356144"/>
        <c:axId val="-1023358320"/>
        <c:extLst>
          <c:ext xmlns:c15="http://schemas.microsoft.com/office/drawing/2012/chart" uri="{02D57815-91ED-43cb-92C2-25804820EDAC}">
            <c15:filteredLineSeries>
              <c15:ser>
                <c:idx val="1"/>
                <c:order val="1"/>
                <c:tx>
                  <c:strRef>
                    <c:extLst>
                      <c:ext uri="{02D57815-91ED-43cb-92C2-25804820EDAC}">
                        <c15:formulaRef>
                          <c15:sqref>'Rej Trend'!$C$94</c15:sqref>
                        </c15:formulaRef>
                      </c:ext>
                    </c:extLst>
                    <c:strCache>
                      <c:ptCount val="1"/>
                      <c:pt idx="0">
                        <c:v>PUNCHING</c:v>
                      </c:pt>
                    </c:strCache>
                  </c:strRef>
                </c:tx>
                <c:spPr>
                  <a:ln w="28575" cap="rnd">
                    <a:solidFill>
                      <a:schemeClr val="accent2"/>
                    </a:solidFill>
                    <a:round/>
                  </a:ln>
                  <a:effectLst/>
                </c:spPr>
                <c:marker>
                  <c:symbol val="none"/>
                </c:marker>
                <c:cat>
                  <c:numRef>
                    <c:extLst>
                      <c:ext uri="{02D57815-91ED-43cb-92C2-25804820EDAC}">
                        <c15:fullRef>
                          <c15:sqref>'Rej Trend'!$A$96:$A$107</c15:sqref>
                        </c15:fullRef>
                        <c15:formulaRef>
                          <c15:sqref>('Rej Trend'!$A$96,'Rej Trend'!$A$102:$A$107)</c15:sqref>
                        </c15:formulaRef>
                      </c:ext>
                    </c:extLst>
                    <c:numCache>
                      <c:formatCode>mmm\-yy</c:formatCode>
                      <c:ptCount val="7"/>
                      <c:pt idx="0">
                        <c:v>43515</c:v>
                      </c:pt>
                      <c:pt idx="1">
                        <c:v>43696</c:v>
                      </c:pt>
                      <c:pt idx="2">
                        <c:v>43727</c:v>
                      </c:pt>
                      <c:pt idx="3">
                        <c:v>43757</c:v>
                      </c:pt>
                      <c:pt idx="4">
                        <c:v>43788</c:v>
                      </c:pt>
                      <c:pt idx="5">
                        <c:v>43818</c:v>
                      </c:pt>
                      <c:pt idx="6">
                        <c:v>43831</c:v>
                      </c:pt>
                    </c:numCache>
                  </c:numRef>
                </c:cat>
                <c:val>
                  <c:numRef>
                    <c:extLst>
                      <c:ext uri="{02D57815-91ED-43cb-92C2-25804820EDAC}">
                        <c15:fullRef>
                          <c15:sqref>'Rej Trend'!$C$96:$C$107</c15:sqref>
                        </c15:fullRef>
                        <c15:formulaRef>
                          <c15:sqref>('Rej Trend'!$C$96,'Rej Trend'!$C$102:$C$107)</c15:sqref>
                        </c15:formulaRef>
                      </c:ext>
                    </c:extLst>
                    <c:numCache>
                      <c:formatCode>0.00%</c:formatCode>
                      <c:ptCount val="7"/>
                      <c:pt idx="0">
                        <c:v>5.7000000000000002E-3</c:v>
                      </c:pt>
                      <c:pt idx="1">
                        <c:v>0</c:v>
                      </c:pt>
                      <c:pt idx="2">
                        <c:v>0</c:v>
                      </c:pt>
                      <c:pt idx="3">
                        <c:v>0</c:v>
                      </c:pt>
                      <c:pt idx="4">
                        <c:v>0</c:v>
                      </c:pt>
                      <c:pt idx="5">
                        <c:v>0</c:v>
                      </c:pt>
                      <c:pt idx="6">
                        <c:v>2.1200579605411125E-4</c:v>
                      </c:pt>
                    </c:numCache>
                  </c:numRef>
                </c:val>
                <c:smooth val="0"/>
                <c:extLst>
                  <c:ext xmlns:c16="http://schemas.microsoft.com/office/drawing/2014/chart" uri="{C3380CC4-5D6E-409C-BE32-E72D297353CC}">
                    <c16:uniqueId val="{00000001-9F43-4488-AAB0-C2A6CE4EB53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'Rej Trend'!$D$94</c15:sqref>
                        </c15:formulaRef>
                      </c:ext>
                    </c:extLst>
                    <c:strCache>
                      <c:ptCount val="1"/>
                      <c:pt idx="0">
                        <c:v>INSPECTION</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'Rej Trend'!$A$96:$A$107</c15:sqref>
                        </c15:fullRef>
                        <c15:formulaRef>
                          <c15:sqref>('Rej Trend'!$A$96,'Rej Trend'!$A$102:$A$107)</c15:sqref>
                        </c15:formulaRef>
                      </c:ext>
                    </c:extLst>
                    <c:numCache>
                      <c:formatCode>mmm\-yy</c:formatCode>
                      <c:ptCount val="7"/>
                      <c:pt idx="0">
                        <c:v>43515</c:v>
                      </c:pt>
                      <c:pt idx="1">
                        <c:v>43696</c:v>
                      </c:pt>
                      <c:pt idx="2">
                        <c:v>43727</c:v>
                      </c:pt>
                      <c:pt idx="3">
                        <c:v>43757</c:v>
                      </c:pt>
                      <c:pt idx="4">
                        <c:v>43788</c:v>
                      </c:pt>
                      <c:pt idx="5">
                        <c:v>43818</c:v>
                      </c:pt>
                      <c:pt idx="6">
                        <c:v>43831</c:v>
                      </c:pt>
                    </c:numCache>
                  </c:numRef>
                </c:cat>
                <c:val>
                  <c:numRef>
                    <c:extLst>
                      <c:ext xmlns:c15="http://schemas.microsoft.com/office/drawing/2012/chart" uri="{02D57815-91ED-43cb-92C2-25804820EDAC}">
                        <c15:fullRef>
                          <c15:sqref>'Rej Trend'!$D$96:$D$107</c15:sqref>
                        </c15:fullRef>
                        <c15:formulaRef>
                          <c15:sqref>('Rej Trend'!$D$96,'Rej Trend'!$D$102:$D$107)</c15:sqref>
                        </c15:formulaRef>
                      </c:ext>
                    </c:extLst>
                    <c:numCache>
                      <c:formatCode>0.00%</c:formatCode>
                      <c:ptCount val="7"/>
                      <c:pt idx="0">
                        <c:v>2.9399999999999999E-2</c:v>
                      </c:pt>
                      <c:pt idx="1">
                        <c:v>1.6913880160184396E-2</c:v>
                      </c:pt>
                      <c:pt idx="2">
                        <c:v>1.0362475661142826E-2</c:v>
                      </c:pt>
                      <c:pt idx="3">
                        <c:v>8.281419153253252E-3</c:v>
                      </c:pt>
                      <c:pt idx="4">
                        <c:v>1.0287511867480977E-2</c:v>
                      </c:pt>
                      <c:pt idx="5">
                        <c:v>1.4085595893376214E-2</c:v>
                      </c:pt>
                      <c:pt idx="6">
                        <c:v>6.6356269815569299E-3</c:v>
                      </c:pt>
                    </c:numCache>
                  </c:numRef>
                </c:val>
                <c:smooth val="0"/>
                <c:extLst xmlns:c15="http://schemas.microsoft.com/office/drawing/2012/chart">
                  <c:ext xmlns:c16="http://schemas.microsoft.com/office/drawing/2014/chart" uri="{C3380CC4-5D6E-409C-BE32-E72D297353CC}">
                    <c16:uniqueId val="{00000002-9F43-4488-AAB0-C2A6CE4EB53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'Rej Trend'!$E$94</c15:sqref>
                        </c15:formulaRef>
                      </c:ext>
                    </c:extLst>
                    <c:strCache>
                      <c:ptCount val="1"/>
                      <c:pt idx="0">
                        <c:v>WRAPING</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'Rej Trend'!$A$96:$A$107</c15:sqref>
                        </c15:fullRef>
                        <c15:formulaRef>
                          <c15:sqref>('Rej Trend'!$A$96,'Rej Trend'!$A$102:$A$107)</c15:sqref>
                        </c15:formulaRef>
                      </c:ext>
                    </c:extLst>
                    <c:numCache>
                      <c:formatCode>mmm\-yy</c:formatCode>
                      <c:ptCount val="7"/>
                      <c:pt idx="0">
                        <c:v>43515</c:v>
                      </c:pt>
                      <c:pt idx="1">
                        <c:v>43696</c:v>
                      </c:pt>
                      <c:pt idx="2">
                        <c:v>43727</c:v>
                      </c:pt>
                      <c:pt idx="3">
                        <c:v>43757</c:v>
                      </c:pt>
                      <c:pt idx="4">
                        <c:v>43788</c:v>
                      </c:pt>
                      <c:pt idx="5">
                        <c:v>43818</c:v>
                      </c:pt>
                      <c:pt idx="6">
                        <c:v>43831</c:v>
                      </c:pt>
                    </c:numCache>
                  </c:numRef>
                </c:cat>
                <c:val>
                  <c:numRef>
                    <c:extLst>
                      <c:ext xmlns:c15="http://schemas.microsoft.com/office/drawing/2012/chart" uri="{02D57815-91ED-43cb-92C2-25804820EDAC}">
                        <c15:fullRef>
                          <c15:sqref>'Rej Trend'!$E$96:$E$107</c15:sqref>
                        </c15:fullRef>
                        <c15:formulaRef>
                          <c15:sqref>('Rej Trend'!$E$96,'Rej Trend'!$E$102:$E$107)</c15:sqref>
                        </c15:formulaRef>
                      </c:ext>
                    </c:extLst>
                    <c:numCache>
                      <c:formatCode>0.00%</c:formatCode>
                      <c:ptCount val="7"/>
                      <c:pt idx="0">
                        <c:v>2.0000000000000001E-4</c:v>
                      </c:pt>
                      <c:pt idx="1">
                        <c:v>1.8757928927194554E-4</c:v>
                      </c:pt>
                      <c:pt idx="2">
                        <c:v>9.7617114849104494E-5</c:v>
                      </c:pt>
                      <c:pt idx="3">
                        <c:v>2.353245714151243E-5</c:v>
                      </c:pt>
                      <c:pt idx="4">
                        <c:v>4.9856247818789156E-5</c:v>
                      </c:pt>
                      <c:pt idx="5">
                        <c:v>-1.1388483965014577E-5</c:v>
                      </c:pt>
                      <c:pt idx="6">
                        <c:v>6.14704476166231E-4</c:v>
                      </c:pt>
                    </c:numCache>
                  </c:numRef>
                </c:val>
                <c:smooth val="0"/>
                <c:extLst xmlns:c15="http://schemas.microsoft.com/office/drawing/2012/chart">
                  <c:ext xmlns:c16="http://schemas.microsoft.com/office/drawing/2014/chart" uri="{C3380CC4-5D6E-409C-BE32-E72D297353CC}">
                    <c16:uniqueId val="{00000003-9F43-4488-AAB0-C2A6CE4EB537}"/>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'Rej Trend'!$F$94</c15:sqref>
                        </c15:formulaRef>
                      </c:ext>
                    </c:extLst>
                    <c:strCache>
                      <c:ptCount val="1"/>
                      <c:pt idx="0">
                        <c:v>COMMULATIVE</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'Rej Trend'!$A$96:$A$107</c15:sqref>
                        </c15:fullRef>
                        <c15:formulaRef>
                          <c15:sqref>('Rej Trend'!$A$96,'Rej Trend'!$A$102:$A$107)</c15:sqref>
                        </c15:formulaRef>
                      </c:ext>
                    </c:extLst>
                    <c:numCache>
                      <c:formatCode>mmm\-yy</c:formatCode>
                      <c:ptCount val="7"/>
                      <c:pt idx="0">
                        <c:v>43515</c:v>
                      </c:pt>
                      <c:pt idx="1">
                        <c:v>43696</c:v>
                      </c:pt>
                      <c:pt idx="2">
                        <c:v>43727</c:v>
                      </c:pt>
                      <c:pt idx="3">
                        <c:v>43757</c:v>
                      </c:pt>
                      <c:pt idx="4">
                        <c:v>43788</c:v>
                      </c:pt>
                      <c:pt idx="5">
                        <c:v>43818</c:v>
                      </c:pt>
                      <c:pt idx="6">
                        <c:v>43831</c:v>
                      </c:pt>
                    </c:numCache>
                  </c:numRef>
                </c:cat>
                <c:val>
                  <c:numRef>
                    <c:extLst>
                      <c:ext xmlns:c15="http://schemas.microsoft.com/office/drawing/2012/chart" uri="{02D57815-91ED-43cb-92C2-25804820EDAC}">
                        <c15:fullRef>
                          <c15:sqref>'Rej Trend'!$F$96:$F$107</c15:sqref>
                        </c15:fullRef>
                        <c15:formulaRef>
                          <c15:sqref>('Rej Trend'!$F$96,'Rej Trend'!$F$102:$F$107)</c15:sqref>
                        </c15:formulaRef>
                      </c:ext>
                    </c:extLst>
                    <c:numCache>
                      <c:formatCode>0.00%</c:formatCode>
                      <c:ptCount val="7"/>
                      <c:pt idx="0">
                        <c:v>6.1699999999999998E-2</c:v>
                      </c:pt>
                      <c:pt idx="1">
                        <c:v>3.8397426255023008E-2</c:v>
                      </c:pt>
                      <c:pt idx="2">
                        <c:v>2.9818575877200815E-2</c:v>
                      </c:pt>
                      <c:pt idx="3">
                        <c:v>2.3809806376577678E-2</c:v>
                      </c:pt>
                      <c:pt idx="4">
                        <c:v>3.4727407217049769E-2</c:v>
                      </c:pt>
                      <c:pt idx="5">
                        <c:v>3.3954586024840021E-2</c:v>
                      </c:pt>
                      <c:pt idx="6">
                        <c:v>1.9848288658692866E-2</c:v>
                      </c:pt>
                    </c:numCache>
                  </c:numRef>
                </c:val>
                <c:smooth val="0"/>
                <c:extLst xmlns:c15="http://schemas.microsoft.com/office/drawing/2012/chart">
                  <c:ext xmlns:c16="http://schemas.microsoft.com/office/drawing/2014/chart" uri="{C3380CC4-5D6E-409C-BE32-E72D297353CC}">
                    <c16:uniqueId val="{00000004-9F43-4488-AAB0-C2A6CE4EB537}"/>
                  </c:ext>
                </c:extLst>
              </c15:ser>
            </c15:filteredLineSeries>
          </c:ext>
        </c:extLst>
      </c:lineChart>
      <c:dateAx>
        <c:axId val="-102335614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58320"/>
        <c:crosses val="autoZero"/>
        <c:auto val="1"/>
        <c:lblOffset val="100"/>
        <c:baseTimeUnit val="days"/>
      </c:dateAx>
      <c:valAx>
        <c:axId val="-1023358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56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'Rej Trend'!$C$94</c:f>
              <c:strCache>
                <c:ptCount val="1"/>
                <c:pt idx="0">
                  <c:v>PUNCHING</c:v>
                </c:pt>
              </c:strCache>
            </c:strRef>
          </c:tx>
          <c:spPr>
            <a:ln w="28575" cap="rnd">
              <a:solidFill>
                <a:schemeClr val="accent2"/>
              </a:solidFill>
              <a:round/>
            </a:ln>
            <a:effectLst/>
          </c:spPr>
          <c:marker>
            <c:symbol val="none"/>
          </c:marker>
          <c:cat>
            <c:numRef>
              <c:f>'Rej Trend'!$A$96:$A$107</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Trend'!$C$96:$C$107</c:f>
              <c:numCache>
                <c:formatCode>0.00%</c:formatCode>
                <c:ptCount val="12"/>
                <c:pt idx="0">
                  <c:v>5.7000000000000002E-3</c:v>
                </c:pt>
                <c:pt idx="1">
                  <c:v>7.3155664416001045E-5</c:v>
                </c:pt>
                <c:pt idx="2">
                  <c:v>5.0351370918136839E-4</c:v>
                </c:pt>
                <c:pt idx="3">
                  <c:v>0</c:v>
                </c:pt>
                <c:pt idx="4">
                  <c:v>1.933108983783666E-4</c:v>
                </c:pt>
                <c:pt idx="5">
                  <c:v>0</c:v>
                </c:pt>
                <c:pt idx="6">
                  <c:v>0</c:v>
                </c:pt>
                <c:pt idx="7">
                  <c:v>0</c:v>
                </c:pt>
                <c:pt idx="8">
                  <c:v>0</c:v>
                </c:pt>
                <c:pt idx="9">
                  <c:v>0</c:v>
                </c:pt>
                <c:pt idx="10">
                  <c:v>0</c:v>
                </c:pt>
                <c:pt idx="11">
                  <c:v>2.1200579605411125E-4</c:v>
                </c:pt>
              </c:numCache>
            </c:numRef>
          </c:val>
          <c:smooth val="0"/>
          <c:extLst>
            <c:ext xmlns:c16="http://schemas.microsoft.com/office/drawing/2014/chart" uri="{C3380CC4-5D6E-409C-BE32-E72D297353CC}">
              <c16:uniqueId val="{00000000-9E82-4E16-842E-5F2170C90AF9}"/>
            </c:ext>
          </c:extLst>
        </c:ser>
        <c:dLbls>
          <c:showLegendKey val="0"/>
          <c:showVal val="0"/>
          <c:showCatName val="0"/>
          <c:showSerName val="0"/>
          <c:showPercent val="0"/>
          <c:showBubbleSize val="0"/>
        </c:dLbls>
        <c:smooth val="0"/>
        <c:axId val="-1023357232"/>
        <c:axId val="-1023362672"/>
        <c:extLst>
          <c:ext xmlns:c15="http://schemas.microsoft.com/office/drawing/2012/chart" uri="{02D57815-91ED-43cb-92C2-25804820EDAC}">
            <c15:filteredLineSeries>
              <c15:ser>
                <c:idx val="0"/>
                <c:order val="0"/>
                <c:tx>
                  <c:strRef>
                    <c:extLst>
                      <c:ext uri="{02D57815-91ED-43cb-92C2-25804820EDAC}">
                        <c15:formulaRef>
                          <c15:sqref>'Rej Trend'!$B$94</c15:sqref>
                        </c15:formulaRef>
                      </c:ext>
                    </c:extLst>
                    <c:strCache>
                      <c:ptCount val="1"/>
                      <c:pt idx="0">
                        <c:v>LIM</c:v>
                      </c:pt>
                    </c:strCache>
                  </c:strRef>
                </c:tx>
                <c:spPr>
                  <a:ln w="28575" cap="rnd">
                    <a:solidFill>
                      <a:schemeClr val="accent1"/>
                    </a:solidFill>
                    <a:round/>
                  </a:ln>
                  <a:effectLst/>
                </c:spPr>
                <c:marker>
                  <c:symbol val="none"/>
                </c:marker>
                <c:cat>
                  <c:numRef>
                    <c:extLst>
                      <c:ex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c:ext uri="{02D57815-91ED-43cb-92C2-25804820EDAC}">
                        <c15:formulaRef>
                          <c15:sqref>'Rej Trend'!$B$96:$B$107</c15:sqref>
                        </c15:formulaRef>
                      </c:ext>
                    </c:extLst>
                    <c:numCache>
                      <c:formatCode>0.00%</c:formatCode>
                      <c:ptCount val="12"/>
                      <c:pt idx="0">
                        <c:v>3.1199999999999999E-2</c:v>
                      </c:pt>
                      <c:pt idx="1">
                        <c:v>1.9404219883850455E-2</c:v>
                      </c:pt>
                      <c:pt idx="2">
                        <c:v>4.2535554782128157E-2</c:v>
                      </c:pt>
                      <c:pt idx="3">
                        <c:v>3.6999999999999998E-2</c:v>
                      </c:pt>
                      <c:pt idx="4">
                        <c:v>1.8806189145733267E-2</c:v>
                      </c:pt>
                      <c:pt idx="5">
                        <c:v>2.431011826544021E-2</c:v>
                      </c:pt>
                      <c:pt idx="6">
                        <c:v>1.986902091097114E-2</c:v>
                      </c:pt>
                      <c:pt idx="7">
                        <c:v>1.9526761100095862E-2</c:v>
                      </c:pt>
                      <c:pt idx="8">
                        <c:v>1.6341442268309383E-2</c:v>
                      </c:pt>
                      <c:pt idx="9">
                        <c:v>2.4862828194945341E-2</c:v>
                      </c:pt>
                      <c:pt idx="10">
                        <c:v>2.0447450971368967E-2</c:v>
                      </c:pt>
                      <c:pt idx="11">
                        <c:v>1.3419078385305426E-2</c:v>
                      </c:pt>
                    </c:numCache>
                  </c:numRef>
                </c:val>
                <c:smooth val="0"/>
                <c:extLst>
                  <c:ext xmlns:c16="http://schemas.microsoft.com/office/drawing/2014/chart" uri="{C3380CC4-5D6E-409C-BE32-E72D297353CC}">
                    <c16:uniqueId val="{00000001-9E82-4E16-842E-5F2170C90AF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'Rej Trend'!$D$94</c15:sqref>
                        </c15:formulaRef>
                      </c:ext>
                    </c:extLst>
                    <c:strCache>
                      <c:ptCount val="1"/>
                      <c:pt idx="0">
                        <c:v>INSPECTION</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Trend'!$D$96:$D$107</c15:sqref>
                        </c15:formulaRef>
                      </c:ext>
                    </c:extLst>
                    <c:numCache>
                      <c:formatCode>0.00%</c:formatCode>
                      <c:ptCount val="12"/>
                      <c:pt idx="0">
                        <c:v>2.9399999999999999E-2</c:v>
                      </c:pt>
                      <c:pt idx="1">
                        <c:v>1.5248064330354286E-2</c:v>
                      </c:pt>
                      <c:pt idx="2">
                        <c:v>2.3133383180992784E-2</c:v>
                      </c:pt>
                      <c:pt idx="3">
                        <c:v>1.2699999999999999E-2</c:v>
                      </c:pt>
                      <c:pt idx="4">
                        <c:v>1.0863997672903875E-2</c:v>
                      </c:pt>
                      <c:pt idx="5">
                        <c:v>1.7835575057270805E-2</c:v>
                      </c:pt>
                      <c:pt idx="6">
                        <c:v>1.6913880160184396E-2</c:v>
                      </c:pt>
                      <c:pt idx="7">
                        <c:v>1.0362475661142826E-2</c:v>
                      </c:pt>
                      <c:pt idx="8">
                        <c:v>8.281419153253252E-3</c:v>
                      </c:pt>
                      <c:pt idx="9">
                        <c:v>1.0287511867480977E-2</c:v>
                      </c:pt>
                      <c:pt idx="10">
                        <c:v>1.4085595893376214E-2</c:v>
                      </c:pt>
                      <c:pt idx="11">
                        <c:v>6.6356269815569299E-3</c:v>
                      </c:pt>
                    </c:numCache>
                  </c:numRef>
                </c:val>
                <c:smooth val="0"/>
                <c:extLst xmlns:c15="http://schemas.microsoft.com/office/drawing/2012/chart">
                  <c:ext xmlns:c16="http://schemas.microsoft.com/office/drawing/2014/chart" uri="{C3380CC4-5D6E-409C-BE32-E72D297353CC}">
                    <c16:uniqueId val="{00000002-9E82-4E16-842E-5F2170C90AF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'Rej Trend'!$E$94</c15:sqref>
                        </c15:formulaRef>
                      </c:ext>
                    </c:extLst>
                    <c:strCache>
                      <c:ptCount val="1"/>
                      <c:pt idx="0">
                        <c:v>WRAPING</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Trend'!$E$96:$E$107</c15:sqref>
                        </c15:formulaRef>
                      </c:ext>
                    </c:extLst>
                    <c:numCache>
                      <c:formatCode>0.00%</c:formatCode>
                      <c:ptCount val="12"/>
                      <c:pt idx="0">
                        <c:v>2.0000000000000001E-4</c:v>
                      </c:pt>
                      <c:pt idx="1">
                        <c:v>1.1966276856132716E-4</c:v>
                      </c:pt>
                      <c:pt idx="2">
                        <c:v>4.1915540186524154E-5</c:v>
                      </c:pt>
                      <c:pt idx="3">
                        <c:v>1E-4</c:v>
                      </c:pt>
                      <c:pt idx="4">
                        <c:v>3.9682539682539683E-4</c:v>
                      </c:pt>
                      <c:pt idx="5">
                        <c:v>1.9624479806987469E-4</c:v>
                      </c:pt>
                      <c:pt idx="6">
                        <c:v>1.8757928927194554E-4</c:v>
                      </c:pt>
                      <c:pt idx="7">
                        <c:v>9.7617114849104494E-5</c:v>
                      </c:pt>
                      <c:pt idx="8">
                        <c:v>2.353245714151243E-5</c:v>
                      </c:pt>
                      <c:pt idx="9">
                        <c:v>4.9856247818789156E-5</c:v>
                      </c:pt>
                      <c:pt idx="10">
                        <c:v>-1.1388483965014577E-5</c:v>
                      </c:pt>
                      <c:pt idx="11">
                        <c:v>6.14704476166231E-4</c:v>
                      </c:pt>
                    </c:numCache>
                  </c:numRef>
                </c:val>
                <c:smooth val="0"/>
                <c:extLst xmlns:c15="http://schemas.microsoft.com/office/drawing/2012/chart">
                  <c:ext xmlns:c16="http://schemas.microsoft.com/office/drawing/2014/chart" uri="{C3380CC4-5D6E-409C-BE32-E72D297353CC}">
                    <c16:uniqueId val="{00000003-9E82-4E16-842E-5F2170C90AF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'Rej Trend'!$F$94</c15:sqref>
                        </c15:formulaRef>
                      </c:ext>
                    </c:extLst>
                    <c:strCache>
                      <c:ptCount val="1"/>
                      <c:pt idx="0">
                        <c:v>COMMULATIVE</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Trend'!$F$96:$F$107</c15:sqref>
                        </c15:formulaRef>
                      </c:ext>
                    </c:extLst>
                    <c:numCache>
                      <c:formatCode>0.00%</c:formatCode>
                      <c:ptCount val="12"/>
                      <c:pt idx="0">
                        <c:v>6.1699999999999998E-2</c:v>
                      </c:pt>
                      <c:pt idx="1">
                        <c:v>3.4461553205763024E-2</c:v>
                      </c:pt>
                      <c:pt idx="2">
                        <c:v>6.1903571930591782E-2</c:v>
                      </c:pt>
                      <c:pt idx="3">
                        <c:v>5.1299999999999998E-2</c:v>
                      </c:pt>
                      <c:pt idx="4">
                        <c:v>2.7644854936074596E-2</c:v>
                      </c:pt>
                      <c:pt idx="5">
                        <c:v>4.326092021134316E-2</c:v>
                      </c:pt>
                      <c:pt idx="6">
                        <c:v>3.8397426255023008E-2</c:v>
                      </c:pt>
                      <c:pt idx="7">
                        <c:v>2.9818575877200815E-2</c:v>
                      </c:pt>
                      <c:pt idx="8">
                        <c:v>2.3809806376577678E-2</c:v>
                      </c:pt>
                      <c:pt idx="9">
                        <c:v>3.4727407217049769E-2</c:v>
                      </c:pt>
                      <c:pt idx="10">
                        <c:v>3.3954586024840021E-2</c:v>
                      </c:pt>
                      <c:pt idx="11">
                        <c:v>1.9848288658692866E-2</c:v>
                      </c:pt>
                    </c:numCache>
                  </c:numRef>
                </c:val>
                <c:smooth val="0"/>
                <c:extLst xmlns:c15="http://schemas.microsoft.com/office/drawing/2012/chart">
                  <c:ext xmlns:c16="http://schemas.microsoft.com/office/drawing/2014/chart" uri="{C3380CC4-5D6E-409C-BE32-E72D297353CC}">
                    <c16:uniqueId val="{00000004-9E82-4E16-842E-5F2170C90AF9}"/>
                  </c:ext>
                </c:extLst>
              </c15:ser>
            </c15:filteredLineSeries>
          </c:ext>
        </c:extLst>
      </c:lineChart>
      <c:dateAx>
        <c:axId val="-102335723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62672"/>
        <c:crosses val="autoZero"/>
        <c:auto val="1"/>
        <c:lblOffset val="100"/>
        <c:baseTimeUnit val="days"/>
      </c:dateAx>
      <c:valAx>
        <c:axId val="-102336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57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3"/>
          <c:tx>
            <c:strRef>
              <c:f>'Rej Trend'!$E$94</c:f>
              <c:strCache>
                <c:ptCount val="1"/>
                <c:pt idx="0">
                  <c:v>WRAPING</c:v>
                </c:pt>
              </c:strCache>
            </c:strRef>
          </c:tx>
          <c:spPr>
            <a:ln w="28575" cap="rnd">
              <a:solidFill>
                <a:schemeClr val="accent4"/>
              </a:solidFill>
              <a:round/>
            </a:ln>
            <a:effectLst/>
          </c:spPr>
          <c:marker>
            <c:symbol val="none"/>
          </c:marker>
          <c:cat>
            <c:numRef>
              <c:f>'Rej Trend'!$A$96:$A$107</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Trend'!$E$96:$E$107</c:f>
              <c:numCache>
                <c:formatCode>0.00%</c:formatCode>
                <c:ptCount val="12"/>
                <c:pt idx="0">
                  <c:v>2.0000000000000001E-4</c:v>
                </c:pt>
                <c:pt idx="1">
                  <c:v>1.1966276856132716E-4</c:v>
                </c:pt>
                <c:pt idx="2">
                  <c:v>4.1915540186524154E-5</c:v>
                </c:pt>
                <c:pt idx="3">
                  <c:v>1E-4</c:v>
                </c:pt>
                <c:pt idx="4">
                  <c:v>3.9682539682539683E-4</c:v>
                </c:pt>
                <c:pt idx="5">
                  <c:v>1.9624479806987469E-4</c:v>
                </c:pt>
                <c:pt idx="6">
                  <c:v>1.8757928927194554E-4</c:v>
                </c:pt>
                <c:pt idx="7">
                  <c:v>9.7617114849104494E-5</c:v>
                </c:pt>
                <c:pt idx="8">
                  <c:v>2.353245714151243E-5</c:v>
                </c:pt>
                <c:pt idx="9">
                  <c:v>4.9856247818789156E-5</c:v>
                </c:pt>
                <c:pt idx="10">
                  <c:v>-1.1388483965014577E-5</c:v>
                </c:pt>
                <c:pt idx="11">
                  <c:v>6.14704476166231E-4</c:v>
                </c:pt>
              </c:numCache>
            </c:numRef>
          </c:val>
          <c:smooth val="0"/>
          <c:extLst xmlns:c15="http://schemas.microsoft.com/office/drawing/2012/chart">
            <c:ext xmlns:c16="http://schemas.microsoft.com/office/drawing/2014/chart" uri="{C3380CC4-5D6E-409C-BE32-E72D297353CC}">
              <c16:uniqueId val="{00000003-CDBF-404D-AF15-3D48FEBD26EB}"/>
            </c:ext>
          </c:extLst>
        </c:ser>
        <c:dLbls>
          <c:showLegendKey val="0"/>
          <c:showVal val="0"/>
          <c:showCatName val="0"/>
          <c:showSerName val="0"/>
          <c:showPercent val="0"/>
          <c:showBubbleSize val="0"/>
        </c:dLbls>
        <c:smooth val="0"/>
        <c:axId val="-1023351248"/>
        <c:axId val="-1023366480"/>
        <c:extLst>
          <c:ext xmlns:c15="http://schemas.microsoft.com/office/drawing/2012/chart" uri="{02D57815-91ED-43cb-92C2-25804820EDAC}">
            <c15:filteredLineSeries>
              <c15:ser>
                <c:idx val="0"/>
                <c:order val="0"/>
                <c:tx>
                  <c:strRef>
                    <c:extLst>
                      <c:ext uri="{02D57815-91ED-43cb-92C2-25804820EDAC}">
                        <c15:formulaRef>
                          <c15:sqref>'Rej Trend'!$B$94</c15:sqref>
                        </c15:formulaRef>
                      </c:ext>
                    </c:extLst>
                    <c:strCache>
                      <c:ptCount val="1"/>
                      <c:pt idx="0">
                        <c:v>LIM</c:v>
                      </c:pt>
                    </c:strCache>
                  </c:strRef>
                </c:tx>
                <c:spPr>
                  <a:ln w="28575" cap="rnd">
                    <a:solidFill>
                      <a:schemeClr val="accent1"/>
                    </a:solidFill>
                    <a:round/>
                  </a:ln>
                  <a:effectLst/>
                </c:spPr>
                <c:marker>
                  <c:symbol val="none"/>
                </c:marker>
                <c:cat>
                  <c:numRef>
                    <c:extLst>
                      <c:ex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c:ext uri="{02D57815-91ED-43cb-92C2-25804820EDAC}">
                        <c15:formulaRef>
                          <c15:sqref>'Rej Trend'!$B$96:$B$107</c15:sqref>
                        </c15:formulaRef>
                      </c:ext>
                    </c:extLst>
                    <c:numCache>
                      <c:formatCode>0.00%</c:formatCode>
                      <c:ptCount val="12"/>
                      <c:pt idx="0">
                        <c:v>3.1199999999999999E-2</c:v>
                      </c:pt>
                      <c:pt idx="1">
                        <c:v>1.9404219883850455E-2</c:v>
                      </c:pt>
                      <c:pt idx="2">
                        <c:v>4.2535554782128157E-2</c:v>
                      </c:pt>
                      <c:pt idx="3">
                        <c:v>3.6999999999999998E-2</c:v>
                      </c:pt>
                      <c:pt idx="4">
                        <c:v>1.8806189145733267E-2</c:v>
                      </c:pt>
                      <c:pt idx="5">
                        <c:v>2.431011826544021E-2</c:v>
                      </c:pt>
                      <c:pt idx="6">
                        <c:v>1.986902091097114E-2</c:v>
                      </c:pt>
                      <c:pt idx="7">
                        <c:v>1.9526761100095862E-2</c:v>
                      </c:pt>
                      <c:pt idx="8">
                        <c:v>1.6341442268309383E-2</c:v>
                      </c:pt>
                      <c:pt idx="9">
                        <c:v>2.4862828194945341E-2</c:v>
                      </c:pt>
                      <c:pt idx="10">
                        <c:v>2.0447450971368967E-2</c:v>
                      </c:pt>
                      <c:pt idx="11">
                        <c:v>1.3419078385305426E-2</c:v>
                      </c:pt>
                    </c:numCache>
                  </c:numRef>
                </c:val>
                <c:smooth val="0"/>
                <c:extLst>
                  <c:ext xmlns:c16="http://schemas.microsoft.com/office/drawing/2014/chart" uri="{C3380CC4-5D6E-409C-BE32-E72D297353CC}">
                    <c16:uniqueId val="{00000001-CDBF-404D-AF15-3D48FEBD26E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'Rej Trend'!$C$94</c15:sqref>
                        </c15:formulaRef>
                      </c:ext>
                    </c:extLst>
                    <c:strCache>
                      <c:ptCount val="1"/>
                      <c:pt idx="0">
                        <c:v>PUNCHING</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Trend'!$C$96:$C$107</c15:sqref>
                        </c15:formulaRef>
                      </c:ext>
                    </c:extLst>
                    <c:numCache>
                      <c:formatCode>0.00%</c:formatCode>
                      <c:ptCount val="12"/>
                      <c:pt idx="0">
                        <c:v>5.7000000000000002E-3</c:v>
                      </c:pt>
                      <c:pt idx="1">
                        <c:v>7.3155664416001045E-5</c:v>
                      </c:pt>
                      <c:pt idx="2">
                        <c:v>5.0351370918136839E-4</c:v>
                      </c:pt>
                      <c:pt idx="3">
                        <c:v>0</c:v>
                      </c:pt>
                      <c:pt idx="4">
                        <c:v>1.933108983783666E-4</c:v>
                      </c:pt>
                      <c:pt idx="5">
                        <c:v>0</c:v>
                      </c:pt>
                      <c:pt idx="6">
                        <c:v>0</c:v>
                      </c:pt>
                      <c:pt idx="7">
                        <c:v>0</c:v>
                      </c:pt>
                      <c:pt idx="8">
                        <c:v>0</c:v>
                      </c:pt>
                      <c:pt idx="9">
                        <c:v>0</c:v>
                      </c:pt>
                      <c:pt idx="10">
                        <c:v>0</c:v>
                      </c:pt>
                      <c:pt idx="11">
                        <c:v>2.1200579605411125E-4</c:v>
                      </c:pt>
                    </c:numCache>
                  </c:numRef>
                </c:val>
                <c:smooth val="0"/>
                <c:extLst xmlns:c15="http://schemas.microsoft.com/office/drawing/2012/chart">
                  <c:ext xmlns:c16="http://schemas.microsoft.com/office/drawing/2014/chart" uri="{C3380CC4-5D6E-409C-BE32-E72D297353CC}">
                    <c16:uniqueId val="{00000002-CDBF-404D-AF15-3D48FEBD26E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'Rej Trend'!$D$94</c15:sqref>
                        </c15:formulaRef>
                      </c:ext>
                    </c:extLst>
                    <c:strCache>
                      <c:ptCount val="1"/>
                      <c:pt idx="0">
                        <c:v>INSPECTION</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Trend'!$D$96:$D$107</c15:sqref>
                        </c15:formulaRef>
                      </c:ext>
                    </c:extLst>
                    <c:numCache>
                      <c:formatCode>0.00%</c:formatCode>
                      <c:ptCount val="12"/>
                      <c:pt idx="0">
                        <c:v>2.9399999999999999E-2</c:v>
                      </c:pt>
                      <c:pt idx="1">
                        <c:v>1.5248064330354286E-2</c:v>
                      </c:pt>
                      <c:pt idx="2">
                        <c:v>2.3133383180992784E-2</c:v>
                      </c:pt>
                      <c:pt idx="3">
                        <c:v>1.2699999999999999E-2</c:v>
                      </c:pt>
                      <c:pt idx="4">
                        <c:v>1.0863997672903875E-2</c:v>
                      </c:pt>
                      <c:pt idx="5">
                        <c:v>1.7835575057270805E-2</c:v>
                      </c:pt>
                      <c:pt idx="6">
                        <c:v>1.6913880160184396E-2</c:v>
                      </c:pt>
                      <c:pt idx="7">
                        <c:v>1.0362475661142826E-2</c:v>
                      </c:pt>
                      <c:pt idx="8">
                        <c:v>8.281419153253252E-3</c:v>
                      </c:pt>
                      <c:pt idx="9">
                        <c:v>1.0287511867480977E-2</c:v>
                      </c:pt>
                      <c:pt idx="10">
                        <c:v>1.4085595893376214E-2</c:v>
                      </c:pt>
                      <c:pt idx="11">
                        <c:v>6.6356269815569299E-3</c:v>
                      </c:pt>
                    </c:numCache>
                  </c:numRef>
                </c:val>
                <c:smooth val="0"/>
                <c:extLst xmlns:c15="http://schemas.microsoft.com/office/drawing/2012/chart">
                  <c:ext xmlns:c16="http://schemas.microsoft.com/office/drawing/2014/chart" uri="{C3380CC4-5D6E-409C-BE32-E72D297353CC}">
                    <c16:uniqueId val="{00000000-CDBF-404D-AF15-3D48FEBD26EB}"/>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'Rej Trend'!$F$94</c15:sqref>
                        </c15:formulaRef>
                      </c:ext>
                    </c:extLst>
                    <c:strCache>
                      <c:ptCount val="1"/>
                      <c:pt idx="0">
                        <c:v>COMMULATIVE</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Trend'!$F$96:$F$107</c15:sqref>
                        </c15:formulaRef>
                      </c:ext>
                    </c:extLst>
                    <c:numCache>
                      <c:formatCode>0.00%</c:formatCode>
                      <c:ptCount val="12"/>
                      <c:pt idx="0">
                        <c:v>6.1699999999999998E-2</c:v>
                      </c:pt>
                      <c:pt idx="1">
                        <c:v>3.4461553205763024E-2</c:v>
                      </c:pt>
                      <c:pt idx="2">
                        <c:v>6.1903571930591782E-2</c:v>
                      </c:pt>
                      <c:pt idx="3">
                        <c:v>5.1299999999999998E-2</c:v>
                      </c:pt>
                      <c:pt idx="4">
                        <c:v>2.7644854936074596E-2</c:v>
                      </c:pt>
                      <c:pt idx="5">
                        <c:v>4.326092021134316E-2</c:v>
                      </c:pt>
                      <c:pt idx="6">
                        <c:v>3.8397426255023008E-2</c:v>
                      </c:pt>
                      <c:pt idx="7">
                        <c:v>2.9818575877200815E-2</c:v>
                      </c:pt>
                      <c:pt idx="8">
                        <c:v>2.3809806376577678E-2</c:v>
                      </c:pt>
                      <c:pt idx="9">
                        <c:v>3.4727407217049769E-2</c:v>
                      </c:pt>
                      <c:pt idx="10">
                        <c:v>3.3954586024840021E-2</c:v>
                      </c:pt>
                      <c:pt idx="11">
                        <c:v>1.9848288658692866E-2</c:v>
                      </c:pt>
                    </c:numCache>
                  </c:numRef>
                </c:val>
                <c:smooth val="0"/>
                <c:extLst xmlns:c15="http://schemas.microsoft.com/office/drawing/2012/chart">
                  <c:ext xmlns:c16="http://schemas.microsoft.com/office/drawing/2014/chart" uri="{C3380CC4-5D6E-409C-BE32-E72D297353CC}">
                    <c16:uniqueId val="{00000004-CDBF-404D-AF15-3D48FEBD26EB}"/>
                  </c:ext>
                </c:extLst>
              </c15:ser>
            </c15:filteredLineSeries>
          </c:ext>
        </c:extLst>
      </c:lineChart>
      <c:dateAx>
        <c:axId val="-102335124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66480"/>
        <c:crosses val="autoZero"/>
        <c:auto val="1"/>
        <c:lblOffset val="100"/>
        <c:baseTimeUnit val="days"/>
      </c:dateAx>
      <c:valAx>
        <c:axId val="-10233664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5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2"/>
          <c:tx>
            <c:strRef>
              <c:f>'Rej Trend'!$D$94</c:f>
              <c:strCache>
                <c:ptCount val="1"/>
                <c:pt idx="0">
                  <c:v>INSPECTION</c:v>
                </c:pt>
              </c:strCache>
            </c:strRef>
          </c:tx>
          <c:spPr>
            <a:ln w="28575" cap="rnd">
              <a:solidFill>
                <a:schemeClr val="accent3"/>
              </a:solidFill>
              <a:round/>
            </a:ln>
            <a:effectLst/>
          </c:spPr>
          <c:marker>
            <c:symbol val="none"/>
          </c:marker>
          <c:cat>
            <c:numRef>
              <c:f>'Rej Trend'!$A$96:$A$107</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Trend'!$D$96:$D$107</c:f>
              <c:numCache>
                <c:formatCode>0.00%</c:formatCode>
                <c:ptCount val="12"/>
                <c:pt idx="0">
                  <c:v>2.9399999999999999E-2</c:v>
                </c:pt>
                <c:pt idx="1">
                  <c:v>1.5248064330354286E-2</c:v>
                </c:pt>
                <c:pt idx="2">
                  <c:v>2.3133383180992784E-2</c:v>
                </c:pt>
                <c:pt idx="3">
                  <c:v>1.2699999999999999E-2</c:v>
                </c:pt>
                <c:pt idx="4">
                  <c:v>1.0863997672903875E-2</c:v>
                </c:pt>
                <c:pt idx="5">
                  <c:v>1.7835575057270805E-2</c:v>
                </c:pt>
                <c:pt idx="6">
                  <c:v>1.6913880160184396E-2</c:v>
                </c:pt>
                <c:pt idx="7">
                  <c:v>1.0362475661142826E-2</c:v>
                </c:pt>
                <c:pt idx="8">
                  <c:v>8.281419153253252E-3</c:v>
                </c:pt>
                <c:pt idx="9">
                  <c:v>1.0287511867480977E-2</c:v>
                </c:pt>
                <c:pt idx="10">
                  <c:v>1.4085595893376214E-2</c:v>
                </c:pt>
                <c:pt idx="11">
                  <c:v>6.6356269815569299E-3</c:v>
                </c:pt>
              </c:numCache>
            </c:numRef>
          </c:val>
          <c:smooth val="0"/>
          <c:extLst xmlns:c15="http://schemas.microsoft.com/office/drawing/2012/chart">
            <c:ext xmlns:c16="http://schemas.microsoft.com/office/drawing/2014/chart" uri="{C3380CC4-5D6E-409C-BE32-E72D297353CC}">
              <c16:uniqueId val="{00000003-4B88-4911-9969-24930522D525}"/>
            </c:ext>
          </c:extLst>
        </c:ser>
        <c:dLbls>
          <c:showLegendKey val="0"/>
          <c:showVal val="0"/>
          <c:showCatName val="0"/>
          <c:showSerName val="0"/>
          <c:showPercent val="0"/>
          <c:showBubbleSize val="0"/>
        </c:dLbls>
        <c:smooth val="0"/>
        <c:axId val="-1023361584"/>
        <c:axId val="-1023363760"/>
        <c:extLst>
          <c:ext xmlns:c15="http://schemas.microsoft.com/office/drawing/2012/chart" uri="{02D57815-91ED-43cb-92C2-25804820EDAC}">
            <c15:filteredLineSeries>
              <c15:ser>
                <c:idx val="0"/>
                <c:order val="0"/>
                <c:tx>
                  <c:strRef>
                    <c:extLst>
                      <c:ext uri="{02D57815-91ED-43cb-92C2-25804820EDAC}">
                        <c15:formulaRef>
                          <c15:sqref>'Rej Trend'!$B$94</c15:sqref>
                        </c15:formulaRef>
                      </c:ext>
                    </c:extLst>
                    <c:strCache>
                      <c:ptCount val="1"/>
                      <c:pt idx="0">
                        <c:v>LIM</c:v>
                      </c:pt>
                    </c:strCache>
                  </c:strRef>
                </c:tx>
                <c:spPr>
                  <a:ln w="28575" cap="rnd">
                    <a:solidFill>
                      <a:schemeClr val="accent1"/>
                    </a:solidFill>
                    <a:round/>
                  </a:ln>
                  <a:effectLst/>
                </c:spPr>
                <c:marker>
                  <c:symbol val="none"/>
                </c:marker>
                <c:cat>
                  <c:numRef>
                    <c:extLst>
                      <c:ex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c:ext uri="{02D57815-91ED-43cb-92C2-25804820EDAC}">
                        <c15:formulaRef>
                          <c15:sqref>'Rej Trend'!$B$96:$B$107</c15:sqref>
                        </c15:formulaRef>
                      </c:ext>
                    </c:extLst>
                    <c:numCache>
                      <c:formatCode>0.00%</c:formatCode>
                      <c:ptCount val="12"/>
                      <c:pt idx="0">
                        <c:v>3.1199999999999999E-2</c:v>
                      </c:pt>
                      <c:pt idx="1">
                        <c:v>1.9404219883850455E-2</c:v>
                      </c:pt>
                      <c:pt idx="2">
                        <c:v>4.2535554782128157E-2</c:v>
                      </c:pt>
                      <c:pt idx="3">
                        <c:v>3.6999999999999998E-2</c:v>
                      </c:pt>
                      <c:pt idx="4">
                        <c:v>1.8806189145733267E-2</c:v>
                      </c:pt>
                      <c:pt idx="5">
                        <c:v>2.431011826544021E-2</c:v>
                      </c:pt>
                      <c:pt idx="6">
                        <c:v>1.986902091097114E-2</c:v>
                      </c:pt>
                      <c:pt idx="7">
                        <c:v>1.9526761100095862E-2</c:v>
                      </c:pt>
                      <c:pt idx="8">
                        <c:v>1.6341442268309383E-2</c:v>
                      </c:pt>
                      <c:pt idx="9">
                        <c:v>2.4862828194945341E-2</c:v>
                      </c:pt>
                      <c:pt idx="10">
                        <c:v>2.0447450971368967E-2</c:v>
                      </c:pt>
                      <c:pt idx="11">
                        <c:v>1.3419078385305426E-2</c:v>
                      </c:pt>
                    </c:numCache>
                  </c:numRef>
                </c:val>
                <c:smooth val="0"/>
                <c:extLst>
                  <c:ext xmlns:c16="http://schemas.microsoft.com/office/drawing/2014/chart" uri="{C3380CC4-5D6E-409C-BE32-E72D297353CC}">
                    <c16:uniqueId val="{00000001-4B88-4911-9969-24930522D52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'Rej Trend'!$C$94</c15:sqref>
                        </c15:formulaRef>
                      </c:ext>
                    </c:extLst>
                    <c:strCache>
                      <c:ptCount val="1"/>
                      <c:pt idx="0">
                        <c:v>PUNCHING</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Trend'!$C$96:$C$107</c15:sqref>
                        </c15:formulaRef>
                      </c:ext>
                    </c:extLst>
                    <c:numCache>
                      <c:formatCode>0.00%</c:formatCode>
                      <c:ptCount val="12"/>
                      <c:pt idx="0">
                        <c:v>5.7000000000000002E-3</c:v>
                      </c:pt>
                      <c:pt idx="1">
                        <c:v>7.3155664416001045E-5</c:v>
                      </c:pt>
                      <c:pt idx="2">
                        <c:v>5.0351370918136839E-4</c:v>
                      </c:pt>
                      <c:pt idx="3">
                        <c:v>0</c:v>
                      </c:pt>
                      <c:pt idx="4">
                        <c:v>1.933108983783666E-4</c:v>
                      </c:pt>
                      <c:pt idx="5">
                        <c:v>0</c:v>
                      </c:pt>
                      <c:pt idx="6">
                        <c:v>0</c:v>
                      </c:pt>
                      <c:pt idx="7">
                        <c:v>0</c:v>
                      </c:pt>
                      <c:pt idx="8">
                        <c:v>0</c:v>
                      </c:pt>
                      <c:pt idx="9">
                        <c:v>0</c:v>
                      </c:pt>
                      <c:pt idx="10">
                        <c:v>0</c:v>
                      </c:pt>
                      <c:pt idx="11">
                        <c:v>2.1200579605411125E-4</c:v>
                      </c:pt>
                    </c:numCache>
                  </c:numRef>
                </c:val>
                <c:smooth val="0"/>
                <c:extLst xmlns:c15="http://schemas.microsoft.com/office/drawing/2012/chart">
                  <c:ext xmlns:c16="http://schemas.microsoft.com/office/drawing/2014/chart" uri="{C3380CC4-5D6E-409C-BE32-E72D297353CC}">
                    <c16:uniqueId val="{00000002-4B88-4911-9969-24930522D52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'Rej Trend'!$E$94</c15:sqref>
                        </c15:formulaRef>
                      </c:ext>
                    </c:extLst>
                    <c:strCache>
                      <c:ptCount val="1"/>
                      <c:pt idx="0">
                        <c:v>WRAPING</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Trend'!$E$96:$E$107</c15:sqref>
                        </c15:formulaRef>
                      </c:ext>
                    </c:extLst>
                    <c:numCache>
                      <c:formatCode>0.00%</c:formatCode>
                      <c:ptCount val="12"/>
                      <c:pt idx="0">
                        <c:v>2.0000000000000001E-4</c:v>
                      </c:pt>
                      <c:pt idx="1">
                        <c:v>1.1966276856132716E-4</c:v>
                      </c:pt>
                      <c:pt idx="2">
                        <c:v>4.1915540186524154E-5</c:v>
                      </c:pt>
                      <c:pt idx="3">
                        <c:v>1E-4</c:v>
                      </c:pt>
                      <c:pt idx="4">
                        <c:v>3.9682539682539683E-4</c:v>
                      </c:pt>
                      <c:pt idx="5">
                        <c:v>1.9624479806987469E-4</c:v>
                      </c:pt>
                      <c:pt idx="6">
                        <c:v>1.8757928927194554E-4</c:v>
                      </c:pt>
                      <c:pt idx="7">
                        <c:v>9.7617114849104494E-5</c:v>
                      </c:pt>
                      <c:pt idx="8">
                        <c:v>2.353245714151243E-5</c:v>
                      </c:pt>
                      <c:pt idx="9">
                        <c:v>4.9856247818789156E-5</c:v>
                      </c:pt>
                      <c:pt idx="10">
                        <c:v>-1.1388483965014577E-5</c:v>
                      </c:pt>
                      <c:pt idx="11">
                        <c:v>6.14704476166231E-4</c:v>
                      </c:pt>
                    </c:numCache>
                  </c:numRef>
                </c:val>
                <c:smooth val="0"/>
                <c:extLst xmlns:c15="http://schemas.microsoft.com/office/drawing/2012/chart">
                  <c:ext xmlns:c16="http://schemas.microsoft.com/office/drawing/2014/chart" uri="{C3380CC4-5D6E-409C-BE32-E72D297353CC}">
                    <c16:uniqueId val="{00000000-4B88-4911-9969-24930522D525}"/>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'Rej Trend'!$F$94</c15:sqref>
                        </c15:formulaRef>
                      </c:ext>
                    </c:extLst>
                    <c:strCache>
                      <c:ptCount val="1"/>
                      <c:pt idx="0">
                        <c:v>COMMULATIVE</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Trend'!$F$96:$F$107</c15:sqref>
                        </c15:formulaRef>
                      </c:ext>
                    </c:extLst>
                    <c:numCache>
                      <c:formatCode>0.00%</c:formatCode>
                      <c:ptCount val="12"/>
                      <c:pt idx="0">
                        <c:v>6.1699999999999998E-2</c:v>
                      </c:pt>
                      <c:pt idx="1">
                        <c:v>3.4461553205763024E-2</c:v>
                      </c:pt>
                      <c:pt idx="2">
                        <c:v>6.1903571930591782E-2</c:v>
                      </c:pt>
                      <c:pt idx="3">
                        <c:v>5.1299999999999998E-2</c:v>
                      </c:pt>
                      <c:pt idx="4">
                        <c:v>2.7644854936074596E-2</c:v>
                      </c:pt>
                      <c:pt idx="5">
                        <c:v>4.326092021134316E-2</c:v>
                      </c:pt>
                      <c:pt idx="6">
                        <c:v>3.8397426255023008E-2</c:v>
                      </c:pt>
                      <c:pt idx="7">
                        <c:v>2.9818575877200815E-2</c:v>
                      </c:pt>
                      <c:pt idx="8">
                        <c:v>2.3809806376577678E-2</c:v>
                      </c:pt>
                      <c:pt idx="9">
                        <c:v>3.4727407217049769E-2</c:v>
                      </c:pt>
                      <c:pt idx="10">
                        <c:v>3.3954586024840021E-2</c:v>
                      </c:pt>
                      <c:pt idx="11">
                        <c:v>1.9848288658692866E-2</c:v>
                      </c:pt>
                    </c:numCache>
                  </c:numRef>
                </c:val>
                <c:smooth val="0"/>
                <c:extLst xmlns:c15="http://schemas.microsoft.com/office/drawing/2012/chart">
                  <c:ext xmlns:c16="http://schemas.microsoft.com/office/drawing/2014/chart" uri="{C3380CC4-5D6E-409C-BE32-E72D297353CC}">
                    <c16:uniqueId val="{00000004-4B88-4911-9969-24930522D525}"/>
                  </c:ext>
                </c:extLst>
              </c15:ser>
            </c15:filteredLineSeries>
          </c:ext>
        </c:extLst>
      </c:lineChart>
      <c:dateAx>
        <c:axId val="-102336158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63760"/>
        <c:crosses val="autoZero"/>
        <c:auto val="1"/>
        <c:lblOffset val="100"/>
        <c:baseTimeUnit val="days"/>
      </c:dateAx>
      <c:valAx>
        <c:axId val="-1023363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6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Commulative Rejection Blow &amp; Printing</a:t>
            </a:r>
          </a:p>
        </c:rich>
      </c:tx>
      <c:overlay val="0"/>
      <c:spPr>
        <a:noFill/>
        <a:ln>
          <a:noFill/>
        </a:ln>
        <a:effectLst/>
      </c:spPr>
    </c:title>
    <c:autoTitleDeleted val="0"/>
    <c:plotArea>
      <c:layout/>
      <c:lineChart>
        <c:grouping val="standard"/>
        <c:varyColors val="0"/>
        <c:ser>
          <c:idx val="4"/>
          <c:order val="4"/>
          <c:tx>
            <c:strRef>
              <c:f>'Rej Trend'!$F$67</c:f>
              <c:strCache>
                <c:ptCount val="1"/>
                <c:pt idx="0">
                  <c:v>P750J</c:v>
                </c:pt>
              </c:strCache>
            </c:strRef>
          </c:tx>
          <c:spPr>
            <a:ln w="28575" cap="rnd">
              <a:solidFill>
                <a:schemeClr val="accent5"/>
              </a:solidFill>
              <a:round/>
            </a:ln>
            <a:effectLst/>
          </c:spPr>
          <c:marker>
            <c:symbol val="none"/>
          </c:marker>
          <c:cat>
            <c:numRef>
              <c:f>'Rej Trend'!$A$69:$A$80</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Trend'!$F$69:$F$80</c:f>
              <c:numCache>
                <c:formatCode>0.00%</c:formatCode>
                <c:ptCount val="12"/>
                <c:pt idx="0">
                  <c:v>3.9399999999999998E-2</c:v>
                </c:pt>
                <c:pt idx="1">
                  <c:v>3.6732882033070693E-2</c:v>
                </c:pt>
                <c:pt idx="2">
                  <c:v>2.2517999444527526E-2</c:v>
                </c:pt>
                <c:pt idx="3">
                  <c:v>2.8899999999999999E-2</c:v>
                </c:pt>
                <c:pt idx="4">
                  <c:v>3.433169344367995E-2</c:v>
                </c:pt>
                <c:pt idx="5">
                  <c:v>3.6024070259134774E-2</c:v>
                </c:pt>
                <c:pt idx="6">
                  <c:v>3.4727407217049769E-2</c:v>
                </c:pt>
                <c:pt idx="7">
                  <c:v>0</c:v>
                </c:pt>
                <c:pt idx="8">
                  <c:v>2.1922947142772077E-2</c:v>
                </c:pt>
                <c:pt idx="9">
                  <c:v>3.433169344367995E-2</c:v>
                </c:pt>
                <c:pt idx="10">
                  <c:v>4.1743270385445119E-2</c:v>
                </c:pt>
                <c:pt idx="11">
                  <c:v>2.590854302886203E-2</c:v>
                </c:pt>
              </c:numCache>
            </c:numRef>
          </c:val>
          <c:smooth val="0"/>
          <c:extLst>
            <c:ext xmlns:c16="http://schemas.microsoft.com/office/drawing/2014/chart" uri="{C3380CC4-5D6E-409C-BE32-E72D297353CC}">
              <c16:uniqueId val="{00000000-0D1A-4C2D-9537-C0ECFF85EF02}"/>
            </c:ext>
          </c:extLst>
        </c:ser>
        <c:ser>
          <c:idx val="5"/>
          <c:order val="5"/>
          <c:tx>
            <c:strRef>
              <c:f>'Rej Trend'!$G$67</c:f>
              <c:strCache>
                <c:ptCount val="1"/>
                <c:pt idx="0">
                  <c:v>WMG3B</c:v>
                </c:pt>
              </c:strCache>
            </c:strRef>
          </c:tx>
          <c:spPr>
            <a:ln w="28575" cap="rnd">
              <a:solidFill>
                <a:schemeClr val="accent6"/>
              </a:solidFill>
              <a:round/>
            </a:ln>
            <a:effectLst/>
          </c:spPr>
          <c:marker>
            <c:symbol val="none"/>
          </c:marker>
          <c:cat>
            <c:numRef>
              <c:f>'Rej Trend'!$A$69:$A$80</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Trend'!$G$69:$G$80</c:f>
              <c:numCache>
                <c:formatCode>0.00%</c:formatCode>
                <c:ptCount val="12"/>
                <c:pt idx="0">
                  <c:v>6.1400000000000003E-2</c:v>
                </c:pt>
                <c:pt idx="1">
                  <c:v>7.3039873186196799E-2</c:v>
                </c:pt>
                <c:pt idx="2">
                  <c:v>4.8396334478808707E-2</c:v>
                </c:pt>
                <c:pt idx="3">
                  <c:v>3.3799999999999997E-2</c:v>
                </c:pt>
                <c:pt idx="4">
                  <c:v>3.6024070259134774E-2</c:v>
                </c:pt>
                <c:pt idx="5">
                  <c:v>3.4727407217049769E-2</c:v>
                </c:pt>
                <c:pt idx="6">
                  <c:v>0</c:v>
                </c:pt>
                <c:pt idx="7">
                  <c:v>0</c:v>
                </c:pt>
                <c:pt idx="8">
                  <c:v>3.6243822075782535E-2</c:v>
                </c:pt>
                <c:pt idx="9">
                  <c:v>3.6024070259134774E-2</c:v>
                </c:pt>
                <c:pt idx="10">
                  <c:v>5.3454576357610264E-2</c:v>
                </c:pt>
                <c:pt idx="11">
                  <c:v>4.2710517602913584E-2</c:v>
                </c:pt>
              </c:numCache>
            </c:numRef>
          </c:val>
          <c:smooth val="0"/>
          <c:extLst>
            <c:ext xmlns:c16="http://schemas.microsoft.com/office/drawing/2014/chart" uri="{C3380CC4-5D6E-409C-BE32-E72D297353CC}">
              <c16:uniqueId val="{00000001-0D1A-4C2D-9537-C0ECFF85EF02}"/>
            </c:ext>
          </c:extLst>
        </c:ser>
        <c:dLbls>
          <c:showLegendKey val="0"/>
          <c:showVal val="0"/>
          <c:showCatName val="0"/>
          <c:showSerName val="0"/>
          <c:showPercent val="0"/>
          <c:showBubbleSize val="0"/>
        </c:dLbls>
        <c:smooth val="0"/>
        <c:axId val="-1019540448"/>
        <c:axId val="-1019550784"/>
        <c:extLst>
          <c:ext xmlns:c15="http://schemas.microsoft.com/office/drawing/2012/chart" uri="{02D57815-91ED-43cb-92C2-25804820EDAC}">
            <c15:filteredLineSeries>
              <c15:ser>
                <c:idx val="0"/>
                <c:order val="0"/>
                <c:tx>
                  <c:strRef>
                    <c:extLst>
                      <c:ext uri="{02D57815-91ED-43cb-92C2-25804820EDAC}">
                        <c15:formulaRef>
                          <c15:sqref>'Rej Trend'!$B$67</c15:sqref>
                        </c15:formulaRef>
                      </c:ext>
                    </c:extLst>
                    <c:strCache>
                      <c:ptCount val="1"/>
                      <c:pt idx="0">
                        <c:v>P750J</c:v>
                      </c:pt>
                    </c:strCache>
                  </c:strRef>
                </c:tx>
                <c:spPr>
                  <a:ln w="28575" cap="rnd">
                    <a:solidFill>
                      <a:schemeClr val="accent1"/>
                    </a:solidFill>
                    <a:round/>
                  </a:ln>
                  <a:effectLst/>
                </c:spPr>
                <c:marker>
                  <c:symbol val="none"/>
                </c:marker>
                <c:cat>
                  <c:numRef>
                    <c:extLst>
                      <c:ext uri="{02D57815-91ED-43cb-92C2-25804820EDAC}">
                        <c15:formulaRef>
                          <c15:sqref>'Rej Trend'!$A$69:$A$80</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c:ext uri="{02D57815-91ED-43cb-92C2-25804820EDAC}">
                        <c15:formulaRef>
                          <c15:sqref>'Rej Trend'!$B$69:$B$80</c15:sqref>
                        </c15:formulaRef>
                      </c:ext>
                    </c:extLst>
                    <c:numCache>
                      <c:formatCode>0.00%</c:formatCode>
                      <c:ptCount val="12"/>
                      <c:pt idx="0">
                        <c:v>3.39E-2</c:v>
                      </c:pt>
                      <c:pt idx="1">
                        <c:v>3.3615116066387271E-2</c:v>
                      </c:pt>
                      <c:pt idx="2">
                        <c:v>1.9438491213030432E-2</c:v>
                      </c:pt>
                      <c:pt idx="3">
                        <c:v>1.9599999999999999E-2</c:v>
                      </c:pt>
                      <c:pt idx="4">
                        <c:v>1.7593674184562855E-2</c:v>
                      </c:pt>
                      <c:pt idx="5">
                        <c:v>2.5484339462362646E-2</c:v>
                      </c:pt>
                      <c:pt idx="6">
                        <c:v>1.533520419114549E-2</c:v>
                      </c:pt>
                      <c:pt idx="7">
                        <c:v>1.5957446808510637E-2</c:v>
                      </c:pt>
                      <c:pt idx="8">
                        <c:v>1.2524673607005802E-2</c:v>
                      </c:pt>
                      <c:pt idx="9">
                        <c:v>1.7593674184562855E-2</c:v>
                      </c:pt>
                      <c:pt idx="10">
                        <c:v>2.5926045953916455E-2</c:v>
                      </c:pt>
                      <c:pt idx="11">
                        <c:v>1.8598094577636878E-2</c:v>
                      </c:pt>
                    </c:numCache>
                  </c:numRef>
                </c:val>
                <c:smooth val="0"/>
                <c:extLst>
                  <c:ext xmlns:c16="http://schemas.microsoft.com/office/drawing/2014/chart" uri="{C3380CC4-5D6E-409C-BE32-E72D297353CC}">
                    <c16:uniqueId val="{00000002-0D1A-4C2D-9537-C0ECFF85EF0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'Rej Trend'!$C$67</c15:sqref>
                        </c15:formulaRef>
                      </c:ext>
                    </c:extLst>
                    <c:strCache>
                      <c:ptCount val="1"/>
                      <c:pt idx="0">
                        <c:v>WMG3B</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'Rej Trend'!$A$69:$A$80</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Trend'!$C$69:$C$80</c15:sqref>
                        </c15:formulaRef>
                      </c:ext>
                    </c:extLst>
                    <c:numCache>
                      <c:formatCode>0.00%</c:formatCode>
                      <c:ptCount val="12"/>
                      <c:pt idx="0">
                        <c:v>5.5300000000000002E-2</c:v>
                      </c:pt>
                      <c:pt idx="1">
                        <c:v>5.8459251919742383E-2</c:v>
                      </c:pt>
                      <c:pt idx="2">
                        <c:v>4.107348980377068E-2</c:v>
                      </c:pt>
                      <c:pt idx="3">
                        <c:v>2.7300000000000001E-2</c:v>
                      </c:pt>
                      <c:pt idx="4">
                        <c:v>2.5484339462362646E-2</c:v>
                      </c:pt>
                      <c:pt idx="5">
                        <c:v>1.533520419114549E-2</c:v>
                      </c:pt>
                      <c:pt idx="6">
                        <c:v>1.5957446808510637E-2</c:v>
                      </c:pt>
                      <c:pt idx="7">
                        <c:v>2.4862828194945341E-2</c:v>
                      </c:pt>
                      <c:pt idx="8">
                        <c:v>1.6310744913401714E-2</c:v>
                      </c:pt>
                      <c:pt idx="9">
                        <c:v>2.5484339462362646E-2</c:v>
                      </c:pt>
                      <c:pt idx="10">
                        <c:v>2.6015478116391936E-2</c:v>
                      </c:pt>
                      <c:pt idx="11">
                        <c:v>2.7320997191872372E-2</c:v>
                      </c:pt>
                    </c:numCache>
                  </c:numRef>
                </c:val>
                <c:smooth val="0"/>
                <c:extLst xmlns:c15="http://schemas.microsoft.com/office/drawing/2012/chart">
                  <c:ext xmlns:c16="http://schemas.microsoft.com/office/drawing/2014/chart" uri="{C3380CC4-5D6E-409C-BE32-E72D297353CC}">
                    <c16:uniqueId val="{00000003-0D1A-4C2D-9537-C0ECFF85EF0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'Rej Trend'!$D$67</c15:sqref>
                        </c15:formulaRef>
                      </c:ext>
                    </c:extLst>
                    <c:strCache>
                      <c:ptCount val="1"/>
                      <c:pt idx="0">
                        <c:v>P750J</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'Rej Trend'!$A$69:$A$80</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Trend'!$D$69:$D$80</c15:sqref>
                        </c15:formulaRef>
                      </c:ext>
                    </c:extLst>
                    <c:numCache>
                      <c:formatCode>0.00%</c:formatCode>
                      <c:ptCount val="12"/>
                      <c:pt idx="0">
                        <c:v>5.7000000000000002E-3</c:v>
                      </c:pt>
                      <c:pt idx="1">
                        <c:v>3.7911601695309952E-3</c:v>
                      </c:pt>
                      <c:pt idx="2">
                        <c:v>3.0909626140712392E-3</c:v>
                      </c:pt>
                      <c:pt idx="3">
                        <c:v>7.9000000000000008E-3</c:v>
                      </c:pt>
                      <c:pt idx="4">
                        <c:v>1.533520419114549E-2</c:v>
                      </c:pt>
                      <c:pt idx="5">
                        <c:v>1.5957446808510637E-2</c:v>
                      </c:pt>
                      <c:pt idx="6">
                        <c:v>2.4862828194945341E-2</c:v>
                      </c:pt>
                      <c:pt idx="7">
                        <c:v>0</c:v>
                      </c:pt>
                      <c:pt idx="8">
                        <c:v>9.9094816896751255E-3</c:v>
                      </c:pt>
                      <c:pt idx="9">
                        <c:v>1.533520419114549E-2</c:v>
                      </c:pt>
                      <c:pt idx="10">
                        <c:v>1.5041590786041246E-2</c:v>
                      </c:pt>
                      <c:pt idx="11">
                        <c:v>8.260781345840339E-3</c:v>
                      </c:pt>
                    </c:numCache>
                  </c:numRef>
                </c:val>
                <c:smooth val="0"/>
                <c:extLst xmlns:c15="http://schemas.microsoft.com/office/drawing/2012/chart">
                  <c:ext xmlns:c16="http://schemas.microsoft.com/office/drawing/2014/chart" uri="{C3380CC4-5D6E-409C-BE32-E72D297353CC}">
                    <c16:uniqueId val="{00000004-0D1A-4C2D-9537-C0ECFF85EF0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'Rej Trend'!$E$67</c15:sqref>
                        </c15:formulaRef>
                      </c:ext>
                    </c:extLst>
                    <c:strCache>
                      <c:ptCount val="1"/>
                      <c:pt idx="0">
                        <c:v>WMG3B</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'Rej Trend'!$A$69:$A$80</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Trend'!$E$69:$E$80</c15:sqref>
                        </c15:formulaRef>
                      </c:ext>
                    </c:extLst>
                    <c:numCache>
                      <c:formatCode>0.00%</c:formatCode>
                      <c:ptCount val="12"/>
                      <c:pt idx="0">
                        <c:v>7.1999999999999998E-3</c:v>
                      </c:pt>
                      <c:pt idx="1">
                        <c:v>8.2014853083629321E-3</c:v>
                      </c:pt>
                      <c:pt idx="2">
                        <c:v>1.2921983524471006E-2</c:v>
                      </c:pt>
                      <c:pt idx="3">
                        <c:v>9.6000000000000002E-4</c:v>
                      </c:pt>
                      <c:pt idx="4">
                        <c:v>1.5957446808510637E-2</c:v>
                      </c:pt>
                      <c:pt idx="5">
                        <c:v>2.4862828194945341E-2</c:v>
                      </c:pt>
                      <c:pt idx="6">
                        <c:v>0</c:v>
                      </c:pt>
                      <c:pt idx="7">
                        <c:v>0</c:v>
                      </c:pt>
                      <c:pt idx="8">
                        <c:v>1.1539544047283985E-2</c:v>
                      </c:pt>
                      <c:pt idx="9">
                        <c:v>1.5957446808510637E-2</c:v>
                      </c:pt>
                      <c:pt idx="10">
                        <c:v>1.5643064436212599E-2</c:v>
                      </c:pt>
                      <c:pt idx="11">
                        <c:v>1.5611394452046274E-2</c:v>
                      </c:pt>
                    </c:numCache>
                  </c:numRef>
                </c:val>
                <c:smooth val="0"/>
                <c:extLst xmlns:c15="http://schemas.microsoft.com/office/drawing/2012/chart">
                  <c:ext xmlns:c16="http://schemas.microsoft.com/office/drawing/2014/chart" uri="{C3380CC4-5D6E-409C-BE32-E72D297353CC}">
                    <c16:uniqueId val="{00000005-0D1A-4C2D-9537-C0ECFF85EF02}"/>
                  </c:ext>
                </c:extLst>
              </c15:ser>
            </c15:filteredLineSeries>
          </c:ext>
        </c:extLst>
      </c:lineChart>
      <c:dateAx>
        <c:axId val="-101954044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550784"/>
        <c:crosses val="autoZero"/>
        <c:auto val="1"/>
        <c:lblOffset val="100"/>
        <c:baseTimeUnit val="days"/>
      </c:dateAx>
      <c:valAx>
        <c:axId val="-1019550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540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Commulative Nipple all Process</a:t>
            </a:r>
          </a:p>
        </c:rich>
      </c:tx>
      <c:overlay val="0"/>
      <c:spPr>
        <a:noFill/>
        <a:ln>
          <a:noFill/>
        </a:ln>
        <a:effectLst/>
      </c:spPr>
    </c:title>
    <c:autoTitleDeleted val="0"/>
    <c:plotArea>
      <c:layout/>
      <c:lineChart>
        <c:grouping val="standard"/>
        <c:varyColors val="0"/>
        <c:ser>
          <c:idx val="4"/>
          <c:order val="4"/>
          <c:tx>
            <c:strRef>
              <c:f>'Rej Trend'!$F$94</c:f>
              <c:strCache>
                <c:ptCount val="1"/>
                <c:pt idx="0">
                  <c:v>COMMULATIVE</c:v>
                </c:pt>
              </c:strCache>
            </c:strRef>
          </c:tx>
          <c:spPr>
            <a:ln w="28575" cap="rnd">
              <a:solidFill>
                <a:schemeClr val="accent5"/>
              </a:solidFill>
              <a:round/>
            </a:ln>
            <a:effectLst/>
          </c:spPr>
          <c:marker>
            <c:symbol val="none"/>
          </c:marker>
          <c:cat>
            <c:numRef>
              <c:f>'Rej Trend'!$A$96:$A$107</c:f>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f>'Rej Trend'!$F$96:$F$107</c:f>
              <c:numCache>
                <c:formatCode>0.00%</c:formatCode>
                <c:ptCount val="12"/>
                <c:pt idx="0">
                  <c:v>6.1699999999999998E-2</c:v>
                </c:pt>
                <c:pt idx="1">
                  <c:v>3.4461553205763024E-2</c:v>
                </c:pt>
                <c:pt idx="2">
                  <c:v>6.1903571930591782E-2</c:v>
                </c:pt>
                <c:pt idx="3">
                  <c:v>5.1299999999999998E-2</c:v>
                </c:pt>
                <c:pt idx="4">
                  <c:v>2.7644854936074596E-2</c:v>
                </c:pt>
                <c:pt idx="5">
                  <c:v>4.326092021134316E-2</c:v>
                </c:pt>
                <c:pt idx="6">
                  <c:v>3.8397426255023008E-2</c:v>
                </c:pt>
                <c:pt idx="7">
                  <c:v>2.9818575877200815E-2</c:v>
                </c:pt>
                <c:pt idx="8">
                  <c:v>2.3809806376577678E-2</c:v>
                </c:pt>
                <c:pt idx="9">
                  <c:v>3.4727407217049769E-2</c:v>
                </c:pt>
                <c:pt idx="10">
                  <c:v>3.3954586024840021E-2</c:v>
                </c:pt>
                <c:pt idx="11">
                  <c:v>1.9848288658692866E-2</c:v>
                </c:pt>
              </c:numCache>
            </c:numRef>
          </c:val>
          <c:smooth val="0"/>
          <c:extLst>
            <c:ext xmlns:c16="http://schemas.microsoft.com/office/drawing/2014/chart" uri="{C3380CC4-5D6E-409C-BE32-E72D297353CC}">
              <c16:uniqueId val="{00000000-D075-4FF2-ABA1-ACA34123D9C7}"/>
            </c:ext>
          </c:extLst>
        </c:ser>
        <c:dLbls>
          <c:showLegendKey val="0"/>
          <c:showVal val="0"/>
          <c:showCatName val="0"/>
          <c:showSerName val="0"/>
          <c:showPercent val="0"/>
          <c:showBubbleSize val="0"/>
        </c:dLbls>
        <c:smooth val="0"/>
        <c:axId val="-1019544256"/>
        <c:axId val="-1019550240"/>
        <c:extLst>
          <c:ext xmlns:c15="http://schemas.microsoft.com/office/drawing/2012/chart" uri="{02D57815-91ED-43cb-92C2-25804820EDAC}">
            <c15:filteredLineSeries>
              <c15:ser>
                <c:idx val="0"/>
                <c:order val="0"/>
                <c:tx>
                  <c:strRef>
                    <c:extLst>
                      <c:ext uri="{02D57815-91ED-43cb-92C2-25804820EDAC}">
                        <c15:formulaRef>
                          <c15:sqref>'Rej Trend'!$B$94</c15:sqref>
                        </c15:formulaRef>
                      </c:ext>
                    </c:extLst>
                    <c:strCache>
                      <c:ptCount val="1"/>
                      <c:pt idx="0">
                        <c:v>LIM</c:v>
                      </c:pt>
                    </c:strCache>
                  </c:strRef>
                </c:tx>
                <c:spPr>
                  <a:ln w="28575" cap="rnd">
                    <a:solidFill>
                      <a:schemeClr val="accent1"/>
                    </a:solidFill>
                    <a:round/>
                  </a:ln>
                  <a:effectLst/>
                </c:spPr>
                <c:marker>
                  <c:symbol val="none"/>
                </c:marker>
                <c:cat>
                  <c:numRef>
                    <c:extLst>
                      <c:ex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c:ext uri="{02D57815-91ED-43cb-92C2-25804820EDAC}">
                        <c15:formulaRef>
                          <c15:sqref>'Rej Trend'!$B$96:$B$107</c15:sqref>
                        </c15:formulaRef>
                      </c:ext>
                    </c:extLst>
                    <c:numCache>
                      <c:formatCode>0.00%</c:formatCode>
                      <c:ptCount val="12"/>
                      <c:pt idx="0">
                        <c:v>3.1199999999999999E-2</c:v>
                      </c:pt>
                      <c:pt idx="1">
                        <c:v>1.9404219883850455E-2</c:v>
                      </c:pt>
                      <c:pt idx="2">
                        <c:v>4.2535554782128157E-2</c:v>
                      </c:pt>
                      <c:pt idx="3">
                        <c:v>3.6999999999999998E-2</c:v>
                      </c:pt>
                      <c:pt idx="4">
                        <c:v>1.8806189145733267E-2</c:v>
                      </c:pt>
                      <c:pt idx="5">
                        <c:v>2.431011826544021E-2</c:v>
                      </c:pt>
                      <c:pt idx="6">
                        <c:v>1.986902091097114E-2</c:v>
                      </c:pt>
                      <c:pt idx="7">
                        <c:v>1.9526761100095862E-2</c:v>
                      </c:pt>
                      <c:pt idx="8">
                        <c:v>1.6341442268309383E-2</c:v>
                      </c:pt>
                      <c:pt idx="9">
                        <c:v>2.4862828194945341E-2</c:v>
                      </c:pt>
                      <c:pt idx="10">
                        <c:v>2.0447450971368967E-2</c:v>
                      </c:pt>
                      <c:pt idx="11">
                        <c:v>1.3419078385305426E-2</c:v>
                      </c:pt>
                    </c:numCache>
                  </c:numRef>
                </c:val>
                <c:smooth val="0"/>
                <c:extLst>
                  <c:ext xmlns:c16="http://schemas.microsoft.com/office/drawing/2014/chart" uri="{C3380CC4-5D6E-409C-BE32-E72D297353CC}">
                    <c16:uniqueId val="{00000001-D075-4FF2-ABA1-ACA34123D9C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'Rej Trend'!$C$94</c15:sqref>
                        </c15:formulaRef>
                      </c:ext>
                    </c:extLst>
                    <c:strCache>
                      <c:ptCount val="1"/>
                      <c:pt idx="0">
                        <c:v>PUNCHING</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Trend'!$C$96:$C$107</c15:sqref>
                        </c15:formulaRef>
                      </c:ext>
                    </c:extLst>
                    <c:numCache>
                      <c:formatCode>0.00%</c:formatCode>
                      <c:ptCount val="12"/>
                      <c:pt idx="0">
                        <c:v>5.7000000000000002E-3</c:v>
                      </c:pt>
                      <c:pt idx="1">
                        <c:v>7.3155664416001045E-5</c:v>
                      </c:pt>
                      <c:pt idx="2">
                        <c:v>5.0351370918136839E-4</c:v>
                      </c:pt>
                      <c:pt idx="3">
                        <c:v>0</c:v>
                      </c:pt>
                      <c:pt idx="4">
                        <c:v>1.933108983783666E-4</c:v>
                      </c:pt>
                      <c:pt idx="5">
                        <c:v>0</c:v>
                      </c:pt>
                      <c:pt idx="6">
                        <c:v>0</c:v>
                      </c:pt>
                      <c:pt idx="7">
                        <c:v>0</c:v>
                      </c:pt>
                      <c:pt idx="8">
                        <c:v>0</c:v>
                      </c:pt>
                      <c:pt idx="9">
                        <c:v>0</c:v>
                      </c:pt>
                      <c:pt idx="10">
                        <c:v>0</c:v>
                      </c:pt>
                      <c:pt idx="11">
                        <c:v>2.1200579605411125E-4</c:v>
                      </c:pt>
                    </c:numCache>
                  </c:numRef>
                </c:val>
                <c:smooth val="0"/>
                <c:extLst xmlns:c15="http://schemas.microsoft.com/office/drawing/2012/chart">
                  <c:ext xmlns:c16="http://schemas.microsoft.com/office/drawing/2014/chart" uri="{C3380CC4-5D6E-409C-BE32-E72D297353CC}">
                    <c16:uniqueId val="{00000002-D075-4FF2-ABA1-ACA34123D9C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'Rej Trend'!$D$94</c15:sqref>
                        </c15:formulaRef>
                      </c:ext>
                    </c:extLst>
                    <c:strCache>
                      <c:ptCount val="1"/>
                      <c:pt idx="0">
                        <c:v>INSPECTION</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Trend'!$D$96:$D$107</c15:sqref>
                        </c15:formulaRef>
                      </c:ext>
                    </c:extLst>
                    <c:numCache>
                      <c:formatCode>0.00%</c:formatCode>
                      <c:ptCount val="12"/>
                      <c:pt idx="0">
                        <c:v>2.9399999999999999E-2</c:v>
                      </c:pt>
                      <c:pt idx="1">
                        <c:v>1.5248064330354286E-2</c:v>
                      </c:pt>
                      <c:pt idx="2">
                        <c:v>2.3133383180992784E-2</c:v>
                      </c:pt>
                      <c:pt idx="3">
                        <c:v>1.2699999999999999E-2</c:v>
                      </c:pt>
                      <c:pt idx="4">
                        <c:v>1.0863997672903875E-2</c:v>
                      </c:pt>
                      <c:pt idx="5">
                        <c:v>1.7835575057270805E-2</c:v>
                      </c:pt>
                      <c:pt idx="6">
                        <c:v>1.6913880160184396E-2</c:v>
                      </c:pt>
                      <c:pt idx="7">
                        <c:v>1.0362475661142826E-2</c:v>
                      </c:pt>
                      <c:pt idx="8">
                        <c:v>8.281419153253252E-3</c:v>
                      </c:pt>
                      <c:pt idx="9">
                        <c:v>1.0287511867480977E-2</c:v>
                      </c:pt>
                      <c:pt idx="10">
                        <c:v>1.4085595893376214E-2</c:v>
                      </c:pt>
                      <c:pt idx="11">
                        <c:v>6.6356269815569299E-3</c:v>
                      </c:pt>
                    </c:numCache>
                  </c:numRef>
                </c:val>
                <c:smooth val="0"/>
                <c:extLst xmlns:c15="http://schemas.microsoft.com/office/drawing/2012/chart">
                  <c:ext xmlns:c16="http://schemas.microsoft.com/office/drawing/2014/chart" uri="{C3380CC4-5D6E-409C-BE32-E72D297353CC}">
                    <c16:uniqueId val="{00000003-D075-4FF2-ABA1-ACA34123D9C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'Rej Trend'!$E$94</c15:sqref>
                        </c15:formulaRef>
                      </c:ext>
                    </c:extLst>
                    <c:strCache>
                      <c:ptCount val="1"/>
                      <c:pt idx="0">
                        <c:v>WRAPING</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'Rej Trend'!$A$96:$A$107</c15:sqref>
                        </c15:formulaRef>
                      </c:ext>
                    </c:extLst>
                    <c:numCache>
                      <c:formatCode>mmm\-yy</c:formatCode>
                      <c:ptCount val="12"/>
                      <c:pt idx="0">
                        <c:v>43515</c:v>
                      </c:pt>
                      <c:pt idx="1">
                        <c:v>43543</c:v>
                      </c:pt>
                      <c:pt idx="2">
                        <c:v>43574</c:v>
                      </c:pt>
                      <c:pt idx="3">
                        <c:v>43604</c:v>
                      </c:pt>
                      <c:pt idx="4">
                        <c:v>43635</c:v>
                      </c:pt>
                      <c:pt idx="5">
                        <c:v>43665</c:v>
                      </c:pt>
                      <c:pt idx="6">
                        <c:v>43696</c:v>
                      </c:pt>
                      <c:pt idx="7">
                        <c:v>43727</c:v>
                      </c:pt>
                      <c:pt idx="8">
                        <c:v>43757</c:v>
                      </c:pt>
                      <c:pt idx="9">
                        <c:v>43788</c:v>
                      </c:pt>
                      <c:pt idx="10">
                        <c:v>43818</c:v>
                      </c:pt>
                      <c:pt idx="11">
                        <c:v>43831</c:v>
                      </c:pt>
                    </c:numCache>
                  </c:numRef>
                </c:cat>
                <c:val>
                  <c:numRef>
                    <c:extLst xmlns:c15="http://schemas.microsoft.com/office/drawing/2012/chart">
                      <c:ext xmlns:c15="http://schemas.microsoft.com/office/drawing/2012/chart" uri="{02D57815-91ED-43cb-92C2-25804820EDAC}">
                        <c15:formulaRef>
                          <c15:sqref>'Rej Trend'!$E$96:$E$107</c15:sqref>
                        </c15:formulaRef>
                      </c:ext>
                    </c:extLst>
                    <c:numCache>
                      <c:formatCode>0.00%</c:formatCode>
                      <c:ptCount val="12"/>
                      <c:pt idx="0">
                        <c:v>2.0000000000000001E-4</c:v>
                      </c:pt>
                      <c:pt idx="1">
                        <c:v>1.1966276856132716E-4</c:v>
                      </c:pt>
                      <c:pt idx="2">
                        <c:v>4.1915540186524154E-5</c:v>
                      </c:pt>
                      <c:pt idx="3">
                        <c:v>1E-4</c:v>
                      </c:pt>
                      <c:pt idx="4">
                        <c:v>3.9682539682539683E-4</c:v>
                      </c:pt>
                      <c:pt idx="5">
                        <c:v>1.9624479806987469E-4</c:v>
                      </c:pt>
                      <c:pt idx="6">
                        <c:v>1.8757928927194554E-4</c:v>
                      </c:pt>
                      <c:pt idx="7">
                        <c:v>9.7617114849104494E-5</c:v>
                      </c:pt>
                      <c:pt idx="8">
                        <c:v>2.353245714151243E-5</c:v>
                      </c:pt>
                      <c:pt idx="9">
                        <c:v>4.9856247818789156E-5</c:v>
                      </c:pt>
                      <c:pt idx="10">
                        <c:v>-1.1388483965014577E-5</c:v>
                      </c:pt>
                      <c:pt idx="11">
                        <c:v>6.14704476166231E-4</c:v>
                      </c:pt>
                    </c:numCache>
                  </c:numRef>
                </c:val>
                <c:smooth val="0"/>
                <c:extLst xmlns:c15="http://schemas.microsoft.com/office/drawing/2012/chart">
                  <c:ext xmlns:c16="http://schemas.microsoft.com/office/drawing/2014/chart" uri="{C3380CC4-5D6E-409C-BE32-E72D297353CC}">
                    <c16:uniqueId val="{00000004-D075-4FF2-ABA1-ACA34123D9C7}"/>
                  </c:ext>
                </c:extLst>
              </c15:ser>
            </c15:filteredLineSeries>
          </c:ext>
        </c:extLst>
      </c:lineChart>
      <c:dateAx>
        <c:axId val="-101954425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550240"/>
        <c:crosses val="autoZero"/>
        <c:auto val="1"/>
        <c:lblOffset val="100"/>
        <c:baseTimeUnit val="days"/>
      </c:dateAx>
      <c:valAx>
        <c:axId val="-10195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54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1</xdr:col>
      <xdr:colOff>19340</xdr:colOff>
      <xdr:row>0</xdr:row>
      <xdr:rowOff>93519</xdr:rowOff>
    </xdr:from>
    <xdr:to>
      <xdr:col>2</xdr:col>
      <xdr:colOff>338667</xdr:colOff>
      <xdr:row>0</xdr:row>
      <xdr:rowOff>465667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340" y="93519"/>
          <a:ext cx="919049" cy="3721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73025</xdr:colOff>
      <xdr:row>15</xdr:row>
      <xdr:rowOff>98425</xdr:rowOff>
    </xdr:from>
    <xdr:to>
      <xdr:col>17</xdr:col>
      <xdr:colOff>571500</xdr:colOff>
      <xdr:row>29</xdr:row>
      <xdr:rowOff>50800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31749</xdr:colOff>
      <xdr:row>145</xdr:row>
      <xdr:rowOff>180975</xdr:rowOff>
    </xdr:from>
    <xdr:to>
      <xdr:col>18</xdr:col>
      <xdr:colOff>0</xdr:colOff>
      <xdr:row>153</xdr:row>
      <xdr:rowOff>6350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34925</xdr:colOff>
      <xdr:row>153</xdr:row>
      <xdr:rowOff>41275</xdr:rowOff>
    </xdr:from>
    <xdr:to>
      <xdr:col>18</xdr:col>
      <xdr:colOff>63500</xdr:colOff>
      <xdr:row>160</xdr:row>
      <xdr:rowOff>44450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160</xdr:row>
      <xdr:rowOff>85725</xdr:rowOff>
    </xdr:from>
    <xdr:to>
      <xdr:col>17</xdr:col>
      <xdr:colOff>571500</xdr:colOff>
      <xdr:row>173</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63500</xdr:colOff>
      <xdr:row>173</xdr:row>
      <xdr:rowOff>149225</xdr:rowOff>
    </xdr:from>
    <xdr:to>
      <xdr:col>18</xdr:col>
      <xdr:colOff>0</xdr:colOff>
      <xdr:row>187</xdr:row>
      <xdr:rowOff>146050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60324</xdr:colOff>
      <xdr:row>188</xdr:row>
      <xdr:rowOff>98425</xdr:rowOff>
    </xdr:from>
    <xdr:to>
      <xdr:col>17</xdr:col>
      <xdr:colOff>571500</xdr:colOff>
      <xdr:row>198</xdr:row>
      <xdr:rowOff>95250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22224</xdr:colOff>
      <xdr:row>199</xdr:row>
      <xdr:rowOff>98425</xdr:rowOff>
    </xdr:from>
    <xdr:to>
      <xdr:col>17</xdr:col>
      <xdr:colOff>571500</xdr:colOff>
      <xdr:row>209</xdr:row>
      <xdr:rowOff>146050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104774</xdr:colOff>
      <xdr:row>211</xdr:row>
      <xdr:rowOff>126999</xdr:rowOff>
    </xdr:from>
    <xdr:to>
      <xdr:col>17</xdr:col>
      <xdr:colOff>571500</xdr:colOff>
      <xdr:row>221</xdr:row>
      <xdr:rowOff>6350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200024</xdr:colOff>
      <xdr:row>224</xdr:row>
      <xdr:rowOff>34925</xdr:rowOff>
    </xdr:from>
    <xdr:to>
      <xdr:col>18</xdr:col>
      <xdr:colOff>63500</xdr:colOff>
      <xdr:row>238</xdr:row>
      <xdr:rowOff>139700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47624</xdr:colOff>
      <xdr:row>0</xdr:row>
      <xdr:rowOff>0</xdr:rowOff>
    </xdr:from>
    <xdr:to>
      <xdr:col>18</xdr:col>
      <xdr:colOff>63499</xdr:colOff>
      <xdr:row>14</xdr:row>
      <xdr:rowOff>165100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3174</xdr:colOff>
      <xdr:row>29</xdr:row>
      <xdr:rowOff>117475</xdr:rowOff>
    </xdr:from>
    <xdr:to>
      <xdr:col>17</xdr:col>
      <xdr:colOff>507999</xdr:colOff>
      <xdr:row>44</xdr:row>
      <xdr:rowOff>98425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19050</xdr:colOff>
      <xdr:row>58</xdr:row>
      <xdr:rowOff>171450</xdr:rowOff>
    </xdr:from>
    <xdr:to>
      <xdr:col>18</xdr:col>
      <xdr:colOff>117475</xdr:colOff>
      <xdr:row>74</xdr:row>
      <xdr:rowOff>95250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381000</xdr:colOff>
      <xdr:row>31</xdr:row>
      <xdr:rowOff>185736</xdr:rowOff>
    </xdr:from>
    <xdr:to>
      <xdr:col>17</xdr:col>
      <xdr:colOff>152400</xdr:colOff>
      <xdr:row>51</xdr:row>
      <xdr:rowOff>142875</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182235</xdr:colOff>
      <xdr:row>70</xdr:row>
      <xdr:rowOff>164013</xdr:rowOff>
    </xdr:from>
    <xdr:to>
      <xdr:col>18</xdr:col>
      <xdr:colOff>182236</xdr:colOff>
      <xdr:row>79</xdr:row>
      <xdr:rowOff>124260</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333375</xdr:colOff>
      <xdr:row>1</xdr:row>
      <xdr:rowOff>171451</xdr:rowOff>
    </xdr:from>
    <xdr:to>
      <xdr:col>12</xdr:col>
      <xdr:colOff>333375</xdr:colOff>
      <xdr:row>69</xdr:row>
      <xdr:rowOff>161925</xdr:rowOff>
    </xdr:to>
    <xdr:cxnSp macro="">
      <xdr:nvCxnSpPr>
        <xdr:cNvPr id="4" name="Straight Connector 3">
          <a:extLst>
            <a:ext uri="{FF2B5EF4-FFF2-40B4-BE49-F238E27FC236}">
              <a16:creationId xmlns:a16="http://schemas.microsoft.com/office/drawing/2014/main" id="{00000000-0008-0000-0900-000004000000}"/>
            </a:ext>
          </a:extLst>
        </xdr:cNvPr>
        <xdr:cNvCxnSpPr/>
      </xdr:nvCxnSpPr>
      <xdr:spPr>
        <a:xfrm flipV="1">
          <a:off x="9020175" y="361951"/>
          <a:ext cx="0" cy="11334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476250</xdr:colOff>
      <xdr:row>2</xdr:row>
      <xdr:rowOff>19051</xdr:rowOff>
    </xdr:from>
    <xdr:to>
      <xdr:col>15</xdr:col>
      <xdr:colOff>476250</xdr:colOff>
      <xdr:row>69</xdr:row>
      <xdr:rowOff>161925</xdr:rowOff>
    </xdr:to>
    <xdr:cxnSp macro="">
      <xdr:nvCxnSpPr>
        <xdr:cNvPr id="5" name="Straight Connector 4">
          <a:extLst>
            <a:ext uri="{FF2B5EF4-FFF2-40B4-BE49-F238E27FC236}">
              <a16:creationId xmlns:a16="http://schemas.microsoft.com/office/drawing/2014/main" id="{00000000-0008-0000-0900-000005000000}"/>
            </a:ext>
          </a:extLst>
        </xdr:cNvPr>
        <xdr:cNvCxnSpPr/>
      </xdr:nvCxnSpPr>
      <xdr:spPr>
        <a:xfrm flipV="1">
          <a:off x="10991850" y="400051"/>
          <a:ext cx="0" cy="10953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371474</xdr:colOff>
      <xdr:row>0</xdr:row>
      <xdr:rowOff>90488</xdr:rowOff>
    </xdr:from>
    <xdr:to>
      <xdr:col>30</xdr:col>
      <xdr:colOff>400050</xdr:colOff>
      <xdr:row>71</xdr:row>
      <xdr:rowOff>47626</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114299</xdr:colOff>
      <xdr:row>82</xdr:row>
      <xdr:rowOff>155114</xdr:rowOff>
    </xdr:from>
    <xdr:to>
      <xdr:col>19</xdr:col>
      <xdr:colOff>123824</xdr:colOff>
      <xdr:row>91</xdr:row>
      <xdr:rowOff>164639</xdr:rowOff>
    </xdr:to>
    <xdr:graphicFrame macro="">
      <xdr:nvGraphicFramePr>
        <xdr:cNvPr id="7" name="Chart 6">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104775</xdr:colOff>
      <xdr:row>92</xdr:row>
      <xdr:rowOff>155113</xdr:rowOff>
    </xdr:from>
    <xdr:to>
      <xdr:col>19</xdr:col>
      <xdr:colOff>123825</xdr:colOff>
      <xdr:row>101</xdr:row>
      <xdr:rowOff>126085</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390978</xdr:colOff>
      <xdr:row>82</xdr:row>
      <xdr:rowOff>141961</xdr:rowOff>
    </xdr:from>
    <xdr:to>
      <xdr:col>30</xdr:col>
      <xdr:colOff>408214</xdr:colOff>
      <xdr:row>91</xdr:row>
      <xdr:rowOff>181421</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385536</xdr:colOff>
      <xdr:row>93</xdr:row>
      <xdr:rowOff>45350</xdr:rowOff>
    </xdr:from>
    <xdr:to>
      <xdr:col>30</xdr:col>
      <xdr:colOff>408214</xdr:colOff>
      <xdr:row>102</xdr:row>
      <xdr:rowOff>45350</xdr:rowOff>
    </xdr:to>
    <xdr:graphicFrame macro="">
      <xdr:nvGraphicFramePr>
        <xdr:cNvPr id="10" name="Chart 9">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385535</xdr:colOff>
      <xdr:row>103</xdr:row>
      <xdr:rowOff>68029</xdr:rowOff>
    </xdr:from>
    <xdr:to>
      <xdr:col>30</xdr:col>
      <xdr:colOff>453570</xdr:colOff>
      <xdr:row>112</xdr:row>
      <xdr:rowOff>90708</xdr:rowOff>
    </xdr:to>
    <xdr:graphicFrame macro="">
      <xdr:nvGraphicFramePr>
        <xdr:cNvPr id="11" name="Chart 10">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99144</xdr:colOff>
      <xdr:row>103</xdr:row>
      <xdr:rowOff>6601</xdr:rowOff>
    </xdr:from>
    <xdr:to>
      <xdr:col>19</xdr:col>
      <xdr:colOff>95063</xdr:colOff>
      <xdr:row>112</xdr:row>
      <xdr:rowOff>37899</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287054</xdr:colOff>
      <xdr:row>0</xdr:row>
      <xdr:rowOff>17397</xdr:rowOff>
    </xdr:from>
    <xdr:to>
      <xdr:col>17</xdr:col>
      <xdr:colOff>626302</xdr:colOff>
      <xdr:row>70</xdr:row>
      <xdr:rowOff>121781</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390070</xdr:colOff>
      <xdr:row>71</xdr:row>
      <xdr:rowOff>147865</xdr:rowOff>
    </xdr:from>
    <xdr:to>
      <xdr:col>30</xdr:col>
      <xdr:colOff>430891</xdr:colOff>
      <xdr:row>81</xdr:row>
      <xdr:rowOff>136072</xdr:rowOff>
    </xdr:to>
    <xdr:graphicFrame macro="">
      <xdr:nvGraphicFramePr>
        <xdr:cNvPr id="14" name="Chart 13">
          <a:extLst>
            <a:ext uri="{FF2B5EF4-FFF2-40B4-BE49-F238E27FC236}">
              <a16:creationId xmlns:a16="http://schemas.microsoft.com/office/drawing/2014/main" id="{00000000-0008-0000-09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0.22457</cdr:x>
      <cdr:y>0.01349</cdr:y>
    </cdr:from>
    <cdr:to>
      <cdr:x>0.7197</cdr:x>
      <cdr:y>0.09945</cdr:y>
    </cdr:to>
    <cdr:sp macro="" textlink="">
      <cdr:nvSpPr>
        <cdr:cNvPr id="2" name="TextBox 1"/>
        <cdr:cNvSpPr txBox="1"/>
      </cdr:nvSpPr>
      <cdr:spPr>
        <a:xfrm xmlns:a="http://schemas.openxmlformats.org/drawingml/2006/main">
          <a:off x="1317625" y="50800"/>
          <a:ext cx="2905125" cy="323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600" baseline="0"/>
            <a:t>NIPPLE REJECTION TREND COMMULATIVE</a:t>
          </a:r>
          <a:endParaRPr lang="en-IN" sz="1600"/>
        </a:p>
      </cdr:txBody>
    </cdr:sp>
  </cdr:relSizeAnchor>
</c:userShapes>
</file>

<file path=xl/drawings/drawing6.xml><?xml version="1.0" encoding="utf-8"?>
<c:userShapes xmlns:c="http://schemas.openxmlformats.org/drawingml/2006/chart">
  <cdr:relSizeAnchor xmlns:cdr="http://schemas.openxmlformats.org/drawingml/2006/chartDrawing">
    <cdr:from>
      <cdr:x>1</cdr:x>
      <cdr:y>0.20486</cdr:y>
    </cdr:from>
    <cdr:to>
      <cdr:x>1</cdr:x>
      <cdr:y>1</cdr:y>
    </cdr:to>
    <cdr:cxnSp macro="">
      <cdr:nvCxnSpPr>
        <cdr:cNvPr id="3" name="Straight Connector 2">
          <a:extLst xmlns:a="http://schemas.openxmlformats.org/drawingml/2006/main">
            <a:ext uri="{FF2B5EF4-FFF2-40B4-BE49-F238E27FC236}">
              <a16:creationId xmlns:a16="http://schemas.microsoft.com/office/drawing/2014/main" id="{0B962417-C86E-45C4-87A4-7BC1CF26E3BA}"/>
            </a:ext>
          </a:extLst>
        </cdr:cNvPr>
        <cdr:cNvCxnSpPr/>
      </cdr:nvCxnSpPr>
      <cdr:spPr>
        <a:xfrm xmlns:a="http://schemas.openxmlformats.org/drawingml/2006/main" flipV="1">
          <a:off x="8318500" y="11785600"/>
          <a:ext cx="0" cy="218122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1</cdr:x>
      <cdr:y>0.20486</cdr:y>
    </cdr:from>
    <cdr:to>
      <cdr:x>1</cdr:x>
      <cdr:y>1</cdr:y>
    </cdr:to>
    <cdr:cxnSp macro="">
      <cdr:nvCxnSpPr>
        <cdr:cNvPr id="4" name="Straight Connector 3">
          <a:extLst xmlns:a="http://schemas.openxmlformats.org/drawingml/2006/main">
            <a:ext uri="{FF2B5EF4-FFF2-40B4-BE49-F238E27FC236}">
              <a16:creationId xmlns:a16="http://schemas.microsoft.com/office/drawing/2014/main" id="{0BD8D4B2-EB75-41BB-B78C-811EE6641A9B}"/>
            </a:ext>
          </a:extLst>
        </cdr:cNvPr>
        <cdr:cNvCxnSpPr/>
      </cdr:nvCxnSpPr>
      <cdr:spPr>
        <a:xfrm xmlns:a="http://schemas.openxmlformats.org/drawingml/2006/main" flipV="1">
          <a:off x="8318500" y="11785600"/>
          <a:ext cx="0" cy="218122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1</cdr:x>
      <cdr:y>0.20486</cdr:y>
    </cdr:from>
    <cdr:to>
      <cdr:x>1</cdr:x>
      <cdr:y>1</cdr:y>
    </cdr:to>
    <cdr:cxnSp macro="">
      <cdr:nvCxnSpPr>
        <cdr:cNvPr id="5" name="Straight Connector 4">
          <a:extLst xmlns:a="http://schemas.openxmlformats.org/drawingml/2006/main">
            <a:ext uri="{FF2B5EF4-FFF2-40B4-BE49-F238E27FC236}">
              <a16:creationId xmlns:a16="http://schemas.microsoft.com/office/drawing/2014/main" id="{84D3C877-227B-4DEB-A97C-4E310B4863F2}"/>
            </a:ext>
          </a:extLst>
        </cdr:cNvPr>
        <cdr:cNvCxnSpPr/>
      </cdr:nvCxnSpPr>
      <cdr:spPr>
        <a:xfrm xmlns:a="http://schemas.openxmlformats.org/drawingml/2006/main" flipV="1">
          <a:off x="8318500" y="11785600"/>
          <a:ext cx="0" cy="218122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1</cdr:x>
      <cdr:y>0.20486</cdr:y>
    </cdr:from>
    <cdr:to>
      <cdr:x>1</cdr:x>
      <cdr:y>1</cdr:y>
    </cdr:to>
    <cdr:cxnSp macro="">
      <cdr:nvCxnSpPr>
        <cdr:cNvPr id="6" name="Straight Connector 5">
          <a:extLst xmlns:a="http://schemas.openxmlformats.org/drawingml/2006/main">
            <a:ext uri="{FF2B5EF4-FFF2-40B4-BE49-F238E27FC236}">
              <a16:creationId xmlns:a16="http://schemas.microsoft.com/office/drawing/2014/main" id="{4BF07C0A-C42D-44A1-9C87-5B1BFB288932}"/>
            </a:ext>
          </a:extLst>
        </cdr:cNvPr>
        <cdr:cNvCxnSpPr/>
      </cdr:nvCxnSpPr>
      <cdr:spPr>
        <a:xfrm xmlns:a="http://schemas.openxmlformats.org/drawingml/2006/main" flipV="1">
          <a:off x="8318500" y="11785600"/>
          <a:ext cx="0" cy="218122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0.26875</cdr:x>
      <cdr:y>0.1684</cdr:y>
    </cdr:from>
    <cdr:to>
      <cdr:x>0.26875</cdr:x>
      <cdr:y>0.85938</cdr:y>
    </cdr:to>
    <cdr:cxnSp macro="">
      <cdr:nvCxnSpPr>
        <cdr:cNvPr id="8" name="Straight Connector 7">
          <a:extLst xmlns:a="http://schemas.openxmlformats.org/drawingml/2006/main">
            <a:ext uri="{FF2B5EF4-FFF2-40B4-BE49-F238E27FC236}">
              <a16:creationId xmlns:a16="http://schemas.microsoft.com/office/drawing/2014/main" id="{DA5B61B1-1D53-41B7-A871-AE48A24EFAF0}"/>
            </a:ext>
          </a:extLst>
        </cdr:cNvPr>
        <cdr:cNvCxnSpPr/>
      </cdr:nvCxnSpPr>
      <cdr:spPr>
        <a:xfrm xmlns:a="http://schemas.openxmlformats.org/drawingml/2006/main">
          <a:off x="1228725" y="461963"/>
          <a:ext cx="0" cy="189547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0.45069</cdr:x>
      <cdr:y>0.17303</cdr:y>
    </cdr:from>
    <cdr:to>
      <cdr:x>0.45069</cdr:x>
      <cdr:y>0.864</cdr:y>
    </cdr:to>
    <cdr:cxnSp macro="">
      <cdr:nvCxnSpPr>
        <cdr:cNvPr id="9" name="Straight Connector 8">
          <a:extLst xmlns:a="http://schemas.openxmlformats.org/drawingml/2006/main">
            <a:ext uri="{FF2B5EF4-FFF2-40B4-BE49-F238E27FC236}">
              <a16:creationId xmlns:a16="http://schemas.microsoft.com/office/drawing/2014/main" id="{5861E77D-5DC5-447F-ACCB-5D4730563754}"/>
            </a:ext>
          </a:extLst>
        </cdr:cNvPr>
        <cdr:cNvCxnSpPr/>
      </cdr:nvCxnSpPr>
      <cdr:spPr>
        <a:xfrm xmlns:a="http://schemas.openxmlformats.org/drawingml/2006/main">
          <a:off x="2060575" y="474663"/>
          <a:ext cx="0" cy="189547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0.63056</cdr:x>
      <cdr:y>0.16377</cdr:y>
    </cdr:from>
    <cdr:to>
      <cdr:x>0.63056</cdr:x>
      <cdr:y>0.85475</cdr:y>
    </cdr:to>
    <cdr:cxnSp macro="">
      <cdr:nvCxnSpPr>
        <cdr:cNvPr id="10" name="Straight Connector 9">
          <a:extLst xmlns:a="http://schemas.openxmlformats.org/drawingml/2006/main">
            <a:ext uri="{FF2B5EF4-FFF2-40B4-BE49-F238E27FC236}">
              <a16:creationId xmlns:a16="http://schemas.microsoft.com/office/drawing/2014/main" id="{EBB6B27A-335F-44E9-8D74-800CD0466CE1}"/>
            </a:ext>
          </a:extLst>
        </cdr:cNvPr>
        <cdr:cNvCxnSpPr/>
      </cdr:nvCxnSpPr>
      <cdr:spPr>
        <a:xfrm xmlns:a="http://schemas.openxmlformats.org/drawingml/2006/main">
          <a:off x="2882900" y="449263"/>
          <a:ext cx="0" cy="189547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0.79803</cdr:x>
      <cdr:y>0.1688</cdr:y>
    </cdr:from>
    <cdr:to>
      <cdr:x>0.79803</cdr:x>
      <cdr:y>0.85977</cdr:y>
    </cdr:to>
    <cdr:cxnSp macro="">
      <cdr:nvCxnSpPr>
        <cdr:cNvPr id="11" name="Straight Connector 10">
          <a:extLst xmlns:a="http://schemas.openxmlformats.org/drawingml/2006/main">
            <a:ext uri="{FF2B5EF4-FFF2-40B4-BE49-F238E27FC236}">
              <a16:creationId xmlns:a16="http://schemas.microsoft.com/office/drawing/2014/main" id="{85F00368-DB27-43F2-9D91-B1C31DB59395}"/>
            </a:ext>
          </a:extLst>
        </cdr:cNvPr>
        <cdr:cNvCxnSpPr/>
      </cdr:nvCxnSpPr>
      <cdr:spPr>
        <a:xfrm xmlns:a="http://schemas.openxmlformats.org/drawingml/2006/main">
          <a:off x="5434906" y="521733"/>
          <a:ext cx="0" cy="213569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Kaigai-gpw5k\H\My%20Documents\Monthly%20Report\P'Spore\PS\CURRENC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2\Thanakom\Users\tajima\Desktop\2011%20Planning\2011%20Planning\Budget%20Making(2011)Fina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2.50\Data\Documents%20and%20Settings\nakamura\Local%20Settings\Temporary%20Internet%20Files\Content.Outlook\H6JAQ3K9\PS\&#21442;&#32771;&#36039;&#26009;\&#21069;&#32887;&#21442;&#32771;&#36039;&#26009;\&#22577;&#21578;&#12487;&#12540;&#12479;\PYM&#20107;&#21069;&#35519;&#26619;&#36039;&#26009;(2005.12)\&#36899;&#32080;&#36039;&#26009;&#38306;&#20418;\&#36899;&#32080;&#38306;&#20418;\&#36899;&#32080;&#20381;&#38972;&#20107;&#38917;&#20182;\&#36899;&#32080;&#12510;&#12491;&#12517;&#12450;&#12523;\inputsheet%20&#20837;&#21147;&#26041;&#2786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2.50\Data\Yanti's%20Document\Every%20Month\Sales\Sales%202003%20(back%20up).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8.2.50\Data\My%20Documents\MPI\Domestic\Domestic_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2019\04_April%202019\03_Monthly%20Report\11.a%20Poduction%20Report%20Apr-201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2.50\Data\Home\Buyer_Center\Sales%20report%20by%20Akanay\Domestic\Domestic_PI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92.168.2.50\Data\My%20Documents\PIT\Domestic_PI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2.50\Data\F%20drive\REPORTS\HFS-%20Businesss%20Review%20Jan-Jun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sclient\O\Documents%20and%20Settings\denise\My%20Documents\PS\Mgt%20Reports\HOC\Monthly%20Report\2009%20Monthly%20Reports\2009-12%20PS%20Repor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92.168.2.50\Data\FY%202014-15\BOM\Data%20Template%20Shee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92.168.2.50\Data\3.%20Finance\Forecasts\2012\1H2012\05_May%202012\2012%20-%20PIN%20FR_February%202012%20(rev-19.3.1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92.168.2.50\Data\Users\pigeon\AppData\Local\Temp\Rar$DI29.080\2013%20-%20PIN%20FR_Mar%202013.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aigai-ipas-t1\&#28023;&#22806;&#37096;&#20849;&#26377;(H)\Documents%20and%20Settings\tajima\Local%20Settings\Temporary%20Internet%20Files\OLKA\Statement%20of%20cash%20flows%20(Monthly%20report%20for%20200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2.41\11_Production\01_Reports\2020\Feb_2020\11.a%20Production%20Report%20Feb%20_202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2.41\11_Production\01_Reports\2020\March%20_2020\1.2%20a%20Production%20Report%20March-202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2.41\11_Production\01_Reports\2020\May_%202020\Production%20Report%2029-May-2020.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2.41\11_Production\01_Reports\2020\June_%202020\1.2%20a.Production%20Report%20June-20%20Final.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2018\08_Aug%202018\03_Monthly%20Report\11.c%20Rejection%20Ratio%20Aug-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
      <sheetName val="RULE"/>
      <sheetName val="リスト"/>
      <sheetName val="Master"/>
      <sheetName val="목록박스"/>
      <sheetName val="INDEX"/>
      <sheetName val="SEG"/>
      <sheetName val="Parts code"/>
      <sheetName val="開発分類"/>
      <sheetName val="Utility"/>
      <sheetName val="List"/>
      <sheetName val="起案・ﾃﾞｰﾀ"/>
      <sheetName val="SEG0"/>
      <sheetName val="Def"/>
      <sheetName val="Histogram"/>
      <sheetName val="BT-Kitty"/>
      <sheetName val="RM_using"/>
      <sheetName val="品群一覧（拠点単位）"/>
      <sheetName val="Drop down List"/>
      <sheetName val="メール配信条件"/>
      <sheetName val="Budget"/>
      <sheetName val="PL"/>
      <sheetName val="DIVA"/>
      <sheetName val="ByCust&amp;Cat"/>
      <sheetName val="Cal"/>
      <sheetName val="Sales By Cust"/>
      <sheetName val="Allocation"/>
      <sheetName val="Sales By Cat"/>
      <sheetName val="M_Item"/>
      <sheetName val="M_BP"/>
      <sheetName val="M_Order DB"/>
      <sheetName val="Data-By Cust"/>
      <sheetName val="Data-ByCat"/>
      <sheetName val="DASHBOARD"/>
      <sheetName val="Analysis Data"/>
      <sheetName val="PivotCust"/>
      <sheetName val="PivotCat"/>
      <sheetName val="PivotSup"/>
      <sheetName val="【BT】Capacity utilization "/>
      <sheetName val="DATA"/>
    </sheetNames>
    <sheetDataSet>
      <sheetData sheetId="0" refreshError="1"/>
      <sheetData sheetId="1" refreshError="1">
        <row r="6">
          <cell r="C6">
            <v>1.5003</v>
          </cell>
          <cell r="D6">
            <v>1.4854000000000001</v>
          </cell>
          <cell r="E6">
            <v>1.4722999999999999</v>
          </cell>
          <cell r="F6">
            <v>1.4641</v>
          </cell>
          <cell r="G6">
            <v>1.4622999999999999</v>
          </cell>
          <cell r="H6">
            <v>1.4516</v>
          </cell>
          <cell r="I6">
            <v>1.4515</v>
          </cell>
          <cell r="J6">
            <v>1.421</v>
          </cell>
          <cell r="K6">
            <v>1.3939999999999999</v>
          </cell>
          <cell r="L6">
            <v>1.3920999999999999</v>
          </cell>
          <cell r="M6">
            <v>1.397</v>
          </cell>
          <cell r="N6">
            <v>1.3943000000000001</v>
          </cell>
          <cell r="O6">
            <v>1.4238</v>
          </cell>
        </row>
        <row r="7">
          <cell r="C7">
            <v>1.5068E-2</v>
          </cell>
          <cell r="D7">
            <v>1.5091E-2</v>
          </cell>
          <cell r="E7">
            <v>1.5110999999999999E-2</v>
          </cell>
          <cell r="F7">
            <v>1.4803999999999999E-2</v>
          </cell>
          <cell r="G7">
            <v>1.4659999999999999E-2</v>
          </cell>
          <cell r="H7">
            <v>1.4648E-2</v>
          </cell>
          <cell r="I7">
            <v>1.4956000000000001E-2</v>
          </cell>
          <cell r="J7">
            <v>1.5890000000000001E-2</v>
          </cell>
          <cell r="K7">
            <v>1.6659E-2</v>
          </cell>
          <cell r="L7">
            <v>1.6708000000000001E-2</v>
          </cell>
          <cell r="M7">
            <v>1.6522999999999999E-2</v>
          </cell>
          <cell r="N7">
            <v>1.5767E-2</v>
          </cell>
          <cell r="O7">
            <v>1.4375000000000001E-2</v>
          </cell>
        </row>
        <row r="8">
          <cell r="C8">
            <v>0.58789999999999998</v>
          </cell>
          <cell r="D8">
            <v>0.57889999999999997</v>
          </cell>
          <cell r="E8">
            <v>0.57669999999999999</v>
          </cell>
          <cell r="F8">
            <v>0.57250000000000001</v>
          </cell>
          <cell r="G8">
            <v>0.57120000000000004</v>
          </cell>
          <cell r="H8">
            <v>0.56789999999999996</v>
          </cell>
          <cell r="I8">
            <v>0.56830000000000003</v>
          </cell>
          <cell r="J8">
            <v>0.56030000000000002</v>
          </cell>
          <cell r="K8">
            <v>0.56400000000000006</v>
          </cell>
          <cell r="L8">
            <v>0.56420000000000003</v>
          </cell>
          <cell r="M8">
            <v>0.57300000000000006</v>
          </cell>
          <cell r="N8">
            <v>0.56740000000000002</v>
          </cell>
          <cell r="O8">
            <v>0.56920000000000004</v>
          </cell>
        </row>
        <row r="9">
          <cell r="C9">
            <v>0.19409999999999999</v>
          </cell>
          <cell r="D9">
            <v>0.19220000000000001</v>
          </cell>
          <cell r="E9">
            <v>0.1905</v>
          </cell>
          <cell r="F9">
            <v>0.1893</v>
          </cell>
          <cell r="G9">
            <v>0.189</v>
          </cell>
          <cell r="H9">
            <v>0.18770000000000001</v>
          </cell>
          <cell r="I9">
            <v>0.18770000000000001</v>
          </cell>
          <cell r="J9">
            <v>0.18379999999999999</v>
          </cell>
          <cell r="K9">
            <v>0.1802</v>
          </cell>
          <cell r="L9">
            <v>0.18</v>
          </cell>
          <cell r="M9">
            <v>0.18049999999999999</v>
          </cell>
          <cell r="N9">
            <v>0.1802</v>
          </cell>
          <cell r="O9">
            <v>0.18390000000000001</v>
          </cell>
        </row>
        <row r="10">
          <cell r="C10">
            <v>5.9900000000000002E-2</v>
          </cell>
          <cell r="D10">
            <v>5.9500000000000004E-2</v>
          </cell>
          <cell r="E10">
            <v>5.91E-2</v>
          </cell>
          <cell r="F10">
            <v>5.8400000000000001E-2</v>
          </cell>
          <cell r="G10">
            <v>5.8300000000000005E-2</v>
          </cell>
          <cell r="H10">
            <v>5.79E-2</v>
          </cell>
          <cell r="I10">
            <v>5.8200000000000002E-2</v>
          </cell>
          <cell r="J10">
            <v>5.74E-2</v>
          </cell>
          <cell r="K10">
            <v>5.67E-2</v>
          </cell>
          <cell r="L10">
            <v>5.6600000000000004E-2</v>
          </cell>
          <cell r="M10">
            <v>5.67E-2</v>
          </cell>
          <cell r="N10">
            <v>5.6300000000000003E-2</v>
          </cell>
          <cell r="O10">
            <v>5.67E-2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6">
          <cell r="C6">
            <v>5.6699991226196289E-2</v>
          </cell>
        </row>
      </sheetData>
      <sheetData sheetId="22">
        <row r="6">
          <cell r="C6">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Outline"/>
      <sheetName val="Validity Check"/>
      <sheetName val="1.PPM"/>
      <sheetName val="2.SWOT"/>
      <sheetName val="3.Plan(FS)"/>
      <sheetName val="4.BS"/>
      <sheetName val="5.CTypeⅠ"/>
      <sheetName val="6.CTypeⅡ"/>
      <sheetName val="7.CFS"/>
      <sheetName val="8.Plan(HR)"/>
      <sheetName val="9.Inventory"/>
      <sheetName val="10.NO Report"/>
      <sheetName val="11.Production"/>
      <sheetName val="12.GP"/>
      <sheetName val="13.PLItem"/>
      <sheetName val="14.Investment"/>
      <sheetName val="15.Tangible"/>
      <sheetName val="16.Intangible"/>
      <sheetName val="17.Seasonality"/>
      <sheetName val="Pivot-Sale②"/>
      <sheetName val="Pivot-CGS④"/>
      <sheetName val="Pivot-CGS⑤"/>
      <sheetName val="Pivot-CGS⑥"/>
      <sheetName val="α.CVPPL"/>
      <sheetName val="β.CVPRate"/>
      <sheetName val="0.表紙"/>
      <sheetName val="1.経営方針 戦略"/>
      <sheetName val="2.販売計画"/>
      <sheetName val="3.売上原価計画"/>
      <sheetName val="4.売上原価計画 5.ライン別営業損益"/>
      <sheetName val="6.7.8.売上原価計画"/>
      <sheetName val="9.10.減価償却、投資計画"/>
      <sheetName val="11.人員（人件費）計画"/>
      <sheetName val="12.13.経費予算"/>
      <sheetName val="14.15.営業外損益予算"/>
      <sheetName val="16.月別利益計画"/>
      <sheetName val="17.月別資金管理予実表"/>
      <sheetName val="18.予想貸借対照表"/>
      <sheetName val="19.報告不要"/>
      <sheetName val="報告不要_国内生産３社付属資料"/>
      <sheetName val="List"/>
      <sheetName val="iNVENTORY DIFF"/>
      <sheetName val="01.TOT_SUM"/>
      <sheetName val="01.02.TOT_DIFF"/>
      <sheetName val="Analysis Report "/>
      <sheetName val="02.DET_SUM"/>
      <sheetName val="10.ERP STOCK"/>
      <sheetName val="adjsut"/>
      <sheetName val="11.Stage_erp"/>
      <sheetName val="11.A Stage_erp"/>
      <sheetName val="10a-Erp Stock "/>
      <sheetName val="03.PRD_SUM"/>
      <sheetName val="04.PUR_SUMM"/>
      <sheetName val="05.SAL_SUMM"/>
      <sheetName val="06.CONSUMP"/>
      <sheetName val="06.A_CON_DET"/>
      <sheetName val="07.01 ADJUT_SUM"/>
      <sheetName val="07.ADJ_STK"/>
      <sheetName val="08.PROVISON OF SALES GIT"/>
      <sheetName val="05.store Working"/>
      <sheetName val="09.PROD STK"/>
      <sheetName val="Sheet1 (2)"/>
      <sheetName val="Raw consumpption"/>
      <sheetName val="Sheet5"/>
      <sheetName val="Difference Summary (2)"/>
      <sheetName val="Sheet13"/>
      <sheetName val="Sheet12"/>
      <sheetName val="Difference Summary"/>
      <sheetName val="Sheet9"/>
      <sheetName val="Sheet8"/>
      <sheetName val="Sheet10"/>
      <sheetName val="reject"/>
      <sheetName val="Sheet7"/>
      <sheetName val="Sheet6"/>
      <sheetName val="Sheet1"/>
      <sheetName val="Sheet2"/>
      <sheetName val="Sheet4"/>
      <sheetName val="Sheet2 (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row r="2">
          <cell r="B2" t="str">
            <v>Bottle:哺乳器</v>
          </cell>
          <cell r="C2" t="str">
            <v>Ｂ</v>
          </cell>
          <cell r="D2" t="str">
            <v>USD:米ﾄﾞﾙ</v>
          </cell>
          <cell r="E2" t="str">
            <v>120000:Buildings 建物</v>
          </cell>
          <cell r="F2" t="str">
            <v>CGS: 原価</v>
          </cell>
          <cell r="G2">
            <v>1</v>
          </cell>
          <cell r="H2" t="str">
            <v>Straight-line</v>
          </cell>
          <cell r="I2" t="str">
            <v>Pigeon Singapore</v>
          </cell>
          <cell r="J2" t="str">
            <v>1 Local Curency</v>
          </cell>
          <cell r="K2" t="str">
            <v>オーストラリア: Australia</v>
          </cell>
        </row>
        <row r="3">
          <cell r="B3" t="str">
            <v>Nipple:乳首</v>
          </cell>
          <cell r="C3" t="str">
            <v>保</v>
          </cell>
          <cell r="D3" t="str">
            <v>SGD:ｼﾝｶﾞﾎﾟｰﾙﾄﾞﾙ</v>
          </cell>
          <cell r="E3" t="str">
            <v>121000:Building equipment  建物付属設備</v>
          </cell>
          <cell r="F3" t="str">
            <v>SGA: 販管</v>
          </cell>
          <cell r="G3">
            <v>2</v>
          </cell>
          <cell r="H3" t="str">
            <v>Declining</v>
          </cell>
          <cell r="I3" t="str">
            <v>Pigeon India</v>
          </cell>
          <cell r="J3" t="str">
            <v>K Local Curency</v>
          </cell>
          <cell r="K3" t="str">
            <v>その他のオーストラリア領: Australia Other Territories</v>
          </cell>
        </row>
        <row r="4">
          <cell r="B4" t="str">
            <v>Formula Accessary:調乳</v>
          </cell>
          <cell r="C4" t="str">
            <v>Ｈ</v>
          </cell>
          <cell r="D4" t="str">
            <v>THB:ﾀｲﾊﾞｰﾂ</v>
          </cell>
          <cell r="E4" t="str">
            <v>122000:Structures 構築物</v>
          </cell>
          <cell r="G4">
            <v>3</v>
          </cell>
          <cell r="H4" t="str">
            <v>Others</v>
          </cell>
          <cell r="I4" t="str">
            <v>Pigeon Malaysia</v>
          </cell>
          <cell r="J4" t="str">
            <v>M Local Curency</v>
          </cell>
          <cell r="K4" t="str">
            <v>オーストリア: Austria</v>
          </cell>
        </row>
        <row r="5">
          <cell r="B5" t="str">
            <v>Cleansing&amp; Sterilizing:ﾍﾞﾋﾞｰ洗浄消毒剤</v>
          </cell>
          <cell r="C5" t="str">
            <v>介</v>
          </cell>
          <cell r="D5" t="str">
            <v>RMB:中国人民元</v>
          </cell>
          <cell r="E5" t="str">
            <v>123000:Automotive equipment 車両運搬具</v>
          </cell>
          <cell r="G5">
            <v>4</v>
          </cell>
          <cell r="I5" t="str">
            <v>Thai Pigeon</v>
          </cell>
          <cell r="K5" t="str">
            <v>バングラデシュ: Bangladesh</v>
          </cell>
        </row>
        <row r="6">
          <cell r="B6" t="str">
            <v>Cleansing&amp; Sterilizing Accessary:ﾍﾞﾋﾞｰ洗浄消毒用品</v>
          </cell>
          <cell r="C6" t="str">
            <v>女</v>
          </cell>
          <cell r="D6" t="str">
            <v>Euro:ﾕｰﾛ</v>
          </cell>
          <cell r="E6" t="str">
            <v>124000:Tools and implements 工具器具備品</v>
          </cell>
          <cell r="G6">
            <v>5</v>
          </cell>
          <cell r="I6" t="str">
            <v>Pigeon Industrial Thailand</v>
          </cell>
          <cell r="K6" t="str">
            <v>ベルギー: Belgium</v>
          </cell>
        </row>
        <row r="7">
          <cell r="B7" t="str">
            <v>Feeding Accessary:授乳関連</v>
          </cell>
          <cell r="C7" t="str">
            <v>Ｏ</v>
          </cell>
          <cell r="D7" t="str">
            <v>CAN:ｶﾅﾀﾞﾄﾞﾙ</v>
          </cell>
          <cell r="E7" t="str">
            <v>125000:Machinery &amp; Equipment 機械及び装置</v>
          </cell>
          <cell r="G7">
            <v>6</v>
          </cell>
          <cell r="I7" t="str">
            <v>Pigeon Shanghai</v>
          </cell>
          <cell r="K7" t="str">
            <v>ボツワナ: Botswana</v>
          </cell>
        </row>
        <row r="8">
          <cell r="B8" t="str">
            <v>Breast Pads:母乳ﾊﾟｯﾄﾞ</v>
          </cell>
          <cell r="D8" t="str">
            <v>GBP:英ﾎﾟﾝﾄﾞ</v>
          </cell>
          <cell r="E8" t="str">
            <v>126000:Mold 金型</v>
          </cell>
          <cell r="G8">
            <v>7</v>
          </cell>
          <cell r="I8" t="str">
            <v>Pigeon Manufacturing</v>
          </cell>
          <cell r="K8" t="str">
            <v>ブラジル: Brazil</v>
          </cell>
        </row>
        <row r="9">
          <cell r="B9" t="str">
            <v>Breast Care Accessary:母乳関連</v>
          </cell>
          <cell r="D9" t="str">
            <v>INR:ｲﾝﾄﾞﾙﾋﾟｰ</v>
          </cell>
          <cell r="E9" t="str">
            <v>127000:Land 土地</v>
          </cell>
          <cell r="G9">
            <v>8</v>
          </cell>
          <cell r="I9" t="str">
            <v>PIC</v>
          </cell>
          <cell r="K9" t="str">
            <v>ブルネイ: Brunei</v>
          </cell>
        </row>
        <row r="10">
          <cell r="B10" t="str">
            <v>Weaning Accessary:離乳用品</v>
          </cell>
          <cell r="D10" t="str">
            <v>VND:ﾍﾞﾄﾅﾑﾄﾞﾝ</v>
          </cell>
          <cell r="E10" t="str">
            <v>128000:Construction in progress 建設仮勘定</v>
          </cell>
          <cell r="G10">
            <v>9</v>
          </cell>
          <cell r="I10" t="str">
            <v>Pigeon Land</v>
          </cell>
          <cell r="K10" t="str">
            <v>ブルガリア: Bulgaria</v>
          </cell>
        </row>
        <row r="11">
          <cell r="B11" t="str">
            <v>MagMag:ﾏｸﾞﾏｸﾞ</v>
          </cell>
          <cell r="D11" t="str">
            <v>IDR:ｲﾝﾄﾞﾈｼｱﾙﾋﾟｱ</v>
          </cell>
          <cell r="E11" t="str">
            <v>130000:Goodwill のれん</v>
          </cell>
          <cell r="G11">
            <v>10</v>
          </cell>
          <cell r="I11" t="str">
            <v>Pigeon T Center</v>
          </cell>
          <cell r="K11" t="str">
            <v>カナダ: Canada</v>
          </cell>
        </row>
        <row r="12">
          <cell r="B12" t="str">
            <v>Baby Juice:ﾍﾞﾋﾞｰ飲料</v>
          </cell>
          <cell r="D12" t="str">
            <v>MYR:ﾏﾚｰｼｱﾘﾝｷﾞｯﾄ</v>
          </cell>
          <cell r="E12" t="str">
            <v>131000:Telephone rights 電話加入権</v>
          </cell>
          <cell r="G12">
            <v>11</v>
          </cell>
          <cell r="I12" t="str">
            <v>Lansinoh</v>
          </cell>
          <cell r="K12" t="str">
            <v>チリ: Chile</v>
          </cell>
        </row>
        <row r="13">
          <cell r="B13" t="str">
            <v>Baby Food:ﾍﾞﾋﾞｰﾌｰﾄﾞ</v>
          </cell>
          <cell r="D13" t="str">
            <v>TYR:ﾄﾙｺﾘﾗ</v>
          </cell>
          <cell r="E13" t="str">
            <v>132000:Trade-mark rights 商標権</v>
          </cell>
          <cell r="G13">
            <v>12</v>
          </cell>
          <cell r="I13" t="str">
            <v>Pigeon Indonesia</v>
          </cell>
          <cell r="K13" t="str">
            <v>中国: China</v>
          </cell>
        </row>
        <row r="14">
          <cell r="B14" t="str">
            <v>Baby Snack:おやつ</v>
          </cell>
          <cell r="D14" t="str">
            <v>JPY:日本円</v>
          </cell>
          <cell r="E14" t="str">
            <v>133000:Utilities access rights  施設利用権</v>
          </cell>
          <cell r="K14" t="str">
            <v>コスタ・リカ: Costa Rica</v>
          </cell>
        </row>
        <row r="15">
          <cell r="B15" t="str">
            <v>Baby Skincare:ﾍﾞﾋﾞｰｽｷﾝｹｱ</v>
          </cell>
          <cell r="E15" t="str">
            <v>134000:Software ソフトウェア</v>
          </cell>
          <cell r="K15" t="str">
            <v>デンマーク: Denmark</v>
          </cell>
        </row>
        <row r="16">
          <cell r="B16" t="str">
            <v>Baby Wipes:おしりﾅｯﾌﾟ</v>
          </cell>
          <cell r="E16" t="str">
            <v>136000:Other intangible fixed assets その他無形固定資産</v>
          </cell>
          <cell r="K16" t="str">
            <v>イギリス: England</v>
          </cell>
        </row>
        <row r="17">
          <cell r="B17" t="str">
            <v>Baby Wet Tissue:ﾍﾞﾋﾞｰｳｪｯﾄﾃｨｼｭ</v>
          </cell>
          <cell r="K17" t="str">
            <v>ヨーロッパ地域その他: Europe Others</v>
          </cell>
        </row>
        <row r="18">
          <cell r="B18" t="str">
            <v>Baby Hygiene Disposable:ﾍﾞﾋﾞｰ衛生消耗</v>
          </cell>
          <cell r="K18" t="str">
            <v>フィンランド: Finland</v>
          </cell>
        </row>
        <row r="19">
          <cell r="B19" t="str">
            <v>Baby Hygiene Products:ﾍﾞﾋﾞｰ衛生雑貨</v>
          </cell>
          <cell r="K19" t="str">
            <v>フランス: France</v>
          </cell>
        </row>
        <row r="20">
          <cell r="B20" t="str">
            <v>Baby Health Care:ﾍﾞﾋﾞｰﾍﾙｽｹｱ</v>
          </cell>
          <cell r="K20" t="str">
            <v>ドイツ: Germany</v>
          </cell>
        </row>
        <row r="21">
          <cell r="B21" t="str">
            <v>Baby Elimination Care:ﾍﾞﾋﾞｰ排泄関連</v>
          </cell>
          <cell r="K21" t="str">
            <v>ギリシャ: Greece</v>
          </cell>
        </row>
        <row r="22">
          <cell r="B22" t="str">
            <v>Safety Products:ﾍﾞﾋﾞｰ環境関連</v>
          </cell>
          <cell r="K22" t="str">
            <v>グアム（米）: Guam</v>
          </cell>
        </row>
        <row r="23">
          <cell r="B23" t="str">
            <v>Pacifier&amp;Toy:おしゃぶり&amp;ﾄｲ</v>
          </cell>
          <cell r="K23" t="str">
            <v>ホンデュラス: Honduras</v>
          </cell>
        </row>
        <row r="24">
          <cell r="B24" t="str">
            <v>Baby Outing:ﾍﾞﾋﾞｰ外出</v>
          </cell>
          <cell r="K24" t="str">
            <v>香港: Hong Kong</v>
          </cell>
        </row>
        <row r="25">
          <cell r="B25" t="str">
            <v>Info. Service:ﾍﾞﾋﾞｰ情報ｻｰﾋﾞｽ</v>
          </cell>
          <cell r="K25" t="str">
            <v>ハンガリー: Hungary</v>
          </cell>
        </row>
        <row r="26">
          <cell r="B26" t="str">
            <v>Baby Medicine:ﾍﾞﾋﾞｰ医薬品</v>
          </cell>
          <cell r="K26" t="str">
            <v>アイスランド: Iceland</v>
          </cell>
        </row>
        <row r="27">
          <cell r="B27" t="str">
            <v>Baby Others:ﾍﾞﾋﾞｰその他</v>
          </cell>
          <cell r="K27" t="str">
            <v>インド: India</v>
          </cell>
        </row>
        <row r="28">
          <cell r="B28" t="str">
            <v>Maternity Inner:女性ｹｱ衣料品</v>
          </cell>
          <cell r="K28" t="str">
            <v>インドネシア: Indonesia</v>
          </cell>
        </row>
        <row r="29">
          <cell r="B29" t="str">
            <v>Maternity Skincare:女性ｹｱｽｷﾝｹｱ</v>
          </cell>
          <cell r="K29" t="str">
            <v>アイルランド: Ireland</v>
          </cell>
        </row>
        <row r="30">
          <cell r="B30" t="str">
            <v>Hygiene for Women:女性ｹｱ衛生関連</v>
          </cell>
          <cell r="K30" t="str">
            <v>イスラエル: Israel</v>
          </cell>
        </row>
        <row r="31">
          <cell r="B31" t="str">
            <v>Health Care for Women:女性ｹｱﾍﾙｽｹｱ</v>
          </cell>
          <cell r="K31" t="str">
            <v>イタリア: Italy</v>
          </cell>
        </row>
        <row r="32">
          <cell r="B32" t="str">
            <v>Supplyment:ｻﾌﾟﾘﾒﾝﾄ</v>
          </cell>
          <cell r="K32" t="str">
            <v>ジャマイカ: Jamaica</v>
          </cell>
        </row>
        <row r="33">
          <cell r="B33" t="str">
            <v>Women Others:女性ｹｱその他</v>
          </cell>
          <cell r="K33" t="str">
            <v>日本: Japan</v>
          </cell>
        </row>
        <row r="34">
          <cell r="B34" t="str">
            <v>Diaper for Adult:HHC紙おむつ</v>
          </cell>
          <cell r="K34" t="str">
            <v>韓国: Korea</v>
          </cell>
        </row>
        <row r="35">
          <cell r="B35" t="str">
            <v>Diaper Pads for Adult:HHC尿とりﾊﾟｯﾄﾞ</v>
          </cell>
          <cell r="K35" t="str">
            <v>マレーシア: Malaysia</v>
          </cell>
        </row>
        <row r="36">
          <cell r="B36" t="str">
            <v>Elimination for Adult:HHC排泄ｹｱ</v>
          </cell>
          <cell r="K36" t="str">
            <v>マルタ: Marta</v>
          </cell>
        </row>
        <row r="37">
          <cell r="B37" t="str">
            <v>Bladder Control Pads for Adult:HHC尿もれｹｱ</v>
          </cell>
          <cell r="K37" t="str">
            <v>モーリシャス: Mauritius</v>
          </cell>
        </row>
        <row r="38">
          <cell r="B38" t="str">
            <v>Toiletries for Adult:HHCｽｷﾝｹｱ</v>
          </cell>
          <cell r="K38" t="str">
            <v>メキシコ: Mexico</v>
          </cell>
        </row>
        <row r="39">
          <cell r="B39" t="str">
            <v>Health Care for Adult:HHCﾍﾙｽｹｱ</v>
          </cell>
          <cell r="K39" t="str">
            <v>モルディブ: Moldives</v>
          </cell>
        </row>
        <row r="40">
          <cell r="B40" t="str">
            <v>Feeding for Adult:HHC食事関連</v>
          </cell>
          <cell r="K40" t="str">
            <v>オランダ: Netherlands</v>
          </cell>
        </row>
        <row r="41">
          <cell r="B41" t="str">
            <v>Walking Support for Adult:HHC歩行補助</v>
          </cell>
          <cell r="K41" t="str">
            <v>ニュー・ジーランド: New Zealand</v>
          </cell>
        </row>
        <row r="42">
          <cell r="B42" t="str">
            <v>Family Use Products for Adult:HHCﾌｧﾐﾘｰﾕｰｽ</v>
          </cell>
          <cell r="K42" t="str">
            <v>パキスタン: Pakistan</v>
          </cell>
        </row>
        <row r="43">
          <cell r="B43" t="str">
            <v>Other for Adult:HHCその他</v>
          </cell>
          <cell r="K43" t="str">
            <v>パナマ: Panama</v>
          </cell>
        </row>
        <row r="44">
          <cell r="B44" t="str">
            <v>Promotional Item for Baby:育児企画品</v>
          </cell>
          <cell r="K44" t="str">
            <v>ペルー: Peru</v>
          </cell>
        </row>
        <row r="45">
          <cell r="B45" t="str">
            <v>Promotional Products for Women:女性ｹｱ企画品</v>
          </cell>
          <cell r="K45" t="str">
            <v>フィリピン: Philippine</v>
          </cell>
        </row>
        <row r="46">
          <cell r="B46" t="str">
            <v>Promotional Products for Adult:HHC企画品</v>
          </cell>
          <cell r="K46" t="str">
            <v>ポーランド: Poland</v>
          </cell>
        </row>
        <row r="47">
          <cell r="K47" t="str">
            <v>ポルトガル: Portugal</v>
          </cell>
        </row>
        <row r="48">
          <cell r="K48" t="str">
            <v>プエルトリコ（米）: Puerto Rico</v>
          </cell>
        </row>
        <row r="49">
          <cell r="K49" t="str">
            <v>ロシア: Russia</v>
          </cell>
        </row>
        <row r="50">
          <cell r="K50" t="str">
            <v>南アフリカ: S. Africa</v>
          </cell>
        </row>
        <row r="51">
          <cell r="K51" t="str">
            <v>サモア: Samoa</v>
          </cell>
        </row>
        <row r="52">
          <cell r="K52" t="str">
            <v>シンガポール: Singapore</v>
          </cell>
        </row>
        <row r="53">
          <cell r="K53" t="str">
            <v>スペイン: Spain</v>
          </cell>
        </row>
        <row r="54">
          <cell r="K54" t="str">
            <v>スリランカ: Sri Lanka</v>
          </cell>
        </row>
        <row r="55">
          <cell r="K55" t="str">
            <v>スリナム: Suriname</v>
          </cell>
        </row>
        <row r="56">
          <cell r="K56" t="str">
            <v>スウェーデン: Sweden</v>
          </cell>
        </row>
        <row r="57">
          <cell r="K57" t="str">
            <v>スイス: Switzerland</v>
          </cell>
        </row>
        <row r="58">
          <cell r="K58" t="str">
            <v>台湾: Taiwan</v>
          </cell>
        </row>
        <row r="59">
          <cell r="K59" t="str">
            <v>タイ: Thailand</v>
          </cell>
        </row>
        <row r="60">
          <cell r="K60" t="str">
            <v>トルコ: Turkey</v>
          </cell>
        </row>
        <row r="61">
          <cell r="K61" t="str">
            <v>UAE: UAE</v>
          </cell>
        </row>
        <row r="62">
          <cell r="K62" t="str">
            <v>アメリカ: United States</v>
          </cell>
        </row>
        <row r="63">
          <cell r="K63" t="str">
            <v>ベトナム: Vietnum</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個別(FS-311）"/>
      <sheetName val="科目（FS-311）"/>
      <sheetName val="Sheet1"/>
      <sheetName val="iNVENTORY DIFF"/>
      <sheetName val="01.TOT_SUM"/>
      <sheetName val="01.02.TOT_DIFF"/>
      <sheetName val="Analysis Report "/>
      <sheetName val="02.DET_SUM"/>
      <sheetName val="03.PRD_SUM"/>
      <sheetName val="04.PUR_SUMM"/>
      <sheetName val="05.SAL_SUMM"/>
      <sheetName val="06.CONSUMP"/>
      <sheetName val="06.A_CON_DET"/>
      <sheetName val="07.01 ADJUT_SUM"/>
      <sheetName val="07.ADJ_STK"/>
      <sheetName val="08.PROVISON OF SALES GIT"/>
      <sheetName val="05.store Working"/>
      <sheetName val="09.PROD STK"/>
      <sheetName val="10.ERP STOCK"/>
      <sheetName val="11.Stage_erp"/>
      <sheetName val="Sheet1 (2)"/>
      <sheetName val="Raw consumpption"/>
      <sheetName val="Difference Summary (3)"/>
      <sheetName val="Sheet5"/>
      <sheetName val="Difference Summary (2)"/>
      <sheetName val="Sheet13"/>
      <sheetName val="Sheet12"/>
      <sheetName val="Difference Summary"/>
      <sheetName val="Sheet9"/>
      <sheetName val="Sheet8"/>
      <sheetName val="Sheet10"/>
      <sheetName val="reject"/>
      <sheetName val="Sheet7"/>
      <sheetName val="Sheet6"/>
      <sheetName val="Sheet2"/>
      <sheetName val="Sheet4"/>
      <sheetName val="Sheet2 (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LUM"/>
      <sheetName val="DKI"/>
      <sheetName val="SBY"/>
      <sheetName val="SALES 2003"/>
      <sheetName val="SALES 2002"/>
      <sheetName val="SALES 2003 PER UNIT"/>
      <sheetName val="agt"/>
      <sheetName val="sep"/>
      <sheetName val="okt"/>
      <sheetName val="nov"/>
      <sheetName val="des"/>
      <sheetName val="jan"/>
      <sheetName val="feb"/>
      <sheetName val="mar"/>
      <sheetName val="apr"/>
      <sheetName val="mei"/>
      <sheetName val="jun"/>
      <sheetName val="jul"/>
      <sheetName val="KOSONG"/>
      <sheetName val="Ay080671"/>
      <sheetName val="SALES 1997 - 2002"/>
      <sheetName val="SALES_2003"/>
      <sheetName val="SALES_2002"/>
      <sheetName val="SALES_2003_PER_UNIT"/>
      <sheetName val="SALES_1997_-_2002"/>
    </sheetNames>
    <sheetDataSet>
      <sheetData sheetId="0"/>
      <sheetData sheetId="1"/>
      <sheetData sheetId="2"/>
      <sheetData sheetId="3" refreshError="1">
        <row r="1003">
          <cell r="D1003" t="str">
            <v>Two Way Cake P13 Warm Beige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April10"/>
      <sheetName val="Sheet4"/>
      <sheetName val="Master"/>
      <sheetName val="Transaction"/>
      <sheetName val="Approve"/>
      <sheetName val="Approve (2)"/>
      <sheetName val="Nov10 (2)"/>
      <sheetName val="Sheet17"/>
      <sheetName val="Dec10"/>
      <sheetName val="Nov10"/>
      <sheetName val="Sep01"/>
      <sheetName val="Aug01"/>
      <sheetName val="July10"/>
      <sheetName val="Jun10"/>
      <sheetName val="May10"/>
      <sheetName val="March10"/>
      <sheetName val="Oct10"/>
      <sheetName val="JP Format"/>
      <sheetName val="Credit Note 2010"/>
      <sheetName val="Credit Note 2010 (2)"/>
      <sheetName val="Invoice"/>
      <sheetName val="Database"/>
      <sheetName val="2009"/>
      <sheetName val="2006"/>
      <sheetName val="2007"/>
      <sheetName val="2008"/>
      <sheetName val="History 2005-2010 - Aug"/>
      <sheetName val="Nav Japan"/>
      <sheetName val="M-Japan"/>
      <sheetName val="JP"/>
      <sheetName val="Sheet13"/>
      <sheetName val="PIT+MPI"/>
      <sheetName val="Sheet2"/>
      <sheetName val="Sheet7"/>
      <sheetName val="Mag"/>
      <sheetName val="Target MPI"/>
      <sheetName val="History 2008+2009"/>
      <sheetName val="Import Dec-Feb11"/>
      <sheetName val="Kitty#1"/>
      <sheetName val="Sheet10"/>
      <sheetName val="D311"/>
      <sheetName val="cost referance"/>
      <sheetName val="kpi"/>
      <sheetName val="Import 25-Nov"/>
      <sheetName val="slow"/>
      <sheetName val="Sheet5"/>
      <sheetName val="Nav"/>
      <sheetName val="cost"/>
      <sheetName val="Sheet15"/>
      <sheetName val="parts MPI forecast"/>
      <sheetName val="บริจาค"/>
      <sheetName val="Sheet6"/>
      <sheetName val="Nov"/>
      <sheetName val="Sheet1"/>
      <sheetName val="m"/>
      <sheetName val="Sheet9"/>
      <sheetName val="Sheet8"/>
      <sheetName val="Sheet11"/>
      <sheetName val="Sheet12"/>
      <sheetName val="Sheet3"/>
      <sheetName val="Sheet14"/>
      <sheetName val="Dec10 (2)"/>
      <sheetName val="History 2005-2010"/>
      <sheetName val="7-Jan"/>
      <sheetName val="Master (2)"/>
      <sheetName val="Free"/>
      <sheetName val="Hos-bot"/>
      <sheetName val="May-11"/>
      <sheetName val="Apr-11"/>
      <sheetName val="Mar-11"/>
      <sheetName val="Jan-11"/>
      <sheetName val="Feb-11"/>
      <sheetName val="May-11 (2)"/>
      <sheetName val="Japan-report"/>
      <sheetName val="cnMar"/>
      <sheetName val="CN-May"/>
      <sheetName val="CreditNote2011"/>
      <sheetName val="Forecast MG"/>
      <sheetName val="mp"/>
      <sheetName val="Plan4"/>
      <sheetName val="Plan5"/>
      <sheetName val="kitty"/>
      <sheetName val="kitty (2)"/>
      <sheetName val="MG forecast"/>
      <sheetName val="KK"/>
      <sheetName val="Sheet3 (2)"/>
      <sheetName val="Follow"/>
      <sheetName val="CN-Jun"/>
      <sheetName val=""/>
      <sheetName val="Feb-Japan"/>
      <sheetName val="Credit Note 2011"/>
      <sheetName val="CN2011"/>
      <sheetName val="CN2011 (2)"/>
      <sheetName val="Credit Note 2011 (2)"/>
      <sheetName val="plan1"/>
      <sheetName val="plan2"/>
      <sheetName val="plan3"/>
      <sheetName val="1"/>
      <sheetName val="2"/>
      <sheetName val="1-Feb"/>
      <sheetName val="Jan-11 (2)"/>
      <sheetName val="Mar-11-japan"/>
      <sheetName val="Comparison report"/>
      <sheetName val="plan"/>
      <sheetName val="Feb11"/>
      <sheetName val="Sep01 (2)"/>
      <sheetName val="July10 (2)"/>
      <sheetName val="Kitty 8-Jun"/>
      <sheetName val="Kitty 8-Jun (2)"/>
      <sheetName val="Kitty#2"/>
      <sheetName val="kitty1+2"/>
      <sheetName val="Oct"/>
      <sheetName val="Oct10 (2)"/>
      <sheetName val="Sample Rep end of Month"/>
      <sheetName val="Data1 2009"/>
      <sheetName val="Data2 2009 "/>
      <sheetName val="Lotcontrol_sheet"/>
      <sheetName val="Japan2005-2010 - Feb"/>
      <sheetName val="Jun10 (2)"/>
      <sheetName val="Sheet1 (2)"/>
      <sheetName val="Target MPI (2)"/>
      <sheetName val="2008+2009"/>
      <sheetName val="Approve_(2)3"/>
      <sheetName val="Nov10_(2)3"/>
      <sheetName val="JP_Format3"/>
      <sheetName val="Credit_Note_20103"/>
      <sheetName val="Credit_Note_2010_(2)3"/>
      <sheetName val="History_2005-2010_-_Aug3"/>
      <sheetName val="Nav_Japan3"/>
      <sheetName val="Target_MPI3"/>
      <sheetName val="History_2008+20093"/>
      <sheetName val="Import_Dec-Feb113"/>
      <sheetName val="cost_referance3"/>
      <sheetName val="Import_25-Nov3"/>
      <sheetName val="parts_MPI_forecast3"/>
      <sheetName val="Dec10_(2)3"/>
      <sheetName val="History_2005-20103"/>
      <sheetName val="Master_(2)3"/>
      <sheetName val="May-11_(2)3"/>
      <sheetName val="Forecast_MG3"/>
      <sheetName val="kitty_(2)3"/>
      <sheetName val="MG_forecast3"/>
      <sheetName val="Sheet3_(2)3"/>
      <sheetName val="Credit_Note_20113"/>
      <sheetName val="CN2011_(2)3"/>
      <sheetName val="Credit_Note_2011_(2)3"/>
      <sheetName val="Jan-11_(2)3"/>
      <sheetName val="Comparison_report3"/>
      <sheetName val="Sep01_(2)3"/>
      <sheetName val="July10_(2)3"/>
      <sheetName val="Kitty_8-Jun3"/>
      <sheetName val="Kitty_8-Jun_(2)3"/>
      <sheetName val="Oct10_(2)3"/>
      <sheetName val="Sample_Rep_end_of_Month3"/>
      <sheetName val="Data1_20093"/>
      <sheetName val="Data2_2009_3"/>
      <sheetName val="Japan2005-2010_-_Feb3"/>
      <sheetName val="Jun10_(2)3"/>
      <sheetName val="Sheet1_(2)3"/>
      <sheetName val="Target_MPI_(2)3"/>
      <sheetName val="Approve_(2)2"/>
      <sheetName val="Nov10_(2)2"/>
      <sheetName val="JP_Format2"/>
      <sheetName val="Credit_Note_20102"/>
      <sheetName val="Credit_Note_2010_(2)2"/>
      <sheetName val="History_2005-2010_-_Aug2"/>
      <sheetName val="Nav_Japan2"/>
      <sheetName val="Target_MPI2"/>
      <sheetName val="History_2008+20092"/>
      <sheetName val="Import_Dec-Feb112"/>
      <sheetName val="cost_referance2"/>
      <sheetName val="Import_25-Nov2"/>
      <sheetName val="parts_MPI_forecast2"/>
      <sheetName val="Dec10_(2)2"/>
      <sheetName val="History_2005-20102"/>
      <sheetName val="Master_(2)2"/>
      <sheetName val="May-11_(2)2"/>
      <sheetName val="Forecast_MG2"/>
      <sheetName val="kitty_(2)2"/>
      <sheetName val="MG_forecast2"/>
      <sheetName val="Sheet3_(2)2"/>
      <sheetName val="Credit_Note_20112"/>
      <sheetName val="CN2011_(2)2"/>
      <sheetName val="Credit_Note_2011_(2)2"/>
      <sheetName val="Jan-11_(2)2"/>
      <sheetName val="Comparison_report2"/>
      <sheetName val="Sep01_(2)2"/>
      <sheetName val="July10_(2)2"/>
      <sheetName val="Kitty_8-Jun2"/>
      <sheetName val="Kitty_8-Jun_(2)2"/>
      <sheetName val="Oct10_(2)2"/>
      <sheetName val="Sample_Rep_end_of_Month2"/>
      <sheetName val="Data1_20092"/>
      <sheetName val="Data2_2009_2"/>
      <sheetName val="Japan2005-2010_-_Feb2"/>
      <sheetName val="Jun10_(2)2"/>
      <sheetName val="Sheet1_(2)2"/>
      <sheetName val="Target_MPI_(2)2"/>
      <sheetName val="Approve_(2)"/>
      <sheetName val="Nov10_(2)"/>
      <sheetName val="JP_Format"/>
      <sheetName val="Credit_Note_2010"/>
      <sheetName val="Credit_Note_2010_(2)"/>
      <sheetName val="History_2005-2010_-_Aug"/>
      <sheetName val="Nav_Japan"/>
      <sheetName val="Target_MPI"/>
      <sheetName val="History_2008+2009"/>
      <sheetName val="Import_Dec-Feb11"/>
      <sheetName val="cost_referance"/>
      <sheetName val="Import_25-Nov"/>
      <sheetName val="parts_MPI_forecast"/>
      <sheetName val="Dec10_(2)"/>
      <sheetName val="History_2005-2010"/>
      <sheetName val="Master_(2)"/>
      <sheetName val="May-11_(2)"/>
      <sheetName val="Forecast_MG"/>
      <sheetName val="kitty_(2)"/>
      <sheetName val="MG_forecast"/>
      <sheetName val="Sheet3_(2)"/>
      <sheetName val="Credit_Note_2011"/>
      <sheetName val="CN2011_(2)"/>
      <sheetName val="Credit_Note_2011_(2)"/>
      <sheetName val="Jan-11_(2)"/>
      <sheetName val="Comparison_report"/>
      <sheetName val="Sep01_(2)"/>
      <sheetName val="July10_(2)"/>
      <sheetName val="Kitty_8-Jun"/>
      <sheetName val="Kitty_8-Jun_(2)"/>
      <sheetName val="Oct10_(2)"/>
      <sheetName val="Sample_Rep_end_of_Month"/>
      <sheetName val="Data1_2009"/>
      <sheetName val="Data2_2009_"/>
      <sheetName val="Japan2005-2010_-_Feb"/>
      <sheetName val="Jun10_(2)"/>
      <sheetName val="Sheet1_(2)"/>
      <sheetName val="Target_MPI_(2)"/>
      <sheetName val="Approve_(2)1"/>
      <sheetName val="Nov10_(2)1"/>
      <sheetName val="JP_Format1"/>
      <sheetName val="Credit_Note_20101"/>
      <sheetName val="Credit_Note_2010_(2)1"/>
      <sheetName val="History_2005-2010_-_Aug1"/>
      <sheetName val="Nav_Japan1"/>
      <sheetName val="Target_MPI1"/>
      <sheetName val="History_2008+20091"/>
      <sheetName val="Import_Dec-Feb111"/>
      <sheetName val="cost_referance1"/>
      <sheetName val="Import_25-Nov1"/>
      <sheetName val="parts_MPI_forecast1"/>
      <sheetName val="Dec10_(2)1"/>
      <sheetName val="History_2005-20101"/>
      <sheetName val="Master_(2)1"/>
      <sheetName val="May-11_(2)1"/>
      <sheetName val="Forecast_MG1"/>
      <sheetName val="kitty_(2)1"/>
      <sheetName val="MG_forecast1"/>
      <sheetName val="Sheet3_(2)1"/>
      <sheetName val="Credit_Note_20111"/>
      <sheetName val="CN2011_(2)1"/>
      <sheetName val="Credit_Note_2011_(2)1"/>
      <sheetName val="Jan-11_(2)1"/>
      <sheetName val="Comparison_report1"/>
      <sheetName val="Sep01_(2)1"/>
      <sheetName val="July10_(2)1"/>
      <sheetName val="Kitty_8-Jun1"/>
      <sheetName val="Kitty_8-Jun_(2)1"/>
      <sheetName val="Oct10_(2)1"/>
      <sheetName val="Sample_Rep_end_of_Month1"/>
      <sheetName val="Data1_20091"/>
      <sheetName val="Data2_2009_1"/>
      <sheetName val="Japan2005-2010_-_Feb1"/>
      <sheetName val="Jun10_(2)1"/>
      <sheetName val="Sheet1_(2)1"/>
      <sheetName val="Target_MPI_(2)1"/>
      <sheetName val="Approve_(2)4"/>
      <sheetName val="Nov10_(2)4"/>
      <sheetName val="JP_Format4"/>
      <sheetName val="Credit_Note_20104"/>
      <sheetName val="Credit_Note_2010_(2)4"/>
      <sheetName val="History_2005-2010_-_Aug4"/>
      <sheetName val="Nav_Japan4"/>
      <sheetName val="Target_MPI4"/>
      <sheetName val="History_2008+20094"/>
      <sheetName val="Import_Dec-Feb114"/>
      <sheetName val="cost_referance4"/>
      <sheetName val="Import_25-Nov4"/>
      <sheetName val="parts_MPI_forecast4"/>
      <sheetName val="Dec10_(2)4"/>
      <sheetName val="History_2005-20104"/>
      <sheetName val="Master_(2)4"/>
      <sheetName val="May-11_(2)4"/>
      <sheetName val="Forecast_MG4"/>
      <sheetName val="kitty_(2)4"/>
      <sheetName val="MG_forecast4"/>
      <sheetName val="Sheet3_(2)4"/>
      <sheetName val="Credit_Note_20114"/>
      <sheetName val="CN2011_(2)4"/>
      <sheetName val="Credit_Note_2011_(2)4"/>
      <sheetName val="Jan-11_(2)4"/>
      <sheetName val="Comparison_report4"/>
      <sheetName val="Sep01_(2)4"/>
      <sheetName val="July10_(2)4"/>
      <sheetName val="Kitty_8-Jun4"/>
      <sheetName val="Kitty_8-Jun_(2)4"/>
      <sheetName val="Oct10_(2)4"/>
      <sheetName val="Sample_Rep_end_of_Month4"/>
      <sheetName val="Data1_20094"/>
      <sheetName val="Data2_2009_4"/>
      <sheetName val="Japan2005-2010_-_Feb4"/>
      <sheetName val="Jun10_(2)4"/>
      <sheetName val="Sheet1_(2)4"/>
      <sheetName val="Target_MPI_(2)4"/>
      <sheetName val="Approve_(2)5"/>
      <sheetName val="Nov10_(2)5"/>
      <sheetName val="JP_Format5"/>
      <sheetName val="Credit_Note_20105"/>
      <sheetName val="Credit_Note_2010_(2)5"/>
      <sheetName val="History_2005-2010_-_Aug5"/>
      <sheetName val="Nav_Japan5"/>
      <sheetName val="Target_MPI5"/>
      <sheetName val="History_2008+20095"/>
      <sheetName val="Import_Dec-Feb115"/>
      <sheetName val="cost_referance5"/>
      <sheetName val="Import_25-Nov5"/>
      <sheetName val="parts_MPI_forecast5"/>
      <sheetName val="Dec10_(2)5"/>
      <sheetName val="History_2005-20105"/>
      <sheetName val="Master_(2)5"/>
      <sheetName val="May-11_(2)5"/>
      <sheetName val="Forecast_MG5"/>
      <sheetName val="kitty_(2)5"/>
      <sheetName val="MG_forecast5"/>
      <sheetName val="Sheet3_(2)5"/>
      <sheetName val="Credit_Note_20115"/>
      <sheetName val="CN2011_(2)5"/>
      <sheetName val="Credit_Note_2011_(2)5"/>
      <sheetName val="Jan-11_(2)5"/>
      <sheetName val="Comparison_report5"/>
      <sheetName val="Sep01_(2)5"/>
      <sheetName val="July10_(2)5"/>
      <sheetName val="Kitty_8-Jun5"/>
      <sheetName val="Kitty_8-Jun_(2)5"/>
      <sheetName val="Oct10_(2)5"/>
      <sheetName val="Sample_Rep_end_of_Month5"/>
      <sheetName val="Data1_20095"/>
      <sheetName val="Data2_2009_5"/>
      <sheetName val="Japan2005-2010_-_Feb5"/>
      <sheetName val="Jun10_(2)5"/>
      <sheetName val="Sheet1_(2)5"/>
      <sheetName val="Target_MPI_(2)5"/>
    </sheetNames>
    <sheetDataSet>
      <sheetData sheetId="0" refreshError="1"/>
      <sheetData sheetId="1" refreshError="1"/>
      <sheetData sheetId="2" refreshError="1"/>
      <sheetData sheetId="3" refreshError="1">
        <row r="1">
          <cell r="A1" t="str">
            <v>No</v>
          </cell>
          <cell r="B1">
            <v>1</v>
          </cell>
          <cell r="C1" t="str">
            <v>Code_02</v>
          </cell>
          <cell r="D1" t="str">
            <v>GRP_01</v>
          </cell>
          <cell r="E1" t="str">
            <v>GRP_02</v>
          </cell>
          <cell r="F1" t="str">
            <v>MPM GRP</v>
          </cell>
          <cell r="G1" t="str">
            <v>GRP_04</v>
          </cell>
          <cell r="H1" t="str">
            <v>GRP_05</v>
          </cell>
          <cell r="I1" t="str">
            <v>Size</v>
          </cell>
          <cell r="J1" t="str">
            <v>Description</v>
          </cell>
          <cell r="K1" t="str">
            <v>Description</v>
          </cell>
          <cell r="L1" t="str">
            <v>Unit Prc</v>
          </cell>
          <cell r="M1" t="str">
            <v>Pcs/Ctn</v>
          </cell>
          <cell r="N1" t="str">
            <v>QBM</v>
          </cell>
          <cell r="O1" t="str">
            <v>Weight</v>
          </cell>
          <cell r="P1" t="str">
            <v>PIGEON CODE</v>
          </cell>
          <cell r="Q1" t="str">
            <v>Start Date</v>
          </cell>
          <cell r="R1" t="str">
            <v>REF#</v>
          </cell>
          <cell r="S1" t="str">
            <v>Full</v>
          </cell>
          <cell r="T1" t="str">
            <v>Navision code</v>
          </cell>
          <cell r="U1" t="str">
            <v>Japan Des</v>
          </cell>
          <cell r="V1" t="str">
            <v>Old Description</v>
          </cell>
        </row>
        <row r="2">
          <cell r="A2">
            <v>1</v>
          </cell>
          <cell r="B2" t="str">
            <v>4RF-D1</v>
          </cell>
        </row>
        <row r="3">
          <cell r="A3">
            <v>2</v>
          </cell>
          <cell r="B3" t="str">
            <v>4RV-D1</v>
          </cell>
        </row>
        <row r="4">
          <cell r="A4">
            <v>3</v>
          </cell>
          <cell r="B4" t="str">
            <v>4RW-D1</v>
          </cell>
        </row>
        <row r="5">
          <cell r="A5">
            <v>4</v>
          </cell>
          <cell r="B5" t="str">
            <v>8RF-D1</v>
          </cell>
        </row>
        <row r="6">
          <cell r="A6">
            <v>5</v>
          </cell>
          <cell r="B6" t="str">
            <v>8RV-D1</v>
          </cell>
        </row>
        <row r="7">
          <cell r="A7">
            <v>6</v>
          </cell>
          <cell r="B7" t="str">
            <v>8RW-D1</v>
          </cell>
        </row>
        <row r="8">
          <cell r="A8">
            <v>7</v>
          </cell>
          <cell r="B8" t="str">
            <v>4RF-M1</v>
          </cell>
        </row>
        <row r="9">
          <cell r="A9">
            <v>8</v>
          </cell>
          <cell r="B9" t="str">
            <v>4RV-M1</v>
          </cell>
        </row>
        <row r="10">
          <cell r="A10">
            <v>9</v>
          </cell>
          <cell r="B10" t="str">
            <v>4RW-M1</v>
          </cell>
        </row>
        <row r="11">
          <cell r="A11">
            <v>10</v>
          </cell>
          <cell r="B11" t="str">
            <v>8RF-M1</v>
          </cell>
        </row>
        <row r="12">
          <cell r="A12">
            <v>11</v>
          </cell>
          <cell r="B12" t="str">
            <v>8RV-M1</v>
          </cell>
        </row>
        <row r="13">
          <cell r="A13">
            <v>12</v>
          </cell>
          <cell r="B13" t="str">
            <v>8RW-M1</v>
          </cell>
        </row>
        <row r="14">
          <cell r="A14">
            <v>13</v>
          </cell>
          <cell r="B14" t="str">
            <v>972-P1</v>
          </cell>
        </row>
        <row r="15">
          <cell r="A15">
            <v>14</v>
          </cell>
          <cell r="B15" t="str">
            <v>970-CR</v>
          </cell>
        </row>
        <row r="16">
          <cell r="A16">
            <v>15</v>
          </cell>
          <cell r="B16" t="str">
            <v>970-HR</v>
          </cell>
        </row>
        <row r="17">
          <cell r="A17">
            <v>16</v>
          </cell>
          <cell r="B17" t="str">
            <v>970-MC</v>
          </cell>
        </row>
        <row r="18">
          <cell r="A18">
            <v>17</v>
          </cell>
          <cell r="B18" t="str">
            <v>970-SM</v>
          </cell>
        </row>
        <row r="19">
          <cell r="A19">
            <v>18</v>
          </cell>
          <cell r="B19" t="str">
            <v>970-P9-K</v>
          </cell>
        </row>
        <row r="20">
          <cell r="A20">
            <v>19</v>
          </cell>
          <cell r="B20" t="str">
            <v>970-P9</v>
          </cell>
        </row>
        <row r="21">
          <cell r="A21">
            <v>20</v>
          </cell>
          <cell r="B21" t="str">
            <v>970-SH</v>
          </cell>
        </row>
        <row r="22">
          <cell r="A22">
            <v>21</v>
          </cell>
          <cell r="B22" t="str">
            <v>970-RV</v>
          </cell>
        </row>
        <row r="23">
          <cell r="A23">
            <v>22</v>
          </cell>
          <cell r="B23" t="str">
            <v>970-AU</v>
          </cell>
        </row>
        <row r="24">
          <cell r="A24">
            <v>23</v>
          </cell>
          <cell r="B24" t="str">
            <v>972-TB</v>
          </cell>
        </row>
        <row r="25">
          <cell r="A25">
            <v>24</v>
          </cell>
          <cell r="B25" t="str">
            <v>972-BC</v>
          </cell>
        </row>
        <row r="26">
          <cell r="A26">
            <v>25</v>
          </cell>
          <cell r="B26" t="str">
            <v>980-HR</v>
          </cell>
        </row>
        <row r="27">
          <cell r="A27">
            <v>26</v>
          </cell>
          <cell r="B27" t="str">
            <v>980-HRL</v>
          </cell>
        </row>
        <row r="28">
          <cell r="A28">
            <v>27</v>
          </cell>
          <cell r="B28" t="str">
            <v>980-MC</v>
          </cell>
        </row>
        <row r="29">
          <cell r="A29">
            <v>28</v>
          </cell>
          <cell r="B29" t="str">
            <v>970-H1</v>
          </cell>
        </row>
        <row r="30">
          <cell r="A30">
            <v>29</v>
          </cell>
          <cell r="B30" t="str">
            <v>974-H1</v>
          </cell>
        </row>
        <row r="31">
          <cell r="A31">
            <v>30</v>
          </cell>
          <cell r="B31" t="str">
            <v>974-H0</v>
          </cell>
        </row>
        <row r="32">
          <cell r="A32">
            <v>31</v>
          </cell>
          <cell r="B32" t="str">
            <v>970-HL</v>
          </cell>
        </row>
        <row r="33">
          <cell r="A33">
            <v>32</v>
          </cell>
          <cell r="B33" t="str">
            <v>970-H0</v>
          </cell>
        </row>
        <row r="34">
          <cell r="A34">
            <v>33</v>
          </cell>
          <cell r="B34" t="str">
            <v>970-P1</v>
          </cell>
        </row>
        <row r="35">
          <cell r="A35">
            <v>34</v>
          </cell>
          <cell r="B35" t="str">
            <v>970-TB</v>
          </cell>
        </row>
        <row r="36">
          <cell r="A36">
            <v>35</v>
          </cell>
          <cell r="B36" t="str">
            <v>970-TR</v>
          </cell>
        </row>
        <row r="37">
          <cell r="A37">
            <v>36</v>
          </cell>
          <cell r="B37" t="str">
            <v>970-SJ</v>
          </cell>
        </row>
        <row r="38">
          <cell r="A38">
            <v>37</v>
          </cell>
          <cell r="B38" t="str">
            <v>980-H1</v>
          </cell>
        </row>
        <row r="39">
          <cell r="A39">
            <v>38</v>
          </cell>
          <cell r="B39" t="str">
            <v>980-HL</v>
          </cell>
        </row>
        <row r="40">
          <cell r="A40">
            <v>39</v>
          </cell>
          <cell r="B40" t="str">
            <v>972-H1</v>
          </cell>
        </row>
        <row r="41">
          <cell r="A41">
            <v>40</v>
          </cell>
          <cell r="B41" t="str">
            <v>972-H1R</v>
          </cell>
        </row>
        <row r="42">
          <cell r="A42">
            <v>41</v>
          </cell>
          <cell r="B42" t="str">
            <v>972-HM</v>
          </cell>
        </row>
        <row r="43">
          <cell r="A43">
            <v>42</v>
          </cell>
          <cell r="B43" t="str">
            <v>972-H0</v>
          </cell>
        </row>
        <row r="44">
          <cell r="A44">
            <v>43</v>
          </cell>
          <cell r="B44" t="str">
            <v>972-VR</v>
          </cell>
        </row>
        <row r="45">
          <cell r="A45">
            <v>44</v>
          </cell>
          <cell r="B45" t="str">
            <v>972-KR</v>
          </cell>
        </row>
        <row r="46">
          <cell r="A46">
            <v>45</v>
          </cell>
          <cell r="B46" t="str">
            <v>972-PP</v>
          </cell>
        </row>
        <row r="47">
          <cell r="A47">
            <v>46</v>
          </cell>
          <cell r="B47" t="str">
            <v>972-NC</v>
          </cell>
        </row>
        <row r="48">
          <cell r="A48">
            <v>47</v>
          </cell>
          <cell r="B48" t="str">
            <v>972-CG</v>
          </cell>
        </row>
        <row r="49">
          <cell r="A49">
            <v>48</v>
          </cell>
          <cell r="B49" t="str">
            <v>972-RP</v>
          </cell>
        </row>
        <row r="50">
          <cell r="A50">
            <v>49</v>
          </cell>
          <cell r="B50" t="str">
            <v>972-TR</v>
          </cell>
        </row>
        <row r="51">
          <cell r="A51">
            <v>50</v>
          </cell>
          <cell r="B51" t="str">
            <v>972-SJ</v>
          </cell>
        </row>
        <row r="52">
          <cell r="A52">
            <v>51</v>
          </cell>
          <cell r="B52" t="str">
            <v>972-LN</v>
          </cell>
        </row>
        <row r="53">
          <cell r="A53">
            <v>52</v>
          </cell>
          <cell r="B53" t="str">
            <v>972-PN</v>
          </cell>
        </row>
        <row r="54">
          <cell r="A54">
            <v>53</v>
          </cell>
          <cell r="B54" t="str">
            <v>972-PL</v>
          </cell>
        </row>
        <row r="55">
          <cell r="A55">
            <v>54</v>
          </cell>
          <cell r="B55" t="str">
            <v>972-PT</v>
          </cell>
        </row>
        <row r="56">
          <cell r="A56">
            <v>55</v>
          </cell>
          <cell r="B56" t="str">
            <v>972-PM</v>
          </cell>
        </row>
        <row r="57">
          <cell r="A57">
            <v>56</v>
          </cell>
          <cell r="B57" t="str">
            <v>888-B1</v>
          </cell>
        </row>
        <row r="58">
          <cell r="A58">
            <v>57</v>
          </cell>
          <cell r="B58" t="str">
            <v>999-B1</v>
          </cell>
        </row>
        <row r="59">
          <cell r="A59">
            <v>58</v>
          </cell>
          <cell r="B59" t="str">
            <v>972-H0</v>
          </cell>
        </row>
        <row r="60">
          <cell r="A60">
            <v>59</v>
          </cell>
          <cell r="B60" t="str">
            <v>845-B1</v>
          </cell>
        </row>
        <row r="61">
          <cell r="A61">
            <v>60</v>
          </cell>
          <cell r="B61" t="str">
            <v>970-MCK</v>
          </cell>
        </row>
        <row r="62">
          <cell r="A62">
            <v>61</v>
          </cell>
          <cell r="B62" t="str">
            <v>973-HR</v>
          </cell>
        </row>
        <row r="63">
          <cell r="A63">
            <v>62</v>
          </cell>
          <cell r="B63" t="str">
            <v>980-RV</v>
          </cell>
        </row>
        <row r="64">
          <cell r="A64">
            <v>63</v>
          </cell>
          <cell r="B64" t="str">
            <v>982-VR</v>
          </cell>
        </row>
        <row r="65">
          <cell r="A65">
            <v>64</v>
          </cell>
          <cell r="B65" t="str">
            <v>982-H1</v>
          </cell>
        </row>
        <row r="66">
          <cell r="A66">
            <v>65</v>
          </cell>
          <cell r="B66" t="str">
            <v>982-NC</v>
          </cell>
        </row>
        <row r="67">
          <cell r="A67">
            <v>66</v>
          </cell>
          <cell r="B67" t="str">
            <v>982-H0</v>
          </cell>
        </row>
        <row r="68">
          <cell r="A68">
            <v>67</v>
          </cell>
          <cell r="B68" t="str">
            <v>983-HR</v>
          </cell>
        </row>
        <row r="69">
          <cell r="A69">
            <v>68</v>
          </cell>
          <cell r="B69" t="str">
            <v>PGA984-H1</v>
          </cell>
        </row>
        <row r="70">
          <cell r="A70">
            <v>69</v>
          </cell>
          <cell r="B70" t="str">
            <v>PGA974-H1</v>
          </cell>
        </row>
        <row r="71">
          <cell r="A71">
            <v>70</v>
          </cell>
          <cell r="B71" t="str">
            <v>895-BB</v>
          </cell>
        </row>
        <row r="72">
          <cell r="A72">
            <v>71</v>
          </cell>
          <cell r="B72" t="str">
            <v>895-BR</v>
          </cell>
        </row>
        <row r="73">
          <cell r="A73">
            <v>72</v>
          </cell>
          <cell r="B73" t="str">
            <v>895-BBP</v>
          </cell>
        </row>
        <row r="74">
          <cell r="A74">
            <v>73</v>
          </cell>
          <cell r="B74" t="str">
            <v>895-BRP</v>
          </cell>
        </row>
        <row r="75">
          <cell r="A75">
            <v>74</v>
          </cell>
          <cell r="B75" t="str">
            <v>894-BB</v>
          </cell>
        </row>
        <row r="76">
          <cell r="A76">
            <v>75</v>
          </cell>
          <cell r="B76" t="str">
            <v>894-BR</v>
          </cell>
        </row>
        <row r="77">
          <cell r="A77">
            <v>76</v>
          </cell>
          <cell r="B77" t="str">
            <v>894-BBP</v>
          </cell>
        </row>
        <row r="78">
          <cell r="A78">
            <v>77</v>
          </cell>
          <cell r="B78" t="str">
            <v>894-BRP</v>
          </cell>
        </row>
        <row r="79">
          <cell r="A79">
            <v>78</v>
          </cell>
          <cell r="B79" t="str">
            <v>4RA-D1</v>
          </cell>
        </row>
        <row r="80">
          <cell r="A80">
            <v>79</v>
          </cell>
          <cell r="B80" t="str">
            <v>4RM-D1</v>
          </cell>
        </row>
        <row r="81">
          <cell r="A81">
            <v>80</v>
          </cell>
          <cell r="B81" t="str">
            <v>4RS-D1</v>
          </cell>
        </row>
        <row r="82">
          <cell r="A82">
            <v>81</v>
          </cell>
          <cell r="B82" t="str">
            <v>8RA-D1</v>
          </cell>
        </row>
        <row r="83">
          <cell r="A83">
            <v>82</v>
          </cell>
          <cell r="B83" t="str">
            <v>8RM-D1</v>
          </cell>
        </row>
        <row r="84">
          <cell r="A84">
            <v>83</v>
          </cell>
          <cell r="B84" t="str">
            <v>8RS-D1</v>
          </cell>
        </row>
        <row r="85">
          <cell r="A85">
            <v>84</v>
          </cell>
          <cell r="B85" t="str">
            <v>4RA-M1</v>
          </cell>
        </row>
        <row r="86">
          <cell r="A86">
            <v>85</v>
          </cell>
          <cell r="B86" t="str">
            <v>4RM-M1</v>
          </cell>
        </row>
        <row r="87">
          <cell r="A87">
            <v>86</v>
          </cell>
          <cell r="B87" t="str">
            <v>4RS-M1</v>
          </cell>
        </row>
        <row r="88">
          <cell r="A88">
            <v>87</v>
          </cell>
          <cell r="B88" t="str">
            <v>8RA-M1</v>
          </cell>
        </row>
        <row r="89">
          <cell r="A89">
            <v>88</v>
          </cell>
          <cell r="B89" t="str">
            <v>8RM-M1</v>
          </cell>
        </row>
        <row r="90">
          <cell r="A90">
            <v>89</v>
          </cell>
          <cell r="B90" t="str">
            <v>8RS-M1</v>
          </cell>
        </row>
        <row r="91">
          <cell r="A91">
            <v>90</v>
          </cell>
          <cell r="B91" t="str">
            <v>824-DY</v>
          </cell>
        </row>
        <row r="92">
          <cell r="A92">
            <v>91</v>
          </cell>
          <cell r="B92" t="str">
            <v>824-DB</v>
          </cell>
        </row>
        <row r="93">
          <cell r="A93">
            <v>92</v>
          </cell>
          <cell r="B93" t="str">
            <v>824-DR</v>
          </cell>
        </row>
        <row r="94">
          <cell r="A94">
            <v>93</v>
          </cell>
          <cell r="B94" t="str">
            <v>828-DY</v>
          </cell>
        </row>
        <row r="95">
          <cell r="A95">
            <v>94</v>
          </cell>
          <cell r="B95" t="str">
            <v>828-DB</v>
          </cell>
        </row>
        <row r="96">
          <cell r="A96">
            <v>95</v>
          </cell>
          <cell r="B96" t="str">
            <v>828-DR</v>
          </cell>
        </row>
        <row r="97">
          <cell r="A97">
            <v>96</v>
          </cell>
          <cell r="B97" t="str">
            <v>921-DW</v>
          </cell>
        </row>
        <row r="98">
          <cell r="A98">
            <v>97</v>
          </cell>
          <cell r="B98" t="str">
            <v>921-DP</v>
          </cell>
        </row>
        <row r="99">
          <cell r="A99">
            <v>98</v>
          </cell>
          <cell r="B99" t="str">
            <v>921-DB</v>
          </cell>
        </row>
        <row r="100">
          <cell r="A100">
            <v>99</v>
          </cell>
          <cell r="B100" t="str">
            <v>922-DW</v>
          </cell>
        </row>
        <row r="101">
          <cell r="A101">
            <v>100</v>
          </cell>
          <cell r="B101" t="str">
            <v>922-DP</v>
          </cell>
        </row>
        <row r="102">
          <cell r="A102">
            <v>101</v>
          </cell>
          <cell r="B102" t="str">
            <v>922-DB</v>
          </cell>
        </row>
        <row r="103">
          <cell r="A103">
            <v>102</v>
          </cell>
          <cell r="B103" t="str">
            <v>401-BB</v>
          </cell>
        </row>
        <row r="104">
          <cell r="A104">
            <v>103</v>
          </cell>
          <cell r="B104" t="str">
            <v>401-BI</v>
          </cell>
        </row>
        <row r="105">
          <cell r="A105">
            <v>104</v>
          </cell>
          <cell r="B105" t="str">
            <v>401-BP</v>
          </cell>
        </row>
        <row r="106">
          <cell r="A106">
            <v>105</v>
          </cell>
          <cell r="B106" t="str">
            <v>801-BB</v>
          </cell>
        </row>
        <row r="107">
          <cell r="A107">
            <v>106</v>
          </cell>
          <cell r="B107" t="str">
            <v>801-BI</v>
          </cell>
        </row>
        <row r="108">
          <cell r="A108">
            <v>107</v>
          </cell>
          <cell r="B108" t="str">
            <v>801-BP</v>
          </cell>
        </row>
        <row r="109">
          <cell r="A109">
            <v>108</v>
          </cell>
          <cell r="B109" t="str">
            <v>401-AB</v>
          </cell>
        </row>
        <row r="110">
          <cell r="A110">
            <v>109</v>
          </cell>
          <cell r="B110" t="str">
            <v>401-AI</v>
          </cell>
        </row>
        <row r="111">
          <cell r="A111">
            <v>110</v>
          </cell>
          <cell r="B111" t="str">
            <v>401-AP</v>
          </cell>
        </row>
        <row r="112">
          <cell r="A112">
            <v>111</v>
          </cell>
          <cell r="B112" t="str">
            <v>801-AB</v>
          </cell>
        </row>
        <row r="113">
          <cell r="A113">
            <v>112</v>
          </cell>
          <cell r="B113" t="str">
            <v>801-AI</v>
          </cell>
        </row>
        <row r="114">
          <cell r="A114">
            <v>113</v>
          </cell>
          <cell r="B114" t="str">
            <v>801-AP</v>
          </cell>
        </row>
        <row r="115">
          <cell r="A115">
            <v>114</v>
          </cell>
          <cell r="B115" t="str">
            <v>400-BB</v>
          </cell>
        </row>
        <row r="116">
          <cell r="A116">
            <v>115</v>
          </cell>
          <cell r="B116" t="str">
            <v>400-BP</v>
          </cell>
        </row>
        <row r="117">
          <cell r="A117">
            <v>116</v>
          </cell>
          <cell r="B117" t="str">
            <v>400-BY</v>
          </cell>
        </row>
        <row r="118">
          <cell r="A118">
            <v>117</v>
          </cell>
          <cell r="B118" t="str">
            <v>800-BB</v>
          </cell>
        </row>
        <row r="119">
          <cell r="A119">
            <v>118</v>
          </cell>
          <cell r="B119" t="str">
            <v>800-BP</v>
          </cell>
        </row>
        <row r="120">
          <cell r="A120">
            <v>119</v>
          </cell>
          <cell r="B120" t="str">
            <v>800-BY</v>
          </cell>
        </row>
        <row r="121">
          <cell r="A121">
            <v>120</v>
          </cell>
          <cell r="B121" t="str">
            <v>400-AB</v>
          </cell>
        </row>
        <row r="122">
          <cell r="A122">
            <v>121</v>
          </cell>
          <cell r="B122" t="str">
            <v>400-AP</v>
          </cell>
        </row>
        <row r="123">
          <cell r="A123">
            <v>122</v>
          </cell>
          <cell r="B123" t="str">
            <v>400-AY</v>
          </cell>
        </row>
        <row r="124">
          <cell r="A124">
            <v>123</v>
          </cell>
          <cell r="B124" t="str">
            <v>800-AB</v>
          </cell>
        </row>
        <row r="125">
          <cell r="A125">
            <v>124</v>
          </cell>
          <cell r="B125" t="str">
            <v>800-AP</v>
          </cell>
        </row>
        <row r="126">
          <cell r="A126">
            <v>125</v>
          </cell>
          <cell r="B126" t="str">
            <v>800-AY</v>
          </cell>
        </row>
        <row r="127">
          <cell r="A127">
            <v>126</v>
          </cell>
          <cell r="B127" t="str">
            <v>406-BA</v>
          </cell>
        </row>
        <row r="128">
          <cell r="A128">
            <v>127</v>
          </cell>
          <cell r="B128" t="str">
            <v>406-BT</v>
          </cell>
        </row>
        <row r="129">
          <cell r="A129">
            <v>128</v>
          </cell>
          <cell r="B129" t="str">
            <v>406-BS</v>
          </cell>
        </row>
        <row r="130">
          <cell r="A130">
            <v>129</v>
          </cell>
          <cell r="B130" t="str">
            <v>806-BH</v>
          </cell>
        </row>
        <row r="131">
          <cell r="A131">
            <v>130</v>
          </cell>
          <cell r="B131" t="str">
            <v>806-BN</v>
          </cell>
        </row>
        <row r="132">
          <cell r="A132">
            <v>131</v>
          </cell>
          <cell r="B132" t="str">
            <v>806-BC</v>
          </cell>
        </row>
        <row r="133">
          <cell r="A133">
            <v>132</v>
          </cell>
          <cell r="B133" t="str">
            <v>406-AA</v>
          </cell>
        </row>
        <row r="134">
          <cell r="A134">
            <v>133</v>
          </cell>
          <cell r="B134" t="str">
            <v>406-AT</v>
          </cell>
        </row>
        <row r="135">
          <cell r="A135">
            <v>134</v>
          </cell>
          <cell r="B135" t="str">
            <v>406-AS</v>
          </cell>
        </row>
        <row r="136">
          <cell r="A136">
            <v>135</v>
          </cell>
          <cell r="B136" t="str">
            <v>332-BB</v>
          </cell>
        </row>
        <row r="137">
          <cell r="A137">
            <v>136</v>
          </cell>
          <cell r="B137" t="str">
            <v>332-BR</v>
          </cell>
        </row>
        <row r="138">
          <cell r="A138">
            <v>137</v>
          </cell>
          <cell r="B138" t="str">
            <v>333-BB</v>
          </cell>
        </row>
        <row r="139">
          <cell r="A139">
            <v>138</v>
          </cell>
          <cell r="B139" t="str">
            <v>333-BR</v>
          </cell>
        </row>
        <row r="140">
          <cell r="A140">
            <v>139</v>
          </cell>
          <cell r="B140" t="str">
            <v>334-BB</v>
          </cell>
        </row>
        <row r="141">
          <cell r="A141">
            <v>140</v>
          </cell>
          <cell r="B141" t="str">
            <v>334-BR</v>
          </cell>
        </row>
        <row r="142">
          <cell r="A142">
            <v>141</v>
          </cell>
          <cell r="B142" t="str">
            <v>806-AN</v>
          </cell>
        </row>
        <row r="143">
          <cell r="A143">
            <v>142</v>
          </cell>
          <cell r="B143" t="str">
            <v>806-AC</v>
          </cell>
        </row>
        <row r="144">
          <cell r="A144">
            <v>143</v>
          </cell>
          <cell r="B144" t="str">
            <v>806-AH</v>
          </cell>
        </row>
        <row r="145">
          <cell r="A145">
            <v>144</v>
          </cell>
          <cell r="B145" t="str">
            <v>402-BB</v>
          </cell>
        </row>
        <row r="146">
          <cell r="A146">
            <v>145</v>
          </cell>
          <cell r="B146" t="str">
            <v>402-BI</v>
          </cell>
        </row>
        <row r="147">
          <cell r="A147">
            <v>146</v>
          </cell>
          <cell r="B147" t="str">
            <v>402-BP</v>
          </cell>
        </row>
        <row r="148">
          <cell r="A148">
            <v>147</v>
          </cell>
          <cell r="B148" t="str">
            <v>802-BB</v>
          </cell>
        </row>
        <row r="149">
          <cell r="A149">
            <v>148</v>
          </cell>
          <cell r="B149" t="str">
            <v>802-BI</v>
          </cell>
        </row>
        <row r="150">
          <cell r="A150">
            <v>149</v>
          </cell>
          <cell r="B150" t="str">
            <v>802-BP</v>
          </cell>
        </row>
        <row r="151">
          <cell r="A151">
            <v>150</v>
          </cell>
          <cell r="B151" t="str">
            <v>921-TP</v>
          </cell>
        </row>
        <row r="152">
          <cell r="A152">
            <v>151</v>
          </cell>
          <cell r="B152" t="str">
            <v>921-TB</v>
          </cell>
        </row>
        <row r="153">
          <cell r="A153">
            <v>152</v>
          </cell>
          <cell r="B153" t="str">
            <v>921-TG</v>
          </cell>
        </row>
        <row r="154">
          <cell r="A154">
            <v>153</v>
          </cell>
          <cell r="B154" t="str">
            <v>922-TP</v>
          </cell>
        </row>
        <row r="155">
          <cell r="A155">
            <v>154</v>
          </cell>
          <cell r="B155" t="str">
            <v>922-TB</v>
          </cell>
        </row>
        <row r="156">
          <cell r="A156">
            <v>155</v>
          </cell>
          <cell r="B156" t="str">
            <v>922-TG</v>
          </cell>
        </row>
        <row r="157">
          <cell r="A157">
            <v>156</v>
          </cell>
          <cell r="B157" t="str">
            <v>844-DR</v>
          </cell>
        </row>
        <row r="158">
          <cell r="A158">
            <v>157</v>
          </cell>
          <cell r="B158" t="str">
            <v>844-DB</v>
          </cell>
        </row>
        <row r="159">
          <cell r="A159">
            <v>158</v>
          </cell>
          <cell r="B159" t="str">
            <v>844-DY</v>
          </cell>
        </row>
        <row r="160">
          <cell r="A160">
            <v>159</v>
          </cell>
          <cell r="B160" t="str">
            <v>848-DR</v>
          </cell>
        </row>
        <row r="161">
          <cell r="A161">
            <v>160</v>
          </cell>
          <cell r="B161" t="str">
            <v>848-DB</v>
          </cell>
        </row>
        <row r="162">
          <cell r="A162">
            <v>161</v>
          </cell>
          <cell r="B162" t="str">
            <v>848-DY</v>
          </cell>
        </row>
        <row r="163">
          <cell r="A163">
            <v>162</v>
          </cell>
          <cell r="B163" t="str">
            <v>611-B1P</v>
          </cell>
        </row>
        <row r="164">
          <cell r="A164">
            <v>163</v>
          </cell>
          <cell r="B164" t="str">
            <v>611-B1</v>
          </cell>
        </row>
        <row r="165">
          <cell r="A165">
            <v>164</v>
          </cell>
          <cell r="B165" t="str">
            <v>014-B1</v>
          </cell>
        </row>
        <row r="166">
          <cell r="A166">
            <v>165</v>
          </cell>
          <cell r="B166" t="str">
            <v>024-B1</v>
          </cell>
        </row>
        <row r="167">
          <cell r="A167">
            <v>166</v>
          </cell>
          <cell r="B167" t="str">
            <v>034-B1</v>
          </cell>
        </row>
        <row r="168">
          <cell r="A168">
            <v>167</v>
          </cell>
          <cell r="B168" t="str">
            <v>044-B1</v>
          </cell>
        </row>
        <row r="169">
          <cell r="A169">
            <v>168</v>
          </cell>
          <cell r="B169" t="str">
            <v>058-B1</v>
          </cell>
        </row>
        <row r="170">
          <cell r="A170">
            <v>169</v>
          </cell>
          <cell r="B170" t="str">
            <v>068-B1</v>
          </cell>
        </row>
        <row r="171">
          <cell r="A171">
            <v>170</v>
          </cell>
          <cell r="B171" t="str">
            <v>078-B1</v>
          </cell>
        </row>
        <row r="172">
          <cell r="A172">
            <v>171</v>
          </cell>
          <cell r="B172" t="str">
            <v>088-B1</v>
          </cell>
        </row>
        <row r="173">
          <cell r="A173">
            <v>172</v>
          </cell>
          <cell r="B173" t="str">
            <v>094-B1</v>
          </cell>
        </row>
        <row r="174">
          <cell r="A174">
            <v>173</v>
          </cell>
          <cell r="B174" t="str">
            <v>104-B1</v>
          </cell>
        </row>
        <row r="175">
          <cell r="A175">
            <v>174</v>
          </cell>
          <cell r="B175" t="str">
            <v>114-B1</v>
          </cell>
        </row>
        <row r="176">
          <cell r="A176">
            <v>175</v>
          </cell>
          <cell r="B176" t="str">
            <v>124-B1</v>
          </cell>
        </row>
        <row r="177">
          <cell r="A177">
            <v>176</v>
          </cell>
          <cell r="B177" t="str">
            <v>138-B1</v>
          </cell>
        </row>
        <row r="178">
          <cell r="A178">
            <v>177</v>
          </cell>
          <cell r="B178" t="str">
            <v>148-B1</v>
          </cell>
        </row>
        <row r="179">
          <cell r="A179">
            <v>178</v>
          </cell>
          <cell r="B179" t="str">
            <v>158-B1</v>
          </cell>
        </row>
        <row r="180">
          <cell r="A180">
            <v>179</v>
          </cell>
          <cell r="B180" t="str">
            <v>168-B1</v>
          </cell>
        </row>
        <row r="181">
          <cell r="A181">
            <v>180</v>
          </cell>
          <cell r="B181" t="str">
            <v>174-B1</v>
          </cell>
        </row>
        <row r="182">
          <cell r="A182">
            <v>181</v>
          </cell>
          <cell r="B182" t="str">
            <v>184-B1</v>
          </cell>
        </row>
        <row r="183">
          <cell r="A183">
            <v>182</v>
          </cell>
          <cell r="B183" t="str">
            <v>194-B1</v>
          </cell>
        </row>
        <row r="184">
          <cell r="A184">
            <v>183</v>
          </cell>
          <cell r="B184" t="str">
            <v>204-B1</v>
          </cell>
        </row>
        <row r="185">
          <cell r="A185">
            <v>184</v>
          </cell>
          <cell r="B185" t="str">
            <v>218-B1</v>
          </cell>
        </row>
        <row r="186">
          <cell r="A186">
            <v>185</v>
          </cell>
          <cell r="B186" t="str">
            <v>228-B1</v>
          </cell>
        </row>
        <row r="187">
          <cell r="A187">
            <v>186</v>
          </cell>
          <cell r="B187" t="str">
            <v>238-B1</v>
          </cell>
        </row>
        <row r="188">
          <cell r="A188">
            <v>187</v>
          </cell>
          <cell r="B188" t="str">
            <v>248-B1</v>
          </cell>
        </row>
        <row r="189">
          <cell r="A189">
            <v>188</v>
          </cell>
          <cell r="B189" t="str">
            <v>254-B1</v>
          </cell>
        </row>
        <row r="190">
          <cell r="A190">
            <v>189</v>
          </cell>
          <cell r="B190" t="str">
            <v>264-B1</v>
          </cell>
        </row>
        <row r="191">
          <cell r="A191">
            <v>190</v>
          </cell>
          <cell r="B191" t="str">
            <v>278-B1</v>
          </cell>
        </row>
        <row r="192">
          <cell r="A192">
            <v>191</v>
          </cell>
          <cell r="B192" t="str">
            <v>288-B1</v>
          </cell>
        </row>
        <row r="193">
          <cell r="A193">
            <v>192</v>
          </cell>
          <cell r="B193" t="str">
            <v>566-01</v>
          </cell>
        </row>
        <row r="194">
          <cell r="A194">
            <v>193</v>
          </cell>
          <cell r="B194" t="str">
            <v>567-01</v>
          </cell>
        </row>
        <row r="195">
          <cell r="A195">
            <v>194</v>
          </cell>
          <cell r="B195" t="str">
            <v>568-01</v>
          </cell>
        </row>
        <row r="196">
          <cell r="A196">
            <v>195</v>
          </cell>
          <cell r="B196" t="str">
            <v>569-01</v>
          </cell>
        </row>
        <row r="197">
          <cell r="A197">
            <v>196</v>
          </cell>
          <cell r="B197" t="str">
            <v>596-01</v>
          </cell>
        </row>
        <row r="198">
          <cell r="A198">
            <v>197</v>
          </cell>
          <cell r="B198" t="str">
            <v>597-01</v>
          </cell>
        </row>
        <row r="199">
          <cell r="A199">
            <v>198</v>
          </cell>
          <cell r="B199" t="str">
            <v>294-B1</v>
          </cell>
        </row>
        <row r="200">
          <cell r="A200">
            <v>199</v>
          </cell>
          <cell r="B200" t="str">
            <v>304-B1</v>
          </cell>
        </row>
        <row r="201">
          <cell r="A201">
            <v>200</v>
          </cell>
          <cell r="B201" t="str">
            <v>314-B1</v>
          </cell>
        </row>
        <row r="202">
          <cell r="A202">
            <v>201</v>
          </cell>
          <cell r="B202" t="str">
            <v>328-B1</v>
          </cell>
        </row>
        <row r="203">
          <cell r="A203">
            <v>202</v>
          </cell>
          <cell r="B203" t="str">
            <v>338-B1</v>
          </cell>
        </row>
        <row r="204">
          <cell r="A204">
            <v>203</v>
          </cell>
          <cell r="B204" t="str">
            <v>348-B1</v>
          </cell>
        </row>
        <row r="205">
          <cell r="A205">
            <v>204</v>
          </cell>
          <cell r="B205" t="str">
            <v>862-B1</v>
          </cell>
        </row>
        <row r="206">
          <cell r="A206">
            <v>205</v>
          </cell>
          <cell r="B206" t="str">
            <v>861-B1</v>
          </cell>
        </row>
        <row r="207">
          <cell r="A207">
            <v>206</v>
          </cell>
          <cell r="B207" t="str">
            <v>941-B1</v>
          </cell>
        </row>
        <row r="208">
          <cell r="A208">
            <v>207</v>
          </cell>
          <cell r="B208" t="str">
            <v>942-B1</v>
          </cell>
        </row>
        <row r="209">
          <cell r="A209">
            <v>208</v>
          </cell>
          <cell r="B209" t="str">
            <v>941-B1P</v>
          </cell>
        </row>
        <row r="210">
          <cell r="A210">
            <v>209</v>
          </cell>
          <cell r="B210" t="str">
            <v>942-B1P</v>
          </cell>
        </row>
        <row r="211">
          <cell r="A211">
            <v>208</v>
          </cell>
          <cell r="B211" t="str">
            <v>051-B1</v>
          </cell>
        </row>
        <row r="212">
          <cell r="A212">
            <v>209</v>
          </cell>
          <cell r="B212" t="str">
            <v>052-B1</v>
          </cell>
        </row>
        <row r="213">
          <cell r="A213">
            <v>210</v>
          </cell>
          <cell r="B213" t="str">
            <v>053-B1</v>
          </cell>
        </row>
        <row r="214">
          <cell r="A214">
            <v>211</v>
          </cell>
          <cell r="B214" t="str">
            <v>054-B1</v>
          </cell>
        </row>
        <row r="215">
          <cell r="A215">
            <v>212</v>
          </cell>
          <cell r="B215" t="str">
            <v>694-01</v>
          </cell>
        </row>
        <row r="216">
          <cell r="A216">
            <v>213</v>
          </cell>
          <cell r="B216" t="str">
            <v>697-01</v>
          </cell>
        </row>
        <row r="217">
          <cell r="A217">
            <v>214</v>
          </cell>
          <cell r="B217" t="str">
            <v>600-B1</v>
          </cell>
        </row>
        <row r="218">
          <cell r="A218">
            <v>215</v>
          </cell>
          <cell r="B218" t="str">
            <v>601-B1</v>
          </cell>
        </row>
        <row r="219">
          <cell r="A219">
            <v>216</v>
          </cell>
          <cell r="B219" t="str">
            <v>602-B1</v>
          </cell>
        </row>
        <row r="220">
          <cell r="A220">
            <v>217</v>
          </cell>
          <cell r="B220" t="str">
            <v>222-B1</v>
          </cell>
        </row>
        <row r="221">
          <cell r="A221">
            <v>218</v>
          </cell>
          <cell r="B221" t="str">
            <v>223-B1</v>
          </cell>
        </row>
        <row r="222">
          <cell r="A222">
            <v>219</v>
          </cell>
          <cell r="B222" t="str">
            <v>228-B2</v>
          </cell>
        </row>
        <row r="223">
          <cell r="A223">
            <v>220</v>
          </cell>
          <cell r="B223" t="str">
            <v>253-B1</v>
          </cell>
        </row>
        <row r="224">
          <cell r="A224">
            <v>221</v>
          </cell>
          <cell r="B224" t="str">
            <v>944-B0</v>
          </cell>
        </row>
        <row r="225">
          <cell r="A225">
            <v>222</v>
          </cell>
          <cell r="B225" t="str">
            <v>244-SD</v>
          </cell>
        </row>
        <row r="226">
          <cell r="A226">
            <v>223</v>
          </cell>
          <cell r="B226" t="str">
            <v>231-B11</v>
          </cell>
        </row>
        <row r="227">
          <cell r="A227">
            <v>224</v>
          </cell>
          <cell r="B227" t="str">
            <v>053-01</v>
          </cell>
        </row>
        <row r="228">
          <cell r="A228">
            <v>225</v>
          </cell>
          <cell r="B228" t="str">
            <v>054-01</v>
          </cell>
        </row>
        <row r="229">
          <cell r="A229">
            <v>226</v>
          </cell>
          <cell r="B229" t="str">
            <v>055-01</v>
          </cell>
        </row>
        <row r="230">
          <cell r="A230">
            <v>227</v>
          </cell>
          <cell r="B230" t="str">
            <v>001-P1</v>
          </cell>
        </row>
        <row r="231">
          <cell r="A231">
            <v>228</v>
          </cell>
          <cell r="B231" t="str">
            <v>231-B1</v>
          </cell>
        </row>
        <row r="232">
          <cell r="A232">
            <v>229</v>
          </cell>
          <cell r="B232" t="str">
            <v>220-1B</v>
          </cell>
        </row>
        <row r="233">
          <cell r="A233">
            <v>230</v>
          </cell>
          <cell r="B233" t="str">
            <v>384-201</v>
          </cell>
        </row>
        <row r="234">
          <cell r="A234">
            <v>231</v>
          </cell>
          <cell r="B234" t="str">
            <v>842-0N1</v>
          </cell>
        </row>
        <row r="235">
          <cell r="A235">
            <v>232</v>
          </cell>
          <cell r="B235" t="str">
            <v>384-301</v>
          </cell>
        </row>
        <row r="236">
          <cell r="A236">
            <v>233</v>
          </cell>
          <cell r="B236" t="str">
            <v>843-0N1</v>
          </cell>
        </row>
        <row r="237">
          <cell r="A237">
            <v>234</v>
          </cell>
          <cell r="B237" t="str">
            <v>384-401</v>
          </cell>
        </row>
        <row r="238">
          <cell r="A238">
            <v>235</v>
          </cell>
          <cell r="B238" t="str">
            <v>844-0N1</v>
          </cell>
        </row>
        <row r="239">
          <cell r="A239">
            <v>236</v>
          </cell>
          <cell r="B239" t="str">
            <v>384-501</v>
          </cell>
        </row>
        <row r="240">
          <cell r="A240">
            <v>237</v>
          </cell>
          <cell r="B240" t="str">
            <v>845-0N1</v>
          </cell>
        </row>
        <row r="241">
          <cell r="A241">
            <v>238</v>
          </cell>
          <cell r="B241" t="str">
            <v>384-601</v>
          </cell>
        </row>
        <row r="242">
          <cell r="A242">
            <v>239</v>
          </cell>
          <cell r="B242" t="str">
            <v>846-0N1</v>
          </cell>
        </row>
        <row r="243">
          <cell r="A243">
            <v>240</v>
          </cell>
          <cell r="B243" t="str">
            <v>384-701</v>
          </cell>
        </row>
        <row r="244">
          <cell r="A244">
            <v>241</v>
          </cell>
          <cell r="B244" t="str">
            <v>847-0N1</v>
          </cell>
        </row>
        <row r="245">
          <cell r="A245">
            <v>242</v>
          </cell>
          <cell r="B245" t="str">
            <v>377-201</v>
          </cell>
        </row>
        <row r="246">
          <cell r="A246">
            <v>243</v>
          </cell>
          <cell r="B246" t="str">
            <v>772-0N1</v>
          </cell>
        </row>
        <row r="247">
          <cell r="A247">
            <v>244</v>
          </cell>
          <cell r="B247" t="str">
            <v>377-301</v>
          </cell>
        </row>
        <row r="248">
          <cell r="A248">
            <v>245</v>
          </cell>
          <cell r="B248" t="str">
            <v>773-0N1</v>
          </cell>
        </row>
        <row r="249">
          <cell r="A249">
            <v>246</v>
          </cell>
          <cell r="B249" t="str">
            <v>377-401</v>
          </cell>
        </row>
        <row r="250">
          <cell r="A250">
            <v>247</v>
          </cell>
          <cell r="B250" t="str">
            <v>774-0N1</v>
          </cell>
        </row>
        <row r="251">
          <cell r="A251">
            <v>248</v>
          </cell>
          <cell r="B251" t="str">
            <v>377-501</v>
          </cell>
        </row>
        <row r="252">
          <cell r="A252">
            <v>249</v>
          </cell>
          <cell r="B252" t="str">
            <v>775-0N1</v>
          </cell>
        </row>
        <row r="253">
          <cell r="A253">
            <v>250</v>
          </cell>
          <cell r="B253" t="str">
            <v>377-601</v>
          </cell>
        </row>
        <row r="254">
          <cell r="A254">
            <v>251</v>
          </cell>
          <cell r="B254" t="str">
            <v>776-0N1</v>
          </cell>
        </row>
        <row r="255">
          <cell r="A255">
            <v>252</v>
          </cell>
          <cell r="B255" t="str">
            <v>377-701</v>
          </cell>
        </row>
        <row r="256">
          <cell r="A256">
            <v>253</v>
          </cell>
          <cell r="B256" t="str">
            <v>777-0N1</v>
          </cell>
        </row>
        <row r="257">
          <cell r="A257">
            <v>254</v>
          </cell>
          <cell r="B257" t="str">
            <v>999-24</v>
          </cell>
        </row>
        <row r="258">
          <cell r="A258">
            <v>255</v>
          </cell>
          <cell r="B258" t="str">
            <v>999-12</v>
          </cell>
        </row>
        <row r="259">
          <cell r="A259">
            <v>256</v>
          </cell>
          <cell r="B259" t="str">
            <v>999-25</v>
          </cell>
        </row>
        <row r="260">
          <cell r="A260">
            <v>257</v>
          </cell>
          <cell r="B260" t="str">
            <v>999-26</v>
          </cell>
        </row>
        <row r="261">
          <cell r="A261">
            <v>258</v>
          </cell>
          <cell r="B261" t="str">
            <v>999-27</v>
          </cell>
        </row>
        <row r="262">
          <cell r="A262">
            <v>259</v>
          </cell>
          <cell r="B262" t="str">
            <v>999-28</v>
          </cell>
        </row>
        <row r="263">
          <cell r="A263">
            <v>260</v>
          </cell>
          <cell r="B263" t="str">
            <v>999-33</v>
          </cell>
        </row>
        <row r="264">
          <cell r="A264">
            <v>261</v>
          </cell>
          <cell r="B264" t="str">
            <v>999-34</v>
          </cell>
        </row>
        <row r="265">
          <cell r="A265">
            <v>262</v>
          </cell>
          <cell r="B265" t="str">
            <v>999-35</v>
          </cell>
        </row>
        <row r="266">
          <cell r="A266">
            <v>263</v>
          </cell>
          <cell r="B266" t="str">
            <v>999-36</v>
          </cell>
        </row>
        <row r="267">
          <cell r="A267">
            <v>264</v>
          </cell>
          <cell r="B267" t="str">
            <v>400-IS</v>
          </cell>
        </row>
        <row r="268">
          <cell r="A268">
            <v>265</v>
          </cell>
          <cell r="B268" t="str">
            <v>401-IS</v>
          </cell>
        </row>
        <row r="269">
          <cell r="A269">
            <v>266</v>
          </cell>
          <cell r="B269" t="str">
            <v>402-IS</v>
          </cell>
        </row>
        <row r="270">
          <cell r="A270">
            <v>267</v>
          </cell>
          <cell r="B270" t="str">
            <v>801-IS</v>
          </cell>
        </row>
        <row r="271">
          <cell r="A271">
            <v>268</v>
          </cell>
          <cell r="B271" t="str">
            <v>800-IS</v>
          </cell>
        </row>
        <row r="272">
          <cell r="A272">
            <v>269</v>
          </cell>
          <cell r="B272" t="str">
            <v>802-IS</v>
          </cell>
        </row>
        <row r="273">
          <cell r="A273">
            <v>270</v>
          </cell>
          <cell r="B273" t="str">
            <v>999-01</v>
          </cell>
        </row>
        <row r="274">
          <cell r="A274">
            <v>271</v>
          </cell>
          <cell r="B274" t="str">
            <v>999-13</v>
          </cell>
        </row>
        <row r="275">
          <cell r="A275">
            <v>272</v>
          </cell>
          <cell r="B275" t="str">
            <v>999-29</v>
          </cell>
        </row>
        <row r="276">
          <cell r="A276">
            <v>273</v>
          </cell>
          <cell r="B276" t="str">
            <v>999-30</v>
          </cell>
        </row>
        <row r="277">
          <cell r="A277">
            <v>274</v>
          </cell>
          <cell r="B277" t="str">
            <v>999-31</v>
          </cell>
        </row>
        <row r="278">
          <cell r="A278">
            <v>275</v>
          </cell>
          <cell r="B278" t="str">
            <v>999-351</v>
          </cell>
        </row>
        <row r="279">
          <cell r="A279">
            <v>276</v>
          </cell>
          <cell r="B279" t="str">
            <v>999-361</v>
          </cell>
        </row>
        <row r="280">
          <cell r="A280">
            <v>277</v>
          </cell>
          <cell r="B280" t="str">
            <v>999-37</v>
          </cell>
        </row>
        <row r="281">
          <cell r="A281">
            <v>278</v>
          </cell>
          <cell r="B281" t="str">
            <v>999-38</v>
          </cell>
        </row>
        <row r="282">
          <cell r="A282">
            <v>279</v>
          </cell>
          <cell r="B282" t="str">
            <v>999-39</v>
          </cell>
        </row>
        <row r="283">
          <cell r="A283">
            <v>280</v>
          </cell>
          <cell r="B283" t="str">
            <v>999-40</v>
          </cell>
        </row>
        <row r="284">
          <cell r="A284">
            <v>281</v>
          </cell>
          <cell r="B284" t="str">
            <v>999-47</v>
          </cell>
        </row>
        <row r="285">
          <cell r="A285">
            <v>282</v>
          </cell>
          <cell r="B285" t="str">
            <v>999-48</v>
          </cell>
        </row>
        <row r="286">
          <cell r="A286">
            <v>283</v>
          </cell>
          <cell r="B286" t="str">
            <v>999-49</v>
          </cell>
        </row>
        <row r="287">
          <cell r="A287">
            <v>284</v>
          </cell>
          <cell r="B287" t="str">
            <v>999-50</v>
          </cell>
        </row>
        <row r="288">
          <cell r="A288">
            <v>285</v>
          </cell>
          <cell r="B288" t="str">
            <v>999-51</v>
          </cell>
        </row>
        <row r="289">
          <cell r="A289">
            <v>286</v>
          </cell>
          <cell r="B289" t="str">
            <v>999-52</v>
          </cell>
        </row>
        <row r="290">
          <cell r="A290">
            <v>287</v>
          </cell>
          <cell r="B290" t="str">
            <v>999-53</v>
          </cell>
        </row>
        <row r="291">
          <cell r="A291">
            <v>288</v>
          </cell>
          <cell r="B291" t="str">
            <v>999-54</v>
          </cell>
        </row>
        <row r="292">
          <cell r="A292">
            <v>289</v>
          </cell>
          <cell r="B292" t="str">
            <v>999-55</v>
          </cell>
        </row>
        <row r="293">
          <cell r="A293">
            <v>290</v>
          </cell>
          <cell r="B293" t="str">
            <v>999-56</v>
          </cell>
        </row>
        <row r="294">
          <cell r="A294">
            <v>291</v>
          </cell>
          <cell r="B294" t="str">
            <v>999-57</v>
          </cell>
        </row>
        <row r="295">
          <cell r="A295">
            <v>292</v>
          </cell>
          <cell r="B295" t="str">
            <v>999-58</v>
          </cell>
        </row>
        <row r="296">
          <cell r="A296">
            <v>293</v>
          </cell>
          <cell r="B296" t="str">
            <v>999-62</v>
          </cell>
        </row>
        <row r="297">
          <cell r="A297">
            <v>294</v>
          </cell>
          <cell r="B297" t="str">
            <v>999-63</v>
          </cell>
        </row>
        <row r="298">
          <cell r="A298">
            <v>295</v>
          </cell>
          <cell r="B298" t="str">
            <v>999-59</v>
          </cell>
        </row>
        <row r="299">
          <cell r="A299">
            <v>296</v>
          </cell>
          <cell r="B299" t="str">
            <v>999-60</v>
          </cell>
        </row>
        <row r="300">
          <cell r="A300">
            <v>297</v>
          </cell>
          <cell r="B300" t="str">
            <v>999-61</v>
          </cell>
        </row>
        <row r="301">
          <cell r="A301">
            <v>298</v>
          </cell>
          <cell r="B301" t="str">
            <v>999-64</v>
          </cell>
        </row>
        <row r="302">
          <cell r="A302">
            <v>299</v>
          </cell>
          <cell r="B302" t="str">
            <v>999-65</v>
          </cell>
        </row>
        <row r="303">
          <cell r="A303">
            <v>300</v>
          </cell>
          <cell r="B303" t="str">
            <v>999-66</v>
          </cell>
        </row>
        <row r="304">
          <cell r="A304">
            <v>301</v>
          </cell>
          <cell r="B304" t="str">
            <v>999-67</v>
          </cell>
        </row>
        <row r="305">
          <cell r="A305">
            <v>302</v>
          </cell>
          <cell r="B305" t="str">
            <v>999-68</v>
          </cell>
        </row>
        <row r="306">
          <cell r="A306">
            <v>303</v>
          </cell>
          <cell r="B306" t="str">
            <v>999-69</v>
          </cell>
        </row>
        <row r="307">
          <cell r="A307">
            <v>304</v>
          </cell>
          <cell r="B307" t="str">
            <v>999-70</v>
          </cell>
        </row>
        <row r="308">
          <cell r="A308">
            <v>305</v>
          </cell>
          <cell r="B308" t="str">
            <v>999-71</v>
          </cell>
        </row>
        <row r="309">
          <cell r="A309">
            <v>306</v>
          </cell>
          <cell r="B309" t="str">
            <v>999-72</v>
          </cell>
        </row>
        <row r="310">
          <cell r="A310">
            <v>307</v>
          </cell>
          <cell r="B310" t="str">
            <v>999-73</v>
          </cell>
        </row>
        <row r="311">
          <cell r="A311">
            <v>308</v>
          </cell>
          <cell r="B311" t="str">
            <v>999-74</v>
          </cell>
        </row>
        <row r="312">
          <cell r="A312">
            <v>309</v>
          </cell>
          <cell r="B312" t="str">
            <v>999-75</v>
          </cell>
        </row>
        <row r="313">
          <cell r="A313">
            <v>310</v>
          </cell>
          <cell r="B313" t="str">
            <v>999-76</v>
          </cell>
        </row>
        <row r="314">
          <cell r="A314">
            <v>311</v>
          </cell>
          <cell r="B314" t="str">
            <v>999-77</v>
          </cell>
        </row>
        <row r="315">
          <cell r="A315">
            <v>312</v>
          </cell>
          <cell r="B315" t="str">
            <v>402-AB</v>
          </cell>
        </row>
        <row r="316">
          <cell r="A316">
            <v>313</v>
          </cell>
          <cell r="B316" t="str">
            <v>402-AI</v>
          </cell>
        </row>
        <row r="317">
          <cell r="A317">
            <v>314</v>
          </cell>
          <cell r="B317" t="str">
            <v>402-AP</v>
          </cell>
        </row>
        <row r="318">
          <cell r="A318">
            <v>315</v>
          </cell>
          <cell r="B318" t="str">
            <v>802-AB</v>
          </cell>
        </row>
        <row r="319">
          <cell r="A319">
            <v>316</v>
          </cell>
          <cell r="B319" t="str">
            <v>802-AI</v>
          </cell>
        </row>
        <row r="320">
          <cell r="A320">
            <v>317</v>
          </cell>
          <cell r="B320" t="str">
            <v>802-AP</v>
          </cell>
        </row>
        <row r="321">
          <cell r="A321">
            <v>318</v>
          </cell>
          <cell r="B321" t="str">
            <v>999-79</v>
          </cell>
        </row>
        <row r="322">
          <cell r="A322">
            <v>319</v>
          </cell>
          <cell r="B322" t="str">
            <v>999-80</v>
          </cell>
        </row>
        <row r="323">
          <cell r="A323">
            <v>320</v>
          </cell>
          <cell r="B323" t="str">
            <v>999-84</v>
          </cell>
        </row>
        <row r="324">
          <cell r="A324">
            <v>320</v>
          </cell>
          <cell r="B324" t="str">
            <v>314-00</v>
          </cell>
        </row>
        <row r="325">
          <cell r="A325">
            <v>321</v>
          </cell>
          <cell r="B325" t="str">
            <v>314-00P</v>
          </cell>
        </row>
        <row r="326">
          <cell r="A326">
            <v>321</v>
          </cell>
          <cell r="B326" t="str">
            <v>882-CUP</v>
          </cell>
        </row>
        <row r="327">
          <cell r="A327">
            <v>322</v>
          </cell>
          <cell r="B327" t="str">
            <v>882-STP</v>
          </cell>
        </row>
        <row r="328">
          <cell r="A328">
            <v>323</v>
          </cell>
          <cell r="B328" t="str">
            <v>881-CUP</v>
          </cell>
        </row>
        <row r="329">
          <cell r="A329">
            <v>324</v>
          </cell>
          <cell r="B329" t="str">
            <v>881-STP</v>
          </cell>
        </row>
        <row r="330">
          <cell r="A330">
            <v>325</v>
          </cell>
          <cell r="B330" t="str">
            <v>882-CU</v>
          </cell>
        </row>
        <row r="331">
          <cell r="A331">
            <v>326</v>
          </cell>
          <cell r="B331" t="str">
            <v>882-ST</v>
          </cell>
        </row>
        <row r="332">
          <cell r="A332">
            <v>327</v>
          </cell>
          <cell r="B332" t="str">
            <v>881-CU</v>
          </cell>
        </row>
        <row r="333">
          <cell r="A333">
            <v>328</v>
          </cell>
          <cell r="B333" t="str">
            <v>881-ST</v>
          </cell>
        </row>
        <row r="334">
          <cell r="A334">
            <v>329</v>
          </cell>
          <cell r="B334" t="str">
            <v>311-91</v>
          </cell>
        </row>
        <row r="335">
          <cell r="A335">
            <v>330</v>
          </cell>
          <cell r="B335" t="str">
            <v>328-01</v>
          </cell>
        </row>
        <row r="336">
          <cell r="A336">
            <v>331</v>
          </cell>
          <cell r="B336" t="str">
            <v>329-01</v>
          </cell>
        </row>
        <row r="337">
          <cell r="A337">
            <v>332</v>
          </cell>
          <cell r="B337" t="str">
            <v>559-91</v>
          </cell>
        </row>
        <row r="338">
          <cell r="A338">
            <v>333</v>
          </cell>
          <cell r="B338" t="str">
            <v>560-91</v>
          </cell>
        </row>
        <row r="339">
          <cell r="A339">
            <v>334</v>
          </cell>
          <cell r="B339" t="str">
            <v>792-T1</v>
          </cell>
        </row>
        <row r="340">
          <cell r="A340">
            <v>335</v>
          </cell>
          <cell r="B340" t="str">
            <v>791-T1</v>
          </cell>
        </row>
        <row r="341">
          <cell r="A341">
            <v>336</v>
          </cell>
          <cell r="B341" t="str">
            <v>790-T1</v>
          </cell>
        </row>
        <row r="342">
          <cell r="A342">
            <v>337</v>
          </cell>
          <cell r="B342" t="str">
            <v>882-D1</v>
          </cell>
        </row>
        <row r="343">
          <cell r="A343">
            <v>338</v>
          </cell>
          <cell r="B343" t="str">
            <v>881-D1</v>
          </cell>
        </row>
        <row r="344">
          <cell r="A344">
            <v>339</v>
          </cell>
          <cell r="B344" t="str">
            <v>880-D1</v>
          </cell>
        </row>
        <row r="345">
          <cell r="A345">
            <v>340</v>
          </cell>
          <cell r="B345" t="str">
            <v>880-D1P</v>
          </cell>
        </row>
        <row r="346">
          <cell r="A346">
            <v>341</v>
          </cell>
          <cell r="B346" t="str">
            <v>883-D1</v>
          </cell>
        </row>
        <row r="347">
          <cell r="A347">
            <v>342</v>
          </cell>
          <cell r="B347" t="str">
            <v>999-83</v>
          </cell>
        </row>
        <row r="348">
          <cell r="A348">
            <v>343</v>
          </cell>
          <cell r="B348" t="str">
            <v>999-82</v>
          </cell>
        </row>
        <row r="349">
          <cell r="A349">
            <v>344</v>
          </cell>
          <cell r="B349" t="str">
            <v>999-81</v>
          </cell>
        </row>
        <row r="350">
          <cell r="A350">
            <v>345</v>
          </cell>
          <cell r="B350" t="str">
            <v>510-B1</v>
          </cell>
        </row>
        <row r="351">
          <cell r="A351">
            <v>346</v>
          </cell>
          <cell r="B351" t="str">
            <v>511-B1</v>
          </cell>
        </row>
        <row r="352">
          <cell r="A352">
            <v>347</v>
          </cell>
          <cell r="B352" t="str">
            <v>512-B1</v>
          </cell>
        </row>
        <row r="353">
          <cell r="A353">
            <v>348</v>
          </cell>
          <cell r="B353" t="str">
            <v>513-B1</v>
          </cell>
        </row>
        <row r="354">
          <cell r="A354">
            <v>349</v>
          </cell>
          <cell r="B354" t="str">
            <v>944-B1</v>
          </cell>
        </row>
        <row r="355">
          <cell r="A355">
            <v>350</v>
          </cell>
          <cell r="B355">
            <v>352</v>
          </cell>
        </row>
        <row r="356">
          <cell r="A356">
            <v>351</v>
          </cell>
          <cell r="B356" t="str">
            <v>945-B1</v>
          </cell>
        </row>
        <row r="357">
          <cell r="A357">
            <v>352</v>
          </cell>
          <cell r="B357" t="str">
            <v>946-B1</v>
          </cell>
        </row>
        <row r="358">
          <cell r="A358">
            <v>353</v>
          </cell>
          <cell r="B358" t="str">
            <v>947-B1</v>
          </cell>
        </row>
        <row r="359">
          <cell r="A359">
            <v>354</v>
          </cell>
          <cell r="B359" t="str">
            <v>182-01</v>
          </cell>
        </row>
        <row r="360">
          <cell r="A360">
            <v>355</v>
          </cell>
          <cell r="B360" t="str">
            <v>183-01</v>
          </cell>
        </row>
        <row r="361">
          <cell r="A361">
            <v>356</v>
          </cell>
          <cell r="B361" t="str">
            <v>184-01</v>
          </cell>
        </row>
        <row r="362">
          <cell r="A362">
            <v>357</v>
          </cell>
          <cell r="B362" t="str">
            <v>185-01</v>
          </cell>
        </row>
        <row r="363">
          <cell r="A363">
            <v>358</v>
          </cell>
          <cell r="B363" t="str">
            <v>186-01</v>
          </cell>
        </row>
        <row r="364">
          <cell r="A364">
            <v>359</v>
          </cell>
          <cell r="B364" t="str">
            <v>977-BW</v>
          </cell>
        </row>
        <row r="365">
          <cell r="A365">
            <v>360</v>
          </cell>
          <cell r="B365" t="str">
            <v>551-DI</v>
          </cell>
        </row>
        <row r="366">
          <cell r="A366">
            <v>361</v>
          </cell>
          <cell r="B366" t="str">
            <v>977-BB</v>
          </cell>
        </row>
        <row r="367">
          <cell r="A367">
            <v>362</v>
          </cell>
          <cell r="B367" t="str">
            <v>977-BR</v>
          </cell>
        </row>
        <row r="368">
          <cell r="A368">
            <v>363</v>
          </cell>
          <cell r="B368" t="str">
            <v>977-BD</v>
          </cell>
        </row>
        <row r="369">
          <cell r="A369">
            <v>364</v>
          </cell>
          <cell r="B369" t="str">
            <v>977-BP</v>
          </cell>
        </row>
        <row r="370">
          <cell r="A370">
            <v>365</v>
          </cell>
          <cell r="B370" t="str">
            <v>977-BY</v>
          </cell>
        </row>
        <row r="371">
          <cell r="A371">
            <v>366</v>
          </cell>
          <cell r="B371" t="str">
            <v>977-BG</v>
          </cell>
        </row>
        <row r="372">
          <cell r="A372">
            <v>367</v>
          </cell>
          <cell r="B372" t="str">
            <v>735-01</v>
          </cell>
        </row>
        <row r="373">
          <cell r="A373">
            <v>368</v>
          </cell>
          <cell r="B373" t="str">
            <v>736-01</v>
          </cell>
        </row>
        <row r="374">
          <cell r="A374">
            <v>369</v>
          </cell>
          <cell r="B374" t="str">
            <v>737-01</v>
          </cell>
        </row>
        <row r="375">
          <cell r="A375">
            <v>370</v>
          </cell>
          <cell r="B375" t="str">
            <v>738-01</v>
          </cell>
        </row>
        <row r="376">
          <cell r="A376">
            <v>371</v>
          </cell>
          <cell r="B376" t="str">
            <v>552-DN</v>
          </cell>
        </row>
        <row r="377">
          <cell r="A377">
            <v>372</v>
          </cell>
          <cell r="B377" t="str">
            <v>551-KN</v>
          </cell>
        </row>
        <row r="378">
          <cell r="A378">
            <v>373</v>
          </cell>
          <cell r="B378" t="str">
            <v>979-B1</v>
          </cell>
        </row>
        <row r="379">
          <cell r="A379">
            <v>374</v>
          </cell>
          <cell r="B379" t="str">
            <v>739-01</v>
          </cell>
        </row>
        <row r="380">
          <cell r="A380">
            <v>375</v>
          </cell>
          <cell r="B380" t="str">
            <v>LID-01</v>
          </cell>
        </row>
        <row r="381">
          <cell r="A381">
            <v>376</v>
          </cell>
          <cell r="B381" t="str">
            <v>978-01</v>
          </cell>
        </row>
        <row r="382">
          <cell r="A382">
            <v>377</v>
          </cell>
          <cell r="B382" t="str">
            <v>999-14</v>
          </cell>
        </row>
        <row r="383">
          <cell r="A383">
            <v>378</v>
          </cell>
          <cell r="B383" t="str">
            <v>969-01</v>
          </cell>
        </row>
        <row r="384">
          <cell r="A384">
            <v>379</v>
          </cell>
          <cell r="B384">
            <v>381</v>
          </cell>
        </row>
        <row r="385">
          <cell r="A385">
            <v>380</v>
          </cell>
          <cell r="B385">
            <v>382</v>
          </cell>
        </row>
        <row r="386">
          <cell r="A386">
            <v>381</v>
          </cell>
          <cell r="B386">
            <v>383</v>
          </cell>
        </row>
        <row r="387">
          <cell r="A387">
            <v>382</v>
          </cell>
          <cell r="B387" t="str">
            <v>882-D1P</v>
          </cell>
        </row>
        <row r="388">
          <cell r="A388">
            <v>383</v>
          </cell>
          <cell r="B388" t="str">
            <v>881-D1P</v>
          </cell>
        </row>
        <row r="389">
          <cell r="A389">
            <v>384</v>
          </cell>
          <cell r="B389" t="str">
            <v>880-D1P</v>
          </cell>
        </row>
        <row r="390">
          <cell r="A390">
            <v>385</v>
          </cell>
          <cell r="B390" t="str">
            <v>883-D1P</v>
          </cell>
        </row>
        <row r="391">
          <cell r="A391">
            <v>386</v>
          </cell>
          <cell r="B391" t="str">
            <v>510-B1P</v>
          </cell>
        </row>
        <row r="392">
          <cell r="A392">
            <v>387</v>
          </cell>
          <cell r="B392" t="str">
            <v>511-B1P</v>
          </cell>
        </row>
        <row r="393">
          <cell r="A393">
            <v>388</v>
          </cell>
          <cell r="B393" t="str">
            <v>512-B1P</v>
          </cell>
        </row>
        <row r="394">
          <cell r="A394">
            <v>389</v>
          </cell>
          <cell r="B394" t="str">
            <v>513-B1P</v>
          </cell>
        </row>
        <row r="395">
          <cell r="A395">
            <v>390</v>
          </cell>
          <cell r="B395" t="str">
            <v>401-BBP</v>
          </cell>
        </row>
        <row r="396">
          <cell r="A396">
            <v>391</v>
          </cell>
          <cell r="B396" t="str">
            <v>401-BIP</v>
          </cell>
        </row>
        <row r="397">
          <cell r="A397">
            <v>392</v>
          </cell>
          <cell r="B397" t="str">
            <v>401-BPP</v>
          </cell>
        </row>
        <row r="398">
          <cell r="A398">
            <v>393</v>
          </cell>
          <cell r="B398" t="str">
            <v>801-BBP</v>
          </cell>
        </row>
        <row r="399">
          <cell r="A399">
            <v>394</v>
          </cell>
          <cell r="B399" t="str">
            <v>801-BIP</v>
          </cell>
        </row>
        <row r="400">
          <cell r="A400">
            <v>395</v>
          </cell>
          <cell r="B400" t="str">
            <v>801-BPP</v>
          </cell>
        </row>
        <row r="401">
          <cell r="A401">
            <v>396</v>
          </cell>
          <cell r="B401" t="str">
            <v>400-BBP</v>
          </cell>
        </row>
        <row r="402">
          <cell r="A402">
            <v>397</v>
          </cell>
          <cell r="B402" t="str">
            <v>400-BPP</v>
          </cell>
        </row>
        <row r="403">
          <cell r="A403">
            <v>398</v>
          </cell>
          <cell r="B403" t="str">
            <v>400-BYP</v>
          </cell>
        </row>
        <row r="404">
          <cell r="A404">
            <v>399</v>
          </cell>
          <cell r="B404" t="str">
            <v>800-BBP</v>
          </cell>
        </row>
        <row r="405">
          <cell r="A405">
            <v>400</v>
          </cell>
          <cell r="B405" t="str">
            <v>800-BPP</v>
          </cell>
        </row>
        <row r="406">
          <cell r="A406">
            <v>401</v>
          </cell>
          <cell r="B406" t="str">
            <v>800-BYP</v>
          </cell>
        </row>
        <row r="407">
          <cell r="A407">
            <v>402</v>
          </cell>
          <cell r="B407" t="str">
            <v>406-WA</v>
          </cell>
        </row>
        <row r="408">
          <cell r="A408">
            <v>403</v>
          </cell>
          <cell r="B408" t="str">
            <v>406-WT</v>
          </cell>
        </row>
        <row r="409">
          <cell r="A409">
            <v>404</v>
          </cell>
          <cell r="B409" t="str">
            <v>406-WS</v>
          </cell>
        </row>
        <row r="410">
          <cell r="A410">
            <v>405</v>
          </cell>
          <cell r="B410" t="str">
            <v>806-WH</v>
          </cell>
        </row>
        <row r="411">
          <cell r="A411">
            <v>406</v>
          </cell>
          <cell r="B411" t="str">
            <v>806-WN</v>
          </cell>
        </row>
        <row r="412">
          <cell r="A412">
            <v>407</v>
          </cell>
          <cell r="B412" t="str">
            <v>806-WC</v>
          </cell>
        </row>
        <row r="413">
          <cell r="A413">
            <v>408</v>
          </cell>
          <cell r="B413" t="str">
            <v>402-WB</v>
          </cell>
        </row>
        <row r="414">
          <cell r="A414">
            <v>409</v>
          </cell>
          <cell r="B414" t="str">
            <v>402-WI</v>
          </cell>
        </row>
        <row r="415">
          <cell r="A415">
            <v>410</v>
          </cell>
          <cell r="B415" t="str">
            <v>402-WP</v>
          </cell>
        </row>
        <row r="416">
          <cell r="A416">
            <v>411</v>
          </cell>
          <cell r="B416" t="str">
            <v>802-WB</v>
          </cell>
        </row>
        <row r="417">
          <cell r="A417">
            <v>412</v>
          </cell>
          <cell r="B417" t="str">
            <v>802-WI</v>
          </cell>
        </row>
        <row r="418">
          <cell r="A418">
            <v>413</v>
          </cell>
          <cell r="B418" t="str">
            <v>802-WP</v>
          </cell>
        </row>
        <row r="419">
          <cell r="A419">
            <v>414</v>
          </cell>
          <cell r="B419" t="str">
            <v>400-WB</v>
          </cell>
        </row>
        <row r="420">
          <cell r="A420">
            <v>415</v>
          </cell>
          <cell r="B420" t="str">
            <v>400-WP</v>
          </cell>
        </row>
        <row r="421">
          <cell r="A421">
            <v>416</v>
          </cell>
          <cell r="B421" t="str">
            <v>400-WY</v>
          </cell>
        </row>
        <row r="422">
          <cell r="A422">
            <v>417</v>
          </cell>
          <cell r="B422" t="str">
            <v>800-WB</v>
          </cell>
        </row>
        <row r="423">
          <cell r="A423">
            <v>418</v>
          </cell>
          <cell r="B423" t="str">
            <v>800-WP</v>
          </cell>
        </row>
        <row r="424">
          <cell r="A424">
            <v>419</v>
          </cell>
          <cell r="B424" t="str">
            <v>800-WY</v>
          </cell>
        </row>
        <row r="425">
          <cell r="A425">
            <v>420</v>
          </cell>
          <cell r="B425" t="str">
            <v>401-WB</v>
          </cell>
        </row>
        <row r="426">
          <cell r="A426">
            <v>421</v>
          </cell>
          <cell r="B426" t="str">
            <v>401-WI</v>
          </cell>
        </row>
        <row r="427">
          <cell r="A427">
            <v>422</v>
          </cell>
          <cell r="B427" t="str">
            <v>401-WP</v>
          </cell>
        </row>
        <row r="428">
          <cell r="A428">
            <v>423</v>
          </cell>
          <cell r="B428" t="str">
            <v>801-WB</v>
          </cell>
        </row>
        <row r="429">
          <cell r="A429">
            <v>424</v>
          </cell>
          <cell r="B429" t="str">
            <v>801-WI</v>
          </cell>
        </row>
        <row r="430">
          <cell r="A430">
            <v>425</v>
          </cell>
          <cell r="B430" t="str">
            <v>801-WP</v>
          </cell>
        </row>
        <row r="431">
          <cell r="A431">
            <v>426</v>
          </cell>
          <cell r="B431" t="str">
            <v>4RV-M1P</v>
          </cell>
        </row>
        <row r="432">
          <cell r="A432">
            <v>427</v>
          </cell>
          <cell r="B432" t="str">
            <v>4RW-M1P</v>
          </cell>
        </row>
        <row r="433">
          <cell r="A433">
            <v>428</v>
          </cell>
          <cell r="B433" t="str">
            <v>4RF-M1P</v>
          </cell>
        </row>
        <row r="434">
          <cell r="A434">
            <v>429</v>
          </cell>
          <cell r="B434" t="str">
            <v>8RV-M1P</v>
          </cell>
        </row>
        <row r="435">
          <cell r="A435">
            <v>430</v>
          </cell>
          <cell r="B435" t="str">
            <v>8RF-M1P</v>
          </cell>
        </row>
        <row r="436">
          <cell r="A436">
            <v>431</v>
          </cell>
          <cell r="B436" t="str">
            <v>8RW-M1P</v>
          </cell>
        </row>
        <row r="437">
          <cell r="A437">
            <v>432</v>
          </cell>
          <cell r="B437" t="str">
            <v>921-DWP</v>
          </cell>
        </row>
        <row r="438">
          <cell r="A438">
            <v>433</v>
          </cell>
          <cell r="B438" t="str">
            <v>921-DPP</v>
          </cell>
        </row>
        <row r="439">
          <cell r="A439">
            <v>434</v>
          </cell>
          <cell r="B439" t="str">
            <v>921-DBP</v>
          </cell>
        </row>
        <row r="440">
          <cell r="A440">
            <v>435</v>
          </cell>
          <cell r="B440" t="str">
            <v>922-DWP</v>
          </cell>
        </row>
        <row r="441">
          <cell r="A441">
            <v>436</v>
          </cell>
          <cell r="B441" t="str">
            <v>922-DPP</v>
          </cell>
        </row>
        <row r="442">
          <cell r="A442">
            <v>437</v>
          </cell>
          <cell r="B442" t="str">
            <v>922-DBP</v>
          </cell>
        </row>
        <row r="443">
          <cell r="A443">
            <v>438</v>
          </cell>
          <cell r="B443" t="str">
            <v>401-ABP</v>
          </cell>
        </row>
        <row r="444">
          <cell r="A444">
            <v>439</v>
          </cell>
          <cell r="B444" t="str">
            <v>401-AIP</v>
          </cell>
        </row>
        <row r="445">
          <cell r="A445">
            <v>440</v>
          </cell>
          <cell r="B445" t="str">
            <v>401-APP</v>
          </cell>
        </row>
        <row r="446">
          <cell r="A446">
            <v>441</v>
          </cell>
          <cell r="B446" t="str">
            <v>801-ABP</v>
          </cell>
        </row>
        <row r="447">
          <cell r="A447">
            <v>442</v>
          </cell>
          <cell r="B447" t="str">
            <v>801-AIP</v>
          </cell>
        </row>
        <row r="448">
          <cell r="A448">
            <v>443</v>
          </cell>
          <cell r="B448" t="str">
            <v>801-APP</v>
          </cell>
        </row>
        <row r="449">
          <cell r="A449">
            <v>444</v>
          </cell>
          <cell r="B449" t="str">
            <v>400-ABP</v>
          </cell>
        </row>
        <row r="450">
          <cell r="A450">
            <v>445</v>
          </cell>
          <cell r="B450" t="str">
            <v>400-APP</v>
          </cell>
        </row>
        <row r="451">
          <cell r="A451">
            <v>446</v>
          </cell>
          <cell r="B451" t="str">
            <v>400-AYP</v>
          </cell>
        </row>
        <row r="452">
          <cell r="A452">
            <v>447</v>
          </cell>
          <cell r="B452" t="str">
            <v>800-ABP</v>
          </cell>
        </row>
        <row r="453">
          <cell r="A453">
            <v>448</v>
          </cell>
          <cell r="B453" t="str">
            <v>800-APP</v>
          </cell>
        </row>
        <row r="454">
          <cell r="A454">
            <v>449</v>
          </cell>
          <cell r="B454" t="str">
            <v>800-AYP</v>
          </cell>
        </row>
        <row r="455">
          <cell r="A455">
            <v>450</v>
          </cell>
          <cell r="B455" t="str">
            <v>844-0N1P</v>
          </cell>
        </row>
        <row r="456">
          <cell r="A456">
            <v>451</v>
          </cell>
          <cell r="B456" t="str">
            <v>845-0N1P</v>
          </cell>
        </row>
        <row r="457">
          <cell r="A457">
            <v>452</v>
          </cell>
          <cell r="B457" t="str">
            <v>846-0N1P</v>
          </cell>
        </row>
        <row r="458">
          <cell r="A458">
            <v>453</v>
          </cell>
          <cell r="B458" t="str">
            <v>792-T1P</v>
          </cell>
        </row>
        <row r="459">
          <cell r="A459">
            <v>454</v>
          </cell>
          <cell r="B459" t="str">
            <v>791-T1P</v>
          </cell>
        </row>
        <row r="460">
          <cell r="A460">
            <v>455</v>
          </cell>
          <cell r="B460" t="str">
            <v>790-T1P</v>
          </cell>
        </row>
        <row r="461">
          <cell r="A461">
            <v>456</v>
          </cell>
          <cell r="B461" t="str">
            <v>510-B1P</v>
          </cell>
        </row>
        <row r="462">
          <cell r="A462">
            <v>457</v>
          </cell>
          <cell r="B462" t="str">
            <v>946-B1P</v>
          </cell>
        </row>
        <row r="463">
          <cell r="A463">
            <v>458</v>
          </cell>
          <cell r="B463" t="str">
            <v>403-01</v>
          </cell>
        </row>
        <row r="464">
          <cell r="A464">
            <v>459</v>
          </cell>
          <cell r="B464" t="str">
            <v>803-01</v>
          </cell>
        </row>
        <row r="465">
          <cell r="A465">
            <v>460</v>
          </cell>
          <cell r="B465" t="str">
            <v>551-01</v>
          </cell>
        </row>
        <row r="466">
          <cell r="A466">
            <v>461</v>
          </cell>
          <cell r="B466" t="str">
            <v>552-01</v>
          </cell>
        </row>
        <row r="467">
          <cell r="A467">
            <v>462</v>
          </cell>
          <cell r="B467" t="str">
            <v>4RF-TP</v>
          </cell>
        </row>
        <row r="468">
          <cell r="A468">
            <v>463</v>
          </cell>
          <cell r="B468" t="str">
            <v>4RV-TP</v>
          </cell>
        </row>
        <row r="469">
          <cell r="A469">
            <v>464</v>
          </cell>
          <cell r="B469" t="str">
            <v>4RW-TP</v>
          </cell>
        </row>
        <row r="470">
          <cell r="A470">
            <v>465</v>
          </cell>
          <cell r="B470" t="str">
            <v>8RF-TP</v>
          </cell>
        </row>
        <row r="471">
          <cell r="A471">
            <v>466</v>
          </cell>
          <cell r="B471" t="str">
            <v>8RV-TP</v>
          </cell>
        </row>
        <row r="472">
          <cell r="A472">
            <v>467</v>
          </cell>
          <cell r="B472" t="str">
            <v>8RW-TP</v>
          </cell>
        </row>
        <row r="473">
          <cell r="A473">
            <v>468</v>
          </cell>
          <cell r="B473" t="str">
            <v>4RF-DP</v>
          </cell>
        </row>
        <row r="474">
          <cell r="A474">
            <v>469</v>
          </cell>
          <cell r="B474" t="str">
            <v>4RV-DP</v>
          </cell>
        </row>
        <row r="475">
          <cell r="A475">
            <v>470</v>
          </cell>
          <cell r="B475" t="str">
            <v>4RW-DP</v>
          </cell>
        </row>
        <row r="476">
          <cell r="A476">
            <v>471</v>
          </cell>
          <cell r="B476" t="str">
            <v>8RF-DP</v>
          </cell>
        </row>
        <row r="477">
          <cell r="A477">
            <v>472</v>
          </cell>
          <cell r="B477" t="str">
            <v>8RV-DP</v>
          </cell>
        </row>
        <row r="478">
          <cell r="A478">
            <v>473</v>
          </cell>
          <cell r="B478" t="str">
            <v>8RW-DP</v>
          </cell>
        </row>
        <row r="479">
          <cell r="A479">
            <v>474</v>
          </cell>
          <cell r="B479" t="str">
            <v>FREE_3</v>
          </cell>
        </row>
        <row r="480">
          <cell r="A480">
            <v>475</v>
          </cell>
          <cell r="B480" t="str">
            <v>PRO_3</v>
          </cell>
        </row>
        <row r="481">
          <cell r="A481">
            <v>476</v>
          </cell>
          <cell r="B481" t="str">
            <v>FREE_4</v>
          </cell>
        </row>
        <row r="482">
          <cell r="A482">
            <v>477</v>
          </cell>
          <cell r="B482" t="str">
            <v>PRO_4</v>
          </cell>
        </row>
        <row r="483">
          <cell r="A483">
            <v>478</v>
          </cell>
          <cell r="B483" t="str">
            <v>892-BB</v>
          </cell>
        </row>
        <row r="484">
          <cell r="A484">
            <v>479</v>
          </cell>
          <cell r="B484" t="str">
            <v>892-BR</v>
          </cell>
        </row>
        <row r="485">
          <cell r="A485">
            <v>480</v>
          </cell>
          <cell r="B485" t="str">
            <v>891-BB</v>
          </cell>
        </row>
        <row r="486">
          <cell r="A486">
            <v>481</v>
          </cell>
          <cell r="B486" t="str">
            <v>891-BR</v>
          </cell>
        </row>
        <row r="487">
          <cell r="A487">
            <v>482</v>
          </cell>
          <cell r="B487" t="str">
            <v>4RA-DP</v>
          </cell>
        </row>
        <row r="488">
          <cell r="A488">
            <v>483</v>
          </cell>
          <cell r="B488" t="str">
            <v>4RM-DP</v>
          </cell>
        </row>
        <row r="489">
          <cell r="A489">
            <v>484</v>
          </cell>
          <cell r="B489" t="str">
            <v>4RS-DP</v>
          </cell>
        </row>
        <row r="490">
          <cell r="A490">
            <v>485</v>
          </cell>
          <cell r="B490" t="str">
            <v>8RA-DP</v>
          </cell>
        </row>
        <row r="491">
          <cell r="A491">
            <v>486</v>
          </cell>
          <cell r="B491" t="str">
            <v>8RM-DP</v>
          </cell>
        </row>
        <row r="492">
          <cell r="A492">
            <v>487</v>
          </cell>
          <cell r="B492" t="str">
            <v>8RS-DP</v>
          </cell>
        </row>
        <row r="493">
          <cell r="A493">
            <v>488</v>
          </cell>
          <cell r="B493" t="str">
            <v>824-YD-MP</v>
          </cell>
        </row>
        <row r="494">
          <cell r="A494">
            <v>489</v>
          </cell>
          <cell r="B494" t="str">
            <v>824-BD-MP</v>
          </cell>
        </row>
        <row r="495">
          <cell r="A495">
            <v>490</v>
          </cell>
          <cell r="B495" t="str">
            <v>824-RD-MP</v>
          </cell>
        </row>
        <row r="496">
          <cell r="A496">
            <v>491</v>
          </cell>
          <cell r="B496" t="str">
            <v>824-YD</v>
          </cell>
        </row>
        <row r="497">
          <cell r="A497">
            <v>492</v>
          </cell>
          <cell r="B497" t="str">
            <v>824-BD</v>
          </cell>
        </row>
        <row r="498">
          <cell r="A498">
            <v>493</v>
          </cell>
          <cell r="B498" t="str">
            <v>824-RD</v>
          </cell>
        </row>
        <row r="499">
          <cell r="A499">
            <v>494</v>
          </cell>
          <cell r="B499" t="str">
            <v>828-YD-MP</v>
          </cell>
        </row>
        <row r="500">
          <cell r="A500">
            <v>495</v>
          </cell>
          <cell r="B500" t="str">
            <v>828-BD-MP</v>
          </cell>
        </row>
        <row r="501">
          <cell r="A501">
            <v>496</v>
          </cell>
          <cell r="B501" t="str">
            <v>828-RD-MP</v>
          </cell>
        </row>
        <row r="502">
          <cell r="A502">
            <v>497</v>
          </cell>
          <cell r="B502" t="str">
            <v>828-YD</v>
          </cell>
        </row>
        <row r="503">
          <cell r="A503">
            <v>498</v>
          </cell>
          <cell r="B503" t="str">
            <v>828-BD</v>
          </cell>
        </row>
        <row r="504">
          <cell r="A504">
            <v>499</v>
          </cell>
          <cell r="B504" t="str">
            <v>828-RD</v>
          </cell>
        </row>
        <row r="505">
          <cell r="A505">
            <v>500</v>
          </cell>
          <cell r="B505" t="str">
            <v>804-BD-MP</v>
          </cell>
        </row>
        <row r="506">
          <cell r="A506">
            <v>501</v>
          </cell>
          <cell r="B506" t="str">
            <v>804-LD-MP</v>
          </cell>
        </row>
        <row r="507">
          <cell r="A507">
            <v>502</v>
          </cell>
          <cell r="B507" t="str">
            <v>804-SD-MP</v>
          </cell>
        </row>
        <row r="508">
          <cell r="A508">
            <v>503</v>
          </cell>
          <cell r="B508" t="str">
            <v>804-BD</v>
          </cell>
        </row>
        <row r="509">
          <cell r="A509">
            <v>504</v>
          </cell>
          <cell r="B509" t="str">
            <v>804-LD</v>
          </cell>
        </row>
        <row r="510">
          <cell r="A510">
            <v>505</v>
          </cell>
          <cell r="B510" t="str">
            <v>804-SD</v>
          </cell>
        </row>
        <row r="511">
          <cell r="A511">
            <v>506</v>
          </cell>
          <cell r="B511" t="str">
            <v>808-BD-MP</v>
          </cell>
        </row>
        <row r="512">
          <cell r="A512">
            <v>507</v>
          </cell>
          <cell r="B512" t="str">
            <v>808-LD-MP</v>
          </cell>
        </row>
        <row r="513">
          <cell r="A513">
            <v>508</v>
          </cell>
          <cell r="B513" t="str">
            <v>808-SD-MP</v>
          </cell>
        </row>
        <row r="514">
          <cell r="A514">
            <v>509</v>
          </cell>
          <cell r="B514" t="str">
            <v>808-BD</v>
          </cell>
        </row>
        <row r="515">
          <cell r="A515">
            <v>510</v>
          </cell>
          <cell r="B515" t="str">
            <v>808-LD</v>
          </cell>
        </row>
        <row r="516">
          <cell r="A516">
            <v>511</v>
          </cell>
          <cell r="B516" t="str">
            <v>808-SD</v>
          </cell>
        </row>
        <row r="517">
          <cell r="A517">
            <v>512</v>
          </cell>
          <cell r="B517" t="str">
            <v>814-BD-MP</v>
          </cell>
        </row>
        <row r="518">
          <cell r="A518">
            <v>513</v>
          </cell>
          <cell r="B518" t="str">
            <v>814-LD-MP</v>
          </cell>
        </row>
        <row r="519">
          <cell r="A519">
            <v>514</v>
          </cell>
          <cell r="B519" t="str">
            <v>814-SD-MP</v>
          </cell>
        </row>
        <row r="520">
          <cell r="A520">
            <v>515</v>
          </cell>
          <cell r="B520" t="str">
            <v>814-BD</v>
          </cell>
        </row>
        <row r="521">
          <cell r="A521">
            <v>516</v>
          </cell>
          <cell r="B521" t="str">
            <v>814-LD</v>
          </cell>
        </row>
        <row r="522">
          <cell r="A522">
            <v>517</v>
          </cell>
          <cell r="B522" t="str">
            <v>814-SD</v>
          </cell>
        </row>
        <row r="523">
          <cell r="A523">
            <v>518</v>
          </cell>
          <cell r="B523" t="str">
            <v>818-BD-MP</v>
          </cell>
        </row>
        <row r="524">
          <cell r="A524">
            <v>519</v>
          </cell>
          <cell r="B524" t="str">
            <v>818-LD-MP</v>
          </cell>
        </row>
        <row r="525">
          <cell r="A525">
            <v>520</v>
          </cell>
          <cell r="B525" t="str">
            <v>818-SD-MP</v>
          </cell>
        </row>
        <row r="526">
          <cell r="A526">
            <v>521</v>
          </cell>
          <cell r="B526" t="str">
            <v>818-BD</v>
          </cell>
        </row>
        <row r="527">
          <cell r="A527">
            <v>522</v>
          </cell>
          <cell r="B527" t="str">
            <v>818-LD</v>
          </cell>
        </row>
        <row r="528">
          <cell r="A528">
            <v>523</v>
          </cell>
          <cell r="B528" t="str">
            <v>818-SD</v>
          </cell>
        </row>
        <row r="529">
          <cell r="A529">
            <v>524</v>
          </cell>
          <cell r="B529" t="str">
            <v>921-P1</v>
          </cell>
        </row>
        <row r="530">
          <cell r="A530">
            <v>525</v>
          </cell>
          <cell r="B530" t="str">
            <v>922-P1</v>
          </cell>
        </row>
        <row r="531">
          <cell r="A531">
            <v>526</v>
          </cell>
          <cell r="B531" t="str">
            <v>401-P1</v>
          </cell>
        </row>
        <row r="532">
          <cell r="A532">
            <v>527</v>
          </cell>
          <cell r="B532" t="str">
            <v>801-P1</v>
          </cell>
        </row>
        <row r="533">
          <cell r="A533">
            <v>528</v>
          </cell>
          <cell r="B533" t="str">
            <v>400-P1</v>
          </cell>
        </row>
        <row r="534">
          <cell r="A534">
            <v>529</v>
          </cell>
          <cell r="B534" t="str">
            <v>800-P1</v>
          </cell>
        </row>
        <row r="535">
          <cell r="A535">
            <v>530</v>
          </cell>
          <cell r="B535" t="str">
            <v>403-P1</v>
          </cell>
        </row>
        <row r="536">
          <cell r="A536">
            <v>531</v>
          </cell>
          <cell r="B536" t="str">
            <v>803-P1</v>
          </cell>
        </row>
        <row r="537">
          <cell r="A537">
            <v>532</v>
          </cell>
          <cell r="B537" t="str">
            <v>332-P1</v>
          </cell>
        </row>
        <row r="538">
          <cell r="A538">
            <v>533</v>
          </cell>
          <cell r="B538" t="str">
            <v>333-P1</v>
          </cell>
        </row>
        <row r="539">
          <cell r="A539">
            <v>534</v>
          </cell>
          <cell r="B539" t="str">
            <v>402-P1</v>
          </cell>
        </row>
        <row r="540">
          <cell r="A540">
            <v>535</v>
          </cell>
          <cell r="B540" t="str">
            <v>802-P1</v>
          </cell>
        </row>
        <row r="541">
          <cell r="A541">
            <v>536</v>
          </cell>
          <cell r="B541" t="str">
            <v>921-PB</v>
          </cell>
        </row>
        <row r="542">
          <cell r="A542">
            <v>537</v>
          </cell>
          <cell r="B542" t="str">
            <v>921-PI</v>
          </cell>
        </row>
        <row r="543">
          <cell r="A543">
            <v>538</v>
          </cell>
          <cell r="B543" t="str">
            <v>921-PP</v>
          </cell>
        </row>
        <row r="544">
          <cell r="A544">
            <v>539</v>
          </cell>
          <cell r="B544" t="str">
            <v>922-PB</v>
          </cell>
        </row>
        <row r="545">
          <cell r="A545">
            <v>540</v>
          </cell>
          <cell r="B545" t="str">
            <v>922-PI</v>
          </cell>
        </row>
        <row r="546">
          <cell r="A546">
            <v>541</v>
          </cell>
          <cell r="B546" t="str">
            <v>922-PP</v>
          </cell>
        </row>
        <row r="547">
          <cell r="A547">
            <v>542</v>
          </cell>
          <cell r="B547" t="str">
            <v>401-PB</v>
          </cell>
        </row>
        <row r="548">
          <cell r="A548">
            <v>543</v>
          </cell>
          <cell r="B548" t="str">
            <v>401-PB</v>
          </cell>
        </row>
        <row r="549">
          <cell r="A549">
            <v>544</v>
          </cell>
          <cell r="B549" t="str">
            <v>401-PI</v>
          </cell>
        </row>
        <row r="550">
          <cell r="A550">
            <v>545</v>
          </cell>
          <cell r="B550" t="str">
            <v>401-PI</v>
          </cell>
        </row>
        <row r="551">
          <cell r="A551">
            <v>546</v>
          </cell>
          <cell r="B551" t="str">
            <v>401-PP</v>
          </cell>
        </row>
        <row r="552">
          <cell r="A552">
            <v>547</v>
          </cell>
          <cell r="B552" t="str">
            <v>401-PP</v>
          </cell>
        </row>
        <row r="553">
          <cell r="A553">
            <v>548</v>
          </cell>
          <cell r="B553" t="str">
            <v>801-PB</v>
          </cell>
        </row>
        <row r="554">
          <cell r="A554">
            <v>549</v>
          </cell>
          <cell r="B554" t="str">
            <v>801-PI</v>
          </cell>
        </row>
        <row r="555">
          <cell r="A555">
            <v>550</v>
          </cell>
          <cell r="B555" t="str">
            <v>801-PP</v>
          </cell>
        </row>
        <row r="556">
          <cell r="A556">
            <v>551</v>
          </cell>
          <cell r="B556" t="str">
            <v>400-PB</v>
          </cell>
        </row>
        <row r="557">
          <cell r="A557">
            <v>552</v>
          </cell>
          <cell r="B557" t="str">
            <v>400-PP</v>
          </cell>
        </row>
        <row r="558">
          <cell r="A558">
            <v>553</v>
          </cell>
          <cell r="B558" t="str">
            <v>400-PY</v>
          </cell>
        </row>
        <row r="559">
          <cell r="A559">
            <v>554</v>
          </cell>
          <cell r="B559" t="str">
            <v>800-PB</v>
          </cell>
        </row>
        <row r="560">
          <cell r="A560">
            <v>555</v>
          </cell>
          <cell r="B560" t="str">
            <v>800-PP</v>
          </cell>
        </row>
        <row r="561">
          <cell r="A561">
            <v>556</v>
          </cell>
          <cell r="B561" t="str">
            <v>800-PY</v>
          </cell>
        </row>
        <row r="562">
          <cell r="A562">
            <v>557</v>
          </cell>
          <cell r="B562" t="str">
            <v>403-PG</v>
          </cell>
        </row>
        <row r="563">
          <cell r="A563">
            <v>558</v>
          </cell>
          <cell r="B563" t="str">
            <v>403-PI</v>
          </cell>
        </row>
        <row r="564">
          <cell r="A564">
            <v>559</v>
          </cell>
          <cell r="B564" t="str">
            <v>403-PY</v>
          </cell>
        </row>
        <row r="565">
          <cell r="A565">
            <v>560</v>
          </cell>
          <cell r="B565" t="str">
            <v>803-PG</v>
          </cell>
        </row>
        <row r="566">
          <cell r="A566">
            <v>561</v>
          </cell>
          <cell r="B566" t="str">
            <v>803-PI</v>
          </cell>
        </row>
        <row r="567">
          <cell r="A567">
            <v>562</v>
          </cell>
          <cell r="B567" t="str">
            <v>803-PY</v>
          </cell>
        </row>
        <row r="568">
          <cell r="A568">
            <v>563</v>
          </cell>
          <cell r="B568" t="str">
            <v>332-PB</v>
          </cell>
        </row>
        <row r="569">
          <cell r="A569">
            <v>564</v>
          </cell>
          <cell r="B569" t="str">
            <v>332-PR</v>
          </cell>
        </row>
        <row r="570">
          <cell r="A570">
            <v>565</v>
          </cell>
          <cell r="B570" t="str">
            <v>333-PB</v>
          </cell>
        </row>
        <row r="571">
          <cell r="A571">
            <v>566</v>
          </cell>
          <cell r="B571" t="str">
            <v>333-PR</v>
          </cell>
        </row>
        <row r="572">
          <cell r="A572">
            <v>567</v>
          </cell>
          <cell r="B572" t="str">
            <v>402-PB</v>
          </cell>
        </row>
        <row r="573">
          <cell r="A573">
            <v>568</v>
          </cell>
          <cell r="B573" t="str">
            <v>402-PI</v>
          </cell>
        </row>
        <row r="574">
          <cell r="A574">
            <v>569</v>
          </cell>
          <cell r="B574" t="str">
            <v>402-PP</v>
          </cell>
        </row>
        <row r="575">
          <cell r="A575">
            <v>570</v>
          </cell>
          <cell r="B575" t="str">
            <v>802-PB</v>
          </cell>
        </row>
        <row r="576">
          <cell r="A576">
            <v>571</v>
          </cell>
          <cell r="B576" t="str">
            <v>802-PI</v>
          </cell>
        </row>
        <row r="577">
          <cell r="A577">
            <v>572</v>
          </cell>
          <cell r="B577" t="str">
            <v>802-PP</v>
          </cell>
        </row>
        <row r="578">
          <cell r="A578">
            <v>573</v>
          </cell>
          <cell r="B578" t="str">
            <v>922-BB</v>
          </cell>
        </row>
        <row r="579">
          <cell r="A579">
            <v>574</v>
          </cell>
          <cell r="B579" t="str">
            <v>922-BI</v>
          </cell>
        </row>
        <row r="580">
          <cell r="A580">
            <v>575</v>
          </cell>
          <cell r="B580" t="str">
            <v>922-BP</v>
          </cell>
        </row>
        <row r="581">
          <cell r="A581">
            <v>576</v>
          </cell>
          <cell r="B581" t="str">
            <v>921-WD</v>
          </cell>
        </row>
        <row r="582">
          <cell r="A582">
            <v>577</v>
          </cell>
          <cell r="B582" t="str">
            <v>921-PD</v>
          </cell>
        </row>
        <row r="583">
          <cell r="A583">
            <v>578</v>
          </cell>
          <cell r="B583" t="str">
            <v>921-BD</v>
          </cell>
        </row>
        <row r="584">
          <cell r="A584">
            <v>579</v>
          </cell>
          <cell r="B584" t="str">
            <v>921-WD-MP</v>
          </cell>
        </row>
        <row r="585">
          <cell r="A585">
            <v>580</v>
          </cell>
          <cell r="B585" t="str">
            <v>921-PD-MP</v>
          </cell>
        </row>
        <row r="586">
          <cell r="A586">
            <v>581</v>
          </cell>
          <cell r="B586" t="str">
            <v>921-BD-MP</v>
          </cell>
        </row>
        <row r="587">
          <cell r="A587">
            <v>582</v>
          </cell>
          <cell r="B587" t="str">
            <v>922-WD</v>
          </cell>
        </row>
        <row r="588">
          <cell r="A588">
            <v>583</v>
          </cell>
          <cell r="B588" t="str">
            <v>922-PD</v>
          </cell>
        </row>
        <row r="589">
          <cell r="A589">
            <v>584</v>
          </cell>
          <cell r="B589" t="str">
            <v>922-BD</v>
          </cell>
        </row>
        <row r="590">
          <cell r="A590">
            <v>585</v>
          </cell>
          <cell r="B590" t="str">
            <v>922-WD-MP</v>
          </cell>
        </row>
        <row r="591">
          <cell r="A591">
            <v>586</v>
          </cell>
          <cell r="B591" t="str">
            <v>922-PD-MP</v>
          </cell>
        </row>
        <row r="592">
          <cell r="A592">
            <v>587</v>
          </cell>
          <cell r="B592" t="str">
            <v>922-BD-MP</v>
          </cell>
        </row>
        <row r="593">
          <cell r="A593">
            <v>588</v>
          </cell>
          <cell r="B593" t="str">
            <v>921-NB</v>
          </cell>
        </row>
        <row r="594">
          <cell r="A594">
            <v>589</v>
          </cell>
          <cell r="B594" t="str">
            <v>921-NP</v>
          </cell>
        </row>
        <row r="595">
          <cell r="A595">
            <v>590</v>
          </cell>
          <cell r="B595" t="str">
            <v>921-NW</v>
          </cell>
        </row>
        <row r="596">
          <cell r="A596">
            <v>591</v>
          </cell>
          <cell r="B596" t="str">
            <v>922-NB</v>
          </cell>
        </row>
        <row r="597">
          <cell r="A597">
            <v>592</v>
          </cell>
          <cell r="B597" t="str">
            <v>922-NP</v>
          </cell>
        </row>
        <row r="598">
          <cell r="A598">
            <v>593</v>
          </cell>
          <cell r="B598" t="str">
            <v>922-NW</v>
          </cell>
        </row>
        <row r="599">
          <cell r="A599">
            <v>594</v>
          </cell>
          <cell r="B599" t="str">
            <v>403-BG</v>
          </cell>
        </row>
        <row r="600">
          <cell r="A600">
            <v>595</v>
          </cell>
          <cell r="B600" t="str">
            <v>403-BI</v>
          </cell>
        </row>
        <row r="601">
          <cell r="A601">
            <v>596</v>
          </cell>
          <cell r="B601" t="str">
            <v>403-BY</v>
          </cell>
        </row>
        <row r="602">
          <cell r="A602">
            <v>597</v>
          </cell>
          <cell r="B602" t="str">
            <v>803-BG</v>
          </cell>
        </row>
        <row r="603">
          <cell r="A603">
            <v>598</v>
          </cell>
          <cell r="B603" t="str">
            <v>803-BI</v>
          </cell>
        </row>
        <row r="604">
          <cell r="A604">
            <v>599</v>
          </cell>
          <cell r="B604" t="str">
            <v>803-BY</v>
          </cell>
        </row>
        <row r="605">
          <cell r="A605">
            <v>600</v>
          </cell>
          <cell r="B605" t="str">
            <v>SAMP-1</v>
          </cell>
        </row>
        <row r="606">
          <cell r="A606">
            <v>601</v>
          </cell>
          <cell r="B606" t="str">
            <v>SAMP-2</v>
          </cell>
        </row>
        <row r="607">
          <cell r="A607">
            <v>602</v>
          </cell>
          <cell r="B607" t="str">
            <v>SAMP-3</v>
          </cell>
        </row>
        <row r="608">
          <cell r="A608">
            <v>603</v>
          </cell>
          <cell r="B608" t="str">
            <v>SAMP-4</v>
          </cell>
        </row>
        <row r="609">
          <cell r="A609">
            <v>604</v>
          </cell>
          <cell r="B609" t="str">
            <v>SAMP-5</v>
          </cell>
        </row>
        <row r="610">
          <cell r="A610">
            <v>605</v>
          </cell>
          <cell r="B610" t="str">
            <v>SAMP-6</v>
          </cell>
        </row>
        <row r="611">
          <cell r="A611">
            <v>606</v>
          </cell>
          <cell r="B611" t="str">
            <v>MIS-01</v>
          </cell>
        </row>
        <row r="612">
          <cell r="A612">
            <v>607</v>
          </cell>
          <cell r="B612" t="str">
            <v>MIS-02</v>
          </cell>
        </row>
        <row r="613">
          <cell r="A613">
            <v>608</v>
          </cell>
          <cell r="B613" t="str">
            <v>MIS-03</v>
          </cell>
        </row>
        <row r="614">
          <cell r="A614">
            <v>609</v>
          </cell>
          <cell r="B614" t="str">
            <v>MIS-04</v>
          </cell>
        </row>
        <row r="615">
          <cell r="A615">
            <v>610</v>
          </cell>
          <cell r="B615" t="str">
            <v>Old Price</v>
          </cell>
        </row>
        <row r="616">
          <cell r="A616">
            <v>611</v>
          </cell>
          <cell r="B616" t="str">
            <v>Old Price</v>
          </cell>
        </row>
        <row r="617">
          <cell r="A617">
            <v>612</v>
          </cell>
          <cell r="B617" t="str">
            <v>Old Price</v>
          </cell>
        </row>
        <row r="618">
          <cell r="A618">
            <v>613</v>
          </cell>
          <cell r="B618" t="str">
            <v>Old Price</v>
          </cell>
        </row>
        <row r="619">
          <cell r="A619">
            <v>614</v>
          </cell>
          <cell r="B619" t="str">
            <v>Old Price</v>
          </cell>
        </row>
        <row r="620">
          <cell r="A620">
            <v>615</v>
          </cell>
          <cell r="B620" t="str">
            <v>Old Price</v>
          </cell>
        </row>
        <row r="621">
          <cell r="A621">
            <v>616</v>
          </cell>
          <cell r="B621" t="str">
            <v>804-BB</v>
          </cell>
        </row>
        <row r="622">
          <cell r="A622">
            <v>617</v>
          </cell>
          <cell r="B622" t="str">
            <v>804-BL</v>
          </cell>
        </row>
        <row r="623">
          <cell r="A623">
            <v>618</v>
          </cell>
          <cell r="B623" t="str">
            <v>804-BS</v>
          </cell>
        </row>
        <row r="624">
          <cell r="A624">
            <v>619</v>
          </cell>
          <cell r="B624" t="str">
            <v>808-BB</v>
          </cell>
        </row>
        <row r="625">
          <cell r="A625">
            <v>620</v>
          </cell>
          <cell r="B625" t="str">
            <v>808-BL</v>
          </cell>
        </row>
        <row r="626">
          <cell r="A626">
            <v>621</v>
          </cell>
          <cell r="B626" t="str">
            <v>808-BS</v>
          </cell>
        </row>
        <row r="627">
          <cell r="A627">
            <v>622</v>
          </cell>
          <cell r="B627" t="str">
            <v>804-DB</v>
          </cell>
        </row>
        <row r="628">
          <cell r="A628">
            <v>623</v>
          </cell>
          <cell r="B628" t="str">
            <v>804-DL</v>
          </cell>
        </row>
        <row r="629">
          <cell r="A629">
            <v>624</v>
          </cell>
          <cell r="B629" t="str">
            <v>804-DS</v>
          </cell>
        </row>
        <row r="630">
          <cell r="A630">
            <v>625</v>
          </cell>
          <cell r="B630" t="str">
            <v>808-DB</v>
          </cell>
        </row>
        <row r="631">
          <cell r="A631">
            <v>626</v>
          </cell>
          <cell r="B631" t="str">
            <v>808-DL</v>
          </cell>
        </row>
        <row r="632">
          <cell r="A632">
            <v>627</v>
          </cell>
          <cell r="B632" t="str">
            <v>808-DS</v>
          </cell>
        </row>
        <row r="633">
          <cell r="A633">
            <v>628</v>
          </cell>
          <cell r="B633" t="str">
            <v>804-BP</v>
          </cell>
        </row>
        <row r="634">
          <cell r="A634">
            <v>629</v>
          </cell>
          <cell r="B634" t="str">
            <v>804-LP</v>
          </cell>
        </row>
        <row r="635">
          <cell r="A635">
            <v>630</v>
          </cell>
          <cell r="B635" t="str">
            <v>804-SP</v>
          </cell>
        </row>
        <row r="636">
          <cell r="A636">
            <v>631</v>
          </cell>
          <cell r="B636" t="str">
            <v>808-BP</v>
          </cell>
        </row>
        <row r="637">
          <cell r="A637">
            <v>632</v>
          </cell>
          <cell r="B637" t="str">
            <v>808-LP</v>
          </cell>
        </row>
        <row r="638">
          <cell r="A638">
            <v>633</v>
          </cell>
          <cell r="B638" t="str">
            <v>808-SP</v>
          </cell>
        </row>
        <row r="639">
          <cell r="A639">
            <v>634</v>
          </cell>
          <cell r="B639" t="str">
            <v>814-BB</v>
          </cell>
        </row>
        <row r="640">
          <cell r="A640">
            <v>635</v>
          </cell>
          <cell r="B640" t="str">
            <v>814-BL</v>
          </cell>
        </row>
        <row r="641">
          <cell r="A641">
            <v>636</v>
          </cell>
          <cell r="B641" t="str">
            <v>814-BS</v>
          </cell>
        </row>
        <row r="642">
          <cell r="A642">
            <v>637</v>
          </cell>
          <cell r="B642" t="str">
            <v>818-BB</v>
          </cell>
        </row>
        <row r="643">
          <cell r="A643">
            <v>638</v>
          </cell>
          <cell r="B643" t="str">
            <v>818-BL</v>
          </cell>
        </row>
        <row r="644">
          <cell r="A644">
            <v>639</v>
          </cell>
          <cell r="B644" t="str">
            <v>818-BS</v>
          </cell>
        </row>
        <row r="645">
          <cell r="A645">
            <v>640</v>
          </cell>
          <cell r="B645" t="str">
            <v>814-DB</v>
          </cell>
        </row>
        <row r="646">
          <cell r="A646">
            <v>641</v>
          </cell>
          <cell r="B646" t="str">
            <v>814-DL</v>
          </cell>
        </row>
        <row r="647">
          <cell r="A647">
            <v>642</v>
          </cell>
          <cell r="B647" t="str">
            <v>814-DS</v>
          </cell>
        </row>
        <row r="648">
          <cell r="A648">
            <v>643</v>
          </cell>
          <cell r="B648" t="str">
            <v>818-DB</v>
          </cell>
        </row>
        <row r="649">
          <cell r="A649">
            <v>644</v>
          </cell>
          <cell r="B649" t="str">
            <v>818-DL</v>
          </cell>
        </row>
        <row r="650">
          <cell r="A650">
            <v>645</v>
          </cell>
          <cell r="B650" t="str">
            <v>818-DS</v>
          </cell>
        </row>
        <row r="651">
          <cell r="A651">
            <v>646</v>
          </cell>
          <cell r="B651" t="str">
            <v>814-BP</v>
          </cell>
        </row>
        <row r="652">
          <cell r="A652">
            <v>647</v>
          </cell>
          <cell r="B652" t="str">
            <v>814-LP</v>
          </cell>
        </row>
        <row r="653">
          <cell r="A653">
            <v>648</v>
          </cell>
          <cell r="B653" t="str">
            <v>814-SP</v>
          </cell>
        </row>
        <row r="654">
          <cell r="A654">
            <v>649</v>
          </cell>
          <cell r="B654" t="str">
            <v>818-BP</v>
          </cell>
        </row>
        <row r="655">
          <cell r="A655">
            <v>650</v>
          </cell>
          <cell r="B655" t="str">
            <v>818-LP</v>
          </cell>
        </row>
        <row r="656">
          <cell r="A656">
            <v>651</v>
          </cell>
          <cell r="B656" t="str">
            <v>818-SP</v>
          </cell>
        </row>
        <row r="657">
          <cell r="A657">
            <v>652</v>
          </cell>
          <cell r="B657" t="str">
            <v>C04-1S</v>
          </cell>
        </row>
        <row r="658">
          <cell r="A658">
            <v>653</v>
          </cell>
          <cell r="B658" t="str">
            <v>C14-1S</v>
          </cell>
        </row>
        <row r="659">
          <cell r="A659">
            <v>654</v>
          </cell>
          <cell r="B659" t="str">
            <v>C08-1S</v>
          </cell>
        </row>
        <row r="660">
          <cell r="A660">
            <v>655</v>
          </cell>
          <cell r="B660" t="str">
            <v>C18-1S</v>
          </cell>
        </row>
        <row r="661">
          <cell r="A661">
            <v>656</v>
          </cell>
          <cell r="B661" t="str">
            <v>806-SH</v>
          </cell>
        </row>
        <row r="662">
          <cell r="A662">
            <v>657</v>
          </cell>
          <cell r="B662" t="str">
            <v>806-SN</v>
          </cell>
        </row>
        <row r="663">
          <cell r="A663">
            <v>658</v>
          </cell>
          <cell r="B663" t="str">
            <v>806-SC</v>
          </cell>
        </row>
        <row r="664">
          <cell r="A664">
            <v>659</v>
          </cell>
          <cell r="B664" t="str">
            <v>802-SB</v>
          </cell>
        </row>
        <row r="665">
          <cell r="A665">
            <v>660</v>
          </cell>
          <cell r="B665" t="str">
            <v>802-SI</v>
          </cell>
        </row>
        <row r="666">
          <cell r="A666">
            <v>661</v>
          </cell>
          <cell r="B666" t="str">
            <v>802-SP</v>
          </cell>
        </row>
        <row r="667">
          <cell r="A667">
            <v>662</v>
          </cell>
          <cell r="B667" t="str">
            <v>801-SB</v>
          </cell>
        </row>
        <row r="668">
          <cell r="A668">
            <v>663</v>
          </cell>
          <cell r="B668" t="str">
            <v>801-SI</v>
          </cell>
        </row>
        <row r="669">
          <cell r="A669">
            <v>664</v>
          </cell>
          <cell r="B669" t="str">
            <v>801-SP</v>
          </cell>
        </row>
        <row r="670">
          <cell r="A670">
            <v>665</v>
          </cell>
          <cell r="B670" t="str">
            <v>922-LW</v>
          </cell>
        </row>
        <row r="671">
          <cell r="A671">
            <v>666</v>
          </cell>
          <cell r="B671" t="str">
            <v>922-LP</v>
          </cell>
        </row>
        <row r="672">
          <cell r="A672">
            <v>667</v>
          </cell>
          <cell r="B672" t="str">
            <v>922-LB</v>
          </cell>
        </row>
        <row r="673">
          <cell r="A673">
            <v>668</v>
          </cell>
          <cell r="B673" t="str">
            <v>828-SY</v>
          </cell>
        </row>
        <row r="674">
          <cell r="A674">
            <v>669</v>
          </cell>
          <cell r="B674" t="str">
            <v>828-SB</v>
          </cell>
        </row>
        <row r="675">
          <cell r="A675">
            <v>670</v>
          </cell>
          <cell r="B675" t="str">
            <v>828-SR</v>
          </cell>
        </row>
        <row r="676">
          <cell r="A676">
            <v>671</v>
          </cell>
          <cell r="B676" t="str">
            <v>848-SR</v>
          </cell>
        </row>
        <row r="677">
          <cell r="A677">
            <v>672</v>
          </cell>
          <cell r="B677" t="str">
            <v>848-SB</v>
          </cell>
        </row>
        <row r="678">
          <cell r="A678">
            <v>673</v>
          </cell>
          <cell r="B678" t="str">
            <v>848-SY</v>
          </cell>
        </row>
        <row r="679">
          <cell r="A679">
            <v>674</v>
          </cell>
          <cell r="B679" t="str">
            <v>922-SP</v>
          </cell>
        </row>
        <row r="680">
          <cell r="A680">
            <v>675</v>
          </cell>
          <cell r="B680" t="str">
            <v>922-SB</v>
          </cell>
        </row>
        <row r="681">
          <cell r="A681">
            <v>676</v>
          </cell>
          <cell r="B681" t="str">
            <v>922-SG</v>
          </cell>
        </row>
        <row r="682">
          <cell r="A682">
            <v>677</v>
          </cell>
          <cell r="B682" t="str">
            <v>921-01</v>
          </cell>
        </row>
        <row r="683">
          <cell r="A683">
            <v>678</v>
          </cell>
          <cell r="B683" t="str">
            <v>922-01</v>
          </cell>
        </row>
        <row r="684">
          <cell r="A684">
            <v>679</v>
          </cell>
          <cell r="B684" t="str">
            <v>401-01</v>
          </cell>
        </row>
        <row r="685">
          <cell r="A685">
            <v>680</v>
          </cell>
          <cell r="B685" t="str">
            <v>801-01</v>
          </cell>
        </row>
        <row r="686">
          <cell r="A686">
            <v>681</v>
          </cell>
          <cell r="B686" t="str">
            <v>400-01</v>
          </cell>
        </row>
        <row r="687">
          <cell r="A687">
            <v>682</v>
          </cell>
          <cell r="B687" t="str">
            <v>800-01</v>
          </cell>
        </row>
        <row r="688">
          <cell r="A688">
            <v>683</v>
          </cell>
          <cell r="B688" t="str">
            <v>332-01</v>
          </cell>
        </row>
        <row r="689">
          <cell r="A689">
            <v>684</v>
          </cell>
          <cell r="B689" t="str">
            <v>333-B1</v>
          </cell>
        </row>
        <row r="690">
          <cell r="A690">
            <v>685</v>
          </cell>
          <cell r="B690" t="str">
            <v>402-01</v>
          </cell>
        </row>
        <row r="691">
          <cell r="A691">
            <v>686</v>
          </cell>
          <cell r="B691" t="str">
            <v>802-01</v>
          </cell>
        </row>
        <row r="692">
          <cell r="A692">
            <v>687</v>
          </cell>
          <cell r="B692" t="str">
            <v>053-01O</v>
          </cell>
        </row>
        <row r="693">
          <cell r="A693">
            <v>688</v>
          </cell>
          <cell r="B693" t="str">
            <v>054-01O</v>
          </cell>
        </row>
        <row r="694">
          <cell r="A694">
            <v>689</v>
          </cell>
          <cell r="B694" t="str">
            <v>055-01O</v>
          </cell>
        </row>
        <row r="695">
          <cell r="A695">
            <v>690</v>
          </cell>
          <cell r="B695" t="str">
            <v>4RA-01</v>
          </cell>
        </row>
        <row r="696">
          <cell r="A696">
            <v>691</v>
          </cell>
          <cell r="B696" t="str">
            <v>4RM-01</v>
          </cell>
        </row>
        <row r="697">
          <cell r="A697">
            <v>692</v>
          </cell>
          <cell r="B697" t="str">
            <v>4RS-01</v>
          </cell>
        </row>
        <row r="698">
          <cell r="A698">
            <v>693</v>
          </cell>
          <cell r="B698" t="str">
            <v>8RA-01</v>
          </cell>
        </row>
        <row r="699">
          <cell r="A699">
            <v>694</v>
          </cell>
          <cell r="B699" t="str">
            <v>8RM-01</v>
          </cell>
        </row>
        <row r="700">
          <cell r="A700">
            <v>695</v>
          </cell>
          <cell r="B700" t="str">
            <v>8RS-01</v>
          </cell>
        </row>
        <row r="701">
          <cell r="A701">
            <v>696</v>
          </cell>
          <cell r="B701" t="str">
            <v>824-BB</v>
          </cell>
        </row>
        <row r="702">
          <cell r="A702">
            <v>697</v>
          </cell>
          <cell r="B702" t="str">
            <v>824-BR</v>
          </cell>
        </row>
        <row r="703">
          <cell r="A703">
            <v>698</v>
          </cell>
          <cell r="B703" t="str">
            <v>824-BY</v>
          </cell>
        </row>
        <row r="704">
          <cell r="A704">
            <v>699</v>
          </cell>
          <cell r="B704" t="str">
            <v>828-BB</v>
          </cell>
        </row>
        <row r="705">
          <cell r="A705">
            <v>700</v>
          </cell>
          <cell r="B705" t="str">
            <v>828-BR</v>
          </cell>
        </row>
        <row r="706">
          <cell r="A706">
            <v>701</v>
          </cell>
          <cell r="B706" t="str">
            <v>828-BY</v>
          </cell>
        </row>
        <row r="707">
          <cell r="A707">
            <v>702</v>
          </cell>
          <cell r="B707" t="str">
            <v>921-BB</v>
          </cell>
        </row>
        <row r="708">
          <cell r="A708">
            <v>703</v>
          </cell>
          <cell r="B708" t="str">
            <v>921-BI</v>
          </cell>
        </row>
        <row r="709">
          <cell r="A709">
            <v>704</v>
          </cell>
          <cell r="B709" t="str">
            <v>921-BP</v>
          </cell>
        </row>
        <row r="710">
          <cell r="A710">
            <v>705</v>
          </cell>
          <cell r="B710" t="str">
            <v>922-BB</v>
          </cell>
        </row>
        <row r="711">
          <cell r="A711">
            <v>706</v>
          </cell>
          <cell r="B711" t="str">
            <v>922-BI</v>
          </cell>
        </row>
        <row r="712">
          <cell r="A712">
            <v>707</v>
          </cell>
          <cell r="B712" t="str">
            <v>922-BP</v>
          </cell>
        </row>
        <row r="713">
          <cell r="A713">
            <v>708</v>
          </cell>
          <cell r="B713" t="str">
            <v>921-BL</v>
          </cell>
        </row>
        <row r="714">
          <cell r="A714">
            <v>709</v>
          </cell>
          <cell r="B714" t="str">
            <v>921-WL</v>
          </cell>
        </row>
        <row r="715">
          <cell r="A715">
            <v>710</v>
          </cell>
          <cell r="B715" t="str">
            <v>921-PL</v>
          </cell>
        </row>
        <row r="716">
          <cell r="A716">
            <v>711</v>
          </cell>
        </row>
        <row r="717">
          <cell r="A717">
            <v>712</v>
          </cell>
        </row>
        <row r="718">
          <cell r="A718">
            <v>713</v>
          </cell>
        </row>
        <row r="719">
          <cell r="A719">
            <v>714</v>
          </cell>
        </row>
        <row r="720">
          <cell r="A720">
            <v>715</v>
          </cell>
        </row>
        <row r="721">
          <cell r="A721">
            <v>716</v>
          </cell>
        </row>
        <row r="722">
          <cell r="A722">
            <v>717</v>
          </cell>
        </row>
        <row r="723">
          <cell r="A723">
            <v>718</v>
          </cell>
        </row>
        <row r="724">
          <cell r="A724">
            <v>719</v>
          </cell>
        </row>
        <row r="725">
          <cell r="A725">
            <v>720</v>
          </cell>
        </row>
        <row r="726">
          <cell r="A726">
            <v>721</v>
          </cell>
        </row>
        <row r="727">
          <cell r="A727">
            <v>722</v>
          </cell>
        </row>
        <row r="728">
          <cell r="A728">
            <v>723</v>
          </cell>
        </row>
        <row r="729">
          <cell r="A729">
            <v>724</v>
          </cell>
        </row>
        <row r="730">
          <cell r="A730">
            <v>725</v>
          </cell>
        </row>
        <row r="731">
          <cell r="A731">
            <v>726</v>
          </cell>
        </row>
        <row r="732">
          <cell r="A732">
            <v>727</v>
          </cell>
        </row>
        <row r="733">
          <cell r="A733">
            <v>728</v>
          </cell>
        </row>
        <row r="734">
          <cell r="A734">
            <v>729</v>
          </cell>
        </row>
        <row r="735">
          <cell r="A735">
            <v>730</v>
          </cell>
        </row>
        <row r="736">
          <cell r="A736">
            <v>731</v>
          </cell>
        </row>
        <row r="737">
          <cell r="A737">
            <v>732</v>
          </cell>
        </row>
        <row r="738">
          <cell r="A738">
            <v>733</v>
          </cell>
        </row>
        <row r="739">
          <cell r="A739">
            <v>734</v>
          </cell>
        </row>
        <row r="740">
          <cell r="A740">
            <v>735</v>
          </cell>
        </row>
        <row r="741">
          <cell r="A741">
            <v>736</v>
          </cell>
        </row>
        <row r="742">
          <cell r="A742">
            <v>737</v>
          </cell>
        </row>
        <row r="743">
          <cell r="A743">
            <v>738</v>
          </cell>
        </row>
        <row r="744">
          <cell r="A744">
            <v>739</v>
          </cell>
        </row>
        <row r="745">
          <cell r="A745">
            <v>740</v>
          </cell>
        </row>
        <row r="746">
          <cell r="A746">
            <v>741</v>
          </cell>
        </row>
        <row r="747">
          <cell r="A747">
            <v>742</v>
          </cell>
        </row>
        <row r="748">
          <cell r="A748">
            <v>743</v>
          </cell>
        </row>
        <row r="749">
          <cell r="A749">
            <v>744</v>
          </cell>
        </row>
        <row r="750">
          <cell r="A750">
            <v>745</v>
          </cell>
        </row>
        <row r="751">
          <cell r="A751">
            <v>746</v>
          </cell>
        </row>
        <row r="752">
          <cell r="A752">
            <v>747</v>
          </cell>
        </row>
        <row r="753">
          <cell r="A753">
            <v>748</v>
          </cell>
        </row>
        <row r="754">
          <cell r="A754">
            <v>749</v>
          </cell>
        </row>
        <row r="755">
          <cell r="A755">
            <v>750</v>
          </cell>
        </row>
        <row r="756">
          <cell r="A756">
            <v>751</v>
          </cell>
        </row>
        <row r="757">
          <cell r="A757">
            <v>752</v>
          </cell>
        </row>
        <row r="758">
          <cell r="A758">
            <v>753</v>
          </cell>
        </row>
        <row r="759">
          <cell r="A759">
            <v>754</v>
          </cell>
        </row>
        <row r="760">
          <cell r="A760">
            <v>755</v>
          </cell>
        </row>
        <row r="761">
          <cell r="A761">
            <v>756</v>
          </cell>
        </row>
        <row r="762">
          <cell r="A762">
            <v>757</v>
          </cell>
        </row>
        <row r="763">
          <cell r="A763">
            <v>758</v>
          </cell>
        </row>
        <row r="764">
          <cell r="A764">
            <v>759</v>
          </cell>
        </row>
        <row r="765">
          <cell r="A765">
            <v>760</v>
          </cell>
        </row>
        <row r="766">
          <cell r="A766">
            <v>761</v>
          </cell>
        </row>
        <row r="767">
          <cell r="A767">
            <v>762</v>
          </cell>
        </row>
        <row r="768">
          <cell r="A768">
            <v>763</v>
          </cell>
        </row>
        <row r="769">
          <cell r="A769">
            <v>764</v>
          </cell>
        </row>
        <row r="770">
          <cell r="A770">
            <v>765</v>
          </cell>
        </row>
        <row r="771">
          <cell r="A771">
            <v>766</v>
          </cell>
        </row>
        <row r="772">
          <cell r="A772">
            <v>767</v>
          </cell>
        </row>
        <row r="773">
          <cell r="A773">
            <v>768</v>
          </cell>
        </row>
        <row r="774">
          <cell r="A774">
            <v>769</v>
          </cell>
        </row>
        <row r="775">
          <cell r="A775">
            <v>770</v>
          </cell>
        </row>
        <row r="776">
          <cell r="A776">
            <v>771</v>
          </cell>
        </row>
        <row r="777">
          <cell r="A777">
            <v>772</v>
          </cell>
        </row>
        <row r="778">
          <cell r="A778">
            <v>773</v>
          </cell>
        </row>
        <row r="779">
          <cell r="A779">
            <v>774</v>
          </cell>
        </row>
        <row r="780">
          <cell r="A780">
            <v>775</v>
          </cell>
        </row>
        <row r="781">
          <cell r="A781">
            <v>776</v>
          </cell>
        </row>
        <row r="782">
          <cell r="A782">
            <v>777</v>
          </cell>
        </row>
        <row r="783">
          <cell r="A783">
            <v>778</v>
          </cell>
        </row>
        <row r="784">
          <cell r="A784">
            <v>779</v>
          </cell>
        </row>
        <row r="785">
          <cell r="A785">
            <v>780</v>
          </cell>
        </row>
        <row r="786">
          <cell r="A786">
            <v>781</v>
          </cell>
        </row>
        <row r="787">
          <cell r="A787">
            <v>782</v>
          </cell>
        </row>
        <row r="788">
          <cell r="A788">
            <v>783</v>
          </cell>
        </row>
        <row r="789">
          <cell r="A789">
            <v>784</v>
          </cell>
        </row>
        <row r="790">
          <cell r="A790">
            <v>785</v>
          </cell>
        </row>
        <row r="791">
          <cell r="A791">
            <v>786</v>
          </cell>
        </row>
        <row r="792">
          <cell r="A792">
            <v>787</v>
          </cell>
        </row>
        <row r="793">
          <cell r="A793">
            <v>788</v>
          </cell>
        </row>
        <row r="794">
          <cell r="A794">
            <v>789</v>
          </cell>
        </row>
        <row r="795">
          <cell r="A795">
            <v>790</v>
          </cell>
        </row>
        <row r="796">
          <cell r="A796">
            <v>791</v>
          </cell>
        </row>
        <row r="797">
          <cell r="A797">
            <v>792</v>
          </cell>
        </row>
        <row r="798">
          <cell r="A798">
            <v>793</v>
          </cell>
        </row>
        <row r="799">
          <cell r="A799">
            <v>794</v>
          </cell>
        </row>
        <row r="800">
          <cell r="A800">
            <v>795</v>
          </cell>
        </row>
        <row r="801">
          <cell r="A801">
            <v>796</v>
          </cell>
        </row>
        <row r="802">
          <cell r="A802">
            <v>797</v>
          </cell>
        </row>
        <row r="803">
          <cell r="A803">
            <v>798</v>
          </cell>
        </row>
        <row r="804">
          <cell r="A804">
            <v>799</v>
          </cell>
        </row>
        <row r="805">
          <cell r="A805">
            <v>800</v>
          </cell>
        </row>
        <row r="806">
          <cell r="A806">
            <v>801</v>
          </cell>
        </row>
        <row r="807">
          <cell r="A807">
            <v>802</v>
          </cell>
        </row>
        <row r="808">
          <cell r="A808">
            <v>803</v>
          </cell>
        </row>
        <row r="809">
          <cell r="A809">
            <v>804</v>
          </cell>
        </row>
        <row r="810">
          <cell r="A810">
            <v>805</v>
          </cell>
        </row>
        <row r="811">
          <cell r="A811">
            <v>806</v>
          </cell>
        </row>
        <row r="812">
          <cell r="A812">
            <v>807</v>
          </cell>
        </row>
        <row r="813">
          <cell r="A813">
            <v>808</v>
          </cell>
        </row>
        <row r="814">
          <cell r="A814">
            <v>809</v>
          </cell>
        </row>
        <row r="815">
          <cell r="A815">
            <v>810</v>
          </cell>
        </row>
        <row r="816">
          <cell r="A816">
            <v>811</v>
          </cell>
        </row>
        <row r="817">
          <cell r="A817">
            <v>810</v>
          </cell>
        </row>
        <row r="818">
          <cell r="A818">
            <v>811</v>
          </cell>
        </row>
        <row r="819">
          <cell r="A819">
            <v>812</v>
          </cell>
        </row>
        <row r="820">
          <cell r="A820">
            <v>813</v>
          </cell>
        </row>
        <row r="821">
          <cell r="A821">
            <v>814</v>
          </cell>
        </row>
        <row r="822">
          <cell r="A822">
            <v>815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sheetData sheetId="70"/>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y. Bottle&amp;Nipple consumption"/>
      <sheetName val="Mold-Machine details"/>
      <sheetName val="DATA ENTERED BY"/>
      <sheetName val="Plan Vs Actual Hour %"/>
      <sheetName val="Rejection %"/>
      <sheetName val="Material Yield %"/>
      <sheetName val="Data Sheet APRIL-19"/>
      <sheetName val=" DAILY Material Stock"/>
      <sheetName val="PVA"/>
      <sheetName val="OEE %"/>
      <sheetName val="Sheet1"/>
      <sheetName val="Item Data Support Sheet"/>
      <sheetName val="Assembly"/>
      <sheetName val="Graph"/>
      <sheetName val="Std Mold Change over Time"/>
      <sheetName val="Prod Summary"/>
      <sheetName val="Rej Trend"/>
      <sheetName val="Material Yield Trend"/>
      <sheetName val="Trgt of wastage saving"/>
      <sheetName val="Cost saving 2018"/>
      <sheetName val="MIssion"/>
      <sheetName val="Plan vs Actual Graph"/>
      <sheetName val="Summary sheet"/>
      <sheetName val="Export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ow r="103">
          <cell r="G103" t="str">
            <v>Total</v>
          </cell>
        </row>
      </sheetData>
      <sheetData sheetId="18"/>
      <sheetData sheetId="19"/>
      <sheetData sheetId="20"/>
      <sheetData sheetId="21"/>
      <sheetData sheetId="22"/>
      <sheetData sheetId="2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atation2008"/>
      <sheetName val="ใบลดหนี้ 16 ธค 51"/>
      <sheetName val="ใบลดหนี้"/>
      <sheetName val="บริจาค"/>
      <sheetName val="ขายพนักงาน"/>
      <sheetName val="Add Report"/>
      <sheetName val="ใบลดหนี้2"/>
      <sheetName val="Sheet6"/>
      <sheetName val="Formura"/>
      <sheetName val="Report-JAPAN"/>
      <sheetName val="Sheet3"/>
      <sheetName val="Report to Japan"/>
      <sheetName val="Plan_Feb"/>
      <sheetName val="Jan"/>
      <sheetName val="Feb"/>
      <sheetName val="Mar"/>
      <sheetName val="Apr"/>
      <sheetName val="May"/>
      <sheetName val="Jun"/>
      <sheetName val="Jul"/>
      <sheetName val="Aug"/>
      <sheetName val="Sep"/>
      <sheetName val="pk"/>
      <sheetName val="pk (2)"/>
      <sheetName val="Master_Old"/>
      <sheetName val="Master"/>
      <sheetName val="Today"/>
      <sheetName val="Bill"/>
      <sheetName val="Jun10"/>
      <sheetName val="July10"/>
      <sheetName val="Japan_Report"/>
      <sheetName val="May10"/>
      <sheetName val="Apr10"/>
      <sheetName val="CN-DEC 09"/>
      <sheetName val="Cradit Note 2010"/>
      <sheetName val="Definition"/>
      <sheetName val="History2010"/>
      <sheetName val="CN-Mar13-10"/>
      <sheetName val="pp"/>
      <sheetName val="Pit2008"/>
      <sheetName val="CN-Mar20-10"/>
      <sheetName val="CN_Oct 08009"/>
      <sheetName val="CN_Nov"/>
      <sheetName val="Pit2008 ลดหนี้"/>
      <sheetName val="CN5-6"/>
      <sheetName val="Feb 10"/>
      <sheetName val="Jan 10"/>
      <sheetName val="Mar10"/>
      <sheetName val="Agent code"/>
      <sheetName val="History2009"/>
      <sheetName val="Account group"/>
      <sheetName val="27-Jul"/>
      <sheetName val="4-Aug"/>
      <sheetName val="5-Aug"/>
      <sheetName val="6-Aug"/>
      <sheetName val="AUG-Transport"/>
      <sheetName val="AUG-Transport (2)"/>
      <sheetName val="PIT Wrap"/>
      <sheetName val="SKU"/>
      <sheetName val="Sheet8"/>
      <sheetName val="Sheet2"/>
      <sheetName val="Sheet4"/>
      <sheetName val="Sheet5"/>
      <sheetName val="23-Jun"/>
      <sheetName val="2-July"/>
      <sheetName val="3-July"/>
      <sheetName val="6-Jul"/>
      <sheetName val="Sheet7"/>
      <sheetName val="July10 (2)"/>
      <sheetName val=""/>
      <sheetName val="ใบลดหนี้_16_ธค_513"/>
      <sheetName val="Add_Report3"/>
      <sheetName val="Report_to_Japan3"/>
      <sheetName val="pk_(2)3"/>
      <sheetName val="CN-DEC_093"/>
      <sheetName val="Cradit_Note_20103"/>
      <sheetName val="CN_Oct_080093"/>
      <sheetName val="Pit2008_ลดหนี้3"/>
      <sheetName val="Feb_103"/>
      <sheetName val="Jan_103"/>
      <sheetName val="Agent_code3"/>
      <sheetName val="Account_group3"/>
      <sheetName val="AUG-Transport_(2)3"/>
      <sheetName val="PIT_Wrap3"/>
      <sheetName val="July10_(2)3"/>
      <sheetName val="ใบลดหนี้_16_ธค_512"/>
      <sheetName val="Add_Report2"/>
      <sheetName val="Report_to_Japan2"/>
      <sheetName val="pk_(2)2"/>
      <sheetName val="CN-DEC_092"/>
      <sheetName val="Cradit_Note_20102"/>
      <sheetName val="CN_Oct_080092"/>
      <sheetName val="Pit2008_ลดหนี้2"/>
      <sheetName val="Feb_102"/>
      <sheetName val="Jan_102"/>
      <sheetName val="Agent_code2"/>
      <sheetName val="Account_group2"/>
      <sheetName val="AUG-Transport_(2)2"/>
      <sheetName val="PIT_Wrap2"/>
      <sheetName val="July10_(2)2"/>
      <sheetName val="ใบลดหนี้_16_ธค_51"/>
      <sheetName val="Add_Report"/>
      <sheetName val="Report_to_Japan"/>
      <sheetName val="pk_(2)"/>
      <sheetName val="CN-DEC_09"/>
      <sheetName val="Cradit_Note_2010"/>
      <sheetName val="CN_Oct_08009"/>
      <sheetName val="Pit2008_ลดหนี้"/>
      <sheetName val="Feb_10"/>
      <sheetName val="Jan_10"/>
      <sheetName val="Agent_code"/>
      <sheetName val="Account_group"/>
      <sheetName val="AUG-Transport_(2)"/>
      <sheetName val="PIT_Wrap"/>
      <sheetName val="July10_(2)"/>
      <sheetName val="ใบลดหนี้_16_ธค_511"/>
      <sheetName val="Add_Report1"/>
      <sheetName val="Report_to_Japan1"/>
      <sheetName val="pk_(2)1"/>
      <sheetName val="CN-DEC_091"/>
      <sheetName val="Cradit_Note_20101"/>
      <sheetName val="CN_Oct_080091"/>
      <sheetName val="Pit2008_ลดหนี้1"/>
      <sheetName val="Feb_101"/>
      <sheetName val="Jan_101"/>
      <sheetName val="Agent_code1"/>
      <sheetName val="Account_group1"/>
      <sheetName val="AUG-Transport_(2)1"/>
      <sheetName val="PIT_Wrap1"/>
      <sheetName val="July10_(2)1"/>
      <sheetName val="ใบลดหนี้_16_ธค_514"/>
      <sheetName val="Add_Report4"/>
      <sheetName val="Report_to_Japan4"/>
      <sheetName val="pk_(2)4"/>
      <sheetName val="CN-DEC_094"/>
      <sheetName val="Cradit_Note_20104"/>
      <sheetName val="CN_Oct_080094"/>
      <sheetName val="Pit2008_ลดหนี้4"/>
      <sheetName val="Feb_104"/>
      <sheetName val="Jan_104"/>
      <sheetName val="Agent_code4"/>
      <sheetName val="Account_group4"/>
      <sheetName val="AUG-Transport_(2)4"/>
      <sheetName val="PIT_Wrap4"/>
      <sheetName val="July10_(2)4"/>
      <sheetName val="ใบลดหนี้_16_ธค_515"/>
      <sheetName val="Add_Report5"/>
      <sheetName val="Report_to_Japan5"/>
      <sheetName val="pk_(2)5"/>
      <sheetName val="CN-DEC_095"/>
      <sheetName val="Cradit_Note_20105"/>
      <sheetName val="CN_Oct_080095"/>
      <sheetName val="Pit2008_ลดหนี้5"/>
      <sheetName val="Feb_105"/>
      <sheetName val="Jan_105"/>
      <sheetName val="Agent_code5"/>
      <sheetName val="Account_group5"/>
      <sheetName val="AUG-Transport_(2)5"/>
      <sheetName val="PIT_Wrap5"/>
      <sheetName val="July10_(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4">
          <cell r="B4" t="str">
            <v>No</v>
          </cell>
          <cell r="C4" t="str">
            <v>Code_01</v>
          </cell>
          <cell r="D4" t="str">
            <v>Account group</v>
          </cell>
          <cell r="E4" t="str">
            <v>GRP_01</v>
          </cell>
          <cell r="F4" t="str">
            <v>GRP_02</v>
          </cell>
          <cell r="G4" t="str">
            <v>Product group</v>
          </cell>
          <cell r="H4" t="str">
            <v>MPM GRP</v>
          </cell>
          <cell r="I4" t="str">
            <v>GRP_04</v>
          </cell>
          <cell r="J4" t="str">
            <v>GRP_05</v>
          </cell>
          <cell r="K4" t="str">
            <v>Size</v>
          </cell>
          <cell r="L4" t="str">
            <v>Description</v>
          </cell>
          <cell r="M4" t="str">
            <v>Description</v>
          </cell>
          <cell r="N4" t="str">
            <v>Unit Prc</v>
          </cell>
          <cell r="O4" t="str">
            <v>Pcs/Ctn</v>
          </cell>
          <cell r="P4" t="str">
            <v>QBM</v>
          </cell>
          <cell r="Q4" t="str">
            <v>Weight</v>
          </cell>
          <cell r="R4" t="str">
            <v>Old Description</v>
          </cell>
          <cell r="S4" t="str">
            <v>Navision Code</v>
          </cell>
          <cell r="T4" t="str">
            <v>REF#</v>
          </cell>
          <cell r="U4" t="str">
            <v>Start Date</v>
          </cell>
        </row>
        <row r="5">
          <cell r="B5">
            <v>1</v>
          </cell>
          <cell r="C5" t="str">
            <v>HLA101</v>
          </cell>
          <cell r="D5" t="str">
            <v>NURSER</v>
          </cell>
          <cell r="E5" t="str">
            <v>Non</v>
          </cell>
          <cell r="F5" t="str">
            <v>BT</v>
          </cell>
          <cell r="G5" t="str">
            <v>BOTTLE</v>
          </cell>
          <cell r="H5" t="str">
            <v>BT</v>
          </cell>
          <cell r="I5" t="str">
            <v>BT_WN</v>
          </cell>
          <cell r="J5" t="str">
            <v>BT_WN</v>
          </cell>
          <cell r="K5">
            <v>160</v>
          </cell>
          <cell r="L5" t="str">
            <v>HLA101 NURSING BOTTLE WIDE NECK 160 ML ORIGINAL BULK PIT</v>
          </cell>
          <cell r="M5" t="str">
            <v>Non</v>
          </cell>
          <cell r="N5">
            <v>62</v>
          </cell>
          <cell r="O5">
            <v>150</v>
          </cell>
          <cell r="P5">
            <v>0.09</v>
          </cell>
          <cell r="R5" t="str">
            <v>NURSING BOTTLE NEXT WIDE NECK 160 ML ORIGINAL BULK PIT</v>
          </cell>
          <cell r="S5" t="str">
            <v>FGPI0032</v>
          </cell>
          <cell r="T5" t="str">
            <v>PIT-04-05-2010-06</v>
          </cell>
          <cell r="U5">
            <v>40301</v>
          </cell>
        </row>
        <row r="6">
          <cell r="B6">
            <v>2</v>
          </cell>
          <cell r="C6" t="str">
            <v>HLA102</v>
          </cell>
          <cell r="D6" t="str">
            <v>NURSER</v>
          </cell>
          <cell r="E6" t="str">
            <v>Non</v>
          </cell>
          <cell r="F6" t="str">
            <v>BT</v>
          </cell>
          <cell r="G6" t="str">
            <v>BOTTLE</v>
          </cell>
          <cell r="H6" t="str">
            <v>BT</v>
          </cell>
          <cell r="I6" t="str">
            <v>BT_WN</v>
          </cell>
          <cell r="J6" t="str">
            <v>BT_WN</v>
          </cell>
          <cell r="K6">
            <v>240</v>
          </cell>
          <cell r="L6" t="str">
            <v>HLA102 NURSING BOTTLE WIDE NECK 240 ML ORIGINAL BULK PIT</v>
          </cell>
          <cell r="M6" t="str">
            <v>Non</v>
          </cell>
          <cell r="N6">
            <v>66</v>
          </cell>
          <cell r="O6">
            <v>120</v>
          </cell>
          <cell r="P6">
            <v>0.09</v>
          </cell>
          <cell r="R6" t="str">
            <v>NURSING BOTTLE NEXT WIDE NECK 240 ML ORIGINAL BULK PIT</v>
          </cell>
          <cell r="S6" t="str">
            <v>FGPI0037</v>
          </cell>
          <cell r="T6" t="str">
            <v>PIT-04-05-2010-06</v>
          </cell>
          <cell r="U6">
            <v>40301</v>
          </cell>
        </row>
        <row r="7">
          <cell r="B7">
            <v>3</v>
          </cell>
          <cell r="C7" t="str">
            <v>HLA103</v>
          </cell>
          <cell r="D7" t="str">
            <v>NURSER</v>
          </cell>
          <cell r="E7" t="str">
            <v>Non</v>
          </cell>
          <cell r="F7" t="str">
            <v>BT</v>
          </cell>
          <cell r="G7" t="str">
            <v>BOTTLE</v>
          </cell>
          <cell r="H7" t="str">
            <v>BT</v>
          </cell>
          <cell r="I7" t="str">
            <v>BT_WN</v>
          </cell>
          <cell r="J7" t="str">
            <v>BT_WN</v>
          </cell>
          <cell r="K7">
            <v>160</v>
          </cell>
          <cell r="L7" t="str">
            <v>HLA103 NURSING BOTTLE WIDE NECK 160 ML LEAF BULK PIT</v>
          </cell>
          <cell r="M7" t="str">
            <v>Non</v>
          </cell>
          <cell r="N7">
            <v>65</v>
          </cell>
          <cell r="O7">
            <v>150</v>
          </cell>
          <cell r="P7">
            <v>0.09</v>
          </cell>
          <cell r="R7" t="str">
            <v>NURSING BOTTLE NEXT WIDE NECK 160 ML LEAF BULK PIT</v>
          </cell>
          <cell r="S7" t="str">
            <v>FGPI0035</v>
          </cell>
          <cell r="T7" t="str">
            <v>PIT-04-05-2010-06</v>
          </cell>
          <cell r="U7">
            <v>40301</v>
          </cell>
        </row>
        <row r="8">
          <cell r="B8">
            <v>4</v>
          </cell>
          <cell r="C8" t="str">
            <v>HLA104</v>
          </cell>
          <cell r="D8" t="str">
            <v>NURSER</v>
          </cell>
          <cell r="E8" t="str">
            <v>Non</v>
          </cell>
          <cell r="F8" t="str">
            <v>BT</v>
          </cell>
          <cell r="G8" t="str">
            <v>BOTTLE</v>
          </cell>
          <cell r="H8" t="str">
            <v>BT</v>
          </cell>
          <cell r="I8" t="str">
            <v>BT_WN</v>
          </cell>
          <cell r="J8" t="str">
            <v>BT_WN</v>
          </cell>
          <cell r="K8">
            <v>240</v>
          </cell>
          <cell r="L8" t="str">
            <v>HLA104 NURSING BOTTLE WIDE NECK 240 ML LEAF BULK PIT</v>
          </cell>
          <cell r="M8" t="str">
            <v>Non</v>
          </cell>
          <cell r="N8">
            <v>70</v>
          </cell>
          <cell r="O8">
            <v>120</v>
          </cell>
          <cell r="P8">
            <v>0.09</v>
          </cell>
          <cell r="R8" t="str">
            <v>NURSING BOTTLE NEXT WIDE NECK 240 ML LEAF BULK PIT</v>
          </cell>
          <cell r="S8" t="str">
            <v>FGPI0040</v>
          </cell>
          <cell r="T8" t="str">
            <v>PIT-04-05-2010-06</v>
          </cell>
          <cell r="U8">
            <v>40301</v>
          </cell>
        </row>
        <row r="9">
          <cell r="B9">
            <v>5</v>
          </cell>
          <cell r="C9" t="str">
            <v>HLA105</v>
          </cell>
          <cell r="D9" t="str">
            <v>NURSER</v>
          </cell>
          <cell r="E9" t="str">
            <v>Non</v>
          </cell>
          <cell r="F9" t="str">
            <v>BT</v>
          </cell>
          <cell r="G9" t="str">
            <v>BOTTLE</v>
          </cell>
          <cell r="H9" t="str">
            <v>BT</v>
          </cell>
          <cell r="I9" t="str">
            <v>BT_WN</v>
          </cell>
          <cell r="J9" t="str">
            <v>BT_WN</v>
          </cell>
          <cell r="K9">
            <v>160</v>
          </cell>
          <cell r="L9" t="str">
            <v>HLA105 NURSING BOTTLE WIDE NECK 160 ML DOT BULK PIT</v>
          </cell>
          <cell r="M9" t="str">
            <v>Non</v>
          </cell>
          <cell r="N9">
            <v>64</v>
          </cell>
          <cell r="O9">
            <v>150</v>
          </cell>
          <cell r="P9">
            <v>0.09</v>
          </cell>
          <cell r="R9" t="str">
            <v>NURSING BOTTLE NEXT WIDE NECK 160 ML DOT BULK PIT</v>
          </cell>
          <cell r="S9" t="str">
            <v>FGPI0034</v>
          </cell>
          <cell r="T9" t="str">
            <v>PIT-04-05-2010-06</v>
          </cell>
          <cell r="U9">
            <v>40301</v>
          </cell>
        </row>
        <row r="10">
          <cell r="B10">
            <v>6</v>
          </cell>
          <cell r="C10" t="str">
            <v>HLA106</v>
          </cell>
          <cell r="D10" t="str">
            <v>NURSER</v>
          </cell>
          <cell r="E10" t="str">
            <v>Non</v>
          </cell>
          <cell r="F10" t="str">
            <v>BT</v>
          </cell>
          <cell r="G10" t="str">
            <v>BOTTLE</v>
          </cell>
          <cell r="H10" t="str">
            <v>BT</v>
          </cell>
          <cell r="I10" t="str">
            <v>BT_WN</v>
          </cell>
          <cell r="J10" t="str">
            <v>BT_WN</v>
          </cell>
          <cell r="K10">
            <v>240</v>
          </cell>
          <cell r="L10" t="str">
            <v>HLA106 NURSING BOTTLE WIDE NECK 240 ML DOT BULK PIT</v>
          </cell>
          <cell r="M10" t="str">
            <v>Non</v>
          </cell>
          <cell r="N10">
            <v>70</v>
          </cell>
          <cell r="O10">
            <v>120</v>
          </cell>
          <cell r="P10">
            <v>0.09</v>
          </cell>
          <cell r="R10" t="str">
            <v>NURSING BOTTLE NEXT WIDE NECK 240 ML DOT BULK PIT</v>
          </cell>
          <cell r="S10" t="str">
            <v>FGPI0039</v>
          </cell>
          <cell r="T10" t="str">
            <v>PIT-04-05-2010-06</v>
          </cell>
          <cell r="U10">
            <v>40301</v>
          </cell>
        </row>
        <row r="11">
          <cell r="B11">
            <v>7</v>
          </cell>
          <cell r="C11" t="str">
            <v>HLA107</v>
          </cell>
          <cell r="D11" t="str">
            <v>NURSER</v>
          </cell>
          <cell r="E11" t="str">
            <v>Non</v>
          </cell>
          <cell r="F11" t="str">
            <v>BT</v>
          </cell>
          <cell r="G11" t="str">
            <v>BOTTLE</v>
          </cell>
          <cell r="H11" t="str">
            <v>BT</v>
          </cell>
          <cell r="I11" t="str">
            <v>BT_WN</v>
          </cell>
          <cell r="J11" t="str">
            <v>BT_WN</v>
          </cell>
          <cell r="K11">
            <v>160</v>
          </cell>
          <cell r="L11" t="str">
            <v>HLA107 NURSING BOTTLE WIDE NECK 160 ML DB BULK PIT</v>
          </cell>
          <cell r="M11" t="str">
            <v>Non</v>
          </cell>
          <cell r="N11">
            <v>65</v>
          </cell>
          <cell r="O11">
            <v>150</v>
          </cell>
          <cell r="P11">
            <v>0.09</v>
          </cell>
          <cell r="R11" t="str">
            <v>NURSING BOTTLE NEXT WIDE NECK 160 ML DB BULK PIT</v>
          </cell>
          <cell r="S11" t="str">
            <v>FGPI0036</v>
          </cell>
          <cell r="T11" t="str">
            <v>PIT-04-05-2010-06</v>
          </cell>
          <cell r="U11">
            <v>40301</v>
          </cell>
        </row>
        <row r="12">
          <cell r="B12">
            <v>8</v>
          </cell>
          <cell r="C12" t="str">
            <v>HLA108</v>
          </cell>
          <cell r="D12" t="str">
            <v>NURSER</v>
          </cell>
          <cell r="E12" t="str">
            <v>Non</v>
          </cell>
          <cell r="F12" t="str">
            <v>BT</v>
          </cell>
          <cell r="G12" t="str">
            <v>BOTTLE</v>
          </cell>
          <cell r="H12" t="str">
            <v>BT</v>
          </cell>
          <cell r="I12" t="str">
            <v>BT_WN</v>
          </cell>
          <cell r="J12" t="str">
            <v>BT_WN</v>
          </cell>
          <cell r="K12">
            <v>240</v>
          </cell>
          <cell r="L12" t="str">
            <v>HLA108 NURSING BOTTLE WIDE NECK 240 ML DB BULK PIT</v>
          </cell>
          <cell r="M12" t="str">
            <v>Non</v>
          </cell>
          <cell r="N12">
            <v>70</v>
          </cell>
          <cell r="O12">
            <v>120</v>
          </cell>
          <cell r="P12">
            <v>0.09</v>
          </cell>
          <cell r="R12" t="str">
            <v>NURSING BOTTLE NEXT WIDE NECK 240 ML DB BULK PIT</v>
          </cell>
          <cell r="S12" t="str">
            <v>FGPI0041</v>
          </cell>
          <cell r="T12" t="str">
            <v>PIT-04-05-2010-06</v>
          </cell>
          <cell r="U12">
            <v>40301</v>
          </cell>
        </row>
        <row r="13">
          <cell r="B13">
            <v>9</v>
          </cell>
          <cell r="C13" t="str">
            <v>HLA110</v>
          </cell>
          <cell r="D13" t="str">
            <v>NURSER</v>
          </cell>
          <cell r="E13" t="str">
            <v>Non</v>
          </cell>
          <cell r="F13" t="str">
            <v>BT</v>
          </cell>
          <cell r="G13" t="str">
            <v>BOTTLE</v>
          </cell>
          <cell r="H13" t="str">
            <v>BT</v>
          </cell>
          <cell r="I13" t="str">
            <v>BT_WN</v>
          </cell>
          <cell r="J13" t="str">
            <v>BT_WN</v>
          </cell>
          <cell r="K13">
            <v>160</v>
          </cell>
          <cell r="L13" t="str">
            <v>HLA110 NURSING BOTTLE WIDE NECK 160 ML PRINTED BOTTLE BULK PIT</v>
          </cell>
          <cell r="M13" t="str">
            <v>Non</v>
          </cell>
          <cell r="N13">
            <v>60</v>
          </cell>
          <cell r="O13">
            <v>150</v>
          </cell>
          <cell r="P13">
            <v>0.09</v>
          </cell>
          <cell r="R13" t="str">
            <v>NURSING BOTTLE WN-160 ML PRINTED BOTTLE BULK PIT</v>
          </cell>
          <cell r="S13" t="str">
            <v>FGPI0086</v>
          </cell>
          <cell r="T13" t="str">
            <v>PIT-04-05-2010-06</v>
          </cell>
          <cell r="U13">
            <v>40301</v>
          </cell>
        </row>
        <row r="14">
          <cell r="B14">
            <v>10</v>
          </cell>
          <cell r="C14" t="str">
            <v>HLA111</v>
          </cell>
          <cell r="D14" t="str">
            <v>NURSER</v>
          </cell>
          <cell r="E14" t="str">
            <v>Non</v>
          </cell>
          <cell r="F14" t="str">
            <v>BT</v>
          </cell>
          <cell r="G14" t="str">
            <v>BOTTLE</v>
          </cell>
          <cell r="H14" t="str">
            <v>BT</v>
          </cell>
          <cell r="I14" t="str">
            <v>BT_WN</v>
          </cell>
          <cell r="J14" t="str">
            <v>BT_WN</v>
          </cell>
          <cell r="K14">
            <v>240</v>
          </cell>
          <cell r="L14" t="str">
            <v>HLA111 NURSING BOTTLE WIDE NECK 240 ML PRINTED BOTTLE BULK PIT</v>
          </cell>
          <cell r="M14" t="str">
            <v>Non</v>
          </cell>
          <cell r="N14">
            <v>69</v>
          </cell>
          <cell r="O14">
            <v>120</v>
          </cell>
          <cell r="P14">
            <v>0.09</v>
          </cell>
          <cell r="R14" t="str">
            <v>NURSING BOTTLE WN-240 ML PRINTED BOTTLE BULK PIT</v>
          </cell>
          <cell r="S14" t="str">
            <v>FGPI0087</v>
          </cell>
          <cell r="T14" t="str">
            <v>PIT-04-05-2010-06</v>
          </cell>
          <cell r="U14">
            <v>40301</v>
          </cell>
        </row>
        <row r="15">
          <cell r="B15">
            <v>11</v>
          </cell>
          <cell r="C15" t="str">
            <v>HLA112</v>
          </cell>
          <cell r="D15" t="str">
            <v>NURSER</v>
          </cell>
          <cell r="E15" t="str">
            <v>Non</v>
          </cell>
          <cell r="F15" t="str">
            <v>BT</v>
          </cell>
          <cell r="G15" t="str">
            <v>BOTTLE</v>
          </cell>
          <cell r="H15" t="str">
            <v>BT</v>
          </cell>
          <cell r="I15" t="str">
            <v>BT_WN</v>
          </cell>
          <cell r="J15" t="str">
            <v>BT_KPSU</v>
          </cell>
          <cell r="K15">
            <v>240</v>
          </cell>
          <cell r="L15" t="str">
            <v xml:space="preserve">HLA112 NURSING BOTTLE KPSU 240 ML REGULAR BULK PIT </v>
          </cell>
          <cell r="M15" t="str">
            <v>Non</v>
          </cell>
          <cell r="N15">
            <v>65</v>
          </cell>
          <cell r="O15">
            <v>120</v>
          </cell>
          <cell r="P15">
            <v>0.09</v>
          </cell>
          <cell r="R15" t="str">
            <v xml:space="preserve">NURSING BOTTLE KPSU-240 ML PRINT REGULAR BULK PIT </v>
          </cell>
          <cell r="S15" t="str">
            <v>FGPI0017</v>
          </cell>
          <cell r="T15" t="str">
            <v>PIT-04-05-2010-06</v>
          </cell>
          <cell r="U15">
            <v>40301</v>
          </cell>
        </row>
        <row r="16">
          <cell r="B16">
            <v>12</v>
          </cell>
          <cell r="C16" t="str">
            <v>HLA113</v>
          </cell>
          <cell r="D16" t="str">
            <v>NURSER</v>
          </cell>
          <cell r="E16" t="str">
            <v>Non</v>
          </cell>
          <cell r="F16" t="str">
            <v>BT</v>
          </cell>
          <cell r="G16" t="str">
            <v>BOTTLE</v>
          </cell>
          <cell r="H16" t="str">
            <v>BT</v>
          </cell>
          <cell r="I16" t="str">
            <v>BT_WN</v>
          </cell>
          <cell r="J16" t="str">
            <v>BT_KPSU</v>
          </cell>
          <cell r="K16">
            <v>160</v>
          </cell>
          <cell r="L16" t="str">
            <v xml:space="preserve">HLA113 NURSING BOTTLE KPSU 160 ML REGULAR BULK PIT </v>
          </cell>
          <cell r="M16" t="str">
            <v>Non</v>
          </cell>
          <cell r="N16">
            <v>58</v>
          </cell>
          <cell r="O16">
            <v>150</v>
          </cell>
          <cell r="P16">
            <v>0.09</v>
          </cell>
          <cell r="R16" t="str">
            <v xml:space="preserve">NURSING BOTTLE KPSU-160 ML PRINT REGULAR BULK PIT </v>
          </cell>
          <cell r="S16" t="str">
            <v>FGPI0016</v>
          </cell>
          <cell r="T16" t="str">
            <v>PIT-04-05-2010-06</v>
          </cell>
          <cell r="U16">
            <v>40301</v>
          </cell>
        </row>
        <row r="17">
          <cell r="B17">
            <v>13</v>
          </cell>
          <cell r="C17" t="str">
            <v>HLA114</v>
          </cell>
          <cell r="D17" t="str">
            <v>NURSER</v>
          </cell>
          <cell r="E17" t="str">
            <v>Non</v>
          </cell>
          <cell r="F17" t="str">
            <v>BT</v>
          </cell>
          <cell r="G17" t="str">
            <v>BOTTLE</v>
          </cell>
          <cell r="H17" t="str">
            <v>BT</v>
          </cell>
          <cell r="I17" t="str">
            <v>BT_WN</v>
          </cell>
          <cell r="J17" t="str">
            <v>BT_KPSU</v>
          </cell>
          <cell r="K17">
            <v>240</v>
          </cell>
          <cell r="L17" t="str">
            <v xml:space="preserve">HLA114 NURSING BOTTLE KPSU 240 ML DB BULK PIT </v>
          </cell>
          <cell r="M17" t="str">
            <v>Non</v>
          </cell>
          <cell r="N17">
            <v>73</v>
          </cell>
          <cell r="O17">
            <v>120</v>
          </cell>
          <cell r="P17">
            <v>0.09</v>
          </cell>
          <cell r="R17" t="str">
            <v xml:space="preserve">NURSING BOTTLE KPSU-240 ML PRINT DISNEY BULK PIT </v>
          </cell>
          <cell r="S17" t="str">
            <v>FGPI0021</v>
          </cell>
          <cell r="T17" t="str">
            <v>PIT-04-05-2010-06</v>
          </cell>
          <cell r="U17">
            <v>40301</v>
          </cell>
        </row>
        <row r="18">
          <cell r="B18">
            <v>14</v>
          </cell>
          <cell r="C18" t="str">
            <v>HLA115</v>
          </cell>
          <cell r="D18" t="str">
            <v>NURSER</v>
          </cell>
          <cell r="E18" t="str">
            <v>Non</v>
          </cell>
          <cell r="F18" t="str">
            <v>BT</v>
          </cell>
          <cell r="G18" t="str">
            <v>BOTTLE</v>
          </cell>
          <cell r="H18" t="str">
            <v>BT</v>
          </cell>
          <cell r="I18" t="str">
            <v>BT_WN</v>
          </cell>
          <cell r="J18" t="str">
            <v>BT_KPSU</v>
          </cell>
          <cell r="K18">
            <v>160</v>
          </cell>
          <cell r="L18" t="str">
            <v xml:space="preserve">HLA115 NURSING BOTTLE KPSU 160 ML DB BULK PIT </v>
          </cell>
          <cell r="M18" t="str">
            <v>Non</v>
          </cell>
          <cell r="N18">
            <v>65</v>
          </cell>
          <cell r="O18">
            <v>150</v>
          </cell>
          <cell r="P18">
            <v>0.09</v>
          </cell>
          <cell r="R18" t="str">
            <v xml:space="preserve">NURSING BOTTLE KPSU-160 ML PRINT DISNEY BULK PIT </v>
          </cell>
          <cell r="S18" t="str">
            <v>FGPI0019</v>
          </cell>
          <cell r="T18" t="str">
            <v>PIT-04-05-2010-06</v>
          </cell>
          <cell r="U18">
            <v>40301</v>
          </cell>
        </row>
        <row r="19">
          <cell r="B19">
            <v>15</v>
          </cell>
          <cell r="C19" t="str">
            <v>HLA116</v>
          </cell>
          <cell r="D19" t="str">
            <v>NURSER</v>
          </cell>
          <cell r="E19" t="str">
            <v>Non</v>
          </cell>
          <cell r="F19" t="str">
            <v>BT</v>
          </cell>
          <cell r="G19" t="str">
            <v>BOTTLE</v>
          </cell>
          <cell r="H19" t="str">
            <v>BT</v>
          </cell>
          <cell r="I19" t="str">
            <v>BT_WN</v>
          </cell>
          <cell r="J19" t="str">
            <v>BT_WN</v>
          </cell>
          <cell r="K19">
            <v>240</v>
          </cell>
          <cell r="L19" t="str">
            <v xml:space="preserve">HLA116 NURSING BOTTLE KPSU 240 ML TAMAHIYO BULK PIT </v>
          </cell>
          <cell r="M19" t="str">
            <v>Non</v>
          </cell>
          <cell r="N19">
            <v>71</v>
          </cell>
          <cell r="O19">
            <v>120</v>
          </cell>
          <cell r="P19">
            <v>0.09</v>
          </cell>
          <cell r="R19" t="str">
            <v xml:space="preserve">NURSING BOTTLE KPSU-240 ML PRINT TAMAHIYO BULK PIT </v>
          </cell>
          <cell r="S19" t="str">
            <v>FGPI0085</v>
          </cell>
          <cell r="T19" t="str">
            <v>PIT-04-05-2010-06</v>
          </cell>
          <cell r="U19">
            <v>40301</v>
          </cell>
        </row>
        <row r="20">
          <cell r="B20">
            <v>16</v>
          </cell>
          <cell r="C20" t="str">
            <v>A1</v>
          </cell>
          <cell r="D20" t="str">
            <v>LIQUID</v>
          </cell>
          <cell r="E20" t="str">
            <v>Non</v>
          </cell>
          <cell r="F20" t="str">
            <v>LC</v>
          </cell>
          <cell r="G20" t="str">
            <v>LC</v>
          </cell>
          <cell r="H20" t="str">
            <v>LC</v>
          </cell>
          <cell r="I20" t="str">
            <v>LC SAMPLE</v>
          </cell>
          <cell r="J20" t="str">
            <v>EXPORT</v>
          </cell>
          <cell r="K20">
            <v>200</v>
          </cell>
          <cell r="L20" t="str">
            <v>A1 200 ML NURSING BOTTLE CLEANSER EXPORT OS</v>
          </cell>
          <cell r="M20" t="str">
            <v>Non</v>
          </cell>
          <cell r="N20">
            <v>32</v>
          </cell>
          <cell r="O20">
            <v>36</v>
          </cell>
          <cell r="P20">
            <v>0.03</v>
          </cell>
          <cell r="R20" t="str">
            <v>200 ML. NURSING BOTTLE CLEANSER EXPORT</v>
          </cell>
          <cell r="S20" t="str">
            <v>FGOS0114</v>
          </cell>
          <cell r="U20">
            <v>40262</v>
          </cell>
        </row>
        <row r="21">
          <cell r="B21">
            <v>17</v>
          </cell>
          <cell r="C21" t="str">
            <v>A2</v>
          </cell>
          <cell r="D21" t="str">
            <v>LIQUID</v>
          </cell>
          <cell r="E21" t="str">
            <v>Non</v>
          </cell>
          <cell r="F21" t="str">
            <v>LC</v>
          </cell>
          <cell r="G21" t="str">
            <v>LC</v>
          </cell>
          <cell r="H21" t="str">
            <v>LC</v>
          </cell>
          <cell r="I21" t="str">
            <v>LC SAMPLE</v>
          </cell>
          <cell r="J21" t="str">
            <v>EXPORT</v>
          </cell>
          <cell r="K21">
            <v>450</v>
          </cell>
          <cell r="L21" t="str">
            <v>A2 450 ML NURSING BOTTLE CLEANSER EXPORT OS</v>
          </cell>
          <cell r="M21" t="str">
            <v>Non</v>
          </cell>
          <cell r="N21">
            <v>54</v>
          </cell>
          <cell r="O21">
            <v>18</v>
          </cell>
          <cell r="P21">
            <v>0.03</v>
          </cell>
          <cell r="R21" t="str">
            <v>450 ML. NURSING BOTTLE CLEANSER EXPORT</v>
          </cell>
          <cell r="S21" t="str">
            <v>FGOS0116</v>
          </cell>
          <cell r="U21">
            <v>40262</v>
          </cell>
        </row>
        <row r="22">
          <cell r="B22">
            <v>18</v>
          </cell>
          <cell r="C22" t="str">
            <v>A3</v>
          </cell>
          <cell r="D22" t="str">
            <v>LIQUID</v>
          </cell>
          <cell r="E22" t="str">
            <v>Non</v>
          </cell>
          <cell r="F22" t="str">
            <v>LC</v>
          </cell>
          <cell r="G22" t="str">
            <v>LC</v>
          </cell>
          <cell r="H22" t="str">
            <v>LC</v>
          </cell>
          <cell r="I22" t="str">
            <v>LC SAMPLE</v>
          </cell>
          <cell r="J22" t="str">
            <v>EXPORT</v>
          </cell>
          <cell r="K22">
            <v>700</v>
          </cell>
          <cell r="L22" t="str">
            <v>A3 700 ML NURSING BOTTLE CLEANSER EXPORT OS</v>
          </cell>
          <cell r="M22" t="str">
            <v>Non</v>
          </cell>
          <cell r="N22">
            <v>82</v>
          </cell>
          <cell r="O22">
            <v>12</v>
          </cell>
          <cell r="P22">
            <v>0.03</v>
          </cell>
          <cell r="R22" t="str">
            <v>700 ML. NURSING BOTTLE CLEANSER EXPORT</v>
          </cell>
          <cell r="S22" t="str">
            <v>FGOS0118</v>
          </cell>
          <cell r="U22">
            <v>40262</v>
          </cell>
        </row>
        <row r="23">
          <cell r="B23">
            <v>19</v>
          </cell>
          <cell r="C23" t="str">
            <v>A4</v>
          </cell>
          <cell r="D23" t="str">
            <v>LIQUID</v>
          </cell>
          <cell r="E23" t="str">
            <v>Non</v>
          </cell>
          <cell r="F23" t="str">
            <v>LC</v>
          </cell>
          <cell r="G23" t="str">
            <v>LC</v>
          </cell>
          <cell r="H23" t="str">
            <v>LC</v>
          </cell>
          <cell r="I23" t="str">
            <v>LC SAMPLE</v>
          </cell>
          <cell r="J23" t="str">
            <v>EXPORT</v>
          </cell>
          <cell r="K23">
            <v>700</v>
          </cell>
          <cell r="L23" t="str">
            <v>A4 700 ML NURSING BOTTLE CLEANSER REFILL OS</v>
          </cell>
          <cell r="M23" t="str">
            <v>Non</v>
          </cell>
          <cell r="N23">
            <v>60</v>
          </cell>
          <cell r="O23">
            <v>12</v>
          </cell>
          <cell r="P23">
            <v>0.03</v>
          </cell>
          <cell r="R23" t="str">
            <v>700 ML. NURSING BOTTLE CLEANSER EXPORT (REFILL)</v>
          </cell>
          <cell r="S23" t="str">
            <v>FGOS0119</v>
          </cell>
          <cell r="U23">
            <v>40262</v>
          </cell>
        </row>
        <row r="24">
          <cell r="B24">
            <v>20</v>
          </cell>
          <cell r="C24" t="str">
            <v>A5</v>
          </cell>
          <cell r="D24" t="str">
            <v>LIQUID</v>
          </cell>
          <cell r="E24" t="str">
            <v>Non</v>
          </cell>
          <cell r="F24" t="str">
            <v>LC</v>
          </cell>
          <cell r="G24" t="str">
            <v>LC</v>
          </cell>
          <cell r="H24" t="str">
            <v>LC</v>
          </cell>
          <cell r="I24" t="str">
            <v>LC SAMPLE</v>
          </cell>
          <cell r="J24" t="str">
            <v>EXPORT</v>
          </cell>
          <cell r="K24">
            <v>700</v>
          </cell>
          <cell r="L24" t="str">
            <v>A5 700 ML NURSING BOTTLE CLEANSER REFILL BAG SET PS</v>
          </cell>
          <cell r="M24" t="str">
            <v>Non</v>
          </cell>
          <cell r="N24">
            <v>135</v>
          </cell>
          <cell r="O24">
            <v>6</v>
          </cell>
          <cell r="P24">
            <v>0.03</v>
          </cell>
          <cell r="R24" t="str">
            <v>700 ML. NURSING BOTTLE CLEANSER EXPORT (REFILL BAG SET)</v>
          </cell>
          <cell r="S24" t="str">
            <v>FGOS0304</v>
          </cell>
          <cell r="U24">
            <v>40262</v>
          </cell>
        </row>
        <row r="25">
          <cell r="B25">
            <v>21</v>
          </cell>
          <cell r="C25" t="str">
            <v>A6</v>
          </cell>
          <cell r="D25" t="str">
            <v>LIQUID</v>
          </cell>
          <cell r="E25" t="str">
            <v>Non</v>
          </cell>
          <cell r="F25" t="str">
            <v>LC</v>
          </cell>
          <cell r="G25" t="str">
            <v>LC</v>
          </cell>
          <cell r="H25" t="str">
            <v>LC</v>
          </cell>
          <cell r="I25" t="str">
            <v>LC SAMPLE</v>
          </cell>
          <cell r="J25" t="str">
            <v>LOCAL</v>
          </cell>
          <cell r="K25">
            <v>200</v>
          </cell>
          <cell r="L25" t="str">
            <v>A6 200 ML NURSING BOTTLE CLEANSER LOCAL MPI</v>
          </cell>
          <cell r="M25" t="str">
            <v>Non</v>
          </cell>
          <cell r="N25">
            <v>27</v>
          </cell>
          <cell r="O25">
            <v>36</v>
          </cell>
          <cell r="P25">
            <v>0.03</v>
          </cell>
          <cell r="R25" t="str">
            <v>200 ML. NURSING BOTTLE CLEANSER LOCAL</v>
          </cell>
          <cell r="S25" t="str">
            <v>FGMP0174</v>
          </cell>
          <cell r="U25">
            <v>40262</v>
          </cell>
        </row>
        <row r="26">
          <cell r="B26">
            <v>22</v>
          </cell>
          <cell r="C26" t="str">
            <v>A7</v>
          </cell>
          <cell r="D26" t="str">
            <v>LIQUID</v>
          </cell>
          <cell r="E26" t="str">
            <v>Non</v>
          </cell>
          <cell r="F26" t="str">
            <v>LC</v>
          </cell>
          <cell r="G26" t="str">
            <v>LC</v>
          </cell>
          <cell r="H26" t="str">
            <v>LC</v>
          </cell>
          <cell r="I26" t="str">
            <v>LC SAMPLE</v>
          </cell>
          <cell r="J26" t="str">
            <v>LOCAL</v>
          </cell>
          <cell r="K26">
            <v>450</v>
          </cell>
          <cell r="L26" t="str">
            <v>A7 450 ML NURSING BOTTLE CLEANSER LOCAL MPI</v>
          </cell>
          <cell r="M26" t="str">
            <v>Non</v>
          </cell>
          <cell r="N26">
            <v>45</v>
          </cell>
          <cell r="O26">
            <v>24</v>
          </cell>
          <cell r="P26">
            <v>0.03</v>
          </cell>
          <cell r="R26" t="str">
            <v>450 ML. NURSING BOTTLE CLEANSER LOCAL</v>
          </cell>
          <cell r="S26" t="str">
            <v>FGMP0175</v>
          </cell>
          <cell r="U26">
            <v>40262</v>
          </cell>
        </row>
        <row r="27">
          <cell r="B27">
            <v>23</v>
          </cell>
          <cell r="C27" t="str">
            <v>A8</v>
          </cell>
          <cell r="D27" t="str">
            <v>LIQUID</v>
          </cell>
          <cell r="E27" t="str">
            <v>Non</v>
          </cell>
          <cell r="F27" t="str">
            <v>LC</v>
          </cell>
          <cell r="G27" t="str">
            <v>LC</v>
          </cell>
          <cell r="H27" t="str">
            <v>LC</v>
          </cell>
          <cell r="I27" t="str">
            <v>LC SAMPLE</v>
          </cell>
          <cell r="J27" t="str">
            <v>LOCAL</v>
          </cell>
          <cell r="K27">
            <v>700</v>
          </cell>
          <cell r="L27" t="str">
            <v>A8 700 ML NURSING BOTTLE CLEANSER LOCAL MPI</v>
          </cell>
          <cell r="M27" t="str">
            <v>Non</v>
          </cell>
          <cell r="N27">
            <v>68</v>
          </cell>
          <cell r="O27">
            <v>12</v>
          </cell>
          <cell r="P27">
            <v>0.03</v>
          </cell>
          <cell r="R27" t="str">
            <v>700 ML. NURSING BOTTLE CLEANSER LOCAL</v>
          </cell>
          <cell r="S27" t="str">
            <v>FGMP0176</v>
          </cell>
          <cell r="U27">
            <v>40262</v>
          </cell>
        </row>
        <row r="28">
          <cell r="B28">
            <v>24</v>
          </cell>
          <cell r="C28" t="str">
            <v>PIT-001</v>
          </cell>
          <cell r="D28" t="str">
            <v>PARTS</v>
          </cell>
          <cell r="E28" t="str">
            <v>Non</v>
          </cell>
          <cell r="F28" t="str">
            <v>PT_LC</v>
          </cell>
          <cell r="G28" t="str">
            <v>PARTS</v>
          </cell>
          <cell r="H28" t="str">
            <v>PT_LC</v>
          </cell>
          <cell r="I28" t="str">
            <v>PT_LC</v>
          </cell>
          <cell r="J28" t="str">
            <v>PT_LC</v>
          </cell>
          <cell r="K28">
            <v>200</v>
          </cell>
          <cell r="L28" t="str">
            <v>200 ML BOTTLE FOR NURSING BOTTLE CLEANSER BULK PIT</v>
          </cell>
          <cell r="M28" t="str">
            <v>Non</v>
          </cell>
          <cell r="N28">
            <v>3.72</v>
          </cell>
          <cell r="O28">
            <v>100</v>
          </cell>
          <cell r="P28">
            <v>0.03</v>
          </cell>
          <cell r="R28" t="str">
            <v>-</v>
          </cell>
          <cell r="S28" t="str">
            <v>FGSM0225</v>
          </cell>
          <cell r="T28" t="str">
            <v>-</v>
          </cell>
          <cell r="U28">
            <v>40386</v>
          </cell>
        </row>
        <row r="29">
          <cell r="B29">
            <v>25</v>
          </cell>
          <cell r="C29" t="str">
            <v>PIT-002</v>
          </cell>
          <cell r="D29" t="str">
            <v>PARTS</v>
          </cell>
          <cell r="E29" t="str">
            <v>Non</v>
          </cell>
          <cell r="F29" t="str">
            <v>PT_LC</v>
          </cell>
          <cell r="G29" t="str">
            <v>PARTS</v>
          </cell>
          <cell r="H29" t="str">
            <v>PT_LC</v>
          </cell>
          <cell r="I29" t="str">
            <v>PT_LC</v>
          </cell>
          <cell r="J29" t="str">
            <v>PT_LC</v>
          </cell>
          <cell r="K29">
            <v>450</v>
          </cell>
          <cell r="L29" t="str">
            <v>450 ML BOTTLE FOR NURSING BOTTLE CLEANSER BULK PIT</v>
          </cell>
          <cell r="M29" t="str">
            <v>Non</v>
          </cell>
          <cell r="N29">
            <v>5.08</v>
          </cell>
          <cell r="O29">
            <v>48</v>
          </cell>
          <cell r="P29">
            <v>0.03</v>
          </cell>
          <cell r="R29" t="str">
            <v>-</v>
          </cell>
          <cell r="S29" t="str">
            <v>FGSM0226</v>
          </cell>
          <cell r="T29" t="str">
            <v>-</v>
          </cell>
          <cell r="U29">
            <v>40386</v>
          </cell>
        </row>
        <row r="30">
          <cell r="B30">
            <v>26</v>
          </cell>
          <cell r="C30" t="str">
            <v>PIT-003</v>
          </cell>
          <cell r="D30" t="str">
            <v>PARTS</v>
          </cell>
          <cell r="E30" t="str">
            <v>Non</v>
          </cell>
          <cell r="F30" t="str">
            <v>PT_LC</v>
          </cell>
          <cell r="G30" t="str">
            <v>PARTS</v>
          </cell>
          <cell r="H30" t="str">
            <v>PT_LC</v>
          </cell>
          <cell r="I30" t="str">
            <v>PT_LC</v>
          </cell>
          <cell r="J30" t="str">
            <v>PT_LC</v>
          </cell>
          <cell r="K30">
            <v>700</v>
          </cell>
          <cell r="L30" t="str">
            <v xml:space="preserve">700 ML BOTTLE FOR NURSING BOTTLE CLEANSER BULK PIT </v>
          </cell>
          <cell r="M30" t="str">
            <v>Non</v>
          </cell>
          <cell r="N30">
            <v>6.61</v>
          </cell>
          <cell r="O30">
            <v>26</v>
          </cell>
          <cell r="P30">
            <v>0.03</v>
          </cell>
          <cell r="R30" t="str">
            <v>-</v>
          </cell>
          <cell r="S30" t="str">
            <v>FGSM0227</v>
          </cell>
          <cell r="T30" t="str">
            <v>-</v>
          </cell>
          <cell r="U30">
            <v>40386</v>
          </cell>
        </row>
        <row r="31">
          <cell r="B31">
            <v>27</v>
          </cell>
          <cell r="C31" t="str">
            <v>PIT-004</v>
          </cell>
          <cell r="D31" t="str">
            <v>PARTS</v>
          </cell>
          <cell r="E31" t="str">
            <v>Non</v>
          </cell>
          <cell r="F31" t="str">
            <v>PT_LC</v>
          </cell>
          <cell r="G31" t="str">
            <v>PARTS</v>
          </cell>
          <cell r="H31" t="str">
            <v>PT_LC</v>
          </cell>
          <cell r="I31" t="str">
            <v>PT_LC</v>
          </cell>
          <cell r="J31" t="str">
            <v>PT_LC</v>
          </cell>
          <cell r="K31">
            <v>700</v>
          </cell>
          <cell r="L31" t="str">
            <v xml:space="preserve">700 ML PUMP CAP FOR NURSING BOTTLE CLEANSER BULK PIT  </v>
          </cell>
          <cell r="M31" t="str">
            <v>Non</v>
          </cell>
          <cell r="N31">
            <v>8.85</v>
          </cell>
          <cell r="O31">
            <v>300</v>
          </cell>
          <cell r="P31">
            <v>0.03</v>
          </cell>
          <cell r="R31" t="str">
            <v>-</v>
          </cell>
          <cell r="S31" t="str">
            <v>FGSM0228</v>
          </cell>
          <cell r="T31" t="str">
            <v>-</v>
          </cell>
          <cell r="U31">
            <v>40386</v>
          </cell>
        </row>
        <row r="32">
          <cell r="B32">
            <v>28</v>
          </cell>
          <cell r="C32" t="str">
            <v>HLA121</v>
          </cell>
          <cell r="D32" t="str">
            <v>NIPPLE</v>
          </cell>
          <cell r="E32" t="str">
            <v>Non</v>
          </cell>
          <cell r="F32" t="str">
            <v>NP_H</v>
          </cell>
          <cell r="G32" t="str">
            <v>NIPPLE</v>
          </cell>
          <cell r="H32" t="str">
            <v>NP_H</v>
          </cell>
          <cell r="I32" t="str">
            <v>NP_H</v>
          </cell>
          <cell r="J32" t="str">
            <v>HOSOKUCHI</v>
          </cell>
          <cell r="K32" t="str">
            <v>xx</v>
          </cell>
          <cell r="L32" t="str">
            <v>HLA121 SILICONE NIPPLE HOSOKUCHI TYPE WITH HOLE BULK PIT</v>
          </cell>
          <cell r="M32" t="str">
            <v>Non</v>
          </cell>
          <cell r="N32">
            <v>10</v>
          </cell>
          <cell r="O32">
            <v>2000</v>
          </cell>
          <cell r="P32">
            <v>0.06</v>
          </cell>
          <cell r="R32" t="str">
            <v>SILICONE NIPPLE HOSOKUCHI WIT HOLE BULK PIT</v>
          </cell>
          <cell r="S32" t="str">
            <v>FGPI0072</v>
          </cell>
          <cell r="T32" t="str">
            <v>PIT-04-05-2010-06</v>
          </cell>
          <cell r="U32">
            <v>40301</v>
          </cell>
        </row>
        <row r="33">
          <cell r="B33">
            <v>29</v>
          </cell>
          <cell r="C33" t="str">
            <v>FLA103</v>
          </cell>
          <cell r="D33" t="str">
            <v>NIPPLE</v>
          </cell>
          <cell r="E33" t="str">
            <v>Non</v>
          </cell>
          <cell r="F33" t="str">
            <v>NP_K</v>
          </cell>
          <cell r="G33" t="str">
            <v>NIPPLE</v>
          </cell>
          <cell r="H33" t="str">
            <v>NP</v>
          </cell>
          <cell r="I33" t="str">
            <v>NP_K</v>
          </cell>
          <cell r="J33" t="str">
            <v>K</v>
          </cell>
          <cell r="K33" t="str">
            <v>S</v>
          </cell>
          <cell r="L33" t="str">
            <v xml:space="preserve">FLA103 SILICONE NIPPLE K TYPE S BULK PIT  </v>
          </cell>
          <cell r="M33" t="str">
            <v>Non</v>
          </cell>
          <cell r="N33">
            <v>5</v>
          </cell>
          <cell r="O33">
            <v>2000</v>
          </cell>
          <cell r="P33">
            <v>0.06</v>
          </cell>
          <cell r="R33" t="str">
            <v xml:space="preserve">FLA103 NIPPLE DX-K_S-SIZE WITH WRAP </v>
          </cell>
          <cell r="S33" t="str">
            <v>FGPI0002</v>
          </cell>
          <cell r="T33" t="str">
            <v>PIT-08-12-2008-02</v>
          </cell>
          <cell r="U33">
            <v>39797</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atation2008"/>
      <sheetName val="ใบลดหนี้ 16 ธค 51"/>
      <sheetName val="ใบลดหนี้"/>
      <sheetName val="บริจาค"/>
      <sheetName val="ขายพนักงาน"/>
      <sheetName val="Add Report"/>
      <sheetName val="ใบลดหนี้2"/>
      <sheetName val="Sheet6"/>
      <sheetName val="Formura"/>
      <sheetName val="Report-JAPAN"/>
      <sheetName val="Sheet3"/>
      <sheetName val="Report to Japan"/>
      <sheetName val="Plan_Feb"/>
      <sheetName val="Jan"/>
      <sheetName val="Feb"/>
      <sheetName val="Mar"/>
      <sheetName val="Apr"/>
      <sheetName val="May"/>
      <sheetName val="Jun"/>
      <sheetName val="Jul"/>
      <sheetName val="Aug"/>
      <sheetName val="Sep"/>
      <sheetName val="pk"/>
      <sheetName val="pk (2)"/>
      <sheetName val="Master_Old"/>
      <sheetName val="Master"/>
      <sheetName val="New PIT"/>
      <sheetName val="Today"/>
      <sheetName val="Aug10"/>
      <sheetName val="Oct10"/>
      <sheetName val="Sep10"/>
      <sheetName val="Bill"/>
      <sheetName val="Nov10"/>
      <sheetName val="Sheet8"/>
      <sheetName val="Dec10"/>
      <sheetName val="Jun10"/>
      <sheetName val="July10"/>
      <sheetName val="Japan_Report"/>
      <sheetName val="May10"/>
      <sheetName val="Apr10"/>
      <sheetName val="CN-DEC 09"/>
      <sheetName val="CraditNote2010"/>
      <sheetName val="Definition"/>
      <sheetName val="History2010"/>
      <sheetName val="CN-Mar13-10"/>
      <sheetName val="Pit2008"/>
      <sheetName val="CN-Mar20-10"/>
      <sheetName val="CN_Oct 08009"/>
      <sheetName val="CN_Nov"/>
      <sheetName val="Pit2008 ลดหนี้"/>
      <sheetName val="CN5-6"/>
      <sheetName val="Feb 10"/>
      <sheetName val="Jan 10"/>
      <sheetName val="Mar10"/>
      <sheetName val="Agent code"/>
      <sheetName val="History2009"/>
      <sheetName val="Account group"/>
      <sheetName val="SKU"/>
      <sheetName val="History 09-10"/>
      <sheetName val="11-Nov"/>
      <sheetName val="15-Nov"/>
      <sheetName val="18-Nov"/>
      <sheetName val="19-Nov"/>
      <sheetName val="30-Nov"/>
      <sheetName val="14-Dec"/>
      <sheetName val="20-Dec"/>
      <sheetName val="Agent code 2010"/>
      <sheetName val="cost ref"/>
      <sheetName val="Sheet2"/>
      <sheetName val="Nav"/>
      <sheetName val="Sheet7"/>
      <sheetName val="Sheet1"/>
      <sheetName val="Sheet5"/>
      <sheetName val="Sheet4"/>
      <sheetName val="MG New"/>
      <sheetName val="Mar11"/>
      <sheetName val="Feb11"/>
      <sheetName val="Jan11"/>
      <sheetName val="May11"/>
      <sheetName val="Apr11"/>
      <sheetName val="JP report"/>
      <sheetName val="CN-May"/>
      <sheetName val="CN-June"/>
      <sheetName val="CreditNote2011"/>
      <sheetName val="Database2011"/>
      <sheetName val="4-Jun"/>
      <sheetName val="15-Jun"/>
      <sheetName val="ตัดออก - ไม่ตรงplan"/>
      <sheetName val="Liquid"/>
      <sheetName val="History2011"/>
      <sheetName val="4-Jan"/>
      <sheetName val="18-Jan"/>
      <sheetName val="Na"/>
      <sheetName val="Feb11 (2)"/>
      <sheetName val="CraditNote2011"/>
      <sheetName val="23-Feb"/>
      <sheetName val="14-Mar"/>
      <sheetName val="1-Mar"/>
      <sheetName val="Data-Cer"/>
      <sheetName val="Jan11R"/>
      <sheetName val="1-Feb"/>
      <sheetName val="14-Feb"/>
      <sheetName val="Comparison report"/>
      <sheetName val="1-Apr"/>
      <sheetName val="6-Apr"/>
      <sheetName val="Sep01"/>
      <sheetName val="Se"/>
      <sheetName val="Cradit Note 2010"/>
      <sheetName val="9-Sep"/>
      <sheetName val="17-Sep"/>
      <sheetName val="20-Sep"/>
      <sheetName val="30-Sep"/>
      <sheetName val="Data-Oversea"/>
      <sheetName val="data-os"/>
      <sheetName val="Report"/>
      <sheetName val="PV"/>
      <sheetName val="Jan11 (2)"/>
      <sheetName val="ใบลดหนี้_16_ธค_513"/>
      <sheetName val="Add_Report3"/>
      <sheetName val="Report_to_Japan3"/>
      <sheetName val="pk_(2)3"/>
      <sheetName val="New_PIT3"/>
      <sheetName val="CN-DEC_093"/>
      <sheetName val="CN_Oct_080093"/>
      <sheetName val="Pit2008_ลดหนี้3"/>
      <sheetName val="Feb_103"/>
      <sheetName val="Jan_103"/>
      <sheetName val="Agent_code3"/>
      <sheetName val="Account_group3"/>
      <sheetName val="History_09-103"/>
      <sheetName val="Agent_code_20103"/>
      <sheetName val="cost_ref3"/>
      <sheetName val="MG_New3"/>
      <sheetName val="JP_report3"/>
      <sheetName val="ตัดออก_-_ไม่ตรงplan3"/>
      <sheetName val="Feb11_(2)3"/>
      <sheetName val="Comparison_report3"/>
      <sheetName val="Cradit_Note_20103"/>
      <sheetName val="Jan11_(2)3"/>
      <sheetName val="ใบลดหนี้_16_ธค_512"/>
      <sheetName val="Add_Report2"/>
      <sheetName val="Report_to_Japan2"/>
      <sheetName val="pk_(2)2"/>
      <sheetName val="New_PIT2"/>
      <sheetName val="CN-DEC_092"/>
      <sheetName val="CN_Oct_080092"/>
      <sheetName val="Pit2008_ลดหนี้2"/>
      <sheetName val="Feb_102"/>
      <sheetName val="Jan_102"/>
      <sheetName val="Agent_code2"/>
      <sheetName val="Account_group2"/>
      <sheetName val="History_09-102"/>
      <sheetName val="Agent_code_20102"/>
      <sheetName val="cost_ref2"/>
      <sheetName val="MG_New2"/>
      <sheetName val="JP_report2"/>
      <sheetName val="ตัดออก_-_ไม่ตรงplan2"/>
      <sheetName val="Feb11_(2)2"/>
      <sheetName val="Comparison_report2"/>
      <sheetName val="Cradit_Note_20102"/>
      <sheetName val="Jan11_(2)2"/>
      <sheetName val="ใบลดหนี้_16_ธค_51"/>
      <sheetName val="Add_Report"/>
      <sheetName val="Report_to_Japan"/>
      <sheetName val="pk_(2)"/>
      <sheetName val="New_PIT"/>
      <sheetName val="CN-DEC_09"/>
      <sheetName val="CN_Oct_08009"/>
      <sheetName val="Pit2008_ลดหนี้"/>
      <sheetName val="Feb_10"/>
      <sheetName val="Jan_10"/>
      <sheetName val="Agent_code"/>
      <sheetName val="Account_group"/>
      <sheetName val="History_09-10"/>
      <sheetName val="Agent_code_2010"/>
      <sheetName val="cost_ref"/>
      <sheetName val="MG_New"/>
      <sheetName val="JP_report"/>
      <sheetName val="ตัดออก_-_ไม่ตรงplan"/>
      <sheetName val="Feb11_(2)"/>
      <sheetName val="Comparison_report"/>
      <sheetName val="Cradit_Note_2010"/>
      <sheetName val="Jan11_(2)"/>
      <sheetName val="ใบลดหนี้_16_ธค_511"/>
      <sheetName val="Add_Report1"/>
      <sheetName val="Report_to_Japan1"/>
      <sheetName val="pk_(2)1"/>
      <sheetName val="New_PIT1"/>
      <sheetName val="CN-DEC_091"/>
      <sheetName val="CN_Oct_080091"/>
      <sheetName val="Pit2008_ลดหนี้1"/>
      <sheetName val="Feb_101"/>
      <sheetName val="Jan_101"/>
      <sheetName val="Agent_code1"/>
      <sheetName val="Account_group1"/>
      <sheetName val="History_09-101"/>
      <sheetName val="Agent_code_20101"/>
      <sheetName val="cost_ref1"/>
      <sheetName val="MG_New1"/>
      <sheetName val="JP_report1"/>
      <sheetName val="ตัดออก_-_ไม่ตรงplan1"/>
      <sheetName val="Feb11_(2)1"/>
      <sheetName val="Comparison_report1"/>
      <sheetName val="Cradit_Note_20101"/>
      <sheetName val="Jan11_(2)1"/>
      <sheetName val="ใบลดหนี้_16_ธค_514"/>
      <sheetName val="Add_Report4"/>
      <sheetName val="Report_to_Japan4"/>
      <sheetName val="pk_(2)4"/>
      <sheetName val="New_PIT4"/>
      <sheetName val="CN-DEC_094"/>
      <sheetName val="CN_Oct_080094"/>
      <sheetName val="Pit2008_ลดหนี้4"/>
      <sheetName val="Feb_104"/>
      <sheetName val="Jan_104"/>
      <sheetName val="Agent_code4"/>
      <sheetName val="Account_group4"/>
      <sheetName val="History_09-104"/>
      <sheetName val="Agent_code_20104"/>
      <sheetName val="cost_ref4"/>
      <sheetName val="MG_New4"/>
      <sheetName val="JP_report4"/>
      <sheetName val="ตัดออก_-_ไม่ตรงplan4"/>
      <sheetName val="Feb11_(2)4"/>
      <sheetName val="Comparison_report4"/>
      <sheetName val="Cradit_Note_20104"/>
      <sheetName val="Jan11_(2)4"/>
      <sheetName val="ใบลดหนี้_16_ธค_515"/>
      <sheetName val="Add_Report5"/>
      <sheetName val="Report_to_Japan5"/>
      <sheetName val="pk_(2)5"/>
      <sheetName val="New_PIT5"/>
      <sheetName val="CN-DEC_095"/>
      <sheetName val="CN_Oct_080095"/>
      <sheetName val="Pit2008_ลดหนี้5"/>
      <sheetName val="Feb_105"/>
      <sheetName val="Jan_105"/>
      <sheetName val="Agent_code5"/>
      <sheetName val="Account_group5"/>
      <sheetName val="History_09-105"/>
      <sheetName val="Agent_code_20105"/>
      <sheetName val="cost_ref5"/>
      <sheetName val="MG_New5"/>
      <sheetName val="JP_report5"/>
      <sheetName val="ตัดออก_-_ไม่ตรงplan5"/>
      <sheetName val="Feb11_(2)5"/>
      <sheetName val="Comparison_report5"/>
      <sheetName val="Cradit_Note_20105"/>
      <sheetName val="Jan11_(2)5"/>
      <sheetName val="iNVENTORY DIFF"/>
      <sheetName val="01.TOT_SUM"/>
      <sheetName val="01.02.TOT_DIFF"/>
      <sheetName val="Analysis Report "/>
      <sheetName val="02.DET_SUM"/>
      <sheetName val="03.PRD_SUM"/>
      <sheetName val="04.PUR_SUMM"/>
      <sheetName val="05.SAL_SUMM"/>
      <sheetName val="06.CONSUMP"/>
      <sheetName val="06.A_CON_DET"/>
      <sheetName val="07.ADJ_STK"/>
      <sheetName val="05.store Working"/>
      <sheetName val="09.PROD STK"/>
      <sheetName val="10.ERP STOCK"/>
      <sheetName val="11.Stage_erp"/>
      <sheetName val="Sheet1 (2)"/>
      <sheetName val="Raw consumpption"/>
      <sheetName val="Difference Summary (3)"/>
      <sheetName val="Difference Summary (2)"/>
      <sheetName val="Sheet13"/>
      <sheetName val="Sheet12"/>
      <sheetName val="Difference Summary"/>
      <sheetName val="Sheet9"/>
      <sheetName val="Sheet10"/>
      <sheetName val="reject"/>
      <sheetName val="Sheet2 (2)"/>
    </sheetNames>
    <sheetDataSet>
      <sheetData sheetId="0">
        <row r="5">
          <cell r="B5">
            <v>1</v>
          </cell>
        </row>
      </sheetData>
      <sheetData sheetId="1">
        <row r="4">
          <cell r="B4" t="str">
            <v>No</v>
          </cell>
        </row>
      </sheetData>
      <sheetData sheetId="2">
        <row r="4">
          <cell r="B4" t="str">
            <v>No</v>
          </cell>
        </row>
      </sheetData>
      <sheetData sheetId="3"/>
      <sheetData sheetId="4"/>
      <sheetData sheetId="5"/>
      <sheetData sheetId="6">
        <row r="3">
          <cell r="B3" t="str">
            <v>BP</v>
          </cell>
        </row>
      </sheetData>
      <sheetData sheetId="7"/>
      <sheetData sheetId="8"/>
      <sheetData sheetId="9"/>
      <sheetData sheetId="10">
        <row r="3">
          <cell r="B3" t="str">
            <v>BP</v>
          </cell>
        </row>
      </sheetData>
      <sheetData sheetId="11">
        <row r="3">
          <cell r="B3" t="str">
            <v>BP</v>
          </cell>
        </row>
      </sheetData>
      <sheetData sheetId="12"/>
      <sheetData sheetId="13"/>
      <sheetData sheetId="14"/>
      <sheetData sheetId="15"/>
      <sheetData sheetId="16"/>
      <sheetData sheetId="17"/>
      <sheetData sheetId="18"/>
      <sheetData sheetId="19"/>
      <sheetData sheetId="20">
        <row r="3">
          <cell r="B3" t="str">
            <v>BP</v>
          </cell>
        </row>
      </sheetData>
      <sheetData sheetId="21"/>
      <sheetData sheetId="22"/>
      <sheetData sheetId="23"/>
      <sheetData sheetId="24"/>
      <sheetData sheetId="25">
        <row r="4">
          <cell r="B4" t="str">
            <v>No</v>
          </cell>
        </row>
      </sheetData>
      <sheetData sheetId="26" refreshError="1"/>
      <sheetData sheetId="27"/>
      <sheetData sheetId="28"/>
      <sheetData sheetId="29"/>
      <sheetData sheetId="30"/>
      <sheetData sheetId="31">
        <row r="3">
          <cell r="B3" t="str">
            <v>BP</v>
          </cell>
        </row>
      </sheetData>
      <sheetData sheetId="32"/>
      <sheetData sheetId="33"/>
      <sheetData sheetId="34"/>
      <sheetData sheetId="35"/>
      <sheetData sheetId="36"/>
      <sheetData sheetId="37"/>
      <sheetData sheetId="38"/>
      <sheetData sheetId="39"/>
      <sheetData sheetId="40"/>
      <sheetData sheetId="41"/>
      <sheetData sheetId="42">
        <row r="3">
          <cell r="B3" t="str">
            <v>BP</v>
          </cell>
        </row>
        <row r="4">
          <cell r="B4" t="str">
            <v>BS</v>
          </cell>
        </row>
        <row r="5">
          <cell r="B5" t="str">
            <v>BT</v>
          </cell>
        </row>
        <row r="6">
          <cell r="B6" t="str">
            <v>LC</v>
          </cell>
        </row>
        <row r="7">
          <cell r="B7" t="str">
            <v>MC</v>
          </cell>
        </row>
        <row r="8">
          <cell r="B8" t="str">
            <v>MG</v>
          </cell>
        </row>
        <row r="9">
          <cell r="B9" t="str">
            <v>MM</v>
          </cell>
        </row>
        <row r="10">
          <cell r="B10" t="str">
            <v>NC</v>
          </cell>
        </row>
        <row r="11">
          <cell r="B11" t="str">
            <v>NP_A</v>
          </cell>
        </row>
        <row r="12">
          <cell r="B12" t="str">
            <v>NP_AV</v>
          </cell>
        </row>
        <row r="13">
          <cell r="B13" t="str">
            <v>NP_H</v>
          </cell>
        </row>
        <row r="14">
          <cell r="B14" t="str">
            <v>NP_K</v>
          </cell>
        </row>
        <row r="15">
          <cell r="B15" t="str">
            <v>NP_K2</v>
          </cell>
        </row>
        <row r="16">
          <cell r="B16" t="str">
            <v>NP_K3</v>
          </cell>
        </row>
        <row r="17">
          <cell r="B17" t="str">
            <v>NP_P</v>
          </cell>
        </row>
        <row r="18">
          <cell r="B18" t="str">
            <v>NP_KR</v>
          </cell>
        </row>
        <row r="19">
          <cell r="B19" t="str">
            <v>NP_S</v>
          </cell>
        </row>
        <row r="20">
          <cell r="B20" t="str">
            <v>NP_WS</v>
          </cell>
        </row>
        <row r="21">
          <cell r="B21" t="str">
            <v>NP_WS2</v>
          </cell>
        </row>
        <row r="22">
          <cell r="B22" t="str">
            <v>PT_BP</v>
          </cell>
        </row>
        <row r="23">
          <cell r="B23" t="str">
            <v>PT_CA</v>
          </cell>
        </row>
        <row r="24">
          <cell r="B24" t="str">
            <v>PT_CH</v>
          </cell>
        </row>
        <row r="25">
          <cell r="B25" t="str">
            <v>PT_CI</v>
          </cell>
        </row>
        <row r="26">
          <cell r="B26" t="str">
            <v>PT_FN</v>
          </cell>
        </row>
        <row r="27">
          <cell r="B27" t="str">
            <v>PT_HO</v>
          </cell>
        </row>
        <row r="28">
          <cell r="B28" t="str">
            <v>PT_ID</v>
          </cell>
        </row>
        <row r="29">
          <cell r="B29" t="str">
            <v>PT_MC</v>
          </cell>
        </row>
        <row r="30">
          <cell r="B30" t="str">
            <v>PT_MG</v>
          </cell>
        </row>
        <row r="31">
          <cell r="B31" t="str">
            <v>PT_MM</v>
          </cell>
        </row>
        <row r="32">
          <cell r="B32" t="str">
            <v>PT_NC</v>
          </cell>
        </row>
        <row r="33">
          <cell r="B33" t="str">
            <v>PT_PIN</v>
          </cell>
        </row>
        <row r="34">
          <cell r="B34" t="str">
            <v>PT_SG</v>
          </cell>
        </row>
        <row r="35">
          <cell r="B35" t="str">
            <v>PK</v>
          </cell>
        </row>
        <row r="36">
          <cell r="B36" t="str">
            <v>WB</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ow r="4">
          <cell r="B4" t="str">
            <v>No</v>
          </cell>
        </row>
      </sheetData>
      <sheetData sheetId="118"/>
      <sheetData sheetId="119">
        <row r="3">
          <cell r="B3" t="str">
            <v>BP</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ow r="4">
          <cell r="B4" t="str">
            <v>No</v>
          </cell>
        </row>
      </sheetData>
      <sheetData sheetId="140"/>
      <sheetData sheetId="141">
        <row r="3">
          <cell r="B3" t="str">
            <v>BP</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ow r="4">
          <cell r="B4" t="str">
            <v>No</v>
          </cell>
        </row>
      </sheetData>
      <sheetData sheetId="162"/>
      <sheetData sheetId="163">
        <row r="3">
          <cell r="B3" t="str">
            <v>BP</v>
          </cell>
        </row>
      </sheetData>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ow r="4">
          <cell r="B4" t="str">
            <v>No</v>
          </cell>
        </row>
      </sheetData>
      <sheetData sheetId="184"/>
      <sheetData sheetId="185">
        <row r="3">
          <cell r="B3" t="str">
            <v>BP</v>
          </cell>
        </row>
      </sheetData>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ow r="4">
          <cell r="B4" t="str">
            <v>No</v>
          </cell>
        </row>
      </sheetData>
      <sheetData sheetId="206"/>
      <sheetData sheetId="207">
        <row r="3">
          <cell r="B3" t="str">
            <v>BP</v>
          </cell>
        </row>
      </sheetData>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ow r="4">
          <cell r="B4" t="str">
            <v>No</v>
          </cell>
        </row>
      </sheetData>
      <sheetData sheetId="228"/>
      <sheetData sheetId="229">
        <row r="3">
          <cell r="B3" t="str">
            <v>BP</v>
          </cell>
        </row>
      </sheetData>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ow r="3">
          <cell r="B3">
            <v>43617</v>
          </cell>
        </row>
      </sheetData>
      <sheetData sheetId="250"/>
      <sheetData sheetId="251"/>
      <sheetData sheetId="252"/>
      <sheetData sheetId="253">
        <row r="3">
          <cell r="B3">
            <v>1</v>
          </cell>
        </row>
      </sheetData>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N"/>
      <sheetName val="I-Sale"/>
      <sheetName val="INT-FS"/>
      <sheetName val="I-FS"/>
      <sheetName val="L-FS"/>
      <sheetName val="L-Sale"/>
      <sheetName val="I-HC"/>
      <sheetName val="M"/>
      <sheetName val="Pdt"/>
      <sheetName val="BS"/>
      <sheetName val="Ent-Analysis"/>
      <sheetName val="PIC-KPI"/>
      <sheetName val="Chart Analysis"/>
      <sheetName val="MMenu"/>
      <sheetName val="Chart_Analysis"/>
      <sheetName val="Chart_Analysis1"/>
    </sheetNames>
    <sheetDataSet>
      <sheetData sheetId="0"/>
      <sheetData sheetId="1"/>
      <sheetData sheetId="2">
        <row r="4">
          <cell r="A4" t="str">
            <v>Description</v>
          </cell>
          <cell r="B4" t="str">
            <v>JUL</v>
          </cell>
        </row>
        <row r="6">
          <cell r="A6" t="str">
            <v>Fee – Companies</v>
          </cell>
          <cell r="B6">
            <v>44850</v>
          </cell>
        </row>
        <row r="7">
          <cell r="A7" t="str">
            <v>Fee – Fiduciary</v>
          </cell>
          <cell r="B7">
            <v>216604.39</v>
          </cell>
        </row>
        <row r="8">
          <cell r="A8" t="str">
            <v>Other Fees &amp; Income (incl. ALF) :-</v>
          </cell>
        </row>
        <row r="9">
          <cell r="A9" t="str">
            <v>Time Charges and Other Fees</v>
          </cell>
          <cell r="B9">
            <v>85014.41</v>
          </cell>
        </row>
        <row r="10">
          <cell r="A10" t="str">
            <v>Renewal of ALF</v>
          </cell>
          <cell r="B10">
            <v>85805</v>
          </cell>
        </row>
        <row r="11">
          <cell r="A11" t="str">
            <v>Interest Income</v>
          </cell>
          <cell r="B11">
            <v>350.5</v>
          </cell>
        </row>
        <row r="12">
          <cell r="A12" t="str">
            <v>Gain/(Loss) on Exchange Rate</v>
          </cell>
          <cell r="B12">
            <v>1239.01</v>
          </cell>
        </row>
        <row r="13">
          <cell r="A13" t="str">
            <v>Total Income</v>
          </cell>
          <cell r="B13">
            <v>433863.31000000006</v>
          </cell>
        </row>
        <row r="15">
          <cell r="A15" t="str">
            <v>Cost of Sales</v>
          </cell>
          <cell r="B15">
            <v>128780.16</v>
          </cell>
        </row>
        <row r="16">
          <cell r="A16" t="str">
            <v>Commissions &amp; Rebates</v>
          </cell>
          <cell r="B16">
            <v>9357.48</v>
          </cell>
        </row>
        <row r="17">
          <cell r="A17" t="str">
            <v>Total COGS</v>
          </cell>
          <cell r="B17">
            <v>138137.64000000001</v>
          </cell>
        </row>
        <row r="19">
          <cell r="A19" t="str">
            <v>Gross Profit (A)</v>
          </cell>
          <cell r="B19">
            <v>295725.67000000004</v>
          </cell>
        </row>
        <row r="20">
          <cell r="A20" t="str">
            <v>Salaries, CPF &amp; Other Cost</v>
          </cell>
          <cell r="B20">
            <v>149942.41</v>
          </cell>
        </row>
        <row r="21">
          <cell r="A21" t="str">
            <v>Office Rental</v>
          </cell>
          <cell r="B21">
            <v>36175.11</v>
          </cell>
        </row>
        <row r="22">
          <cell r="A22" t="str">
            <v>Travel Expenses</v>
          </cell>
          <cell r="B22">
            <v>1890.59</v>
          </cell>
        </row>
        <row r="23">
          <cell r="A23" t="str">
            <v>Communications</v>
          </cell>
          <cell r="B23">
            <v>2552.33</v>
          </cell>
        </row>
        <row r="24">
          <cell r="A24" t="str">
            <v>Entertainment &amp; Marketing</v>
          </cell>
          <cell r="B24">
            <v>9051.17</v>
          </cell>
        </row>
        <row r="25">
          <cell r="A25" t="str">
            <v>Depreciation</v>
          </cell>
          <cell r="B25">
            <v>9729.52</v>
          </cell>
        </row>
        <row r="26">
          <cell r="A26" t="str">
            <v>Legal &amp; Professional Fees (incl Licences)</v>
          </cell>
          <cell r="B26">
            <v>1305.3699999999999</v>
          </cell>
        </row>
        <row r="27">
          <cell r="A27" t="str">
            <v>GST, Business Tax &amp; Stamp Duty</v>
          </cell>
          <cell r="B27">
            <v>4651.5</v>
          </cell>
        </row>
        <row r="28">
          <cell r="A28" t="str">
            <v>Bank Charges</v>
          </cell>
          <cell r="B28">
            <v>293.05</v>
          </cell>
        </row>
        <row r="29">
          <cell r="A29" t="str">
            <v>General Office Exp, Maintenance &amp; Others</v>
          </cell>
          <cell r="B29">
            <v>16487.12</v>
          </cell>
        </row>
        <row r="30">
          <cell r="A30" t="str">
            <v>Staff Training, membership &amp; Welfare</v>
          </cell>
          <cell r="B30">
            <v>8808.2199999999993</v>
          </cell>
        </row>
        <row r="31">
          <cell r="A31" t="str">
            <v>Provision for Bad Debts</v>
          </cell>
          <cell r="B31">
            <v>2701</v>
          </cell>
        </row>
        <row r="33">
          <cell r="A33" t="str">
            <v>Total Expenses (B)</v>
          </cell>
          <cell r="B33">
            <v>243587.38999999998</v>
          </cell>
        </row>
        <row r="34">
          <cell r="A34" t="str">
            <v>Operating Profit Before Tax</v>
          </cell>
          <cell r="B34">
            <v>52138.280000000057</v>
          </cell>
        </row>
        <row r="36">
          <cell r="A36" t="str">
            <v xml:space="preserve">Provision for profit sharing </v>
          </cell>
          <cell r="B36">
            <v>5213.83</v>
          </cell>
        </row>
        <row r="37">
          <cell r="A37" t="str">
            <v>Profit after 10% Profit Sharing</v>
          </cell>
          <cell r="B37">
            <v>46924.450000000055</v>
          </cell>
        </row>
        <row r="38">
          <cell r="A38" t="str">
            <v>Provision for tax</v>
          </cell>
          <cell r="B38">
            <v>7977.16</v>
          </cell>
        </row>
        <row r="39">
          <cell r="A39" t="str">
            <v>Profit after tax</v>
          </cell>
          <cell r="B39">
            <v>38947.290000000052</v>
          </cell>
        </row>
      </sheetData>
      <sheetData sheetId="3"/>
      <sheetData sheetId="4"/>
      <sheetData sheetId="5">
        <row r="62">
          <cell r="C62" t="str">
            <v xml:space="preserve">Singapore </v>
          </cell>
          <cell r="D62" t="str">
            <v>Jan</v>
          </cell>
          <cell r="E62" t="str">
            <v>Feb</v>
          </cell>
          <cell r="F62" t="str">
            <v>Mar</v>
          </cell>
          <cell r="G62" t="str">
            <v>Apr</v>
          </cell>
          <cell r="H62" t="str">
            <v>May</v>
          </cell>
          <cell r="I62" t="str">
            <v>Jun</v>
          </cell>
          <cell r="J62" t="str">
            <v>Jul</v>
          </cell>
          <cell r="K62" t="str">
            <v>Aug</v>
          </cell>
          <cell r="L62" t="str">
            <v>Sep</v>
          </cell>
          <cell r="M62" t="str">
            <v>Oct</v>
          </cell>
          <cell r="N62" t="str">
            <v>Nov</v>
          </cell>
          <cell r="O62" t="str">
            <v>Dec</v>
          </cell>
        </row>
        <row r="63">
          <cell r="C63" t="str">
            <v>Last year</v>
          </cell>
          <cell r="D63">
            <v>39</v>
          </cell>
          <cell r="E63">
            <v>43</v>
          </cell>
          <cell r="F63">
            <v>44</v>
          </cell>
          <cell r="G63">
            <v>42</v>
          </cell>
          <cell r="H63">
            <v>54</v>
          </cell>
          <cell r="I63">
            <v>58</v>
          </cell>
          <cell r="J63">
            <v>60</v>
          </cell>
          <cell r="K63">
            <v>61</v>
          </cell>
          <cell r="L63">
            <v>62</v>
          </cell>
          <cell r="M63">
            <v>66</v>
          </cell>
          <cell r="N63">
            <v>67</v>
          </cell>
          <cell r="O63">
            <v>44</v>
          </cell>
        </row>
        <row r="64">
          <cell r="C64" t="str">
            <v>This year</v>
          </cell>
          <cell r="D64">
            <v>63</v>
          </cell>
          <cell r="E64">
            <v>80</v>
          </cell>
          <cell r="F64">
            <v>91</v>
          </cell>
          <cell r="G64">
            <v>81</v>
          </cell>
          <cell r="H64">
            <v>55</v>
          </cell>
          <cell r="I64">
            <v>66</v>
          </cell>
          <cell r="J64">
            <v>51</v>
          </cell>
          <cell r="K64">
            <v>50</v>
          </cell>
          <cell r="L64">
            <v>52</v>
          </cell>
          <cell r="M64">
            <v>58</v>
          </cell>
          <cell r="N64">
            <v>56</v>
          </cell>
          <cell r="O64">
            <v>60</v>
          </cell>
        </row>
        <row r="65">
          <cell r="C65" t="str">
            <v>Budget</v>
          </cell>
          <cell r="D65">
            <v>75</v>
          </cell>
          <cell r="E65">
            <v>75</v>
          </cell>
          <cell r="F65">
            <v>75</v>
          </cell>
          <cell r="G65">
            <v>75</v>
          </cell>
          <cell r="H65">
            <v>75</v>
          </cell>
          <cell r="I65">
            <v>75</v>
          </cell>
          <cell r="J65">
            <v>75</v>
          </cell>
          <cell r="K65">
            <v>75</v>
          </cell>
          <cell r="L65">
            <v>75</v>
          </cell>
          <cell r="M65">
            <v>75</v>
          </cell>
          <cell r="N65">
            <v>75</v>
          </cell>
          <cell r="O65">
            <v>75</v>
          </cell>
        </row>
        <row r="68">
          <cell r="C68" t="str">
            <v xml:space="preserve">HongKong </v>
          </cell>
          <cell r="D68" t="str">
            <v>Jan</v>
          </cell>
          <cell r="E68" t="str">
            <v>Feb</v>
          </cell>
          <cell r="F68" t="str">
            <v>Mar</v>
          </cell>
          <cell r="G68" t="str">
            <v>Apr</v>
          </cell>
          <cell r="H68" t="str">
            <v>May</v>
          </cell>
          <cell r="I68" t="str">
            <v>Jun</v>
          </cell>
          <cell r="J68" t="str">
            <v>Jul</v>
          </cell>
          <cell r="K68" t="str">
            <v>Aug</v>
          </cell>
          <cell r="L68" t="str">
            <v>Sep</v>
          </cell>
          <cell r="M68" t="str">
            <v>Oct</v>
          </cell>
          <cell r="N68" t="str">
            <v>Nov</v>
          </cell>
          <cell r="O68" t="str">
            <v>Dec</v>
          </cell>
        </row>
        <row r="69">
          <cell r="C69" t="str">
            <v>Last year</v>
          </cell>
          <cell r="D69">
            <v>0</v>
          </cell>
          <cell r="E69">
            <v>1</v>
          </cell>
          <cell r="F69">
            <v>3</v>
          </cell>
          <cell r="G69">
            <v>3</v>
          </cell>
          <cell r="H69">
            <v>1</v>
          </cell>
          <cell r="I69">
            <v>5</v>
          </cell>
          <cell r="J69">
            <v>2</v>
          </cell>
          <cell r="K69">
            <v>4</v>
          </cell>
          <cell r="L69">
            <v>9</v>
          </cell>
          <cell r="M69">
            <v>7</v>
          </cell>
          <cell r="N69">
            <v>6</v>
          </cell>
          <cell r="O69">
            <v>7</v>
          </cell>
        </row>
        <row r="70">
          <cell r="C70" t="str">
            <v>This year</v>
          </cell>
          <cell r="D70">
            <v>9</v>
          </cell>
          <cell r="E70">
            <v>7</v>
          </cell>
          <cell r="F70">
            <v>7</v>
          </cell>
          <cell r="G70">
            <v>9</v>
          </cell>
          <cell r="H70">
            <v>6</v>
          </cell>
          <cell r="I70">
            <v>11</v>
          </cell>
          <cell r="J70">
            <v>7</v>
          </cell>
          <cell r="K70">
            <v>7</v>
          </cell>
          <cell r="L70">
            <v>9</v>
          </cell>
          <cell r="M70">
            <v>11</v>
          </cell>
          <cell r="N70">
            <v>9</v>
          </cell>
          <cell r="O70">
            <v>14</v>
          </cell>
        </row>
        <row r="71">
          <cell r="C71" t="str">
            <v>Budget</v>
          </cell>
          <cell r="D71">
            <v>15</v>
          </cell>
          <cell r="E71">
            <v>15</v>
          </cell>
          <cell r="F71">
            <v>15</v>
          </cell>
          <cell r="G71">
            <v>15</v>
          </cell>
          <cell r="H71">
            <v>15</v>
          </cell>
          <cell r="I71">
            <v>15</v>
          </cell>
          <cell r="J71">
            <v>25</v>
          </cell>
          <cell r="K71">
            <v>25</v>
          </cell>
          <cell r="L71">
            <v>25</v>
          </cell>
          <cell r="M71">
            <v>25</v>
          </cell>
          <cell r="N71">
            <v>25</v>
          </cell>
          <cell r="O71">
            <v>25</v>
          </cell>
        </row>
        <row r="74">
          <cell r="C74" t="str">
            <v xml:space="preserve">Indonesia </v>
          </cell>
          <cell r="D74" t="str">
            <v>Jan</v>
          </cell>
          <cell r="E74" t="str">
            <v>Feb</v>
          </cell>
          <cell r="F74" t="str">
            <v>Mar</v>
          </cell>
          <cell r="G74" t="str">
            <v>Apr</v>
          </cell>
          <cell r="H74" t="str">
            <v>May</v>
          </cell>
          <cell r="I74" t="str">
            <v>Jun</v>
          </cell>
          <cell r="J74" t="str">
            <v>Jul</v>
          </cell>
          <cell r="K74" t="str">
            <v>Aug</v>
          </cell>
          <cell r="L74" t="str">
            <v>Sep</v>
          </cell>
          <cell r="M74" t="str">
            <v>Oct</v>
          </cell>
          <cell r="N74" t="str">
            <v>Nov</v>
          </cell>
          <cell r="O74" t="str">
            <v>Dec</v>
          </cell>
        </row>
        <row r="75">
          <cell r="C75" t="str">
            <v>Last year</v>
          </cell>
          <cell r="D75">
            <v>0</v>
          </cell>
          <cell r="E75">
            <v>0</v>
          </cell>
          <cell r="F75">
            <v>0</v>
          </cell>
          <cell r="G75">
            <v>0</v>
          </cell>
          <cell r="H75">
            <v>0</v>
          </cell>
          <cell r="I75">
            <v>0</v>
          </cell>
          <cell r="J75">
            <v>0</v>
          </cell>
          <cell r="K75">
            <v>0</v>
          </cell>
          <cell r="L75">
            <v>0</v>
          </cell>
          <cell r="M75">
            <v>0</v>
          </cell>
          <cell r="N75">
            <v>0</v>
          </cell>
          <cell r="O75">
            <v>0</v>
          </cell>
        </row>
        <row r="76">
          <cell r="C76" t="str">
            <v>This year</v>
          </cell>
          <cell r="D76">
            <v>0</v>
          </cell>
          <cell r="E76">
            <v>0</v>
          </cell>
          <cell r="F76">
            <v>0</v>
          </cell>
          <cell r="G76">
            <v>0</v>
          </cell>
          <cell r="H76">
            <v>0</v>
          </cell>
          <cell r="I76">
            <v>0</v>
          </cell>
          <cell r="J76">
            <v>0</v>
          </cell>
          <cell r="K76">
            <v>0</v>
          </cell>
          <cell r="L76">
            <v>0</v>
          </cell>
          <cell r="M76">
            <v>0</v>
          </cell>
          <cell r="N76">
            <v>0</v>
          </cell>
          <cell r="O76">
            <v>0</v>
          </cell>
        </row>
        <row r="77">
          <cell r="C77" t="str">
            <v>Budget</v>
          </cell>
          <cell r="D77">
            <v>0</v>
          </cell>
          <cell r="E77">
            <v>0</v>
          </cell>
          <cell r="F77">
            <v>0</v>
          </cell>
          <cell r="G77">
            <v>0</v>
          </cell>
          <cell r="H77">
            <v>0</v>
          </cell>
          <cell r="I77">
            <v>0</v>
          </cell>
          <cell r="J77">
            <v>0</v>
          </cell>
          <cell r="K77">
            <v>0</v>
          </cell>
          <cell r="L77">
            <v>0</v>
          </cell>
          <cell r="M77">
            <v>0</v>
          </cell>
          <cell r="N77">
            <v>0</v>
          </cell>
          <cell r="O77">
            <v>0</v>
          </cell>
        </row>
        <row r="80">
          <cell r="C80" t="str">
            <v xml:space="preserve">Thailand </v>
          </cell>
          <cell r="D80" t="str">
            <v>Jan</v>
          </cell>
          <cell r="E80" t="str">
            <v>Feb</v>
          </cell>
          <cell r="F80" t="str">
            <v>Mar</v>
          </cell>
          <cell r="G80" t="str">
            <v>Apr</v>
          </cell>
          <cell r="H80" t="str">
            <v>May</v>
          </cell>
          <cell r="I80" t="str">
            <v>Jun</v>
          </cell>
          <cell r="J80" t="str">
            <v>Jul</v>
          </cell>
          <cell r="K80" t="str">
            <v>Aug</v>
          </cell>
          <cell r="L80" t="str">
            <v>Sep</v>
          </cell>
          <cell r="M80" t="str">
            <v>Oct</v>
          </cell>
          <cell r="N80" t="str">
            <v>Nov</v>
          </cell>
          <cell r="O80" t="str">
            <v>Dec</v>
          </cell>
        </row>
        <row r="81">
          <cell r="C81" t="str">
            <v>Last year</v>
          </cell>
          <cell r="D81">
            <v>0</v>
          </cell>
          <cell r="E81">
            <v>0</v>
          </cell>
          <cell r="F81">
            <v>0</v>
          </cell>
          <cell r="G81">
            <v>0</v>
          </cell>
          <cell r="H81">
            <v>0</v>
          </cell>
          <cell r="I81">
            <v>0</v>
          </cell>
          <cell r="J81">
            <v>0</v>
          </cell>
          <cell r="K81">
            <v>0</v>
          </cell>
          <cell r="L81">
            <v>0</v>
          </cell>
          <cell r="M81">
            <v>0</v>
          </cell>
          <cell r="N81">
            <v>0</v>
          </cell>
          <cell r="O81">
            <v>0</v>
          </cell>
        </row>
        <row r="82">
          <cell r="C82" t="str">
            <v>This year</v>
          </cell>
          <cell r="D82">
            <v>0</v>
          </cell>
          <cell r="E82">
            <v>0</v>
          </cell>
          <cell r="F82">
            <v>0</v>
          </cell>
          <cell r="G82">
            <v>0</v>
          </cell>
          <cell r="H82">
            <v>0</v>
          </cell>
          <cell r="I82">
            <v>0</v>
          </cell>
          <cell r="J82">
            <v>0</v>
          </cell>
          <cell r="K82">
            <v>0</v>
          </cell>
          <cell r="L82">
            <v>0</v>
          </cell>
          <cell r="M82">
            <v>0</v>
          </cell>
          <cell r="N82">
            <v>0</v>
          </cell>
          <cell r="O82">
            <v>0</v>
          </cell>
        </row>
        <row r="83">
          <cell r="C83" t="str">
            <v>Budget</v>
          </cell>
          <cell r="D83">
            <v>0</v>
          </cell>
          <cell r="E83">
            <v>0</v>
          </cell>
          <cell r="F83">
            <v>0</v>
          </cell>
          <cell r="G83">
            <v>0</v>
          </cell>
          <cell r="H83">
            <v>0</v>
          </cell>
          <cell r="I83">
            <v>0</v>
          </cell>
          <cell r="J83">
            <v>0</v>
          </cell>
          <cell r="K83">
            <v>0</v>
          </cell>
          <cell r="L83">
            <v>0</v>
          </cell>
          <cell r="M83">
            <v>0</v>
          </cell>
          <cell r="N83">
            <v>0</v>
          </cell>
          <cell r="O83">
            <v>0</v>
          </cell>
        </row>
        <row r="89">
          <cell r="C89" t="str">
            <v xml:space="preserve">Singapore </v>
          </cell>
          <cell r="D89" t="str">
            <v>Jan</v>
          </cell>
          <cell r="E89" t="str">
            <v>Feb</v>
          </cell>
          <cell r="F89" t="str">
            <v>Mar</v>
          </cell>
          <cell r="G89" t="str">
            <v>Apr</v>
          </cell>
          <cell r="H89" t="str">
            <v>May</v>
          </cell>
          <cell r="I89" t="str">
            <v>Jun</v>
          </cell>
          <cell r="J89" t="str">
            <v>Jul</v>
          </cell>
          <cell r="K89" t="str">
            <v>Aug</v>
          </cell>
          <cell r="L89" t="str">
            <v>Sep</v>
          </cell>
          <cell r="M89" t="str">
            <v>Oct</v>
          </cell>
          <cell r="N89" t="str">
            <v>Nov</v>
          </cell>
          <cell r="O89" t="str">
            <v>Dec</v>
          </cell>
        </row>
        <row r="90">
          <cell r="C90" t="str">
            <v>Last year</v>
          </cell>
          <cell r="D90">
            <v>39</v>
          </cell>
          <cell r="E90">
            <v>82</v>
          </cell>
          <cell r="F90">
            <v>126</v>
          </cell>
          <cell r="G90">
            <v>168</v>
          </cell>
          <cell r="H90">
            <v>222</v>
          </cell>
          <cell r="I90">
            <v>280</v>
          </cell>
          <cell r="J90">
            <v>340</v>
          </cell>
          <cell r="K90">
            <v>401</v>
          </cell>
          <cell r="L90">
            <v>463</v>
          </cell>
          <cell r="M90">
            <v>529</v>
          </cell>
          <cell r="N90">
            <v>596</v>
          </cell>
          <cell r="O90">
            <v>640</v>
          </cell>
        </row>
        <row r="91">
          <cell r="C91" t="str">
            <v>This year</v>
          </cell>
          <cell r="D91">
            <v>63</v>
          </cell>
          <cell r="E91">
            <v>143</v>
          </cell>
          <cell r="F91">
            <v>234</v>
          </cell>
          <cell r="G91">
            <v>315</v>
          </cell>
          <cell r="H91">
            <v>370</v>
          </cell>
          <cell r="I91">
            <v>436</v>
          </cell>
          <cell r="J91">
            <v>487</v>
          </cell>
          <cell r="K91">
            <v>537</v>
          </cell>
          <cell r="L91">
            <v>589</v>
          </cell>
          <cell r="M91">
            <v>647</v>
          </cell>
          <cell r="N91">
            <v>703</v>
          </cell>
          <cell r="O91">
            <v>763</v>
          </cell>
        </row>
        <row r="92">
          <cell r="C92" t="str">
            <v>Budget</v>
          </cell>
          <cell r="D92">
            <v>75</v>
          </cell>
          <cell r="E92">
            <v>150</v>
          </cell>
          <cell r="F92">
            <v>225</v>
          </cell>
          <cell r="G92">
            <v>300</v>
          </cell>
          <cell r="H92">
            <v>375</v>
          </cell>
          <cell r="I92">
            <v>450</v>
          </cell>
          <cell r="J92">
            <v>525</v>
          </cell>
          <cell r="K92">
            <v>600</v>
          </cell>
          <cell r="L92">
            <v>675</v>
          </cell>
          <cell r="M92">
            <v>750</v>
          </cell>
          <cell r="N92">
            <v>825</v>
          </cell>
          <cell r="O92">
            <v>900</v>
          </cell>
        </row>
        <row r="95">
          <cell r="C95" t="str">
            <v xml:space="preserve">HongKong </v>
          </cell>
          <cell r="D95" t="str">
            <v>Jan</v>
          </cell>
          <cell r="E95" t="str">
            <v>Feb</v>
          </cell>
          <cell r="F95" t="str">
            <v>Mar</v>
          </cell>
          <cell r="G95" t="str">
            <v>Apr</v>
          </cell>
          <cell r="H95" t="str">
            <v>May</v>
          </cell>
          <cell r="I95" t="str">
            <v>Jun</v>
          </cell>
          <cell r="J95" t="str">
            <v>Jul</v>
          </cell>
          <cell r="K95" t="str">
            <v>Aug</v>
          </cell>
          <cell r="L95" t="str">
            <v>Sep</v>
          </cell>
          <cell r="M95" t="str">
            <v>Oct</v>
          </cell>
          <cell r="N95" t="str">
            <v>Nov</v>
          </cell>
          <cell r="O95" t="str">
            <v>Dec</v>
          </cell>
        </row>
        <row r="96">
          <cell r="C96" t="str">
            <v>Last year</v>
          </cell>
          <cell r="D96">
            <v>0</v>
          </cell>
          <cell r="E96">
            <v>1</v>
          </cell>
          <cell r="F96">
            <v>4</v>
          </cell>
          <cell r="G96">
            <v>7</v>
          </cell>
          <cell r="H96">
            <v>8</v>
          </cell>
          <cell r="I96">
            <v>13</v>
          </cell>
          <cell r="J96">
            <v>15</v>
          </cell>
          <cell r="K96">
            <v>19</v>
          </cell>
          <cell r="L96">
            <v>28</v>
          </cell>
          <cell r="M96">
            <v>35</v>
          </cell>
          <cell r="N96">
            <v>41</v>
          </cell>
          <cell r="O96">
            <v>48</v>
          </cell>
        </row>
        <row r="97">
          <cell r="C97" t="str">
            <v>This year</v>
          </cell>
          <cell r="D97">
            <v>9</v>
          </cell>
          <cell r="E97">
            <v>16</v>
          </cell>
          <cell r="F97">
            <v>23</v>
          </cell>
          <cell r="G97">
            <v>32</v>
          </cell>
          <cell r="H97">
            <v>38</v>
          </cell>
          <cell r="I97">
            <v>49</v>
          </cell>
          <cell r="J97">
            <v>56</v>
          </cell>
          <cell r="K97">
            <v>63</v>
          </cell>
          <cell r="L97">
            <v>72</v>
          </cell>
          <cell r="M97">
            <v>83</v>
          </cell>
          <cell r="N97">
            <v>92</v>
          </cell>
          <cell r="O97">
            <v>106</v>
          </cell>
        </row>
        <row r="98">
          <cell r="C98" t="str">
            <v>Budget</v>
          </cell>
          <cell r="D98">
            <v>15</v>
          </cell>
          <cell r="E98">
            <v>30</v>
          </cell>
          <cell r="F98">
            <v>45</v>
          </cell>
          <cell r="G98">
            <v>60</v>
          </cell>
          <cell r="H98">
            <v>75</v>
          </cell>
          <cell r="I98">
            <v>90</v>
          </cell>
          <cell r="J98">
            <v>115</v>
          </cell>
          <cell r="K98">
            <v>140</v>
          </cell>
          <cell r="L98">
            <v>165</v>
          </cell>
          <cell r="M98">
            <v>190</v>
          </cell>
          <cell r="N98">
            <v>215</v>
          </cell>
          <cell r="O98">
            <v>240</v>
          </cell>
        </row>
        <row r="101">
          <cell r="C101" t="str">
            <v xml:space="preserve">Indonesia </v>
          </cell>
          <cell r="D101" t="str">
            <v>Jan</v>
          </cell>
          <cell r="E101" t="str">
            <v>Feb</v>
          </cell>
          <cell r="F101" t="str">
            <v>Mar</v>
          </cell>
          <cell r="G101" t="str">
            <v>Apr</v>
          </cell>
          <cell r="H101" t="str">
            <v>May</v>
          </cell>
          <cell r="I101" t="str">
            <v>Jun</v>
          </cell>
          <cell r="J101" t="str">
            <v>Jul</v>
          </cell>
          <cell r="K101" t="str">
            <v>Aug</v>
          </cell>
          <cell r="L101" t="str">
            <v>Sep</v>
          </cell>
          <cell r="M101" t="str">
            <v>Oct</v>
          </cell>
          <cell r="N101" t="str">
            <v>Nov</v>
          </cell>
          <cell r="O101" t="str">
            <v>Dec</v>
          </cell>
        </row>
        <row r="102">
          <cell r="C102" t="str">
            <v>Last year</v>
          </cell>
          <cell r="D102">
            <v>0</v>
          </cell>
          <cell r="E102">
            <v>0</v>
          </cell>
          <cell r="F102">
            <v>0</v>
          </cell>
          <cell r="G102">
            <v>0</v>
          </cell>
          <cell r="H102">
            <v>0</v>
          </cell>
          <cell r="I102">
            <v>0</v>
          </cell>
          <cell r="J102">
            <v>0</v>
          </cell>
          <cell r="K102">
            <v>0</v>
          </cell>
          <cell r="L102">
            <v>0</v>
          </cell>
          <cell r="M102">
            <v>0</v>
          </cell>
          <cell r="N102">
            <v>0</v>
          </cell>
          <cell r="O102">
            <v>0</v>
          </cell>
        </row>
        <row r="103">
          <cell r="C103" t="str">
            <v>This year</v>
          </cell>
          <cell r="D103">
            <v>0</v>
          </cell>
          <cell r="E103">
            <v>0</v>
          </cell>
          <cell r="F103">
            <v>0</v>
          </cell>
          <cell r="G103">
            <v>0</v>
          </cell>
          <cell r="H103">
            <v>0</v>
          </cell>
          <cell r="I103">
            <v>0</v>
          </cell>
          <cell r="J103">
            <v>0</v>
          </cell>
          <cell r="K103">
            <v>0</v>
          </cell>
          <cell r="L103">
            <v>0</v>
          </cell>
          <cell r="M103">
            <v>0</v>
          </cell>
          <cell r="N103">
            <v>0</v>
          </cell>
          <cell r="O103">
            <v>0</v>
          </cell>
        </row>
        <row r="104">
          <cell r="C104" t="str">
            <v>Budget</v>
          </cell>
          <cell r="D104">
            <v>0</v>
          </cell>
          <cell r="E104">
            <v>0</v>
          </cell>
          <cell r="F104">
            <v>0</v>
          </cell>
          <cell r="G104">
            <v>0</v>
          </cell>
          <cell r="H104">
            <v>0</v>
          </cell>
          <cell r="I104">
            <v>0</v>
          </cell>
          <cell r="J104">
            <v>0</v>
          </cell>
          <cell r="K104">
            <v>0</v>
          </cell>
          <cell r="L104">
            <v>0</v>
          </cell>
          <cell r="M104">
            <v>0</v>
          </cell>
          <cell r="N104">
            <v>0</v>
          </cell>
          <cell r="O104">
            <v>0</v>
          </cell>
        </row>
        <row r="107">
          <cell r="C107" t="str">
            <v xml:space="preserve">Thailand </v>
          </cell>
          <cell r="D107" t="str">
            <v>Jan</v>
          </cell>
          <cell r="E107" t="str">
            <v>Feb</v>
          </cell>
          <cell r="F107" t="str">
            <v>Mar</v>
          </cell>
          <cell r="G107" t="str">
            <v>Apr</v>
          </cell>
          <cell r="H107" t="str">
            <v>May</v>
          </cell>
          <cell r="I107" t="str">
            <v>Jun</v>
          </cell>
          <cell r="J107" t="str">
            <v>Jul</v>
          </cell>
          <cell r="K107" t="str">
            <v>Aug</v>
          </cell>
          <cell r="L107" t="str">
            <v>Sep</v>
          </cell>
          <cell r="M107" t="str">
            <v>Oct</v>
          </cell>
          <cell r="N107" t="str">
            <v>Nov</v>
          </cell>
          <cell r="O107" t="str">
            <v>Dec</v>
          </cell>
        </row>
        <row r="108">
          <cell r="C108" t="str">
            <v>Last year</v>
          </cell>
          <cell r="D108">
            <v>0</v>
          </cell>
          <cell r="E108">
            <v>0</v>
          </cell>
          <cell r="F108">
            <v>0</v>
          </cell>
          <cell r="G108">
            <v>0</v>
          </cell>
          <cell r="H108">
            <v>0</v>
          </cell>
          <cell r="I108">
            <v>0</v>
          </cell>
          <cell r="J108">
            <v>0</v>
          </cell>
          <cell r="K108">
            <v>0</v>
          </cell>
          <cell r="L108">
            <v>0</v>
          </cell>
          <cell r="M108">
            <v>0</v>
          </cell>
          <cell r="N108">
            <v>0</v>
          </cell>
          <cell r="O108">
            <v>0</v>
          </cell>
        </row>
        <row r="109">
          <cell r="C109" t="str">
            <v>This year</v>
          </cell>
          <cell r="D109">
            <v>0</v>
          </cell>
          <cell r="E109">
            <v>0</v>
          </cell>
          <cell r="F109">
            <v>0</v>
          </cell>
          <cell r="G109">
            <v>0</v>
          </cell>
          <cell r="H109">
            <v>0</v>
          </cell>
          <cell r="I109">
            <v>0</v>
          </cell>
          <cell r="J109">
            <v>0</v>
          </cell>
          <cell r="K109">
            <v>0</v>
          </cell>
          <cell r="L109">
            <v>0</v>
          </cell>
          <cell r="M109">
            <v>0</v>
          </cell>
          <cell r="N109">
            <v>0</v>
          </cell>
          <cell r="O109">
            <v>0</v>
          </cell>
        </row>
        <row r="110">
          <cell r="C110" t="str">
            <v>Budget</v>
          </cell>
          <cell r="D110">
            <v>0</v>
          </cell>
          <cell r="E110">
            <v>0</v>
          </cell>
          <cell r="F110">
            <v>0</v>
          </cell>
          <cell r="G110">
            <v>0</v>
          </cell>
          <cell r="H110">
            <v>0</v>
          </cell>
          <cell r="I110">
            <v>0</v>
          </cell>
          <cell r="J110">
            <v>0</v>
          </cell>
          <cell r="K110">
            <v>0</v>
          </cell>
          <cell r="L110">
            <v>0</v>
          </cell>
          <cell r="M110">
            <v>0</v>
          </cell>
          <cell r="N110">
            <v>0</v>
          </cell>
          <cell r="O110">
            <v>0</v>
          </cell>
        </row>
      </sheetData>
      <sheetData sheetId="6"/>
      <sheetData sheetId="7"/>
      <sheetData sheetId="8"/>
      <sheetData sheetId="9"/>
      <sheetData sheetId="10"/>
      <sheetData sheetId="11"/>
      <sheetData sheetId="12" refreshError="1"/>
      <sheetData sheetId="13"/>
      <sheetData sheetId="14"/>
      <sheetData sheetId="1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月"/>
      <sheetName val="1-12G"/>
      <sheetName val="NPLC"/>
      <sheetName val="BS"/>
      <sheetName val="CF"/>
      <sheetName val="CUST"/>
      <sheetName val="DEPT"/>
      <sheetName val="CAT"/>
      <sheetName val="12月 (2)"/>
      <sheetName val="12月_(2)"/>
      <sheetName val="12月_(2)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OM"/>
      <sheetName val="Store Master"/>
      <sheetName val="Item Group"/>
      <sheetName val="Item Master"/>
      <sheetName val="Country Master"/>
      <sheetName val="Party Master"/>
      <sheetName val="Stage Master"/>
      <sheetName val="Bom Master"/>
      <sheetName val="Employee Master"/>
      <sheetName val="Manufacturer Master"/>
      <sheetName val="Customer Master"/>
      <sheetName val="GL Group Master"/>
      <sheetName val="GL Master"/>
      <sheetName val="Asset Type"/>
      <sheetName val="Asset Master"/>
      <sheetName val="SettingValueMaster"/>
      <sheetName val="Production Master"/>
      <sheetName val="Sheet1"/>
    </sheetNames>
    <sheetDataSet>
      <sheetData sheetId="0"/>
      <sheetData sheetId="1"/>
      <sheetData sheetId="2"/>
      <sheetData sheetId="3"/>
      <sheetData sheetId="4"/>
      <sheetData sheetId="5"/>
      <sheetData sheetId="6">
        <row r="2">
          <cell r="A2" t="str">
            <v>Stage 1</v>
          </cell>
        </row>
      </sheetData>
      <sheetData sheetId="7"/>
      <sheetData sheetId="8"/>
      <sheetData sheetId="9"/>
      <sheetData sheetId="10">
        <row r="1">
          <cell r="A1" t="str">
            <v>Customer Name</v>
          </cell>
        </row>
      </sheetData>
      <sheetData sheetId="11"/>
      <sheetData sheetId="12"/>
      <sheetData sheetId="13">
        <row r="2">
          <cell r="A2" t="str">
            <v>Type Name 1</v>
          </cell>
        </row>
      </sheetData>
      <sheetData sheetId="14"/>
      <sheetData sheetId="15">
        <row r="4">
          <cell r="C4" t="str">
            <v>A+</v>
          </cell>
        </row>
      </sheetData>
      <sheetData sheetId="16"/>
      <sheetData sheetId="1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W"/>
      <sheetName val="BS"/>
      <sheetName val="NOTES"/>
      <sheetName val="I-PS"/>
      <sheetName val="L-PS "/>
      <sheetName val="PIN-PL"/>
      <sheetName val="PIN-12M"/>
      <sheetName val="PIN-Monthly"/>
      <sheetName val="PIN-B2012"/>
      <sheetName val="PIN-A2011Audited"/>
      <sheetName val="PIN-PL SGD"/>
      <sheetName val="PIN-12M SGD"/>
      <sheetName val="PIN-Monthly SGD"/>
      <sheetName val="PIN-B2012 SGD"/>
      <sheetName val="PIN-A2011 SGD"/>
      <sheetName val="MC"/>
      <sheetName val="NAME"/>
    </sheetNames>
    <sheetDataSet>
      <sheetData sheetId="0" refreshError="1"/>
      <sheetData sheetId="1" refreshError="1"/>
      <sheetData sheetId="2" refreshError="1">
        <row r="1">
          <cell r="A1">
            <v>1</v>
          </cell>
          <cell r="B1">
            <v>2</v>
          </cell>
          <cell r="C1">
            <v>3</v>
          </cell>
          <cell r="D1">
            <v>4</v>
          </cell>
          <cell r="E1">
            <v>5</v>
          </cell>
          <cell r="F1">
            <v>6</v>
          </cell>
          <cell r="G1">
            <v>7</v>
          </cell>
          <cell r="H1">
            <v>8</v>
          </cell>
          <cell r="I1">
            <v>9</v>
          </cell>
          <cell r="J1">
            <v>10</v>
          </cell>
        </row>
        <row r="4">
          <cell r="D4" t="str">
            <v>PIGEON INDIA PTE LTD</v>
          </cell>
        </row>
        <row r="5">
          <cell r="D5" t="str">
            <v>MANAGEMENT REPORT</v>
          </cell>
        </row>
        <row r="6">
          <cell r="D6" t="str">
            <v>BALANCE SHEET SCHEDULE</v>
          </cell>
        </row>
        <row r="7">
          <cell r="D7" t="str">
            <v>AS AT  30 APRIL, 2012</v>
          </cell>
        </row>
        <row r="8">
          <cell r="D8" t="str">
            <v>EXPRESSED IN INR</v>
          </cell>
        </row>
        <row r="9">
          <cell r="G9" t="str">
            <v xml:space="preserve"> </v>
          </cell>
        </row>
        <row r="12">
          <cell r="B12" t="str">
            <v>NOTES</v>
          </cell>
        </row>
        <row r="13">
          <cell r="B13">
            <v>1</v>
          </cell>
          <cell r="D13" t="str">
            <v xml:space="preserve"> CASH AND CASH EQUIVALENTS</v>
          </cell>
        </row>
        <row r="14">
          <cell r="D14" t="str">
            <v>PETTY CASH INR$</v>
          </cell>
          <cell r="E14">
            <v>30730.5</v>
          </cell>
        </row>
        <row r="15">
          <cell r="D15" t="str">
            <v>PETTY CASH S$</v>
          </cell>
          <cell r="E15">
            <v>0</v>
          </cell>
        </row>
        <row r="16">
          <cell r="D16" t="str">
            <v>THE MITSUBISHI BANK $S</v>
          </cell>
          <cell r="E16">
            <v>0</v>
          </cell>
        </row>
        <row r="17">
          <cell r="D17" t="str">
            <v>THE MITSUBISHI BANK JPY</v>
          </cell>
          <cell r="E17">
            <v>0</v>
          </cell>
        </row>
        <row r="18">
          <cell r="D18" t="str">
            <v>THE MITSUBISHI BANK $US</v>
          </cell>
          <cell r="E18">
            <v>0</v>
          </cell>
        </row>
        <row r="19">
          <cell r="D19" t="str">
            <v>FIXED DEPOSITS $S</v>
          </cell>
          <cell r="E19">
            <v>0</v>
          </cell>
        </row>
        <row r="20">
          <cell r="D20" t="str">
            <v>FIXED DEPOSITS $US</v>
          </cell>
          <cell r="E20">
            <v>0</v>
          </cell>
        </row>
        <row r="21">
          <cell r="D21" t="str">
            <v>MIZUHO BANK $S</v>
          </cell>
          <cell r="E21">
            <v>0</v>
          </cell>
        </row>
        <row r="22">
          <cell r="D22" t="str">
            <v>MIZUHO BANK JPY</v>
          </cell>
          <cell r="E22">
            <v>0</v>
          </cell>
        </row>
        <row r="23">
          <cell r="D23" t="str">
            <v>MIZUHO BANK $US</v>
          </cell>
          <cell r="E23">
            <v>0</v>
          </cell>
        </row>
        <row r="24">
          <cell r="D24" t="str">
            <v>MIZUHO BANK FIXED DEPOSITS $US</v>
          </cell>
          <cell r="E24">
            <v>0</v>
          </cell>
        </row>
        <row r="25">
          <cell r="D25" t="str">
            <v>UOB BANK S$ FORMERLY OVERSEAS UNION BANK S$</v>
          </cell>
          <cell r="E25">
            <v>0</v>
          </cell>
        </row>
        <row r="26">
          <cell r="D26" t="str">
            <v>INTERCO INDIA LIAISON OFFICE</v>
          </cell>
          <cell r="E26">
            <v>0</v>
          </cell>
        </row>
        <row r="27">
          <cell r="D27" t="str">
            <v>BTMU MUBMAI INR</v>
          </cell>
          <cell r="E27">
            <v>5334380.12</v>
          </cell>
        </row>
        <row r="28">
          <cell r="D28" t="str">
            <v>BTMU MUBMAI JPY</v>
          </cell>
        </row>
        <row r="29">
          <cell r="D29" t="str">
            <v>BTMU MUBMAI $US</v>
          </cell>
        </row>
        <row r="30">
          <cell r="D30" t="str">
            <v>MIZUHO MUMBAI INR</v>
          </cell>
          <cell r="E30">
            <v>7797605.3200000003</v>
          </cell>
        </row>
        <row r="31">
          <cell r="D31" t="str">
            <v>MIZUHO MUMBAI JPY</v>
          </cell>
        </row>
        <row r="32">
          <cell r="D32" t="str">
            <v>MIZUHO MUMBAI $US</v>
          </cell>
        </row>
        <row r="33">
          <cell r="D33" t="str">
            <v>BTMU MUMBAI FIXED DEPOSITS INR</v>
          </cell>
          <cell r="E33">
            <v>0</v>
          </cell>
        </row>
        <row r="34">
          <cell r="A34">
            <v>0</v>
          </cell>
          <cell r="D34" t="str">
            <v>MIZUHO MUMBAI FIXED DEPOSITS INR</v>
          </cell>
          <cell r="E34">
            <v>0</v>
          </cell>
        </row>
        <row r="35">
          <cell r="A35" t="str">
            <v>BCA1</v>
          </cell>
          <cell r="D35" t="str">
            <v>TOTAL CASH AND CASH EQUIVALENTS</v>
          </cell>
          <cell r="E35">
            <v>13162715.940000001</v>
          </cell>
        </row>
        <row r="36">
          <cell r="B36">
            <v>0</v>
          </cell>
          <cell r="D36">
            <v>0</v>
          </cell>
        </row>
        <row r="37">
          <cell r="B37">
            <v>2</v>
          </cell>
          <cell r="D37" t="str">
            <v>TRADE AND OTHER RECEIVABLES</v>
          </cell>
        </row>
        <row r="38">
          <cell r="D38" t="str">
            <v>TRADE DEBTORS PIGEON CORP.</v>
          </cell>
        </row>
        <row r="39">
          <cell r="D39" t="str">
            <v>TRADE DEBTORS RELATED CO.</v>
          </cell>
        </row>
        <row r="40">
          <cell r="D40" t="str">
            <v>TRADE DEBTORS OTHERS</v>
          </cell>
          <cell r="E40">
            <v>10415.09</v>
          </cell>
        </row>
        <row r="41">
          <cell r="D41" t="str">
            <v>TRADE DEBTORS PIGEON SPORE</v>
          </cell>
        </row>
        <row r="42">
          <cell r="D42" t="str">
            <v>TRADE DEBTORS PIGEON INDIA</v>
          </cell>
        </row>
        <row r="43">
          <cell r="D43" t="str">
            <v>TRADE DEBTORS PIGEON MALAYSIA</v>
          </cell>
        </row>
        <row r="44">
          <cell r="D44" t="str">
            <v>CLEARING ACCOUNT AR</v>
          </cell>
          <cell r="E44">
            <v>0</v>
          </cell>
        </row>
        <row r="45">
          <cell r="D45" t="str">
            <v>OTHER DEBTORS</v>
          </cell>
          <cell r="E45">
            <v>882889</v>
          </cell>
        </row>
        <row r="46">
          <cell r="D46" t="str">
            <v>OTHER DEBTORS PIGEON SPORE</v>
          </cell>
        </row>
        <row r="47">
          <cell r="D47" t="str">
            <v>OTHER DEBTORS-PIGEON INDIA</v>
          </cell>
        </row>
        <row r="48">
          <cell r="D48" t="str">
            <v>OTHER DEBTORS-PIGEON MALAYSIA</v>
          </cell>
        </row>
        <row r="49">
          <cell r="A49">
            <v>0</v>
          </cell>
          <cell r="D49" t="str">
            <v>PROVISION FOR DOUBTFUL DEBT</v>
          </cell>
          <cell r="E49">
            <v>0</v>
          </cell>
        </row>
        <row r="50">
          <cell r="A50" t="str">
            <v>BCA2</v>
          </cell>
          <cell r="D50" t="str">
            <v>TOTAL TRADE AND OTHER RECEIVABLES</v>
          </cell>
          <cell r="E50">
            <v>893304.09</v>
          </cell>
        </row>
        <row r="51">
          <cell r="B51">
            <v>0</v>
          </cell>
          <cell r="D51">
            <v>0</v>
          </cell>
        </row>
        <row r="52">
          <cell r="B52">
            <v>3</v>
          </cell>
          <cell r="D52" t="str">
            <v>LOAN RECEIVABLES</v>
          </cell>
          <cell r="E52">
            <v>0</v>
          </cell>
        </row>
        <row r="53">
          <cell r="A53">
            <v>0</v>
          </cell>
          <cell r="D53" t="str">
            <v>LOAN RECEIVABLE</v>
          </cell>
          <cell r="E53">
            <v>0</v>
          </cell>
        </row>
        <row r="54">
          <cell r="A54" t="str">
            <v>BCA3</v>
          </cell>
          <cell r="D54" t="str">
            <v>TOTAL LOAN RECEIVABLES</v>
          </cell>
          <cell r="E54">
            <v>0</v>
          </cell>
        </row>
        <row r="56">
          <cell r="B56">
            <v>0</v>
          </cell>
          <cell r="D56">
            <v>0</v>
          </cell>
        </row>
        <row r="57">
          <cell r="B57">
            <v>4</v>
          </cell>
          <cell r="D57" t="str">
            <v>INVENTORIES</v>
          </cell>
          <cell r="E57">
            <v>0</v>
          </cell>
        </row>
        <row r="58">
          <cell r="D58" t="str">
            <v>MERCHANDISE</v>
          </cell>
          <cell r="E58">
            <v>28442829.5</v>
          </cell>
        </row>
        <row r="59">
          <cell r="D59" t="str">
            <v>FINISHED GOODS</v>
          </cell>
          <cell r="E59">
            <v>0</v>
          </cell>
        </row>
        <row r="60">
          <cell r="D60" t="str">
            <v>WORK IN PROGRESS</v>
          </cell>
          <cell r="E60">
            <v>0</v>
          </cell>
        </row>
        <row r="61">
          <cell r="D61" t="str">
            <v>RAW MATERIALS</v>
          </cell>
          <cell r="E61">
            <v>0</v>
          </cell>
        </row>
        <row r="62">
          <cell r="D62" t="str">
            <v>SERVICE PARTS INVENTORY</v>
          </cell>
          <cell r="E62">
            <v>118737.68</v>
          </cell>
        </row>
        <row r="63">
          <cell r="D63" t="str">
            <v>BULK MATERIALS</v>
          </cell>
          <cell r="E63">
            <v>0</v>
          </cell>
        </row>
        <row r="64">
          <cell r="D64" t="str">
            <v>PACKING SUPPLIES</v>
          </cell>
          <cell r="E64">
            <v>0</v>
          </cell>
        </row>
        <row r="65">
          <cell r="D65" t="str">
            <v>INVENTORIES ON CONSIGNMENT</v>
          </cell>
          <cell r="E65">
            <v>0</v>
          </cell>
        </row>
        <row r="66">
          <cell r="D66" t="str">
            <v>INVENTORIES IN TRANSIT</v>
          </cell>
          <cell r="E66">
            <v>0</v>
          </cell>
        </row>
        <row r="67">
          <cell r="A67">
            <v>0</v>
          </cell>
          <cell r="D67" t="str">
            <v>PROVISION FOR SLOW MOVING STK</v>
          </cell>
          <cell r="E67">
            <v>-1000000</v>
          </cell>
        </row>
        <row r="68">
          <cell r="A68" t="str">
            <v>BCA4</v>
          </cell>
          <cell r="D68" t="str">
            <v>TOTAL INVENTORIES</v>
          </cell>
          <cell r="E68">
            <v>27561567.18</v>
          </cell>
        </row>
        <row r="69">
          <cell r="B69">
            <v>0</v>
          </cell>
          <cell r="D69">
            <v>0</v>
          </cell>
        </row>
        <row r="70">
          <cell r="B70">
            <v>5</v>
          </cell>
          <cell r="D70" t="str">
            <v>OTHER CURRENT ASSETS</v>
          </cell>
          <cell r="E70">
            <v>0</v>
          </cell>
        </row>
        <row r="71">
          <cell r="D71" t="str">
            <v>OTHER PREPAID EXPENSES</v>
          </cell>
          <cell r="E71">
            <v>1739532.53</v>
          </cell>
        </row>
        <row r="72">
          <cell r="D72" t="str">
            <v>DEPOSITS</v>
          </cell>
          <cell r="E72">
            <v>6154739</v>
          </cell>
        </row>
        <row r="73">
          <cell r="D73" t="str">
            <v>PRELIMINARY EXPENSES</v>
          </cell>
          <cell r="E73">
            <v>0</v>
          </cell>
        </row>
        <row r="74">
          <cell r="D74" t="str">
            <v>ACCRUED INCOME</v>
          </cell>
          <cell r="E74">
            <v>0</v>
          </cell>
        </row>
        <row r="75">
          <cell r="A75">
            <v>0</v>
          </cell>
          <cell r="D75" t="str">
            <v>COMMISSION RECEIVABLE</v>
          </cell>
          <cell r="E75">
            <v>0</v>
          </cell>
        </row>
        <row r="76">
          <cell r="A76" t="str">
            <v>BCA5</v>
          </cell>
          <cell r="D76" t="str">
            <v>TOTAL OTHER CURRENT ASSETS</v>
          </cell>
          <cell r="E76">
            <v>7894271.5300000003</v>
          </cell>
        </row>
        <row r="77">
          <cell r="B77">
            <v>0</v>
          </cell>
          <cell r="D77">
            <v>0</v>
          </cell>
        </row>
        <row r="78">
          <cell r="B78">
            <v>6</v>
          </cell>
          <cell r="D78" t="str">
            <v>INVESTMENT IN SUBSIDIARIES</v>
          </cell>
        </row>
        <row r="79">
          <cell r="D79" t="str">
            <v>INVESTMENT PIGEON INDIA PRIVATE LIMITED</v>
          </cell>
        </row>
        <row r="80">
          <cell r="A80">
            <v>0</v>
          </cell>
          <cell r="D80" t="str">
            <v>INVESTMENT PIGEON MALAYSIA TRADING SDN BHD</v>
          </cell>
          <cell r="E80">
            <v>0</v>
          </cell>
        </row>
        <row r="81">
          <cell r="A81" t="str">
            <v>BNA1</v>
          </cell>
          <cell r="D81" t="str">
            <v>TOTAL INVESTMENT IN SUBSIDIARIES</v>
          </cell>
          <cell r="E81">
            <v>0</v>
          </cell>
        </row>
        <row r="82">
          <cell r="B82">
            <v>0</v>
          </cell>
          <cell r="D82">
            <v>0</v>
          </cell>
          <cell r="E82">
            <v>0</v>
          </cell>
          <cell r="F82">
            <v>0</v>
          </cell>
          <cell r="G82">
            <v>0</v>
          </cell>
        </row>
        <row r="83">
          <cell r="B83">
            <v>7</v>
          </cell>
          <cell r="D83" t="str">
            <v>PROPERTY, PLANT &amp; EQUIPMENT</v>
          </cell>
          <cell r="E83" t="str">
            <v>COST</v>
          </cell>
          <cell r="F83" t="str">
            <v>ACCUM DEPN</v>
          </cell>
          <cell r="G83" t="str">
            <v>NBV</v>
          </cell>
        </row>
        <row r="84">
          <cell r="D84" t="str">
            <v>FURN, FIX &amp; FITT - TRADING</v>
          </cell>
          <cell r="E84">
            <v>7215547.5300000003</v>
          </cell>
          <cell r="F84">
            <v>-2807788</v>
          </cell>
          <cell r="G84">
            <v>4407759.53</v>
          </cell>
        </row>
        <row r="85">
          <cell r="D85" t="str">
            <v>OFFICE EQUIP - TRADING</v>
          </cell>
          <cell r="E85">
            <v>799574</v>
          </cell>
          <cell r="F85">
            <v>-281796</v>
          </cell>
          <cell r="G85">
            <v>517778</v>
          </cell>
        </row>
        <row r="86">
          <cell r="D86" t="str">
            <v>RENOVATION - TRADING</v>
          </cell>
        </row>
        <row r="87">
          <cell r="D87" t="str">
            <v>MOTOR VEHCILES - TRADING</v>
          </cell>
          <cell r="E87">
            <v>0</v>
          </cell>
          <cell r="F87">
            <v>0</v>
          </cell>
          <cell r="G87">
            <v>0</v>
          </cell>
        </row>
        <row r="88">
          <cell r="D88" t="str">
            <v>PLANT &amp; MACHINERY - TRADING</v>
          </cell>
          <cell r="E88">
            <v>164893</v>
          </cell>
          <cell r="F88">
            <v>-50215</v>
          </cell>
          <cell r="G88">
            <v>114678</v>
          </cell>
        </row>
        <row r="89">
          <cell r="D89" t="str">
            <v>MOLD - TRADING</v>
          </cell>
          <cell r="E89">
            <v>0</v>
          </cell>
          <cell r="F89">
            <v>0</v>
          </cell>
          <cell r="G89">
            <v>0</v>
          </cell>
        </row>
        <row r="90">
          <cell r="A90">
            <v>0</v>
          </cell>
          <cell r="D90" t="str">
            <v>COMPUTER  &amp; SOFTWARE - TRADING</v>
          </cell>
          <cell r="E90">
            <v>1750024.11</v>
          </cell>
          <cell r="F90">
            <v>-882748</v>
          </cell>
          <cell r="G90">
            <v>867276.1100000001</v>
          </cell>
        </row>
        <row r="91">
          <cell r="A91" t="str">
            <v>BNA2</v>
          </cell>
          <cell r="D91" t="str">
            <v>TOTAL PROPERTY, PLANT &amp; EQUIPMENT</v>
          </cell>
          <cell r="E91">
            <v>9930038.6400000006</v>
          </cell>
          <cell r="F91">
            <v>-4022547</v>
          </cell>
          <cell r="G91">
            <v>5907491.6400000006</v>
          </cell>
        </row>
        <row r="92">
          <cell r="B92">
            <v>0</v>
          </cell>
          <cell r="D92">
            <v>0</v>
          </cell>
        </row>
        <row r="93">
          <cell r="B93">
            <v>8</v>
          </cell>
          <cell r="D93" t="str">
            <v>CONSTRUCTION IN PROGRESS</v>
          </cell>
          <cell r="E93">
            <v>0</v>
          </cell>
        </row>
        <row r="94">
          <cell r="A94">
            <v>0</v>
          </cell>
          <cell r="D94" t="str">
            <v>CONSTRUCTION IN PROGRESS</v>
          </cell>
          <cell r="E94">
            <v>0</v>
          </cell>
        </row>
        <row r="95">
          <cell r="A95" t="str">
            <v>BNA3</v>
          </cell>
          <cell r="D95" t="str">
            <v>TOTAL CONSTRUCTION IN PROGRESS</v>
          </cell>
          <cell r="E95">
            <v>0</v>
          </cell>
        </row>
        <row r="96">
          <cell r="B96">
            <v>0</v>
          </cell>
          <cell r="D96">
            <v>0</v>
          </cell>
        </row>
        <row r="97">
          <cell r="B97">
            <v>11</v>
          </cell>
          <cell r="D97" t="str">
            <v>TRADE PAYABLES</v>
          </cell>
          <cell r="E97">
            <v>0</v>
          </cell>
        </row>
        <row r="98">
          <cell r="D98" t="str">
            <v>TRADE CREDITORS PIGEON CORP.</v>
          </cell>
          <cell r="E98">
            <v>170836.4</v>
          </cell>
        </row>
        <row r="99">
          <cell r="D99" t="str">
            <v>TRADE CREDITORS RELATED CORP.</v>
          </cell>
          <cell r="E99">
            <v>9858031.6699999999</v>
          </cell>
        </row>
        <row r="100">
          <cell r="D100" t="str">
            <v>TRADE CREDITORS OTHERS</v>
          </cell>
          <cell r="E100">
            <v>500659.91000000003</v>
          </cell>
        </row>
        <row r="101">
          <cell r="D101" t="str">
            <v>TRADE CREDITORS PIGEON SPORE</v>
          </cell>
          <cell r="E101">
            <v>11460019.710000001</v>
          </cell>
        </row>
        <row r="102">
          <cell r="D102" t="str">
            <v>TRADE CREDITORS PIGEON INDIA</v>
          </cell>
        </row>
        <row r="103">
          <cell r="D103" t="str">
            <v>TRADE CREDITORS PIGEON MALAYSIA</v>
          </cell>
          <cell r="E103">
            <v>0</v>
          </cell>
        </row>
        <row r="104">
          <cell r="D104" t="str">
            <v>SUNDRY CREDITORS</v>
          </cell>
          <cell r="E104">
            <v>3007965.1799999997</v>
          </cell>
        </row>
        <row r="105">
          <cell r="D105" t="str">
            <v>OTHER CREDITORS PIGEON SPORE</v>
          </cell>
          <cell r="E105">
            <v>991400.51</v>
          </cell>
        </row>
        <row r="106">
          <cell r="D106" t="str">
            <v>OTHER CREDITORS PIGEON INDIA</v>
          </cell>
        </row>
        <row r="107">
          <cell r="D107" t="str">
            <v>OTHER CREDITORS PIGEON MALAYSIA</v>
          </cell>
        </row>
        <row r="108">
          <cell r="D108" t="str">
            <v>ROYALTY PAYABLE</v>
          </cell>
          <cell r="E108">
            <v>0</v>
          </cell>
        </row>
        <row r="109">
          <cell r="D109" t="str">
            <v>CLEARING ACCOUNT AP</v>
          </cell>
          <cell r="E109">
            <v>0</v>
          </cell>
        </row>
        <row r="110">
          <cell r="D110" t="str">
            <v>TOTAL TRADE PAYABLES</v>
          </cell>
          <cell r="E110">
            <v>25988913.380000003</v>
          </cell>
        </row>
        <row r="111">
          <cell r="B111">
            <v>0</v>
          </cell>
          <cell r="D111">
            <v>0</v>
          </cell>
        </row>
        <row r="112">
          <cell r="B112">
            <v>11</v>
          </cell>
          <cell r="D112" t="str">
            <v>OTHER PAYABLES</v>
          </cell>
          <cell r="E112">
            <v>0</v>
          </cell>
        </row>
        <row r="113">
          <cell r="D113" t="str">
            <v>INPUT TAX</v>
          </cell>
          <cell r="E113">
            <v>-104732</v>
          </cell>
        </row>
        <row r="114">
          <cell r="D114" t="str">
            <v>OUTPUT TAX</v>
          </cell>
          <cell r="E114">
            <v>553062.74</v>
          </cell>
        </row>
        <row r="115">
          <cell r="D115" t="str">
            <v>DIRECTORS' INCOME TAX PAYABLE</v>
          </cell>
          <cell r="E115">
            <v>740000</v>
          </cell>
        </row>
        <row r="116">
          <cell r="D116" t="str">
            <v>BONUS PAYABLE</v>
          </cell>
          <cell r="E116">
            <v>1336855</v>
          </cell>
        </row>
        <row r="117">
          <cell r="D117" t="str">
            <v>SALARY/ CPF PAYABLE</v>
          </cell>
          <cell r="E117">
            <v>70411</v>
          </cell>
        </row>
        <row r="118">
          <cell r="D118" t="str">
            <v>TDS PAYABLE</v>
          </cell>
          <cell r="E118">
            <v>428677</v>
          </cell>
        </row>
        <row r="119">
          <cell r="D119" t="str">
            <v>PROVISION FOR AUDIT FEES</v>
          </cell>
          <cell r="E119">
            <v>998236</v>
          </cell>
        </row>
        <row r="120">
          <cell r="D120" t="str">
            <v>ACCRUALS</v>
          </cell>
          <cell r="E120">
            <v>0</v>
          </cell>
        </row>
        <row r="121">
          <cell r="D121" t="str">
            <v>Shipment Clearing</v>
          </cell>
          <cell r="E121">
            <v>0</v>
          </cell>
        </row>
        <row r="122">
          <cell r="D122" t="str">
            <v>COMMISSION PAYABLE</v>
          </cell>
          <cell r="E122">
            <v>0</v>
          </cell>
        </row>
        <row r="123">
          <cell r="D123" t="str">
            <v>INTEREST PAYABLE</v>
          </cell>
          <cell r="E123">
            <v>0</v>
          </cell>
        </row>
        <row r="126">
          <cell r="D126">
            <v>0</v>
          </cell>
          <cell r="E126">
            <v>0</v>
          </cell>
        </row>
        <row r="127">
          <cell r="D127" t="str">
            <v>TOTAL OTHER PAYABLES</v>
          </cell>
          <cell r="E127">
            <v>4022509.74</v>
          </cell>
        </row>
        <row r="128">
          <cell r="A128">
            <v>0</v>
          </cell>
          <cell r="B128">
            <v>0</v>
          </cell>
          <cell r="D128">
            <v>0</v>
          </cell>
          <cell r="E128">
            <v>0</v>
          </cell>
        </row>
        <row r="129">
          <cell r="A129" t="str">
            <v>BCL1</v>
          </cell>
          <cell r="B129">
            <v>11</v>
          </cell>
          <cell r="D129" t="str">
            <v>TOTAL TRADE AND OTHER PAYABLES</v>
          </cell>
          <cell r="E129">
            <v>30011423.120000005</v>
          </cell>
        </row>
        <row r="130">
          <cell r="B130">
            <v>0</v>
          </cell>
          <cell r="D130">
            <v>0</v>
          </cell>
        </row>
        <row r="131">
          <cell r="B131">
            <v>12</v>
          </cell>
          <cell r="D131" t="str">
            <v>CURRENT INCOME TAX LIABILITIES</v>
          </cell>
        </row>
        <row r="132">
          <cell r="A132">
            <v>0</v>
          </cell>
          <cell r="D132" t="str">
            <v>PROVISION FOR TAXATION</v>
          </cell>
          <cell r="E132">
            <v>0</v>
          </cell>
        </row>
        <row r="133">
          <cell r="A133" t="str">
            <v>BCL2</v>
          </cell>
          <cell r="D133" t="str">
            <v>TOTAL CURRENT INCOME TAX LIABILITIES</v>
          </cell>
          <cell r="E133">
            <v>0</v>
          </cell>
        </row>
        <row r="134">
          <cell r="B134">
            <v>0</v>
          </cell>
          <cell r="D134">
            <v>0</v>
          </cell>
        </row>
        <row r="135">
          <cell r="B135">
            <v>13</v>
          </cell>
          <cell r="D135" t="str">
            <v>SHORT TERM BORROWINGS</v>
          </cell>
        </row>
        <row r="136">
          <cell r="D136" t="str">
            <v>BANK OVERDRAFT</v>
          </cell>
        </row>
        <row r="137">
          <cell r="D137" t="str">
            <v>SHORT TERM LOAN</v>
          </cell>
        </row>
        <row r="138">
          <cell r="A138">
            <v>0</v>
          </cell>
          <cell r="D138" t="str">
            <v>SHORT TERM LOAN MITSUBISHI</v>
          </cell>
          <cell r="E138">
            <v>0</v>
          </cell>
        </row>
        <row r="139">
          <cell r="A139" t="str">
            <v>BCL3</v>
          </cell>
          <cell r="D139" t="str">
            <v>TOTAL SHORT TERM BORROWINGS</v>
          </cell>
          <cell r="E139">
            <v>0</v>
          </cell>
        </row>
        <row r="140">
          <cell r="B140">
            <v>0</v>
          </cell>
          <cell r="D140">
            <v>0</v>
          </cell>
        </row>
        <row r="141">
          <cell r="B141">
            <v>14</v>
          </cell>
          <cell r="D141" t="str">
            <v>FINANCE LEASE LIABILITIES-CURRENT</v>
          </cell>
        </row>
        <row r="142">
          <cell r="D142" t="str">
            <v>HIRE PURCHASE CREDITORS</v>
          </cell>
        </row>
        <row r="143">
          <cell r="A143">
            <v>0</v>
          </cell>
          <cell r="D143" t="str">
            <v>HIRE PURCHASE INT IN SUSPENSE</v>
          </cell>
          <cell r="E143">
            <v>0</v>
          </cell>
        </row>
        <row r="144">
          <cell r="A144" t="str">
            <v>BCL4</v>
          </cell>
          <cell r="D144" t="str">
            <v>TOTAL FINANCE LEASE LIABILITIES</v>
          </cell>
          <cell r="E144">
            <v>0</v>
          </cell>
        </row>
        <row r="146">
          <cell r="B146">
            <v>0</v>
          </cell>
          <cell r="D146">
            <v>0</v>
          </cell>
        </row>
        <row r="147">
          <cell r="B147">
            <v>15</v>
          </cell>
          <cell r="D147" t="str">
            <v>PROVISIONS - CURRENT</v>
          </cell>
          <cell r="E147">
            <v>0</v>
          </cell>
        </row>
        <row r="148">
          <cell r="A148">
            <v>0</v>
          </cell>
          <cell r="D148">
            <v>0</v>
          </cell>
          <cell r="E148">
            <v>6633057.5</v>
          </cell>
        </row>
        <row r="149">
          <cell r="A149" t="str">
            <v>BCL5</v>
          </cell>
          <cell r="D149" t="str">
            <v>TOTAL PROVISIONS</v>
          </cell>
          <cell r="E149">
            <v>6633057.5</v>
          </cell>
        </row>
        <row r="150">
          <cell r="B150">
            <v>0</v>
          </cell>
          <cell r="D150">
            <v>0</v>
          </cell>
        </row>
        <row r="151">
          <cell r="B151">
            <v>16</v>
          </cell>
          <cell r="D151" t="str">
            <v>DEFERRED INCOME TAX LIABILITIES</v>
          </cell>
        </row>
        <row r="152">
          <cell r="A152">
            <v>0</v>
          </cell>
          <cell r="D152" t="str">
            <v>DEFERRED TAXATION</v>
          </cell>
          <cell r="E152">
            <v>0</v>
          </cell>
        </row>
        <row r="153">
          <cell r="A153" t="str">
            <v>BNL1</v>
          </cell>
          <cell r="D153" t="str">
            <v>TOTAL DEFERRED INCOME TAX LIABILITIES</v>
          </cell>
          <cell r="E153">
            <v>0</v>
          </cell>
        </row>
        <row r="154">
          <cell r="B154">
            <v>0</v>
          </cell>
          <cell r="D154">
            <v>0</v>
          </cell>
        </row>
        <row r="155">
          <cell r="B155">
            <v>17</v>
          </cell>
          <cell r="D155" t="str">
            <v>LONG TERM LIABILITIES</v>
          </cell>
        </row>
        <row r="156">
          <cell r="A156">
            <v>0</v>
          </cell>
          <cell r="D156" t="str">
            <v>LONG TERM LOANS</v>
          </cell>
          <cell r="E156">
            <v>0</v>
          </cell>
        </row>
        <row r="157">
          <cell r="A157" t="str">
            <v>BNL2</v>
          </cell>
          <cell r="D157" t="str">
            <v>TOTAL LONG TERM LIABILITIES</v>
          </cell>
          <cell r="E157">
            <v>0</v>
          </cell>
        </row>
        <row r="158">
          <cell r="B158">
            <v>0</v>
          </cell>
          <cell r="D158">
            <v>0</v>
          </cell>
        </row>
        <row r="159">
          <cell r="B159">
            <v>18</v>
          </cell>
          <cell r="D159" t="str">
            <v>FINANCE LEASE LIABILITIES - NON CURRENT</v>
          </cell>
          <cell r="E159">
            <v>0</v>
          </cell>
        </row>
        <row r="160">
          <cell r="A160">
            <v>0</v>
          </cell>
          <cell r="D160" t="str">
            <v>LEASE LIABILITIES</v>
          </cell>
          <cell r="E160">
            <v>0</v>
          </cell>
        </row>
        <row r="161">
          <cell r="A161" t="str">
            <v>BNL3</v>
          </cell>
          <cell r="D161" t="str">
            <v>TOTAL FINANCE LEASE LIABILITIES</v>
          </cell>
          <cell r="E161">
            <v>0</v>
          </cell>
        </row>
        <row r="162">
          <cell r="B162">
            <v>0</v>
          </cell>
          <cell r="D162">
            <v>0</v>
          </cell>
        </row>
        <row r="163">
          <cell r="B163">
            <v>19</v>
          </cell>
          <cell r="D163" t="str">
            <v>PROVISIONS - NON-CURRENT</v>
          </cell>
          <cell r="E163">
            <v>0</v>
          </cell>
        </row>
        <row r="164">
          <cell r="A164">
            <v>0</v>
          </cell>
          <cell r="D164">
            <v>0</v>
          </cell>
          <cell r="E164">
            <v>0</v>
          </cell>
        </row>
        <row r="165">
          <cell r="A165" t="str">
            <v>BNL4</v>
          </cell>
          <cell r="D165" t="str">
            <v>TOTAL PROVISIONS</v>
          </cell>
          <cell r="E165">
            <v>0</v>
          </cell>
        </row>
        <row r="166">
          <cell r="B166">
            <v>0</v>
          </cell>
          <cell r="D166">
            <v>0</v>
          </cell>
        </row>
        <row r="167">
          <cell r="B167">
            <v>20</v>
          </cell>
          <cell r="D167" t="str">
            <v>SHARE CAPITAL</v>
          </cell>
          <cell r="E167">
            <v>0</v>
          </cell>
        </row>
        <row r="168">
          <cell r="A168">
            <v>0</v>
          </cell>
          <cell r="D168" t="str">
            <v>SHARE CAPITAL</v>
          </cell>
          <cell r="E168">
            <v>100000000</v>
          </cell>
        </row>
        <row r="169">
          <cell r="A169" t="str">
            <v>BEY1</v>
          </cell>
          <cell r="D169" t="str">
            <v>TOTAL SHARE CAPITAL</v>
          </cell>
          <cell r="E169">
            <v>100000000</v>
          </cell>
        </row>
        <row r="170">
          <cell r="B170">
            <v>0</v>
          </cell>
          <cell r="D170">
            <v>0</v>
          </cell>
        </row>
        <row r="171">
          <cell r="B171">
            <v>21</v>
          </cell>
          <cell r="D171" t="str">
            <v>CURRENCY TRANSLATION RESERVES</v>
          </cell>
          <cell r="E171">
            <v>0</v>
          </cell>
        </row>
        <row r="172">
          <cell r="A172">
            <v>0</v>
          </cell>
          <cell r="D172">
            <v>0</v>
          </cell>
          <cell r="E172">
            <v>0</v>
          </cell>
        </row>
        <row r="173">
          <cell r="A173" t="str">
            <v>BEY2</v>
          </cell>
          <cell r="D173" t="str">
            <v>TOTAL CURRENCY TRANSLATION RESERVES</v>
          </cell>
          <cell r="E173">
            <v>0</v>
          </cell>
        </row>
        <row r="174">
          <cell r="B174">
            <v>0</v>
          </cell>
          <cell r="D174">
            <v>0</v>
          </cell>
        </row>
        <row r="175">
          <cell r="B175">
            <v>22</v>
          </cell>
          <cell r="D175" t="str">
            <v>REVALUATION RESERVES</v>
          </cell>
          <cell r="E175">
            <v>0</v>
          </cell>
        </row>
        <row r="176">
          <cell r="A176">
            <v>0</v>
          </cell>
          <cell r="D176">
            <v>0</v>
          </cell>
          <cell r="E176">
            <v>0</v>
          </cell>
        </row>
        <row r="177">
          <cell r="A177" t="str">
            <v>BEY3</v>
          </cell>
          <cell r="D177" t="str">
            <v>TOTAL REVALUATIONS RESERVES</v>
          </cell>
          <cell r="E177">
            <v>0</v>
          </cell>
        </row>
        <row r="179">
          <cell r="B179">
            <v>0</v>
          </cell>
          <cell r="D179">
            <v>0</v>
          </cell>
        </row>
        <row r="180">
          <cell r="B180">
            <v>21</v>
          </cell>
          <cell r="D180" t="str">
            <v>RETAINED PROFITS</v>
          </cell>
          <cell r="E180">
            <v>0</v>
          </cell>
        </row>
        <row r="181">
          <cell r="A181">
            <v>0</v>
          </cell>
          <cell r="D181" t="str">
            <v>RETAINED EARNINGS</v>
          </cell>
          <cell r="E181">
            <v>-63679042.93</v>
          </cell>
        </row>
        <row r="182">
          <cell r="A182" t="str">
            <v>BEY4</v>
          </cell>
          <cell r="D182" t="str">
            <v>RETAINED PROFITS</v>
          </cell>
          <cell r="E182">
            <v>-63679042.93</v>
          </cell>
        </row>
        <row r="184">
          <cell r="B184">
            <v>0</v>
          </cell>
          <cell r="D184">
            <v>0</v>
          </cell>
        </row>
        <row r="185">
          <cell r="B185">
            <v>22</v>
          </cell>
          <cell r="D185" t="str">
            <v>PROFIT FOR THE TERM</v>
          </cell>
          <cell r="E185">
            <v>0</v>
          </cell>
        </row>
        <row r="186">
          <cell r="A186">
            <v>0</v>
          </cell>
          <cell r="D186" t="str">
            <v>PROFIT FOR THE TERM</v>
          </cell>
          <cell r="E186">
            <v>-17546087.309999999</v>
          </cell>
        </row>
        <row r="187">
          <cell r="A187" t="str">
            <v>BEY5</v>
          </cell>
          <cell r="D187" t="str">
            <v>PROFIT FOR THE TERM</v>
          </cell>
          <cell r="E187">
            <v>-17546087.309999999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W"/>
      <sheetName val="BS"/>
      <sheetName val="NOTES"/>
      <sheetName val="I-PS"/>
      <sheetName val="L-PS "/>
      <sheetName val="PIN-PL"/>
      <sheetName val="PIN-12M"/>
      <sheetName val="PIN-Monthly"/>
      <sheetName val="PIN-B2013"/>
      <sheetName val="PIN-A2012"/>
      <sheetName val="PIN-PL SGD"/>
      <sheetName val="PIN-12M SGD"/>
      <sheetName val="PIN-Monthly SGD"/>
      <sheetName val="PIN-B2012 SGD"/>
      <sheetName val="PIN-A2012 SGD"/>
      <sheetName val="MC"/>
      <sheetName val="NAME1"/>
      <sheetName val="NAME"/>
      <sheetName val="L-PS_3"/>
      <sheetName val="PIN-PL_SGD3"/>
      <sheetName val="PIN-12M_SGD3"/>
      <sheetName val="PIN-Monthly_SGD3"/>
      <sheetName val="PIN-B2012_SGD3"/>
      <sheetName val="PIN-A2012_SGD3"/>
      <sheetName val="L-PS_2"/>
      <sheetName val="PIN-PL_SGD2"/>
      <sheetName val="PIN-12M_SGD2"/>
      <sheetName val="PIN-Monthly_SGD2"/>
      <sheetName val="PIN-B2012_SGD2"/>
      <sheetName val="PIN-A2012_SGD2"/>
      <sheetName val="L-PS_"/>
      <sheetName val="PIN-PL_SGD"/>
      <sheetName val="PIN-12M_SGD"/>
      <sheetName val="PIN-Monthly_SGD"/>
      <sheetName val="PIN-B2012_SGD"/>
      <sheetName val="PIN-A2012_SGD"/>
      <sheetName val="L-PS_1"/>
      <sheetName val="PIN-PL_SGD1"/>
      <sheetName val="PIN-12M_SGD1"/>
      <sheetName val="PIN-Monthly_SGD1"/>
      <sheetName val="PIN-B2012_SGD1"/>
      <sheetName val="PIN-A2012_SGD1"/>
      <sheetName val="L-PS_4"/>
      <sheetName val="PIN-PL_SGD4"/>
      <sheetName val="PIN-12M_SGD4"/>
      <sheetName val="PIN-Monthly_SGD4"/>
      <sheetName val="PIN-B2012_SGD4"/>
      <sheetName val="PIN-A2012_SGD4"/>
      <sheetName val="L-PS_5"/>
      <sheetName val="PIN-PL_SGD5"/>
      <sheetName val="PIN-12M_SGD5"/>
      <sheetName val="PIN-Monthly_SGD5"/>
      <sheetName val="PIN-B2012_SGD5"/>
      <sheetName val="PIN-A2012_SGD5"/>
      <sheetName val="WIP ITR"/>
      <sheetName val="Nipple"/>
      <sheetName val="Bottle"/>
    </sheetNames>
    <sheetDataSet>
      <sheetData sheetId="0"/>
      <sheetData sheetId="1"/>
      <sheetData sheetId="2">
        <row r="1">
          <cell r="A1">
            <v>1</v>
          </cell>
          <cell r="B1">
            <v>2</v>
          </cell>
          <cell r="C1">
            <v>3</v>
          </cell>
          <cell r="D1">
            <v>4</v>
          </cell>
          <cell r="E1">
            <v>5</v>
          </cell>
          <cell r="F1">
            <v>6</v>
          </cell>
          <cell r="G1">
            <v>7</v>
          </cell>
          <cell r="H1">
            <v>8</v>
          </cell>
          <cell r="I1">
            <v>9</v>
          </cell>
          <cell r="J1">
            <v>10</v>
          </cell>
        </row>
        <row r="4">
          <cell r="D4" t="str">
            <v>PIGEON INDIA PTE LTD</v>
          </cell>
        </row>
        <row r="5">
          <cell r="D5" t="str">
            <v>MANAGEMENT REPORT</v>
          </cell>
        </row>
        <row r="6">
          <cell r="D6" t="str">
            <v>BALANCE SHEET SCHEDULE</v>
          </cell>
        </row>
        <row r="7">
          <cell r="D7" t="str">
            <v>AS AT  31 MARCH, 2013</v>
          </cell>
        </row>
        <row r="8">
          <cell r="D8" t="str">
            <v>EXPRESSED IN INR</v>
          </cell>
        </row>
        <row r="9">
          <cell r="G9" t="str">
            <v xml:space="preserve"> </v>
          </cell>
        </row>
        <row r="12">
          <cell r="B12" t="str">
            <v>NOTES</v>
          </cell>
        </row>
        <row r="13">
          <cell r="B13">
            <v>1</v>
          </cell>
          <cell r="D13" t="str">
            <v xml:space="preserve"> CASH AND CASH EQUIVALENTS</v>
          </cell>
        </row>
        <row r="14">
          <cell r="D14" t="str">
            <v>PETTY CASH INR$</v>
          </cell>
          <cell r="E14">
            <v>33237.5</v>
          </cell>
        </row>
        <row r="15">
          <cell r="D15" t="str">
            <v>PETTY CASH S$</v>
          </cell>
          <cell r="E15">
            <v>0</v>
          </cell>
        </row>
        <row r="16">
          <cell r="D16" t="str">
            <v>THE MITSUBISHI BANK $S</v>
          </cell>
          <cell r="E16">
            <v>0</v>
          </cell>
        </row>
        <row r="17">
          <cell r="D17" t="str">
            <v>THE MITSUBISHI BANK JPY</v>
          </cell>
          <cell r="E17">
            <v>0</v>
          </cell>
        </row>
        <row r="18">
          <cell r="D18" t="str">
            <v>THE MITSUBISHI BANK $US</v>
          </cell>
          <cell r="E18">
            <v>0</v>
          </cell>
        </row>
        <row r="19">
          <cell r="D19" t="str">
            <v>FIXED DEPOSITS $S</v>
          </cell>
          <cell r="E19">
            <v>0</v>
          </cell>
        </row>
        <row r="20">
          <cell r="D20" t="str">
            <v>FIXED DEPOSITS $US</v>
          </cell>
          <cell r="E20">
            <v>0</v>
          </cell>
        </row>
        <row r="21">
          <cell r="D21" t="str">
            <v>MIZUHO BANK $S</v>
          </cell>
          <cell r="E21">
            <v>0</v>
          </cell>
        </row>
        <row r="22">
          <cell r="D22" t="str">
            <v>MIZUHO BANK JPY</v>
          </cell>
          <cell r="E22">
            <v>0</v>
          </cell>
        </row>
        <row r="23">
          <cell r="D23" t="str">
            <v>MIZUHO BANK $US</v>
          </cell>
          <cell r="E23">
            <v>0</v>
          </cell>
        </row>
        <row r="24">
          <cell r="D24" t="str">
            <v>MIZUHO BANK FIXED DEPOSITS INR$</v>
          </cell>
          <cell r="E24">
            <v>0</v>
          </cell>
        </row>
        <row r="25">
          <cell r="D25" t="str">
            <v>UOB BANK S$ FORMERLY OVERSEAS UNION BANK S$</v>
          </cell>
          <cell r="E25">
            <v>0</v>
          </cell>
        </row>
        <row r="26">
          <cell r="D26" t="str">
            <v>INTERCO INDIA LIAISON OFFICE</v>
          </cell>
          <cell r="E26">
            <v>0</v>
          </cell>
        </row>
        <row r="27">
          <cell r="D27" t="str">
            <v>BTMU MUBMAI INR</v>
          </cell>
          <cell r="E27">
            <v>146557.88</v>
          </cell>
        </row>
        <row r="28">
          <cell r="D28" t="str">
            <v>BTMU MUBMAI JPY</v>
          </cell>
          <cell r="E28">
            <v>0</v>
          </cell>
        </row>
        <row r="29">
          <cell r="D29" t="str">
            <v>BTMU MUBMAI $US</v>
          </cell>
          <cell r="E29">
            <v>0</v>
          </cell>
        </row>
        <row r="30">
          <cell r="D30" t="str">
            <v>MIZUHO MUMBAI INR</v>
          </cell>
          <cell r="E30">
            <v>5634760.6600000001</v>
          </cell>
        </row>
        <row r="31">
          <cell r="D31" t="str">
            <v>MIZUHO MUMBAI JPY</v>
          </cell>
          <cell r="E31">
            <v>0</v>
          </cell>
        </row>
        <row r="32">
          <cell r="D32" t="str">
            <v>MIZUHO MUMBAI $US</v>
          </cell>
          <cell r="E32">
            <v>0</v>
          </cell>
        </row>
        <row r="33">
          <cell r="D33" t="str">
            <v>BTMU MUMBAI FIXED DEPOSITS INR</v>
          </cell>
          <cell r="E33">
            <v>0</v>
          </cell>
        </row>
        <row r="34">
          <cell r="D34" t="str">
            <v>MIZUHO MUMBAI FIXED DEPOSITS INR</v>
          </cell>
          <cell r="E34">
            <v>380000000</v>
          </cell>
        </row>
        <row r="35">
          <cell r="A35" t="str">
            <v>BCA1</v>
          </cell>
          <cell r="D35" t="str">
            <v>TOTAL CASH AND CASH EQUIVALENTS</v>
          </cell>
          <cell r="E35">
            <v>385814556.04000002</v>
          </cell>
        </row>
        <row r="37">
          <cell r="B37">
            <v>2</v>
          </cell>
          <cell r="D37" t="str">
            <v>TRADE AND OTHER RECEIVABLES</v>
          </cell>
        </row>
        <row r="38">
          <cell r="D38" t="str">
            <v>TRADE DEBTORS PIGEON CORP.</v>
          </cell>
        </row>
        <row r="39">
          <cell r="D39" t="str">
            <v>TRADE DEBTORS RELATED CO.</v>
          </cell>
        </row>
        <row r="40">
          <cell r="D40" t="str">
            <v>TRADE DEBTORS OTHERS</v>
          </cell>
          <cell r="E40">
            <v>0</v>
          </cell>
        </row>
        <row r="41">
          <cell r="D41" t="str">
            <v>TRADE DEBTORS PIGEON SPORE</v>
          </cell>
        </row>
        <row r="42">
          <cell r="D42" t="str">
            <v>TRADE DEBTORS PIGEON INDIA</v>
          </cell>
        </row>
        <row r="43">
          <cell r="D43" t="str">
            <v>TRADE DEBTORS PIGEON MALAYSIA</v>
          </cell>
        </row>
        <row r="44">
          <cell r="D44" t="str">
            <v>CLEARING ACCOUNT AR</v>
          </cell>
        </row>
        <row r="45">
          <cell r="D45" t="str">
            <v>OTHER DEBTORS</v>
          </cell>
          <cell r="E45">
            <v>726717</v>
          </cell>
        </row>
        <row r="46">
          <cell r="D46" t="str">
            <v>OTHER DEBTORS PIGEON SPORE</v>
          </cell>
          <cell r="E46">
            <v>96873</v>
          </cell>
        </row>
        <row r="47">
          <cell r="D47" t="str">
            <v>OTHER DEBTORS-PIGEON INDIA</v>
          </cell>
        </row>
        <row r="48">
          <cell r="D48" t="str">
            <v>OTHER DEBTORS-PIGEON MALAYSIA</v>
          </cell>
        </row>
        <row r="49">
          <cell r="D49" t="str">
            <v>PROVISION FOR DOUBTFUL DEBT</v>
          </cell>
        </row>
        <row r="50">
          <cell r="A50" t="str">
            <v>BCA2</v>
          </cell>
          <cell r="D50" t="str">
            <v>TOTAL TRADE AND OTHER RECEIVABLES</v>
          </cell>
          <cell r="E50">
            <v>823590</v>
          </cell>
        </row>
        <row r="52">
          <cell r="B52">
            <v>3</v>
          </cell>
          <cell r="D52" t="str">
            <v>LOAN RECEIVABLES</v>
          </cell>
        </row>
        <row r="53">
          <cell r="D53" t="str">
            <v>LOAN RECEIVABLE</v>
          </cell>
          <cell r="E53">
            <v>0</v>
          </cell>
        </row>
        <row r="54">
          <cell r="A54" t="str">
            <v>BCA3</v>
          </cell>
          <cell r="D54" t="str">
            <v>TOTAL LOAN RECEIVABLES</v>
          </cell>
          <cell r="E54">
            <v>0</v>
          </cell>
        </row>
        <row r="57">
          <cell r="B57">
            <v>4</v>
          </cell>
          <cell r="D57" t="str">
            <v>INVENTORIES</v>
          </cell>
        </row>
        <row r="58">
          <cell r="D58" t="str">
            <v>MERCHANDISE</v>
          </cell>
          <cell r="E58">
            <v>16953016.190000001</v>
          </cell>
        </row>
        <row r="59">
          <cell r="D59" t="str">
            <v>FINISHED GOODS</v>
          </cell>
          <cell r="E59">
            <v>0</v>
          </cell>
        </row>
        <row r="60">
          <cell r="D60" t="str">
            <v>WORK IN PROGRESS</v>
          </cell>
          <cell r="E60">
            <v>0</v>
          </cell>
        </row>
        <row r="61">
          <cell r="D61" t="str">
            <v>RAW MATERIALS</v>
          </cell>
          <cell r="E61">
            <v>1960500.99</v>
          </cell>
        </row>
        <row r="62">
          <cell r="D62" t="str">
            <v>SERVICE PARTS INVENTORY</v>
          </cell>
          <cell r="E62">
            <v>149828.74</v>
          </cell>
        </row>
        <row r="63">
          <cell r="D63" t="str">
            <v>BULK MATERIALS</v>
          </cell>
          <cell r="E63">
            <v>605493.89</v>
          </cell>
        </row>
        <row r="64">
          <cell r="D64" t="str">
            <v>PACKING SUPPLIES</v>
          </cell>
          <cell r="E64">
            <v>162940.72</v>
          </cell>
        </row>
        <row r="65">
          <cell r="D65" t="str">
            <v>INVENTORIES ON CONSIGNMENT</v>
          </cell>
          <cell r="E65">
            <v>0</v>
          </cell>
        </row>
        <row r="66">
          <cell r="D66" t="str">
            <v>INVENTORIES IN TRANSIT</v>
          </cell>
          <cell r="E66">
            <v>12979357.620000001</v>
          </cell>
        </row>
        <row r="67">
          <cell r="D67" t="str">
            <v>PROVISION FOR SLOW MOVING STK</v>
          </cell>
          <cell r="E67">
            <v>-899721.06</v>
          </cell>
        </row>
        <row r="68">
          <cell r="A68" t="str">
            <v>BCA4</v>
          </cell>
          <cell r="D68" t="str">
            <v>TOTAL INVENTORIES</v>
          </cell>
          <cell r="E68">
            <v>31911417.09</v>
          </cell>
        </row>
        <row r="70">
          <cell r="B70">
            <v>5</v>
          </cell>
          <cell r="D70" t="str">
            <v>OTHER CURRENT ASSETS</v>
          </cell>
        </row>
        <row r="71">
          <cell r="D71" t="str">
            <v>OTHER PREPAID EXPENSES</v>
          </cell>
          <cell r="E71">
            <v>4212985.5</v>
          </cell>
        </row>
        <row r="72">
          <cell r="D72" t="str">
            <v>DEPOSITS</v>
          </cell>
          <cell r="E72">
            <v>5704459</v>
          </cell>
        </row>
        <row r="73">
          <cell r="D73" t="str">
            <v>PRELIMINARY EXPENSES</v>
          </cell>
          <cell r="E73">
            <v>0</v>
          </cell>
        </row>
        <row r="74">
          <cell r="D74" t="str">
            <v>ACCRUED INCOME</v>
          </cell>
          <cell r="E74">
            <v>4433424</v>
          </cell>
        </row>
        <row r="75">
          <cell r="D75" t="str">
            <v>COMMISSION RECEIVABLE</v>
          </cell>
          <cell r="E75">
            <v>0</v>
          </cell>
        </row>
        <row r="76">
          <cell r="A76" t="str">
            <v>BCA5</v>
          </cell>
          <cell r="D76" t="str">
            <v>TOTAL OTHER CURRENT ASSETS</v>
          </cell>
          <cell r="E76">
            <v>14350868.5</v>
          </cell>
        </row>
        <row r="78">
          <cell r="B78">
            <v>6</v>
          </cell>
          <cell r="D78" t="str">
            <v>INVESTMENT IN SUBSIDIARIES</v>
          </cell>
        </row>
        <row r="79">
          <cell r="D79" t="str">
            <v>INVESTMENT PIGEON INDIA PRIVATE LIMITED</v>
          </cell>
        </row>
        <row r="80">
          <cell r="D80" t="str">
            <v>INVESTMENT PIGEON MALAYSIA TRADING SDN BHD</v>
          </cell>
        </row>
        <row r="81">
          <cell r="A81" t="str">
            <v>BNA1</v>
          </cell>
          <cell r="D81" t="str">
            <v>TOTAL INVESTMENT IN SUBSIDIARIES</v>
          </cell>
          <cell r="E81">
            <v>0</v>
          </cell>
        </row>
        <row r="83">
          <cell r="B83">
            <v>7</v>
          </cell>
          <cell r="D83" t="str">
            <v>PROPERTY, PLANT &amp; EQUIPMENT</v>
          </cell>
          <cell r="E83" t="str">
            <v>COST</v>
          </cell>
          <cell r="F83" t="str">
            <v>ACCUM DEPN</v>
          </cell>
          <cell r="G83" t="str">
            <v>NBV</v>
          </cell>
        </row>
        <row r="84">
          <cell r="D84" t="str">
            <v>FURN, FIX &amp; FITT - TRADING</v>
          </cell>
          <cell r="E84">
            <v>9366544.5299999993</v>
          </cell>
          <cell r="F84">
            <v>-6008611</v>
          </cell>
          <cell r="G84">
            <v>3357933.5299999993</v>
          </cell>
        </row>
        <row r="85">
          <cell r="D85" t="str">
            <v>OFFICE EQUIP - TRADING</v>
          </cell>
          <cell r="E85">
            <v>895972</v>
          </cell>
          <cell r="F85">
            <v>-540572</v>
          </cell>
          <cell r="G85">
            <v>355400</v>
          </cell>
        </row>
        <row r="86">
          <cell r="D86" t="str">
            <v>RENOVATION - TRADING</v>
          </cell>
          <cell r="E86">
            <v>0</v>
          </cell>
          <cell r="F86">
            <v>0</v>
          </cell>
          <cell r="G86">
            <v>0</v>
          </cell>
        </row>
        <row r="87">
          <cell r="D87" t="str">
            <v>MOTOR VEHCILES - TRADING</v>
          </cell>
          <cell r="E87">
            <v>0</v>
          </cell>
          <cell r="F87">
            <v>0</v>
          </cell>
          <cell r="G87">
            <v>0</v>
          </cell>
        </row>
        <row r="88">
          <cell r="D88" t="str">
            <v>PLANT &amp; MACHINERY - TRADING</v>
          </cell>
          <cell r="E88">
            <v>177228.6</v>
          </cell>
          <cell r="F88">
            <v>-81278</v>
          </cell>
          <cell r="G88">
            <v>95950.6</v>
          </cell>
        </row>
        <row r="89">
          <cell r="D89" t="str">
            <v>MOLD - TRADING</v>
          </cell>
          <cell r="E89">
            <v>0</v>
          </cell>
          <cell r="F89">
            <v>0</v>
          </cell>
          <cell r="G89">
            <v>0</v>
          </cell>
        </row>
        <row r="90">
          <cell r="D90" t="str">
            <v>COMPUTER  &amp; SOFTWARE - TRADING</v>
          </cell>
          <cell r="E90">
            <v>2329285.11</v>
          </cell>
          <cell r="F90">
            <v>-1463988</v>
          </cell>
          <cell r="G90">
            <v>865297.10999999987</v>
          </cell>
        </row>
        <row r="91">
          <cell r="A91" t="str">
            <v>BNA2</v>
          </cell>
          <cell r="D91" t="str">
            <v>TOTAL PROPERTY, PLANT &amp; EQUIPMENT</v>
          </cell>
          <cell r="E91">
            <v>12769030.239999998</v>
          </cell>
          <cell r="F91">
            <v>-8094449</v>
          </cell>
          <cell r="G91">
            <v>4674581.2399999993</v>
          </cell>
        </row>
        <row r="93">
          <cell r="B93">
            <v>8</v>
          </cell>
          <cell r="D93" t="str">
            <v>CONSTRUCTION IN PROGRESS</v>
          </cell>
        </row>
        <row r="94">
          <cell r="D94" t="str">
            <v>CONSTRUCTION IN PROGRESS</v>
          </cell>
          <cell r="E94">
            <v>94551</v>
          </cell>
        </row>
        <row r="95">
          <cell r="A95" t="str">
            <v>BNA3</v>
          </cell>
          <cell r="D95" t="str">
            <v>TOTAL CONSTRUCTION IN PROGRESS</v>
          </cell>
          <cell r="E95">
            <v>94551</v>
          </cell>
        </row>
        <row r="97">
          <cell r="B97">
            <v>11</v>
          </cell>
          <cell r="D97" t="str">
            <v>TRADE PAYABLES</v>
          </cell>
        </row>
        <row r="98">
          <cell r="D98" t="str">
            <v>TRADE CREDITORS PIGEON CORP.</v>
          </cell>
          <cell r="E98">
            <v>177953.1</v>
          </cell>
        </row>
        <row r="99">
          <cell r="D99" t="str">
            <v>TRADE CREDITORS RELATED CORP.</v>
          </cell>
          <cell r="E99">
            <v>26127790.640000001</v>
          </cell>
        </row>
        <row r="100">
          <cell r="D100" t="str">
            <v>TRADE CREDITORS OTHERS</v>
          </cell>
          <cell r="E100">
            <v>4174961.77</v>
          </cell>
        </row>
        <row r="101">
          <cell r="D101" t="str">
            <v>TRADE CREDITORS PIGEON SPORE</v>
          </cell>
          <cell r="E101">
            <v>18574080.800000001</v>
          </cell>
        </row>
        <row r="102">
          <cell r="D102" t="str">
            <v>TRADE CREDITORS PIGEON INDIA</v>
          </cell>
        </row>
        <row r="103">
          <cell r="D103" t="str">
            <v>TRADE CREDITORS PIGEON MALAYSIA</v>
          </cell>
        </row>
        <row r="104">
          <cell r="D104" t="str">
            <v>SUNDRY CREDITORS</v>
          </cell>
          <cell r="E104">
            <v>4923638.9700000007</v>
          </cell>
        </row>
        <row r="105">
          <cell r="D105" t="str">
            <v>OTHER CREDITORS PIGEON SPORE</v>
          </cell>
          <cell r="E105">
            <v>13513.68</v>
          </cell>
        </row>
        <row r="106">
          <cell r="D106" t="str">
            <v>OTHER CREDITORS PIGEON INDIA</v>
          </cell>
        </row>
        <row r="107">
          <cell r="D107" t="str">
            <v>OTHER CREDITORS PIGEON MALAYSIA</v>
          </cell>
        </row>
        <row r="108">
          <cell r="D108" t="str">
            <v>ROYALTY PAYABLE</v>
          </cell>
        </row>
        <row r="109">
          <cell r="D109" t="str">
            <v>CLEARING ACCOUNT AP</v>
          </cell>
          <cell r="E109">
            <v>0</v>
          </cell>
        </row>
        <row r="110">
          <cell r="D110" t="str">
            <v>TOTAL TRADE PAYABLES</v>
          </cell>
          <cell r="E110">
            <v>53991938.960000001</v>
          </cell>
        </row>
        <row r="112">
          <cell r="B112">
            <v>11</v>
          </cell>
          <cell r="D112" t="str">
            <v>OTHER PAYABLES</v>
          </cell>
        </row>
        <row r="113">
          <cell r="D113" t="str">
            <v>INPUT TAX</v>
          </cell>
          <cell r="E113">
            <v>-23426.6</v>
          </cell>
        </row>
        <row r="114">
          <cell r="D114" t="str">
            <v>OUTPUT TAX</v>
          </cell>
          <cell r="E114">
            <v>802286.95</v>
          </cell>
        </row>
        <row r="115">
          <cell r="D115" t="str">
            <v>DIRECTORS' INCOME TAX PAYABLE</v>
          </cell>
          <cell r="E115">
            <v>0</v>
          </cell>
        </row>
        <row r="116">
          <cell r="D116" t="str">
            <v>BONUS PAYABLE</v>
          </cell>
          <cell r="E116">
            <v>1367901.3599999999</v>
          </cell>
        </row>
        <row r="117">
          <cell r="D117" t="str">
            <v>SALARY/ CPF PAYABLE</v>
          </cell>
          <cell r="E117">
            <v>461644.55</v>
          </cell>
        </row>
        <row r="118">
          <cell r="D118" t="str">
            <v>TDS PAYABLE</v>
          </cell>
          <cell r="E118">
            <v>1435345</v>
          </cell>
        </row>
        <row r="119">
          <cell r="D119" t="str">
            <v>PROVISION FOR AUDIT FEES</v>
          </cell>
          <cell r="E119">
            <v>1145367.99</v>
          </cell>
        </row>
        <row r="120">
          <cell r="D120" t="str">
            <v>ACCRUALS</v>
          </cell>
          <cell r="E120">
            <v>0</v>
          </cell>
        </row>
        <row r="121">
          <cell r="D121" t="str">
            <v>Shipment Clearing</v>
          </cell>
          <cell r="E121">
            <v>0</v>
          </cell>
        </row>
        <row r="122">
          <cell r="D122" t="str">
            <v>COMMISSION PAYABLE</v>
          </cell>
          <cell r="E122">
            <v>0</v>
          </cell>
        </row>
        <row r="123">
          <cell r="D123" t="str">
            <v>INTEREST PAYABLE</v>
          </cell>
          <cell r="E123">
            <v>0</v>
          </cell>
        </row>
        <row r="127">
          <cell r="D127" t="str">
            <v>TOTAL OTHER PAYABLES</v>
          </cell>
          <cell r="E127">
            <v>5189119.25</v>
          </cell>
        </row>
        <row r="129">
          <cell r="A129" t="str">
            <v>BCL1</v>
          </cell>
          <cell r="B129">
            <v>11</v>
          </cell>
          <cell r="D129" t="str">
            <v>TOTAL TRADE AND OTHER PAYABLES</v>
          </cell>
          <cell r="E129">
            <v>59181058.210000001</v>
          </cell>
        </row>
        <row r="131">
          <cell r="B131">
            <v>12</v>
          </cell>
          <cell r="D131" t="str">
            <v>CURRENT INCOME TAX LIABILITIES</v>
          </cell>
        </row>
        <row r="132">
          <cell r="D132" t="str">
            <v>PROVISION FOR TAXATION</v>
          </cell>
        </row>
        <row r="133">
          <cell r="A133" t="str">
            <v>BCL2</v>
          </cell>
          <cell r="D133" t="str">
            <v>TOTAL CURRENT INCOME TAX LIABILITIES</v>
          </cell>
          <cell r="E133">
            <v>0</v>
          </cell>
        </row>
        <row r="135">
          <cell r="B135">
            <v>13</v>
          </cell>
          <cell r="D135" t="str">
            <v>SHORT TERM BORROWINGS</v>
          </cell>
        </row>
        <row r="136">
          <cell r="D136" t="str">
            <v>BANK OVERDRAFT</v>
          </cell>
        </row>
        <row r="137">
          <cell r="D137" t="str">
            <v>SHORT TERM LOAN</v>
          </cell>
        </row>
        <row r="138">
          <cell r="D138" t="str">
            <v>SHORT TERM LOAN MITSUBISHI</v>
          </cell>
        </row>
        <row r="139">
          <cell r="A139" t="str">
            <v>BCL3</v>
          </cell>
          <cell r="D139" t="str">
            <v>TOTAL SHORT TERM BORROWINGS</v>
          </cell>
          <cell r="E139">
            <v>0</v>
          </cell>
        </row>
        <row r="141">
          <cell r="B141">
            <v>14</v>
          </cell>
          <cell r="D141" t="str">
            <v>FINANCE LEASE LIABILITIES-CURRENT</v>
          </cell>
        </row>
        <row r="142">
          <cell r="D142" t="str">
            <v>HIRE PURCHASE CREDITORS</v>
          </cell>
        </row>
        <row r="143">
          <cell r="D143" t="str">
            <v>HIRE PURCHASE INT IN SUSPENSE</v>
          </cell>
        </row>
        <row r="144">
          <cell r="A144" t="str">
            <v>BCL4</v>
          </cell>
          <cell r="D144" t="str">
            <v>TOTAL FINANCE LEASE LIABILITIES</v>
          </cell>
          <cell r="E144">
            <v>0</v>
          </cell>
        </row>
        <row r="147">
          <cell r="B147">
            <v>15</v>
          </cell>
          <cell r="D147" t="str">
            <v>PROVISIONS - CURRENT</v>
          </cell>
        </row>
        <row r="148">
          <cell r="E148">
            <v>4452898.18</v>
          </cell>
        </row>
        <row r="149">
          <cell r="A149" t="str">
            <v>BCL5</v>
          </cell>
          <cell r="D149" t="str">
            <v>TOTAL PROVISIONS</v>
          </cell>
          <cell r="E149">
            <v>4452898.18</v>
          </cell>
        </row>
        <row r="151">
          <cell r="B151">
            <v>16</v>
          </cell>
          <cell r="D151" t="str">
            <v>DEFERRED INCOME TAX LIABILITIES</v>
          </cell>
        </row>
        <row r="152">
          <cell r="D152" t="str">
            <v>DEFERRED TAXATION</v>
          </cell>
        </row>
        <row r="153">
          <cell r="A153" t="str">
            <v>BNL1</v>
          </cell>
          <cell r="D153" t="str">
            <v>TOTAL DEFERRED INCOME TAX LIABILITIES</v>
          </cell>
          <cell r="E153">
            <v>0</v>
          </cell>
        </row>
        <row r="155">
          <cell r="B155">
            <v>17</v>
          </cell>
          <cell r="D155" t="str">
            <v>LONG TERM LIABILITIES</v>
          </cell>
        </row>
        <row r="156">
          <cell r="D156" t="str">
            <v>LONG TERM LOANS</v>
          </cell>
        </row>
        <row r="157">
          <cell r="A157" t="str">
            <v>BNL2</v>
          </cell>
          <cell r="D157" t="str">
            <v>TOTAL LONG TERM LIABILITIES</v>
          </cell>
          <cell r="E157">
            <v>0</v>
          </cell>
        </row>
        <row r="159">
          <cell r="B159">
            <v>18</v>
          </cell>
          <cell r="D159" t="str">
            <v>FINANCE LEASE LIABILITIES - NON CURRENT</v>
          </cell>
        </row>
        <row r="160">
          <cell r="D160" t="str">
            <v>LEASE LIABILITIES</v>
          </cell>
          <cell r="E160">
            <v>0</v>
          </cell>
        </row>
        <row r="161">
          <cell r="A161" t="str">
            <v>BNL3</v>
          </cell>
          <cell r="D161" t="str">
            <v>TOTAL FINANCE LEASE LIABILITIES</v>
          </cell>
          <cell r="E161">
            <v>0</v>
          </cell>
        </row>
        <row r="163">
          <cell r="B163">
            <v>19</v>
          </cell>
          <cell r="D163" t="str">
            <v>PROVISIONS - NON-CURRENT</v>
          </cell>
        </row>
        <row r="165">
          <cell r="A165" t="str">
            <v>BNL4</v>
          </cell>
          <cell r="D165" t="str">
            <v>TOTAL PROVISIONS</v>
          </cell>
          <cell r="E165">
            <v>0</v>
          </cell>
        </row>
        <row r="167">
          <cell r="B167">
            <v>20</v>
          </cell>
          <cell r="D167" t="str">
            <v>SHARE CAPITAL</v>
          </cell>
        </row>
        <row r="168">
          <cell r="D168" t="str">
            <v>SHARE CAPITAL</v>
          </cell>
          <cell r="E168">
            <v>500000000</v>
          </cell>
        </row>
        <row r="169">
          <cell r="A169" t="str">
            <v>BEY1</v>
          </cell>
          <cell r="D169" t="str">
            <v>TOTAL SHARE CAPITAL</v>
          </cell>
          <cell r="E169">
            <v>500000000</v>
          </cell>
        </row>
        <row r="171">
          <cell r="B171">
            <v>21</v>
          </cell>
          <cell r="D171" t="str">
            <v>CURRENCY TRANSLATION RESERVES</v>
          </cell>
        </row>
        <row r="172">
          <cell r="E172">
            <v>0</v>
          </cell>
        </row>
        <row r="173">
          <cell r="A173" t="str">
            <v>BEY2</v>
          </cell>
          <cell r="D173" t="str">
            <v>TOTAL CURRENCY TRANSLATION RESERVES</v>
          </cell>
          <cell r="E173">
            <v>0</v>
          </cell>
        </row>
        <row r="175">
          <cell r="B175">
            <v>22</v>
          </cell>
          <cell r="D175" t="str">
            <v>REVALUATION RESERVES</v>
          </cell>
        </row>
        <row r="176">
          <cell r="E176">
            <v>0</v>
          </cell>
        </row>
        <row r="177">
          <cell r="A177" t="str">
            <v>BEY3</v>
          </cell>
          <cell r="D177" t="str">
            <v>TOTAL REVALUATIONS RESERVES</v>
          </cell>
          <cell r="E177">
            <v>0</v>
          </cell>
        </row>
        <row r="180">
          <cell r="B180">
            <v>21</v>
          </cell>
          <cell r="D180" t="str">
            <v>RETAINED PROFITS</v>
          </cell>
        </row>
        <row r="181">
          <cell r="D181" t="str">
            <v>RETAINED EARNINGS</v>
          </cell>
          <cell r="E181">
            <v>-117538102.11000001</v>
          </cell>
        </row>
        <row r="182">
          <cell r="A182" t="str">
            <v>BEY4</v>
          </cell>
          <cell r="D182" t="str">
            <v>RETAINED PROFITS</v>
          </cell>
          <cell r="E182">
            <v>-117538102.11000001</v>
          </cell>
        </row>
        <row r="185">
          <cell r="B185">
            <v>22</v>
          </cell>
          <cell r="D185" t="str">
            <v>PROFIT FOR THE TERM</v>
          </cell>
        </row>
        <row r="186">
          <cell r="D186" t="str">
            <v>PROFIT FOR THE TERM</v>
          </cell>
          <cell r="E186">
            <v>-8426290.4100000001</v>
          </cell>
        </row>
        <row r="187">
          <cell r="A187" t="str">
            <v>BEY5</v>
          </cell>
          <cell r="D187" t="str">
            <v>PROFIT FOR THE TERM</v>
          </cell>
          <cell r="E187">
            <v>-8426290.4100000001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1">
          <cell r="B1" t="str">
            <v>WIP ROTATION RATIO</v>
          </cell>
        </row>
      </sheetData>
      <sheetData sheetId="55"/>
      <sheetData sheetId="5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ly report for 2008"/>
      <sheetName val="Statement of cash flows"/>
      <sheetName val="Payable for fixedassets31.12.07"/>
      <sheetName val="Cashflow 31.01.08"/>
      <sheetName val="Payable for fixedassets31.01.08"/>
      <sheetName val="Cashflow 29.02.08"/>
      <sheetName val="Payable for fixedassets29.02.08"/>
      <sheetName val="Cashflow 31.03.08"/>
      <sheetName val="Payable for fixedassets31.03.08"/>
      <sheetName val="Cashflow 30.04.08"/>
      <sheetName val="Payable for fixedassets30.04.08"/>
      <sheetName val="Cashflow 31.05.08"/>
      <sheetName val="Payable for fixedassets31.05.08"/>
      <sheetName val="Cashflow 30.06.08"/>
      <sheetName val="Payable for fixedassets30.06.08"/>
      <sheetName val="Monthly_report_for_2008"/>
      <sheetName val="Statement_of_cash_flows"/>
      <sheetName val="Payable_for_fixedassets31_12_07"/>
      <sheetName val="Cashflow_31_01_08"/>
      <sheetName val="Payable_for_fixedassets31_01_08"/>
      <sheetName val="Cashflow_29_02_08"/>
      <sheetName val="Payable_for_fixedassets29_02_08"/>
      <sheetName val="Cashflow_31_03_08"/>
      <sheetName val="Payable_for_fixedassets31_03_08"/>
      <sheetName val="Cashflow_30_04_08"/>
      <sheetName val="Payable_for_fixedassets30_04_08"/>
      <sheetName val="Cashflow_31_05_08"/>
      <sheetName val="Payable_for_fixedassets31_05_08"/>
      <sheetName val="Cashflow_30_06_08"/>
      <sheetName val="Payable_for_fixedassets30_06_08"/>
      <sheetName val="Monthly_report_for_20081"/>
      <sheetName val="Statement_of_cash_flows1"/>
      <sheetName val="Payable_for_fixedassets31_12_01"/>
      <sheetName val="Cashflow_31_01_081"/>
      <sheetName val="Payable_for_fixedassets31_01_01"/>
      <sheetName val="Cashflow_29_02_081"/>
      <sheetName val="Payable_for_fixedassets29_02_01"/>
      <sheetName val="Cashflow_31_03_081"/>
      <sheetName val="Payable_for_fixedassets31_03_01"/>
      <sheetName val="Cashflow_30_04_081"/>
      <sheetName val="Payable_for_fixedassets30_04_01"/>
      <sheetName val="Cashflow_31_05_081"/>
      <sheetName val="Payable_for_fixedassets31_05_01"/>
      <sheetName val="Cashflow_30_06_081"/>
      <sheetName val="Payable_for_fixedassets30_06_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Feb-2020"/>
      <sheetName val="Report summary"/>
      <sheetName val="MANPOWER &amp; GWR"/>
      <sheetName val="OEE%"/>
      <sheetName val="PVA"/>
      <sheetName val="Sheet1"/>
      <sheetName val="Prod Summary"/>
      <sheetName val=" DAILY Material Stock"/>
      <sheetName val="Material Yield %"/>
      <sheetName val="Standard Cycle time"/>
      <sheetName val="Rej Trend"/>
      <sheetName val="Mold-Machine details"/>
      <sheetName val="Item Data Support Sheet"/>
      <sheetName val="Std Mold Change over Time"/>
      <sheetName val="Material Yield Trend"/>
    </sheetNames>
    <sheetDataSet>
      <sheetData sheetId="0"/>
      <sheetData sheetId="1"/>
      <sheetData sheetId="2"/>
      <sheetData sheetId="3"/>
      <sheetData sheetId="4">
        <row r="132">
          <cell r="O132">
            <v>3.6964980544747082E-2</v>
          </cell>
        </row>
        <row r="133">
          <cell r="O133">
            <v>3.7217815741305671E-2</v>
          </cell>
        </row>
        <row r="134">
          <cell r="O134">
            <v>3.0728158077798041E-2</v>
          </cell>
        </row>
        <row r="138">
          <cell r="I138">
            <v>2.6673506027186458E-2</v>
          </cell>
        </row>
        <row r="139">
          <cell r="I139">
            <v>2.964462322888109E-2</v>
          </cell>
        </row>
        <row r="140">
          <cell r="I140">
            <v>8.58663918942126E-3</v>
          </cell>
        </row>
        <row r="141">
          <cell r="I141">
            <v>1.1470632192497384E-2</v>
          </cell>
        </row>
        <row r="142">
          <cell r="I142">
            <v>1.4779850175814097E-2</v>
          </cell>
        </row>
        <row r="144">
          <cell r="I144">
            <v>0</v>
          </cell>
        </row>
        <row r="146">
          <cell r="I146">
            <v>1.6275090290975444E-2</v>
          </cell>
        </row>
        <row r="147">
          <cell r="I147">
            <v>1.433650648010093E-5</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 March-2020"/>
      <sheetName val="Report summary"/>
      <sheetName val="MANPOWER &amp; GWR"/>
      <sheetName val="OEE%"/>
      <sheetName val="PVA"/>
      <sheetName val="Prod Summary"/>
      <sheetName val=" DAILY Material Stock"/>
      <sheetName val="Material Yield %"/>
      <sheetName val="Standard Cycle time"/>
      <sheetName val="Rej Trend"/>
      <sheetName val="Mold-Machine details"/>
      <sheetName val="Item Data Support Sheet"/>
      <sheetName val="Std Mold Change over Time"/>
      <sheetName val="Material Yield Trend"/>
    </sheetNames>
    <sheetDataSet>
      <sheetData sheetId="0"/>
      <sheetData sheetId="1"/>
      <sheetData sheetId="2"/>
      <sheetData sheetId="3"/>
      <sheetData sheetId="4"/>
      <sheetData sheetId="5">
        <row r="132">
          <cell r="O132">
            <v>2.4510374248594143E-2</v>
          </cell>
        </row>
        <row r="134">
          <cell r="O134">
            <v>1.3215359310305711E-2</v>
          </cell>
        </row>
        <row r="138">
          <cell r="I138">
            <v>2.1303087488570262E-2</v>
          </cell>
        </row>
        <row r="139">
          <cell r="I139">
            <v>2.5417550371155884E-2</v>
          </cell>
        </row>
        <row r="140">
          <cell r="I140">
            <v>7.3360246559881926E-3</v>
          </cell>
        </row>
        <row r="141">
          <cell r="I141">
            <v>1.1923217859458241E-2</v>
          </cell>
        </row>
        <row r="142">
          <cell r="I142">
            <v>7.968525038844777E-3</v>
          </cell>
        </row>
        <row r="144">
          <cell r="I144">
            <v>1.6299918500407498E-5</v>
          </cell>
        </row>
        <row r="146">
          <cell r="I146">
            <v>5.1686227476512754E-3</v>
          </cell>
        </row>
        <row r="147">
          <cell r="I147">
            <v>5.1516650181338611E-5</v>
          </cell>
        </row>
      </sheetData>
      <sheetData sheetId="6"/>
      <sheetData sheetId="7"/>
      <sheetData sheetId="8"/>
      <sheetData sheetId="9"/>
      <sheetData sheetId="10"/>
      <sheetData sheetId="11"/>
      <sheetData sheetId="12"/>
      <sheetData sheetId="13"/>
      <sheetData sheetId="1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 MaY-2020"/>
      <sheetName val="Report summary"/>
      <sheetName val="MANPOWER &amp; GWR"/>
      <sheetName val="OEE%"/>
      <sheetName val="PVA"/>
      <sheetName val="Prod Summary"/>
      <sheetName val=" DAILY Material Stock"/>
      <sheetName val="Material Yield %"/>
      <sheetName val="Standard Cycle time"/>
      <sheetName val="Rej Trend"/>
      <sheetName val="Mold-Machine details"/>
      <sheetName val="Item Data Support Sheet"/>
      <sheetName val="Std Mold Change over Time"/>
      <sheetName val="Material Yield Trend"/>
    </sheetNames>
    <sheetDataSet>
      <sheetData sheetId="0"/>
      <sheetData sheetId="1"/>
      <sheetData sheetId="2"/>
      <sheetData sheetId="3"/>
      <sheetData sheetId="4"/>
      <sheetData sheetId="5">
        <row r="132">
          <cell r="O132">
            <v>1.59798149705635E-2</v>
          </cell>
        </row>
        <row r="134">
          <cell r="O134">
            <v>3.2108675517134921E-2</v>
          </cell>
        </row>
        <row r="135">
          <cell r="O135">
            <v>3.2108664512634277E-2</v>
          </cell>
        </row>
        <row r="138">
          <cell r="I138">
            <v>1.59798149705635E-2</v>
          </cell>
        </row>
        <row r="139">
          <cell r="I139">
            <v>0</v>
          </cell>
        </row>
        <row r="140">
          <cell r="I140">
            <v>0</v>
          </cell>
        </row>
        <row r="141">
          <cell r="I141">
            <v>7.4280408542246983E-3</v>
          </cell>
        </row>
        <row r="142">
          <cell r="I142">
            <v>9.4786729857819912E-3</v>
          </cell>
        </row>
        <row r="144">
          <cell r="I144">
            <v>0</v>
          </cell>
        </row>
        <row r="146">
          <cell r="I146">
            <v>3.5757429330756222E-3</v>
          </cell>
        </row>
        <row r="147">
          <cell r="I147">
            <v>0</v>
          </cell>
        </row>
      </sheetData>
      <sheetData sheetId="6"/>
      <sheetData sheetId="7"/>
      <sheetData sheetId="8"/>
      <sheetData sheetId="9"/>
      <sheetData sheetId="10"/>
      <sheetData sheetId="11"/>
      <sheetData sheetId="12"/>
      <sheetData sheetId="13"/>
      <sheetData sheetId="1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 June-2020"/>
      <sheetName val="Report summary"/>
      <sheetName val="MANPOWER &amp; GWR"/>
      <sheetName val="OEE%"/>
      <sheetName val="PVA"/>
      <sheetName val="Prod Summary"/>
      <sheetName val=" DAILY Material Stock"/>
      <sheetName val="Material Yield %"/>
      <sheetName val="Standard Cycle time"/>
      <sheetName val="Rej Trend"/>
      <sheetName val="Mold-Machine details"/>
      <sheetName val="Item Data Support Sheet"/>
      <sheetName val="Std Mold Change over Time"/>
      <sheetName val="Material Yield Trend"/>
    </sheetNames>
    <sheetDataSet>
      <sheetData sheetId="0"/>
      <sheetData sheetId="1"/>
      <sheetData sheetId="2"/>
      <sheetData sheetId="3"/>
      <sheetData sheetId="4"/>
      <sheetData sheetId="5">
        <row r="132">
          <cell r="O132">
            <v>2.7449408936084954E-2</v>
          </cell>
        </row>
        <row r="133">
          <cell r="O133">
            <v>5.2741836105976589E-2</v>
          </cell>
        </row>
        <row r="134">
          <cell r="O134">
            <v>2.0399329040636328E-2</v>
          </cell>
        </row>
        <row r="138">
          <cell r="I138">
            <v>2.0605816035713386E-2</v>
          </cell>
        </row>
        <row r="139">
          <cell r="I139">
            <v>2.7085179091254272E-2</v>
          </cell>
        </row>
        <row r="140">
          <cell r="I140">
            <v>9.2866890789867849E-3</v>
          </cell>
        </row>
        <row r="141">
          <cell r="I141">
            <v>1.1956643200357582E-2</v>
          </cell>
        </row>
        <row r="142">
          <cell r="I142">
            <v>1.0507617681218828E-2</v>
          </cell>
        </row>
        <row r="144">
          <cell r="I144">
            <v>2.8424568301868916E-4</v>
          </cell>
        </row>
        <row r="146">
          <cell r="I146">
            <v>8.1043684522632935E-3</v>
          </cell>
        </row>
        <row r="147">
          <cell r="I147">
            <v>1.4013452914798206E-4</v>
          </cell>
        </row>
      </sheetData>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jection Ratio Dec-17"/>
      <sheetName val="Rejection Ratio Nov-17"/>
      <sheetName val="Rejection Ratio Jan-18"/>
      <sheetName val="Rejection Ratio Feb-18"/>
      <sheetName val="Rejection Ratio Mar-18"/>
      <sheetName val="Rejection Ratio Apr-18"/>
      <sheetName val="Rejection Ratio May-18"/>
      <sheetName val="Rejection Ratio Jun-18"/>
      <sheetName val="Rejection Ratio July-18"/>
      <sheetName val="Rejection Ratio Aug-18"/>
      <sheetName val="Last three month data"/>
      <sheetName val="Rej trend"/>
    </sheetNames>
    <sheetDataSet>
      <sheetData sheetId="0"/>
      <sheetData sheetId="1"/>
      <sheetData sheetId="2"/>
      <sheetData sheetId="3"/>
      <sheetData sheetId="4"/>
      <sheetData sheetId="5"/>
      <sheetData sheetId="6"/>
      <sheetData sheetId="7"/>
      <sheetData sheetId="8"/>
      <sheetData sheetId="9"/>
      <sheetData sheetId="10">
        <row r="15">
          <cell r="C15">
            <v>42736</v>
          </cell>
          <cell r="D15">
            <v>42767</v>
          </cell>
        </row>
        <row r="16">
          <cell r="B16" t="str">
            <v>LIM</v>
          </cell>
          <cell r="C16">
            <v>153906</v>
          </cell>
          <cell r="D16">
            <v>305548</v>
          </cell>
        </row>
        <row r="17">
          <cell r="B17" t="str">
            <v>Rej</v>
          </cell>
          <cell r="C17">
            <v>1745</v>
          </cell>
          <cell r="D17">
            <v>2373</v>
          </cell>
        </row>
        <row r="18">
          <cell r="A18" t="str">
            <v>LIM</v>
          </cell>
          <cell r="B18" t="str">
            <v>Rej %</v>
          </cell>
          <cell r="C18">
            <v>1.1338089483191038E-2</v>
          </cell>
          <cell r="D18">
            <v>7.7663738594263418E-3</v>
          </cell>
        </row>
        <row r="19">
          <cell r="B19" t="str">
            <v>Punching</v>
          </cell>
          <cell r="C19">
            <v>183757</v>
          </cell>
          <cell r="D19">
            <v>280201</v>
          </cell>
        </row>
        <row r="20">
          <cell r="B20" t="str">
            <v>Rej</v>
          </cell>
          <cell r="C20">
            <v>375</v>
          </cell>
          <cell r="D20">
            <v>456</v>
          </cell>
        </row>
        <row r="21">
          <cell r="A21" t="str">
            <v>PUNCHING</v>
          </cell>
          <cell r="B21" t="str">
            <v>Rej %</v>
          </cell>
          <cell r="C21">
            <v>2.0407385841083605E-3</v>
          </cell>
          <cell r="D21">
            <v>1.6274031855703585E-3</v>
          </cell>
        </row>
        <row r="22">
          <cell r="B22" t="str">
            <v>Insp</v>
          </cell>
          <cell r="C22">
            <v>246525</v>
          </cell>
          <cell r="D22">
            <v>263548</v>
          </cell>
        </row>
        <row r="23">
          <cell r="B23" t="str">
            <v>Rej</v>
          </cell>
          <cell r="C23">
            <v>3297</v>
          </cell>
          <cell r="D23">
            <v>6969</v>
          </cell>
        </row>
        <row r="24">
          <cell r="A24" t="str">
            <v>INSPECTION</v>
          </cell>
          <cell r="B24" t="str">
            <v>Rej %</v>
          </cell>
          <cell r="C24">
            <v>1.3373897170672345E-2</v>
          </cell>
          <cell r="D24">
            <v>2.6443000895472552E-2</v>
          </cell>
        </row>
        <row r="25">
          <cell r="B25" t="str">
            <v>Wraping</v>
          </cell>
          <cell r="C25">
            <v>95627</v>
          </cell>
          <cell r="D25">
            <v>54530</v>
          </cell>
        </row>
        <row r="26">
          <cell r="B26" t="str">
            <v>Rej</v>
          </cell>
          <cell r="C26">
            <v>10</v>
          </cell>
          <cell r="D26">
            <v>24</v>
          </cell>
        </row>
        <row r="27">
          <cell r="A27" t="str">
            <v>WRAPING</v>
          </cell>
          <cell r="B27" t="str">
            <v>Rej %</v>
          </cell>
          <cell r="C27">
            <v>1.0457297625147709E-4</v>
          </cell>
          <cell r="D27">
            <v>4.4012470199889967E-4</v>
          </cell>
        </row>
        <row r="28">
          <cell r="A28" t="str">
            <v>Nipple Total Rej %</v>
          </cell>
          <cell r="C28">
            <v>2.1399999999999999E-2</v>
          </cell>
          <cell r="D28">
            <v>3.7600000000000001E-2</v>
          </cell>
        </row>
      </sheetData>
      <sheetData sheetId="1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production" refreshedDate="44439.358825347219" createdVersion="5" refreshedVersion="5" minRefreshableVersion="3" recordCount="392">
  <cacheSource type="worksheet">
    <worksheetSource ref="B3:AN864" sheet="Data Sheet Aug-2021"/>
  </cacheSource>
  <cacheFields count="38">
    <cacheField name="DATE" numFmtId="0">
      <sharedItems containsDate="1" containsBlank="1" containsMixedTypes="1" minDate="2020-08-04T00:00:00" maxDate="2021-09-01T00:00:00" count="267">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m/>
        <s v=" "/>
        <d v="2020-10-06T00:00:00" u="1"/>
        <d v="2021-05-19T00:00:00" u="1"/>
        <d v="2020-11-11T00:00:00" u="1"/>
        <d v="2021-01-11T00:00:00" u="1"/>
        <d v="2021-03-02T00:00:00" u="1"/>
        <d v="2021-06-24T00:00:00" u="1"/>
        <d v="2020-12-16T00:00:00" u="1"/>
        <d v="2021-02-16T00:00:00" u="1"/>
        <d v="2021-04-07T00:00:00" u="1"/>
        <d v="2021-07-29T00:00:00" u="1"/>
        <d v="2020-11-30T00:00:00" u="1"/>
        <d v="2021-01-30T00:00:00" u="1"/>
        <d v="2021-05-12T00:00:00" u="1"/>
        <d v="2021-07-03T00:00:00" u="1"/>
        <d v="2020-11-04T00:00:00" u="1"/>
        <d v="2021-01-04T00:00:00" u="1"/>
        <d v="2021-04-26T00:00:00" u="1"/>
        <d v="2021-06-17T00:00:00" u="1"/>
        <d v="2020-08-27T00:00:00" u="1"/>
        <d v="2020-12-09T00:00:00" u="1"/>
        <d v="2021-02-09T00:00:00" u="1"/>
        <d v="2021-05-31T00:00:00" u="1"/>
        <d v="2021-07-22T00:00:00" u="1"/>
        <d v="2020-11-23T00:00:00" u="1"/>
        <d v="2021-01-23T00:00:00" u="1"/>
        <d v="2021-05-05T00:00:00" u="1"/>
        <d v="2020-12-28T00:00:00" u="1"/>
        <d v="2021-06-10T00:00:00" u="1"/>
        <d v="2020-08-20T00:00:00" u="1"/>
        <d v="2020-12-02T00:00:00" u="1"/>
        <d v="2021-02-02T00:00:00" u="1"/>
        <d v="2021-05-24T00:00:00" u="1"/>
        <d v="2021-07-15T00:00:00" u="1"/>
        <d v="2021-01-16T00:00:00" u="1"/>
        <d v="2020-10-30T00:00:00" u="1"/>
        <d v="2020-12-21T00:00:00" u="1"/>
        <d v="2021-04-12T00:00:00" u="1"/>
        <d v="2021-06-03T00:00:00" u="1"/>
        <d v="2020-08-13T00:00:00" u="1"/>
        <d v="2021-03-26T00:00:00" u="1"/>
        <d v="2021-05-17T00:00:00" u="1"/>
        <d v="2021-07-08T00:00:00" u="1"/>
        <d v="2020-11-09T00:00:00" u="1"/>
        <d v="2021-01-09T00:00:00" u="1"/>
        <d v="2021-06-22T00:00:00" u="1"/>
        <d v="2020-10-23T00:00:00" u="1"/>
        <d v="2020-12-14T00:00:00" u="1"/>
        <d v="2021-04-05T00:00:00" u="1"/>
        <d v="2021-07-27T00:00:00" u="1"/>
        <d v="2020-08-06T00:00:00" u="1"/>
        <d v="2020-11-28T00:00:00" u="1"/>
        <d v="2021-01-28T00:00:00" u="1"/>
        <d v="2021-03-19T00:00:00" u="1"/>
        <d v="2021-05-10T00:00:00" u="1"/>
        <d v="2021-07-01T00:00:00" u="1"/>
        <d v="2020-11-02T00:00:00" u="1"/>
        <d v="2021-04-24T00:00:00" u="1"/>
        <d v="2021-06-15T00:00:00" u="1"/>
        <d v="2020-08-25T00:00:00" u="1"/>
        <d v="2020-10-16T00:00:00" u="1"/>
        <d v="2020-12-07T00:00:00" u="1"/>
        <d v="2021-05-29T00:00:00" u="1"/>
        <d v="2021-07-20T00:00:00" u="1"/>
        <d v="2020-11-21T00:00:00" u="1"/>
        <d v="2021-01-21T00:00:00" u="1"/>
        <d v="2020-12-26T00:00:00" u="1"/>
        <d v="2021-02-26T00:00:00" u="1"/>
        <d v="2021-06-08T00:00:00" u="1"/>
        <d v="2020-08-18T00:00:00" u="1"/>
        <d v="2020-10-09T00:00:00" u="1"/>
        <d v="2021-05-22T00:00:00" u="1"/>
        <d v="2021-07-13T00:00:00" u="1"/>
        <d v="2021-01-14T00:00:00" u="1"/>
        <d v="2021-03-05T00:00:00" u="1"/>
        <d v="2020-10-28T00:00:00" u="1"/>
        <d v="2020-12-19T00:00:00" u="1"/>
        <d v="2021-02-19T00:00:00" u="1"/>
        <d v="2021-06-01T00:00:00" u="1"/>
        <d v="2020-08-11T00:00:00" u="1"/>
        <d v="2021-03-24T00:00:00" u="1"/>
        <d v="2021-07-06T00:00:00" u="1"/>
        <d v="2020-11-07T00:00:00" u="1"/>
        <d v="2021-01-07T00:00:00" u="1"/>
        <d v="2020-10-21T00:00:00" u="1"/>
        <d v="2021-02-12T00:00:00" u="1"/>
        <d v="2021-04-03T00:00:00" u="1"/>
        <d v="2020-08-04T00:00:00" u="1"/>
        <d v="2020-11-26T00:00:00" u="1"/>
        <d v="2021-03-17T00:00:00" u="1"/>
        <d v="2021-05-08T00:00:00" u="1"/>
        <d v="2021-04-22T00:00:00" u="1"/>
        <d v="2020-10-14T00:00:00" u="1"/>
        <d v="2020-12-05T00:00:00" u="1"/>
        <d v="2021-02-05T00:00:00" u="1"/>
        <d v="2021-05-27T00:00:00" u="1"/>
        <d v="2020-11-19T00:00:00" u="1"/>
        <d v="2021-01-19T00:00:00" u="1"/>
        <d v="2021-03-10T00:00:00" u="1"/>
        <d v="2020-09-02T00:00:00" u="1"/>
        <d v="2020-12-24T00:00:00" u="1"/>
        <d v="2021-02-24T00:00:00" u="1"/>
        <d v="2021-04-15T00:00:00" u="1"/>
        <d v="2020-10-07T00:00:00" u="1"/>
        <d v="2021-05-20T00:00:00" u="1"/>
        <d v="2020-11-12T00:00:00" u="1"/>
        <d v="2021-01-12T00:00:00" u="1"/>
        <d v="2021-03-03T00:00:00" u="1"/>
        <d v="2021-06-25T00:00:00" u="1"/>
        <d v="2020-10-26T00:00:00" u="1"/>
        <d v="2020-12-17T00:00:00" u="1"/>
        <d v="2021-02-17T00:00:00" u="1"/>
        <d v="2021-04-08T00:00:00" u="1"/>
        <d v="2021-07-30T00:00:00" u="1"/>
        <d v="2021-03-22T00:00:00" u="1"/>
        <d v="2021-05-13T00:00:00" u="1"/>
        <d v="2020-11-05T00:00:00" u="1"/>
        <d v="2021-01-05T00:00:00" u="1"/>
        <d v="2021-04-27T00:00:00" u="1"/>
        <d v="2021-06-18T00:00:00" u="1"/>
        <d v="2020-08-28T00:00:00" u="1"/>
        <d v="2020-10-19T00:00:00" u="1"/>
        <d v="2020-12-10T00:00:00" u="1"/>
        <d v="2021-02-10T00:00:00" u="1"/>
        <d v="2021-04-01T00:00:00" u="1"/>
        <d v="2021-07-23T00:00:00" u="1"/>
        <d v="2020-11-24T00:00:00" u="1"/>
        <d v="2021-03-15T00:00:00" u="1"/>
        <d v="2021-05-06T00:00:00" u="1"/>
        <d v="2020-12-29T00:00:00" u="1"/>
        <d v="2021-04-20T00:00:00" u="1"/>
        <d v="2021-06-11T00:00:00" u="1"/>
        <d v="2020-08-21T00:00:00" u="1"/>
        <d v="2020-10-12T00:00:00" u="1"/>
        <d v="2020-12-03T00:00:00" u="1"/>
        <d v="2021-02-03T00:00:00" u="1"/>
        <d v="2021-05-25T00:00:00" u="1"/>
        <d v="2021-07-16T00:00:00" u="1"/>
        <d v="2021-03-08T00:00:00" u="1"/>
        <d v="2020-10-31T00:00:00" u="1"/>
        <d v="2020-12-22T00:00:00" u="1"/>
        <d v="2021-02-22T00:00:00" u="1"/>
        <d v="2021-04-13T00:00:00" u="1"/>
        <d v="2021-06-04T00:00:00" u="1"/>
        <d v="2020-08-14T00:00:00" u="1"/>
        <d v="2020-10-05T00:00:00" u="1"/>
        <d v="2021-03-27T00:00:00" u="1"/>
        <d v="2021-05-18T00:00:00" u="1"/>
        <d v="2021-07-09T00:00:00" u="1"/>
        <d v="2020-11-10T00:00:00" u="1"/>
        <d v="2021-06-23T00:00:00" u="1"/>
        <d v="2020-10-24T00:00:00" u="1"/>
        <d v="2020-12-15T00:00:00" u="1"/>
        <d v="2021-02-15T00:00:00" u="1"/>
        <d v="2021-04-06T00:00:00" u="1"/>
        <d v="2021-07-28T00:00:00" u="1"/>
        <d v="2020-08-07T00:00:00" u="1"/>
        <d v="2021-01-29T00:00:00" u="1"/>
        <d v="2021-03-20T00:00:00" u="1"/>
        <d v="2021-05-11T00:00:00" u="1"/>
        <d v="2021-07-02T00:00:00" u="1"/>
        <d v="2020-11-03T00:00:00" u="1"/>
        <d v="2021-06-16T00:00:00" u="1"/>
        <d v="2020-08-26T00:00:00" u="1"/>
        <d v="2020-12-08T00:00:00" u="1"/>
        <d v="2021-02-08T00:00:00" u="1"/>
        <d v="2021-07-21T00:00:00" u="1"/>
        <d v="2021-01-22T00:00:00" u="1"/>
        <d v="2021-02-27T00:00:00" u="1"/>
        <d v="2021-06-09T00:00:00" u="1"/>
        <d v="2020-08-19T00:00:00" u="1"/>
        <d v="2021-07-14T00:00:00" u="1"/>
        <d v="2021-01-15T00:00:00" u="1"/>
        <d v="2021-03-06T00:00:00" u="1"/>
        <d v="2021-06-28T00:00:00" u="1"/>
        <d v="2020-10-29T00:00:00" u="1"/>
        <d v="2021-02-20T00:00:00" u="1"/>
        <d v="2021-06-02T00:00:00" u="1"/>
        <s v="02.Dec.2020" u="1"/>
        <d v="2021-03-25T00:00:00" u="1"/>
        <d v="2021-07-07T00:00:00" u="1"/>
        <d v="2021-01-08T00:00:00" u="1"/>
        <d v="2021-06-21T00:00:00" u="1"/>
        <d v="2020-08-31T00:00:00" u="1"/>
        <d v="2020-10-22T00:00:00" u="1"/>
        <d v="2021-07-26T00:00:00" u="1"/>
        <d v="2020-08-05T00:00:00" u="1"/>
        <d v="2020-11-27T00:00:00" u="1"/>
        <d v="2021-01-27T00:00:00" u="1"/>
        <d v="2021-03-18T00:00:00" u="1"/>
        <d v="2021-04-23T00:00:00" u="1"/>
        <d v="2021-06-14T00:00:00" u="1"/>
        <d v="2020-08-24T00:00:00" u="1"/>
        <d v="2020-10-15T00:00:00" u="1"/>
        <d v="2021-02-06T00:00:00" u="1"/>
        <d v="2021-05-28T00:00:00" u="1"/>
        <d v="2021-07-19T00:00:00" u="1"/>
        <d v="2020-11-20T00:00:00" u="1"/>
        <d v="2021-01-20T00:00:00" u="1"/>
        <d v="2021-03-11T00:00:00" u="1"/>
        <d v="2021-02-25T00:00:00" u="1"/>
        <d v="2021-04-16T00:00:00" u="1"/>
        <d v="2021-06-07T00:00:00" u="1"/>
        <d v="2020-08-17T00:00:00" u="1"/>
        <d v="2020-10-08T00:00:00" u="1"/>
        <d v="2021-03-30T00:00:00" u="1"/>
        <d v="2021-05-21T00:00:00" u="1"/>
        <d v="2021-07-12T00:00:00" u="1"/>
        <d v="2021-01-13T00:00:00" u="1"/>
        <d v="2021-03-04T00:00:00" u="1"/>
        <d v="2021-06-26T00:00:00" u="1"/>
        <d v="2020-10-27T00:00:00" u="1"/>
        <d v="2020-12-18T00:00:00" u="1"/>
        <d v="2021-02-18T00:00:00" u="1"/>
        <d v="2021-04-09T00:00:00" u="1"/>
        <d v="2020-08-10T00:00:00" u="1"/>
        <d v="2020-10-01T00:00:00" u="1"/>
        <d v="2021-03-23T00:00:00" u="1"/>
        <d v="2021-07-05T00:00:00" u="1"/>
        <d v="2020-11-06T00:00:00" u="1"/>
        <d v="2021-01-06T00:00:00" u="1"/>
        <d v="2020-08-29T00:00:00" u="1"/>
        <d v="2020-10-20T00:00:00" u="1"/>
        <d v="2020-12-11T00:00:00" u="1"/>
        <d v="2021-02-11T00:00:00" u="1"/>
        <d v="2021-04-02T00:00:00" u="1"/>
        <d v="2021-07-24T00:00:00" u="1"/>
        <d v="2020-11-25T00:00:00" u="1"/>
        <d v="2021-03-16T00:00:00" u="1"/>
        <d v="2021-05-07T00:00:00" u="1"/>
        <d v="2020-12-30T00:00:00" u="1"/>
        <d v="2021-04-21T00:00:00" u="1"/>
        <d v="2020-08-22T00:00:00" u="1"/>
        <d v="2020-10-13T00:00:00" u="1"/>
        <d v="2020-12-04T00:00:00" u="1"/>
        <d v="2021-02-04T00:00:00" u="1"/>
        <d v="2021-05-26T00:00:00" u="1"/>
        <d v="2020-11-18T00:00:00" u="1"/>
        <d v="2021-01-18T00:00:00" u="1"/>
        <d v="2021-03-09T00:00:00" u="1"/>
        <d v="2020-12-23T00:00:00" u="1"/>
        <d v="2021-02-23T00:00:00" u="1"/>
        <d v="2021-04-14T00:00:00" u="1"/>
        <d v="2021-06-05T00:00:00" u="1"/>
      </sharedItems>
    </cacheField>
    <cacheField name="Shift" numFmtId="0">
      <sharedItems containsBlank="1"/>
    </cacheField>
    <cacheField name="Section" numFmtId="0">
      <sharedItems containsBlank="1" count="16">
        <s v="NIPPLE MOLDED"/>
        <s v="BOTTLE MOLDED"/>
        <s v="NIPPLE POSTCURE"/>
        <s v="NIPPLE PUNCH"/>
        <s v="NIPPLE PUNCH INSPECTED"/>
        <s v="CAP MOLDED"/>
        <s v="BOTTLE PRINTED"/>
        <s v="NIPPLE WRAP PRINTED"/>
        <s v="NIPPLE LASER MARKING"/>
        <s v="HOOD MOLDED"/>
        <s v=""/>
        <m/>
        <s v="NIPPLE WRAP DOMESTIC" u="1"/>
        <s v="HOOD MOULDED" u="1"/>
        <s v="NIPPLE MOULED" u="1"/>
        <s v="NIPPLE MOULDED" u="1"/>
      </sharedItems>
    </cacheField>
    <cacheField name="Item Code" numFmtId="0">
      <sharedItems containsBlank="1"/>
    </cacheField>
    <cacheField name="Mold No" numFmtId="0">
      <sharedItems containsBlank="1"/>
    </cacheField>
    <cacheField name="M/c No" numFmtId="0">
      <sharedItems containsBlank="1"/>
    </cacheField>
    <cacheField name="SKU" numFmtId="0">
      <sharedItems containsBlank="1"/>
    </cacheField>
    <cacheField name="Lot No." numFmtId="0">
      <sharedItems containsBlank="1"/>
    </cacheField>
    <cacheField name="Plan Hrs" numFmtId="0">
      <sharedItems containsString="0" containsBlank="1" containsNumber="1" minValue="0.1" maxValue="8.5"/>
    </cacheField>
    <cacheField name="Plan Qty" numFmtId="188">
      <sharedItems containsString="0" containsBlank="1" containsNumber="1" minValue="7" maxValue="16132"/>
    </cacheField>
    <cacheField name="Plan Qty per Hr" numFmtId="0">
      <sharedItems containsString="0" containsBlank="1" containsNumber="1" minValue="0" maxValue="2016.5"/>
    </cacheField>
    <cacheField name="Total Produced Qty." numFmtId="0">
      <sharedItems containsString="0" containsBlank="1" containsNumber="1" containsInteger="1" minValue="0" maxValue="18229"/>
    </cacheField>
    <cacheField name="Total Good Pc's" numFmtId="0">
      <sharedItems containsString="0" containsBlank="1" containsNumber="1" containsInteger="1" minValue="7" maxValue="18229"/>
    </cacheField>
    <cacheField name="Purge Material (in KG.)" numFmtId="0">
      <sharedItems containsString="0" containsBlank="1" containsNumber="1" minValue="0" maxValue="64.88"/>
    </cacheField>
    <cacheField name="Setup Qty." numFmtId="0">
      <sharedItems containsString="0" containsBlank="1" containsNumber="1" containsInteger="1" minValue="0" maxValue="2137"/>
    </cacheField>
    <cacheField name="Rework Qty." numFmtId="0">
      <sharedItems containsString="0" containsBlank="1" containsNumber="1" containsInteger="1" minValue="0" maxValue="232"/>
    </cacheField>
    <cacheField name="Hold Qty." numFmtId="0">
      <sharedItems containsString="0" containsBlank="1" containsNumber="1" containsInteger="1" minValue="0" maxValue="0"/>
    </cacheField>
    <cacheField name="Line rej Qty." numFmtId="0">
      <sharedItems containsString="0" containsBlank="1" containsNumber="1" containsInteger="1" minValue="0" maxValue="244"/>
    </cacheField>
    <cacheField name="QC Sample Qty." numFmtId="0">
      <sharedItems containsString="0" containsBlank="1" containsNumber="1" containsInteger="1" minValue="0" maxValue="33"/>
    </cacheField>
    <cacheField name="Man Power" numFmtId="0">
      <sharedItems containsString="0" containsBlank="1" containsNumber="1" containsInteger="1" minValue="1" maxValue="6"/>
    </cacheField>
    <cacheField name="P.P. Output " numFmtId="0">
      <sharedItems containsString="0" containsBlank="1" containsNumber="1" minValue="0" maxValue="18229"/>
    </cacheField>
    <cacheField name="Plan vs Actual Achievement %" numFmtId="0">
      <sharedItems containsBlank="1" containsMixedTypes="1" containsNumber="1" minValue="0.22833333333333333" maxValue="3.4"/>
    </cacheField>
    <cacheField name="Material Type Consumed" numFmtId="0">
      <sharedItems containsBlank="1" containsMixedTypes="1" containsNumber="1" containsInteger="1" minValue="0" maxValue="0"/>
    </cacheField>
    <cacheField name="Prod. Wt./Piece (in gm)" numFmtId="0">
      <sharedItems containsString="0" containsBlank="1" containsNumber="1" minValue="0" maxValue="33.130000000000003"/>
    </cacheField>
    <cacheField name="Total Mtl. Consump. (KG)" numFmtId="0">
      <sharedItems containsString="0" containsBlank="1" containsNumber="1" minValue="0" maxValue="107.63870000000001"/>
    </cacheField>
    <cacheField name="Material Yield %" numFmtId="0">
      <sharedItems containsBlank="1" containsMixedTypes="1" containsNumber="1" minValue="0.33240974754871139" maxValue="1"/>
    </cacheField>
    <cacheField name="% Rej." numFmtId="0">
      <sharedItems containsString="0" containsBlank="1" containsNumber="1" minValue="0" maxValue="8.4670724958494745E-2"/>
    </cacheField>
    <cacheField name="% Setup rej " numFmtId="0">
      <sharedItems containsString="0" containsBlank="1" containsNumber="1" minValue="0" maxValue="0.25052192066805845"/>
    </cacheField>
    <cacheField name="Quality Ratio" numFmtId="0">
      <sharedItems containsBlank="1" containsMixedTypes="1" containsNumber="1" minValue="0.90196078431372551" maxValue="1"/>
    </cacheField>
    <cacheField name="Break down Hrs" numFmtId="0">
      <sharedItems containsString="0" containsBlank="1" containsNumber="1" minValue="0" maxValue="5.2527777777777782"/>
    </cacheField>
    <cacheField name="Total Running Hrs" numFmtId="0">
      <sharedItems containsString="0" containsBlank="1" containsNumber="1" minValue="0" maxValue="8.5"/>
    </cacheField>
    <cacheField name="Machine Availability" numFmtId="0">
      <sharedItems containsBlank="1" containsMixedTypes="1" containsNumber="1" minValue="0.15277777777777779" maxValue="1"/>
    </cacheField>
    <cacheField name="Actual output per hr" numFmtId="0">
      <sharedItems containsString="0" containsBlank="1" containsNumber="1" minValue="0" maxValue="2271.5"/>
    </cacheField>
    <cacheField name="Standard Cycle Time/Piece (In sec.)" numFmtId="0">
      <sharedItems containsBlank="1" containsMixedTypes="1" containsNumber="1" minValue="2.2999999999999998" maxValue="32.4"/>
    </cacheField>
    <cacheField name="Actual Cycle Time per Piece _x000a_(in sec.)" numFmtId="0">
      <sharedItems containsBlank="1" containsMixedTypes="1" containsNumber="1" minValue="1.5113281035712327" maxValue="63.940298507462686"/>
    </cacheField>
    <cacheField name="Effieciency" numFmtId="0">
      <sharedItems containsBlank="1" containsMixedTypes="1" containsNumber="1" minValue="0.22916666666666666" maxValue="4.59"/>
    </cacheField>
    <cacheField name="OEE" numFmtId="0">
      <sharedItems containsBlank="1" containsMixedTypes="1" containsNumber="1" minValue="0.12065785714285715" maxValue="4.59"/>
    </cacheField>
    <cacheField name="ERP ENTRY NO" numFmtId="0">
      <sharedItems containsBlank="1" containsMixedTypes="1" containsNumber="1" containsInteger="1" minValue="2180" maxValue="2288229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aiq Ahmad" refreshedDate="44536.468672685187" createdVersion="7" refreshedVersion="6" minRefreshableVersion="3" recordCount="350">
  <cacheSource type="worksheet">
    <worksheetSource ref="B3:BS353" sheet="Data Sheet Aug-2021"/>
  </cacheSource>
  <cacheFields count="70">
    <cacheField name="DATE" numFmtId="0">
      <sharedItems containsSemiMixedTypes="0" containsNonDate="0" containsDate="1" containsString="0" minDate="2021-08-02T00:00:00" maxDate="2021-09-01T00:00:00"/>
    </cacheField>
    <cacheField name="Shift" numFmtId="0">
      <sharedItems/>
    </cacheField>
    <cacheField name="Section" numFmtId="0">
      <sharedItems count="10">
        <s v="NIPPLE MOLDED"/>
        <s v="BOTTLE MOLDED"/>
        <s v="NIPPLE POSTCURE"/>
        <s v="NIPPLE PUNCH"/>
        <s v="NIPPLE PUNCH INSPECTED"/>
        <s v="CAP MOLDED"/>
        <s v="BOTTLE PRINTED"/>
        <s v="NIPPLE WRAP PRINTED"/>
        <s v="NIPPLE LASER MARKING"/>
        <s v="HOOD MOLDED"/>
      </sharedItems>
    </cacheField>
    <cacheField name="Item Code" numFmtId="0">
      <sharedItems/>
    </cacheField>
    <cacheField name="Mold No" numFmtId="0">
      <sharedItems containsBlank="1"/>
    </cacheField>
    <cacheField name="M/c No" numFmtId="0">
      <sharedItems containsBlank="1"/>
    </cacheField>
    <cacheField name="SKU" numFmtId="0">
      <sharedItems/>
    </cacheField>
    <cacheField name="Lot No." numFmtId="0">
      <sharedItems containsBlank="1"/>
    </cacheField>
    <cacheField name="Shift Incharge" numFmtId="0">
      <sharedItems containsBlank="1"/>
    </cacheField>
    <cacheField name="Plan Hrs" numFmtId="187">
      <sharedItems containsSemiMixedTypes="0" containsString="0" containsNumber="1" minValue="0.5" maxValue="10.5"/>
    </cacheField>
    <cacheField name="Plan Qty" numFmtId="188">
      <sharedItems containsSemiMixedTypes="0" containsString="0" containsNumber="1" minValue="210" maxValue="16132"/>
    </cacheField>
    <cacheField name="Plan Qty per Hr" numFmtId="1">
      <sharedItems containsSemiMixedTypes="0" containsString="0" containsNumber="1" minValue="200" maxValue="2068.5"/>
    </cacheField>
    <cacheField name="Total Produced Qty." numFmtId="0">
      <sharedItems containsSemiMixedTypes="0" containsString="0" containsNumber="1" containsInteger="1" minValue="7" maxValue="18229"/>
    </cacheField>
    <cacheField name="Total Good Pc's" numFmtId="0">
      <sharedItems containsSemiMixedTypes="0" containsString="0" containsNumber="1" containsInteger="1" minValue="7" maxValue="18229"/>
    </cacheField>
    <cacheField name="Purge Material (in KG.)" numFmtId="0">
      <sharedItems containsSemiMixedTypes="0" containsString="0" containsNumber="1" minValue="0" maxValue="64.88"/>
    </cacheField>
    <cacheField name="Setup Qty." numFmtId="0">
      <sharedItems containsSemiMixedTypes="0" containsString="0" containsNumber="1" containsInteger="1" minValue="0" maxValue="2137"/>
    </cacheField>
    <cacheField name="Rework Qty." numFmtId="0">
      <sharedItems containsSemiMixedTypes="0" containsString="0" containsNumber="1" containsInteger="1" minValue="0" maxValue="232"/>
    </cacheField>
    <cacheField name="Hold Qty." numFmtId="0">
      <sharedItems containsString="0" containsBlank="1" containsNumber="1" containsInteger="1" minValue="0" maxValue="0"/>
    </cacheField>
    <cacheField name="Line rej Qty." numFmtId="0">
      <sharedItems containsSemiMixedTypes="0" containsString="0" containsNumber="1" containsInteger="1" minValue="0" maxValue="244"/>
    </cacheField>
    <cacheField name="QC Sample Qty." numFmtId="0">
      <sharedItems containsSemiMixedTypes="0" containsString="0" containsNumber="1" containsInteger="1" minValue="0" maxValue="33"/>
    </cacheField>
    <cacheField name="Man Power" numFmtId="0">
      <sharedItems containsSemiMixedTypes="0" containsString="0" containsNumber="1" containsInteger="1" minValue="1" maxValue="6"/>
    </cacheField>
    <cacheField name="P.P. Output " numFmtId="189">
      <sharedItems containsSemiMixedTypes="0" containsString="0" containsNumber="1" minValue="7" maxValue="18229"/>
    </cacheField>
    <cacheField name="Plan vs Actual Achievement %" numFmtId="9">
      <sharedItems containsSemiMixedTypes="0" containsString="0" containsNumber="1" minValue="3.3333333333333333E-2" maxValue="3.4"/>
    </cacheField>
    <cacheField name="Material Type Consumed" numFmtId="166">
      <sharedItems/>
    </cacheField>
    <cacheField name="Prod. Wt./Piece (in gm)" numFmtId="186">
      <sharedItems containsSemiMixedTypes="0" containsString="0" containsNumber="1" minValue="0" maxValue="33.130000000000003"/>
    </cacheField>
    <cacheField name="Total Mtl. Consump. (KG)" numFmtId="186">
      <sharedItems containsSemiMixedTypes="0" containsString="0" containsNumber="1" minValue="0" maxValue="107.63870000000001"/>
    </cacheField>
    <cacheField name="Material Yield %" numFmtId="0">
      <sharedItems containsMixedTypes="1" containsNumber="1" minValue="0.33240974754871139" maxValue="1"/>
    </cacheField>
    <cacheField name="% Rej." numFmtId="185">
      <sharedItems containsSemiMixedTypes="0" containsString="0" containsNumber="1" minValue="0" maxValue="8.4670724958494745E-2"/>
    </cacheField>
    <cacheField name="% Setup rej " numFmtId="185">
      <sharedItems containsSemiMixedTypes="0" containsString="0" containsNumber="1" minValue="0" maxValue="0.25052192066805845"/>
    </cacheField>
    <cacheField name="Quality Ratio" numFmtId="9">
      <sharedItems containsSemiMixedTypes="0" containsString="0" containsNumber="1" minValue="0.31372549019607843" maxValue="1"/>
    </cacheField>
    <cacheField name="Break down Hrs" numFmtId="2">
      <sharedItems containsSemiMixedTypes="0" containsString="0" containsNumber="1" minValue="0" maxValue="5.2527777777777782"/>
    </cacheField>
    <cacheField name="Total Running Hrs" numFmtId="2">
      <sharedItems containsSemiMixedTypes="0" containsString="0" containsNumber="1" minValue="7.6388888888888895E-2" maxValue="10.5"/>
    </cacheField>
    <cacheField name="Machine Availability" numFmtId="9">
      <sharedItems containsSemiMixedTypes="0" containsString="0" containsNumber="1" minValue="0.15277777777777779" maxValue="1"/>
    </cacheField>
    <cacheField name="Actual output per hr" numFmtId="1">
      <sharedItems containsSemiMixedTypes="0" containsString="0" containsNumber="1" minValue="14" maxValue="2271.5"/>
    </cacheField>
    <cacheField name="Standard Cycle Time/Piece (In sec.)" numFmtId="187">
      <sharedItems containsSemiMixedTypes="0" containsString="0" containsNumber="1" minValue="2.2999999999999998" maxValue="32.4"/>
    </cacheField>
    <cacheField name="Actual Cycle Time per Piece _x000a_(in sec.)" numFmtId="187">
      <sharedItems containsSemiMixedTypes="0" containsString="0" containsNumber="1" minValue="1.5848558221439577" maxValue="44.619105199516326"/>
    </cacheField>
    <cacheField name="Effieciency" numFmtId="9">
      <sharedItems containsSemiMixedTypes="0" containsString="0" containsNumber="1" minValue="0.51828493647912877" maxValue="2.5238888888888891"/>
    </cacheField>
    <cacheField name="OEE" numFmtId="9">
      <sharedItems containsSemiMixedTypes="0" containsString="0" containsNumber="1" minValue="0.12065785714285715" maxValue="2.5194308464406876"/>
    </cacheField>
    <cacheField name="ERP ENTRY NO" numFmtId="0">
      <sharedItems containsMixedTypes="1" containsNumber="1" containsInteger="1" minValue="2180" maxValue="22882290"/>
    </cacheField>
    <cacheField name="Production Remark" numFmtId="0">
      <sharedItems containsBlank="1"/>
    </cacheField>
    <cacheField name="Lunch Tea break" numFmtId="166">
      <sharedItems containsString="0" containsBlank="1" containsNumber="1" containsInteger="1" minValue="0" maxValue="50"/>
    </cacheField>
    <cacheField name="SKU change" numFmtId="166">
      <sharedItems containsString="0" containsBlank="1" containsNumber="1" containsInteger="1" minValue="0" maxValue="140"/>
    </cacheField>
    <cacheField name="Heat Test" numFmtId="166">
      <sharedItems containsString="0" containsBlank="1" containsNumber="1" containsInteger="1" minValue="0" maxValue="190"/>
    </cacheField>
    <cacheField name="MATERIAL SHORT/MATERIAL RECHECKING" numFmtId="166">
      <sharedItems containsString="0" containsBlank="1" containsNumber="1" containsInteger="1" minValue="0" maxValue="200"/>
    </cacheField>
    <cacheField name="MP SHORT/NEW MP" numFmtId="166">
      <sharedItems containsString="0" containsBlank="1" containsNumber="1" containsInteger="1" minValue="0" maxValue="120"/>
    </cacheField>
    <cacheField name="MIDDLE PLATE AND BACK PLATE CLEANING" numFmtId="166">
      <sharedItems containsString="0" containsBlank="1" containsNumber="1" containsInteger="1" minValue="0" maxValue="120"/>
    </cacheField>
    <cacheField name="PROCESS SET UP" numFmtId="166">
      <sharedItems containsString="0" containsBlank="1" containsNumber="1" containsInteger="1" minValue="0" maxValue="150"/>
    </cacheField>
    <cacheField name="Process optimization" numFmtId="166">
      <sharedItems containsString="0" containsBlank="1" containsNumber="1" containsInteger="1" minValue="0" maxValue="70"/>
    </cacheField>
    <cacheField name="Drum change" numFmtId="166">
      <sharedItems containsString="0" containsBlank="1" containsNumber="1" containsInteger="1" minValue="0" maxValue="50"/>
    </cacheField>
    <cacheField name="Dust Problem" numFmtId="166">
      <sharedItems containsString="0" containsBlank="1" containsNumber="1" containsInteger="1" minValue="0" maxValue="0"/>
    </cacheField>
    <cacheField name="Mold &amp; Filter cleaning " numFmtId="166">
      <sharedItems containsString="0" containsBlank="1" containsNumber="1" containsInteger="1" minValue="0" maxValue="45"/>
    </cacheField>
    <cacheField name="Trial" numFmtId="166">
      <sharedItems containsString="0" containsBlank="1" containsNumber="1" containsInteger="1" minValue="0" maxValue="30"/>
    </cacheField>
    <cacheField name="Heating ON/OFF" numFmtId="166">
      <sharedItems containsString="0" containsBlank="1" containsNumber="1" containsInteger="1" minValue="0" maxValue="150"/>
    </cacheField>
    <cacheField name="Oil Temp High Issue" numFmtId="166">
      <sharedItems containsString="0" containsBlank="1" containsNumber="1" containsInteger="1" minValue="0" maxValue="0"/>
    </cacheField>
    <cacheField name="printed Bottle cleaning" numFmtId="166">
      <sharedItems containsString="0" containsBlank="1" containsNumber="1" containsInteger="1" minValue="0" maxValue="0"/>
    </cacheField>
    <cacheField name="No Plan" numFmtId="166">
      <sharedItems containsString="0" containsBlank="1" containsNumber="1" containsInteger="1" minValue="0" maxValue="0"/>
    </cacheField>
    <cacheField name="Silicon cutting issue" numFmtId="166">
      <sharedItems containsString="0" containsBlank="1" containsNumber="1" containsInteger="1" minValue="0" maxValue="60"/>
    </cacheField>
    <cacheField name="Trainings/Medical Checkup " numFmtId="166">
      <sharedItems containsString="0" containsBlank="1" containsNumber="1" containsInteger="1" minValue="0" maxValue="0"/>
    </cacheField>
    <cacheField name="Cavity stopped" numFmtId="166">
      <sharedItems containsString="0" containsBlank="1" containsNumber="1" containsInteger="1" minValue="0" maxValue="0"/>
    </cacheField>
    <cacheField name="Auxiliary issue" numFmtId="166">
      <sharedItems containsString="0" containsBlank="1" containsNumber="1" containsInteger="1" minValue="0" maxValue="0"/>
    </cacheField>
    <cacheField name="Manual hole checking " numFmtId="166">
      <sharedItems containsString="0" containsBlank="1" containsNumber="1" containsInteger="1" minValue="0" maxValue="0"/>
    </cacheField>
    <cacheField name="Machine/Mould  issue" numFmtId="166">
      <sharedItems containsString="0" containsBlank="1" containsNumber="1" containsInteger="1" minValue="0" maxValue="240"/>
    </cacheField>
    <cacheField name="Pin die damage/Change" numFmtId="166">
      <sharedItems containsString="0" containsBlank="1" containsNumber="1" containsInteger="1" minValue="0" maxValue="0"/>
    </cacheField>
    <cacheField name="Material changeover" numFmtId="166">
      <sharedItems containsString="0" containsBlank="1" containsNumber="1" containsInteger="1" minValue="0" maxValue="45"/>
    </cacheField>
    <cacheField name="Heater tip cleaning" numFmtId="166">
      <sharedItems containsString="0" containsBlank="1" containsNumber="1" containsInteger="1" minValue="0" maxValue="0"/>
    </cacheField>
    <cacheField name="ISI PRINTING" numFmtId="166">
      <sharedItems containsString="0" containsBlank="1" containsNumber="1" containsInteger="1" minValue="0" maxValue="0"/>
    </cacheField>
    <cacheField name="Roll change" numFmtId="166">
      <sharedItems containsString="0" containsBlank="1" containsNumber="1" containsInteger="1" minValue="0" maxValue="0"/>
    </cacheField>
    <cacheField name="Pin/die cleaning" numFmtId="166">
      <sharedItems containsString="0" containsBlank="1" containsNumber="1" containsInteger="1" minValue="0" maxValue="30"/>
    </cacheField>
    <cacheField name="Total Braekdown Hrs" numFmtId="2">
      <sharedItems containsString="0" containsBlank="1" containsNumber="1" minValue="0" maxValue="5.166666666666667"/>
    </cacheField>
    <cacheField name="Total Braekdown Hrs2" numFmtId="2">
      <sharedItems containsString="0" containsBlank="1" containsNumber="1" minValue="0" maxValue="5.252777777777778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Laiq Ahmad" refreshedDate="44536.513453935186" createdVersion="6" refreshedVersion="6" minRefreshableVersion="3" recordCount="1509">
  <cacheSource type="worksheet">
    <worksheetSource ref="A3:AM1512" sheet="Data Sheet Aug-2021"/>
  </cacheSource>
  <cacheFields count="39">
    <cacheField name="Month" numFmtId="0">
      <sharedItems containsSemiMixedTypes="0" containsString="0" containsNumber="1" containsInteger="1" minValue="8" maxValue="11" count="4">
        <n v="8"/>
        <n v="9"/>
        <n v="10"/>
        <n v="11"/>
      </sharedItems>
    </cacheField>
    <cacheField name="DATE" numFmtId="0">
      <sharedItems containsSemiMixedTypes="0" containsNonDate="0" containsDate="1" containsString="0" minDate="2021-08-02T00:00:00" maxDate="2021-12-01T00:00:00"/>
    </cacheField>
    <cacheField name="Shift" numFmtId="0">
      <sharedItems/>
    </cacheField>
    <cacheField name="Section" numFmtId="0">
      <sharedItems count="11">
        <s v="NIPPLE MOLDED"/>
        <s v="BOTTLE MOLDED"/>
        <s v="NIPPLE POSTCURE"/>
        <s v="NIPPLE PUNCH"/>
        <s v="NIPPLE PUNCH INSPECTED"/>
        <s v="CAP MOLDED"/>
        <s v="BOTTLE PRINTED"/>
        <s v="NIPPLE WRAP PRINTED"/>
        <s v="NIPPLE LASER MARKING"/>
        <s v="HOOD MOLDED"/>
        <s v="HOOD MOULDED" u="1"/>
      </sharedItems>
    </cacheField>
    <cacheField name="Item Code" numFmtId="0">
      <sharedItems count="85">
        <s v="FO012"/>
        <s v="FO004"/>
        <s v="FO016"/>
        <s v="FO020"/>
        <s v="FO109"/>
        <s v="FO142"/>
        <s v="FO113"/>
        <s v="FO043"/>
        <s v="FO048"/>
        <s v="FO002"/>
        <s v="FO011"/>
        <s v="FO015"/>
        <s v="FO143"/>
        <s v="FO088"/>
        <s v="FO009"/>
        <s v="FO019"/>
        <s v="FO108"/>
        <s v="FO007"/>
        <s v="FO003"/>
        <s v="FO144"/>
        <s v="FO001"/>
        <s v="FO008"/>
        <s v="FO089"/>
        <s v="FO145"/>
        <s v="FO030"/>
        <s v="FO104"/>
        <s v="FO146"/>
        <s v="FO031"/>
        <s v="FO148"/>
        <s v="FO141"/>
        <s v="FO149"/>
        <s v="FO130"/>
        <s v="FO117"/>
        <s v="FO029"/>
        <s v="FO150"/>
        <s v="FO005"/>
        <s v="FO010"/>
        <s v="FO116"/>
        <s v="FO151"/>
        <s v="FO094"/>
        <s v="FO119"/>
        <s v="FO093"/>
        <s v="FO152"/>
        <s v="FO053"/>
        <s v="FO101"/>
        <s v="FO100"/>
        <s v="FO096"/>
        <s v="FO013"/>
        <s v="FO017"/>
        <s v="FO021"/>
        <s v="FO106"/>
        <s v="FO110"/>
        <s v="FO006"/>
        <s v="FO052"/>
        <s v="FO054"/>
        <s v="FO087"/>
        <s v="FO102"/>
        <s v="FO058"/>
        <s v="FO056"/>
        <s v="FO092"/>
        <s v="FO014"/>
        <s v="FO035"/>
        <s v="FO033"/>
        <s v="FO022"/>
        <s v="FO018"/>
        <s v="FO057"/>
        <s v="FO059"/>
        <s v="FO055"/>
        <s v="FO107"/>
        <s v="FO111"/>
        <s v="FO105"/>
        <s v="FO032"/>
        <s v="FO044"/>
        <s v="FO049"/>
        <s v="FO095"/>
        <s v="FO099"/>
        <s v="FO098"/>
        <s v="FO042"/>
        <s v="FO103"/>
        <s v="FO097"/>
        <s v="FO118"/>
        <s v="FO147"/>
        <s v="FO112"/>
        <s v="FO114"/>
        <s v="FO115"/>
      </sharedItems>
    </cacheField>
    <cacheField name="Mold No" numFmtId="0">
      <sharedItems containsBlank="1"/>
    </cacheField>
    <cacheField name="M/c No" numFmtId="0">
      <sharedItems containsBlank="1"/>
    </cacheField>
    <cacheField name="SKU" numFmtId="0">
      <sharedItems/>
    </cacheField>
    <cacheField name="Lot No." numFmtId="0">
      <sharedItems containsBlank="1"/>
    </cacheField>
    <cacheField name="Shift Incharge" numFmtId="0">
      <sharedItems containsBlank="1"/>
    </cacheField>
    <cacheField name="Plan Hrs" numFmtId="0">
      <sharedItems containsSemiMixedTypes="0" containsString="0" containsNumber="1" minValue="0.1" maxValue="10.5"/>
    </cacheField>
    <cacheField name="Plan Qty" numFmtId="188">
      <sharedItems containsSemiMixedTypes="0" containsString="0" containsNumber="1" minValue="5" maxValue="19000"/>
    </cacheField>
    <cacheField name="Plan Qty per Hr" numFmtId="1">
      <sharedItems containsSemiMixedTypes="0" containsString="0" containsNumber="1" minValue="16.666666666666668" maxValue="2375"/>
    </cacheField>
    <cacheField name="Total Produced Qty." numFmtId="0">
      <sharedItems containsSemiMixedTypes="0" containsString="0" containsNumber="1" containsInteger="1" minValue="5" maxValue="22365"/>
    </cacheField>
    <cacheField name="Total Good Pc's" numFmtId="0">
      <sharedItems containsSemiMixedTypes="0" containsString="0" containsNumber="1" containsInteger="1" minValue="5" maxValue="22125"/>
    </cacheField>
    <cacheField name="Purge Material (in KG.)" numFmtId="0">
      <sharedItems containsMixedTypes="1" containsNumber="1" minValue="0" maxValue="64.88"/>
    </cacheField>
    <cacheField name="Setup Qty." numFmtId="0">
      <sharedItems containsSemiMixedTypes="0" containsString="0" containsNumber="1" containsInteger="1" minValue="0" maxValue="2137"/>
    </cacheField>
    <cacheField name="Rework Qty." numFmtId="0">
      <sharedItems containsString="0" containsBlank="1" containsNumber="1" containsInteger="1" minValue="0" maxValue="232"/>
    </cacheField>
    <cacheField name="Hold Qty." numFmtId="0">
      <sharedItems containsString="0" containsBlank="1" containsNumber="1" containsInteger="1" minValue="0" maxValue="9"/>
    </cacheField>
    <cacheField name="Line rej Qty." numFmtId="0">
      <sharedItems containsSemiMixedTypes="0" containsString="0" containsNumber="1" containsInteger="1" minValue="0" maxValue="658"/>
    </cacheField>
    <cacheField name="QC Sample Qty." numFmtId="0">
      <sharedItems containsString="0" containsBlank="1" containsNumber="1" containsInteger="1" minValue="0" maxValue="33"/>
    </cacheField>
    <cacheField name="Man Power" numFmtId="0">
      <sharedItems containsSemiMixedTypes="0" containsString="0" containsNumber="1" minValue="1" maxValue="6"/>
    </cacheField>
    <cacheField name="P.P. Output " numFmtId="189">
      <sharedItems containsSemiMixedTypes="0" containsString="0" containsNumber="1" minValue="0.83333333333333337" maxValue="18229"/>
    </cacheField>
    <cacheField name="Plan vs Actual Achievement %" numFmtId="9">
      <sharedItems containsSemiMixedTypes="0" containsString="0" containsNumber="1" minValue="3.3333333333333333E-2" maxValue="3.4"/>
    </cacheField>
    <cacheField name="Material Type Consumed" numFmtId="166">
      <sharedItems containsMixedTypes="1" containsNumber="1" minValue="0.16666666666666666" maxValue="1.875" count="450">
        <s v="Silicon"/>
        <s v="HMC"/>
        <s v="FO012"/>
        <s v="FO016"/>
        <s v="FO105"/>
        <s v="FO153"/>
        <s v="FO112"/>
        <s v="WMG3B"/>
        <s v="FO043"/>
        <s v="FO011"/>
        <s v="RM000123"/>
        <s v="FO004"/>
        <s v="FO015"/>
        <s v="FO104"/>
        <s v="FO002"/>
        <s v="RM000114"/>
        <s v="FO003"/>
        <s v="FO044"/>
        <s v="RM000115"/>
        <s v="FO020"/>
        <s v="FO019"/>
        <s v="RM000106"/>
        <s v="FO021"/>
        <s v="FO148"/>
        <s v="FO141"/>
        <s v="FO149"/>
        <s v="FO005"/>
        <s v="FO108"/>
        <s v="FO150"/>
        <s v="FO151"/>
        <s v="FO054"/>
        <s v="FO057"/>
        <s v="FO152"/>
        <s v="FO053"/>
        <s v="FO052"/>
        <s v="FO013"/>
        <s v="FO017"/>
        <s v="FO106"/>
        <s v="FO001"/>
        <s v="FO042"/>
        <s v="FO018"/>
        <s v="FO014"/>
        <s v="FO055"/>
        <s v="FO022"/>
        <s v="FO107"/>
        <s v="RM000112"/>
        <n v="0.40439932318104904" u="1"/>
        <n v="0.69857142857142862" u="1"/>
        <n v="0.87057142857142855" u="1"/>
        <n v="0.9277208529493215" u="1"/>
        <n v="1.1413339945450036" u="1"/>
        <n v="1.2142857142857142" u="1"/>
        <n v="0.37466763355088228" u="1"/>
        <n v="0.5625" u="1"/>
        <n v="0.60941176470588232" u="1"/>
        <n v="0.74285714285714288" u="1"/>
        <n v="0.82314285714285718" u="1"/>
        <n v="0.87461300309597523" u="1"/>
        <n v="0.89647608264930656" u="1"/>
        <n v="0.49764285714285716" u="1"/>
        <n v="0.66458982346832818" u="1"/>
        <n v="1.0517241379310345" u="1"/>
        <n v="1.0641025641025641" u="1"/>
        <n v="1.0672358591248665" u="1"/>
        <n v="1.0833333333333333" u="1"/>
        <n v="1.118881118881119" u="1"/>
        <n v="1.1602610587382161" u="1"/>
        <n v="1.3442940038684719" u="1"/>
        <n v="0.58435714285714291" u="1"/>
        <n v="0.83073727933541019" u="1"/>
        <n v="0.87962962962962965" u="1"/>
        <n v="0.91854000483442111" u="1"/>
        <n v="0.99418443644419829" u="1"/>
        <n v="1.0176531671858775" u="1"/>
        <n v="1.063572637176698" u="1"/>
        <n v="1.1036206896551723" u="1"/>
        <n v="1.111916847957457" u="1"/>
        <n v="0.84144916244643553" u="1"/>
        <n v="0.84705882352941175" u="1"/>
        <n v="0.9028571428571428" u="1"/>
        <n v="0.95744680851063835" u="1"/>
        <n v="0.91428571428571426" u="1"/>
        <n v="1.0026646836462787" u="1"/>
        <n v="1.028163034248514" u="1"/>
        <n v="1.0302640051513201" u="1"/>
        <n v="1.0540698809291431" u="1"/>
        <n v="1.3223938223938223" u="1"/>
        <n v="0.6" u="1"/>
        <n v="0.68028571428571427" u="1"/>
        <n v="0.93067747017780778" u="1"/>
        <n v="1.3006993006993006" u="1"/>
        <n v="0.79655172413793107" u="1"/>
        <n v="0.97785714285714287" u="1"/>
        <n v="0.98571428571428577" u="1"/>
        <n v="1.0214285714285714" u="1"/>
        <n v="0.56842105263157894" u="1"/>
        <n v="0.80270793036750487" u="1"/>
        <n v="0.89304257528556596" u="1"/>
        <n v="1.0328571428571429" u="1"/>
        <n v="1.0613830613830615" u="1"/>
        <n v="1.1077263915812794" u="1"/>
        <n v="1.142263759086189" u="1"/>
        <n v="0.54620976116303221" u="1"/>
        <n v="0.80156249999999996" u="1"/>
        <n v="0.83793103448275863" u="1"/>
        <n v="1.038" u="1"/>
        <n v="1.0384215991692627" u="1"/>
        <n v="1.0855718637496539" u="1"/>
        <n v="1.0909090909090908" u="1"/>
        <n v="0.73412543825477206" u="1"/>
        <n v="1.2924285714285715" u="1"/>
        <n v="1.337594886136636" u="1"/>
        <n v="0.33566433566433568" u="1"/>
        <n v="0.76828571428571424" u="1"/>
        <n v="0.80428571428571427" u="1"/>
        <n v="0.88618111326502358" u="1"/>
        <n v="0.96688421561518012" u="1"/>
        <n v="1.0060833274386363" u="1"/>
        <n v="1.0588235294117647" u="1"/>
        <n v="1.2086052695189751" u="1"/>
        <n v="1.232561403508772" u="1"/>
        <n v="1.2569494802997341" u="1"/>
        <n v="1.2634534394010295" u="1"/>
        <n v="0.16666666666666666" u="1"/>
        <n v="0.84285714285714286" u="1"/>
        <n v="0.93887147335423193" u="1"/>
        <n v="1.1292500000000001" u="1"/>
        <n v="1.1544991511035654" u="1"/>
        <n v="1.2121212121212122" u="1"/>
        <n v="0.86785714285714288" u="1"/>
        <n v="0.88974854932301739" u="1"/>
        <n v="0.9517241379310345" u="1"/>
        <n v="0.97902097902097907" u="1"/>
        <n v="1.0173749999999999" u="1"/>
        <n v="1.0311726311051093" u="1"/>
        <n v="0.43375000000000002" u="1"/>
        <n v="0.79720279720279719" u="1"/>
        <n v="0.84249582586110938" u="1"/>
        <n v="0.89363675715787516" u="1"/>
        <n v="0.92571428571428571" u="1"/>
        <n v="1.0164166430795358" u="1"/>
        <n v="1.875" u="1"/>
        <n v="0.56074766355140182" u="1"/>
        <n v="0.62857142857142856" u="1"/>
        <n v="0.69232899473829967" u="1"/>
        <n v="0.85860582105641392" u="1"/>
        <n v="0.86896551724137927" u="1"/>
        <n v="0.9642857142857143" u="1"/>
        <n v="0.4405" u="1"/>
        <n v="0.5754285714285714" u="1"/>
        <n v="0.72689511941848395" u="1"/>
        <n v="0.83284210526315794" u="1"/>
        <n v="0.97411764705882353" u="1"/>
        <n v="1.0171428571428571" u="1"/>
        <n v="1.0285714285714285" u="1"/>
        <n v="1.131578947368421" u="1"/>
        <n v="0.67497403946002077" u="1"/>
        <n v="0.75769230769230766" u="1"/>
        <n v="1.089" u="1"/>
        <n v="1.4506769825918762" u="1"/>
        <n v="0.2857142857142857" u="1"/>
        <n v="0.76923076923076927" u="1"/>
        <n v="0.84844089920232058" u="1"/>
        <n v="0.99105632100555963" u="1"/>
        <n v="1.0246469122126836" u="1"/>
        <n v="1.1223529411764706" u="1"/>
        <n v="0.40809968847352024" u="1"/>
        <n v="0.58741258741258739" u="1"/>
        <n v="0.71614285714285719" u="1"/>
        <n v="0.74117647058823533" u="1"/>
        <n v="0.8214285714285714" u="1"/>
        <n v="0.87457142857142856" u="1"/>
        <n v="0.89733059548254623" u="1"/>
        <n v="1.0520965692503177" u="1"/>
        <n v="1.2413793103448276" u="1"/>
        <n v="1.583" u="1"/>
        <n v="0.265625" u="1"/>
        <n v="0.48714285714285716" u="1"/>
        <n v="0.70514285714285718" u="1"/>
        <n v="0.89957142857142858" u="1"/>
        <n v="0.95534787123572174" u="1"/>
        <n v="1.0217499999999999" u="1"/>
        <n v="0.87142857142857144" u="1"/>
        <n v="0.970873786407767" u="1"/>
        <n v="1.1805555555555556" u="1"/>
        <n v="0.6071428571428571" u="1"/>
        <n v="0.76249999999999996" u="1"/>
        <n v="0.94285714285714284" u="1"/>
        <n v="1.1102777777777777" u="1"/>
        <n v="1.1630321910695742" u="1"/>
        <n v="0.51282051282051277" u="1"/>
        <n v="0.91160220994475138" u="1"/>
        <n v="0.94745586708203533" u="1"/>
        <n v="1.0523641321187334" u="1"/>
        <n v="1.1888111888111887" u="1"/>
        <n v="0.55944055944055948" u="1"/>
        <n v="0.64612227568638547" u="1"/>
        <n v="0.70753392606457655" u="1"/>
        <n v="0.83532738742658252" u="1"/>
        <n v="1.0386373078520981" u="1"/>
        <n v="1.0591900311526479" u="1"/>
        <n v="1.0857142857142856" u="1"/>
        <n v="0.66238767650834407" u="1"/>
        <n v="0.80470588235294116" u="1"/>
        <n v="0.92842105263157892" u="1"/>
        <n v="0.95238095238095233" u="1"/>
        <n v="1.0901420959147425" u="1"/>
        <n v="1.1399999999999999" u="1"/>
        <n v="0.7477153143173636" u="1"/>
        <n v="0.84638611058690316" u="1"/>
        <n v="0.91972656249999996" u="1"/>
        <n v="0.94797687861271673" u="1"/>
        <n v="0.94926088693567723" u="1"/>
        <n v="0.97299999999999998" u="1"/>
        <n v="0.99695375242315143" u="1"/>
        <n v="1.0941176470588236" u="1"/>
        <n v="1.2167832167832169" u="1"/>
        <n v="0.38400830737279334" u="1"/>
        <n v="0.52842857142857147" u="1"/>
        <n v="0.90703124999999996" u="1"/>
        <n v="1.0939112487100102" u="1"/>
        <n v="0.95335376234252633" u="1"/>
        <n v="0.97199999999999998" u="1"/>
        <n v="1.1838006230529594" u="1"/>
        <n v="0.83843921315704606" u="1"/>
        <n v="0.97333333333333338" u="1"/>
        <n v="1.0069930069930071" u="1"/>
        <n v="1.0352482839651227" u="1"/>
        <n v="0.51579626047711158" u="1"/>
        <n v="0.9" u="1"/>
        <n v="0.60436137071651086" u="1"/>
        <n v="0.82533333333333336" u="1"/>
        <n v="1.0249019607843137" u="1"/>
        <n v="1.0376470588235294" u="1"/>
        <n v="0.63" u="1"/>
        <n v="0.68535825545171336" u="1"/>
        <n v="0.82205029013539654" u="1"/>
        <n v="0.83850931677018636" u="1"/>
        <n v="0.86823529411764711" u="1"/>
        <n v="0.95164285714285712" u="1"/>
        <n v="0.97142857142857142" u="1"/>
        <n v="1.1219512195121952" u="1"/>
        <n v="1.1666666666666667" u="1"/>
        <n v="0.65714285714285714" u="1"/>
        <n v="0.66718750000000004" u="1"/>
        <n v="0.68930390492359928" u="1"/>
        <n v="1.0428571428571429" u="1"/>
        <n v="0.68214285714285716" u="1"/>
        <n v="0.84628571428571431" u="1"/>
        <n v="1.0394005317863186" u="1"/>
        <n v="1.0877447425670776" u="1"/>
        <n v="1.1507692307692308" u="1"/>
        <n v="0.48951048951048953" u="1"/>
        <n v="0.63515624999999998" u="1"/>
        <n v="0.84663271080928126" u="1"/>
        <n v="0.96372549019607845" u="1"/>
        <n v="1.2291666666666667" u="1"/>
        <n v="0.64166666666666672" u="1"/>
        <n v="1.114711520623338" u="1"/>
        <n v="1.1247803163444641" u="1"/>
        <n v="0.90909090909090906" u="1"/>
        <n v="0.30585937499999999" u="1"/>
        <n v="0.74863157894736843" u="1"/>
        <n v="0.81632653061224492" u="1"/>
        <n v="0.89577142857142855" u="1"/>
        <n v="0.93176470588235294" u="1"/>
        <n v="0.99833333333333329" u="1"/>
        <n v="1.0654736842105264" u="1"/>
        <n v="1.1328671328671329" u="1"/>
        <n v="1.1601675797615212" u="1"/>
        <n v="0.5669781931464174" u="1"/>
        <n v="0.59294117647058819" u="1"/>
        <n v="0.95530622365484752" u="1"/>
        <n v="0.99047619047619051" u="1"/>
        <n v="1.0138888888888888" u="1"/>
        <n v="1.1257959183673469" u="1"/>
        <n v="0.72953036636341284" u="1"/>
        <n v="0.7692783377651351" u="1"/>
        <n v="0.78462654097171869" u="1"/>
        <n v="0.92307692307692313" u="1"/>
        <n v="0.93461538461538463" u="1"/>
        <n v="0.95" u="1"/>
        <n v="0.96142857142857141" u="1"/>
        <n v="1.0799584631360333" u="1"/>
        <n v="0.59062499999999996" u="1"/>
        <n v="0.73121052631578942" u="1"/>
        <n v="0.82444098499858476" u="1"/>
        <n v="0.89511941848390442" u="1"/>
        <n v="0.89824511746391167" u="1"/>
        <n v="1.082753286929621" u="1"/>
        <n v="1.2184466019417475" u="1"/>
        <n v="1.2327773749093547" u="1"/>
        <n v="0.39428571428571429" u="1"/>
        <n v="0.97611630321910692" u="1"/>
        <n v="1" u="1"/>
        <n v="1.05" u="1"/>
        <n v="1.0651192778852354" u="1"/>
        <n v="1.1360889533478367" u="1"/>
        <n v="0.39460020768431986" u="1"/>
        <n v="0.4823529411764706" u="1"/>
        <n v="0.68" u="1"/>
        <n v="0.68571428571428572" u="1"/>
        <n v="1.0105558304469735" u="1"/>
        <n v="1.1428571428571428" u="1"/>
        <n v="0.67114285714285715" u="1"/>
        <n v="0.86292857142857138" u="1"/>
        <n v="1.0125" u="1"/>
        <n v="1.1542857142857144" u="1"/>
        <n v="1.1657142857142857" u="1"/>
        <n v="0.58151609553478711" u="1"/>
        <n v="0.81580855692530818" u="1"/>
        <n v="0.97560975609756095" u="1"/>
        <n v="1.0625" u="1"/>
        <n v="1.1631127111603434" u="1"/>
        <n v="0.18714285714285714" u="1"/>
        <n v="0.42575285565939769" u="1"/>
        <n v="0.6472233320015981" u="1"/>
        <n v="0.8571428571428571" u="1"/>
        <n v="0.97342857142857142" u="1"/>
        <n v="0.99271428571428566" u="1"/>
        <n v="1.0787055533359968" u="1"/>
        <n v="1.1007268951194185" u="1"/>
        <n v="1.1655011655011656" u="1"/>
        <n v="1.2587412587412588" u="1"/>
        <n v="0.27972027972027974" u="1"/>
        <n v="0.54285714285714282" u="1"/>
        <n v="0.58656249999999999" u="1"/>
        <n v="0.66463583494876766" u="1"/>
        <n v="1.011060507482108" u="1"/>
        <n v="1.0529595015576323" u="1"/>
        <n v="1.075" u="1"/>
        <n v="1.1647058823529413" u="1"/>
        <n v="0.3776223776223776" u="1"/>
        <n v="0.7034285714285714" u="1"/>
        <n v="0.82121062180438731" u="1"/>
        <n v="0.97028571428571431" u="1"/>
        <n v="0.99579416130628406" u="1"/>
        <n v="1.0072857142857143" u="1"/>
        <n v="1.0544827586206897" u="1"/>
        <n v="0.9285714285714286" u="1"/>
        <n v="0.94785714285714284" u="1"/>
        <n v="0.98692857142857138" u="1"/>
        <n v="1.048951048951049" u="1"/>
        <n v="1.3294657964708727" u="1"/>
        <n v="0.5463709677419355" u="1"/>
        <n v="0.65277777777777779" u="1"/>
        <n v="0.86029411764705888" u="1"/>
        <n v="0.97857142857142854" u="1"/>
        <n v="1.0071428571428571" u="1"/>
        <n v="0.89201586908008923" u="1"/>
        <n v="0.96399999999999997" u="1"/>
        <n v="0.96711798839458418" u="1"/>
        <n v="1.0228571428571429" u="1"/>
        <n v="0.66117647058823525" u="1"/>
        <n v="0.75937500000000002" u="1"/>
        <n v="1.0394285714285714" u="1"/>
        <n v="0.27693159789531985" u="1"/>
        <n v="0.82055555555555559" u="1"/>
        <n v="1.0060602312782141" u="1"/>
        <n v="0.70612668743509865" u="1"/>
        <n v="0.74592074592074598" u="1"/>
        <n v="0.7857142857142857" u="1"/>
        <n v="0.89985714285714291" u="1"/>
        <n v="0.93560814529444136" u="1"/>
        <n v="1.0800332317917474" u="1"/>
        <n v="1.25" u="1"/>
        <n v="0.87227414330218067" u="1"/>
        <n v="1.0344827586206897" u="1"/>
        <n v="1.3519813519813519" u="1"/>
        <n v="0.68109790605546128" u="1"/>
        <n v="0.76444790266676099" u="1"/>
        <n v="0.77350737249214407" u="1"/>
        <n v="0.79767947788252358" u="1"/>
        <n v="0.83873684210526311" u="1"/>
        <n v="0.98650051921079962" u="1"/>
        <n v="1.0360941024814696" u="1"/>
        <n v="1.1092646447860408" u="1"/>
        <n v="0.7841379310344827" u="1"/>
        <n v="0.95714285714285718" u="1"/>
        <n v="0.99571428571428566" u="1"/>
        <n v="1.0105263157894737" u="1"/>
        <n v="1.1111111111111112" u="1"/>
        <n v="0.6328125" u="1"/>
        <n v="0.69609374999999996" u="1"/>
        <n v="0.7955714285714286" u="1"/>
        <n v="0.83989092325671988" u="1"/>
        <n v="0.88941176470588235" u="1"/>
        <n v="0.91666666666666663" u="1"/>
        <n v="0.93457943925233644" u="1"/>
        <n v="0.93788907753254103" u="1"/>
        <n v="1.035557331202557" u="1"/>
        <n v="1.0571428571428572" u="1"/>
        <n v="0.7142857142857143" u="1"/>
        <n v="0.72" u="1"/>
        <n v="0.77298457934803821" u="1"/>
        <n v="1.0072689511941848" u="1"/>
        <n v="1.016470588235294" u="1"/>
        <n v="1.0181132075471697" u="1"/>
        <n v="1.0724026779072651" u="1"/>
        <n v="1.08" u="1"/>
        <n v="0.57352941176470584" u="1"/>
        <n v="0.73928571428571432" u="1"/>
        <n v="0.75857142857142856" u="1"/>
        <n v="0.93676168918440972" u="1"/>
        <n v="1.0828025477707006" u="1"/>
        <n v="1.1214953271028036" u="1"/>
        <n v="1.2467435802009676" u="1"/>
        <n v="1.8375241779497098" u="1"/>
        <n v="0.6141428571428571" u="1"/>
        <n v="0.83916083916083917" u="1"/>
        <n v="0.93167701863354035" u="1"/>
        <n v="1.0351864448704471" u="1"/>
        <n v="1.5057777777777779" u="1"/>
        <n v="0.56092688773471833" u="1"/>
        <n v="0.71380066492183636" u="1"/>
        <n v="0.77540847410689562" u="1"/>
        <n v="0.8701957940536621" u="1"/>
        <n v="0.99414285714285711" u="1"/>
        <n v="0.99688473520249221" u="1"/>
        <n v="1.0164285714285715" u="1"/>
        <n v="0.5" u="1"/>
        <n v="0.74183976261127593" u="1"/>
        <n v="0.82185158327290309" u="1"/>
        <n v="0.88571428571428568" u="1"/>
        <n v="1.015228426395939" u="1"/>
        <n v="1.1331428571428572" u="1"/>
        <n v="0.34965034965034963" u="1"/>
        <n v="0.47611630321910697" u="1"/>
        <n v="0.5714285714285714" u="1"/>
        <n v="0.95294117647058818" u="1"/>
        <n v="1.2172561212592306" u="1"/>
        <n v="1.2461059190031152" u="1"/>
        <n v="1.4740698985343856" u="1"/>
        <n v="0.83079479368595954" u="1"/>
        <n v="0.90235714285714286" u="1"/>
        <n v="0.98234683281412249" u="1"/>
        <n v="1.0234863977195265" u="1"/>
        <n v="1.1748251748251748" u="1"/>
        <n v="0.87187499999999996" u="1"/>
        <n v="1.0058823529411764" u="1"/>
        <n v="1.01" u="1"/>
        <n v="0.33785654943229021" u="1"/>
        <n v="0.42857142857142855" u="1"/>
        <n v="0.62937062937062938" u="1"/>
        <n v="0.74121817595874961" u="1"/>
        <n v="0.96766653681340087" u="1"/>
        <n v="1.0208333333333333" u="1"/>
        <n v="1.0528571428571429" u="1"/>
        <n v="1.1191684795745709" u="1"/>
        <n v="1.1605415860735009" u="1"/>
      </sharedItems>
    </cacheField>
    <cacheField name="Prod. Wt./Piece (in gm)" numFmtId="186">
      <sharedItems containsSemiMixedTypes="0" containsString="0" containsNumber="1" minValue="0" maxValue="33.130000000000003"/>
    </cacheField>
    <cacheField name="Total Mtl. Consump. (KG)" numFmtId="186">
      <sharedItems containsSemiMixedTypes="0" containsString="0" containsNumber="1" minValue="0" maxValue="115.99350000000003"/>
    </cacheField>
    <cacheField name="Material Yield %" numFmtId="185">
      <sharedItems containsMixedTypes="1" containsNumber="1" minValue="0.30108298928977439" maxValue="1"/>
    </cacheField>
    <cacheField name="% Rej." numFmtId="185">
      <sharedItems containsSemiMixedTypes="0" containsString="0" containsNumber="1" minValue="0" maxValue="0.52639999999999998"/>
    </cacheField>
    <cacheField name="% Setup rej " numFmtId="185">
      <sharedItems containsSemiMixedTypes="0" containsString="0" containsNumber="1" minValue="0" maxValue="0.34825870646766172"/>
    </cacheField>
    <cacheField name="Quality Ratio" numFmtId="9">
      <sharedItems containsSemiMixedTypes="0" containsString="0" containsNumber="1" minValue="0.52249637155297535" maxValue="1"/>
    </cacheField>
    <cacheField name="Break down Hrs" numFmtId="2">
      <sharedItems containsSemiMixedTypes="0" containsString="0" containsNumber="1" minValue="0" maxValue="7.166666666666667"/>
    </cacheField>
    <cacheField name="Total Running Hrs" numFmtId="2">
      <sharedItems containsSemiMixedTypes="0" containsString="0" containsNumber="1" minValue="-0.7" maxValue="10.5"/>
    </cacheField>
    <cacheField name="Machine Availability" numFmtId="9">
      <sharedItems containsSemiMixedTypes="0" containsString="0" containsNumber="1" minValue="-2.3333333333333335" maxValue="1"/>
    </cacheField>
    <cacheField name="Actual output per hr" numFmtId="1">
      <sharedItems containsSemiMixedTypes="0" containsString="0" containsNumber="1" minValue="14" maxValue="3188.5"/>
    </cacheField>
    <cacheField name="Standard Cycle Time/Piece (In sec.)" numFmtId="187">
      <sharedItems containsSemiMixedTypes="0" containsString="0" containsNumber="1" minValue="2.2999999999999998" maxValue="32.4"/>
    </cacheField>
    <cacheField name="Actual Cycle Time per Piece _x000a_(in sec.)" numFmtId="187">
      <sharedItems containsSemiMixedTypes="0" containsString="0" containsNumber="1" minValue="-9.7297297297297298" maxValue="1295.9999999999998"/>
    </cacheField>
    <cacheField name="Effieciency" numFmtId="9">
      <sharedItems containsSemiMixedTypes="0" containsString="0" containsNumber="1" minValue="-3.3299999999999996" maxValue="7.9866666666666681"/>
    </cacheField>
    <cacheField name="OEE" numFmtId="9">
      <sharedItems containsSemiMixedTypes="0" containsString="0" containsNumber="1" minValue="2.5000000000000005E-2" maxValue="7.5090671641791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2">
  <r>
    <x v="0"/>
    <s v="B"/>
    <x v="0"/>
    <s v="FO012"/>
    <s v="M2"/>
    <s v="L2"/>
    <s v="NIPPLE S TYPE M SIZE INJECTION"/>
    <s v="HEH02Nb"/>
    <n v="8"/>
    <n v="4815"/>
    <n v="601.875"/>
    <n v="6618"/>
    <n v="4330"/>
    <n v="0.8"/>
    <n v="2137"/>
    <n v="0"/>
    <n v="0"/>
    <n v="135"/>
    <n v="16"/>
    <n v="1"/>
    <n v="4330"/>
    <n v="0.89927310488058154"/>
    <s v="Silicon"/>
    <n v="6.8"/>
    <n v="45.802399999999992"/>
    <n v="0.64284840969032198"/>
    <n v="3.0235162374020158E-2"/>
    <n v="0.24408909194745859"/>
    <n v="0.97960108794197642"/>
    <n v="1"/>
    <n v="7"/>
    <n v="0.875"/>
    <n v="541.25"/>
    <n v="5.25"/>
    <n v="5.8198614318706694"/>
    <n v="0.90208333333333335"/>
    <n v="0.7732215879042007"/>
    <s v="2176"/>
  </r>
  <r>
    <x v="0"/>
    <s v="B"/>
    <x v="1"/>
    <s v="FO004"/>
    <s v="BM1"/>
    <s v="B1"/>
    <s v="RPP 120 ML BOTTLE MOLDED"/>
    <s v="EH02Bb1"/>
    <n v="8"/>
    <n v="2574"/>
    <n v="321.75"/>
    <n v="2381"/>
    <n v="2160"/>
    <n v="0.2"/>
    <n v="173"/>
    <n v="0"/>
    <n v="0"/>
    <n v="40"/>
    <n v="8"/>
    <n v="1"/>
    <n v="2160"/>
    <n v="0.83916083916083917"/>
    <s v="HMC"/>
    <n v="22.7"/>
    <n v="54.248699999999999"/>
    <n v="0.90383732697742059"/>
    <n v="1.8181818181818181E-2"/>
    <n v="6.773688332028191E-2"/>
    <n v="0.98320033599328016"/>
    <n v="2.5"/>
    <n v="5.5"/>
    <n v="0.6875"/>
    <n v="270"/>
    <n v="9"/>
    <n v="9.1666666666666661"/>
    <n v="0.98181818181818192"/>
    <n v="0.66366022679546421"/>
    <s v="2175/2177"/>
  </r>
  <r>
    <x v="0"/>
    <s v="B"/>
    <x v="2"/>
    <s v="FO016"/>
    <m/>
    <s v="PC1"/>
    <s v="NIPPLE S TYPE M SIZE POSTCURED"/>
    <s v="HEH02NbH02Pb"/>
    <n v="3"/>
    <n v="3000"/>
    <n v="1000"/>
    <n v="2830"/>
    <n v="2830"/>
    <n v="0"/>
    <n v="0"/>
    <n v="0"/>
    <n v="0"/>
    <n v="0"/>
    <n v="0"/>
    <n v="1"/>
    <n v="2830"/>
    <n v="0.94333333333333336"/>
    <s v="FO012"/>
    <n v="0"/>
    <n v="0"/>
    <s v=" "/>
    <n v="0"/>
    <n v="0"/>
    <n v="1"/>
    <n v="1"/>
    <n v="2"/>
    <n v="0.66666666666666663"/>
    <n v="943.33333333333337"/>
    <n v="2.2999999999999998"/>
    <n v="2.5441696113074204"/>
    <n v="0.90402777777777776"/>
    <n v="0.6026851851851851"/>
    <s v="2178"/>
  </r>
  <r>
    <x v="0"/>
    <s v="C"/>
    <x v="0"/>
    <s v="FO012"/>
    <s v="M2"/>
    <s v="L2"/>
    <s v="NIPPLE S TYPE M SIZE INJECTION"/>
    <s v="HEH02Nc"/>
    <n v="8"/>
    <n v="4815"/>
    <n v="601.875"/>
    <n v="4848"/>
    <n v="4700"/>
    <n v="7.2629999999999999"/>
    <n v="60"/>
    <n v="0"/>
    <n v="0"/>
    <n v="80"/>
    <n v="8"/>
    <n v="1"/>
    <n v="4700"/>
    <n v="0.97611630321910692"/>
    <s v="Silicon"/>
    <n v="6.8"/>
    <n v="40.229399999999998"/>
    <n v="0.79444386443745119"/>
    <n v="1.6736401673640166E-2"/>
    <n v="1.2224938875305624E-2"/>
    <n v="0.98349834983498352"/>
    <n v="0.75"/>
    <n v="7.25"/>
    <n v="0.90625"/>
    <n v="587.5"/>
    <n v="5.25"/>
    <n v="5.5531914893617023"/>
    <n v="0.9454022988505747"/>
    <n v="0.84263270077007701"/>
    <n v="2180"/>
  </r>
  <r>
    <x v="0"/>
    <s v="C"/>
    <x v="1"/>
    <s v="FO004"/>
    <s v="BM1"/>
    <s v="B1"/>
    <s v="RPP 120 ML BOTTLE MOLDED"/>
    <s v="EH02BC1"/>
    <n v="8"/>
    <n v="2503"/>
    <n v="312.875"/>
    <n v="3304"/>
    <n v="3240"/>
    <n v="0"/>
    <n v="20"/>
    <n v="0"/>
    <n v="0"/>
    <n v="36"/>
    <n v="8"/>
    <n v="1"/>
    <n v="3240"/>
    <n v="1.2944466640031962"/>
    <s v="HMC"/>
    <n v="22.7"/>
    <n v="75.000799999999998"/>
    <n v="0.98062953995157376"/>
    <n v="1.098901098901099E-2"/>
    <n v="6.0168471720818293E-3"/>
    <n v="1"/>
    <n v="0.33333333333333331"/>
    <n v="7.666666666666667"/>
    <n v="1"/>
    <n v="500"/>
    <n v="9"/>
    <n v="8.518518518518519"/>
    <n v="0.89999999999999991"/>
    <n v="0.89999999999999991"/>
    <s v="2179"/>
  </r>
  <r>
    <x v="1"/>
    <s v="A"/>
    <x v="3"/>
    <s v="FO020"/>
    <m/>
    <s v="PC1"/>
    <s v="NIPPLE S TYPE M SIZE PUNCHED"/>
    <s v="HEH02NbH02PbH03Pa"/>
    <n v="8"/>
    <n v="7036"/>
    <n v="879.5"/>
    <n v="2830"/>
    <n v="2827"/>
    <n v="0"/>
    <n v="0"/>
    <n v="0"/>
    <n v="0"/>
    <n v="3"/>
    <n v="0"/>
    <n v="1"/>
    <n v="2827"/>
    <n v="0.40179079022171688"/>
    <s v="FO016"/>
    <n v="0"/>
    <n v="0"/>
    <s v=" "/>
    <n v="0"/>
    <n v="0"/>
    <n v="1"/>
    <n v="4.5"/>
    <n v="3.5"/>
    <n v="1"/>
    <n v="500"/>
    <n v="3.5"/>
    <n v="4.457021577644146"/>
    <n v="0.89999999999999991"/>
    <n v="0.89999999999999991"/>
    <n v="2181"/>
  </r>
  <r>
    <x v="1"/>
    <s v="A"/>
    <x v="1"/>
    <s v="FO004"/>
    <s v="BM1"/>
    <s v="B1"/>
    <s v="RPP 120 ML BOTTLE MOLDED"/>
    <s v="EH03Ba1"/>
    <n v="8"/>
    <n v="2574"/>
    <n v="321.75"/>
    <n v="3177"/>
    <n v="3060"/>
    <n v="0.28199999999999997"/>
    <n v="57"/>
    <n v="0"/>
    <n v="0"/>
    <n v="52"/>
    <n v="8"/>
    <n v="1"/>
    <n v="3060"/>
    <n v="1.1888111888111887"/>
    <s v="HMC"/>
    <n v="21.3"/>
    <n v="67.952100000000002"/>
    <n v="0.95917565461553056"/>
    <n v="1.6709511568123392E-2"/>
    <n v="1.7625231910946195E-2"/>
    <n v="0.98363235757003464"/>
    <n v="0"/>
    <n v="8"/>
    <n v="1"/>
    <n v="382.5"/>
    <n v="9"/>
    <n v="9.4117647058823533"/>
    <n v="0.95624999999999993"/>
    <n v="0.94059844192634556"/>
    <n v="2195"/>
  </r>
  <r>
    <x v="1"/>
    <s v="A"/>
    <x v="0"/>
    <s v="FO012"/>
    <s v="M2"/>
    <s v="L2"/>
    <s v="NIPPLE S TYPE M SIZE INJECTION"/>
    <s v="HEH02Nb"/>
    <n v="8"/>
    <n v="4815"/>
    <n v="601.875"/>
    <n v="4660"/>
    <n v="4500"/>
    <n v="0"/>
    <n v="92"/>
    <n v="0"/>
    <n v="0"/>
    <n v="60"/>
    <n v="8"/>
    <n v="1"/>
    <n v="4500"/>
    <n v="0.93457943925233644"/>
    <s v="Silicon"/>
    <n v="6.8"/>
    <n v="31.687999999999999"/>
    <n v="0.96566523605150212"/>
    <n v="1.3157894736842105E-2"/>
    <n v="1.9360269360269359E-2"/>
    <n v="0.98712446351931327"/>
    <n v="1"/>
    <n v="7"/>
    <n v="0.875"/>
    <n v="562.5"/>
    <n v="5.25"/>
    <n v="5.6"/>
    <n v="0.93750000000000011"/>
    <n v="0.80975053648068673"/>
    <n v="2182"/>
  </r>
  <r>
    <x v="1"/>
    <s v="B"/>
    <x v="2"/>
    <s v="FO016"/>
    <m/>
    <s v="PC1"/>
    <s v="NIPPLE S TYPE M SIZE POSTCURED"/>
    <s v="HEH03NaH03Pb"/>
    <n v="8"/>
    <n v="12700"/>
    <n v="1587.5"/>
    <n v="12700"/>
    <n v="12700"/>
    <n v="0"/>
    <n v="0"/>
    <n v="0"/>
    <n v="0"/>
    <n v="0"/>
    <n v="0"/>
    <n v="1"/>
    <n v="12700"/>
    <n v="1"/>
    <s v="FO012"/>
    <n v="0"/>
    <n v="0"/>
    <s v=" "/>
    <n v="0"/>
    <n v="0"/>
    <n v="1"/>
    <n v="0.66666666666666663"/>
    <n v="7.333333333333333"/>
    <n v="0.91666666666666663"/>
    <n v="1587.5"/>
    <n v="2.2999999999999998"/>
    <n v="2.0787401574803148"/>
    <n v="1.1064393939393939"/>
    <n v="1.0142361111111111"/>
    <s v="2183/2184/2185/2189"/>
  </r>
  <r>
    <x v="1"/>
    <s v="B"/>
    <x v="0"/>
    <s v="FO012"/>
    <s v="M2"/>
    <s v="L2"/>
    <s v="NIPPLE S TYPE M SIZE INJECTION"/>
    <s v="HEH03Nb"/>
    <n v="8"/>
    <n v="4815"/>
    <n v="601.875"/>
    <n v="5119"/>
    <n v="5000"/>
    <n v="0.2"/>
    <n v="62"/>
    <n v="0"/>
    <n v="0"/>
    <n v="57"/>
    <n v="0"/>
    <n v="1"/>
    <n v="5000"/>
    <n v="1.0384215991692627"/>
    <s v="Silicon"/>
    <n v="6.8"/>
    <n v="35.0092"/>
    <n v="0.97117329159192445"/>
    <n v="1.1271504844769626E-2"/>
    <n v="1.1966801775718973E-2"/>
    <n v="0.98886501269779259"/>
    <n v="0"/>
    <n v="8"/>
    <n v="1"/>
    <n v="625"/>
    <n v="5.25"/>
    <n v="5.76"/>
    <n v="0.91145833333333337"/>
    <n v="0.90130925636517556"/>
    <n v="2188"/>
  </r>
  <r>
    <x v="1"/>
    <s v="B"/>
    <x v="1"/>
    <s v="FO004"/>
    <s v="BM4"/>
    <s v="B1"/>
    <s v="RPP 120 ML BOTTLE MOLDED"/>
    <s v="EH03Bb1"/>
    <n v="8"/>
    <n v="2574"/>
    <n v="321.75"/>
    <n v="2788"/>
    <n v="2700"/>
    <n v="0.25"/>
    <n v="37"/>
    <n v="0"/>
    <n v="0"/>
    <n v="51"/>
    <n v="0"/>
    <n v="1"/>
    <n v="2700"/>
    <n v="1.048951048951049"/>
    <s v="HMC"/>
    <n v="21.3"/>
    <n v="59.634399999999999"/>
    <n v="0.96437626604778448"/>
    <n v="1.8538713195201745E-2"/>
    <n v="1.3097345132743363E-2"/>
    <n v="0.98170731707317072"/>
    <n v="0"/>
    <n v="8"/>
    <n v="1"/>
    <n v="337.5"/>
    <n v="9"/>
    <n v="10.666666666666666"/>
    <n v="0.84375"/>
    <n v="0.82831554878048774"/>
    <n v="2196"/>
  </r>
  <r>
    <x v="1"/>
    <s v="B"/>
    <x v="3"/>
    <s v="FO020"/>
    <m/>
    <s v="P1"/>
    <s v="NIPPLE S TYPE M SIZE PUNCHED"/>
    <s v="HEH02NcH03PbH03Pb"/>
    <n v="4"/>
    <n v="3518"/>
    <n v="879.5"/>
    <n v="3200"/>
    <n v="3200"/>
    <n v="0"/>
    <n v="0"/>
    <n v="0"/>
    <n v="0"/>
    <n v="0"/>
    <n v="0"/>
    <n v="1"/>
    <n v="3200"/>
    <n v="0.90960773166571918"/>
    <s v="FO016"/>
    <n v="0"/>
    <n v="0"/>
    <s v=" "/>
    <n v="0"/>
    <n v="0"/>
    <n v="1"/>
    <n v="0.6777777777777777"/>
    <n v="3.3222222222222224"/>
    <n v="0.8305555555555556"/>
    <n v="800"/>
    <n v="3.5"/>
    <n v="3.7374999999999998"/>
    <n v="0.9364548494983278"/>
    <n v="0.7777777777777779"/>
    <s v="2186/2187"/>
  </r>
  <r>
    <x v="1"/>
    <s v="C"/>
    <x v="1"/>
    <s v="FO004"/>
    <s v="BM4"/>
    <s v="B1"/>
    <s v="RPP 120 ML BOTTLE MOLDED"/>
    <s v="EH03Bc1"/>
    <n v="8"/>
    <n v="2574"/>
    <n v="321.75"/>
    <n v="3297"/>
    <n v="3240"/>
    <n v="0"/>
    <n v="20"/>
    <n v="0"/>
    <n v="0"/>
    <n v="29"/>
    <n v="8"/>
    <n v="1"/>
    <n v="3240"/>
    <n v="1.2587412587412588"/>
    <s v="HMC"/>
    <n v="21.3"/>
    <n v="70.226100000000002"/>
    <n v="0.98271155595996362"/>
    <n v="8.8712144386662584E-3"/>
    <n v="6.0295447693699128E-3"/>
    <n v="0.99120412496208676"/>
    <n v="0"/>
    <n v="8"/>
    <n v="1"/>
    <n v="405"/>
    <n v="9"/>
    <n v="8.8888888888888893"/>
    <n v="1.0125"/>
    <n v="1.0035941765241128"/>
    <n v="2197"/>
  </r>
  <r>
    <x v="1"/>
    <s v="C"/>
    <x v="0"/>
    <s v="FO012"/>
    <s v="M2"/>
    <s v="L2"/>
    <s v="NIPPLE S TYPE M SIZE INJECTION"/>
    <s v="HEH03Nc"/>
    <n v="8"/>
    <n v="4815"/>
    <n v="601.875"/>
    <n v="5482"/>
    <n v="5400"/>
    <n v="0"/>
    <n v="23"/>
    <n v="0"/>
    <n v="0"/>
    <n v="51"/>
    <n v="8"/>
    <n v="1"/>
    <n v="5400"/>
    <n v="1.1214953271028036"/>
    <s v="Silicon"/>
    <n v="6.8"/>
    <n v="37.2776"/>
    <n v="0.98504195549069684"/>
    <n v="9.3560814529444133E-3"/>
    <n v="4.1780199818346958E-3"/>
    <n v="0.99069682597592124"/>
    <n v="0"/>
    <n v="8"/>
    <n v="1"/>
    <n v="675"/>
    <n v="5.25"/>
    <n v="5.333333333333333"/>
    <n v="0.984375"/>
    <n v="0.97521718807004742"/>
    <s v="2190"/>
  </r>
  <r>
    <x v="2"/>
    <s v="A"/>
    <x v="3"/>
    <s v="FO020"/>
    <m/>
    <s v="PC1"/>
    <s v="NIPPLE S TYPE M SIZE PUNCHED"/>
    <s v="HEH03NaH03PbH04Pa"/>
    <n v="8"/>
    <n v="7036"/>
    <n v="879.5"/>
    <n v="6500"/>
    <n v="6496"/>
    <n v="0"/>
    <n v="0"/>
    <n v="0"/>
    <n v="0"/>
    <n v="4"/>
    <n v="0"/>
    <n v="1"/>
    <n v="6496"/>
    <n v="0.92325184764070489"/>
    <s v="FO016"/>
    <n v="0"/>
    <n v="0"/>
    <s v=" "/>
    <n v="6.1538461538461541E-4"/>
    <n v="0"/>
    <n v="0.99938461538461543"/>
    <n v="1.1861111111111111"/>
    <n v="6.8138888888888891"/>
    <n v="0.85173611111111114"/>
    <n v="812"/>
    <n v="3.5"/>
    <n v="3.7761699507389164"/>
    <n v="0.92686506318793316"/>
    <n v="0.78895863247863252"/>
    <s v="2191/2192"/>
  </r>
  <r>
    <x v="2"/>
    <s v="A"/>
    <x v="1"/>
    <s v="FO004"/>
    <s v="BM1"/>
    <s v="B1"/>
    <s v="RPP 120 ML BOTTLE MOLDED"/>
    <s v="EH04Ba1"/>
    <n v="8"/>
    <n v="2574"/>
    <n v="321.75"/>
    <n v="2808"/>
    <n v="2700"/>
    <n v="0"/>
    <n v="42"/>
    <n v="0"/>
    <n v="0"/>
    <n v="58"/>
    <n v="8"/>
    <n v="1"/>
    <n v="2700"/>
    <n v="1.048951048951049"/>
    <s v="HMC"/>
    <n v="21.3"/>
    <n v="59.810400000000001"/>
    <n v="0.96153846153846145"/>
    <n v="2.1029731689630168E-2"/>
    <n v="1.4736842105263158E-2"/>
    <n v="0.97934472934472938"/>
    <n v="0.5083333333333333"/>
    <n v="7.4916666666666671"/>
    <n v="0.93645833333333339"/>
    <n v="337.5"/>
    <n v="9"/>
    <n v="9.9888888888888889"/>
    <n v="0.90100111234705227"/>
    <n v="0.82632211538461542"/>
    <n v="2193"/>
  </r>
  <r>
    <x v="2"/>
    <s v="A"/>
    <x v="0"/>
    <s v="FO012"/>
    <s v="M2"/>
    <s v="L2"/>
    <s v="NIPPLE S TYPE M SIZE INJECTION"/>
    <s v="HEH04Na"/>
    <n v="8"/>
    <n v="4815"/>
    <n v="601.875"/>
    <n v="5680"/>
    <n v="5600"/>
    <n v="0"/>
    <n v="30"/>
    <n v="0"/>
    <n v="0"/>
    <n v="42"/>
    <n v="8"/>
    <n v="1"/>
    <n v="5600"/>
    <n v="1.1630321910695742"/>
    <s v="Silicon"/>
    <n v="6.8"/>
    <n v="38.623999999999995"/>
    <n v="0.98591549295774661"/>
    <n v="7.4441687344913151E-3"/>
    <n v="5.2539404553415062E-3"/>
    <n v="0.99260563380281686"/>
    <n v="0"/>
    <n v="8"/>
    <n v="1"/>
    <n v="700"/>
    <n v="5.25"/>
    <n v="5.1428571428571432"/>
    <n v="1.0208333333333333"/>
    <n v="1.0132849178403756"/>
    <n v="2194"/>
  </r>
  <r>
    <x v="2"/>
    <s v="G"/>
    <x v="4"/>
    <s v="FO109"/>
    <m/>
    <m/>
    <s v="NIPPLE S TYPE M SIZE PUNCHED INSPECTED"/>
    <s v="HEH02NbH02PbH03Pa"/>
    <n v="8.5"/>
    <n v="9000"/>
    <n v="1058.8235294117646"/>
    <n v="9027"/>
    <n v="8994"/>
    <n v="0"/>
    <n v="0"/>
    <n v="0"/>
    <n v="0"/>
    <n v="33"/>
    <n v="0"/>
    <n v="1"/>
    <n v="8994"/>
    <n v="0.9993333333333333"/>
    <s v="FO105"/>
    <n v="0"/>
    <n v="0"/>
    <s v=" "/>
    <n v="3.6556995679627785E-3"/>
    <n v="0"/>
    <n v="0.99634430043203726"/>
    <n v="1.8638888888888887"/>
    <n v="6.6361111111111111"/>
    <n v="0.78071895424836601"/>
    <n v="1058.1176470588234"/>
    <n v="4"/>
    <n v="2.6562152546141871"/>
    <n v="1.5059020510673924"/>
    <n v="1.1713883187040188"/>
    <s v="2198/2199/2200"/>
  </r>
  <r>
    <x v="2"/>
    <s v="B"/>
    <x v="1"/>
    <s v="FO004"/>
    <s v="BM4"/>
    <s v="B1"/>
    <s v="RPP 120 ML BOTTLE MOLDED"/>
    <s v="EH04Bb1"/>
    <n v="5"/>
    <n v="1600"/>
    <n v="320"/>
    <n v="1186"/>
    <n v="1080"/>
    <n v="0.3"/>
    <n v="72"/>
    <n v="0"/>
    <n v="0"/>
    <n v="34"/>
    <n v="0"/>
    <n v="1"/>
    <n v="1080"/>
    <n v="0.67500000000000004"/>
    <s v="HMC"/>
    <n v="21.3"/>
    <n v="25.561800000000002"/>
    <n v="0.89993662418139553"/>
    <n v="3.052064631956912E-2"/>
    <n v="5.7233704292527825E-2"/>
    <n v="0.97133220910623941"/>
    <n v="0.6777777777777777"/>
    <n v="4.322222222222222"/>
    <n v="0.86444444444444435"/>
    <n v="216"/>
    <n v="9"/>
    <n v="14.407407407407407"/>
    <n v="0.62467866323907462"/>
    <n v="0.52451939291736926"/>
    <n v="2201"/>
  </r>
  <r>
    <x v="2"/>
    <s v="B"/>
    <x v="3"/>
    <s v="FO020"/>
    <m/>
    <s v="P1"/>
    <s v="NIPPLE S TYPE M SIZE PUNCHED"/>
    <s v="HEH03NbH04PbH04Pb"/>
    <n v="8"/>
    <n v="7036"/>
    <n v="879.5"/>
    <n v="7420"/>
    <n v="7400"/>
    <n v="0"/>
    <n v="0"/>
    <n v="0"/>
    <n v="0"/>
    <n v="20"/>
    <n v="0"/>
    <n v="1"/>
    <n v="7400"/>
    <n v="1.0517339397384877"/>
    <s v="FO016"/>
    <n v="0"/>
    <n v="0"/>
    <s v=" "/>
    <n v="2.6954177897574125E-3"/>
    <n v="0"/>
    <n v="0.99730458221024254"/>
    <n v="0.6777777777777777"/>
    <n v="7.322222222222222"/>
    <n v="0.91527777777777775"/>
    <n v="925"/>
    <n v="3.5"/>
    <n v="3.5621621621621622"/>
    <n v="0.98254931714719274"/>
    <n v="0.89688155136268333"/>
    <s v="2206/2207/2208"/>
  </r>
  <r>
    <x v="2"/>
    <s v="B"/>
    <x v="2"/>
    <s v="FO016"/>
    <m/>
    <s v="PC1"/>
    <s v="NIPPLE S TYPE M SIZE POSTCURED"/>
    <s v="HEH03NbH04Pb"/>
    <n v="8"/>
    <n v="14000"/>
    <n v="1750"/>
    <n v="14000"/>
    <n v="14000"/>
    <n v="0"/>
    <n v="0"/>
    <n v="0"/>
    <n v="0"/>
    <n v="0"/>
    <n v="0"/>
    <n v="1"/>
    <n v="14000"/>
    <n v="1"/>
    <s v="FO012"/>
    <n v="0"/>
    <n v="0"/>
    <s v=" "/>
    <n v="0"/>
    <n v="0"/>
    <n v="1"/>
    <n v="0.6777777777777777"/>
    <n v="7.322222222222222"/>
    <n v="0.91527777777777775"/>
    <n v="1750"/>
    <n v="2.2999999999999998"/>
    <n v="1.8828571428571428"/>
    <n v="1.2215477996965098"/>
    <n v="1.1180555555555556"/>
    <s v="2202/2203/2204"/>
  </r>
  <r>
    <x v="2"/>
    <s v="B"/>
    <x v="0"/>
    <s v="FO012"/>
    <s v="M2"/>
    <s v="L2"/>
    <s v="NIPPLE S TYPE M SIZE INJECTION"/>
    <s v="HEH04Nb"/>
    <n v="8"/>
    <n v="4815"/>
    <n v="601.875"/>
    <n v="5790"/>
    <n v="5700"/>
    <n v="0"/>
    <n v="30"/>
    <n v="0"/>
    <n v="0"/>
    <n v="60"/>
    <n v="0"/>
    <n v="1"/>
    <n v="5700"/>
    <n v="1.1838006230529594"/>
    <s v="Silicon"/>
    <n v="6.8"/>
    <n v="39.372"/>
    <n v="0.98445595854922274"/>
    <n v="1.0416666666666666E-2"/>
    <n v="5.1546391752577319E-3"/>
    <n v="0.98963730569948183"/>
    <n v="0"/>
    <n v="8"/>
    <n v="1"/>
    <n v="712.5"/>
    <n v="5.25"/>
    <n v="5.0526315789473681"/>
    <n v="1.0390625"/>
    <n v="1.0282950129533679"/>
    <n v="2205"/>
  </r>
  <r>
    <x v="2"/>
    <s v="C"/>
    <x v="1"/>
    <s v="FO004"/>
    <s v="BM4"/>
    <s v="B1"/>
    <s v="RPP 120 ML BOTTLE MOLDED"/>
    <s v="EH04Bc1"/>
    <n v="6"/>
    <n v="2000"/>
    <n v="333.33333333333331"/>
    <n v="2273"/>
    <n v="2160"/>
    <n v="0.38"/>
    <n v="63"/>
    <n v="0"/>
    <n v="0"/>
    <n v="42"/>
    <n v="8"/>
    <n v="1"/>
    <n v="2160"/>
    <n v="1.08"/>
    <s v="HMC"/>
    <n v="21.3"/>
    <n v="48.794899999999998"/>
    <n v="0.94288542450133106"/>
    <n v="1.9073569482288829E-2"/>
    <n v="2.6969178082191781E-2"/>
    <n v="0.98152221733391998"/>
    <n v="0.5083333333333333"/>
    <n v="5.4916666666666671"/>
    <n v="0.91527777777777786"/>
    <n v="360"/>
    <n v="9"/>
    <n v="9.1527777777777786"/>
    <n v="0.98330804248861903"/>
    <n v="0.88336999560052798"/>
    <n v="2209"/>
  </r>
  <r>
    <x v="2"/>
    <s v="C"/>
    <x v="0"/>
    <s v="FO012"/>
    <s v="M2"/>
    <s v="L2"/>
    <s v="NIPPLE S TYPE M SIZE INJECTION"/>
    <s v="HEH04Nc"/>
    <n v="8"/>
    <n v="4815"/>
    <n v="601.875"/>
    <n v="5882"/>
    <n v="5800"/>
    <n v="0"/>
    <n v="16"/>
    <n v="0"/>
    <n v="0"/>
    <n v="58"/>
    <n v="8"/>
    <n v="1"/>
    <n v="5800"/>
    <n v="1.2045690550363448"/>
    <s v="Silicon"/>
    <n v="6.8"/>
    <n v="39.997599999999998"/>
    <n v="0.98605916354981293"/>
    <n v="9.9009900990099011E-3"/>
    <n v="2.7127839945744322E-3"/>
    <n v="0.99013940836450187"/>
    <n v="0"/>
    <n v="8"/>
    <n v="1"/>
    <n v="725"/>
    <n v="5.25"/>
    <n v="4.9655172413793105"/>
    <n v="1.0572916666666667"/>
    <n v="1.0468661453020516"/>
    <n v="2210"/>
  </r>
  <r>
    <x v="3"/>
    <s v="A"/>
    <x v="0"/>
    <s v="FO012"/>
    <s v="M2"/>
    <s v="L2"/>
    <s v="NIPPLE S TYPE M SIZE INJECTION"/>
    <s v="HEH05Na"/>
    <n v="8"/>
    <n v="4815"/>
    <n v="601.875"/>
    <n v="5660"/>
    <n v="5600"/>
    <n v="0"/>
    <n v="0"/>
    <n v="0"/>
    <n v="0"/>
    <n v="52"/>
    <n v="8"/>
    <n v="1"/>
    <n v="5600"/>
    <n v="1.1630321910695742"/>
    <s v="Silicon"/>
    <n v="6.8"/>
    <n v="38.488"/>
    <n v="0.98939929328621901"/>
    <n v="9.200283085633405E-3"/>
    <n v="0"/>
    <n v="0.99081272084805649"/>
    <n v="0"/>
    <n v="8"/>
    <n v="1"/>
    <n v="700"/>
    <n v="5.25"/>
    <n v="5.1428571428571432"/>
    <n v="1.0208333333333333"/>
    <n v="1.0114546525323909"/>
    <n v="2218"/>
  </r>
  <r>
    <x v="3"/>
    <s v="A"/>
    <x v="2"/>
    <s v="FO016"/>
    <m/>
    <s v="PC1"/>
    <s v="NIPPLE S TYPE M SIZE POSTCURED"/>
    <s v="HEH04NbH05Pa"/>
    <n v="4"/>
    <n v="4000"/>
    <n v="1000"/>
    <n v="3700"/>
    <n v="3700"/>
    <n v="0"/>
    <n v="0"/>
    <n v="0"/>
    <n v="0"/>
    <n v="0"/>
    <n v="0"/>
    <n v="1"/>
    <n v="3700"/>
    <n v="0.92500000000000004"/>
    <s v="FO012"/>
    <n v="0"/>
    <n v="0"/>
    <s v=" "/>
    <n v="0"/>
    <n v="0"/>
    <n v="1"/>
    <n v="0"/>
    <n v="4"/>
    <n v="1"/>
    <n v="925"/>
    <n v="2.2999999999999998"/>
    <n v="3.8918918918918921"/>
    <n v="0.59097222222222212"/>
    <n v="0.59097222222222212"/>
    <n v="2214"/>
  </r>
  <r>
    <x v="3"/>
    <s v="A"/>
    <x v="3"/>
    <s v="FO020"/>
    <m/>
    <s v="P1"/>
    <s v="NIPPLE S TYPE M SIZE PUNCHED"/>
    <s v="HEH04NaH04Pb"/>
    <n v="8"/>
    <n v="7036"/>
    <n v="879.5"/>
    <n v="7000"/>
    <n v="6998"/>
    <n v="0"/>
    <n v="0"/>
    <n v="0"/>
    <n v="0"/>
    <n v="2"/>
    <n v="0"/>
    <n v="1"/>
    <n v="6998"/>
    <n v="0.99459920409323477"/>
    <s v="FO016"/>
    <n v="0"/>
    <n v="0"/>
    <s v=" "/>
    <n v="2.8571428571428574E-4"/>
    <n v="0"/>
    <n v="0.99971428571428567"/>
    <n v="0.6777777777777777"/>
    <n v="7.322222222222222"/>
    <n v="0.91527777777777775"/>
    <n v="874.75"/>
    <n v="3.5"/>
    <n v="3.7667905115747358"/>
    <n v="0.9291729893778452"/>
    <n v="0.85020840277777765"/>
    <s v="2216/2217"/>
  </r>
  <r>
    <x v="3"/>
    <s v="A"/>
    <x v="5"/>
    <s v="FO142"/>
    <m/>
    <s v="INJ-1"/>
    <s v="CAP S TYPE MOLDED RED"/>
    <s v="EH05Ca"/>
    <n v="2"/>
    <n v="1137"/>
    <n v="568.5"/>
    <n v="1165"/>
    <n v="1165"/>
    <n v="0"/>
    <n v="0"/>
    <n v="0"/>
    <n v="0"/>
    <n v="0"/>
    <n v="0"/>
    <n v="1"/>
    <n v="1165"/>
    <n v="1.0246262093227791"/>
    <s v="FO153"/>
    <n v="7.3"/>
    <n v="8.5045000000000002"/>
    <n v="1"/>
    <n v="0"/>
    <n v="0"/>
    <n v="1"/>
    <n v="1.0166666666666666"/>
    <n v="0.98333333333333339"/>
    <n v="0.4916666666666667"/>
    <n v="582.5"/>
    <n v="6"/>
    <n v="3.0386266094420602"/>
    <n v="1.9745762711864405"/>
    <n v="0.97083333333333333"/>
    <n v="2686"/>
  </r>
  <r>
    <x v="3"/>
    <s v="A"/>
    <x v="5"/>
    <s v="FO142"/>
    <m/>
    <s v="INJ-1"/>
    <s v="CAP S TYPE MOLDED RED"/>
    <s v="EH05CRa"/>
    <n v="6"/>
    <n v="4000"/>
    <n v="666.66666666666663"/>
    <n v="2524"/>
    <n v="2500"/>
    <n v="0.68100000000000005"/>
    <n v="10"/>
    <n v="0"/>
    <n v="0"/>
    <n v="6"/>
    <n v="8"/>
    <n v="1"/>
    <n v="2500"/>
    <n v="0.625"/>
    <s v="FO153"/>
    <n v="7.3"/>
    <n v="19.106200000000001"/>
    <n v="0.95518732139305562"/>
    <n v="2.3942537909018356E-3"/>
    <n v="3.9463299131807421E-3"/>
    <n v="0.99762282091917587"/>
    <n v="1.0166666666666666"/>
    <n v="4.9833333333333334"/>
    <n v="0.8305555555555556"/>
    <n v="416.66666666666669"/>
    <n v="6"/>
    <n v="7.1760000000000002"/>
    <n v="0.83612040133779264"/>
    <n v="0.69279362563831659"/>
    <n v="2687"/>
  </r>
  <r>
    <x v="3"/>
    <s v="G"/>
    <x v="6"/>
    <s v="FO113"/>
    <m/>
    <s v="PR1"/>
    <s v="50 ML RPP BOTTLE PRINTED - BIRDS"/>
    <s v="DA30Ba2EG05Pa"/>
    <n v="8.5"/>
    <n v="1800"/>
    <n v="211.76470588235293"/>
    <n v="1807"/>
    <n v="1654"/>
    <n v="0"/>
    <n v="0"/>
    <n v="232"/>
    <n v="0"/>
    <n v="153"/>
    <n v="0"/>
    <n v="6"/>
    <n v="275.66666666666669"/>
    <n v="0.91888888888888887"/>
    <s v="FO112"/>
    <n v="17.015000000000001"/>
    <n v="30.746104999999996"/>
    <n v="0.9153292750415053"/>
    <n v="8.4670724958494745E-2"/>
    <n v="0"/>
    <n v="0.9153292750415053"/>
    <n v="4.9138888888888888"/>
    <n v="3.5861111111111112"/>
    <n v="0.42189542483660131"/>
    <n v="194.58823529411765"/>
    <n v="32.4"/>
    <n v="46.831922611850061"/>
    <n v="0.69183578621223851"/>
    <n v="0.26716846251505583"/>
    <s v="PINPM/21-22/2237"/>
  </r>
  <r>
    <x v="3"/>
    <s v="G"/>
    <x v="4"/>
    <s v="FO109"/>
    <m/>
    <m/>
    <s v="NIPPLE S TYPE M SIZE PUNCHED INSPECTED"/>
    <s v="HEH03NaH03PbH04Pa"/>
    <n v="8.5"/>
    <n v="14182"/>
    <n v="1668.4705882352941"/>
    <n v="15874"/>
    <n v="15836"/>
    <n v="0"/>
    <n v="0"/>
    <n v="0"/>
    <n v="0"/>
    <n v="38"/>
    <n v="0"/>
    <n v="2"/>
    <n v="7918"/>
    <n v="1.1166267099139755"/>
    <s v="FO105"/>
    <n v="0"/>
    <n v="0"/>
    <s v=" "/>
    <n v="2.3938515812019657E-3"/>
    <n v="0"/>
    <n v="0.99760614841879802"/>
    <n v="0.6777777777777777"/>
    <n v="7.822222222222222"/>
    <n v="0.92026143790849668"/>
    <n v="1863.0588235294117"/>
    <n v="4"/>
    <n v="3.5564536499115937"/>
    <n v="1.1247159090909091"/>
    <n v="1.0325549651215742"/>
    <s v="2220/2221/2222/2223"/>
  </r>
  <r>
    <x v="3"/>
    <s v="B"/>
    <x v="0"/>
    <s v="FO012"/>
    <s v="M2"/>
    <s v="L2"/>
    <s v="NIPPLE S TYPE M SIZE INJECTION"/>
    <s v="HEH05Nb"/>
    <n v="8"/>
    <n v="4815"/>
    <n v="601.875"/>
    <n v="4610"/>
    <n v="4500"/>
    <n v="0"/>
    <n v="45"/>
    <n v="0"/>
    <n v="0"/>
    <n v="65"/>
    <n v="0"/>
    <n v="1"/>
    <n v="4500"/>
    <n v="0.93457943925233644"/>
    <s v="Silicon"/>
    <n v="6.8"/>
    <n v="31.347999999999999"/>
    <n v="0.97613882863340562"/>
    <n v="1.4238773274917854E-2"/>
    <n v="9.6670247046186895E-3"/>
    <n v="0.98590021691973972"/>
    <n v="0.84722222222222221"/>
    <n v="7.1527777777777777"/>
    <n v="0.89409722222222221"/>
    <n v="562.5"/>
    <n v="5.25"/>
    <n v="5.7222222222222223"/>
    <n v="0.91747572815533984"/>
    <n v="0.80874627169197399"/>
    <n v="2228"/>
  </r>
  <r>
    <x v="3"/>
    <s v="B"/>
    <x v="5"/>
    <s v="FO142"/>
    <m/>
    <s v="INJ-1"/>
    <s v="CAP S TYPE MOLDED RED"/>
    <s v="EH05CRa"/>
    <n v="8"/>
    <n v="4137"/>
    <n v="517.125"/>
    <n v="3805"/>
    <n v="3800"/>
    <n v="0.3"/>
    <n v="0"/>
    <n v="0"/>
    <n v="0"/>
    <n v="5"/>
    <n v="0"/>
    <n v="1"/>
    <n v="3800"/>
    <n v="0.91854000483442111"/>
    <s v="FO153"/>
    <n v="7.3"/>
    <n v="28.076499999999999"/>
    <n v="0.98801488789557113"/>
    <n v="1.3140604467805519E-3"/>
    <n v="0"/>
    <n v="0.99868593955321949"/>
    <n v="0"/>
    <n v="8"/>
    <n v="1"/>
    <n v="475"/>
    <n v="6"/>
    <n v="7.5789473684210522"/>
    <n v="0.79166666666666674"/>
    <n v="0.79062636881296555"/>
    <n v="2687"/>
  </r>
  <r>
    <x v="3"/>
    <s v="B"/>
    <x v="3"/>
    <s v="FO020"/>
    <m/>
    <s v="P1"/>
    <s v="NIPPLE S TYPE M SIZE PUNCHED"/>
    <s v="HEH04NbH05PaH05Pb"/>
    <n v="8"/>
    <n v="7036"/>
    <n v="879.5"/>
    <n v="7300"/>
    <n v="7298"/>
    <n v="0"/>
    <n v="0"/>
    <n v="0"/>
    <n v="0"/>
    <n v="2"/>
    <n v="0"/>
    <n v="1"/>
    <n v="7298"/>
    <n v="1.0372370665150654"/>
    <s v="FO016"/>
    <n v="0"/>
    <n v="0"/>
    <s v=" "/>
    <n v="2.7397260273972601E-4"/>
    <n v="0"/>
    <n v="0.99972602739726024"/>
    <n v="0.6777777777777777"/>
    <n v="7.322222222222222"/>
    <n v="0.91527777777777775"/>
    <n v="912.25"/>
    <n v="3.5"/>
    <n v="3.6119484790353522"/>
    <n v="0.96900606980273141"/>
    <n v="0.88666673325722978"/>
    <s v="2227/2229"/>
  </r>
  <r>
    <x v="3"/>
    <s v="B"/>
    <x v="2"/>
    <s v="FO016"/>
    <m/>
    <s v="PC1"/>
    <s v="NIPPLE S TYPE M SIZE POSTCURED"/>
    <s v="HEH04NbH05Pb"/>
    <n v="8"/>
    <n v="10400"/>
    <n v="1300"/>
    <n v="10400"/>
    <n v="10400"/>
    <n v="0"/>
    <n v="0"/>
    <n v="0"/>
    <n v="0"/>
    <n v="0"/>
    <n v="0"/>
    <n v="1"/>
    <n v="10400"/>
    <n v="1"/>
    <s v="FO012"/>
    <n v="0"/>
    <n v="0"/>
    <s v=" "/>
    <n v="0"/>
    <n v="0"/>
    <n v="1"/>
    <n v="0.6777777777777777"/>
    <n v="7.322222222222222"/>
    <n v="0.91527777777777775"/>
    <n v="1300"/>
    <n v="2.2999999999999998"/>
    <n v="2.5346153846153845"/>
    <n v="0.90743550834597875"/>
    <n v="0.83055555555555549"/>
    <s v="2224/2225/2226"/>
  </r>
  <r>
    <x v="3"/>
    <s v="B"/>
    <x v="1"/>
    <s v="FO043"/>
    <s v="BM2"/>
    <s v="B2"/>
    <s v="KPP BOTTLE 200 ML MOULDED-WMG3B"/>
    <s v="EH05Bb2"/>
    <n v="8"/>
    <n v="2503"/>
    <n v="312.875"/>
    <n v="1606"/>
    <n v="1512"/>
    <n v="0.7"/>
    <n v="30"/>
    <n v="0"/>
    <n v="0"/>
    <n v="56"/>
    <n v="8"/>
    <n v="1"/>
    <n v="1512"/>
    <n v="0.60407510986815816"/>
    <s v="WMG3B"/>
    <n v="28.6"/>
    <n v="46.631600000000006"/>
    <n v="0.92733682738743672"/>
    <n v="3.5714285714285712E-2"/>
    <n v="1.8337408312958436E-2"/>
    <n v="0.96513075965130757"/>
    <n v="0"/>
    <n v="8"/>
    <n v="1"/>
    <n v="189"/>
    <n v="9"/>
    <n v="19.047619047619047"/>
    <n v="0.47250000000000003"/>
    <n v="0.45602428393524286"/>
    <n v="2230"/>
  </r>
  <r>
    <x v="3"/>
    <s v="C"/>
    <x v="0"/>
    <s v="FO012"/>
    <s v="M2"/>
    <s v="L2"/>
    <s v="NIPPLE S TYPE M SIZE INJECTION"/>
    <s v="HEH05Nc"/>
    <n v="8"/>
    <n v="4815"/>
    <n v="601.875"/>
    <n v="5126"/>
    <n v="5000"/>
    <n v="0"/>
    <n v="70"/>
    <n v="0"/>
    <n v="0"/>
    <n v="48"/>
    <n v="8"/>
    <n v="1"/>
    <n v="5000"/>
    <n v="1.0384215991692627"/>
    <s v="Silicon"/>
    <n v="6.8"/>
    <n v="34.8568"/>
    <n v="0.97541943035505263"/>
    <n v="9.5087163232963554E-3"/>
    <n v="1.3471901462663588E-2"/>
    <n v="0.99063597346859145"/>
    <n v="0.76249999999999996"/>
    <n v="7.2374999999999998"/>
    <n v="0.90468749999999998"/>
    <n v="625"/>
    <n v="5.25"/>
    <n v="5.2110000000000003"/>
    <n v="1.0074841681059297"/>
    <n v="0.90292341331772641"/>
    <s v="2231"/>
  </r>
  <r>
    <x v="3"/>
    <s v="C"/>
    <x v="1"/>
    <s v="FO043"/>
    <s v="BM3"/>
    <s v="B2"/>
    <s v="KPP BOTTLE 200 ML MOULDED-WMG3B"/>
    <s v="EH05Bc2"/>
    <n v="8"/>
    <n v="2503"/>
    <n v="312.875"/>
    <n v="2986"/>
    <n v="2916"/>
    <n v="0"/>
    <n v="25"/>
    <n v="0"/>
    <n v="0"/>
    <n v="45"/>
    <n v="0"/>
    <n v="1"/>
    <n v="2916"/>
    <n v="1.1650019976028765"/>
    <s v="WMG3B"/>
    <n v="28.6"/>
    <n v="85.399600000000007"/>
    <n v="0.9765572672471533"/>
    <n v="1.5197568389057751E-2"/>
    <n v="8.3028894055131187E-3"/>
    <n v="0.98492967180174151"/>
    <n v="0"/>
    <n v="8"/>
    <n v="1"/>
    <n v="364.5"/>
    <n v="9"/>
    <n v="9.8765432098765427"/>
    <n v="0.91125"/>
    <n v="0.89751716342933696"/>
    <n v="2232"/>
  </r>
  <r>
    <x v="3"/>
    <s v="C"/>
    <x v="5"/>
    <s v="FO142"/>
    <m/>
    <s v="INJ-1"/>
    <s v="CAP S TYPE MOLDED RED"/>
    <s v="EH05CRc"/>
    <n v="8"/>
    <n v="4137"/>
    <n v="517.125"/>
    <n v="4012"/>
    <n v="4000"/>
    <n v="0"/>
    <n v="0"/>
    <n v="0"/>
    <n v="0"/>
    <n v="4"/>
    <n v="8"/>
    <n v="1"/>
    <n v="4000"/>
    <n v="0.96688421561518012"/>
    <s v="FO153"/>
    <n v="7.3"/>
    <n v="29.287600000000001"/>
    <n v="0.99700897308075764"/>
    <n v="9.99000999000999E-4"/>
    <n v="0"/>
    <n v="0.99900299102691925"/>
    <n v="0"/>
    <n v="8"/>
    <n v="1"/>
    <n v="500"/>
    <n v="6"/>
    <n v="7.2"/>
    <n v="0.83333333333333326"/>
    <n v="0.83250249252243269"/>
    <n v="2687"/>
  </r>
  <r>
    <x v="4"/>
    <s v="A"/>
    <x v="0"/>
    <s v="FO012"/>
    <s v="M2"/>
    <s v="L2"/>
    <s v="NIPPLE S TYPE M SIZE INJECTION"/>
    <s v="HEH06Na"/>
    <n v="8"/>
    <n v="4815"/>
    <n v="601.875"/>
    <n v="2788"/>
    <n v="2600"/>
    <n v="1.8"/>
    <n v="110"/>
    <n v="0"/>
    <n v="0"/>
    <n v="70"/>
    <n v="8"/>
    <n v="1"/>
    <n v="2600"/>
    <n v="0.53997923156801664"/>
    <s v="Silicon"/>
    <n v="6.8"/>
    <n v="20.758399999999998"/>
    <n v="0.85170340681362733"/>
    <n v="2.6217228464419477E-2"/>
    <n v="3.7957211870255352E-2"/>
    <n v="0.97489239598278332"/>
    <n v="4.0666666666666664"/>
    <n v="3.9333333333333336"/>
    <n v="0.4916666666666667"/>
    <n v="325"/>
    <n v="5.25"/>
    <n v="5.4461538461538463"/>
    <n v="0.96398305084745761"/>
    <n v="0.46205837517934001"/>
    <n v="2236"/>
  </r>
  <r>
    <x v="4"/>
    <s v="A"/>
    <x v="3"/>
    <s v="FO020"/>
    <m/>
    <s v="P1"/>
    <s v="NIPPLE S TYPE M SIZE PUNCHED"/>
    <s v="HEH04NbH05Pb"/>
    <n v="8"/>
    <n v="7036"/>
    <n v="879.5"/>
    <n v="6800"/>
    <n v="6792"/>
    <n v="0"/>
    <n v="0"/>
    <n v="0"/>
    <n v="0"/>
    <n v="8"/>
    <n v="0"/>
    <n v="1"/>
    <n v="6792"/>
    <n v="0.96532120523024445"/>
    <s v="FO016"/>
    <n v="0"/>
    <n v="0"/>
    <s v=" "/>
    <n v="1.176470588235294E-3"/>
    <n v="0"/>
    <n v="0.99882352941176467"/>
    <n v="0"/>
    <n v="8"/>
    <n v="1"/>
    <n v="849"/>
    <n v="3.5"/>
    <n v="4.2402826855123674"/>
    <n v="0.82541666666666669"/>
    <n v="0.82444558823529412"/>
    <s v="2233/2234"/>
  </r>
  <r>
    <x v="4"/>
    <s v="A"/>
    <x v="5"/>
    <s v="FO142"/>
    <m/>
    <s v="INJ-1"/>
    <s v="CAP S TYPE MOLDED RED"/>
    <s v="EH06CRa"/>
    <n v="8"/>
    <n v="4137"/>
    <n v="517.125"/>
    <n v="4910"/>
    <n v="4900"/>
    <n v="0"/>
    <n v="0"/>
    <n v="0"/>
    <n v="0"/>
    <n v="10"/>
    <n v="0"/>
    <n v="1"/>
    <n v="4900"/>
    <n v="1.1844331641285957"/>
    <s v="RM000107"/>
    <n v="7.3"/>
    <n v="35.843000000000004"/>
    <n v="0.99796334012219956"/>
    <n v="2.0366598778004071E-3"/>
    <n v="0"/>
    <n v="0.99796334012219956"/>
    <n v="0"/>
    <n v="8"/>
    <n v="1"/>
    <n v="612.5"/>
    <n v="6"/>
    <n v="5.8775510204081636"/>
    <n v="1.0208333333333333"/>
    <n v="1.018754243041412"/>
    <n v="2687"/>
  </r>
  <r>
    <x v="4"/>
    <s v="A"/>
    <x v="1"/>
    <s v="FO043"/>
    <s v="BM3"/>
    <s v="B2"/>
    <s v="KPP BOTTLE 200 ML MOULDED-WMG3B"/>
    <s v="EH06Ba1"/>
    <n v="8"/>
    <n v="2574"/>
    <n v="321.75"/>
    <n v="2472"/>
    <n v="2376"/>
    <n v="0.12"/>
    <n v="36"/>
    <n v="0"/>
    <n v="0"/>
    <n v="52"/>
    <n v="8"/>
    <n v="1"/>
    <n v="2376"/>
    <n v="0.92307692307692313"/>
    <s v="WMG3B"/>
    <n v="28.6"/>
    <n v="70.819200000000009"/>
    <n v="0.95953639690931247"/>
    <n v="2.1416803953871501E-2"/>
    <n v="1.4354066985645933E-2"/>
    <n v="0.97896440129449835"/>
    <n v="0"/>
    <n v="8"/>
    <n v="1"/>
    <n v="297"/>
    <n v="9"/>
    <n v="12.121212121212121"/>
    <n v="0.74250000000000005"/>
    <n v="0.72688106796116503"/>
    <n v="2235"/>
  </r>
  <r>
    <x v="4"/>
    <s v="B"/>
    <x v="1"/>
    <s v="FO043"/>
    <s v="BM2"/>
    <s v="B2"/>
    <s v="KPP BOTTLE 200 ML MOULDED-WMG3B"/>
    <s v="EH06Bb2"/>
    <n v="2"/>
    <n v="500"/>
    <n v="250"/>
    <n v="533"/>
    <n v="488"/>
    <n v="0.3"/>
    <n v="20"/>
    <n v="0"/>
    <n v="0"/>
    <n v="25"/>
    <n v="0"/>
    <n v="1"/>
    <n v="488"/>
    <n v="0.97599999999999998"/>
    <s v="WMG3B"/>
    <n v="28.6"/>
    <n v="15.543800000000001"/>
    <n v="0.89790141406863178"/>
    <n v="4.8732943469785572E-2"/>
    <n v="3.6166365280289332E-2"/>
    <n v="0.95309568480300189"/>
    <n v="0"/>
    <n v="2"/>
    <n v="1"/>
    <n v="244"/>
    <n v="9"/>
    <n v="14.754098360655737"/>
    <n v="0.61"/>
    <n v="0.58138836772983116"/>
    <s v="2242/2243"/>
  </r>
  <r>
    <x v="4"/>
    <s v="G"/>
    <x v="6"/>
    <s v="FO048"/>
    <m/>
    <s v="PR1"/>
    <s v="KPP BOTTLE 200 ML PRINTED-WMG3B"/>
    <s v="EH05Bc2H06Pa"/>
    <n v="8.5"/>
    <n v="5100"/>
    <n v="600"/>
    <n v="4889"/>
    <n v="4752"/>
    <n v="0"/>
    <n v="0"/>
    <n v="43"/>
    <n v="0"/>
    <n v="137"/>
    <n v="0"/>
    <n v="6"/>
    <n v="792"/>
    <n v="0.93176470588235294"/>
    <s v="FO043"/>
    <n v="0"/>
    <n v="0"/>
    <s v=" "/>
    <n v="2.8022090407036203E-2"/>
    <n v="0"/>
    <n v="0.97197790959296382"/>
    <n v="2.2027777777777775"/>
    <n v="6.2972222222222225"/>
    <n v="0.74084967320261441"/>
    <n v="559.05882352941171"/>
    <n v="32.4"/>
    <n v="28.623737373737374"/>
    <n v="1.1319276576973973"/>
    <n v="0.81508923995042903"/>
    <s v="2256,57,58"/>
  </r>
  <r>
    <x v="4"/>
    <s v="G"/>
    <x v="4"/>
    <s v="FO109"/>
    <m/>
    <m/>
    <s v="NIPPLE S TYPE M SIZE PUNCHED INSPECTED"/>
    <s v="HEH04NaH04PbH05Pb"/>
    <n v="8.5"/>
    <n v="14182"/>
    <n v="1668.4705882352941"/>
    <n v="16090"/>
    <n v="16038"/>
    <n v="0"/>
    <n v="0"/>
    <n v="0"/>
    <n v="0"/>
    <n v="52"/>
    <n v="0"/>
    <n v="2"/>
    <n v="8019"/>
    <n v="1.1308701170497815"/>
    <s v="FO105"/>
    <n v="0"/>
    <n v="0"/>
    <s v=" "/>
    <n v="3.2318210068365445E-3"/>
    <n v="0"/>
    <n v="0.9967681789931635"/>
    <n v="0.84722222222222221"/>
    <n v="7.6527777777777777"/>
    <n v="0.90032679738562094"/>
    <n v="1886.8235294117646"/>
    <n v="4"/>
    <n v="3.4355904726275095"/>
    <n v="1.1642831215970963"/>
    <n v="1.0448475852740102"/>
    <s v="2245/2246/2247"/>
  </r>
  <r>
    <x v="4"/>
    <s v="B"/>
    <x v="1"/>
    <s v="FO002"/>
    <s v="BM2"/>
    <s v="B2"/>
    <s v="KPP 200 ML BOTTLE MOLDED"/>
    <s v="EH06Bb2"/>
    <n v="6"/>
    <n v="2074"/>
    <n v="345.66666666666669"/>
    <n v="1386"/>
    <n v="1296"/>
    <n v="0.6"/>
    <n v="52"/>
    <n v="0"/>
    <n v="0"/>
    <n v="30"/>
    <n v="8"/>
    <n v="1"/>
    <n v="1296"/>
    <n v="0.62487945998071359"/>
    <s v="HMC"/>
    <n v="28.1"/>
    <n v="39.546599999999998"/>
    <n v="0.92087815387416372"/>
    <n v="2.2624434389140271E-2"/>
    <n v="3.6161335187760782E-2"/>
    <n v="0.97835497835497831"/>
    <n v="2.2027777777777775"/>
    <n v="3.7972222222222225"/>
    <n v="0.63287037037037042"/>
    <n v="216"/>
    <n v="9"/>
    <n v="10.54783950617284"/>
    <n v="0.85325530358449153"/>
    <n v="0.52831168831168829"/>
    <n v="2253"/>
  </r>
  <r>
    <x v="4"/>
    <s v="B"/>
    <x v="0"/>
    <s v="FO012"/>
    <s v="M2"/>
    <s v="L2"/>
    <s v="NIPPLE S TYPE M SIZE INJECTION"/>
    <s v="HEH06Nb"/>
    <n v="8"/>
    <n v="4815"/>
    <n v="601.875"/>
    <n v="5099"/>
    <n v="5012"/>
    <n v="0"/>
    <n v="27"/>
    <n v="0"/>
    <n v="0"/>
    <n v="60"/>
    <n v="0"/>
    <n v="1"/>
    <n v="5012"/>
    <n v="1.0409138110072689"/>
    <s v="Silicon"/>
    <n v="6.8"/>
    <n v="34.673200000000001"/>
    <n v="0.98293783094724441"/>
    <n v="1.1829652996845425E-2"/>
    <n v="5.2672649239172845E-3"/>
    <n v="0.98823298686016869"/>
    <n v="0.5083333333333333"/>
    <n v="7.4916666666666671"/>
    <n v="0.93645833333333339"/>
    <n v="626.5"/>
    <n v="5.25"/>
    <n v="5.3810853950518753"/>
    <n v="0.97563959955506119"/>
    <n v="0.90289495080734794"/>
    <n v="2263"/>
  </r>
  <r>
    <x v="4"/>
    <s v="B"/>
    <x v="5"/>
    <s v="FO142"/>
    <m/>
    <s v="INJ-1"/>
    <s v="CAP S TYPE MOLDED RED"/>
    <s v="EH06CRb"/>
    <n v="8"/>
    <n v="4137"/>
    <n v="517.125"/>
    <n v="4505"/>
    <n v="4500"/>
    <n v="0"/>
    <n v="0"/>
    <n v="0"/>
    <n v="0"/>
    <n v="5"/>
    <n v="0"/>
    <n v="1"/>
    <n v="4500"/>
    <n v="1.0877447425670776"/>
    <s v="FO153"/>
    <n v="7.3"/>
    <n v="32.886499999999998"/>
    <n v="0.99889012208657058"/>
    <n v="1.1098779134295228E-3"/>
    <n v="0"/>
    <n v="0.99889012208657046"/>
    <n v="0"/>
    <n v="8"/>
    <n v="1"/>
    <n v="562.5"/>
    <n v="6"/>
    <n v="6.4"/>
    <n v="0.9375"/>
    <n v="0.93645948945615975"/>
    <n v="2687"/>
  </r>
  <r>
    <x v="4"/>
    <s v="B"/>
    <x v="2"/>
    <s v="FO016"/>
    <m/>
    <s v="PC1"/>
    <s v="NIPPLE S TYPE M SIZE POSTCURED"/>
    <s v="HEH05NaH06Pb"/>
    <n v="8"/>
    <n v="11500"/>
    <n v="1437.5"/>
    <n v="11500"/>
    <n v="11500"/>
    <n v="0"/>
    <n v="0"/>
    <n v="0"/>
    <n v="0"/>
    <n v="0"/>
    <n v="0"/>
    <n v="1"/>
    <n v="11500"/>
    <n v="1"/>
    <s v="FO012"/>
    <n v="0"/>
    <n v="0"/>
    <s v=" "/>
    <n v="0"/>
    <n v="0"/>
    <n v="1"/>
    <n v="0.6777777777777777"/>
    <n v="7.322222222222222"/>
    <n v="0.91527777777777775"/>
    <n v="1437.5"/>
    <n v="2.2999999999999998"/>
    <n v="2.2921739130434782"/>
    <n v="1.0034142640364188"/>
    <n v="0.91840277777777768"/>
    <s v="2248/2249/2250"/>
  </r>
  <r>
    <x v="4"/>
    <s v="B"/>
    <x v="3"/>
    <s v="FO020"/>
    <m/>
    <s v="P1"/>
    <s v="NIPPLE S TYPE M SIZE PUNCHED"/>
    <s v="HEH05NaH06PbH06Pb"/>
    <n v="8"/>
    <n v="7036"/>
    <n v="879.5"/>
    <n v="6100"/>
    <n v="6095"/>
    <n v="0"/>
    <n v="0"/>
    <n v="0"/>
    <n v="0"/>
    <n v="5"/>
    <n v="0"/>
    <n v="1"/>
    <n v="6095"/>
    <n v="0.86625923820352468"/>
    <s v="FO016"/>
    <n v="0"/>
    <n v="0"/>
    <s v=" "/>
    <n v="8.1967213114754098E-4"/>
    <n v="0"/>
    <n v="0.99918032786885247"/>
    <n v="1.6944444444444444"/>
    <n v="6.3055555555555554"/>
    <n v="0.78819444444444442"/>
    <n v="761.875"/>
    <n v="3.5"/>
    <n v="3.7243642329778508"/>
    <n v="0.93975770925110125"/>
    <n v="0.74010466473132963"/>
    <s v="2251/2252"/>
  </r>
  <r>
    <x v="4"/>
    <s v="C"/>
    <x v="0"/>
    <s v="FO011"/>
    <s v="M2"/>
    <s v="L2"/>
    <s v="NIPPLE S TYPE S SIZE INJECTION"/>
    <s v="HEH06Nc"/>
    <n v="8"/>
    <n v="4815"/>
    <n v="601.875"/>
    <n v="3962"/>
    <n v="3800"/>
    <n v="0"/>
    <n v="90"/>
    <n v="0"/>
    <n v="0"/>
    <n v="64"/>
    <n v="8"/>
    <n v="1"/>
    <n v="3800"/>
    <n v="0.78920041536863972"/>
    <s v="Silicon"/>
    <n v="6.8"/>
    <n v="26.941599999999998"/>
    <n v="0.95911155981827367"/>
    <n v="1.6563146997929608E-2"/>
    <n v="2.2211253701875617E-2"/>
    <n v="0.9838465421504291"/>
    <n v="2.0333333333333332"/>
    <n v="5.9666666666666668"/>
    <n v="0.74583333333333335"/>
    <n v="475"/>
    <n v="5.25"/>
    <n v="5.6526315789473687"/>
    <n v="0.92877094972067031"/>
    <n v="0.68151869846878677"/>
    <s v="2255"/>
  </r>
  <r>
    <x v="4"/>
    <s v="C"/>
    <x v="1"/>
    <s v="FO002"/>
    <s v="BM2"/>
    <s v="B2"/>
    <s v="KPP 200 ML BOTTLE MOLDED"/>
    <s v="EH06Bc2"/>
    <n v="8"/>
    <n v="2574"/>
    <n v="321.75"/>
    <n v="3202"/>
    <n v="3132"/>
    <n v="0"/>
    <n v="0"/>
    <n v="0"/>
    <n v="0"/>
    <n v="62"/>
    <n v="8"/>
    <n v="1"/>
    <n v="3132"/>
    <n v="1.2167832167832169"/>
    <s v="HMC"/>
    <n v="28.1"/>
    <n v="89.976200000000006"/>
    <n v="0.97813866333541533"/>
    <n v="1.9411396368190358E-2"/>
    <n v="0"/>
    <n v="0.98063710181136787"/>
    <n v="0"/>
    <n v="8"/>
    <n v="1"/>
    <n v="391.5"/>
    <n v="9"/>
    <n v="9.1954022988505741"/>
    <n v="0.97875000000000001"/>
    <n v="0.95979856339787628"/>
    <s v="2254"/>
  </r>
  <r>
    <x v="4"/>
    <s v="C"/>
    <x v="5"/>
    <s v="FO142"/>
    <m/>
    <s v="INJ-1"/>
    <s v="CAP S TYPE MOLDED RED"/>
    <s v="EH06CRc"/>
    <n v="8"/>
    <n v="4137"/>
    <n v="517.125"/>
    <n v="3906"/>
    <n v="3895"/>
    <n v="0"/>
    <n v="0"/>
    <n v="0"/>
    <n v="0"/>
    <n v="3"/>
    <n v="8"/>
    <n v="1"/>
    <n v="3895"/>
    <n v="0.94150350495528157"/>
    <s v="FO153"/>
    <n v="7.3"/>
    <n v="28.5138"/>
    <n v="0.99718381976446491"/>
    <n v="7.6962544894817856E-4"/>
    <n v="0"/>
    <n v="0.99923195084485406"/>
    <n v="1.1861111111111111"/>
    <n v="6.8138888888888891"/>
    <n v="0.85173611111111114"/>
    <n v="486.875"/>
    <n v="6"/>
    <n v="6.2978177150192556"/>
    <n v="0.95271096616388096"/>
    <n v="0.81083509344598048"/>
    <n v="2687"/>
  </r>
  <r>
    <x v="5"/>
    <s v="A"/>
    <x v="0"/>
    <s v="FO011"/>
    <s v="M2"/>
    <s v="L2"/>
    <s v="NIPPLE S TYPE S SIZE INJECTION"/>
    <s v="HEH07Na"/>
    <n v="8"/>
    <n v="4815"/>
    <n v="601.875"/>
    <n v="5465"/>
    <n v="5400"/>
    <n v="0"/>
    <n v="0"/>
    <n v="0"/>
    <n v="0"/>
    <n v="57"/>
    <n v="8"/>
    <n v="1"/>
    <n v="5400"/>
    <n v="1.1214953271028036"/>
    <s v="Silicon"/>
    <n v="6.8"/>
    <n v="37.161999999999999"/>
    <n v="0.98810612991765778"/>
    <n v="1.0445299615173173E-2"/>
    <n v="0"/>
    <n v="0.98956999085086916"/>
    <n v="0"/>
    <n v="8"/>
    <n v="1"/>
    <n v="675"/>
    <n v="5.25"/>
    <n v="5.333333333333333"/>
    <n v="0.984375"/>
    <n v="0.97410795974382436"/>
    <n v="2271"/>
  </r>
  <r>
    <x v="5"/>
    <s v="A"/>
    <x v="3"/>
    <s v="FO020"/>
    <m/>
    <s v="P1"/>
    <s v="NIPPLE S TYPE M SIZE PUNCHED"/>
    <s v="HEH05NbH06PbH07Pa"/>
    <n v="8"/>
    <n v="7036"/>
    <n v="879.5"/>
    <n v="7000"/>
    <n v="6994"/>
    <n v="0"/>
    <n v="0"/>
    <n v="0"/>
    <n v="0"/>
    <n v="6"/>
    <n v="0"/>
    <n v="1"/>
    <n v="6994"/>
    <n v="0.99403069926094367"/>
    <s v="FO016"/>
    <n v="0"/>
    <n v="0"/>
    <s v=" "/>
    <n v="8.571428571428571E-4"/>
    <n v="0"/>
    <n v="0.99914285714285711"/>
    <n v="0.5083333333333333"/>
    <n v="7.4916666666666671"/>
    <n v="0.93645833333333339"/>
    <n v="874.25"/>
    <n v="3.5"/>
    <n v="3.856162424935659"/>
    <n v="0.90763811642565817"/>
    <n v="0.84923673611111117"/>
    <s v="2268/2269"/>
  </r>
  <r>
    <x v="5"/>
    <s v="A"/>
    <x v="2"/>
    <s v="FO016"/>
    <m/>
    <s v="PC1"/>
    <s v="NIPPLE S TYPE M SIZE POSTCURED"/>
    <s v="HEH06NbH07Pa"/>
    <n v="4.5"/>
    <n v="5036"/>
    <n v="1119.1111111111111"/>
    <n v="8612"/>
    <n v="8612"/>
    <n v="0"/>
    <n v="0"/>
    <n v="0"/>
    <n v="0"/>
    <n v="0"/>
    <n v="0"/>
    <n v="1"/>
    <n v="8612"/>
    <n v="1.710087370929309"/>
    <s v="FO012"/>
    <n v="0"/>
    <n v="0"/>
    <s v=" "/>
    <n v="0"/>
    <n v="0"/>
    <n v="1"/>
    <n v="0"/>
    <n v="4.5"/>
    <n v="1"/>
    <n v="1913.7777777777778"/>
    <n v="2.2999999999999998"/>
    <n v="1.8810961449140733"/>
    <n v="1.2226913580246914"/>
    <n v="1.2226913580246914"/>
    <s v="2264/2265/2266"/>
  </r>
  <r>
    <x v="5"/>
    <s v="A"/>
    <x v="2"/>
    <s v="FO015"/>
    <m/>
    <s v="PC1"/>
    <s v="NIPPLE S TYPE S SIZE POSTCURED"/>
    <s v="HEH06NcH07Pa"/>
    <n v="3.5"/>
    <n v="2000"/>
    <n v="571.42857142857144"/>
    <n v="6800"/>
    <n v="6800"/>
    <n v="0"/>
    <n v="0"/>
    <n v="0"/>
    <n v="0"/>
    <n v="0"/>
    <n v="0"/>
    <n v="1"/>
    <n v="6800"/>
    <n v="3.4"/>
    <s v="FO011"/>
    <n v="0"/>
    <n v="0"/>
    <s v=" "/>
    <n v="0"/>
    <n v="0"/>
    <n v="1"/>
    <n v="0"/>
    <n v="3.5"/>
    <n v="1"/>
    <n v="1942.8571428571429"/>
    <n v="2.2999999999999998"/>
    <n v="1.8529411764705883"/>
    <n v="1.2412698412698411"/>
    <n v="1.2412698412698411"/>
    <s v="2267/2273"/>
  </r>
  <r>
    <x v="5"/>
    <s v="A"/>
    <x v="1"/>
    <s v="FO002"/>
    <s v="BM2"/>
    <s v="B2"/>
    <s v="KPP 200 ML BOTTLE MOLDED"/>
    <s v="EH07Ba2"/>
    <n v="8"/>
    <n v="2574"/>
    <n v="321.75"/>
    <n v="3038"/>
    <n v="2916"/>
    <n v="0.2"/>
    <n v="50"/>
    <n v="0"/>
    <n v="0"/>
    <n v="64"/>
    <n v="8"/>
    <n v="1"/>
    <n v="2916"/>
    <n v="1.1328671328671329"/>
    <s v="HMC"/>
    <n v="28.1"/>
    <n v="85.567800000000005"/>
    <n v="0.95759853589784938"/>
    <n v="2.1476510067114093E-2"/>
    <n v="1.6191709844559584E-2"/>
    <n v="0.97893350888742592"/>
    <n v="0"/>
    <n v="8"/>
    <n v="1"/>
    <n v="364.5"/>
    <n v="9"/>
    <n v="9.8765432098765427"/>
    <n v="0.91125"/>
    <n v="0.89205315997366685"/>
    <n v="2270"/>
  </r>
  <r>
    <x v="5"/>
    <s v="A"/>
    <x v="5"/>
    <s v="FO143"/>
    <m/>
    <s v="INJ-1"/>
    <s v="CAP S TYPE MOLDED PINK"/>
    <s v="EH07Ca"/>
    <n v="8"/>
    <n v="4137"/>
    <n v="517.125"/>
    <n v="4712"/>
    <n v="4700"/>
    <n v="0.38"/>
    <n v="0"/>
    <n v="0"/>
    <n v="0"/>
    <n v="4"/>
    <n v="8"/>
    <n v="1"/>
    <n v="4700"/>
    <n v="1.1360889533478367"/>
    <s v="RM000123"/>
    <n v="7.3"/>
    <n v="34.7776"/>
    <n v="0.98655456385719553"/>
    <n v="8.5034013605442174E-4"/>
    <n v="0"/>
    <n v="0.99915110356536507"/>
    <n v="0"/>
    <n v="8"/>
    <n v="1"/>
    <n v="587.5"/>
    <n v="6"/>
    <n v="6.1276595744680851"/>
    <n v="0.97916666666666663"/>
    <n v="0.97833545557441992"/>
    <n v="2688"/>
  </r>
  <r>
    <x v="5"/>
    <s v="G"/>
    <x v="4"/>
    <s v="FO109"/>
    <m/>
    <m/>
    <s v="NIPPLE S TYPE M SIZE PUNCHED INSPECTED"/>
    <s v="HEH05NaH05PbH06Pb"/>
    <n v="8.5"/>
    <n v="14182"/>
    <n v="1668.4705882352941"/>
    <n v="15089"/>
    <n v="14937"/>
    <n v="0"/>
    <n v="0"/>
    <n v="0"/>
    <n v="0"/>
    <n v="152"/>
    <n v="0"/>
    <n v="2"/>
    <n v="7468.5"/>
    <n v="1.0532364969679875"/>
    <s v="FO105"/>
    <n v="0"/>
    <n v="0"/>
    <s v=" "/>
    <n v="1.0073563523096296E-2"/>
    <n v="0"/>
    <n v="0.9899264364769037"/>
    <n v="0.84722222222222221"/>
    <n v="7.6527777777777777"/>
    <n v="0.90032679738562094"/>
    <n v="1757.2941176470588"/>
    <n v="4"/>
    <n v="3.6888264042311039"/>
    <n v="1.084355716878403"/>
    <n v="0.96643994651343224"/>
    <s v="2277/2278/2281"/>
  </r>
  <r>
    <x v="5"/>
    <s v="G"/>
    <x v="6"/>
    <s v="FO048"/>
    <m/>
    <s v="PR1"/>
    <s v="KPP BOTTLE 200 ML PRINTED-WMG3B"/>
    <s v="EH06Bb2H07Pa"/>
    <n v="3.5"/>
    <n v="2125"/>
    <n v="607.14285714285711"/>
    <n v="2017"/>
    <n v="1989"/>
    <n v="0"/>
    <n v="0"/>
    <n v="12"/>
    <n v="0"/>
    <n v="28"/>
    <n v="0"/>
    <n v="6"/>
    <n v="331.5"/>
    <n v="0.93600000000000005"/>
    <s v="FO043"/>
    <n v="0"/>
    <n v="0"/>
    <s v=" "/>
    <n v="1.3882002974714923E-2"/>
    <n v="0"/>
    <n v="0.98611799702528513"/>
    <n v="0.33888888888888885"/>
    <n v="3.161111111111111"/>
    <n v="0.90317460317460319"/>
    <n v="568.28571428571433"/>
    <n v="32.4"/>
    <n v="34.328808446455504"/>
    <n v="0.94381370826010547"/>
    <n v="0.84059515546426811"/>
    <n v="22882290"/>
  </r>
  <r>
    <x v="5"/>
    <s v="G"/>
    <x v="6"/>
    <s v="FO088"/>
    <m/>
    <s v="PR1"/>
    <s v="KPP 200 BOTTLE PRINTED (WMG3B) W/O OZ &amp; W/BIS LOGO"/>
    <s v="EH05Bc2H07Pa"/>
    <n v="1"/>
    <n v="638"/>
    <n v="638"/>
    <n v="487"/>
    <n v="467"/>
    <n v="0"/>
    <n v="0"/>
    <n v="0"/>
    <n v="0"/>
    <n v="20"/>
    <n v="0"/>
    <n v="6"/>
    <n v="77.833333333333329"/>
    <n v="0.73197492163009403"/>
    <s v="FO043"/>
    <n v="0"/>
    <n v="0"/>
    <s v=" "/>
    <n v="4.1067761806981518E-2"/>
    <n v="0"/>
    <n v="0.95893223819301843"/>
    <n v="0"/>
    <n v="1"/>
    <n v="1"/>
    <n v="467"/>
    <n v="32.4"/>
    <n v="46.252676659528909"/>
    <n v="0.7004999999999999"/>
    <n v="0.67173203285420935"/>
    <s v="PINPM/21-22/2314"/>
  </r>
  <r>
    <x v="5"/>
    <s v="G"/>
    <x v="6"/>
    <s v="FO009"/>
    <m/>
    <s v="PR1"/>
    <s v="RPP 120 ML BOTTLE PRINTED"/>
    <s v="EG20Ba1H07Pa"/>
    <n v="4"/>
    <n v="2550"/>
    <n v="637.5"/>
    <n v="2538"/>
    <n v="2520"/>
    <n v="0"/>
    <n v="0"/>
    <n v="11"/>
    <n v="0"/>
    <n v="18"/>
    <n v="0"/>
    <n v="6"/>
    <n v="420"/>
    <n v="0.9882352941176471"/>
    <s v="FO004"/>
    <n v="0"/>
    <n v="0"/>
    <s v=" "/>
    <n v="7.0921985815602835E-3"/>
    <n v="0"/>
    <n v="0.99290780141843971"/>
    <n v="0.5083333333333333"/>
    <n v="3.4916666666666667"/>
    <n v="0.87291666666666667"/>
    <n v="630"/>
    <n v="32.4"/>
    <n v="29.928571428571427"/>
    <n v="1.0825775656324583"/>
    <n v="0.93829787234042561"/>
    <s v="PINPM/21-22/2294, 96"/>
  </r>
  <r>
    <x v="5"/>
    <s v="B"/>
    <x v="3"/>
    <s v="FO020"/>
    <m/>
    <s v="P1"/>
    <s v="NIPPLE S TYPE M SIZE PUNCHED"/>
    <s v="HEH05NcH07Pa"/>
    <n v="8"/>
    <n v="7036"/>
    <n v="879.5"/>
    <n v="6600"/>
    <n v="6600"/>
    <n v="0"/>
    <n v="0"/>
    <n v="0"/>
    <n v="0"/>
    <n v="0"/>
    <n v="0"/>
    <n v="1"/>
    <n v="6600"/>
    <n v="0.93803297328027291"/>
    <s v="FO016"/>
    <n v="0"/>
    <n v="0"/>
    <s v=" "/>
    <n v="0"/>
    <n v="0"/>
    <n v="1"/>
    <n v="0.6777777777777777"/>
    <n v="7.322222222222222"/>
    <n v="0.91527777777777775"/>
    <n v="825"/>
    <n v="3.5"/>
    <n v="3.9939393939393941"/>
    <n v="0.87632776934749612"/>
    <n v="0.80208333333333326"/>
    <s v="2276/2279/2280"/>
  </r>
  <r>
    <x v="5"/>
    <s v="B"/>
    <x v="5"/>
    <s v="FO143"/>
    <m/>
    <s v="INJ-1"/>
    <s v="CAP S TYPE MOLDED PINK"/>
    <s v="EH07Ca"/>
    <n v="3"/>
    <n v="1500"/>
    <n v="500"/>
    <n v="1500"/>
    <n v="1500"/>
    <n v="0"/>
    <n v="0"/>
    <n v="0"/>
    <n v="0"/>
    <n v="0"/>
    <n v="0"/>
    <n v="1"/>
    <n v="1500"/>
    <n v="1"/>
    <s v="RM000123"/>
    <n v="7.3"/>
    <n v="10.95"/>
    <n v="1"/>
    <n v="0"/>
    <n v="0"/>
    <n v="1"/>
    <n v="0"/>
    <n v="3"/>
    <n v="1"/>
    <n v="500"/>
    <n v="6"/>
    <n v="7.2"/>
    <n v="0.83333333333333326"/>
    <n v="0.83333333333333326"/>
    <n v="2688"/>
  </r>
  <r>
    <x v="5"/>
    <s v="B"/>
    <x v="5"/>
    <s v="FO143"/>
    <m/>
    <s v="INJ-1"/>
    <s v="CAP S TYPE MOLDED PINK"/>
    <s v="EH07CRa"/>
    <n v="5"/>
    <n v="2637"/>
    <n v="527.4"/>
    <n v="3000"/>
    <n v="3000"/>
    <n v="0"/>
    <n v="0"/>
    <n v="0"/>
    <n v="0"/>
    <n v="0"/>
    <n v="0"/>
    <n v="1"/>
    <n v="3000"/>
    <n v="1.1376564277588168"/>
    <s v="RM000123"/>
    <n v="7.3"/>
    <n v="21.9"/>
    <n v="1"/>
    <n v="0"/>
    <n v="0"/>
    <n v="1"/>
    <n v="0"/>
    <n v="5"/>
    <n v="1"/>
    <n v="600"/>
    <n v="6"/>
    <n v="6"/>
    <n v="1"/>
    <n v="1"/>
    <n v="2689"/>
  </r>
  <r>
    <x v="5"/>
    <s v="B"/>
    <x v="0"/>
    <s v="FO011"/>
    <s v="M2"/>
    <s v="L2"/>
    <s v="NIPPLE S TYPE S SIZE INJECTION"/>
    <s v="HEH07Nb"/>
    <n v="8"/>
    <n v="4815"/>
    <n v="601.875"/>
    <n v="5065"/>
    <n v="5000"/>
    <n v="0"/>
    <n v="21"/>
    <n v="0"/>
    <n v="0"/>
    <n v="44"/>
    <n v="0"/>
    <n v="1"/>
    <n v="5000"/>
    <n v="1.0384215991692627"/>
    <s v="Silicon"/>
    <n v="6.8"/>
    <n v="34.442"/>
    <n v="0.98716683119447191"/>
    <n v="8.7232355273592389E-3"/>
    <n v="4.1289815178922528E-3"/>
    <n v="0.99131293188548864"/>
    <n v="0.5083333333333333"/>
    <n v="7.4916666666666671"/>
    <n v="0.93645833333333339"/>
    <n v="625"/>
    <n v="5.25"/>
    <n v="5.3940000000000001"/>
    <n v="0.97330367074527246"/>
    <n v="0.90354043270812767"/>
    <n v="2282"/>
  </r>
  <r>
    <x v="5"/>
    <s v="B"/>
    <x v="1"/>
    <s v="FO002"/>
    <s v="BM2"/>
    <s v="B2"/>
    <s v="KPP 200 ML BOTTLE MOLDED"/>
    <s v="EH07Bb2"/>
    <n v="8"/>
    <n v="2574"/>
    <n v="321.75"/>
    <n v="3114"/>
    <n v="3024"/>
    <n v="0"/>
    <n v="30"/>
    <n v="0"/>
    <n v="0"/>
    <n v="60"/>
    <n v="0"/>
    <n v="1"/>
    <n v="3024"/>
    <n v="1.1748251748251748"/>
    <s v="HMC"/>
    <n v="28.1"/>
    <n v="87.503399999999999"/>
    <n v="0.97109826589595383"/>
    <n v="1.9455252918287938E-2"/>
    <n v="9.5419847328244278E-3"/>
    <n v="0.98073217726396922"/>
    <n v="0"/>
    <n v="8"/>
    <n v="1"/>
    <n v="378"/>
    <n v="9"/>
    <n v="9.5238095238095237"/>
    <n v="0.94500000000000006"/>
    <n v="0.92679190751445095"/>
    <n v="2283"/>
  </r>
  <r>
    <x v="5"/>
    <s v="C"/>
    <x v="0"/>
    <s v="FO011"/>
    <s v="M2"/>
    <s v="L2"/>
    <s v="NIPPLE S TYPE S SIZE INJECTION"/>
    <s v="HEH07Nc"/>
    <n v="8"/>
    <n v="4815"/>
    <n v="601.875"/>
    <n v="4678"/>
    <n v="4600"/>
    <n v="0.57999999999999996"/>
    <n v="30"/>
    <n v="0"/>
    <n v="0"/>
    <n v="40"/>
    <n v="8"/>
    <n v="1"/>
    <n v="4600"/>
    <n v="0.95534787123572174"/>
    <s v="Silicon"/>
    <n v="6.8"/>
    <n v="32.3904"/>
    <n v="0.96571823750246977"/>
    <n v="8.6206896551724137E-3"/>
    <n v="6.3721325403568391E-3"/>
    <n v="0.9914493373236426"/>
    <n v="1.5249999999999999"/>
    <n v="6.4749999999999996"/>
    <n v="0.80937499999999996"/>
    <n v="575"/>
    <n v="5.25"/>
    <n v="5.0673913043478258"/>
    <n v="1.0360360360360361"/>
    <n v="0.83137157973492959"/>
    <n v="2284"/>
  </r>
  <r>
    <x v="5"/>
    <s v="C"/>
    <x v="1"/>
    <s v="FO002"/>
    <s v="BM2"/>
    <s v="B2"/>
    <s v="KPP 200 ML BOTTLE MOLDED"/>
    <s v="EH07Bc2"/>
    <n v="8"/>
    <n v="2574"/>
    <n v="321.75"/>
    <n v="3012"/>
    <n v="2916"/>
    <n v="0"/>
    <n v="34"/>
    <n v="0"/>
    <n v="0"/>
    <n v="54"/>
    <n v="8"/>
    <n v="1"/>
    <n v="2916"/>
    <n v="1.1328671328671329"/>
    <s v="HMC"/>
    <n v="28.1"/>
    <n v="84.637199999999993"/>
    <n v="0.96812749003984067"/>
    <n v="1.8181818181818181E-2"/>
    <n v="1.1162179908076166E-2"/>
    <n v="0.98207171314741037"/>
    <n v="0.5083333333333333"/>
    <n v="7.4916666666666671"/>
    <n v="0.93645833333333339"/>
    <n v="364.5"/>
    <n v="9"/>
    <n v="9.2489711934156382"/>
    <n v="0.97308120133481646"/>
    <n v="0.89491284860557774"/>
    <n v="2285"/>
  </r>
  <r>
    <x v="5"/>
    <s v="C"/>
    <x v="5"/>
    <s v="FO143"/>
    <m/>
    <s v="INJ-1"/>
    <s v="CAP S TYPE MOLDED PINK"/>
    <s v="EH07CRc"/>
    <n v="3"/>
    <n v="1557"/>
    <n v="519"/>
    <n v="1572"/>
    <n v="1560"/>
    <n v="0"/>
    <n v="0"/>
    <n v="0"/>
    <n v="0"/>
    <n v="8"/>
    <n v="4"/>
    <n v="1"/>
    <n v="1560"/>
    <n v="1.0019267822736031"/>
    <s v="RM000123"/>
    <n v="7.3"/>
    <n v="11.4756"/>
    <n v="0.99236641221374045"/>
    <n v="5.1020408163265302E-3"/>
    <n v="0"/>
    <n v="0.99491094147582693"/>
    <n v="0.33888888888888885"/>
    <n v="2.661111111111111"/>
    <n v="0.88703703703703696"/>
    <n v="520"/>
    <n v="6"/>
    <n v="6.1410256410256414"/>
    <n v="0.97703549060542794"/>
    <n v="0.86225614927904992"/>
    <n v="2689"/>
  </r>
  <r>
    <x v="5"/>
    <s v="C"/>
    <x v="5"/>
    <s v="FO143"/>
    <m/>
    <s v="INJ-1"/>
    <s v="CAP S TYPE MOLDED PINK"/>
    <s v="EH07Cc"/>
    <n v="5"/>
    <n v="2580"/>
    <n v="516"/>
    <n v="2588"/>
    <n v="2580"/>
    <n v="0.09"/>
    <n v="0"/>
    <n v="0"/>
    <n v="0"/>
    <n v="4"/>
    <n v="4"/>
    <n v="1"/>
    <n v="2580"/>
    <n v="1"/>
    <s v="RM000123"/>
    <n v="7.3"/>
    <n v="18.982399999999998"/>
    <n v="0.99218223196223876"/>
    <n v="1.5479876160990713E-3"/>
    <n v="0"/>
    <n v="0.99845440494590421"/>
    <n v="0.33888888888888885"/>
    <n v="4.6611111111111114"/>
    <n v="0.93222222222222229"/>
    <n v="516"/>
    <n v="6"/>
    <n v="6.5038759689922481"/>
    <n v="0.92252681764004762"/>
    <n v="0.85867078825347753"/>
    <n v="2688"/>
  </r>
  <r>
    <x v="6"/>
    <s v="A"/>
    <x v="0"/>
    <s v="FO011"/>
    <s v="M2"/>
    <s v="L2"/>
    <s v="NIPPLE S TYPE S SIZE INJECTION"/>
    <s v="HEH09Na"/>
    <n v="8"/>
    <n v="3600"/>
    <n v="450"/>
    <n v="4605"/>
    <n v="4500"/>
    <n v="0.32"/>
    <n v="48"/>
    <n v="0"/>
    <n v="0"/>
    <n v="49"/>
    <n v="8"/>
    <n v="1"/>
    <n v="4500"/>
    <n v="1.25"/>
    <s v="Silicon"/>
    <n v="6.8"/>
    <n v="31.633999999999997"/>
    <n v="0.9673136498703927"/>
    <n v="1.0771598153440316E-2"/>
    <n v="1.0315925209542231E-2"/>
    <n v="0.98935939196525513"/>
    <n v="1.5249999999999999"/>
    <n v="6.4749999999999996"/>
    <n v="0.80937499999999996"/>
    <n v="562.5"/>
    <n v="5.25"/>
    <n v="5.18"/>
    <n v="1.0135135135135136"/>
    <n v="0.8115838762214983"/>
    <n v="2292"/>
  </r>
  <r>
    <x v="6"/>
    <s v="A"/>
    <x v="1"/>
    <s v="FO002"/>
    <s v="BM2"/>
    <s v="B2"/>
    <s v="KPP 200 ML BOTTLE MOLDED"/>
    <s v="EH09Ba2"/>
    <n v="8"/>
    <n v="2574"/>
    <n v="321.75"/>
    <n v="2278"/>
    <n v="2160"/>
    <n v="0.185"/>
    <n v="60"/>
    <n v="0"/>
    <n v="0"/>
    <n v="50"/>
    <n v="8"/>
    <n v="1"/>
    <n v="2160"/>
    <n v="0.83916083916083917"/>
    <s v="HMC"/>
    <n v="28.1"/>
    <n v="64.196799999999996"/>
    <n v="0.94546768686289662"/>
    <n v="2.2624434389140271E-2"/>
    <n v="2.5662959794696322E-2"/>
    <n v="0.97805092186128184"/>
    <n v="2.5416666666666665"/>
    <n v="5.4583333333333339"/>
    <n v="0.68229166666666674"/>
    <n v="270"/>
    <n v="9"/>
    <n v="9.0972222222222232"/>
    <n v="0.98931297709923649"/>
    <n v="0.66018437225636528"/>
    <n v="2287"/>
  </r>
  <r>
    <x v="6"/>
    <s v="A"/>
    <x v="5"/>
    <s v="FO143"/>
    <m/>
    <s v="INJ-1"/>
    <s v="CAP S TYPE MOLDED PINK"/>
    <s v="EH09Ca"/>
    <n v="8"/>
    <n v="4137"/>
    <n v="517.125"/>
    <n v="3612"/>
    <n v="3600"/>
    <n v="0"/>
    <n v="0"/>
    <n v="0"/>
    <n v="0"/>
    <n v="4"/>
    <n v="8"/>
    <n v="1"/>
    <n v="3600"/>
    <n v="0.8701957940536621"/>
    <s v="RM000123"/>
    <n v="7.3"/>
    <n v="26.367599999999999"/>
    <n v="0.99667774086378746"/>
    <n v="1.1098779134295228E-3"/>
    <n v="0"/>
    <n v="0.99889258028792915"/>
    <n v="1.5249999999999999"/>
    <n v="6.4749999999999996"/>
    <n v="0.80937499999999996"/>
    <n v="450"/>
    <n v="6"/>
    <n v="6.4749999999999996"/>
    <n v="0.92664092664092668"/>
    <n v="0.74916943521594692"/>
    <n v="2688"/>
  </r>
  <r>
    <x v="6"/>
    <s v="A"/>
    <x v="2"/>
    <s v="FO015"/>
    <m/>
    <s v="PC1"/>
    <s v="NIPPLE S TYPE S SIZE POSTCURED"/>
    <s v="HEH07NaH09Pa"/>
    <n v="2.5"/>
    <n v="3400"/>
    <n v="1360"/>
    <n v="3400"/>
    <n v="3400"/>
    <n v="0"/>
    <n v="0"/>
    <n v="0"/>
    <n v="0"/>
    <n v="0"/>
    <n v="0"/>
    <n v="1"/>
    <n v="3400"/>
    <n v="1"/>
    <s v="FO011"/>
    <n v="0"/>
    <n v="0"/>
    <s v=" "/>
    <n v="0"/>
    <n v="0"/>
    <n v="1"/>
    <n v="0"/>
    <n v="2.5"/>
    <n v="1"/>
    <n v="1360"/>
    <n v="2.2999999999999998"/>
    <n v="2.6470588235294117"/>
    <n v="0.86888888888888882"/>
    <n v="0.86888888888888882"/>
    <n v="2293"/>
  </r>
  <r>
    <x v="6"/>
    <s v="A"/>
    <x v="3"/>
    <s v="FO020"/>
    <m/>
    <s v="P1"/>
    <s v="NIPPLE S TYPE M SIZE PUNCHED"/>
    <s v="HEH06NbH07PaH09Pa"/>
    <n v="4"/>
    <n v="3000"/>
    <n v="750"/>
    <n v="2992"/>
    <n v="2992"/>
    <n v="0"/>
    <n v="0"/>
    <n v="0"/>
    <n v="0"/>
    <n v="0"/>
    <n v="0"/>
    <n v="1"/>
    <n v="2992"/>
    <n v="0.99733333333333329"/>
    <s v="FO016"/>
    <n v="0"/>
    <n v="0"/>
    <s v=" "/>
    <n v="0"/>
    <n v="0"/>
    <n v="1"/>
    <n v="1.0166666666666666"/>
    <n v="2.9833333333333334"/>
    <n v="0.74583333333333335"/>
    <n v="748"/>
    <n v="3.5"/>
    <n v="3.5895721925133688"/>
    <n v="0.97504655493482317"/>
    <n v="0.72722222222222233"/>
    <n v="2297"/>
  </r>
  <r>
    <x v="6"/>
    <s v="A"/>
    <x v="3"/>
    <s v="FO019"/>
    <m/>
    <s v="P1"/>
    <s v="NIPPLE S TYPE S SIZE PUNCHED"/>
    <s v="HEH06NcH07PaH09Pa"/>
    <n v="4"/>
    <n v="2036"/>
    <n v="509"/>
    <n v="3000"/>
    <n v="2992"/>
    <n v="0"/>
    <n v="0"/>
    <n v="0"/>
    <n v="0"/>
    <n v="0"/>
    <n v="8"/>
    <n v="1"/>
    <n v="2992"/>
    <n v="1.4695481335952849"/>
    <s v="FO015"/>
    <n v="0"/>
    <n v="0"/>
    <s v=" "/>
    <n v="0"/>
    <n v="0"/>
    <n v="1"/>
    <n v="1.0166666666666666"/>
    <n v="2.9833333333333334"/>
    <n v="0.74583333333333335"/>
    <n v="748"/>
    <n v="3.5"/>
    <n v="3.5895721925133688"/>
    <n v="0.97504655493482317"/>
    <n v="0.72722222222222233"/>
    <n v="2295"/>
  </r>
  <r>
    <x v="6"/>
    <s v="G"/>
    <x v="6"/>
    <s v="FO009"/>
    <m/>
    <s v="PR1"/>
    <s v="RPP 120 ML BOTTLE PRINTED"/>
    <s v="EH02Bc1H09Pa"/>
    <n v="8.5"/>
    <n v="5100"/>
    <n v="600"/>
    <n v="6353"/>
    <n v="6322"/>
    <n v="0"/>
    <n v="0"/>
    <n v="54"/>
    <n v="0"/>
    <n v="31"/>
    <n v="0"/>
    <n v="6"/>
    <n v="1053.6666666666667"/>
    <n v="1.2396078431372548"/>
    <s v="FO004"/>
    <n v="0"/>
    <n v="0"/>
    <s v=" "/>
    <n v="4.8795844482921458E-3"/>
    <n v="0"/>
    <n v="0.99512041555170783"/>
    <n v="0.84722222222222221"/>
    <n v="7.6527777777777777"/>
    <n v="0.90032679738562094"/>
    <n v="743.76470588235293"/>
    <n v="32.4"/>
    <n v="26.146788990825687"/>
    <n v="1.239157894736842"/>
    <n v="1.1102031647855111"/>
    <s v="PINPM/21-22/2315,16,17"/>
  </r>
  <r>
    <x v="6"/>
    <s v="G"/>
    <x v="4"/>
    <s v="FO109"/>
    <m/>
    <m/>
    <s v="NIPPLE S TYPE M SIZE PUNCHED INSPECTED"/>
    <s v="HEH06NaH07PaH07Pb"/>
    <n v="4.5"/>
    <n v="8091"/>
    <n v="1798"/>
    <n v="7612"/>
    <n v="7570"/>
    <n v="0"/>
    <n v="0"/>
    <n v="0"/>
    <n v="0"/>
    <n v="42"/>
    <n v="0"/>
    <n v="2"/>
    <n v="3785"/>
    <n v="0.93560746508466197"/>
    <s v="FO105"/>
    <n v="0"/>
    <n v="0"/>
    <s v=" "/>
    <n v="5.5176037834997376E-3"/>
    <n v="0"/>
    <n v="0.99448239621650025"/>
    <n v="0.6777777777777777"/>
    <n v="3.8222222222222224"/>
    <n v="0.84938271604938276"/>
    <n v="1682.2222222222222"/>
    <n v="4"/>
    <n v="3.6354029062087188"/>
    <n v="1.1002906976744187"/>
    <n v="0.92941132584677877"/>
    <s v="2299/2300"/>
  </r>
  <r>
    <x v="6"/>
    <s v="G"/>
    <x v="4"/>
    <s v="FO108"/>
    <m/>
    <m/>
    <s v="NIPPLE S TYPE S SIZE PUNCHED INSPECTED"/>
    <s v="HEH06NcH07PaH09Pa"/>
    <n v="4"/>
    <n v="6091"/>
    <n v="1522.75"/>
    <n v="4792"/>
    <n v="4772"/>
    <n v="0"/>
    <n v="0"/>
    <n v="0"/>
    <n v="0"/>
    <n v="20"/>
    <n v="0"/>
    <n v="2"/>
    <n v="2386"/>
    <n v="0.78345099326875722"/>
    <s v="FO104"/>
    <n v="0"/>
    <n v="0"/>
    <s v=" "/>
    <n v="4.1736227045075123E-3"/>
    <n v="0"/>
    <n v="0.9958263772954925"/>
    <n v="1.6944444444444444"/>
    <n v="2.3055555555555554"/>
    <n v="0.57638888888888884"/>
    <n v="1193"/>
    <n v="4"/>
    <n v="3.4786253143336126"/>
    <n v="1.1498795180722892"/>
    <n v="0.66001159339640136"/>
    <s v="2301/2302"/>
  </r>
  <r>
    <x v="6"/>
    <s v="B"/>
    <x v="3"/>
    <s v="FO019"/>
    <m/>
    <s v="P1"/>
    <s v="NIPPLE S TYPE S SIZE PUNCHED"/>
    <s v="HEH06NcH07PaH09Pb"/>
    <n v="8"/>
    <n v="7036"/>
    <n v="879.5"/>
    <n v="6200"/>
    <n v="6200"/>
    <n v="0"/>
    <n v="0"/>
    <n v="0"/>
    <n v="0"/>
    <n v="0"/>
    <n v="0"/>
    <n v="1"/>
    <n v="6200"/>
    <n v="0.88118249005116545"/>
    <s v="FO015"/>
    <n v="0"/>
    <n v="0"/>
    <s v=" "/>
    <n v="0"/>
    <n v="0"/>
    <n v="1"/>
    <n v="0.6777777777777777"/>
    <n v="7.322222222222222"/>
    <n v="0.91527777777777775"/>
    <n v="775"/>
    <n v="3.5"/>
    <n v="4.2516129032258068"/>
    <n v="0.82321699544764793"/>
    <n v="0.75347222222222221"/>
    <s v="2298/2305"/>
  </r>
  <r>
    <x v="6"/>
    <s v="B"/>
    <x v="1"/>
    <s v="FO002"/>
    <s v="BM2"/>
    <s v="B2"/>
    <s v="KPP 200 ML BOTTLE MOLDED"/>
    <s v="EH09Bb2"/>
    <n v="8"/>
    <n v="2574"/>
    <n v="321.75"/>
    <n v="3117"/>
    <n v="3024"/>
    <n v="0.15"/>
    <n v="35"/>
    <n v="0"/>
    <n v="0"/>
    <n v="58"/>
    <n v="0"/>
    <n v="1"/>
    <n v="3024"/>
    <n v="1.1748251748251748"/>
    <s v="HMC"/>
    <n v="28.1"/>
    <n v="87.737700000000004"/>
    <n v="0.96850498702382215"/>
    <n v="1.8818948734587931E-2"/>
    <n v="1.1104060913705584E-2"/>
    <n v="0.98139236445299971"/>
    <n v="0"/>
    <n v="8"/>
    <n v="1"/>
    <n v="378"/>
    <n v="9"/>
    <n v="9.5238095238095237"/>
    <n v="0.94500000000000006"/>
    <n v="0.92741578440808481"/>
    <n v="2303"/>
  </r>
  <r>
    <x v="6"/>
    <s v="B"/>
    <x v="0"/>
    <s v="FO011"/>
    <s v="M2"/>
    <s v="L2"/>
    <s v="NIPPLE S TYPE S SIZE INJECTION"/>
    <s v="HEH09Nb"/>
    <n v="8"/>
    <n v="4815"/>
    <n v="601.875"/>
    <n v="3770"/>
    <n v="3700"/>
    <n v="0"/>
    <n v="30"/>
    <n v="0"/>
    <n v="0"/>
    <n v="40"/>
    <n v="0"/>
    <n v="1"/>
    <n v="3700"/>
    <n v="0.76843198338525442"/>
    <s v="Silicon"/>
    <n v="6.8"/>
    <n v="25.635999999999999"/>
    <n v="0.98143236074270557"/>
    <n v="1.06951871657754E-2"/>
    <n v="7.8947368421052634E-3"/>
    <n v="0.98938992042440321"/>
    <n v="0"/>
    <n v="8"/>
    <n v="1"/>
    <n v="462.5"/>
    <n v="5.25"/>
    <n v="7.7837837837837842"/>
    <n v="0.67447916666666663"/>
    <n v="0.66732288903625114"/>
    <n v="2304"/>
  </r>
  <r>
    <x v="6"/>
    <s v="B"/>
    <x v="5"/>
    <s v="FO143"/>
    <m/>
    <s v="INJ-1"/>
    <s v="CAP S TYPE MOLDED PINK"/>
    <s v="EH09CRb"/>
    <n v="8"/>
    <n v="4137"/>
    <n v="517.125"/>
    <n v="3752"/>
    <n v="3750"/>
    <n v="0"/>
    <n v="0"/>
    <n v="0"/>
    <n v="0"/>
    <n v="2"/>
    <n v="0"/>
    <n v="1"/>
    <n v="3750"/>
    <n v="0.9064539521392313"/>
    <s v="RM000123"/>
    <n v="7.3"/>
    <n v="27.389600000000002"/>
    <n v="0.99946695095948823"/>
    <n v="5.3304904051172707E-4"/>
    <n v="0"/>
    <n v="0.99946695095948823"/>
    <n v="0"/>
    <n v="8"/>
    <n v="1"/>
    <n v="468.75"/>
    <n v="6"/>
    <n v="7.68"/>
    <n v="0.78125"/>
    <n v="0.7808335554371002"/>
    <n v="2689"/>
  </r>
  <r>
    <x v="6"/>
    <s v="B"/>
    <x v="2"/>
    <s v="FO015"/>
    <m/>
    <s v="PC1"/>
    <s v="NIPPLE S TYPE S SIZE POSTCURED"/>
    <s v="HEH07NbH09Pb"/>
    <n v="8"/>
    <n v="9000"/>
    <n v="1125"/>
    <n v="9600"/>
    <n v="9600"/>
    <n v="0"/>
    <n v="0"/>
    <n v="0"/>
    <n v="0"/>
    <n v="0"/>
    <n v="0"/>
    <n v="1"/>
    <n v="9600"/>
    <n v="1.0666666666666667"/>
    <s v="FO011"/>
    <n v="0"/>
    <n v="0"/>
    <s v=" "/>
    <n v="0"/>
    <n v="0"/>
    <n v="1"/>
    <n v="0.6777777777777777"/>
    <n v="7.322222222222222"/>
    <n v="0.91527777777777775"/>
    <n v="1200"/>
    <n v="2.2999999999999998"/>
    <n v="2.7458333333333331"/>
    <n v="0.83763277693474958"/>
    <n v="0.76666666666666661"/>
    <s v="2306/2307/2308"/>
  </r>
  <r>
    <x v="6"/>
    <s v="C"/>
    <x v="1"/>
    <s v="FO002"/>
    <s v="BM2"/>
    <s v="B2"/>
    <s v="KPP 200 ML BOTTLE MOLDED"/>
    <s v="EH09Bc2"/>
    <n v="8"/>
    <n v="2574"/>
    <n v="321.75"/>
    <n v="3498"/>
    <n v="3356"/>
    <n v="0"/>
    <n v="26"/>
    <n v="0"/>
    <n v="0"/>
    <n v="108"/>
    <n v="8"/>
    <n v="1"/>
    <n v="3356"/>
    <n v="1.3038073038073037"/>
    <s v="HMC"/>
    <n v="28.1"/>
    <n v="98.293800000000005"/>
    <n v="0.95940537449971408"/>
    <n v="3.117782909930716E-2"/>
    <n v="7.3779795686719635E-3"/>
    <n v="0.96912521440823329"/>
    <n v="0.5083333333333333"/>
    <n v="7.4916666666666671"/>
    <n v="0.93645833333333339"/>
    <n v="419.5"/>
    <n v="9"/>
    <n v="8.0363528009535159"/>
    <n v="1.1199110122358176"/>
    <n v="1.0163700686106347"/>
    <s v="2313\2321"/>
  </r>
  <r>
    <x v="6"/>
    <s v="C"/>
    <x v="0"/>
    <s v="FO011"/>
    <s v="M2"/>
    <s v="L2"/>
    <s v="NIPPLE S TYPE S SIZE INJECTION"/>
    <s v="HEH09Nc"/>
    <n v="8"/>
    <n v="4815"/>
    <n v="601.875"/>
    <n v="5086"/>
    <n v="5000"/>
    <n v="0"/>
    <n v="34"/>
    <n v="0"/>
    <n v="0"/>
    <n v="52"/>
    <n v="0"/>
    <n v="1"/>
    <n v="5000"/>
    <n v="1.0384215991692627"/>
    <s v="Silicon"/>
    <n v="6.8"/>
    <n v="34.584800000000001"/>
    <n v="0.98309083759339355"/>
    <n v="1.0292953285827395E-2"/>
    <n v="6.6406249999999998E-3"/>
    <n v="0.98977585528902867"/>
    <n v="0.5083333333333333"/>
    <n v="7.4916666666666671"/>
    <n v="0.93645833333333339"/>
    <n v="625"/>
    <n v="5.25"/>
    <n v="5.3940000000000001"/>
    <n v="0.97330367074527246"/>
    <n v="0.9021394514353126"/>
    <n v="2311"/>
  </r>
  <r>
    <x v="6"/>
    <s v="C"/>
    <x v="5"/>
    <s v="FO143"/>
    <m/>
    <s v="INJ-1"/>
    <s v="CAP S TYPE MOLDED PINK"/>
    <s v="EH09CRc"/>
    <n v="8"/>
    <n v="4137"/>
    <n v="517.125"/>
    <n v="4320"/>
    <n v="4300"/>
    <n v="0"/>
    <n v="0"/>
    <n v="0"/>
    <n v="0"/>
    <n v="4"/>
    <n v="16"/>
    <n v="1"/>
    <n v="4300"/>
    <n v="1.0394005317863186"/>
    <s v="RM000123"/>
    <n v="7.3"/>
    <n v="31.536000000000001"/>
    <n v="0.99537037037037035"/>
    <n v="9.2936802973977691E-4"/>
    <n v="0"/>
    <n v="0.99907407407407411"/>
    <n v="0"/>
    <n v="8"/>
    <n v="1"/>
    <n v="537.5"/>
    <n v="6"/>
    <n v="6.6976744186046515"/>
    <n v="0.89583333333333326"/>
    <n v="0.89500385802469129"/>
    <n v="2689"/>
  </r>
  <r>
    <x v="6"/>
    <s v="C"/>
    <x v="2"/>
    <s v="FO015"/>
    <m/>
    <s v="PC1"/>
    <s v="NIPPLE S TYPE S SIZE POSTCURED"/>
    <s v="HEH09NaH09Pc"/>
    <n v="8"/>
    <n v="7000"/>
    <n v="875"/>
    <n v="10200"/>
    <n v="10200"/>
    <n v="0"/>
    <n v="0"/>
    <n v="0"/>
    <n v="0"/>
    <n v="0"/>
    <n v="0"/>
    <n v="1"/>
    <n v="10200"/>
    <n v="1.4571428571428571"/>
    <s v="FO011"/>
    <n v="0"/>
    <n v="0"/>
    <s v=" "/>
    <n v="0"/>
    <n v="0"/>
    <n v="1"/>
    <n v="0"/>
    <n v="8"/>
    <n v="1"/>
    <n v="1275"/>
    <n v="2.2999999999999998"/>
    <n v="2.8235294117647061"/>
    <n v="0.81458333333333321"/>
    <n v="0.81458333333333321"/>
    <s v="2309/2310/2312"/>
  </r>
  <r>
    <x v="7"/>
    <s v="A"/>
    <x v="5"/>
    <s v="FO143"/>
    <m/>
    <s v="INJ-1"/>
    <s v="CAP S TYPE MOLDED PINK"/>
    <s v="EH10CRa"/>
    <n v="1"/>
    <n v="550"/>
    <n v="550"/>
    <n v="550"/>
    <n v="550"/>
    <n v="0"/>
    <n v="0"/>
    <n v="0"/>
    <n v="0"/>
    <n v="0"/>
    <n v="0"/>
    <n v="1"/>
    <n v="550"/>
    <n v="1"/>
    <s v="RM000123"/>
    <n v="7.3"/>
    <n v="4.0149999999999997"/>
    <n v="1"/>
    <n v="0"/>
    <n v="0"/>
    <n v="1"/>
    <n v="0"/>
    <n v="1"/>
    <n v="1"/>
    <n v="550"/>
    <n v="6"/>
    <n v="6.5454545454545459"/>
    <n v="0.91666666666666663"/>
    <n v="0.91666666666666663"/>
    <n v="2689"/>
  </r>
  <r>
    <x v="7"/>
    <s v="A"/>
    <x v="5"/>
    <s v="FO143"/>
    <m/>
    <s v="INJ-1"/>
    <s v="CAP S TYPE MOLDED PINK"/>
    <s v="EH10Ca"/>
    <n v="7"/>
    <n v="3587"/>
    <n v="512.42857142857144"/>
    <n v="3402"/>
    <n v="3390"/>
    <n v="0"/>
    <n v="0"/>
    <n v="0"/>
    <n v="0"/>
    <n v="4"/>
    <n v="8"/>
    <n v="1"/>
    <n v="3390"/>
    <n v="0.94507945358238077"/>
    <s v="RM000123"/>
    <n v="7.3"/>
    <n v="24.834600000000002"/>
    <n v="0.9964726631393297"/>
    <n v="1.1785503830288745E-3"/>
    <n v="0"/>
    <n v="0.99882422104644331"/>
    <n v="0.76249999999999996"/>
    <n v="6.2374999999999998"/>
    <n v="0.89107142857142851"/>
    <n v="484.28571428571428"/>
    <n v="6"/>
    <n v="6.6238938053097343"/>
    <n v="0.905811623246493"/>
    <n v="0.80619383555891488"/>
    <n v="2688"/>
  </r>
  <r>
    <x v="7"/>
    <s v="A"/>
    <x v="0"/>
    <s v="FO011"/>
    <s v="M2"/>
    <s v="L2"/>
    <s v="NIPPLE S TYPE S SIZE INJECTION"/>
    <s v="HEH10Na"/>
    <n v="8"/>
    <n v="4815"/>
    <n v="601.875"/>
    <n v="5405"/>
    <n v="5300"/>
    <n v="0"/>
    <n v="30"/>
    <n v="0"/>
    <m/>
    <n v="67"/>
    <n v="8"/>
    <n v="1"/>
    <n v="5300"/>
    <n v="1.1007268951194185"/>
    <s v="Silicon"/>
    <n v="6.8"/>
    <n v="36.753999999999998"/>
    <n v="0.98057354301572619"/>
    <n v="1.2483696664803428E-2"/>
    <n v="5.5197792088316471E-3"/>
    <n v="0.98760407030527286"/>
    <n v="0"/>
    <n v="8"/>
    <n v="1"/>
    <n v="662.5"/>
    <n v="5.25"/>
    <n v="5.4339622641509431"/>
    <n v="0.96614583333333337"/>
    <n v="0.95416955750847976"/>
    <s v="2327"/>
  </r>
  <r>
    <x v="7"/>
    <s v="A"/>
    <x v="3"/>
    <s v="FO019"/>
    <m/>
    <s v="P1"/>
    <s v="NIPPLE S TYPE S SIZE PUNCHED"/>
    <s v="HEH07NbH09Pa"/>
    <n v="8"/>
    <n v="7036"/>
    <n v="879.5"/>
    <n v="7000"/>
    <n v="7000"/>
    <n v="0"/>
    <n v="0"/>
    <n v="0"/>
    <n v="0"/>
    <n v="0"/>
    <n v="0"/>
    <n v="1"/>
    <n v="7000"/>
    <n v="0.99488345650938037"/>
    <s v="FO015"/>
    <n v="0"/>
    <n v="0"/>
    <s v=" "/>
    <n v="0"/>
    <n v="0"/>
    <n v="1"/>
    <n v="0.6777777777777777"/>
    <n v="7.322222222222222"/>
    <n v="0.91527777777777775"/>
    <n v="875"/>
    <n v="3.5"/>
    <n v="3.7657142857142856"/>
    <n v="0.92943854324734454"/>
    <n v="0.85069444444444453"/>
    <s v="2328/2329"/>
  </r>
  <r>
    <x v="7"/>
    <s v="G"/>
    <x v="6"/>
    <s v="FO007"/>
    <m/>
    <s v="PR1"/>
    <s v="KPP 200 ML BOTTLE PRINTED"/>
    <s v="EH06Bb2H10Pa"/>
    <n v="8.5"/>
    <n v="5100"/>
    <n v="600"/>
    <n v="5324"/>
    <n v="5292"/>
    <n v="0"/>
    <n v="0"/>
    <n v="52"/>
    <n v="0"/>
    <n v="32"/>
    <n v="0"/>
    <n v="6"/>
    <n v="882"/>
    <n v="1.0376470588235294"/>
    <s v="FO002"/>
    <n v="0"/>
    <n v="0"/>
    <s v=" "/>
    <n v="6.0105184072126224E-3"/>
    <n v="0"/>
    <n v="0.99398948159278733"/>
    <n v="0.84722222222222221"/>
    <n v="7.6527777777777777"/>
    <n v="0.90032679738562094"/>
    <n v="622.58823529411768"/>
    <n v="32.4"/>
    <n v="31.235827664399093"/>
    <n v="1.0372704174228675"/>
    <n v="0.9282692358686524"/>
    <s v="PINPM/21-22/2344,45,49"/>
  </r>
  <r>
    <x v="7"/>
    <s v="G"/>
    <x v="4"/>
    <s v="FO108"/>
    <m/>
    <m/>
    <s v="NIPPLE S TYPE S SIZE PUNCHED INSPECTED"/>
    <s v="HEH07NaH09PaH09Pb"/>
    <n v="8.5"/>
    <n v="14182"/>
    <n v="1668.4705882352941"/>
    <n v="14000"/>
    <n v="13925"/>
    <n v="0"/>
    <n v="0"/>
    <n v="0"/>
    <n v="0"/>
    <n v="75"/>
    <n v="0"/>
    <n v="2"/>
    <n v="6962.5"/>
    <n v="0.98187843745593006"/>
    <s v="FO104"/>
    <n v="0"/>
    <n v="0"/>
    <s v=" "/>
    <n v="5.3571428571428572E-3"/>
    <n v="0"/>
    <n v="0.99464285714285716"/>
    <n v="0.84722222222222221"/>
    <n v="7.6527777777777777"/>
    <n v="0.90032679738562094"/>
    <n v="1638.2352941176471"/>
    <n v="4"/>
    <n v="3.9569120287253141"/>
    <n v="1.0108892921960073"/>
    <n v="0.90525501867413638"/>
    <s v="2332/2333/2334"/>
  </r>
  <r>
    <x v="7"/>
    <s v="B"/>
    <x v="3"/>
    <s v="FO019"/>
    <m/>
    <s v="P1"/>
    <s v="NIPPLE S TYPE S SIZE PUNCHED"/>
    <s v="HEH07NcH09PbH10Pb"/>
    <n v="8"/>
    <n v="7036"/>
    <n v="879.5"/>
    <n v="7100"/>
    <n v="7100"/>
    <n v="0"/>
    <n v="0"/>
    <n v="0"/>
    <n v="0"/>
    <n v="0"/>
    <n v="0"/>
    <n v="1"/>
    <n v="7100"/>
    <n v="1.0090960773166573"/>
    <s v="FO015"/>
    <n v="0"/>
    <n v="0"/>
    <s v=" "/>
    <n v="0"/>
    <n v="0"/>
    <n v="1"/>
    <n v="0.6777777777777777"/>
    <n v="7.322222222222222"/>
    <n v="0.91527777777777775"/>
    <n v="887.5"/>
    <n v="3.5"/>
    <n v="3.7126760563380281"/>
    <n v="0.94271623672230653"/>
    <n v="0.86284722222222221"/>
    <s v="2331/2337"/>
  </r>
  <r>
    <x v="7"/>
    <s v="B"/>
    <x v="0"/>
    <s v="FO011"/>
    <s v="M2"/>
    <s v="L2"/>
    <s v="NIPPLE S TYPE S SIZE INJECTION"/>
    <s v="HEH10Nb"/>
    <n v="8"/>
    <n v="4815"/>
    <n v="601.875"/>
    <n v="5109"/>
    <n v="5000"/>
    <n v="0"/>
    <n v="40"/>
    <n v="0"/>
    <n v="0"/>
    <n v="69"/>
    <n v="0"/>
    <n v="1"/>
    <n v="5000"/>
    <n v="1.0384215991692627"/>
    <s v="Silicon"/>
    <n v="6.8"/>
    <n v="34.741199999999999"/>
    <n v="0.97866510080250535"/>
    <n v="1.3612152298283685E-2"/>
    <n v="7.768498737618955E-3"/>
    <n v="0.98649442160892542"/>
    <n v="0"/>
    <n v="8"/>
    <n v="1"/>
    <n v="625"/>
    <n v="5.25"/>
    <n v="5.76"/>
    <n v="0.91145833333333337"/>
    <n v="0.89914856136230181"/>
    <s v="2338/2340"/>
  </r>
  <r>
    <x v="7"/>
    <s v="B"/>
    <x v="2"/>
    <s v="FO015"/>
    <m/>
    <s v="PC1"/>
    <s v="NIPPLE S TYPE S SIZE POSTCURED"/>
    <s v="HEH09NcH10Pb"/>
    <n v="8"/>
    <n v="11000"/>
    <n v="1375"/>
    <n v="11300"/>
    <n v="11300"/>
    <n v="0"/>
    <n v="0"/>
    <n v="0"/>
    <n v="0"/>
    <n v="0"/>
    <n v="0"/>
    <n v="1"/>
    <n v="11300"/>
    <n v="1.0272727272727273"/>
    <s v="FO011"/>
    <n v="0"/>
    <n v="0"/>
    <s v=" "/>
    <n v="0"/>
    <n v="0"/>
    <n v="1"/>
    <n v="0"/>
    <n v="8"/>
    <n v="1"/>
    <n v="1412.5"/>
    <n v="2.2999999999999998"/>
    <n v="2.5486725663716814"/>
    <n v="0.90243055555555551"/>
    <n v="0.90243055555555551"/>
    <s v="2335/2336/2339"/>
  </r>
  <r>
    <x v="7"/>
    <s v="B"/>
    <x v="5"/>
    <s v="FO143"/>
    <m/>
    <s v="INJ-1"/>
    <s v="CAP S TYPE MOLDED PINK"/>
    <s v="EH10CRb"/>
    <n v="8"/>
    <n v="4137"/>
    <n v="517.125"/>
    <n v="4320"/>
    <n v="4320"/>
    <n v="0"/>
    <n v="0"/>
    <n v="0"/>
    <n v="0"/>
    <n v="0"/>
    <n v="0"/>
    <n v="1"/>
    <n v="4320"/>
    <n v="1.0442349528643944"/>
    <s v="RM000123"/>
    <n v="7.3"/>
    <n v="31.536000000000001"/>
    <n v="1"/>
    <n v="0"/>
    <n v="0"/>
    <n v="1"/>
    <n v="0"/>
    <n v="8"/>
    <n v="1"/>
    <n v="540"/>
    <n v="6"/>
    <n v="6.666666666666667"/>
    <n v="0.89999999999999991"/>
    <n v="0.89999999999999991"/>
    <n v="2689"/>
  </r>
  <r>
    <x v="7"/>
    <s v="C"/>
    <x v="1"/>
    <s v="FO003"/>
    <s v="BM3"/>
    <s v="B2"/>
    <s v="KPP 240 ML BOTTLE MOLDED"/>
    <s v="EH10Bc2"/>
    <n v="8"/>
    <n v="2574"/>
    <n v="321.75"/>
    <n v="1773"/>
    <n v="1620"/>
    <n v="0.23"/>
    <n v="107"/>
    <n v="0"/>
    <n v="0"/>
    <n v="38"/>
    <n v="8"/>
    <n v="1"/>
    <n v="1620"/>
    <n v="0.62937062937062938"/>
    <s v="HMC"/>
    <n v="32.1"/>
    <n v="57.143300000000004"/>
    <n v="0.91002794728340852"/>
    <n v="2.2919179734620022E-2"/>
    <n v="5.6914893617021275E-2"/>
    <n v="0.97856739988719688"/>
    <n v="3.3888888888888888"/>
    <n v="4.6111111111111107"/>
    <n v="0.57638888888888884"/>
    <n v="202.5"/>
    <n v="9"/>
    <n v="10.246913580246913"/>
    <n v="0.87831325301204821"/>
    <n v="0.4953997461928934"/>
    <n v="2372"/>
  </r>
  <r>
    <x v="7"/>
    <s v="C"/>
    <x v="0"/>
    <s v="FO011"/>
    <s v="M2"/>
    <s v="L2"/>
    <s v="NIPPLE S TYPE S SIZE INJECTION"/>
    <s v="HEH10Nc"/>
    <n v="8"/>
    <n v="4815"/>
    <n v="601.875"/>
    <n v="5090"/>
    <n v="5000"/>
    <n v="0"/>
    <n v="32"/>
    <n v="0"/>
    <n v="0"/>
    <n v="50"/>
    <n v="8"/>
    <n v="1"/>
    <n v="5000"/>
    <n v="1.0384215991692627"/>
    <s v="Silicon"/>
    <n v="6.8"/>
    <n v="34.611999999999995"/>
    <n v="0.98231827111984293"/>
    <n v="9.9009900990099011E-3"/>
    <n v="6.247559547051933E-3"/>
    <n v="0.99017681728880158"/>
    <n v="0"/>
    <n v="8"/>
    <n v="1"/>
    <n v="625"/>
    <n v="5.25"/>
    <n v="5.76"/>
    <n v="0.91145833333333337"/>
    <n v="0.9025049115913556"/>
    <n v="2341"/>
  </r>
  <r>
    <x v="7"/>
    <s v="C"/>
    <x v="5"/>
    <s v="FO143"/>
    <m/>
    <s v="INJ-1"/>
    <s v="CAP S TYPE MOLDED PINK"/>
    <s v="EH10Cc"/>
    <n v="8"/>
    <n v="4137"/>
    <n v="517.125"/>
    <n v="3800"/>
    <n v="3788"/>
    <n v="0"/>
    <n v="0"/>
    <n v="0"/>
    <n v="0"/>
    <n v="4"/>
    <n v="8"/>
    <n v="1"/>
    <n v="3788"/>
    <n v="0.91563935218757553"/>
    <s v="RM000123"/>
    <n v="7.3"/>
    <n v="27.740000000000002"/>
    <n v="0.99684210526315786"/>
    <n v="1.0548523206751054E-3"/>
    <n v="0"/>
    <n v="0.99894736842105258"/>
    <n v="0"/>
    <n v="8"/>
    <n v="1"/>
    <n v="473.5"/>
    <n v="6"/>
    <n v="7.6029567053854272"/>
    <n v="0.78916666666666668"/>
    <n v="0.78833596491228064"/>
    <n v="2688"/>
  </r>
  <r>
    <x v="7"/>
    <s v="C"/>
    <x v="2"/>
    <s v="FO015"/>
    <m/>
    <s v="PC1"/>
    <s v="NIPPLE S TYPE S SIZE POSTCURED"/>
    <s v="HEH10NbH10Pc"/>
    <n v="8"/>
    <n v="7000"/>
    <n v="875"/>
    <n v="5000"/>
    <n v="5000"/>
    <n v="0"/>
    <n v="0"/>
    <n v="0"/>
    <n v="0"/>
    <n v="0"/>
    <n v="0"/>
    <n v="1"/>
    <n v="5000"/>
    <n v="0.7142857142857143"/>
    <s v="FO011"/>
    <n v="0"/>
    <n v="0"/>
    <s v=" "/>
    <n v="0"/>
    <n v="0"/>
    <n v="1"/>
    <n v="0"/>
    <n v="8"/>
    <n v="1"/>
    <n v="625"/>
    <n v="2.2999999999999998"/>
    <n v="5.76"/>
    <n v="0.39930555555555552"/>
    <n v="0.39930555555555552"/>
    <s v="2342/2343"/>
  </r>
  <r>
    <x v="8"/>
    <s v="A"/>
    <x v="0"/>
    <s v="FO011"/>
    <s v="M2"/>
    <s v="L2"/>
    <s v="NIPPLE S TYPE S SIZE INJECTION"/>
    <s v="HEH11Na"/>
    <n v="8"/>
    <n v="4815"/>
    <n v="601.875"/>
    <n v="4959"/>
    <n v="4820"/>
    <n v="64.88"/>
    <n v="70"/>
    <n v="0"/>
    <n v="0"/>
    <n v="61"/>
    <n v="8"/>
    <n v="1"/>
    <n v="4820"/>
    <n v="1.0010384215991692"/>
    <s v="Silicon"/>
    <n v="6.8"/>
    <n v="98.601199999999992"/>
    <n v="0.33240974754871139"/>
    <n v="1.2497439049375128E-2"/>
    <n v="1.3919268244183734E-2"/>
    <n v="0.98769913288969546"/>
    <n v="0.76249999999999996"/>
    <n v="7.2374999999999998"/>
    <n v="0.90468749999999998"/>
    <n v="602.5"/>
    <n v="5.25"/>
    <n v="5.4056016597510377"/>
    <n v="0.97121473805411618"/>
    <n v="0.86783772770047707"/>
    <n v="2359"/>
  </r>
  <r>
    <x v="8"/>
    <s v="A"/>
    <x v="3"/>
    <s v="FO019"/>
    <m/>
    <s v="P1"/>
    <s v="NIPPLE S TYPE S SIZE PUNCHED"/>
    <s v="HEH09NbH09Pc"/>
    <n v="8"/>
    <n v="7036"/>
    <n v="879.5"/>
    <n v="6700"/>
    <n v="6700"/>
    <n v="0"/>
    <n v="0"/>
    <n v="0"/>
    <n v="0"/>
    <n v="0"/>
    <n v="0"/>
    <n v="1"/>
    <n v="6700"/>
    <n v="0.95224559408754972"/>
    <s v="FO015"/>
    <n v="0"/>
    <n v="0"/>
    <s v=" "/>
    <n v="0"/>
    <n v="0"/>
    <n v="1"/>
    <n v="0.6777777777777777"/>
    <n v="7.322222222222222"/>
    <n v="0.91527777777777775"/>
    <n v="837.5"/>
    <n v="3.5"/>
    <n v="3.9343283582089552"/>
    <n v="0.88960546282245823"/>
    <n v="0.81423611111111105"/>
    <s v="2357/2358"/>
  </r>
  <r>
    <x v="8"/>
    <s v="A"/>
    <x v="5"/>
    <s v="FO144"/>
    <m/>
    <s v="INJ-1"/>
    <s v="CAP S TYPE MOLDED BLUE"/>
    <s v="EH11Ca"/>
    <n v="8"/>
    <n v="4137"/>
    <n v="517.125"/>
    <n v="4372"/>
    <n v="4300"/>
    <n v="0"/>
    <n v="41"/>
    <n v="0"/>
    <n v="0"/>
    <n v="23"/>
    <n v="8"/>
    <n v="1"/>
    <n v="4300"/>
    <n v="1.0394005317863186"/>
    <s v="RM000114"/>
    <n v="7.3"/>
    <n v="31.915600000000001"/>
    <n v="0.98353156450137236"/>
    <n v="5.320379366180893E-3"/>
    <n v="9.290731928393383E-3"/>
    <n v="0.99473924977127171"/>
    <n v="0.5083333333333333"/>
    <n v="7.4916666666666671"/>
    <n v="0.93645833333333339"/>
    <n v="537.5"/>
    <n v="6"/>
    <n v="6.2720930232558141"/>
    <n v="0.95661846496106784"/>
    <n v="0.89112057792009758"/>
    <n v="2690"/>
  </r>
  <r>
    <x v="8"/>
    <s v="A"/>
    <x v="2"/>
    <s v="FO015"/>
    <m/>
    <s v="PC1"/>
    <s v="NIPPLE S TYPE S SIZE POSTCURED"/>
    <s v="HEH10NcH11Pa"/>
    <n v="2"/>
    <n v="3000"/>
    <n v="1500"/>
    <n v="3000"/>
    <n v="3000"/>
    <n v="0"/>
    <n v="0"/>
    <n v="0"/>
    <n v="0"/>
    <n v="0"/>
    <n v="0"/>
    <n v="1"/>
    <n v="3000"/>
    <n v="1"/>
    <s v="FO011"/>
    <n v="0"/>
    <n v="0"/>
    <s v=" "/>
    <n v="0"/>
    <n v="0"/>
    <n v="1"/>
    <n v="0"/>
    <n v="2"/>
    <n v="1"/>
    <n v="1500"/>
    <n v="2.2999999999999998"/>
    <n v="2.4"/>
    <n v="0.95833333333333326"/>
    <n v="0.95833333333333326"/>
    <s v="2361/2362"/>
  </r>
  <r>
    <x v="8"/>
    <s v="G"/>
    <x v="6"/>
    <s v="FO007"/>
    <m/>
    <s v="PR1"/>
    <s v="KPP 200 ML BOTTLE PRINTED"/>
    <s v="EH07Ba1H11Pa"/>
    <n v="8.5"/>
    <n v="5100"/>
    <n v="600"/>
    <n v="5928"/>
    <n v="5899"/>
    <n v="0"/>
    <n v="0"/>
    <n v="56"/>
    <n v="0"/>
    <n v="29"/>
    <n v="0"/>
    <n v="6"/>
    <n v="983.16666666666663"/>
    <n v="1.1566666666666667"/>
    <s v="FO002"/>
    <n v="0"/>
    <n v="0"/>
    <s v=" "/>
    <n v="4.8920377867746291E-3"/>
    <n v="0"/>
    <n v="0.99510796221322539"/>
    <n v="0.84722222222222221"/>
    <n v="7.6527777777777777"/>
    <n v="0.90032679738562094"/>
    <n v="694"/>
    <n v="32.4"/>
    <n v="28.02169859298186"/>
    <n v="1.1562468239564427"/>
    <n v="1.0359073886639676"/>
    <s v="PINPM/21-22/2377,78"/>
  </r>
  <r>
    <x v="8"/>
    <s v="G"/>
    <x v="4"/>
    <s v="FO108"/>
    <m/>
    <m/>
    <s v="NIPPLE S TYPE S SIZE PUNCHED INSPECTED"/>
    <s v="HEH09NaH09PaH10Pb"/>
    <n v="8.5"/>
    <n v="14182"/>
    <n v="1668.4705882352941"/>
    <n v="13200"/>
    <n v="13116"/>
    <n v="0"/>
    <n v="0"/>
    <n v="0"/>
    <n v="0"/>
    <n v="84"/>
    <n v="0"/>
    <n v="2"/>
    <n v="6558"/>
    <n v="0.92483429699619235"/>
    <s v="FO104"/>
    <n v="0"/>
    <n v="0"/>
    <s v=" "/>
    <n v="6.3636363636363638E-3"/>
    <n v="0"/>
    <n v="0.99363636363636365"/>
    <n v="1.5249999999999999"/>
    <n v="6.9749999999999996"/>
    <n v="0.82058823529411762"/>
    <n v="1543.0588235294117"/>
    <n v="4"/>
    <n v="3.828911253430924"/>
    <n v="1.04468339307049"/>
    <n v="0.85179964349376125"/>
    <s v="2366/2367/2368"/>
  </r>
  <r>
    <x v="8"/>
    <s v="B"/>
    <x v="3"/>
    <s v="FO019"/>
    <m/>
    <s v="P1"/>
    <s v="NIPPLE S TYPE S SIZE PUNCHED"/>
    <s v="HEH09NcH10Pb"/>
    <n v="8"/>
    <n v="7036"/>
    <n v="879.5"/>
    <n v="7300"/>
    <n v="7300"/>
    <n v="0"/>
    <n v="0"/>
    <n v="0"/>
    <n v="0"/>
    <n v="0"/>
    <n v="0"/>
    <n v="1"/>
    <n v="7300"/>
    <n v="1.0375213189312109"/>
    <s v="FO015"/>
    <n v="0"/>
    <n v="0"/>
    <s v=" "/>
    <n v="0"/>
    <n v="0"/>
    <n v="1"/>
    <n v="0.6777777777777777"/>
    <n v="7.322222222222222"/>
    <n v="0.91527777777777775"/>
    <n v="912.5"/>
    <n v="3.5"/>
    <n v="3.6109589041095891"/>
    <n v="0.96927162367223063"/>
    <n v="0.88715277777777768"/>
    <s v="2364/2365"/>
  </r>
  <r>
    <x v="8"/>
    <s v="B"/>
    <x v="2"/>
    <s v="FO015"/>
    <m/>
    <s v="PC1"/>
    <s v="NIPPLE S TYPE S SIZE POSTCURED"/>
    <s v="HEH11NaH11Pb"/>
    <n v="8"/>
    <n v="7091"/>
    <n v="886.375"/>
    <n v="6820"/>
    <n v="6820"/>
    <n v="0"/>
    <n v="0"/>
    <n v="0"/>
    <n v="0"/>
    <n v="0"/>
    <n v="0"/>
    <n v="1"/>
    <n v="6820"/>
    <n v="0.96178254124947116"/>
    <s v="FO011"/>
    <n v="0"/>
    <n v="0"/>
    <s v=" "/>
    <n v="0"/>
    <n v="0"/>
    <n v="1"/>
    <n v="2.7111111111111108"/>
    <n v="5.2888888888888896"/>
    <n v="0.6611111111111112"/>
    <n v="852.5"/>
    <n v="2.2999999999999998"/>
    <n v="2.791788856304986"/>
    <n v="0.82384453781512579"/>
    <n v="0.54465277777777765"/>
    <n v="2369"/>
  </r>
  <r>
    <x v="8"/>
    <s v="B"/>
    <x v="0"/>
    <s v="FO011"/>
    <s v="M2"/>
    <s v="L2"/>
    <s v="NIPPLE S TYPE S SIZE INJECTION"/>
    <s v="HEH11Nb"/>
    <n v="8"/>
    <n v="4815"/>
    <n v="601.875"/>
    <n v="4586"/>
    <n v="4500"/>
    <n v="0"/>
    <n v="35"/>
    <n v="0"/>
    <n v="0"/>
    <n v="51"/>
    <n v="0"/>
    <n v="1"/>
    <n v="4500"/>
    <n v="0.93457943925233644"/>
    <s v="Silicon"/>
    <n v="6.8"/>
    <n v="31.184799999999999"/>
    <n v="0.98124727431312686"/>
    <n v="1.1206328279499011E-2"/>
    <n v="7.5741181562432374E-3"/>
    <n v="0.98887919755778453"/>
    <n v="0"/>
    <n v="8"/>
    <n v="1"/>
    <n v="562.5"/>
    <n v="5.25"/>
    <n v="6.4"/>
    <n v="0.8203125"/>
    <n v="0.81118996674662014"/>
    <n v="2370"/>
  </r>
  <r>
    <x v="8"/>
    <s v="B"/>
    <x v="5"/>
    <s v="FO144"/>
    <m/>
    <s v="INJ-1"/>
    <s v="CAP S TYPE MOLDED BLUE"/>
    <s v="EH11Cb"/>
    <n v="2"/>
    <n v="1040"/>
    <n v="520"/>
    <n v="1040"/>
    <n v="1040"/>
    <n v="0"/>
    <n v="0"/>
    <n v="0"/>
    <n v="0"/>
    <n v="0"/>
    <n v="0"/>
    <n v="1"/>
    <n v="1040"/>
    <n v="1"/>
    <s v="RM000114"/>
    <n v="7.3"/>
    <n v="7.5919999999999996"/>
    <n v="1"/>
    <n v="0"/>
    <n v="0"/>
    <n v="1"/>
    <n v="0"/>
    <n v="2"/>
    <n v="1"/>
    <n v="520"/>
    <n v="6"/>
    <n v="6.9230769230769234"/>
    <n v="0.86666666666666659"/>
    <n v="0.86666666666666659"/>
    <n v="2690"/>
  </r>
  <r>
    <x v="8"/>
    <s v="B"/>
    <x v="5"/>
    <s v="FO144"/>
    <m/>
    <s v="INJ-1"/>
    <s v="CAP S TYPE MOLDED BLUE"/>
    <s v="EH11CRb"/>
    <n v="6"/>
    <n v="3097"/>
    <n v="516.16666666666663"/>
    <n v="3505"/>
    <n v="3500"/>
    <n v="0"/>
    <n v="0"/>
    <n v="0"/>
    <n v="0"/>
    <n v="5"/>
    <n v="0"/>
    <n v="1"/>
    <n v="3500"/>
    <n v="1.1301259283177267"/>
    <s v="RM000114"/>
    <n v="7.3"/>
    <n v="25.586500000000001"/>
    <n v="0.99857346647646217"/>
    <n v="1.4265335235378032E-3"/>
    <n v="0"/>
    <n v="0.99857346647646217"/>
    <n v="0"/>
    <n v="6"/>
    <n v="1"/>
    <n v="583.33333333333337"/>
    <n v="6"/>
    <n v="6.1714285714285717"/>
    <n v="0.97222222222222221"/>
    <n v="0.97083531462989381"/>
    <n v="2691"/>
  </r>
  <r>
    <x v="8"/>
    <s v="C"/>
    <x v="1"/>
    <s v="FO001"/>
    <s v="BM4"/>
    <s v="B1"/>
    <s v="KPP 120 ML BOTTLE MOLDED"/>
    <s v="EH11Bc1"/>
    <n v="2"/>
    <n v="500"/>
    <n v="250"/>
    <n v="489"/>
    <n v="453"/>
    <n v="0.25"/>
    <n v="18"/>
    <n v="0"/>
    <n v="0"/>
    <n v="10"/>
    <n v="8"/>
    <n v="1"/>
    <n v="453"/>
    <n v="0.90600000000000003"/>
    <s v="HMC"/>
    <n v="21.3"/>
    <n v="10.665699999999999"/>
    <n v="0.90466636038891024"/>
    <n v="2.159827213822894E-2"/>
    <n v="3.5502958579881658E-2"/>
    <n v="0.9795501022494888"/>
    <n v="0"/>
    <n v="2"/>
    <n v="1"/>
    <n v="226.5"/>
    <n v="9"/>
    <n v="15.894039735099337"/>
    <n v="0.56625000000000003"/>
    <n v="0.55467024539877308"/>
    <n v="2373"/>
  </r>
  <r>
    <x v="8"/>
    <s v="C"/>
    <x v="0"/>
    <s v="FO011"/>
    <s v="M2"/>
    <s v="L2"/>
    <s v="NIPPLE S TYPE S SIZE INJECTION"/>
    <s v="HEH11Nc"/>
    <n v="8"/>
    <n v="4815"/>
    <n v="601.875"/>
    <n v="5373"/>
    <n v="5300"/>
    <n v="0"/>
    <n v="0"/>
    <n v="0"/>
    <n v="0"/>
    <n v="65"/>
    <n v="8"/>
    <n v="1"/>
    <n v="5300"/>
    <n v="1.1007268951194185"/>
    <s v="Silicon"/>
    <n v="6.8"/>
    <n v="36.5364"/>
    <n v="0.98641354922761959"/>
    <n v="1.2115563839701771E-2"/>
    <n v="0"/>
    <n v="0.98790247533966125"/>
    <n v="0"/>
    <n v="8"/>
    <n v="1"/>
    <n v="662.5"/>
    <n v="5.25"/>
    <n v="5.4339622641509431"/>
    <n v="0.96614583333333337"/>
    <n v="0.95445786028909985"/>
    <n v="2374"/>
  </r>
  <r>
    <x v="8"/>
    <s v="C"/>
    <x v="2"/>
    <s v="FO015"/>
    <m/>
    <s v="PC1"/>
    <s v="NIPPLE S TYPE S SIZE POSTCURED"/>
    <s v="HEH11NCH11PC"/>
    <n v="8"/>
    <n v="7000"/>
    <n v="875"/>
    <n v="5500"/>
    <n v="5500"/>
    <n v="0"/>
    <n v="0"/>
    <n v="0"/>
    <n v="0"/>
    <n v="0"/>
    <n v="0"/>
    <n v="1"/>
    <n v="5500"/>
    <n v="0.7857142857142857"/>
    <s v="FO011"/>
    <n v="0"/>
    <n v="0"/>
    <s v=" "/>
    <n v="0"/>
    <n v="0"/>
    <n v="1"/>
    <n v="0.6777777777777777"/>
    <n v="7.322222222222222"/>
    <n v="0.91527777777777775"/>
    <n v="687.5"/>
    <n v="2.2999999999999998"/>
    <n v="4.7927272727272729"/>
    <n v="0.47989377845220027"/>
    <n v="0.43923611111111105"/>
    <s v="2375/2376"/>
  </r>
  <r>
    <x v="8"/>
    <s v="C"/>
    <x v="5"/>
    <s v="FO144"/>
    <m/>
    <s v="INJ-1"/>
    <s v="CAP S TYPE MOLDED BLUE"/>
    <s v="EH11CRc"/>
    <n v="8"/>
    <n v="7091"/>
    <n v="886.375"/>
    <n v="4223"/>
    <n v="4200"/>
    <n v="0.15"/>
    <n v="0"/>
    <n v="0"/>
    <n v="0"/>
    <n v="15"/>
    <n v="8"/>
    <n v="1"/>
    <n v="4200"/>
    <n v="0.5923000987166831"/>
    <s v="RM000114"/>
    <n v="7.3"/>
    <n v="30.977899999999998"/>
    <n v="0.98973784536718123"/>
    <n v="3.5587188612099642E-3"/>
    <n v="0"/>
    <n v="0.99644802273265454"/>
    <n v="0"/>
    <n v="8"/>
    <n v="1"/>
    <n v="525"/>
    <n v="6"/>
    <n v="6.8571428571428568"/>
    <n v="0.875"/>
    <n v="0.87189201989107268"/>
    <n v="2691"/>
  </r>
  <r>
    <x v="9"/>
    <s v="A"/>
    <x v="0"/>
    <s v="FO011"/>
    <s v="M2"/>
    <s v="L2"/>
    <s v="NIPPLE S TYPE S SIZE INJECTION"/>
    <s v="HEH12Na"/>
    <n v="8"/>
    <n v="4815"/>
    <n v="601.875"/>
    <n v="5096"/>
    <n v="5000"/>
    <n v="0"/>
    <n v="30"/>
    <n v="0"/>
    <n v="0"/>
    <n v="58"/>
    <n v="8"/>
    <n v="1"/>
    <n v="5000"/>
    <n v="1.0384215991692627"/>
    <s v="Silicon"/>
    <n v="6.8"/>
    <n v="34.652799999999999"/>
    <n v="0.98116169544740972"/>
    <n v="1.1466982997232108E-2"/>
    <n v="5.8525165821303156E-3"/>
    <n v="0.98861852433281006"/>
    <n v="0.76249999999999996"/>
    <n v="7.2374999999999998"/>
    <n v="0.90468749999999998"/>
    <n v="625"/>
    <n v="5.25"/>
    <n v="5.2110000000000003"/>
    <n v="1.0074841681059297"/>
    <n v="0.90108459249084238"/>
    <s v="2387"/>
  </r>
  <r>
    <x v="9"/>
    <s v="A"/>
    <x v="3"/>
    <s v="FO019"/>
    <m/>
    <s v="P1"/>
    <s v="NIPPLE S TYPE S SIZE PUNCHED"/>
    <s v="HEH10NcH10PcH12Pa"/>
    <n v="8"/>
    <n v="7091"/>
    <n v="886.375"/>
    <n v="7000"/>
    <n v="7000"/>
    <n v="0"/>
    <n v="0"/>
    <n v="0"/>
    <n v="0"/>
    <n v="0"/>
    <n v="0"/>
    <n v="1"/>
    <n v="7000"/>
    <n v="0.98716683119447191"/>
    <s v="FO015"/>
    <n v="0"/>
    <n v="0"/>
    <s v=" "/>
    <n v="0"/>
    <n v="0"/>
    <n v="1"/>
    <n v="0.6777777777777777"/>
    <n v="7.322222222222222"/>
    <n v="0.91527777777777775"/>
    <n v="875"/>
    <n v="3.5"/>
    <n v="3.7657142857142856"/>
    <n v="0.92943854324734454"/>
    <n v="0.85069444444444453"/>
    <s v="2385/2386"/>
  </r>
  <r>
    <x v="9"/>
    <s v="A"/>
    <x v="1"/>
    <s v="FO003"/>
    <s v="BM3"/>
    <s v="B2"/>
    <s v="KPP 240 ML BOTTLE MOLDED"/>
    <s v="EH12Ba2"/>
    <n v="8"/>
    <n v="2574"/>
    <n v="321.75"/>
    <n v="2787"/>
    <n v="2700"/>
    <n v="0.12"/>
    <n v="30"/>
    <n v="0"/>
    <n v="0"/>
    <n v="49"/>
    <n v="8"/>
    <n v="1"/>
    <n v="2700"/>
    <n v="1.048951048951049"/>
    <s v="HMC"/>
    <n v="32.1"/>
    <n v="89.582700000000017"/>
    <n v="0.96748590966782644"/>
    <n v="1.7824663514005093E-2"/>
    <n v="1.0649627263045794E-2"/>
    <n v="0.98241837100825258"/>
    <n v="1.2708333333333333"/>
    <n v="6.729166666666667"/>
    <n v="0.84114583333333337"/>
    <n v="337.5"/>
    <n v="9"/>
    <n v="8.9722222222222214"/>
    <n v="1.0030959752321982"/>
    <n v="0.82891550053821317"/>
    <s v="2388"/>
  </r>
  <r>
    <x v="9"/>
    <s v="A"/>
    <x v="5"/>
    <s v="FO144"/>
    <m/>
    <s v="INJ-1"/>
    <s v="CAP S TYPE MOLDED BLUE"/>
    <s v="EH12Ca"/>
    <n v="5"/>
    <n v="2887"/>
    <n v="577.4"/>
    <n v="3034"/>
    <n v="3000"/>
    <n v="0"/>
    <n v="20"/>
    <n v="0"/>
    <n v="0"/>
    <n v="10"/>
    <n v="4"/>
    <n v="1"/>
    <n v="3000"/>
    <n v="1.0391409767925182"/>
    <s v="RM000114"/>
    <n v="7.3"/>
    <n v="22.148199999999999"/>
    <n v="0.98879367172050092"/>
    <n v="3.3222591362126247E-3"/>
    <n v="6.5487884741322853E-3"/>
    <n v="0.99670402109426504"/>
    <n v="0"/>
    <n v="5"/>
    <n v="1"/>
    <n v="600"/>
    <n v="6"/>
    <n v="6"/>
    <n v="1"/>
    <n v="0.99670402109426504"/>
    <n v="2690"/>
  </r>
  <r>
    <x v="9"/>
    <s v="A"/>
    <x v="5"/>
    <s v="FO144"/>
    <m/>
    <s v="INJ-1"/>
    <s v="CAP S TYPE MOLDED BLUE"/>
    <s v="EH12CRa"/>
    <n v="3"/>
    <n v="1250"/>
    <n v="416.66666666666669"/>
    <n v="1269"/>
    <n v="1250"/>
    <n v="0"/>
    <n v="10"/>
    <n v="0"/>
    <n v="0"/>
    <n v="5"/>
    <n v="4"/>
    <n v="1"/>
    <n v="1250"/>
    <n v="1"/>
    <s v="RM000114"/>
    <n v="7.3"/>
    <n v="9.2637"/>
    <n v="0.9850275807722616"/>
    <n v="3.9840637450199202E-3"/>
    <n v="7.8186082877247844E-3"/>
    <n v="0.99605988967691095"/>
    <n v="0.76249999999999996"/>
    <n v="2.2374999999999998"/>
    <n v="0.74583333333333324"/>
    <n v="416.66666666666669"/>
    <n v="6"/>
    <n v="6.4439999999999991"/>
    <n v="0.93109869646182508"/>
    <n v="0.69170825672007707"/>
    <n v="2691"/>
  </r>
  <r>
    <x v="9"/>
    <s v="G"/>
    <x v="6"/>
    <s v="FO008"/>
    <m/>
    <s v="PR1"/>
    <s v="KPP 240 ML BOTTLE PRINTED"/>
    <s v="EH10Bc2"/>
    <n v="7.5"/>
    <n v="4250"/>
    <n v="566.66666666666663"/>
    <n v="4303"/>
    <n v="4273"/>
    <n v="0"/>
    <n v="0"/>
    <n v="28"/>
    <n v="0"/>
    <n v="30"/>
    <n v="0"/>
    <n v="6"/>
    <n v="712.16666666666663"/>
    <n v="1.0054117647058824"/>
    <s v="FO003"/>
    <n v="0"/>
    <n v="0"/>
    <s v=" "/>
    <n v="6.971880083662561E-3"/>
    <n v="0"/>
    <n v="0.99302811991633744"/>
    <n v="1.6944444444444444"/>
    <n v="5.8055555555555554"/>
    <n v="0.77407407407407403"/>
    <n v="569.73333333333335"/>
    <n v="32.4"/>
    <n v="29.347062953428502"/>
    <n v="1.1040287081339712"/>
    <n v="0.84864183128050197"/>
    <s v="2405,06"/>
  </r>
  <r>
    <x v="9"/>
    <s v="G"/>
    <x v="4"/>
    <s v="FO108"/>
    <m/>
    <m/>
    <s v="NIPPLE S TYPE S SIZE PUNCHED INSPECTED"/>
    <s v="HEH10NaH10PbH11Pb"/>
    <n v="8.5"/>
    <n v="14182"/>
    <n v="1668.4705882352941"/>
    <n v="15300"/>
    <n v="15251"/>
    <n v="0"/>
    <n v="0"/>
    <n v="0"/>
    <n v="0"/>
    <n v="49"/>
    <n v="0"/>
    <n v="2"/>
    <n v="7625.5"/>
    <n v="1.0753772387533493"/>
    <s v="FO104"/>
    <n v="0"/>
    <n v="0"/>
    <s v=" "/>
    <n v="3.2026143790849673E-3"/>
    <n v="0"/>
    <n v="0.99679738562091502"/>
    <n v="0.84722222222222221"/>
    <n v="7.6527777777777777"/>
    <n v="0.90032679738562094"/>
    <n v="1794.2352941176471"/>
    <n v="4"/>
    <n v="3.6128778440757983"/>
    <n v="1.1071506352087115"/>
    <n v="0.99360502798069128"/>
    <s v="2390/2391/2393"/>
  </r>
  <r>
    <x v="9"/>
    <s v="B"/>
    <x v="1"/>
    <s v="FO003"/>
    <s v="BM3"/>
    <s v="B2"/>
    <s v="KPP 240 ML BOTTLE MOLDED"/>
    <s v="EH12Bb2"/>
    <n v="8"/>
    <n v="2574"/>
    <n v="321.75"/>
    <n v="3347"/>
    <n v="3132"/>
    <n v="0.2"/>
    <n v="155"/>
    <n v="0"/>
    <n v="0"/>
    <n v="60"/>
    <n v="0"/>
    <n v="1"/>
    <n v="3132"/>
    <n v="1.2167832167832169"/>
    <s v="HMC"/>
    <n v="32.1"/>
    <n v="107.63870000000001"/>
    <n v="0.93402465841746507"/>
    <n v="1.8796992481203006E-2"/>
    <n v="4.42604226156482E-2"/>
    <n v="0.98207349865551241"/>
    <n v="0"/>
    <n v="8"/>
    <n v="1"/>
    <n v="391.5"/>
    <n v="9"/>
    <n v="9.1954022988505741"/>
    <n v="0.97875000000000001"/>
    <n v="0.96120443680908274"/>
    <n v="2395"/>
  </r>
  <r>
    <x v="9"/>
    <s v="B"/>
    <x v="3"/>
    <s v="FO019"/>
    <m/>
    <s v="P1"/>
    <s v="NIPPLE S TYPE S SIZE PUNCHED"/>
    <s v="HEH10NcH10PcH12Pb"/>
    <n v="8"/>
    <n v="7036"/>
    <n v="879.5"/>
    <n v="7000"/>
    <n v="7000"/>
    <n v="0"/>
    <n v="0"/>
    <n v="0"/>
    <n v="0"/>
    <n v="0"/>
    <n v="0"/>
    <n v="1"/>
    <n v="7000"/>
    <n v="0.99488345650938037"/>
    <s v="FO015"/>
    <n v="0"/>
    <n v="0"/>
    <s v=" "/>
    <n v="0"/>
    <n v="0"/>
    <n v="1"/>
    <n v="0.6777777777777777"/>
    <n v="7.322222222222222"/>
    <n v="0.91527777777777775"/>
    <n v="875"/>
    <n v="3.5"/>
    <n v="3.7657142857142856"/>
    <n v="0.92943854324734454"/>
    <n v="0.85069444444444453"/>
    <s v="2389/2392"/>
  </r>
  <r>
    <x v="9"/>
    <s v="B"/>
    <x v="0"/>
    <s v="FO011"/>
    <s v="M2"/>
    <s v="L2"/>
    <s v="NIPPLE S TYPE S SIZE INJECTION"/>
    <s v="HEH12Nb"/>
    <n v="8"/>
    <n v="4815"/>
    <n v="601.875"/>
    <n v="5099"/>
    <n v="5000"/>
    <n v="0"/>
    <n v="35"/>
    <n v="0"/>
    <n v="0"/>
    <n v="64"/>
    <n v="0"/>
    <n v="1"/>
    <n v="5000"/>
    <n v="1.0384215991692627"/>
    <s v="Silicon"/>
    <n v="6.8"/>
    <n v="34.673200000000001"/>
    <n v="0.98058442831927828"/>
    <n v="1.2638230647709321E-2"/>
    <n v="6.8172964550058434E-3"/>
    <n v="0.98744851931751321"/>
    <n v="0"/>
    <n v="8"/>
    <n v="1"/>
    <n v="625"/>
    <n v="5.25"/>
    <n v="5.76"/>
    <n v="0.91145833333333337"/>
    <n v="0.90001818166960845"/>
    <n v="2394"/>
  </r>
  <r>
    <x v="9"/>
    <s v="B"/>
    <x v="5"/>
    <s v="FO144"/>
    <m/>
    <s v="INJ-1"/>
    <s v="CAP S TYPE MOLDED BLUE"/>
    <s v="EH12Cb"/>
    <n v="8"/>
    <n v="4137"/>
    <n v="517.125"/>
    <n v="4002"/>
    <n v="4000"/>
    <n v="0"/>
    <n v="0"/>
    <n v="0"/>
    <n v="0"/>
    <n v="2"/>
    <n v="0"/>
    <n v="1"/>
    <n v="4000"/>
    <n v="0.96688421561518012"/>
    <s v="RM000114"/>
    <n v="7.3"/>
    <n v="29.214600000000001"/>
    <n v="0.99950024987506236"/>
    <n v="4.9975012493753122E-4"/>
    <n v="0"/>
    <n v="0.99950024987506247"/>
    <n v="0"/>
    <n v="8"/>
    <n v="1"/>
    <n v="500"/>
    <n v="6"/>
    <n v="7.2"/>
    <n v="0.83333333333333326"/>
    <n v="0.83291687489588528"/>
    <n v="2690"/>
  </r>
  <r>
    <x v="9"/>
    <s v="C"/>
    <x v="1"/>
    <s v="FO003"/>
    <s v="BM3"/>
    <s v="B2"/>
    <s v="KPP 240 ML BOTTLE MOLDED"/>
    <s v="EH12Bc2"/>
    <n v="8"/>
    <n v="2574"/>
    <n v="321.75"/>
    <n v="3277"/>
    <n v="3132"/>
    <n v="0.23"/>
    <n v="70"/>
    <n v="0"/>
    <n v="0"/>
    <n v="67"/>
    <n v="8"/>
    <n v="1"/>
    <n v="3132"/>
    <n v="1.2167832167832169"/>
    <s v="HMC"/>
    <n v="32.1"/>
    <n v="105.42170000000002"/>
    <n v="0.9536670343961442"/>
    <n v="2.0944045014066895E-2"/>
    <n v="2.0914251568568867E-2"/>
    <n v="0.97955447055233447"/>
    <n v="0"/>
    <n v="8"/>
    <n v="1"/>
    <n v="391.5"/>
    <n v="9"/>
    <n v="9.1954022988505741"/>
    <n v="0.97875000000000001"/>
    <n v="0.9587389380530974"/>
    <n v="2400"/>
  </r>
  <r>
    <x v="9"/>
    <s v="C"/>
    <x v="0"/>
    <s v="FO011"/>
    <s v="M2"/>
    <s v="L2"/>
    <s v="NIPPLE S TYPE S SIZE INJECTION"/>
    <s v="HEH12Nc"/>
    <n v="8"/>
    <n v="4815"/>
    <n v="601.875"/>
    <n v="5368"/>
    <n v="5300"/>
    <n v="0"/>
    <n v="0"/>
    <n v="0"/>
    <n v="0"/>
    <n v="60"/>
    <n v="8"/>
    <n v="1"/>
    <n v="5300"/>
    <n v="1.1007268951194185"/>
    <s v="Silicon"/>
    <n v="6.8"/>
    <n v="36.502400000000002"/>
    <n v="0.98733233979135615"/>
    <n v="1.1194029850746268E-2"/>
    <n v="0"/>
    <n v="0.98882265275707903"/>
    <n v="0.59305555555555556"/>
    <n v="7.4069444444444441"/>
    <n v="0.92586805555555551"/>
    <n v="662.5"/>
    <n v="5.25"/>
    <n v="5.0311320754716977"/>
    <n v="1.0435027189199326"/>
    <n v="0.95534688586686556"/>
    <n v="2399"/>
  </r>
  <r>
    <x v="9"/>
    <s v="C"/>
    <x v="2"/>
    <s v="FO015"/>
    <m/>
    <s v="PC1"/>
    <s v="NIPPLE S TYPE S SIZE POSTCURED"/>
    <s v="HEH11NcH12Pc"/>
    <n v="8"/>
    <n v="7000"/>
    <n v="875"/>
    <n v="10300"/>
    <n v="10300"/>
    <n v="0"/>
    <n v="0"/>
    <n v="0"/>
    <n v="0"/>
    <n v="0"/>
    <n v="0"/>
    <n v="1"/>
    <n v="10300"/>
    <n v="1.4714285714285715"/>
    <s v="FO011"/>
    <n v="0"/>
    <n v="0"/>
    <s v=" "/>
    <n v="0"/>
    <n v="0"/>
    <n v="1"/>
    <n v="0.6777777777777777"/>
    <n v="7.322222222222222"/>
    <n v="0.91527777777777775"/>
    <n v="1287.5"/>
    <n v="2.2999999999999998"/>
    <n v="2.5592233009708738"/>
    <n v="0.89871016691957506"/>
    <n v="0.82256944444444435"/>
    <s v="2396/2397/2398"/>
  </r>
  <r>
    <x v="9"/>
    <s v="C"/>
    <x v="5"/>
    <s v="FO144"/>
    <m/>
    <s v="INJ-1"/>
    <s v="CAP S TYPE MOLDED BLUE"/>
    <s v="EH12CRc"/>
    <n v="8"/>
    <n v="4137"/>
    <n v="517.125"/>
    <n v="4033"/>
    <n v="4000"/>
    <n v="0"/>
    <n v="0"/>
    <n v="0"/>
    <n v="0"/>
    <n v="25"/>
    <n v="8"/>
    <n v="1"/>
    <n v="4000"/>
    <n v="0.96688421561518012"/>
    <s v="RM000114"/>
    <n v="7.3"/>
    <n v="29.440899999999999"/>
    <n v="0.99181750557897352"/>
    <n v="6.2111801242236021E-3"/>
    <n v="0"/>
    <n v="0.99380114059013147"/>
    <n v="0"/>
    <n v="8"/>
    <n v="1"/>
    <n v="500"/>
    <n v="6"/>
    <n v="7.2"/>
    <n v="0.83333333333333326"/>
    <n v="0.82816761715844278"/>
    <n v="2691"/>
  </r>
  <r>
    <x v="10"/>
    <s v="G"/>
    <x v="6"/>
    <s v="FO089"/>
    <m/>
    <m/>
    <s v="KPP 240 BOTTLE PRINTED (WMG3B) W/O OZ &amp; W/BIS LOGO"/>
    <s v="EG21Bc2H12Pa"/>
    <n v="1"/>
    <n v="600"/>
    <n v="600"/>
    <n v="328"/>
    <n v="324"/>
    <n v="0"/>
    <n v="0"/>
    <n v="4"/>
    <n v="0"/>
    <n v="4"/>
    <n v="0"/>
    <n v="6"/>
    <n v="54"/>
    <n v="0.54"/>
    <s v="FO044"/>
    <n v="0"/>
    <n v="0"/>
    <s v=" "/>
    <n v="1.2195121951219513E-2"/>
    <n v="0"/>
    <n v="0.98780487804878048"/>
    <n v="0.5083333333333333"/>
    <n v="0.4916666666666667"/>
    <n v="0.4916666666666667"/>
    <n v="324"/>
    <n v="32.4"/>
    <n v="32.777777777777779"/>
    <n v="0.9884745762711864"/>
    <n v="0.4800731707317073"/>
    <s v="PINPM/21-22/2407"/>
  </r>
  <r>
    <x v="10"/>
    <s v="A"/>
    <x v="2"/>
    <s v="FO015"/>
    <m/>
    <s v="PC1"/>
    <s v="NIPPLE S TYPE S SIZE POSTCURED"/>
    <s v="HEH12NcH13Pa"/>
    <n v="8"/>
    <n v="7000"/>
    <n v="875"/>
    <n v="9300"/>
    <n v="9300"/>
    <n v="0"/>
    <n v="0"/>
    <n v="0"/>
    <n v="0"/>
    <n v="0"/>
    <n v="0"/>
    <n v="1"/>
    <n v="9300"/>
    <n v="1.3285714285714285"/>
    <s v="FO011"/>
    <n v="0"/>
    <n v="0"/>
    <s v=" "/>
    <n v="0"/>
    <n v="0"/>
    <n v="1"/>
    <n v="0"/>
    <n v="8"/>
    <n v="1"/>
    <n v="1162.5"/>
    <n v="2.2999999999999998"/>
    <n v="3.096774193548387"/>
    <n v="0.7427083333333333"/>
    <n v="0.7427083333333333"/>
    <s v="2411/2417"/>
  </r>
  <r>
    <x v="10"/>
    <s v="A"/>
    <x v="5"/>
    <s v="FO144"/>
    <m/>
    <s v="INJ-1"/>
    <s v="CAP S TYPE MOLDED BLUE"/>
    <s v="EH13CRc"/>
    <n v="6"/>
    <n v="3000"/>
    <n v="500"/>
    <n v="3414"/>
    <n v="3400"/>
    <n v="0.2"/>
    <n v="0"/>
    <n v="0"/>
    <n v="0"/>
    <n v="6"/>
    <n v="8"/>
    <n v="1"/>
    <n v="3400"/>
    <n v="1.1333333333333333"/>
    <s v="RM000114"/>
    <n v="7.3"/>
    <n v="25.122199999999999"/>
    <n v="0.98797079873577953"/>
    <n v="1.7615971814445098E-3"/>
    <n v="0"/>
    <n v="0.99824253075571179"/>
    <n v="0"/>
    <n v="6"/>
    <n v="1"/>
    <n v="566.66666666666663"/>
    <n v="6"/>
    <n v="6.3529411764705879"/>
    <n v="0.94444444444444453"/>
    <n v="0.94278461238039457"/>
    <n v="2691"/>
  </r>
  <r>
    <x v="10"/>
    <s v="A"/>
    <x v="5"/>
    <s v="FO144"/>
    <m/>
    <s v="INJ-1"/>
    <s v="CAP S TYPE MOLDED BLUE"/>
    <s v="EH13Cc"/>
    <n v="2"/>
    <n v="1037"/>
    <n v="518.5"/>
    <n v="1012"/>
    <n v="1000"/>
    <n v="0"/>
    <n v="0"/>
    <n v="0"/>
    <n v="0"/>
    <n v="12"/>
    <n v="0"/>
    <n v="1"/>
    <n v="1000"/>
    <n v="0.96432015429122464"/>
    <s v="RM000114"/>
    <n v="7.3"/>
    <n v="7.3875999999999999"/>
    <n v="0.98814229249011853"/>
    <n v="1.1857707509881422E-2"/>
    <n v="0"/>
    <n v="0.98814229249011853"/>
    <n v="0"/>
    <n v="2"/>
    <n v="1"/>
    <n v="500"/>
    <n v="6"/>
    <n v="7.2"/>
    <n v="0.83333333333333326"/>
    <n v="0.82345191040843202"/>
    <n v="2690"/>
  </r>
  <r>
    <x v="10"/>
    <s v="A"/>
    <x v="1"/>
    <s v="FO003"/>
    <s v="BM3"/>
    <s v="B2"/>
    <s v="KPP 240 ML BOTTLE MOLDED"/>
    <s v="EH13Ba2"/>
    <n v="8"/>
    <n v="2574"/>
    <n v="321.75"/>
    <n v="3202"/>
    <n v="2916"/>
    <n v="0.12"/>
    <n v="200"/>
    <n v="0"/>
    <n v="0"/>
    <n v="78"/>
    <n v="8"/>
    <n v="1"/>
    <n v="2916"/>
    <n v="1.1328671328671329"/>
    <s v="HMC"/>
    <n v="32.1"/>
    <n v="102.90420000000002"/>
    <n v="0.90961884937641024"/>
    <n v="2.6052104208416832E-2"/>
    <n v="5.8788947677836566E-2"/>
    <n v="0.97564022485946289"/>
    <n v="0"/>
    <n v="8"/>
    <n v="1"/>
    <n v="364.5"/>
    <n v="9"/>
    <n v="9.8765432098765427"/>
    <n v="0.91125"/>
    <n v="0.88905215490318557"/>
    <n v="2419"/>
  </r>
  <r>
    <x v="10"/>
    <s v="A"/>
    <x v="0"/>
    <s v="FO011"/>
    <s v="M2"/>
    <s v="L2"/>
    <s v="NIPPLE S TYPE S SIZE INJECTION"/>
    <s v="HEH13Na"/>
    <n v="8"/>
    <n v="4815"/>
    <n v="601.875"/>
    <n v="5080"/>
    <n v="5000"/>
    <n v="0"/>
    <n v="0"/>
    <n v="0"/>
    <n v="0"/>
    <n v="72"/>
    <n v="8"/>
    <n v="1"/>
    <n v="5000"/>
    <n v="1.0384215991692627"/>
    <s v="Silicon"/>
    <n v="6.8"/>
    <n v="34.543999999999997"/>
    <n v="0.98425196850393715"/>
    <n v="1.4195583596214511E-2"/>
    <n v="0"/>
    <n v="0.98582677165354327"/>
    <n v="1.0166666666666666"/>
    <n v="6.9833333333333334"/>
    <n v="0.87291666666666667"/>
    <n v="625"/>
    <n v="5.25"/>
    <n v="5.0279999999999996"/>
    <n v="1.0441527446300718"/>
    <n v="0.89854002624671925"/>
    <n v="2416"/>
  </r>
  <r>
    <x v="10"/>
    <s v="A"/>
    <x v="3"/>
    <s v="FO019"/>
    <m/>
    <s v="PC1"/>
    <s v="NIPPLE S TYPE S SIZE PUNCHED"/>
    <s v="HEH11NaH11PbH13Pa"/>
    <n v="8"/>
    <n v="7036"/>
    <n v="879.5"/>
    <n v="7320"/>
    <n v="7320"/>
    <n v="0"/>
    <n v="0"/>
    <n v="0"/>
    <n v="0"/>
    <n v="0"/>
    <n v="0"/>
    <n v="1"/>
    <n v="7320"/>
    <n v="1.0403638430926663"/>
    <s v="FO015"/>
    <n v="0"/>
    <n v="0"/>
    <s v=" "/>
    <n v="0"/>
    <n v="0"/>
    <n v="1"/>
    <n v="0"/>
    <n v="8"/>
    <n v="1"/>
    <n v="915"/>
    <n v="3.5"/>
    <n v="3.9344262295081966"/>
    <n v="0.88958333333333339"/>
    <n v="0.88958333333333339"/>
    <s v="2413/2414/2415"/>
  </r>
  <r>
    <x v="10"/>
    <s v="G"/>
    <x v="4"/>
    <s v="FO108"/>
    <m/>
    <m/>
    <s v="NIPPLE S TYPE S SIZE PUNCHED INSPECTED"/>
    <s v="HEH11NaH11PbH12Pb"/>
    <n v="8.5"/>
    <n v="7091"/>
    <n v="834.23529411764707"/>
    <n v="9320"/>
    <n v="9263"/>
    <n v="0"/>
    <n v="0"/>
    <n v="0"/>
    <n v="0"/>
    <n v="57"/>
    <n v="0"/>
    <n v="1"/>
    <n v="9263"/>
    <n v="1.3063037653363418"/>
    <s v="FO104"/>
    <n v="0"/>
    <n v="0"/>
    <s v=" "/>
    <n v="6.1158798283261805E-3"/>
    <n v="0"/>
    <n v="0.99388412017167382"/>
    <n v="0.84722222222222221"/>
    <n v="7.6527777777777777"/>
    <n v="0.90032679738562094"/>
    <n v="1089.7647058823529"/>
    <n v="4"/>
    <n v="2.97419842383677"/>
    <n v="1.3449001814882033"/>
    <n v="1.2034442621111394"/>
    <s v="2426/2427"/>
  </r>
  <r>
    <x v="10"/>
    <s v="G"/>
    <x v="6"/>
    <s v="FO089"/>
    <m/>
    <s v="PR1"/>
    <s v="KPP 240 BOTTLE PRINTED (WMG3B) W/O OZ &amp; W/BIS LOGO"/>
    <s v="EG21Bc2H13Pa"/>
    <n v="4"/>
    <n v="2100"/>
    <n v="525"/>
    <n v="1863"/>
    <n v="1836"/>
    <n v="0"/>
    <n v="0"/>
    <n v="27"/>
    <n v="0"/>
    <n v="27"/>
    <n v="0"/>
    <n v="6"/>
    <n v="306"/>
    <n v="0.87428571428571433"/>
    <s v="FO044"/>
    <n v="0"/>
    <n v="0"/>
    <s v=" "/>
    <n v="1.4492753623188406E-2"/>
    <n v="0"/>
    <n v="0.98550724637681164"/>
    <n v="1.3555555555555554"/>
    <n v="2.6444444444444448"/>
    <n v="0.6611111111111112"/>
    <n v="459"/>
    <n v="32.4"/>
    <n v="31.111111111111114"/>
    <n v="1.0414285714285714"/>
    <n v="0.6785217391304349"/>
    <s v="PINPM/21-22/2423,24,25"/>
  </r>
  <r>
    <x v="10"/>
    <s v="G"/>
    <x v="6"/>
    <s v="FO008"/>
    <m/>
    <s v="PR1"/>
    <s v="KPP 240 ML BOTTLE PRINTED"/>
    <s v="EH12Bb2H13Pa"/>
    <n v="4.5"/>
    <n v="3000"/>
    <n v="666.66666666666663"/>
    <n v="1739"/>
    <n v="1728"/>
    <n v="0"/>
    <n v="0"/>
    <n v="16"/>
    <n v="0"/>
    <n v="11"/>
    <n v="0"/>
    <n v="6"/>
    <n v="288"/>
    <n v="0.57599999999999996"/>
    <s v="FO003"/>
    <n v="0"/>
    <n v="0"/>
    <s v=" "/>
    <n v="6.3254744105807935E-3"/>
    <n v="0"/>
    <n v="0.99367452558941916"/>
    <n v="1.8638888888888887"/>
    <n v="2.6361111111111111"/>
    <n v="0.58580246913580247"/>
    <n v="384"/>
    <n v="32.4"/>
    <n v="32.951388888888886"/>
    <n v="0.98326659641728142"/>
    <n v="0.57235652673950554"/>
    <s v="PINPM/21-22/2437"/>
  </r>
  <r>
    <x v="10"/>
    <s v="B"/>
    <x v="5"/>
    <s v="FO144"/>
    <m/>
    <s v="INJ-1"/>
    <s v="CAP S TYPE MOLDED BLUE"/>
    <s v="EH13Cb"/>
    <n v="8"/>
    <n v="4137"/>
    <n v="517.125"/>
    <n v="3450"/>
    <n v="3445"/>
    <n v="0"/>
    <n v="0"/>
    <n v="0"/>
    <n v="0"/>
    <n v="5"/>
    <n v="0"/>
    <n v="1"/>
    <n v="3445"/>
    <n v="0.83272903069857385"/>
    <s v="RM000114"/>
    <n v="7.3"/>
    <n v="25.184999999999999"/>
    <n v="0.99855072463768113"/>
    <n v="1.4492753623188406E-3"/>
    <n v="0"/>
    <n v="0.99855072463768113"/>
    <n v="0"/>
    <n v="8"/>
    <n v="1"/>
    <n v="430.625"/>
    <n v="6"/>
    <n v="8.3599419448476056"/>
    <n v="0.71770833333333328"/>
    <n v="0.71666817632850233"/>
    <n v="2690"/>
  </r>
  <r>
    <x v="10"/>
    <s v="B"/>
    <x v="1"/>
    <s v="FO003"/>
    <s v="BM3"/>
    <s v="B2"/>
    <s v="KPP 240 ML BOTTLE MOLDED"/>
    <s v="EH13Bb2"/>
    <n v="8"/>
    <n v="2574"/>
    <n v="321.75"/>
    <n v="3023"/>
    <n v="2916"/>
    <n v="0"/>
    <n v="42"/>
    <n v="0"/>
    <n v="0"/>
    <n v="65"/>
    <n v="0"/>
    <n v="1"/>
    <n v="2916"/>
    <n v="1.1328671328671329"/>
    <s v="HMC"/>
    <n v="32.1"/>
    <n v="97.038300000000007"/>
    <n v="0.96460469732054255"/>
    <n v="2.1804763502180476E-2"/>
    <n v="1.3703099510603589E-2"/>
    <n v="0.97849818061528282"/>
    <n v="0"/>
    <n v="8"/>
    <n v="1"/>
    <n v="364.5"/>
    <n v="9"/>
    <n v="9.8765432098765427"/>
    <n v="0.91125"/>
    <n v="0.89165646708567647"/>
    <n v="2431"/>
  </r>
  <r>
    <x v="10"/>
    <s v="B"/>
    <x v="0"/>
    <s v="FO011"/>
    <s v="M2"/>
    <s v="L2"/>
    <s v="NIPPLE S TYPE S SIZE INJECTION"/>
    <s v="HEH13Nb"/>
    <n v="8"/>
    <n v="4815"/>
    <n v="601.875"/>
    <n v="5612"/>
    <n v="5500"/>
    <n v="0"/>
    <n v="44"/>
    <n v="0"/>
    <n v="0"/>
    <n v="68"/>
    <n v="0"/>
    <n v="1"/>
    <n v="5500"/>
    <n v="1.142263759086189"/>
    <s v="Silicon"/>
    <n v="6.8"/>
    <n v="38.1616"/>
    <n v="0.98004276550249458"/>
    <n v="1.221264367816092E-2"/>
    <n v="7.7793493635077791E-3"/>
    <n v="0.98788310762651466"/>
    <n v="0"/>
    <n v="8"/>
    <n v="1"/>
    <n v="687.5"/>
    <n v="5.25"/>
    <n v="5.2363636363636363"/>
    <n v="1.0026041666666667"/>
    <n v="0.99045571988595882"/>
    <n v="2430"/>
  </r>
  <r>
    <x v="10"/>
    <s v="B"/>
    <x v="3"/>
    <s v="FO019"/>
    <m/>
    <s v="P1"/>
    <s v="NIPPLE S TYPE S SIZE PUNCHED"/>
    <s v="HEH12NaH12PcH13Pb"/>
    <n v="8"/>
    <n v="7036"/>
    <n v="879.5"/>
    <n v="7300"/>
    <n v="7300"/>
    <n v="0"/>
    <n v="0"/>
    <n v="0"/>
    <n v="0"/>
    <n v="0"/>
    <n v="0"/>
    <n v="1"/>
    <n v="7300"/>
    <n v="1.0375213189312109"/>
    <s v="FO015"/>
    <n v="0"/>
    <n v="0"/>
    <s v=" "/>
    <n v="0"/>
    <n v="0"/>
    <n v="1"/>
    <n v="0"/>
    <n v="8"/>
    <n v="1"/>
    <n v="912.5"/>
    <n v="3.5"/>
    <n v="3.9452054794520546"/>
    <n v="0.88715277777777779"/>
    <n v="0.88715277777777779"/>
    <s v="2428/2429"/>
  </r>
  <r>
    <x v="10"/>
    <s v="C"/>
    <x v="0"/>
    <s v="FO011"/>
    <s v="BM3"/>
    <s v="B2"/>
    <s v="NIPPLE S TYPE S SIZE INJECTION"/>
    <s v="HEH13Nc"/>
    <n v="8"/>
    <n v="4815"/>
    <n v="601.875"/>
    <n v="4564"/>
    <n v="4500"/>
    <n v="0.39"/>
    <n v="16"/>
    <n v="0"/>
    <n v="0"/>
    <n v="40"/>
    <n v="8"/>
    <n v="1"/>
    <n v="4500"/>
    <n v="0.93457943925233644"/>
    <s v="Silicon"/>
    <n v="6.8"/>
    <n v="31.4252"/>
    <n v="0.97374081946972491"/>
    <n v="8.8105726872246704E-3"/>
    <n v="3.4934497816593887E-3"/>
    <n v="0.99123575810692377"/>
    <n v="1.3555555555555554"/>
    <n v="6.6444444444444448"/>
    <n v="0.8305555555555556"/>
    <n v="562.5"/>
    <n v="5.25"/>
    <n v="5.3155555555555551"/>
    <n v="0.98766722408026764"/>
    <n v="0.81312308282208601"/>
    <s v="2432"/>
  </r>
  <r>
    <x v="10"/>
    <s v="C"/>
    <x v="2"/>
    <s v="FO015"/>
    <m/>
    <s v="PC1"/>
    <s v="NIPPLE S TYPE S SIZE POSTCURED"/>
    <s v="HEH13NaH13Pc"/>
    <n v="8"/>
    <n v="11000"/>
    <n v="1375"/>
    <n v="11000"/>
    <n v="11000"/>
    <n v="0"/>
    <n v="0"/>
    <n v="0"/>
    <n v="0"/>
    <n v="0"/>
    <n v="0"/>
    <n v="1"/>
    <n v="11000"/>
    <n v="1"/>
    <s v="FO011"/>
    <n v="0"/>
    <n v="0"/>
    <s v=" "/>
    <n v="0"/>
    <n v="0"/>
    <n v="1"/>
    <n v="0.33888888888888885"/>
    <n v="7.6611111111111114"/>
    <n v="0.95763888888888893"/>
    <n v="1375"/>
    <n v="2.2999999999999998"/>
    <n v="2.5072727272727273"/>
    <n v="0.91733139956490206"/>
    <n v="0.87847222222222221"/>
    <s v="2434/2435/2436"/>
  </r>
  <r>
    <x v="10"/>
    <s v="C"/>
    <x v="1"/>
    <s v="FO003"/>
    <s v="BM3"/>
    <s v="B2"/>
    <s v="KPP 240 ML BOTTLE MOLDED"/>
    <s v="EH13Bc2"/>
    <n v="8"/>
    <n v="2574"/>
    <n v="321.75"/>
    <n v="3036"/>
    <n v="2916"/>
    <n v="0"/>
    <n v="40"/>
    <n v="0"/>
    <n v="0"/>
    <n v="72"/>
    <n v="8"/>
    <n v="1"/>
    <n v="2916"/>
    <n v="1.1328671328671329"/>
    <s v="HMC"/>
    <n v="32.1"/>
    <n v="97.455600000000004"/>
    <n v="0.96047430830039537"/>
    <n v="2.4096385542168676E-2"/>
    <n v="1.3003901170351105E-2"/>
    <n v="0.97628458498023718"/>
    <n v="0.6777777777777777"/>
    <n v="7.322222222222222"/>
    <n v="0.91527777777777775"/>
    <n v="364.5"/>
    <n v="9"/>
    <n v="9.0397805212620028"/>
    <n v="0.99559939301972689"/>
    <n v="0.8896393280632412"/>
    <s v="2433"/>
  </r>
  <r>
    <x v="10"/>
    <s v="C"/>
    <x v="5"/>
    <s v="FO145"/>
    <m/>
    <s v="INJ-1"/>
    <s v="CAP S TYPE MOLDED PALE BLUE"/>
    <s v="EH13Cc"/>
    <n v="8"/>
    <n v="4137"/>
    <n v="517.125"/>
    <n v="4014"/>
    <n v="4000"/>
    <n v="0.57999999999999996"/>
    <n v="0"/>
    <n v="0"/>
    <n v="0"/>
    <n v="6"/>
    <n v="8"/>
    <n v="1"/>
    <n v="4000"/>
    <n v="0.96688421561518012"/>
    <s v="RM000115"/>
    <n v="7.3"/>
    <n v="29.882199999999997"/>
    <n v="0.97717035559630827"/>
    <n v="1.4977533699450823E-3"/>
    <n v="0"/>
    <n v="0.99850523168908822"/>
    <n v="1.2708333333333333"/>
    <n v="6.729166666666667"/>
    <n v="0.84114583333333337"/>
    <n v="500"/>
    <n v="6"/>
    <n v="6.0562500000000004"/>
    <n v="0.99071207430340547"/>
    <n v="0.83208769307424013"/>
    <n v="2692"/>
  </r>
  <r>
    <x v="11"/>
    <s v="A"/>
    <x v="0"/>
    <s v="FO011"/>
    <s v="M2"/>
    <s v="L2"/>
    <s v="NIPPLE S TYPE S SIZE INJECTION"/>
    <s v="HEH17Na"/>
    <n v="6"/>
    <n v="3600"/>
    <n v="600"/>
    <n v="4160"/>
    <n v="4000"/>
    <n v="1.147"/>
    <n v="90"/>
    <n v="0"/>
    <n v="0"/>
    <n v="62"/>
    <n v="8"/>
    <n v="1"/>
    <n v="4000"/>
    <n v="1.1111111111111112"/>
    <s v="Silicon"/>
    <n v="6.8"/>
    <n v="29.434999999999995"/>
    <n v="0.92406998471207757"/>
    <n v="1.5263417035942885E-2"/>
    <n v="2.1176470588235293E-2"/>
    <n v="0.9850961538461539"/>
    <n v="0"/>
    <n v="6"/>
    <n v="1"/>
    <n v="666.66666666666663"/>
    <n v="5.25"/>
    <n v="5.4"/>
    <n v="0.97222222222222221"/>
    <n v="0.95773237179487181"/>
    <s v="2451"/>
  </r>
  <r>
    <x v="11"/>
    <s v="A"/>
    <x v="2"/>
    <s v="FO015"/>
    <m/>
    <s v="PC1"/>
    <s v="NIPPLE S TYPE S SIZE POSTCURED"/>
    <s v="HEH17NaH17Pa"/>
    <n v="3"/>
    <n v="4000"/>
    <n v="1333.3333333333333"/>
    <n v="4000"/>
    <n v="4000"/>
    <n v="0"/>
    <n v="0"/>
    <n v="0"/>
    <n v="0"/>
    <n v="0"/>
    <n v="0"/>
    <n v="1"/>
    <n v="4000"/>
    <n v="1"/>
    <s v="FO011"/>
    <n v="0"/>
    <n v="0"/>
    <s v=" "/>
    <n v="0"/>
    <n v="0"/>
    <n v="1"/>
    <n v="0"/>
    <n v="3"/>
    <n v="1"/>
    <n v="1333.3333333333333"/>
    <n v="2.2999999999999998"/>
    <n v="2.7"/>
    <n v="0.85185185185185175"/>
    <n v="0.85185185185185175"/>
    <n v="2453"/>
  </r>
  <r>
    <x v="11"/>
    <s v="A"/>
    <x v="3"/>
    <s v="FO019"/>
    <m/>
    <s v="P1"/>
    <s v="NIPPLE S TYPE S SIZE PUNCHED"/>
    <s v="HEH12NaH12PcH17Pa"/>
    <n v="8"/>
    <n v="7000"/>
    <n v="875"/>
    <n v="4000"/>
    <n v="4000"/>
    <n v="0"/>
    <n v="0"/>
    <n v="0"/>
    <n v="0"/>
    <n v="0"/>
    <n v="0"/>
    <n v="1"/>
    <n v="4000"/>
    <n v="0.5714285714285714"/>
    <s v="FO015"/>
    <n v="0"/>
    <n v="0"/>
    <s v=" "/>
    <n v="0"/>
    <n v="0"/>
    <n v="1"/>
    <n v="4.1513888888888895"/>
    <n v="3.8486111111111105"/>
    <n v="0.48107638888888882"/>
    <n v="500"/>
    <n v="3.5"/>
    <n v="3.4637499999999997"/>
    <n v="1.0104655359076147"/>
    <n v="0.4861111111111111"/>
    <s v="2449/2450"/>
  </r>
  <r>
    <x v="11"/>
    <s v="A"/>
    <x v="1"/>
    <s v="FO003"/>
    <s v="BM3"/>
    <s v="B2"/>
    <s v="KPP 240 ML BOTTLE MOLDED"/>
    <s v="EH17Ba2"/>
    <n v="8"/>
    <n v="2574"/>
    <n v="321.75"/>
    <n v="1141"/>
    <n v="1080"/>
    <n v="0.124"/>
    <n v="21"/>
    <n v="0"/>
    <n v="0"/>
    <n v="32"/>
    <n v="8"/>
    <n v="1"/>
    <n v="1080"/>
    <n v="0.41958041958041958"/>
    <s v="HMC"/>
    <n v="32.1"/>
    <n v="36.750100000000003"/>
    <n v="0.94334437185204945"/>
    <n v="2.8776978417266189E-2"/>
    <n v="1.8072289156626505E-2"/>
    <n v="0.97195442594215598"/>
    <n v="5.2527777777777782"/>
    <n v="2.7472222222222218"/>
    <n v="0.34340277777777772"/>
    <n v="135"/>
    <n v="9"/>
    <n v="9.1574074074074066"/>
    <n v="0.98281092012133475"/>
    <n v="0.32803461875547762"/>
    <n v="2452"/>
  </r>
  <r>
    <x v="11"/>
    <s v="A"/>
    <x v="5"/>
    <s v="FO145"/>
    <m/>
    <s v="INJ-1"/>
    <s v="CAP S TYPE MOLDED PALE BLUE"/>
    <s v="EH17Ca"/>
    <n v="8"/>
    <n v="4137"/>
    <n v="517.125"/>
    <n v="4012"/>
    <n v="4000"/>
    <n v="0"/>
    <n v="2"/>
    <n v="0"/>
    <n v="0"/>
    <n v="2"/>
    <n v="8"/>
    <n v="1"/>
    <n v="4000"/>
    <n v="0.96688421561518012"/>
    <s v="RM000115"/>
    <n v="7.3"/>
    <n v="29.287600000000001"/>
    <n v="0.99700897308075764"/>
    <n v="4.9975012493753122E-4"/>
    <n v="4.9825610363726954E-4"/>
    <n v="0.99950149551345957"/>
    <n v="1.0166666666666666"/>
    <n v="6.9833333333333334"/>
    <n v="0.87291666666666667"/>
    <n v="500"/>
    <n v="6"/>
    <n v="6.2850000000000001"/>
    <n v="0.95465393794749398"/>
    <n v="0.83291791292788298"/>
    <n v="2692"/>
  </r>
  <r>
    <x v="11"/>
    <s v="G"/>
    <x v="6"/>
    <s v="FO008"/>
    <m/>
    <s v="PR1"/>
    <s v="KPP 240 ML BOTTLE PRINTED"/>
    <s v="EH12Bc2H17Pa"/>
    <n v="8.5"/>
    <n v="5100"/>
    <n v="600"/>
    <n v="5205"/>
    <n v="5184"/>
    <n v="0"/>
    <n v="0"/>
    <n v="61"/>
    <n v="0"/>
    <n v="21"/>
    <n v="0"/>
    <n v="6"/>
    <n v="864"/>
    <n v="1.016470588235294"/>
    <s v="FO003"/>
    <n v="0"/>
    <n v="0"/>
    <s v=" "/>
    <n v="4.0345821325648411E-3"/>
    <n v="0"/>
    <n v="0.9959654178674352"/>
    <n v="0.84722222222222221"/>
    <n v="7.6527777777777777"/>
    <n v="0.90032679738562094"/>
    <n v="609.88235294117646"/>
    <n v="32.4"/>
    <n v="31.886574074074073"/>
    <n v="1.0161016333938293"/>
    <n v="0.91113259874555008"/>
    <s v="PINPM/21-22/2478,79,80"/>
  </r>
  <r>
    <x v="11"/>
    <s v="G"/>
    <x v="7"/>
    <s v="FO030"/>
    <m/>
    <s v="WR1"/>
    <s v="NIPPLE S TYPE M SIZE WITH PRINTED WRAP"/>
    <s v="HEG14CG22"/>
    <n v="8.5"/>
    <n v="16132"/>
    <n v="1897.8823529411766"/>
    <n v="11557"/>
    <n v="11507"/>
    <n v="0"/>
    <n v="0"/>
    <n v="0"/>
    <n v="0"/>
    <n v="50"/>
    <n v="0"/>
    <n v="2"/>
    <n v="5753.5"/>
    <n v="0.71330275229357798"/>
    <s v="FO020"/>
    <n v="0"/>
    <n v="0"/>
    <s v=" "/>
    <n v="4.3263822791381849E-3"/>
    <n v="0"/>
    <n v="0.99567361772086183"/>
    <n v="2.2027777777777775"/>
    <n v="6.2972222222222225"/>
    <n v="0.74084967320261441"/>
    <n v="1353.7647058823529"/>
    <n v="2.5"/>
    <n v="3.9402103067697922"/>
    <n v="0.63448389942655492"/>
    <n v="0.46802354244746558"/>
    <s v="2462/2463/2464"/>
  </r>
  <r>
    <x v="11"/>
    <s v="G"/>
    <x v="4"/>
    <s v="FO108"/>
    <m/>
    <m/>
    <s v="NIPPLE S TYPE S SIZE PUNCHED INSPECTED"/>
    <s v="HEH11NcH11PcH13Pa"/>
    <n v="8.5"/>
    <n v="14182"/>
    <n v="1668.4705882352941"/>
    <n v="12300"/>
    <n v="12216"/>
    <n v="0"/>
    <n v="0"/>
    <n v="0"/>
    <n v="0"/>
    <n v="84"/>
    <n v="0"/>
    <n v="1"/>
    <n v="12216"/>
    <n v="0.86137357213369059"/>
    <s v="FO104"/>
    <n v="0"/>
    <n v="0"/>
    <s v=" "/>
    <n v="6.8292682926829268E-3"/>
    <n v="0"/>
    <n v="0.99317073170731707"/>
    <n v="0.84722222222222221"/>
    <n v="7.6527777777777777"/>
    <n v="0.90032679738562094"/>
    <n v="1437.1764705882354"/>
    <n v="4"/>
    <n v="2.2552390307793058"/>
    <n v="1.7736479128856626"/>
    <n v="1.5859573409851746"/>
    <s v="2459/2460/2461"/>
  </r>
  <r>
    <x v="11"/>
    <s v="B"/>
    <x v="2"/>
    <s v="FO015"/>
    <m/>
    <s v="PC1"/>
    <s v="NIPPLE S TYPE S SIZE POSTCURED"/>
    <s v="HEH17NbH17Pb"/>
    <n v="1"/>
    <n v="2000"/>
    <n v="2000"/>
    <n v="2000"/>
    <n v="2000"/>
    <n v="0"/>
    <n v="0"/>
    <n v="0"/>
    <n v="0"/>
    <n v="0"/>
    <n v="0"/>
    <n v="1"/>
    <n v="2000"/>
    <n v="1"/>
    <s v="FO011"/>
    <n v="0"/>
    <n v="0"/>
    <s v=" "/>
    <n v="0"/>
    <n v="0"/>
    <n v="1"/>
    <n v="0"/>
    <n v="1"/>
    <n v="1"/>
    <n v="2000"/>
    <n v="2.2999999999999998"/>
    <n v="1.8"/>
    <n v="1.2777777777777777"/>
    <n v="1.2777777777777777"/>
    <n v="2469"/>
  </r>
  <r>
    <x v="11"/>
    <s v="B"/>
    <x v="0"/>
    <s v="FO011"/>
    <s v="M2"/>
    <s v="L2"/>
    <s v="NIPPLE S TYPE S SIZE INJECTION"/>
    <s v="HEH17Nb"/>
    <n v="8"/>
    <n v="4815"/>
    <n v="601.875"/>
    <n v="5417"/>
    <n v="5300"/>
    <n v="0"/>
    <n v="45"/>
    <n v="0"/>
    <n v="0"/>
    <n v="72"/>
    <n v="0"/>
    <n v="1"/>
    <n v="5300"/>
    <n v="1.1007268951194185"/>
    <s v="Silicon"/>
    <n v="6.8"/>
    <n v="36.835599999999999"/>
    <n v="0.97840132914897548"/>
    <n v="1.3402829486224869E-2"/>
    <n v="8.2387403881362137E-3"/>
    <n v="0.98670851024552331"/>
    <n v="0"/>
    <n v="8"/>
    <n v="1"/>
    <n v="662.5"/>
    <n v="5.25"/>
    <n v="5.4339622641509431"/>
    <n v="0.96614583333333337"/>
    <n v="0.95330431588825304"/>
    <s v="2465/2468"/>
  </r>
  <r>
    <x v="11"/>
    <s v="B"/>
    <x v="1"/>
    <s v="FO003"/>
    <s v="BM3"/>
    <s v="B2"/>
    <s v="KPP 240 ML BOTTLE MOLDED"/>
    <s v="EH17Bb2"/>
    <n v="8"/>
    <n v="2574"/>
    <n v="321.75"/>
    <n v="3180"/>
    <n v="3132"/>
    <n v="0.1"/>
    <n v="0"/>
    <n v="0"/>
    <n v="0"/>
    <n v="48"/>
    <n v="0"/>
    <n v="1"/>
    <n v="3132"/>
    <n v="1.2167832167832169"/>
    <s v="HMC"/>
    <n v="32.1"/>
    <n v="102.17800000000001"/>
    <n v="0.9839417487130302"/>
    <n v="1.509433962264151E-2"/>
    <n v="0"/>
    <n v="0.98490566037735849"/>
    <n v="0"/>
    <n v="8"/>
    <n v="1"/>
    <n v="391.5"/>
    <n v="9"/>
    <n v="9.1954022988505741"/>
    <n v="0.97875000000000001"/>
    <n v="0.96397641509433962"/>
    <n v="2472"/>
  </r>
  <r>
    <x v="11"/>
    <s v="B"/>
    <x v="3"/>
    <s v="FO019"/>
    <m/>
    <s v="P1"/>
    <s v="NIPPLE S TYPE S SIZE PUNCHED"/>
    <s v="HEH12NcH13PaH17Pb"/>
    <n v="8"/>
    <n v="7036"/>
    <n v="879.5"/>
    <n v="7300"/>
    <n v="7300"/>
    <n v="0"/>
    <n v="0"/>
    <n v="0"/>
    <n v="0"/>
    <n v="0"/>
    <n v="0"/>
    <n v="1"/>
    <n v="7300"/>
    <n v="1.0375213189312109"/>
    <s v="FO015"/>
    <n v="0"/>
    <n v="0"/>
    <s v=" "/>
    <n v="0"/>
    <n v="0"/>
    <n v="1"/>
    <n v="0.6777777777777777"/>
    <n v="7.322222222222222"/>
    <n v="0.91527777777777775"/>
    <n v="912.5"/>
    <n v="3.5"/>
    <n v="3.6109589041095891"/>
    <n v="0.96927162367223063"/>
    <n v="0.88715277777777768"/>
    <s v="2466/2467"/>
  </r>
  <r>
    <x v="11"/>
    <s v="B"/>
    <x v="8"/>
    <s v="FO104"/>
    <m/>
    <s v="LZR"/>
    <s v="NIPPLE S TYPE S SIZE PUNCHED LASER MARKED"/>
    <s v="HEH12BG22"/>
    <n v="8"/>
    <n v="7036"/>
    <n v="879.5"/>
    <n v="6000"/>
    <n v="6000"/>
    <n v="0"/>
    <n v="0"/>
    <n v="0"/>
    <n v="0"/>
    <n v="0"/>
    <n v="0"/>
    <n v="1"/>
    <n v="6000"/>
    <n v="0.85275724843661171"/>
    <s v="FO019"/>
    <n v="0"/>
    <n v="0"/>
    <s v=" "/>
    <n v="0"/>
    <n v="0"/>
    <n v="1"/>
    <n v="1.6944444444444444"/>
    <n v="6.3055555555555554"/>
    <n v="0.78819444444444442"/>
    <n v="750"/>
    <n v="3.5"/>
    <n v="3.7833333333333332"/>
    <n v="0.92511013215859039"/>
    <n v="0.72916666666666674"/>
    <s v="2470/2471"/>
  </r>
  <r>
    <x v="11"/>
    <s v="B"/>
    <x v="5"/>
    <s v="FO145"/>
    <m/>
    <s v="INJ-1"/>
    <s v="CAP S TYPE MOLDED PALE BLUE"/>
    <s v="EH17Cb"/>
    <n v="2.5"/>
    <n v="1290"/>
    <n v="516"/>
    <n v="1350"/>
    <n v="1350"/>
    <n v="0"/>
    <n v="0"/>
    <n v="0"/>
    <n v="0"/>
    <n v="0"/>
    <n v="0"/>
    <n v="1"/>
    <n v="1350"/>
    <n v="1.0465116279069768"/>
    <s v="RM000115"/>
    <n v="7.3"/>
    <n v="9.8550000000000004"/>
    <n v="1"/>
    <n v="0"/>
    <n v="0"/>
    <n v="1"/>
    <n v="0"/>
    <n v="2.5"/>
    <n v="1"/>
    <n v="540"/>
    <n v="6"/>
    <n v="6.666666666666667"/>
    <n v="0.89999999999999991"/>
    <n v="0.89999999999999991"/>
    <n v="2692"/>
  </r>
  <r>
    <x v="11"/>
    <s v="B"/>
    <x v="5"/>
    <s v="FO145"/>
    <m/>
    <s v="INJ-1"/>
    <s v="CAP S TYPE MOLDED PALE BLUE"/>
    <s v="EH17CRb"/>
    <n v="5.5"/>
    <n v="2847"/>
    <n v="517.63636363636363"/>
    <n v="3008"/>
    <n v="3000"/>
    <n v="0"/>
    <n v="0"/>
    <n v="0"/>
    <n v="0"/>
    <n v="8"/>
    <n v="0"/>
    <n v="1"/>
    <n v="3000"/>
    <n v="1.053740779768177"/>
    <s v="RM000115"/>
    <n v="7.3"/>
    <n v="21.958400000000001"/>
    <n v="0.99734042553191482"/>
    <n v="2.6595744680851063E-3"/>
    <n v="0"/>
    <n v="0.99734042553191493"/>
    <n v="0"/>
    <n v="5.5"/>
    <n v="1"/>
    <n v="545.4545454545455"/>
    <n v="6"/>
    <n v="6.6"/>
    <n v="0.90909090909090917"/>
    <n v="0.9066731141199228"/>
    <n v="2693"/>
  </r>
  <r>
    <x v="11"/>
    <s v="C"/>
    <x v="5"/>
    <s v="FO145"/>
    <m/>
    <s v="INJ-1"/>
    <s v="CAP S TYPE MOLDED PALE BLUE"/>
    <s v="EH17CRc"/>
    <n v="3"/>
    <n v="1537"/>
    <n v="512.33333333333337"/>
    <n v="1578"/>
    <n v="1570"/>
    <n v="0.19"/>
    <n v="0"/>
    <n v="0"/>
    <n v="0"/>
    <n v="0"/>
    <n v="8"/>
    <n v="1"/>
    <n v="1570"/>
    <n v="1.0214703968770331"/>
    <s v="RM000115"/>
    <n v="7.3"/>
    <n v="11.7094"/>
    <n v="0.97878627427536846"/>
    <n v="0"/>
    <n v="0"/>
    <n v="1"/>
    <n v="0"/>
    <n v="3"/>
    <n v="1"/>
    <n v="523.33333333333337"/>
    <n v="6"/>
    <n v="6.8789808917197455"/>
    <n v="0.87222222222222223"/>
    <n v="0.87222222222222223"/>
    <n v="2693"/>
  </r>
  <r>
    <x v="11"/>
    <s v="C"/>
    <x v="5"/>
    <s v="FO146"/>
    <m/>
    <s v="INJ-1"/>
    <s v="CAP S TYPE MOLDED WHITE"/>
    <s v="EH17Cc"/>
    <n v="5"/>
    <n v="2600"/>
    <n v="520"/>
    <n v="3012"/>
    <n v="3000"/>
    <n v="0"/>
    <n v="0"/>
    <n v="0"/>
    <n v="0"/>
    <n v="4"/>
    <n v="8"/>
    <n v="1"/>
    <n v="3000"/>
    <n v="1.1538461538461537"/>
    <s v="RM000106"/>
    <n v="7.3"/>
    <n v="21.9876"/>
    <n v="0.99601593625497997"/>
    <n v="1.3315579227696406E-3"/>
    <n v="0"/>
    <n v="0.99867197875166003"/>
    <n v="0"/>
    <n v="5"/>
    <n v="1"/>
    <n v="600"/>
    <n v="6"/>
    <n v="6"/>
    <n v="1"/>
    <n v="0.99867197875166003"/>
    <n v="2694"/>
  </r>
  <r>
    <x v="11"/>
    <s v="C"/>
    <x v="0"/>
    <s v="FO011"/>
    <s v="M2"/>
    <s v="L2"/>
    <s v="NIPPLE S TYPE S SIZE INJECTION"/>
    <s v="HEH17Nc"/>
    <n v="8"/>
    <n v="4815"/>
    <n v="601.875"/>
    <n v="5326"/>
    <n v="5200"/>
    <n v="5.94"/>
    <n v="64"/>
    <n v="0"/>
    <n v="0"/>
    <n v="54"/>
    <n v="8"/>
    <n v="1"/>
    <n v="5200"/>
    <n v="1.0799584631360333"/>
    <s v="Silicon"/>
    <n v="6.8"/>
    <n v="42.156799999999997"/>
    <n v="0.83877334143008964"/>
    <n v="1.0277883517320136E-2"/>
    <n v="1.1873840445269016E-2"/>
    <n v="0.98986105895606458"/>
    <n v="0.76249999999999996"/>
    <n v="7.2374999999999998"/>
    <n v="0.90468749999999998"/>
    <n v="650"/>
    <n v="5.25"/>
    <n v="5.0105769230769228"/>
    <n v="1.047783534830167"/>
    <n v="0.93830579546876958"/>
    <n v="2474"/>
  </r>
  <r>
    <x v="11"/>
    <s v="C"/>
    <x v="1"/>
    <s v="FO003"/>
    <s v="BM3"/>
    <s v="B2"/>
    <s v="KPP 240 ML BOTTLE MOLDED"/>
    <s v="EH17Bc2"/>
    <n v="8"/>
    <n v="2574"/>
    <n v="321.75"/>
    <n v="3305"/>
    <n v="3240"/>
    <n v="0"/>
    <n v="20"/>
    <n v="0"/>
    <n v="0"/>
    <n v="37"/>
    <n v="8"/>
    <n v="1"/>
    <n v="3240"/>
    <n v="1.2587412587412588"/>
    <s v="HMC"/>
    <n v="32.1"/>
    <n v="106.09050000000001"/>
    <n v="0.98033282904689867"/>
    <n v="1.1290814769606347E-2"/>
    <n v="6.0150375939849628E-3"/>
    <n v="0.98880484114977307"/>
    <n v="0.33888888888888885"/>
    <n v="7.6611111111111114"/>
    <n v="0.95763888888888893"/>
    <n v="405"/>
    <n v="9"/>
    <n v="8.5123456790123448"/>
    <n v="1.0572878897751996"/>
    <n v="1.0011649016641453"/>
    <s v="2473/2475"/>
  </r>
  <r>
    <x v="12"/>
    <s v="A"/>
    <x v="0"/>
    <s v="FO011"/>
    <m/>
    <m/>
    <s v="NIPPLE S TYPE S SIZE INJECTION"/>
    <s v="HEH18Na"/>
    <n v="8"/>
    <n v="4815"/>
    <n v="601.875"/>
    <n v="5138"/>
    <n v="5000"/>
    <n v="0"/>
    <n v="90"/>
    <n v="0"/>
    <n v="0"/>
    <n v="40"/>
    <n v="8"/>
    <n v="1"/>
    <n v="5000"/>
    <n v="1.0384215991692627"/>
    <s v="Silicon"/>
    <n v="6.8"/>
    <n v="34.938400000000001"/>
    <n v="0.97314130011677691"/>
    <n v="7.9365079365079361E-3"/>
    <n v="1.7214996174445295E-2"/>
    <n v="0.9922148695990658"/>
    <n v="0"/>
    <n v="8"/>
    <n v="1"/>
    <n v="625"/>
    <n v="5.25"/>
    <n v="5.76"/>
    <n v="0.91145833333333337"/>
    <n v="0.90436251135331525"/>
    <n v="2484"/>
  </r>
  <r>
    <x v="12"/>
    <s v="A"/>
    <x v="1"/>
    <s v="FO003"/>
    <s v="BM3"/>
    <s v="B2"/>
    <s v="KPP 240 ML BOTTLE MOLDED"/>
    <s v="EH18Ba2"/>
    <n v="8"/>
    <n v="2574"/>
    <n v="321.75"/>
    <n v="3270"/>
    <n v="3132"/>
    <n v="0.18"/>
    <n v="58"/>
    <n v="0"/>
    <n v="0"/>
    <n v="72"/>
    <n v="8"/>
    <n v="1"/>
    <n v="3132"/>
    <n v="1.2167832167832169"/>
    <s v="HMC"/>
    <n v="32.1"/>
    <n v="105.14700000000002"/>
    <n v="0.95615852092784381"/>
    <n v="2.247191011235955E-2"/>
    <n v="1.7427884615384616E-2"/>
    <n v="0.97798165137614679"/>
    <n v="0"/>
    <n v="8"/>
    <n v="1"/>
    <n v="391.5"/>
    <n v="9"/>
    <n v="9.1954022988505741"/>
    <n v="0.97875000000000001"/>
    <n v="0.95719954128440365"/>
    <n v="2485"/>
  </r>
  <r>
    <x v="12"/>
    <s v="A"/>
    <x v="3"/>
    <s v="FO019"/>
    <m/>
    <m/>
    <s v="NIPPLE S TYPE S SIZE PUNCHED"/>
    <s v="HEH13NbH13PcH17Pa"/>
    <n v="8"/>
    <n v="7000"/>
    <n v="875"/>
    <n v="7000"/>
    <n v="7000"/>
    <n v="0"/>
    <n v="0"/>
    <n v="0"/>
    <n v="0"/>
    <n v="0"/>
    <n v="0"/>
    <n v="1"/>
    <n v="7000"/>
    <n v="1"/>
    <s v="FO015"/>
    <n v="0"/>
    <n v="0"/>
    <s v=" "/>
    <n v="0"/>
    <n v="0"/>
    <n v="1"/>
    <n v="0.6777777777777777"/>
    <n v="7.322222222222222"/>
    <n v="0.91527777777777775"/>
    <n v="875"/>
    <n v="3.5"/>
    <n v="3.7657142857142856"/>
    <n v="0.92943854324734454"/>
    <n v="0.85069444444444453"/>
    <s v="2482/2483"/>
  </r>
  <r>
    <x v="12"/>
    <s v="A"/>
    <x v="2"/>
    <s v="FO015"/>
    <m/>
    <m/>
    <s v="NIPPLE S TYPE S SIZE POSTCURED"/>
    <s v="HEH17NbH18PC"/>
    <n v="2"/>
    <n v="3000"/>
    <n v="1500"/>
    <n v="3300"/>
    <n v="3300"/>
    <n v="0"/>
    <n v="0"/>
    <n v="0"/>
    <n v="0"/>
    <n v="0"/>
    <n v="0"/>
    <n v="1"/>
    <n v="3300"/>
    <n v="1.1000000000000001"/>
    <s v="FO011"/>
    <n v="0"/>
    <n v="0"/>
    <s v=" "/>
    <n v="0"/>
    <n v="0"/>
    <n v="1"/>
    <n v="0"/>
    <n v="2"/>
    <n v="1"/>
    <n v="1650"/>
    <n v="2.2999999999999998"/>
    <n v="2.1818181818181817"/>
    <n v="1.0541666666666667"/>
    <n v="1.0541666666666667"/>
    <n v="2486"/>
  </r>
  <r>
    <x v="12"/>
    <s v="A"/>
    <x v="8"/>
    <s v="FO104"/>
    <m/>
    <m/>
    <s v="NIPPLE S TYPE S SIZE PUNCHED LASER MARKED"/>
    <s v="HEH12CG22"/>
    <n v="5"/>
    <n v="4375"/>
    <n v="875"/>
    <n v="4300"/>
    <n v="4300"/>
    <n v="0"/>
    <n v="0"/>
    <n v="0"/>
    <n v="0"/>
    <n v="0"/>
    <n v="0"/>
    <n v="1"/>
    <n v="4300"/>
    <n v="0.98285714285714287"/>
    <s v="FO019"/>
    <n v="0"/>
    <n v="0"/>
    <s v=" "/>
    <n v="0"/>
    <n v="0"/>
    <n v="1"/>
    <n v="0.84722222222222221"/>
    <n v="4.1527777777777777"/>
    <n v="0.83055555555555549"/>
    <n v="860"/>
    <n v="3.5"/>
    <n v="3.4767441860465116"/>
    <n v="1.0066889632107023"/>
    <n v="0.83611111111111103"/>
    <s v="2487/2488"/>
  </r>
  <r>
    <x v="12"/>
    <s v="A"/>
    <x v="5"/>
    <s v="FO146"/>
    <m/>
    <s v="INJ-1"/>
    <s v="CAP S TYPE MOLDED WHITE"/>
    <s v="EH18Ca"/>
    <n v="8"/>
    <n v="4137"/>
    <n v="517.125"/>
    <n v="4012"/>
    <n v="4000"/>
    <n v="0"/>
    <n v="0"/>
    <n v="0"/>
    <n v="0"/>
    <n v="4"/>
    <n v="8"/>
    <n v="1"/>
    <n v="4000"/>
    <n v="0.96688421561518012"/>
    <s v="RM000106"/>
    <n v="7.3"/>
    <n v="29.287600000000001"/>
    <n v="0.99700897308075764"/>
    <n v="9.99000999000999E-4"/>
    <n v="0"/>
    <n v="0.99900299102691925"/>
    <n v="0.76249999999999996"/>
    <n v="7.2374999999999998"/>
    <n v="0.90468749999999998"/>
    <n v="500"/>
    <n v="6"/>
    <n v="6.5137499999999999"/>
    <n v="0.92112838226827864"/>
    <n v="0.83250249252243269"/>
    <n v="2694"/>
  </r>
  <r>
    <x v="12"/>
    <s v="G"/>
    <x v="4"/>
    <s v="FO108"/>
    <m/>
    <m/>
    <s v="NIPPLE S TYPE S SIZE PUNCHED INSPECTED"/>
    <s v="HEH12NbH12PcH17Pb"/>
    <n v="8.5"/>
    <n v="14182"/>
    <n v="1668.4705882352941"/>
    <n v="12300"/>
    <n v="12239"/>
    <n v="0"/>
    <n v="0"/>
    <n v="0"/>
    <n v="0"/>
    <n v="61"/>
    <n v="0"/>
    <n v="2"/>
    <n v="6119.5"/>
    <n v="0.86299534621351004"/>
    <s v="FO104"/>
    <n v="0"/>
    <n v="0"/>
    <s v=" "/>
    <n v="4.9593495934959347E-3"/>
    <n v="0"/>
    <n v="0.99504065040650402"/>
    <n v="1.8638888888888887"/>
    <n v="6.6361111111111111"/>
    <n v="0.78071895424836601"/>
    <n v="1439.8823529411766"/>
    <n v="4"/>
    <n v="3.9039137184410491"/>
    <n v="1.0246128087065718"/>
    <n v="0.79596748498857539"/>
    <s v="2558/2559/2560"/>
  </r>
  <r>
    <x v="12"/>
    <s v="G"/>
    <x v="7"/>
    <s v="FO031"/>
    <m/>
    <m/>
    <s v="NIPPLE S TYPE L SIZE WITH PRINTED WRAP"/>
    <s v="HEG22AG22"/>
    <n v="8.5"/>
    <n v="16132"/>
    <n v="1897.8823529411766"/>
    <n v="15285"/>
    <n v="15244"/>
    <n v="0"/>
    <n v="0"/>
    <n v="0"/>
    <n v="0"/>
    <n v="41"/>
    <n v="0"/>
    <n v="2"/>
    <n v="7622"/>
    <n v="0.94495412844036697"/>
    <s v="FO021"/>
    <n v="0"/>
    <n v="0"/>
    <s v=" "/>
    <n v="2.6823683349689238E-3"/>
    <n v="0"/>
    <n v="0.99731763166503107"/>
    <n v="0"/>
    <n v="8.5"/>
    <n v="1"/>
    <n v="1793.4117647058824"/>
    <n v="2.5"/>
    <n v="4.0146943059564419"/>
    <n v="0.6227124183006536"/>
    <n v="0.62104207422801205"/>
    <s v="2491/2492/2493/2494"/>
  </r>
  <r>
    <x v="12"/>
    <s v="G"/>
    <x v="6"/>
    <s v="FO008"/>
    <m/>
    <m/>
    <s v="KPP 240 ML BOTTLE PRINTED"/>
    <s v="EH13Ba2H18Pa"/>
    <n v="8.5"/>
    <n v="5100"/>
    <n v="600"/>
    <n v="3812"/>
    <n v="3780"/>
    <n v="0"/>
    <n v="0"/>
    <n v="36"/>
    <n v="0"/>
    <n v="32"/>
    <n v="0"/>
    <n v="6"/>
    <n v="630"/>
    <n v="0.74117647058823533"/>
    <s v="FO003"/>
    <n v="0"/>
    <n v="0"/>
    <s v=" "/>
    <n v="8.3945435466946487E-3"/>
    <n v="0"/>
    <n v="0.99160545645330533"/>
    <n v="2.8805555555555555"/>
    <n v="5.6194444444444445"/>
    <n v="0.66111111111111109"/>
    <n v="444.70588235294116"/>
    <n v="32.4"/>
    <n v="32.111111111111114"/>
    <n v="1.0089965397923875"/>
    <n v="0.66145916918708725"/>
    <s v="PINPM/21-22/2489,90"/>
  </r>
  <r>
    <x v="12"/>
    <s v="B"/>
    <x v="3"/>
    <s v="FO019"/>
    <m/>
    <m/>
    <s v="NIPPLE S TYPE S SIZE PUNCHED"/>
    <s v="HEH13NbH13PcH18Pb"/>
    <n v="8"/>
    <n v="7000"/>
    <n v="875"/>
    <n v="7000"/>
    <n v="7000"/>
    <n v="0"/>
    <n v="0"/>
    <n v="0"/>
    <n v="0"/>
    <n v="0"/>
    <n v="0"/>
    <n v="1"/>
    <n v="7000"/>
    <n v="1"/>
    <s v="FO015"/>
    <n v="0"/>
    <n v="0"/>
    <s v=" "/>
    <n v="0"/>
    <n v="0"/>
    <n v="1"/>
    <n v="0.6777777777777777"/>
    <n v="7.322222222222222"/>
    <n v="0.91527777777777775"/>
    <n v="875"/>
    <n v="3.5"/>
    <n v="3.7657142857142856"/>
    <n v="0.92943854324734454"/>
    <n v="0.85069444444444453"/>
    <s v="2495/2496"/>
  </r>
  <r>
    <x v="12"/>
    <s v="B"/>
    <x v="8"/>
    <s v="FO104"/>
    <m/>
    <m/>
    <s v="NIPPLE S TYPE S SIZE PUNCHED LASER MARKED"/>
    <s v="HEH13BG22"/>
    <n v="8"/>
    <n v="7000"/>
    <n v="875"/>
    <n v="7000"/>
    <n v="7000"/>
    <n v="0"/>
    <n v="0"/>
    <n v="0"/>
    <n v="0"/>
    <n v="0"/>
    <n v="0"/>
    <n v="1"/>
    <n v="7000"/>
    <n v="1"/>
    <s v="FO019"/>
    <n v="0"/>
    <n v="0"/>
    <s v=" "/>
    <n v="0"/>
    <n v="0"/>
    <n v="1"/>
    <n v="0.6777777777777777"/>
    <n v="7.322222222222222"/>
    <n v="0.91527777777777775"/>
    <n v="875"/>
    <n v="3.5"/>
    <n v="3.7657142857142856"/>
    <n v="0.92943854324734454"/>
    <n v="0.85069444444444453"/>
    <s v="2497/2500"/>
  </r>
  <r>
    <x v="12"/>
    <s v="B"/>
    <x v="2"/>
    <s v="FO015"/>
    <m/>
    <m/>
    <s v="NIPPLE S TYPE S SIZE POSTCURED"/>
    <s v="HEH17NcH187Pb"/>
    <n v="8"/>
    <n v="7000"/>
    <n v="875"/>
    <n v="8200"/>
    <n v="8200"/>
    <n v="0"/>
    <n v="0"/>
    <n v="0"/>
    <n v="0"/>
    <n v="0"/>
    <n v="0"/>
    <n v="1"/>
    <n v="8200"/>
    <n v="1.1714285714285715"/>
    <s v="FO011"/>
    <n v="0"/>
    <n v="0"/>
    <s v=" "/>
    <n v="0"/>
    <n v="0"/>
    <n v="1"/>
    <n v="0"/>
    <n v="8"/>
    <n v="1"/>
    <n v="1025"/>
    <n v="2.2999999999999998"/>
    <n v="3.5121951219512195"/>
    <n v="0.65486111111111101"/>
    <n v="0.65486111111111101"/>
    <s v="2498/2499"/>
  </r>
  <r>
    <x v="12"/>
    <s v="B"/>
    <x v="0"/>
    <s v="FO011"/>
    <m/>
    <m/>
    <s v="NIPPLE S TYPE S SIZE INJECTION"/>
    <s v="HEH18Nb"/>
    <n v="8"/>
    <n v="4815"/>
    <n v="601.875"/>
    <n v="5046"/>
    <n v="4950"/>
    <n v="0"/>
    <n v="33"/>
    <n v="0"/>
    <n v="0"/>
    <n v="63"/>
    <n v="0"/>
    <n v="1"/>
    <n v="4950"/>
    <n v="1.02803738317757"/>
    <s v="Silicon"/>
    <n v="6.8"/>
    <n v="34.312799999999996"/>
    <n v="0.98097502972651607"/>
    <n v="1.2567324955116697E-2"/>
    <n v="6.4973419964559952E-3"/>
    <n v="0.98751486325802618"/>
    <n v="0"/>
    <n v="8"/>
    <n v="1"/>
    <n v="618.75"/>
    <n v="5.25"/>
    <n v="5.8181818181818183"/>
    <n v="0.90234375"/>
    <n v="0.89107786489298457"/>
    <n v="2502"/>
  </r>
  <r>
    <x v="12"/>
    <s v="B"/>
    <x v="1"/>
    <s v="FO003"/>
    <s v="BM3"/>
    <s v="B2"/>
    <s v="KPP 240 ML BOTTLE MOLDED"/>
    <s v="EH18Bb2"/>
    <n v="8"/>
    <n v="2574"/>
    <n v="321.75"/>
    <n v="3201"/>
    <n v="3132"/>
    <n v="0.15"/>
    <n v="18"/>
    <n v="0"/>
    <n v="0"/>
    <n v="51"/>
    <n v="0"/>
    <n v="1"/>
    <n v="3132"/>
    <n v="1.2167832167832169"/>
    <s v="HMC"/>
    <n v="32.1"/>
    <n v="102.90210000000002"/>
    <n v="0.97701796173255939"/>
    <n v="1.6022620169651274E-2"/>
    <n v="5.5917986952469714E-3"/>
    <n v="0.98406747891283974"/>
    <n v="0"/>
    <n v="8"/>
    <n v="1"/>
    <n v="391.5"/>
    <n v="9"/>
    <n v="9.1954022988505741"/>
    <n v="0.97875000000000001"/>
    <n v="0.96315604498594187"/>
    <n v="2501"/>
  </r>
  <r>
    <x v="12"/>
    <s v="B"/>
    <x v="5"/>
    <s v="FO146"/>
    <m/>
    <s v="INJ-1"/>
    <s v="CAP S TYPE MOLDED WHITE"/>
    <s v="EH18Cb"/>
    <n v="5.4"/>
    <n v="2800"/>
    <n v="518.51851851851848"/>
    <n v="2880"/>
    <n v="2880"/>
    <n v="0"/>
    <n v="0"/>
    <n v="0"/>
    <n v="0"/>
    <n v="0"/>
    <n v="0"/>
    <n v="1"/>
    <n v="2880"/>
    <n v="1.0285714285714285"/>
    <s v="RM000106"/>
    <n v="7.3"/>
    <n v="21.024000000000001"/>
    <n v="1"/>
    <n v="0"/>
    <n v="0"/>
    <n v="1"/>
    <n v="0"/>
    <n v="5.4"/>
    <n v="1"/>
    <n v="533.33333333333326"/>
    <n v="6"/>
    <n v="6.75"/>
    <n v="0.88888888888888884"/>
    <n v="0.88888888888888884"/>
    <n v="2694"/>
  </r>
  <r>
    <x v="12"/>
    <s v="B"/>
    <x v="5"/>
    <s v="FO146"/>
    <m/>
    <s v="INJ-1"/>
    <s v="CAP S TYPE MOLDED WHITE"/>
    <s v="EH18CRb"/>
    <n v="2.5999999999999996"/>
    <n v="1337"/>
    <n v="514.23076923076928"/>
    <n v="2008"/>
    <n v="2000"/>
    <n v="0"/>
    <n v="0"/>
    <n v="0"/>
    <n v="0"/>
    <n v="8"/>
    <n v="0"/>
    <n v="1"/>
    <n v="2000"/>
    <n v="1.4958863126402393"/>
    <s v="RM000106"/>
    <n v="7.3"/>
    <n v="14.6584"/>
    <n v="0.99601593625498008"/>
    <n v="3.9840637450199202E-3"/>
    <n v="0"/>
    <n v="0.99601593625498008"/>
    <n v="0"/>
    <n v="2.5999999999999996"/>
    <n v="1"/>
    <n v="769.23076923076928"/>
    <n v="6"/>
    <n v="4.6799999999999988"/>
    <n v="1.2820512820512824"/>
    <n v="1.2769435080192055"/>
    <n v="2695"/>
  </r>
  <r>
    <x v="12"/>
    <s v="C"/>
    <x v="5"/>
    <s v="FO146"/>
    <m/>
    <s v="INJ-1"/>
    <s v="CAP S TYPE MOLDED WHITE"/>
    <s v="EH18CRc"/>
    <n v="8"/>
    <n v="4137"/>
    <n v="517.125"/>
    <n v="4015"/>
    <n v="4000"/>
    <n v="0"/>
    <n v="0"/>
    <n v="0"/>
    <n v="0"/>
    <n v="7"/>
    <n v="8"/>
    <n v="1"/>
    <n v="4000"/>
    <n v="0.96688421561518012"/>
    <s v="RM000106"/>
    <n v="7.3"/>
    <n v="29.3095"/>
    <n v="0.99626400996264008"/>
    <n v="1.7469428500124782E-3"/>
    <n v="0"/>
    <n v="0.99825653798256542"/>
    <n v="0"/>
    <n v="8"/>
    <n v="1"/>
    <n v="500"/>
    <n v="6"/>
    <n v="7.2"/>
    <n v="0.83333333333333326"/>
    <n v="0.83188044831880448"/>
    <n v="2695"/>
  </r>
  <r>
    <x v="12"/>
    <s v="C"/>
    <x v="0"/>
    <s v="FO148"/>
    <s v="M2"/>
    <s v="L2"/>
    <s v="NIPPLE S TYPE LL SIZE INJECTION"/>
    <s v="HEH18Nc"/>
    <n v="8"/>
    <n v="4815"/>
    <n v="601.875"/>
    <n v="3702"/>
    <n v="3600"/>
    <n v="0"/>
    <n v="53"/>
    <n v="0"/>
    <n v="0"/>
    <n v="41"/>
    <n v="8"/>
    <n v="1"/>
    <n v="3600"/>
    <n v="0.74766355140186913"/>
    <s v="FO148"/>
    <n v="6.8"/>
    <n v="25.173599999999997"/>
    <n v="0.97244732576985415"/>
    <n v="1.1260642680582258E-2"/>
    <n v="1.411451398135819E-2"/>
    <n v="0.98892490545651002"/>
    <n v="3.05"/>
    <n v="4.95"/>
    <n v="0.61875000000000002"/>
    <n v="450"/>
    <n v="5.25"/>
    <n v="4.95"/>
    <n v="1.0606060606060606"/>
    <n v="0.64898196920583462"/>
    <n v="2505"/>
  </r>
  <r>
    <x v="12"/>
    <s v="C"/>
    <x v="1"/>
    <s v="FO003"/>
    <s v="BM3"/>
    <s v="B2"/>
    <s v="KPP 240 ML BOTTLE MOLDED"/>
    <s v="EH18Bc2"/>
    <n v="8"/>
    <n v="2574"/>
    <n v="321.75"/>
    <n v="3287"/>
    <n v="3132"/>
    <n v="0"/>
    <n v="69"/>
    <n v="0"/>
    <n v="0"/>
    <n v="78"/>
    <n v="8"/>
    <n v="1"/>
    <n v="3132"/>
    <n v="1.2167832167832169"/>
    <s v="HMC"/>
    <n v="32.1"/>
    <n v="105.51270000000001"/>
    <n v="0.95284453909339828"/>
    <n v="2.4299065420560748E-2"/>
    <n v="2.0560190703218118E-2"/>
    <n v="0.97627015515667781"/>
    <n v="0.33888888888888885"/>
    <n v="7.6611111111111114"/>
    <n v="0.95763888888888893"/>
    <n v="391.5"/>
    <n v="9"/>
    <n v="8.8058748403575997"/>
    <n v="1.022044960116026"/>
    <n v="0.95552441435959834"/>
    <n v="2506"/>
  </r>
  <r>
    <x v="12"/>
    <s v="C"/>
    <x v="2"/>
    <s v="FO015"/>
    <m/>
    <s v="PC1"/>
    <s v="NIPPLE S TYPE S SIZE POSTCURED"/>
    <s v="HEH18NbH18Pc"/>
    <n v="8"/>
    <n v="7036"/>
    <n v="879.5"/>
    <n v="6950"/>
    <n v="6950"/>
    <n v="0"/>
    <n v="0"/>
    <n v="0"/>
    <n v="0"/>
    <n v="0"/>
    <n v="0"/>
    <n v="1"/>
    <n v="6950"/>
    <n v="0.86029411764705888"/>
    <s v="FO017"/>
    <n v="0"/>
    <n v="0"/>
    <s v=" "/>
    <n v="0"/>
    <n v="0"/>
    <n v="1"/>
    <n v="0"/>
    <n v="4"/>
    <n v="1"/>
    <n v="760.5"/>
    <n v="3.5"/>
    <n v="4.7337278106508878"/>
    <n v="0.739375"/>
    <n v="0.739375"/>
    <s v="2503/2504"/>
  </r>
  <r>
    <x v="13"/>
    <s v="A"/>
    <x v="1"/>
    <s v="FO003"/>
    <s v="B2"/>
    <m/>
    <s v="KPP 240 ML BOTTLE MOLDED"/>
    <s v="EH19Ba2"/>
    <n v="8"/>
    <n v="2574"/>
    <n v="321.75"/>
    <n v="3286"/>
    <n v="3132"/>
    <n v="0"/>
    <n v="76"/>
    <n v="0"/>
    <n v="0"/>
    <n v="70"/>
    <n v="8"/>
    <n v="1"/>
    <n v="3132"/>
    <n v="1.2167832167832169"/>
    <s v="HMC"/>
    <n v="32.1"/>
    <n v="105.48060000000001"/>
    <n v="0.95313451004260508"/>
    <n v="2.1861336664584636E-2"/>
    <n v="2.2605591909577633E-2"/>
    <n v="0.97869750456482041"/>
    <n v="0"/>
    <n v="8"/>
    <n v="1"/>
    <n v="391.5"/>
    <n v="9"/>
    <n v="9.1954022988505741"/>
    <n v="0.97875000000000001"/>
    <n v="0.95790018259281795"/>
    <s v="2525"/>
  </r>
  <r>
    <x v="13"/>
    <s v="A"/>
    <x v="0"/>
    <s v="FO148"/>
    <m/>
    <m/>
    <s v="NIPPLE S TYPE LL SIZE INJECTION"/>
    <s v="HEH19Na"/>
    <n v="8"/>
    <n v="4815"/>
    <n v="601.875"/>
    <n v="5634"/>
    <n v="5500"/>
    <n v="0"/>
    <n v="48"/>
    <n v="0"/>
    <n v="0"/>
    <n v="78"/>
    <n v="8"/>
    <n v="1"/>
    <n v="5500"/>
    <n v="1.142263759086189"/>
    <s v="FO148"/>
    <n v="6.8"/>
    <n v="38.311199999999999"/>
    <n v="0.97621583244586441"/>
    <n v="1.3983506633201864E-2"/>
    <n v="8.4477296726504746E-3"/>
    <n v="0.98615548455804047"/>
    <n v="0"/>
    <n v="8"/>
    <n v="1"/>
    <n v="687.5"/>
    <n v="5.25"/>
    <n v="5.2363636363636363"/>
    <n v="1.0026041666666667"/>
    <n v="0.98872359779907715"/>
    <n v="2526"/>
  </r>
  <r>
    <x v="13"/>
    <s v="A"/>
    <x v="3"/>
    <s v="FO019"/>
    <m/>
    <m/>
    <s v="NIPPLE S TYPE S SIZE PUNCHED"/>
    <s v="HEH17NbH17PbH19Pa"/>
    <n v="8"/>
    <n v="7000"/>
    <n v="875"/>
    <n v="7000"/>
    <n v="7000"/>
    <n v="0"/>
    <n v="0"/>
    <n v="0"/>
    <n v="0"/>
    <n v="0"/>
    <n v="0"/>
    <n v="1"/>
    <n v="7000"/>
    <n v="1"/>
    <s v="FO015"/>
    <n v="0"/>
    <n v="0"/>
    <s v=" "/>
    <n v="0"/>
    <n v="0"/>
    <n v="1"/>
    <n v="0"/>
    <n v="8"/>
    <n v="1"/>
    <n v="875"/>
    <n v="3.5"/>
    <n v="4.1142857142857139"/>
    <n v="0.85069444444444453"/>
    <n v="0.85069444444444453"/>
    <s v="2527/2528/2529"/>
  </r>
  <r>
    <x v="13"/>
    <s v="A"/>
    <x v="8"/>
    <s v="FO104"/>
    <m/>
    <m/>
    <s v="NIPPLE S TYPE S SIZE PUNCHED LASER MARKED"/>
    <s v="HEH13CG22"/>
    <n v="8"/>
    <n v="5000"/>
    <n v="625"/>
    <n v="5000"/>
    <n v="5000"/>
    <n v="0"/>
    <n v="0"/>
    <n v="0"/>
    <n v="0"/>
    <n v="0"/>
    <n v="0"/>
    <n v="1"/>
    <n v="5000"/>
    <n v="1"/>
    <s v="FO019"/>
    <n v="0"/>
    <n v="0"/>
    <s v=" "/>
    <n v="0"/>
    <n v="0"/>
    <n v="1"/>
    <n v="0"/>
    <n v="8"/>
    <n v="1"/>
    <n v="625"/>
    <n v="3.5"/>
    <n v="5.76"/>
    <n v="0.60763888888888895"/>
    <n v="0.60763888888888895"/>
    <s v="2537/2538"/>
  </r>
  <r>
    <x v="13"/>
    <s v="G"/>
    <x v="7"/>
    <s v="FO141"/>
    <m/>
    <s v="WR1"/>
    <s v="NIPPLE S TYPE LL SIZE WRAPPED"/>
    <s v="HED23G22"/>
    <n v="8.5"/>
    <n v="16132"/>
    <n v="1897.8823529411766"/>
    <n v="17412"/>
    <n v="17390"/>
    <n v="0"/>
    <n v="0"/>
    <n v="0"/>
    <n v="0"/>
    <n v="22"/>
    <n v="0"/>
    <n v="2"/>
    <n v="8695"/>
    <n v="1.0779816513761469"/>
    <s v="FO141"/>
    <n v="0"/>
    <n v="0"/>
    <s v=" "/>
    <n v="1.2634964392373076E-3"/>
    <n v="0"/>
    <n v="0.99873650356076271"/>
    <n v="0.84722222222222221"/>
    <n v="7.6527777777777777"/>
    <n v="0.90032679738562094"/>
    <n v="2045.8823529411766"/>
    <n v="2.5"/>
    <n v="3.1684876365727428"/>
    <n v="0.78901996370235938"/>
    <n v="0.70947825967817257"/>
    <n v="2586"/>
  </r>
  <r>
    <x v="13"/>
    <s v="G"/>
    <x v="4"/>
    <s v="FO108"/>
    <m/>
    <m/>
    <s v="NIPPLE S TYPE S SIZE PUNCHED INSPECTED"/>
    <s v="HEH13NaH13PcH17Pa"/>
    <n v="8.5"/>
    <n v="14182"/>
    <n v="1668.4705882352941"/>
    <n v="13000"/>
    <n v="12953"/>
    <n v="0"/>
    <n v="0"/>
    <n v="0"/>
    <n v="0"/>
    <n v="47"/>
    <n v="0"/>
    <n v="2"/>
    <n v="6476.5"/>
    <n v="0.91334085460442815"/>
    <s v="FO104"/>
    <n v="0"/>
    <n v="0"/>
    <s v=" "/>
    <n v="3.6153846153846154E-3"/>
    <n v="0"/>
    <n v="0.99638461538461542"/>
    <n v="1.8638888888888887"/>
    <n v="6.6361111111111111"/>
    <n v="0.78071895424836601"/>
    <n v="1523.8823529411766"/>
    <n v="4"/>
    <n v="3.6887207596695748"/>
    <n v="1.0843867727082461"/>
    <n v="0.84354051784816486"/>
    <s v="2561/2562/2563/2564"/>
  </r>
  <r>
    <x v="13"/>
    <s v="G"/>
    <x v="6"/>
    <s v="FO008"/>
    <m/>
    <s v="PR1"/>
    <s v="KPP 240 ML BOTTLE PRINTED"/>
    <s v="HEH13Bc2H19Pa"/>
    <n v="8.5"/>
    <n v="5100"/>
    <n v="600"/>
    <n v="5309"/>
    <n v="5268"/>
    <n v="0"/>
    <n v="0"/>
    <n v="45"/>
    <n v="0"/>
    <n v="41"/>
    <n v="0"/>
    <n v="6"/>
    <n v="878"/>
    <n v="1.0329411764705883"/>
    <s v="FO003"/>
    <n v="0"/>
    <n v="0"/>
    <s v=" "/>
    <n v="7.7227349783386698E-3"/>
    <n v="0"/>
    <n v="0.99227726502166136"/>
    <n v="0.84722222222222221"/>
    <n v="7.6527777777777777"/>
    <n v="0.90032679738562094"/>
    <n v="619.76470588235293"/>
    <n v="32.4"/>
    <n v="31.378132118451024"/>
    <n v="1.0325662431941924"/>
    <n v="0.92246764096484335"/>
    <s v="PINPM/21-22/2569,70,71"/>
  </r>
  <r>
    <x v="13"/>
    <s v="B"/>
    <x v="1"/>
    <s v="FO003"/>
    <s v="BM3"/>
    <s v="B2"/>
    <s v="KPP 240 ML BOTTLE MOLDED"/>
    <s v="EH19Bb2"/>
    <n v="2"/>
    <n v="600"/>
    <n v="300"/>
    <n v="630"/>
    <n v="630"/>
    <n v="0"/>
    <n v="0"/>
    <n v="0"/>
    <n v="0"/>
    <n v="0"/>
    <n v="0"/>
    <n v="1"/>
    <n v="630"/>
    <n v="1.05"/>
    <s v="HMC"/>
    <n v="32.1"/>
    <n v="20.223000000000003"/>
    <n v="1"/>
    <n v="0"/>
    <n v="0"/>
    <n v="1"/>
    <n v="0"/>
    <n v="2"/>
    <n v="1"/>
    <n v="315"/>
    <n v="9"/>
    <n v="11.428571428571429"/>
    <n v="0.78749999999999998"/>
    <n v="0.78749999999999998"/>
    <s v="PINPM/21-22/2570"/>
  </r>
  <r>
    <x v="13"/>
    <s v="B"/>
    <x v="1"/>
    <s v="FO003"/>
    <s v="BM3"/>
    <s v="B2"/>
    <s v="KPP 240 ML BOTTLE MOLDED"/>
    <s v="EH19Bb2"/>
    <n v="6"/>
    <n v="1974"/>
    <n v="329"/>
    <n v="2609"/>
    <n v="2484"/>
    <n v="0.18"/>
    <n v="55"/>
    <n v="0"/>
    <n v="0"/>
    <n v="70"/>
    <n v="0"/>
    <n v="1"/>
    <n v="2484"/>
    <n v="1.2583586626139818"/>
    <s v="HMC"/>
    <n v="32.1"/>
    <n v="83.928900000000013"/>
    <n v="0.95004700407130316"/>
    <n v="2.7407987470634301E-2"/>
    <n v="2.0645645645645645E-2"/>
    <n v="0.97316979685703331"/>
    <n v="0"/>
    <n v="6"/>
    <n v="1"/>
    <n v="414"/>
    <n v="9"/>
    <n v="8.695652173913043"/>
    <n v="1.0350000000000001"/>
    <n v="1.0072307397470297"/>
    <s v="PINPM/21-22/2571"/>
  </r>
  <r>
    <x v="13"/>
    <s v="B"/>
    <x v="3"/>
    <s v="FO019"/>
    <m/>
    <s v="P1"/>
    <s v="NIPPLE S TYPE S SIZE PUNCHED"/>
    <s v="HEH17NbH18PaH19Pb"/>
    <n v="8"/>
    <n v="7000"/>
    <n v="875"/>
    <n v="7300"/>
    <n v="7300"/>
    <n v="0"/>
    <n v="0"/>
    <n v="0"/>
    <n v="0"/>
    <n v="0"/>
    <n v="0"/>
    <n v="1"/>
    <n v="7300"/>
    <n v="1.0428571428571429"/>
    <s v="FO015"/>
    <n v="0"/>
    <n v="0"/>
    <s v=" "/>
    <n v="0"/>
    <n v="0"/>
    <n v="1"/>
    <n v="0.6777777777777777"/>
    <n v="7.322222222222222"/>
    <n v="0.91527777777777775"/>
    <n v="912.5"/>
    <n v="3.5"/>
    <n v="3.6109589041095891"/>
    <n v="0.96927162367223063"/>
    <n v="0.88715277777777768"/>
    <s v="PINPM/21-22/2614"/>
  </r>
  <r>
    <x v="13"/>
    <s v="B"/>
    <x v="8"/>
    <s v="FO104"/>
    <m/>
    <s v="LZ1"/>
    <s v="NIPPLE S TYPE S SIZE PUNCHED LASER MARKED"/>
    <s v="HEH13CG22"/>
    <n v="8"/>
    <n v="7000"/>
    <n v="875"/>
    <n v="7300"/>
    <n v="7300"/>
    <n v="0"/>
    <n v="0"/>
    <n v="0"/>
    <n v="0"/>
    <n v="0"/>
    <n v="0"/>
    <n v="1"/>
    <n v="7300"/>
    <n v="1.0428571428571429"/>
    <s v="FO019"/>
    <n v="0"/>
    <n v="0"/>
    <s v=" "/>
    <n v="0"/>
    <n v="0"/>
    <n v="1"/>
    <n v="0.6777777777777777"/>
    <n v="7.322222222222222"/>
    <n v="0.91527777777777775"/>
    <n v="912.5"/>
    <n v="3.5"/>
    <n v="3.6109589041095891"/>
    <n v="0.96927162367223063"/>
    <n v="0.88715277777777768"/>
    <s v="2555/2556/2557"/>
  </r>
  <r>
    <x v="13"/>
    <s v="B"/>
    <x v="2"/>
    <s v="FO149"/>
    <m/>
    <m/>
    <s v="NIPPLE S TYPE LL SIZE POSTCURED"/>
    <s v="HEH18NcH19Pb"/>
    <n v="8"/>
    <n v="7036"/>
    <n v="879.5"/>
    <n v="9100"/>
    <n v="9100"/>
    <n v="0"/>
    <n v="0"/>
    <n v="0"/>
    <n v="0"/>
    <n v="0"/>
    <n v="0"/>
    <n v="1"/>
    <n v="9100"/>
    <n v="1.2933484934621944"/>
    <s v="FO149"/>
    <n v="0"/>
    <n v="0"/>
    <s v=" "/>
    <n v="0"/>
    <n v="0"/>
    <n v="1"/>
    <n v="0.6777777777777777"/>
    <n v="7.322222222222222"/>
    <n v="0.91527777777777775"/>
    <n v="1137.5"/>
    <n v="2.2999999999999998"/>
    <n v="2.8967032967032966"/>
    <n v="0.79400606980273136"/>
    <n v="0.72673611111111103"/>
    <s v="2552/2553"/>
  </r>
  <r>
    <x v="13"/>
    <s v="B"/>
    <x v="0"/>
    <s v="FO148"/>
    <s v="M2"/>
    <s v="L2"/>
    <s v="NIPPLE S TYPE LL SIZE INJECTION"/>
    <s v="HEH19Nb"/>
    <n v="8"/>
    <n v="4815"/>
    <n v="601.875"/>
    <n v="5365"/>
    <n v="5300"/>
    <n v="0"/>
    <n v="0"/>
    <n v="0"/>
    <n v="0"/>
    <n v="65"/>
    <n v="0"/>
    <n v="1"/>
    <n v="5300"/>
    <n v="1.1007268951194185"/>
    <s v="FO148"/>
    <n v="6.8"/>
    <n v="36.481999999999999"/>
    <n v="0.9878844361602982"/>
    <n v="1.2115563839701771E-2"/>
    <n v="0"/>
    <n v="0.9878844361602982"/>
    <n v="0"/>
    <n v="8"/>
    <n v="1"/>
    <n v="662.5"/>
    <n v="5.25"/>
    <n v="5.4339622641509431"/>
    <n v="0.96614583333333337"/>
    <n v="0.95444043181112148"/>
    <s v="2554"/>
  </r>
  <r>
    <x v="13"/>
    <s v="C"/>
    <x v="0"/>
    <s v="FO148"/>
    <s v="M2"/>
    <s v="L2"/>
    <s v="NIPPLE S TYPE LL SIZE INJECTION"/>
    <s v="HEH19Nc"/>
    <n v="8"/>
    <n v="4815"/>
    <n v="601.875"/>
    <n v="5130"/>
    <n v="5000"/>
    <n v="0"/>
    <n v="70"/>
    <n v="0"/>
    <n v="0"/>
    <n v="52"/>
    <n v="8"/>
    <n v="1"/>
    <n v="5000"/>
    <n v="1.0384215991692627"/>
    <s v="FO148"/>
    <n v="6.8"/>
    <n v="34.884"/>
    <n v="0.97465886939571145"/>
    <n v="1.0292953285827395E-2"/>
    <n v="1.3461538461538462E-2"/>
    <n v="0.98986354775828456"/>
    <n v="0.5083333333333333"/>
    <n v="7.4916666666666671"/>
    <n v="0.93645833333333339"/>
    <n v="625"/>
    <n v="5.25"/>
    <n v="5.3940000000000001"/>
    <n v="0.97330367074527246"/>
    <n v="0.90221937946718644"/>
    <n v="2566"/>
  </r>
  <r>
    <x v="13"/>
    <s v="C"/>
    <x v="1"/>
    <s v="FO003"/>
    <s v="BM3"/>
    <s v="B2"/>
    <s v="KPP 240 ML BOTTLE MOLDED"/>
    <s v="EH19Bc2"/>
    <n v="8"/>
    <n v="2574"/>
    <n v="321.75"/>
    <n v="3252"/>
    <n v="3132"/>
    <n v="0"/>
    <n v="57"/>
    <n v="0"/>
    <n v="0"/>
    <n v="55"/>
    <n v="8"/>
    <n v="1"/>
    <n v="3132"/>
    <n v="1.2167832167832169"/>
    <s v="HMC"/>
    <n v="32.1"/>
    <n v="104.38920000000002"/>
    <n v="0.96309963099630991"/>
    <n v="1.7257609036711641E-2"/>
    <n v="1.7225747960108794E-2"/>
    <n v="0.98308733087330868"/>
    <n v="0"/>
    <n v="8"/>
    <n v="1"/>
    <n v="391.5"/>
    <n v="9"/>
    <n v="9.1954022988505741"/>
    <n v="0.97875000000000001"/>
    <n v="0.96219672509225085"/>
    <s v="2567/2568"/>
  </r>
  <r>
    <x v="13"/>
    <s v="C"/>
    <x v="9"/>
    <s v="FO130"/>
    <m/>
    <s v="INJ-1"/>
    <s v="HOOD S TYPE MOLDED"/>
    <s v="EH19Hc"/>
    <n v="8"/>
    <n v="4137"/>
    <n v="517.125"/>
    <n v="5466"/>
    <n v="5000"/>
    <n v="1.8"/>
    <n v="403"/>
    <n v="0"/>
    <n v="0"/>
    <n v="55"/>
    <n v="8"/>
    <n v="1"/>
    <n v="5000"/>
    <n v="1.2086052695189751"/>
    <s v="HMC"/>
    <n v="8.6"/>
    <n v="48.807599999999994"/>
    <n v="0.88101033445610943"/>
    <n v="1.0880316518298714E-2"/>
    <n v="6.8665871528369393E-2"/>
    <n v="0.98993779729235276"/>
    <n v="0"/>
    <n v="8"/>
    <n v="1"/>
    <n v="625"/>
    <n v="6"/>
    <n v="5.76"/>
    <n v="1.0416666666666667"/>
    <n v="1.0311852055128676"/>
    <n v="2565"/>
  </r>
  <r>
    <x v="13"/>
    <s v="C"/>
    <x v="2"/>
    <s v="FO149"/>
    <m/>
    <s v="PC1"/>
    <s v="NIPPLE S TYPE LL SIZE POSTCURED"/>
    <s v="HEH19NbH19Pc"/>
    <n v="8"/>
    <n v="7036"/>
    <n v="879.5"/>
    <n v="7300"/>
    <n v="7300"/>
    <n v="0"/>
    <n v="0"/>
    <n v="0"/>
    <n v="0"/>
    <n v="0"/>
    <n v="0"/>
    <n v="1"/>
    <n v="7300"/>
    <n v="1.0375213189312109"/>
    <s v="FO149"/>
    <n v="0"/>
    <n v="0"/>
    <s v=" "/>
    <n v="0"/>
    <n v="0"/>
    <n v="1"/>
    <n v="0.6777777777777777"/>
    <n v="7.322222222222222"/>
    <n v="0.91527777777777775"/>
    <n v="912.5"/>
    <n v="2.2999999999999998"/>
    <n v="3.6109589041095891"/>
    <n v="0.63694992412746576"/>
    <n v="0.58298611111111098"/>
    <s v="2608/2609"/>
  </r>
  <r>
    <x v="14"/>
    <s v="A"/>
    <x v="1"/>
    <s v="FO003"/>
    <s v="BM3"/>
    <s v="B2"/>
    <s v="KPP 240 ML BOTTLE MOLDED"/>
    <s v="EH20Ba2"/>
    <n v="8"/>
    <n v="2574"/>
    <n v="321.75"/>
    <n v="2876"/>
    <n v="2808"/>
    <n v="0"/>
    <n v="60"/>
    <n v="0"/>
    <n v="0"/>
    <n v="0"/>
    <n v="8"/>
    <n v="1"/>
    <n v="2808"/>
    <n v="1.0909090909090908"/>
    <s v="HMC"/>
    <n v="32.1"/>
    <n v="92.319600000000008"/>
    <n v="0.97635605006954107"/>
    <n v="0"/>
    <n v="2.0435967302452316E-2"/>
    <n v="1"/>
    <n v="0"/>
    <n v="8"/>
    <n v="1"/>
    <n v="351"/>
    <n v="9"/>
    <n v="10.256410256410257"/>
    <n v="0.87749999999999995"/>
    <n v="0.87749999999999995"/>
    <n v="2573"/>
  </r>
  <r>
    <x v="14"/>
    <s v="A"/>
    <x v="0"/>
    <s v="FO148"/>
    <s v="M2"/>
    <s v="L2"/>
    <s v="NIPPLE S TYPE LL SIZE INJECTION"/>
    <s v="HEH20Na"/>
    <n v="8"/>
    <n v="4815"/>
    <n v="601.875"/>
    <n v="3973"/>
    <n v="3600"/>
    <n v="0"/>
    <n v="265"/>
    <n v="0"/>
    <n v="0"/>
    <n v="100"/>
    <n v="8"/>
    <n v="1"/>
    <n v="3600"/>
    <n v="0.74766355140186913"/>
    <s v="FO148"/>
    <n v="6.8"/>
    <n v="27.016399999999997"/>
    <n v="0.90611628492323182"/>
    <n v="2.7027027027027029E-2"/>
    <n v="6.2529495044832462E-2"/>
    <n v="0.97483010319657692"/>
    <n v="1.5249999999999999"/>
    <n v="6.4749999999999996"/>
    <n v="0.80937499999999996"/>
    <n v="450"/>
    <n v="5.25"/>
    <n v="6.4749999999999996"/>
    <n v="0.81081081081081086"/>
    <n v="0.63973225522275357"/>
    <n v="2574"/>
  </r>
  <r>
    <x v="14"/>
    <s v="A"/>
    <x v="3"/>
    <s v="FO019"/>
    <m/>
    <m/>
    <s v="NIPPLE S TYPE S SIZE PUNCHED"/>
    <s v="HEH18NaH18PbH20Pa"/>
    <n v="8"/>
    <n v="7000"/>
    <n v="875"/>
    <n v="7200"/>
    <n v="7200"/>
    <n v="0"/>
    <n v="0"/>
    <n v="0"/>
    <n v="0"/>
    <n v="0"/>
    <n v="0"/>
    <n v="1"/>
    <n v="7200"/>
    <n v="1.0285714285714285"/>
    <s v="FO015"/>
    <n v="0"/>
    <n v="0"/>
    <s v=" "/>
    <n v="0"/>
    <n v="0"/>
    <n v="1"/>
    <n v="0.6777777777777777"/>
    <n v="7.322222222222222"/>
    <n v="0.91527777777777775"/>
    <n v="900"/>
    <n v="3.5"/>
    <n v="3.661111111111111"/>
    <n v="0.95599393019726864"/>
    <n v="0.875"/>
    <s v="2575|2576|2577|2578"/>
  </r>
  <r>
    <x v="14"/>
    <s v="A"/>
    <x v="8"/>
    <s v="FO104"/>
    <m/>
    <s v="LZ1"/>
    <s v="NIPPLE S TYPE S SIZE PUNCHED LASER MARKED"/>
    <s v="HEH17BG"/>
    <n v="8"/>
    <n v="7000"/>
    <n v="875"/>
    <n v="6000"/>
    <n v="6000"/>
    <n v="0"/>
    <n v="0"/>
    <n v="0"/>
    <n v="0"/>
    <n v="0"/>
    <n v="0"/>
    <n v="1"/>
    <n v="6000"/>
    <n v="0.8571428571428571"/>
    <s v="FO019"/>
    <n v="0"/>
    <n v="0"/>
    <s v=" "/>
    <n v="0"/>
    <n v="0"/>
    <n v="1"/>
    <n v="0.6777777777777777"/>
    <n v="7.322222222222222"/>
    <n v="0.91527777777777775"/>
    <n v="750"/>
    <n v="3.5"/>
    <n v="4.3933333333333335"/>
    <n v="0.79666160849772383"/>
    <n v="0.72916666666666663"/>
    <s v="2581|2583"/>
  </r>
  <r>
    <x v="14"/>
    <s v="A"/>
    <x v="9"/>
    <s v="FO130"/>
    <m/>
    <m/>
    <s v="HOOD S TYPE MOLDED"/>
    <s v="EH20Ha"/>
    <n v="8"/>
    <n v="4137"/>
    <n v="517.125"/>
    <n v="4044"/>
    <n v="4000"/>
    <n v="0"/>
    <n v="0"/>
    <n v="0"/>
    <n v="0"/>
    <n v="44"/>
    <n v="0"/>
    <n v="1"/>
    <n v="4000"/>
    <n v="0.96688421561518012"/>
    <s v="HMC"/>
    <n v="8.6"/>
    <n v="34.778399999999998"/>
    <n v="0.98911968348170132"/>
    <n v="1.0880316518298714E-2"/>
    <n v="0"/>
    <n v="0.98911968348170132"/>
    <n v="0.5083333333333333"/>
    <n v="7.4916666666666671"/>
    <n v="0.93645833333333339"/>
    <n v="500"/>
    <n v="6"/>
    <n v="6.7424999999999997"/>
    <n v="0.88987764182424922"/>
    <n v="0.82426640290141784"/>
    <n v="2586"/>
  </r>
  <r>
    <x v="14"/>
    <s v="G"/>
    <x v="6"/>
    <s v="FO088"/>
    <m/>
    <s v="PR1"/>
    <s v="KPP 200 BOTTLE PRINTED (WMG3B) W/O OZ &amp; W/BIS LOGO"/>
    <s v="EG05Ba1H20Pa"/>
    <n v="3"/>
    <n v="1200"/>
    <n v="400"/>
    <n v="1168"/>
    <n v="1156"/>
    <n v="0"/>
    <n v="0"/>
    <n v="13"/>
    <n v="0"/>
    <n v="12"/>
    <n v="0"/>
    <n v="5"/>
    <n v="231.2"/>
    <n v="0.96333333333333337"/>
    <s v="FO043"/>
    <n v="0"/>
    <n v="0"/>
    <s v=" "/>
    <n v="1.0273972602739725E-2"/>
    <n v="0"/>
    <n v="0.98972602739726023"/>
    <n v="0"/>
    <n v="3"/>
    <n v="1"/>
    <n v="385.33333333333331"/>
    <n v="32.4"/>
    <n v="46.712802768166092"/>
    <n v="0.69359999999999988"/>
    <n v="0.68647397260273957"/>
    <s v="PINPM/21-22/2614,15"/>
  </r>
  <r>
    <x v="14"/>
    <s v="G"/>
    <x v="6"/>
    <s v="FO117"/>
    <m/>
    <s v="PR1"/>
    <s v="RPP 240 ML RPP PRINTED ELEPHANT"/>
    <s v="EH22Bb2H20Pa"/>
    <n v="5.5"/>
    <n v="1800"/>
    <n v="327.27272727272725"/>
    <n v="1495"/>
    <n v="1484"/>
    <n v="0"/>
    <n v="0"/>
    <n v="36"/>
    <n v="0"/>
    <n v="11"/>
    <n v="0"/>
    <n v="6"/>
    <n v="247.33333333333334"/>
    <n v="0.82444444444444442"/>
    <s v="FO005"/>
    <n v="32"/>
    <n v="47.84"/>
    <n v="0.9926421404682273"/>
    <n v="7.3578595317725752E-3"/>
    <n v="0"/>
    <n v="0.99264214046822741"/>
    <n v="3.2194444444444441"/>
    <n v="2.2805555555555559"/>
    <n v="0.41464646464646471"/>
    <n v="269.81818181818181"/>
    <n v="32.4"/>
    <n v="33.194070080862538"/>
    <n v="0.97607795371498152"/>
    <n v="0.401749346305868"/>
    <s v="PINPM/21-22/2616,17"/>
  </r>
  <r>
    <x v="14"/>
    <s v="G"/>
    <x v="7"/>
    <s v="FO029"/>
    <m/>
    <s v="WR1"/>
    <s v="NIPPLE S TYPE S SIZE WITH PRINTED WRAP"/>
    <s v="HEG09CG22"/>
    <n v="2.2999999999999998"/>
    <n v="3800"/>
    <n v="1652.1739130434785"/>
    <n v="4200"/>
    <n v="4200"/>
    <n v="0"/>
    <n v="0"/>
    <n v="0"/>
    <n v="0"/>
    <n v="0"/>
    <n v="0"/>
    <n v="2"/>
    <n v="2100"/>
    <n v="1.1052631578947369"/>
    <s v="FO108"/>
    <n v="0"/>
    <n v="0"/>
    <s v=" "/>
    <n v="0"/>
    <n v="0"/>
    <n v="1"/>
    <n v="0"/>
    <n v="2.2999999999999998"/>
    <n v="1"/>
    <n v="1826.0869565217392"/>
    <n v="2.5"/>
    <n v="3.9428571428571431"/>
    <n v="0.63405797101449268"/>
    <n v="0.63405797101449268"/>
    <s v="2597/2598"/>
  </r>
  <r>
    <x v="14"/>
    <s v="G"/>
    <x v="7"/>
    <s v="FO030"/>
    <m/>
    <s v="WR1"/>
    <s v="NIPPLE S TYPE M SIZE WITH PRINTED WRAP"/>
    <s v="HEG22CG22"/>
    <n v="2.2000000000000002"/>
    <n v="3700"/>
    <n v="1681.8181818181818"/>
    <n v="4000"/>
    <n v="4000"/>
    <n v="0"/>
    <n v="0"/>
    <n v="0"/>
    <n v="0"/>
    <n v="0"/>
    <n v="0"/>
    <n v="2"/>
    <n v="2000"/>
    <n v="1.0810810810810811"/>
    <s v="FO020"/>
    <n v="0"/>
    <n v="0"/>
    <s v=" "/>
    <n v="0"/>
    <n v="0"/>
    <n v="1"/>
    <n v="0"/>
    <n v="2.2000000000000002"/>
    <n v="1"/>
    <n v="1818.181818181818"/>
    <n v="2.5"/>
    <n v="3.9600000000000004"/>
    <n v="0.63131313131313127"/>
    <n v="0.63131313131313127"/>
    <s v="2624/2625"/>
  </r>
  <r>
    <x v="14"/>
    <s v="G"/>
    <x v="7"/>
    <s v="FO031"/>
    <m/>
    <s v="WR1"/>
    <s v="NIPPLE S TYPE L SIZE WITH PRINTED WRAP"/>
    <s v="HEG22BG22"/>
    <n v="2"/>
    <n v="3500"/>
    <n v="1750"/>
    <n v="3752"/>
    <n v="3752"/>
    <n v="0"/>
    <n v="0"/>
    <n v="0"/>
    <n v="0"/>
    <n v="0"/>
    <n v="0"/>
    <n v="2"/>
    <n v="1876"/>
    <n v="1.0720000000000001"/>
    <s v="FO021"/>
    <n v="0"/>
    <n v="0"/>
    <s v=" "/>
    <n v="0"/>
    <n v="0"/>
    <n v="1"/>
    <n v="0"/>
    <n v="2"/>
    <n v="1"/>
    <n v="1876"/>
    <n v="2.5"/>
    <n v="3.8379530916844349"/>
    <n v="0.65138888888888891"/>
    <n v="0.65138888888888891"/>
    <s v="2595/2596"/>
  </r>
  <r>
    <x v="14"/>
    <s v="G"/>
    <x v="7"/>
    <s v="FO141"/>
    <m/>
    <s v="WR1"/>
    <s v="NIPPLE S TYPE LL SIZE WRAPPED"/>
    <s v="HED24GG22"/>
    <n v="3"/>
    <n v="5132"/>
    <n v="1710.6666666666667"/>
    <n v="6103"/>
    <n v="6090"/>
    <n v="0"/>
    <n v="0"/>
    <n v="0"/>
    <n v="0"/>
    <n v="13"/>
    <n v="0"/>
    <n v="2"/>
    <n v="3045"/>
    <n v="1.186671862821512"/>
    <s v="FO141"/>
    <n v="0"/>
    <n v="0"/>
    <s v=" "/>
    <n v="2.1300999508438471E-3"/>
    <n v="0"/>
    <n v="0.9978699000491561"/>
    <n v="0"/>
    <n v="3"/>
    <n v="1"/>
    <n v="2030"/>
    <n v="2.5"/>
    <n v="3.5467980295566504"/>
    <n v="0.70486111111111105"/>
    <n v="0.70335968649298153"/>
    <n v="2588"/>
  </r>
  <r>
    <x v="14"/>
    <s v="G"/>
    <x v="4"/>
    <s v="FO108"/>
    <m/>
    <m/>
    <s v="NIPPLE S TYPE S SIZE PUNCHED INSPECTED"/>
    <s v="HEH17NbH18PaH19Pb"/>
    <n v="8.5"/>
    <n v="7036"/>
    <n v="827.76470588235293"/>
    <n v="7300"/>
    <n v="7262"/>
    <n v="0"/>
    <n v="0"/>
    <n v="0"/>
    <n v="0"/>
    <n v="38"/>
    <n v="0"/>
    <n v="1"/>
    <n v="7262"/>
    <n v="1.0321205230244457"/>
    <s v="FO104"/>
    <n v="0"/>
    <n v="0"/>
    <s v=" "/>
    <n v="5.2054794520547945E-3"/>
    <n v="0"/>
    <n v="0.99479452054794526"/>
    <n v="0.84722222222222221"/>
    <n v="7.6527777777777777"/>
    <n v="0.90032679738562094"/>
    <n v="854.35294117647061"/>
    <n v="4"/>
    <n v="3.7937207380886808"/>
    <n v="1.0543738656987296"/>
    <n v="0.94433958277374885"/>
    <s v="2618/2619"/>
  </r>
  <r>
    <x v="14"/>
    <s v="B"/>
    <x v="1"/>
    <s v="FO003"/>
    <s v="BM3"/>
    <s v="B2"/>
    <s v="KPP 240 ML BOTTLE MOLDED"/>
    <s v="EH20Bb2"/>
    <n v="8"/>
    <n v="2574"/>
    <n v="321.75"/>
    <n v="3227"/>
    <n v="3132"/>
    <n v="0.35"/>
    <n v="24"/>
    <n v="0"/>
    <n v="0"/>
    <n v="71"/>
    <n v="0"/>
    <n v="1"/>
    <n v="3132"/>
    <n v="1.2167832167832169"/>
    <s v="HMC"/>
    <n v="32.1"/>
    <n v="103.9367"/>
    <n v="0.96729259251063393"/>
    <n v="2.216671870121761E-2"/>
    <n v="7.3823438941864042E-3"/>
    <n v="0.97799814068794544"/>
    <n v="0"/>
    <n v="8"/>
    <n v="1"/>
    <n v="391.5"/>
    <n v="9"/>
    <n v="9.1954022988505741"/>
    <n v="0.97875000000000001"/>
    <n v="0.95721568019832659"/>
    <n v="2594"/>
  </r>
  <r>
    <x v="14"/>
    <s v="B"/>
    <x v="3"/>
    <s v="FO019"/>
    <m/>
    <s v="P1"/>
    <s v="NIPPLE S TYPE S SIZE PUNCHED"/>
    <s v="HEH18NbH18PcH20Pb"/>
    <n v="5"/>
    <n v="4500"/>
    <n v="900"/>
    <n v="3950"/>
    <n v="3950"/>
    <n v="0"/>
    <n v="0"/>
    <n v="0"/>
    <n v="0"/>
    <n v="0"/>
    <n v="0"/>
    <n v="1"/>
    <n v="3950"/>
    <n v="0.87777777777777777"/>
    <s v="FO015"/>
    <n v="0"/>
    <n v="0"/>
    <s v=" "/>
    <n v="0"/>
    <n v="0"/>
    <n v="1"/>
    <n v="0"/>
    <n v="5"/>
    <n v="1"/>
    <n v="790"/>
    <n v="3.5"/>
    <n v="4.556962025316456"/>
    <n v="0.76805555555555549"/>
    <n v="0.76805555555555549"/>
    <n v="2601"/>
  </r>
  <r>
    <x v="14"/>
    <s v="B"/>
    <x v="3"/>
    <s v="FO150"/>
    <m/>
    <s v="P1"/>
    <s v="NIPPLE S TYPE LL SIZE PUNCHED"/>
    <s v="HEH18NcH19Pb"/>
    <n v="3"/>
    <n v="2500"/>
    <n v="833.33333333333337"/>
    <n v="2000"/>
    <n v="2000"/>
    <n v="0"/>
    <n v="0"/>
    <n v="0"/>
    <n v="0"/>
    <n v="0"/>
    <n v="0"/>
    <n v="1"/>
    <n v="2000"/>
    <n v="0.8"/>
    <s v="FO150"/>
    <n v="0"/>
    <n v="0"/>
    <s v=" "/>
    <n v="0"/>
    <n v="0"/>
    <n v="1"/>
    <n v="1.6944444444444444"/>
    <n v="1.3055555555555556"/>
    <n v="0.43518518518518517"/>
    <n v="666.66666666666663"/>
    <n v="3.5"/>
    <n v="2.35"/>
    <n v="1.4893617021276595"/>
    <n v="0.64814814814814814"/>
    <n v="2602"/>
  </r>
  <r>
    <x v="14"/>
    <s v="B"/>
    <x v="8"/>
    <s v="FO104"/>
    <m/>
    <s v="LZ1"/>
    <s v="NIPPLE S TYPE S SIZE PUNCHED LASER MARKED"/>
    <s v="HEH18AG22"/>
    <n v="8"/>
    <n v="7000"/>
    <n v="875"/>
    <n v="7200"/>
    <n v="7200"/>
    <n v="0"/>
    <n v="0"/>
    <n v="0"/>
    <n v="0"/>
    <n v="0"/>
    <n v="0"/>
    <n v="1"/>
    <n v="7200"/>
    <n v="1.0285714285714285"/>
    <s v="FO019"/>
    <n v="0"/>
    <n v="0"/>
    <s v=" "/>
    <n v="0"/>
    <n v="0"/>
    <n v="1"/>
    <n v="0.6777777777777777"/>
    <n v="7.322222222222222"/>
    <n v="0.91527777777777775"/>
    <n v="900"/>
    <n v="3.5"/>
    <n v="3.661111111111111"/>
    <n v="0.95599393019726864"/>
    <n v="0.875"/>
    <s v="2599/2600"/>
  </r>
  <r>
    <x v="14"/>
    <s v="B"/>
    <x v="9"/>
    <s v="FO130"/>
    <m/>
    <s v="INJ-1"/>
    <s v="HOOD S TYPE MOLDED"/>
    <s v="EH20Hb"/>
    <n v="8"/>
    <n v="4137"/>
    <n v="517.125"/>
    <n v="2402"/>
    <n v="2330"/>
    <n v="0"/>
    <n v="50"/>
    <n v="0"/>
    <n v="0"/>
    <n v="22"/>
    <n v="0"/>
    <n v="1"/>
    <n v="2330"/>
    <n v="0.56321005559584236"/>
    <s v="HMC"/>
    <n v="8.6"/>
    <n v="20.6572"/>
    <n v="0.97002497918401331"/>
    <n v="9.3537414965986394E-3"/>
    <n v="2.0391517128874388E-2"/>
    <n v="0.99084096586178183"/>
    <n v="0"/>
    <n v="8"/>
    <n v="1"/>
    <n v="291.25"/>
    <n v="6"/>
    <n v="12.360515021459227"/>
    <n v="0.48541666666666672"/>
    <n v="0.48097071884540665"/>
    <n v="2603"/>
  </r>
  <r>
    <x v="14"/>
    <s v="B"/>
    <x v="2"/>
    <s v="FO149"/>
    <m/>
    <s v="PC1"/>
    <s v="NIPPLE S TYPE LL SIZE POSTCURED"/>
    <s v="HEH19NcH20Pb"/>
    <n v="8"/>
    <n v="7096"/>
    <n v="887"/>
    <n v="6600"/>
    <n v="6600"/>
    <n v="0"/>
    <n v="0"/>
    <n v="0"/>
    <n v="0"/>
    <n v="0"/>
    <n v="0"/>
    <n v="1"/>
    <n v="6600"/>
    <n v="0.93010146561443063"/>
    <s v="FO149"/>
    <n v="0"/>
    <n v="0"/>
    <s v=" "/>
    <n v="0"/>
    <n v="0"/>
    <n v="1"/>
    <n v="0.6777777777777777"/>
    <n v="7.322222222222222"/>
    <n v="0.91527777777777775"/>
    <n v="825"/>
    <n v="2.2999999999999998"/>
    <n v="3.9939393939393941"/>
    <n v="0.57587253414264028"/>
    <n v="0.52708333333333324"/>
    <s v="2605/2606"/>
  </r>
  <r>
    <x v="14"/>
    <s v="B"/>
    <x v="0"/>
    <s v="FO148"/>
    <s v="M2"/>
    <s v="L2"/>
    <s v="NIPPLE S TYPE LL SIZE INJECTION"/>
    <s v="HEH20Nb"/>
    <n v="8"/>
    <n v="4815"/>
    <n v="601.875"/>
    <n v="3450"/>
    <n v="3300"/>
    <n v="0"/>
    <n v="100"/>
    <n v="0"/>
    <n v="0"/>
    <n v="50"/>
    <n v="0"/>
    <n v="1"/>
    <n v="3300"/>
    <n v="0.68535825545171336"/>
    <s v="FO148"/>
    <n v="6.8"/>
    <n v="23.459999999999997"/>
    <n v="0.95652173913043481"/>
    <n v="1.4925373134328358E-2"/>
    <n v="2.8169014084507043E-2"/>
    <n v="0.98550724637681164"/>
    <n v="0"/>
    <n v="8"/>
    <n v="1"/>
    <n v="412.5"/>
    <n v="5.25"/>
    <n v="8.7272727272727266"/>
    <n v="0.6015625"/>
    <n v="0.59284420289855078"/>
    <n v="2604"/>
  </r>
  <r>
    <x v="14"/>
    <s v="C"/>
    <x v="1"/>
    <s v="FO003"/>
    <s v="BM3"/>
    <s v="B2"/>
    <s v="KPP 240 ML BOTTLE MOLDED"/>
    <s v="EH20Bc2"/>
    <n v="1"/>
    <n v="324"/>
    <n v="324"/>
    <n v="224"/>
    <n v="222"/>
    <n v="0.24"/>
    <n v="0"/>
    <n v="0"/>
    <n v="0"/>
    <n v="2"/>
    <n v="0"/>
    <n v="1"/>
    <n v="222"/>
    <n v="0.68518518518518523"/>
    <s v="HMC"/>
    <n v="32.1"/>
    <n v="7.4304000000000006"/>
    <n v="0.95906007751937983"/>
    <n v="8.9285714285714281E-3"/>
    <n v="0"/>
    <n v="0.9910714285714286"/>
    <n v="0"/>
    <n v="1"/>
    <n v="1"/>
    <n v="222"/>
    <n v="9"/>
    <n v="16.216216216216218"/>
    <n v="0.55499999999999994"/>
    <n v="0.55004464285714283"/>
    <n v="2607"/>
  </r>
  <r>
    <x v="14"/>
    <s v="C"/>
    <x v="1"/>
    <s v="FO005"/>
    <s v="BM4"/>
    <s v="B2"/>
    <s v="RPP 240 ML BOTTLE MOLDED"/>
    <s v="EH20Bc2"/>
    <n v="7"/>
    <n v="2250"/>
    <n v="321.42857142857144"/>
    <n v="921"/>
    <n v="840"/>
    <n v="0"/>
    <n v="40"/>
    <n v="0"/>
    <n v="0"/>
    <n v="33"/>
    <n v="8"/>
    <n v="1"/>
    <n v="840"/>
    <n v="0.37333333333333335"/>
    <s v="HMC"/>
    <n v="32.1"/>
    <n v="29.564100000000003"/>
    <n v="0.91205211726384361"/>
    <n v="3.7800687285223365E-2"/>
    <n v="4.1623309053069719E-2"/>
    <n v="0.96416938110749184"/>
    <n v="4.7444444444444445"/>
    <n v="2.2555555555555555"/>
    <n v="0.32222222222222224"/>
    <n v="120"/>
    <n v="9"/>
    <n v="9.6666666666666661"/>
    <n v="0.93103448275862077"/>
    <n v="0.28925081433224764"/>
    <n v="2610"/>
  </r>
  <r>
    <x v="14"/>
    <s v="C"/>
    <x v="0"/>
    <s v="FO148"/>
    <s v="M2"/>
    <s v="L2"/>
    <s v="NIPPLE S TYPE LL SIZE INJECTION"/>
    <s v="HEH20Nc"/>
    <n v="8"/>
    <n v="4815"/>
    <n v="601.875"/>
    <n v="4708"/>
    <n v="4500"/>
    <n v="0"/>
    <n v="110"/>
    <n v="0"/>
    <n v="0"/>
    <n v="90"/>
    <n v="8"/>
    <n v="1"/>
    <n v="4500"/>
    <n v="0.93457943925233644"/>
    <s v="FO148"/>
    <n v="6.8"/>
    <n v="32.014399999999995"/>
    <n v="0.955819881053526"/>
    <n v="1.9607843137254902E-2"/>
    <n v="2.2831050228310501E-2"/>
    <n v="0.98088360237892946"/>
    <n v="0"/>
    <n v="8"/>
    <n v="1"/>
    <n v="562.5"/>
    <n v="5.25"/>
    <n v="6.4"/>
    <n v="0.8203125"/>
    <n v="0.80463108007646555"/>
    <n v="2611"/>
  </r>
  <r>
    <x v="14"/>
    <s v="C"/>
    <x v="2"/>
    <s v="FO149"/>
    <m/>
    <s v="PC1"/>
    <s v="NIPPLE S TYPE LL SIZE POSTCURED"/>
    <s v="HEH20NbH20Pc"/>
    <n v="8"/>
    <n v="7036"/>
    <n v="879.5"/>
    <n v="6300"/>
    <n v="6300"/>
    <n v="0"/>
    <n v="0"/>
    <n v="0"/>
    <n v="0"/>
    <n v="0"/>
    <n v="0"/>
    <n v="1"/>
    <n v="6300"/>
    <n v="0.89539511085844226"/>
    <s v="FO149"/>
    <n v="0"/>
    <n v="0"/>
    <s v=" "/>
    <n v="0"/>
    <n v="0"/>
    <n v="1"/>
    <n v="0"/>
    <n v="8"/>
    <n v="1"/>
    <n v="787.5"/>
    <n v="2.2999999999999998"/>
    <n v="4.5714285714285712"/>
    <n v="0.50312500000000004"/>
    <n v="0.50312500000000004"/>
    <s v="2612/2613"/>
  </r>
  <r>
    <x v="15"/>
    <s v="A"/>
    <x v="0"/>
    <s v="FO148"/>
    <s v="M2"/>
    <s v="L2"/>
    <s v="NIPPLE S TYPE LL SIZE INJECTION"/>
    <s v="HEH21Na"/>
    <n v="8"/>
    <n v="3600"/>
    <n v="450"/>
    <n v="1873"/>
    <n v="1750"/>
    <n v="0"/>
    <n v="70"/>
    <n v="0"/>
    <n v="0"/>
    <n v="45"/>
    <n v="8"/>
    <n v="1"/>
    <n v="1750"/>
    <n v="0.4861111111111111"/>
    <s v="FO148"/>
    <n v="6.8"/>
    <n v="12.7364"/>
    <n v="0.93432995194874524"/>
    <n v="2.5069637883008356E-2"/>
    <n v="3.6026762738033971E-2"/>
    <n v="0.97597437266417508"/>
    <n v="0"/>
    <n v="8"/>
    <n v="1"/>
    <n v="218.75"/>
    <n v="5.25"/>
    <n v="16.457142857142856"/>
    <n v="0.31901041666666669"/>
    <n v="0.31134599127958712"/>
    <n v="2620"/>
  </r>
  <r>
    <x v="15"/>
    <s v="A"/>
    <x v="2"/>
    <s v="FO149"/>
    <m/>
    <s v="PC1"/>
    <s v="NIPPLE S TYPE LL SIZE POSTCURED"/>
    <s v="HEH20NcH21Pa"/>
    <n v="4"/>
    <n v="3500"/>
    <n v="875"/>
    <n v="3250"/>
    <n v="3250"/>
    <n v="0"/>
    <n v="0"/>
    <n v="0"/>
    <n v="0"/>
    <n v="0"/>
    <n v="0"/>
    <n v="1"/>
    <n v="3250"/>
    <n v="0.9285714285714286"/>
    <s v="FO149"/>
    <n v="0"/>
    <n v="0"/>
    <s v=" "/>
    <n v="0"/>
    <n v="0"/>
    <n v="1"/>
    <n v="0"/>
    <n v="4"/>
    <n v="1"/>
    <n v="812.5"/>
    <n v="2.2999999999999998"/>
    <n v="4.430769230769231"/>
    <n v="0.5190972222222221"/>
    <n v="0.5190972222222221"/>
    <s v="2682/2683"/>
  </r>
  <r>
    <x v="15"/>
    <s v="A"/>
    <x v="3"/>
    <s v="FO150"/>
    <m/>
    <s v="P1"/>
    <s v="NIPPLE S TYPE LL SIZE PUNCHED"/>
    <s v="HEH18NcH19PbH21Pa"/>
    <n v="6"/>
    <n v="5000"/>
    <n v="833.33333333333337"/>
    <n v="5600"/>
    <n v="5600"/>
    <n v="0"/>
    <n v="0"/>
    <n v="0"/>
    <n v="0"/>
    <n v="0"/>
    <n v="0"/>
    <n v="1"/>
    <n v="5600"/>
    <n v="1.1200000000000001"/>
    <s v="FO150"/>
    <n v="0"/>
    <n v="0"/>
    <s v=" "/>
    <n v="0"/>
    <n v="0"/>
    <n v="1"/>
    <n v="0.6777777777777777"/>
    <n v="5.322222222222222"/>
    <n v="0.88703703703703696"/>
    <n v="933.33333333333337"/>
    <n v="3.5"/>
    <n v="3.4214285714285713"/>
    <n v="1.0229645093945721"/>
    <n v="0.90740740740740733"/>
    <s v="2628/2629"/>
  </r>
  <r>
    <x v="15"/>
    <s v="A"/>
    <x v="8"/>
    <s v="FO104"/>
    <m/>
    <m/>
    <s v="NIPPLE S TYPE S SIZE PUNCHED LASER MARKED"/>
    <s v="HEH18BG22"/>
    <n v="6"/>
    <n v="5000"/>
    <n v="833.33333333333337"/>
    <n v="4950"/>
    <n v="4950"/>
    <n v="0"/>
    <n v="0"/>
    <n v="0"/>
    <n v="0"/>
    <n v="0"/>
    <n v="0"/>
    <n v="1"/>
    <n v="4950"/>
    <n v="0.99"/>
    <s v="FO019"/>
    <n v="0"/>
    <n v="0"/>
    <s v=" "/>
    <n v="0"/>
    <n v="0"/>
    <n v="1"/>
    <n v="0"/>
    <n v="6"/>
    <n v="1"/>
    <n v="825"/>
    <n v="3.5"/>
    <n v="4.3636363636363633"/>
    <n v="0.80208333333333337"/>
    <n v="0.80208333333333337"/>
    <s v="2626/2627"/>
  </r>
  <r>
    <x v="15"/>
    <s v="G"/>
    <x v="4"/>
    <s v="FO108"/>
    <m/>
    <m/>
    <s v="NIPPLE S TYPE S SIZE PUNCHED INSPECTED"/>
    <s v="HEH17NcH18PbH19Pb"/>
    <n v="5"/>
    <n v="5000"/>
    <n v="1000"/>
    <n v="7224"/>
    <n v="7200"/>
    <n v="0"/>
    <n v="0"/>
    <n v="0"/>
    <n v="0"/>
    <n v="24"/>
    <n v="0"/>
    <n v="1"/>
    <n v="7200"/>
    <n v="1.44"/>
    <s v="FO104"/>
    <n v="0"/>
    <n v="0"/>
    <s v=" "/>
    <n v="3.3222591362126247E-3"/>
    <n v="0"/>
    <n v="0.99667774086378735"/>
    <n v="0"/>
    <n v="5"/>
    <n v="1"/>
    <n v="1440"/>
    <n v="4"/>
    <n v="2.5"/>
    <n v="1.6"/>
    <n v="1.5946843853820598"/>
    <s v="2634/2635"/>
  </r>
  <r>
    <x v="15"/>
    <s v="G"/>
    <x v="7"/>
    <s v="FO030"/>
    <m/>
    <s v="WR1"/>
    <s v="NIPPLE S TYPE M SIZE WITH PRINTED WRAP"/>
    <s v="HEH02CG22"/>
    <n v="5"/>
    <n v="6000"/>
    <n v="1200"/>
    <n v="8705"/>
    <n v="8701"/>
    <n v="0"/>
    <n v="0"/>
    <n v="0"/>
    <n v="0"/>
    <n v="4"/>
    <n v="0"/>
    <n v="1"/>
    <n v="8701"/>
    <n v="1.4501666666666666"/>
    <s v="FO020"/>
    <n v="0"/>
    <n v="0"/>
    <s v=" "/>
    <n v="4.5950603101665711E-4"/>
    <n v="0"/>
    <n v="0.99954049396898337"/>
    <n v="0.6777777777777777"/>
    <n v="4.322222222222222"/>
    <n v="0.86444444444444435"/>
    <n v="1740.2"/>
    <n v="2.5"/>
    <n v="1.7883001953798412"/>
    <n v="1.3979755784061698"/>
    <n v="1.207916921947795"/>
    <s v="2636/2637/2638/2639"/>
  </r>
  <r>
    <x v="15"/>
    <s v="A"/>
    <x v="1"/>
    <s v="FO005"/>
    <s v="BM5"/>
    <s v="B2"/>
    <s v="RPP 240 ML BOTTLE MOLDED"/>
    <s v="EH21Ba2"/>
    <n v="8"/>
    <n v="2574"/>
    <n v="321.75"/>
    <n v="2640"/>
    <n v="2520"/>
    <n v="0.2"/>
    <n v="80"/>
    <n v="0"/>
    <n v="0"/>
    <n v="40"/>
    <n v="0"/>
    <n v="1"/>
    <n v="2520"/>
    <n v="0.97902097902097907"/>
    <s v="HMC"/>
    <n v="32.1"/>
    <n v="84.944000000000017"/>
    <n v="0.95229798455452996"/>
    <n v="1.5625E-2"/>
    <n v="2.9411764705882353E-2"/>
    <n v="0.98484848484848486"/>
    <n v="0.6777777777777777"/>
    <n v="7.322222222222222"/>
    <n v="0.91527777777777775"/>
    <n v="315"/>
    <n v="9"/>
    <n v="10.46031746031746"/>
    <n v="0.86039453717754166"/>
    <n v="0.77556818181818177"/>
    <n v="2633"/>
  </r>
  <r>
    <x v="15"/>
    <s v="G"/>
    <x v="6"/>
    <s v="FO010"/>
    <m/>
    <m/>
    <s v="RPP 240 ML BOTTLE PRINTED"/>
    <s v="EG23Ba2H21Pa"/>
    <n v="2"/>
    <n v="1200"/>
    <n v="600"/>
    <n v="1257"/>
    <n v="1246"/>
    <n v="0"/>
    <n v="0"/>
    <n v="8"/>
    <n v="0"/>
    <n v="11"/>
    <n v="0"/>
    <n v="6"/>
    <n v="207.66666666666666"/>
    <n v="1.0383333333333333"/>
    <s v="FO005"/>
    <n v="0"/>
    <n v="0"/>
    <s v=" "/>
    <n v="8.7509944311853615E-3"/>
    <n v="0"/>
    <n v="0.99124900556881468"/>
    <n v="0.16944444444444443"/>
    <n v="1.8305555555555555"/>
    <n v="0.91527777777777775"/>
    <n v="623"/>
    <n v="32.4"/>
    <n v="31.73354735152488"/>
    <n v="1.0210015174506828"/>
    <n v="0.92632219570405727"/>
    <s v="2630"/>
  </r>
  <r>
    <x v="15"/>
    <s v="G"/>
    <x v="6"/>
    <s v="FO116"/>
    <m/>
    <m/>
    <s v="RPP 120 ML RPP PRINTED ELEPHANT"/>
    <s v="EH02Ba1H21Pa"/>
    <n v="2.5"/>
    <n v="1062"/>
    <n v="424.8"/>
    <n v="283"/>
    <n v="275"/>
    <n v="0"/>
    <n v="0"/>
    <n v="12"/>
    <n v="0"/>
    <n v="8"/>
    <n v="0"/>
    <n v="6"/>
    <n v="45.833333333333336"/>
    <n v="0.25894538606403011"/>
    <s v="FO004"/>
    <n v="0"/>
    <n v="0"/>
    <s v=" "/>
    <n v="2.8268551236749116E-2"/>
    <n v="0"/>
    <n v="0.9717314487632509"/>
    <n v="2.0333333333333332"/>
    <n v="0.46666666666666679"/>
    <n v="0.1866666666666667"/>
    <n v="110"/>
    <n v="32.4"/>
    <n v="36.654545454545463"/>
    <n v="0.88392857142857117"/>
    <n v="0.1603356890459364"/>
    <s v="PINPM/21-22/2663"/>
  </r>
  <r>
    <x v="16"/>
    <s v="A"/>
    <x v="3"/>
    <s v="FO150"/>
    <m/>
    <m/>
    <s v="NIPPLE S TYPE LL SIZE PUNCHED"/>
    <s v="HEH19NaH19PbH24Pa"/>
    <n v="8"/>
    <n v="7000"/>
    <n v="875"/>
    <n v="6500"/>
    <n v="6500"/>
    <n v="0"/>
    <n v="0"/>
    <n v="0"/>
    <n v="0"/>
    <n v="0"/>
    <n v="0"/>
    <n v="1"/>
    <n v="6500"/>
    <n v="0.9285714285714286"/>
    <s v="FO150"/>
    <n v="0"/>
    <n v="0"/>
    <s v=" "/>
    <n v="0"/>
    <n v="0"/>
    <n v="1"/>
    <n v="0.6777777777777777"/>
    <n v="7.322222222222222"/>
    <n v="0.91527777777777775"/>
    <n v="812.5"/>
    <n v="3.5"/>
    <n v="4.0553846153846154"/>
    <n v="0.86305007587253413"/>
    <n v="0.78993055555555547"/>
    <n v="2640"/>
  </r>
  <r>
    <x v="16"/>
    <s v="A"/>
    <x v="8"/>
    <s v="FO151"/>
    <m/>
    <m/>
    <s v="NIPPLE S TYPE LL SIZE LASER MARKED"/>
    <s v="HEH18CG22"/>
    <n v="8"/>
    <n v="7000"/>
    <n v="875"/>
    <n v="7100"/>
    <n v="7100"/>
    <n v="0"/>
    <n v="0"/>
    <n v="0"/>
    <n v="0"/>
    <n v="0"/>
    <n v="0"/>
    <n v="1"/>
    <n v="7100"/>
    <n v="1.0142857142857142"/>
    <s v="FO151"/>
    <n v="0"/>
    <n v="0"/>
    <s v=" "/>
    <n v="0"/>
    <n v="0"/>
    <n v="1"/>
    <n v="0.6777777777777777"/>
    <n v="7.322222222222222"/>
    <n v="0.91527777777777775"/>
    <n v="887.5"/>
    <n v="3.5"/>
    <n v="3.7126760563380281"/>
    <n v="0.94271623672230653"/>
    <n v="0.86284722222222221"/>
    <s v="2641/2642"/>
  </r>
  <r>
    <x v="16"/>
    <s v="A"/>
    <x v="9"/>
    <s v="FO130"/>
    <m/>
    <m/>
    <s v="HOOD S TYPE MOLDED"/>
    <s v="EH24HA"/>
    <n v="8"/>
    <n v="4137"/>
    <n v="517.125"/>
    <n v="1795"/>
    <n v="1100"/>
    <n v="0"/>
    <n v="600"/>
    <n v="0"/>
    <n v="0"/>
    <n v="95"/>
    <n v="0"/>
    <n v="1"/>
    <n v="1100"/>
    <n v="0.26589315929417451"/>
    <s v="HMC"/>
    <n v="8.6"/>
    <n v="15.436999999999999"/>
    <n v="0.61281337047353768"/>
    <n v="7.9497907949790794E-2"/>
    <n v="0.25052192066805845"/>
    <n v="0.94707520891364905"/>
    <n v="0"/>
    <n v="8"/>
    <n v="1"/>
    <n v="137.5"/>
    <n v="6"/>
    <n v="26.181818181818183"/>
    <n v="0.22916666666666666"/>
    <n v="0.21703806870937789"/>
    <n v="2643"/>
  </r>
  <r>
    <x v="16"/>
    <s v="G"/>
    <x v="6"/>
    <s v="FO116"/>
    <m/>
    <s v="PR1"/>
    <s v="RPP 120 ML RPP PRINTED ELEPHANT"/>
    <s v="EH03Ba1H24Pa"/>
    <n v="2"/>
    <n v="600"/>
    <n v="300"/>
    <n v="140"/>
    <n v="137"/>
    <n v="0"/>
    <n v="0"/>
    <n v="5"/>
    <n v="0"/>
    <n v="3"/>
    <n v="0"/>
    <n v="5"/>
    <n v="27.4"/>
    <n v="0.22833333333333333"/>
    <s v="FO004"/>
    <n v="0"/>
    <n v="0"/>
    <s v=" "/>
    <n v="2.1428571428571429E-2"/>
    <n v="0"/>
    <n v="0.97857142857142854"/>
    <n v="1.6944444444444444"/>
    <n v="0.30555555555555558"/>
    <n v="0.15277777777777779"/>
    <n v="68.5"/>
    <n v="32.4"/>
    <n v="40.145985401459853"/>
    <n v="0.80705454545454547"/>
    <n v="0.12065785714285715"/>
    <s v="PINPM/21-22/2664"/>
  </r>
  <r>
    <x v="16"/>
    <s v="G"/>
    <x v="6"/>
    <s v="FO094"/>
    <m/>
    <s v="PR1"/>
    <s v="RPP 120ML BOY BLUE BOTLE PNTD WM3GB W/BIS LOGO"/>
    <s v="EF22Ba1H24Pa"/>
    <n v="2"/>
    <n v="600"/>
    <n v="300"/>
    <n v="407"/>
    <n v="396"/>
    <n v="0"/>
    <n v="0"/>
    <n v="9"/>
    <n v="0"/>
    <n v="11"/>
    <n v="0"/>
    <n v="5"/>
    <n v="79.2"/>
    <n v="0.66"/>
    <s v="FO054"/>
    <n v="0"/>
    <n v="0"/>
    <s v=" "/>
    <n v="2.7027027027027029E-2"/>
    <n v="0"/>
    <n v="0.97297297297297303"/>
    <n v="1.1861111111111111"/>
    <n v="0.81388888888888888"/>
    <n v="0.40694444444444444"/>
    <n v="198"/>
    <n v="32.4"/>
    <n v="36.994949494949495"/>
    <n v="0.8757952218430034"/>
    <n v="0.3467675675675676"/>
    <s v="PINPM/21-22/2665"/>
  </r>
  <r>
    <x v="16"/>
    <s v="G"/>
    <x v="6"/>
    <s v="FO119"/>
    <m/>
    <s v="PR1"/>
    <s v="RPP 240 ML RPP PRINTED BEE"/>
    <s v="EG23Ba2H24Pa"/>
    <n v="2"/>
    <n v="600"/>
    <n v="300"/>
    <n v="1051"/>
    <n v="1038"/>
    <n v="0"/>
    <n v="0"/>
    <n v="6"/>
    <n v="0"/>
    <n v="13"/>
    <n v="0"/>
    <n v="5"/>
    <n v="207.6"/>
    <n v="1.73"/>
    <s v="FO005"/>
    <n v="0"/>
    <n v="0"/>
    <s v=" "/>
    <n v="1.2369172216936251E-2"/>
    <n v="0"/>
    <n v="0.98763082778306377"/>
    <n v="0"/>
    <n v="2"/>
    <n v="1"/>
    <n v="519"/>
    <n v="32.4"/>
    <n v="34.682080924855491"/>
    <n v="0.93419999999999992"/>
    <n v="0.92264471931493808"/>
    <s v="PINPM/21-22/2666"/>
  </r>
  <r>
    <x v="16"/>
    <s v="G"/>
    <x v="6"/>
    <s v="FO093"/>
    <m/>
    <s v="PR1"/>
    <s v="RPP 240ML GRL PNK BOTLE PNTD WM3GB W/BIS LOGO"/>
    <s v="ED14Ba1H24Pa"/>
    <n v="2"/>
    <n v="600"/>
    <n v="300"/>
    <n v="468"/>
    <n v="457"/>
    <n v="0"/>
    <n v="0"/>
    <n v="9"/>
    <n v="0"/>
    <n v="11"/>
    <n v="0"/>
    <n v="5"/>
    <n v="91.4"/>
    <n v="0.76166666666666671"/>
    <s v="FO057"/>
    <n v="0"/>
    <n v="0"/>
    <s v=" "/>
    <n v="2.3504273504273504E-2"/>
    <n v="0"/>
    <n v="0.97649572649572647"/>
    <n v="1.0166666666666666"/>
    <n v="0.98333333333333339"/>
    <n v="0.4916666666666667"/>
    <n v="228.5"/>
    <n v="32.4"/>
    <n v="38.730853391684903"/>
    <n v="0.83654237288135591"/>
    <n v="0.40163269230769233"/>
    <s v="PINPM/21-22/2667"/>
  </r>
  <r>
    <x v="16"/>
    <s v="G"/>
    <x v="4"/>
    <s v="FO108"/>
    <m/>
    <m/>
    <s v="NIPPLE S TYPE S SIZE PUNCHED INSPECTED"/>
    <s v="HEH18NaH18PcH20Pb"/>
    <n v="4"/>
    <n v="7000"/>
    <n v="1750"/>
    <n v="7926"/>
    <n v="7905"/>
    <n v="0"/>
    <n v="0"/>
    <n v="0"/>
    <n v="0"/>
    <n v="21"/>
    <n v="0"/>
    <n v="2"/>
    <n v="3952.5"/>
    <n v="1.1292857142857142"/>
    <s v="FO104"/>
    <n v="0"/>
    <n v="0"/>
    <s v=" "/>
    <n v="2.6495079485238456E-3"/>
    <n v="0"/>
    <n v="0.99735049205147619"/>
    <n v="0"/>
    <n v="4"/>
    <n v="1"/>
    <n v="1976.25"/>
    <n v="4"/>
    <n v="3.6432637571157493"/>
    <n v="1.0979166666666667"/>
    <n v="1.0950077277315164"/>
    <s v="2645/2646"/>
  </r>
  <r>
    <x v="16"/>
    <s v="G"/>
    <x v="4"/>
    <s v="FO152"/>
    <m/>
    <m/>
    <s v="NIPPLE S TYPE LL SIZE INSPECTED"/>
    <s v="HEH18NcH19PbH20Pb"/>
    <n v="4"/>
    <n v="7072"/>
    <n v="1768"/>
    <n v="9100"/>
    <n v="9086"/>
    <n v="0"/>
    <n v="0"/>
    <n v="0"/>
    <n v="0"/>
    <n v="14"/>
    <n v="0"/>
    <n v="1"/>
    <n v="9086"/>
    <n v="1.2847850678733033"/>
    <s v="FO152"/>
    <n v="0"/>
    <n v="0"/>
    <s v=" "/>
    <n v="1.5384615384615385E-3"/>
    <n v="0"/>
    <n v="0.99823366136765079"/>
    <n v="0"/>
    <n v="4"/>
    <n v="1"/>
    <n v="2271.5"/>
    <n v="4"/>
    <n v="1.5848558221439577"/>
    <n v="2.5238888888888891"/>
    <n v="2.5194308464406876"/>
    <s v="2654/2655"/>
  </r>
  <r>
    <x v="16"/>
    <s v="G"/>
    <x v="7"/>
    <s v="FO030"/>
    <m/>
    <s v="WR1"/>
    <s v="NIPPLE S TYPE M SIZE WITH PRINTED WRAP"/>
    <s v="HEH04AG22"/>
    <n v="8"/>
    <n v="16132"/>
    <n v="2016.5"/>
    <n v="18065"/>
    <n v="18065"/>
    <n v="0"/>
    <n v="0"/>
    <n v="0"/>
    <n v="0"/>
    <n v="0"/>
    <n v="0"/>
    <n v="2"/>
    <n v="9032.5"/>
    <n v="1.1198239523927598"/>
    <s v="FO020"/>
    <n v="0"/>
    <n v="0"/>
    <s v=" "/>
    <n v="0"/>
    <n v="0"/>
    <n v="1"/>
    <n v="0"/>
    <n v="8"/>
    <n v="1"/>
    <n v="2258.125"/>
    <n v="2.5"/>
    <n v="3.1884860226958205"/>
    <n v="0.78407118055555558"/>
    <n v="0.78407118055555558"/>
    <s v="2647/2648/2649/2650/2651"/>
  </r>
  <r>
    <x v="16"/>
    <s v="B"/>
    <x v="1"/>
    <s v="FO053"/>
    <s v="BM5"/>
    <s v="B2"/>
    <s v="RPP 240ML PINK BOTTLE MOLDED (WM3GB)"/>
    <s v="EH24Bb2"/>
    <n v="8"/>
    <n v="1600"/>
    <n v="200"/>
    <n v="1648"/>
    <n v="1440"/>
    <n v="1.85"/>
    <n v="120"/>
    <n v="0"/>
    <n v="0"/>
    <n v="80"/>
    <n v="8"/>
    <n v="1"/>
    <n v="1440"/>
    <n v="0.9"/>
    <s v="WMG3B"/>
    <n v="33.130000000000003"/>
    <n v="56.448239999999998"/>
    <n v="0.84514946790192225"/>
    <n v="5.2631578947368418E-2"/>
    <n v="6.7873303167420809E-2"/>
    <n v="0.99557154719070029"/>
    <n v="2.8805555555555555"/>
    <n v="5.1194444444444445"/>
    <n v="0.63993055555555556"/>
    <n v="180"/>
    <n v="9"/>
    <n v="12.798611111111111"/>
    <n v="0.70320130222463373"/>
    <n v="0.44800719623581514"/>
    <n v="2644"/>
  </r>
  <r>
    <x v="16"/>
    <s v="B"/>
    <x v="1"/>
    <s v="FO001"/>
    <s v="BM4"/>
    <s v="B1"/>
    <s v="KPP 120 ML BOTTLE MOLDED"/>
    <s v="EH24Bb1"/>
    <n v="8"/>
    <n v="2574"/>
    <n v="321.75"/>
    <n v="2852"/>
    <n v="2520"/>
    <n v="0.84"/>
    <n v="220"/>
    <n v="0"/>
    <n v="0"/>
    <n v="84"/>
    <n v="28"/>
    <n v="1"/>
    <n v="2520"/>
    <n v="0.97902097902097907"/>
    <s v="HMC"/>
    <n v="21.3"/>
    <n v="61.587600000000002"/>
    <n v="0.87153907604777581"/>
    <n v="3.2258064516129031E-2"/>
    <n v="7.1614583333333329E-2"/>
    <n v="0.94902912621359226"/>
    <n v="0"/>
    <n v="8"/>
    <n v="1"/>
    <n v="315"/>
    <n v="9"/>
    <n v="11.428571428571429"/>
    <n v="0.78749999999999998"/>
    <n v="0.74736043689320386"/>
    <n v="2656"/>
  </r>
  <r>
    <x v="16"/>
    <s v="B"/>
    <x v="3"/>
    <s v="FO150"/>
    <m/>
    <s v="P1"/>
    <s v="NIPPLE S TYPE LL SIZE PUNCHED"/>
    <s v="HEH19NcH19Pc"/>
    <n v="8"/>
    <n v="7036"/>
    <n v="879.5"/>
    <n v="6900"/>
    <n v="6900"/>
    <n v="0"/>
    <n v="0"/>
    <n v="0"/>
    <n v="0"/>
    <n v="0"/>
    <n v="0"/>
    <n v="1"/>
    <n v="6900"/>
    <n v="0.98067083570210345"/>
    <s v="FO150"/>
    <n v="0"/>
    <n v="0"/>
    <s v=" "/>
    <n v="0"/>
    <n v="0"/>
    <n v="1"/>
    <n v="0.6777777777777777"/>
    <n v="7.322222222222222"/>
    <n v="0.91527777777777775"/>
    <n v="862.5"/>
    <n v="3.5"/>
    <n v="3.8202898550724638"/>
    <n v="0.91616084977238244"/>
    <n v="0.83854166666666663"/>
    <n v="2652"/>
  </r>
  <r>
    <x v="16"/>
    <s v="B"/>
    <x v="8"/>
    <s v="FO151"/>
    <m/>
    <s v="LZ1"/>
    <s v="NIPPLE S TYPE LL SIZE LASER MARKED"/>
    <s v="HEH19HAH19PbH24Pb"/>
    <n v="8"/>
    <n v="7036"/>
    <n v="879.5"/>
    <n v="6000"/>
    <n v="6000"/>
    <n v="0"/>
    <n v="0"/>
    <n v="0"/>
    <n v="0"/>
    <n v="0"/>
    <n v="0"/>
    <n v="1"/>
    <n v="6000"/>
    <n v="0.85275724843661171"/>
    <s v="FO151"/>
    <n v="0"/>
    <n v="0"/>
    <s v=" "/>
    <n v="0"/>
    <n v="0"/>
    <n v="1"/>
    <n v="0.6777777777777777"/>
    <n v="7.322222222222222"/>
    <n v="0.91527777777777775"/>
    <n v="750"/>
    <n v="3.5"/>
    <n v="4.3933333333333335"/>
    <n v="0.79666160849772383"/>
    <n v="0.72916666666666663"/>
    <n v="2653"/>
  </r>
  <r>
    <x v="16"/>
    <s v="C"/>
    <x v="1"/>
    <s v="FO001"/>
    <s v="BM4"/>
    <s v="B1"/>
    <s v="KPP 120 ML BOTTLE MOLDED"/>
    <s v="EH24Bc1"/>
    <n v="8"/>
    <n v="2574"/>
    <n v="321.75"/>
    <n v="3182"/>
    <n v="3060"/>
    <n v="0"/>
    <n v="57"/>
    <n v="0"/>
    <n v="0"/>
    <n v="65"/>
    <n v="0"/>
    <n v="1"/>
    <n v="3060"/>
    <n v="1.1888111888111887"/>
    <s v="HMC"/>
    <n v="21.3"/>
    <n v="67.776600000000002"/>
    <n v="0.9616593337523569"/>
    <n v="2.0799999999999999E-2"/>
    <n v="1.7598024081506639E-2"/>
    <n v="0.98916666666666664"/>
    <n v="0.33888888888888885"/>
    <n v="7.6611111111111114"/>
    <n v="0.95763888888888893"/>
    <n v="382.5"/>
    <n v="9"/>
    <n v="9.0130718954248366"/>
    <n v="0.99854967367657721"/>
    <n v="0.9458906250000001"/>
    <s v="2657"/>
  </r>
  <r>
    <x v="16"/>
    <s v="C"/>
    <x v="9"/>
    <s v="FO130"/>
    <m/>
    <s v="INJ-1"/>
    <s v="HOOD S TYPE MOLDED"/>
    <s v="EH24Hc"/>
    <n v="8"/>
    <n v="4137"/>
    <n v="517.125"/>
    <n v="4116"/>
    <n v="4000"/>
    <n v="0.12"/>
    <n v="80"/>
    <n v="0"/>
    <n v="0"/>
    <n v="28"/>
    <n v="8"/>
    <n v="1"/>
    <n v="4000"/>
    <n v="0.96688421561518012"/>
    <s v="HMC"/>
    <n v="8.6"/>
    <n v="35.517599999999995"/>
    <n v="0.96853390994887056"/>
    <n v="6.9513406156901684E-3"/>
    <n v="1.9065776930409915E-2"/>
    <n v="0.99120050282840977"/>
    <n v="1.3047222222222221"/>
    <n v="6.6952777777777781"/>
    <n v="0.83690972222222226"/>
    <n v="500"/>
    <n v="6"/>
    <n v="6.0257500000000004"/>
    <n v="0.99572667302825368"/>
    <n v="0.82600041902367471"/>
    <s v="2658"/>
  </r>
  <r>
    <x v="17"/>
    <s v="A"/>
    <x v="3"/>
    <s v="FO150"/>
    <m/>
    <m/>
    <s v="NIPPLE S TYPE LL SIZE PUNCHED"/>
    <s v="HEH20NaH20PbH25Pa"/>
    <n v="8"/>
    <n v="7000"/>
    <n v="875"/>
    <n v="7300"/>
    <n v="7300"/>
    <n v="0"/>
    <n v="0"/>
    <n v="0"/>
    <n v="0"/>
    <n v="0"/>
    <n v="0"/>
    <n v="1"/>
    <n v="7300"/>
    <n v="1.0428571428571429"/>
    <s v="FO150"/>
    <n v="0"/>
    <n v="0"/>
    <s v=" "/>
    <n v="0"/>
    <n v="0"/>
    <n v="1"/>
    <n v="0.6777777777777777"/>
    <n v="7.322222222222222"/>
    <n v="0.91527777777777775"/>
    <n v="912.5"/>
    <n v="3.5"/>
    <n v="3.6109589041095891"/>
    <n v="0.96927162367223063"/>
    <n v="0.88715277777777768"/>
    <s v="2676/2677/2679"/>
  </r>
  <r>
    <x v="17"/>
    <s v="A"/>
    <x v="8"/>
    <s v="FO151"/>
    <m/>
    <m/>
    <s v="NIPPLE S TYPE LL SIZE LASER MARKED"/>
    <s v="HEH19BG22"/>
    <n v="8"/>
    <n v="7000"/>
    <n v="875"/>
    <n v="6900"/>
    <n v="6900"/>
    <n v="0"/>
    <n v="0"/>
    <n v="0"/>
    <n v="0"/>
    <n v="0"/>
    <n v="0"/>
    <n v="1"/>
    <n v="6900"/>
    <n v="0.98571428571428577"/>
    <s v="FO151"/>
    <n v="0"/>
    <n v="0"/>
    <s v=" "/>
    <n v="0"/>
    <n v="0"/>
    <n v="1"/>
    <n v="0.6777777777777777"/>
    <n v="7.322222222222222"/>
    <n v="0.91527777777777775"/>
    <n v="862.5"/>
    <n v="3.5"/>
    <n v="3.8202898550724638"/>
    <n v="0.91616084977238244"/>
    <n v="0.83854166666666663"/>
    <s v="2681/2684/2685"/>
  </r>
  <r>
    <x v="17"/>
    <s v="A"/>
    <x v="9"/>
    <s v="FO130"/>
    <m/>
    <s v="INJ-1"/>
    <s v="HOOD S TYPE MOLDED"/>
    <s v="EH25Ha"/>
    <n v="8"/>
    <n v="4137"/>
    <n v="517.125"/>
    <n v="4148"/>
    <n v="4000"/>
    <n v="0"/>
    <n v="100"/>
    <n v="0"/>
    <n v="0"/>
    <n v="40"/>
    <n v="8"/>
    <n v="1"/>
    <n v="4000"/>
    <n v="0.96688421561518012"/>
    <s v="HMC"/>
    <n v="8.6"/>
    <n v="35.672800000000002"/>
    <n v="0.96432015429122464"/>
    <n v="9.9009900990099011E-3"/>
    <n v="2.3540489642184557E-2"/>
    <n v="0.99420289855072463"/>
    <n v="0"/>
    <n v="8"/>
    <n v="1"/>
    <n v="500"/>
    <n v="6"/>
    <n v="7.2"/>
    <n v="0.83333333333333326"/>
    <n v="0.8285024154589371"/>
    <n v="2680"/>
  </r>
  <r>
    <x v="17"/>
    <s v="G"/>
    <x v="4"/>
    <s v="FO152"/>
    <m/>
    <m/>
    <s v="NIPPLE S TYPE LL SIZE INSPECTED"/>
    <s v="HEH19BG22,HEH19CG22"/>
    <n v="8.5"/>
    <n v="14072"/>
    <n v="1655.5294117647059"/>
    <n v="12900"/>
    <n v="12752"/>
    <n v="0"/>
    <n v="0"/>
    <n v="0"/>
    <n v="0"/>
    <n v="148"/>
    <n v="0"/>
    <n v="2"/>
    <n v="6376"/>
    <n v="0.90619670267197272"/>
    <s v="FO152"/>
    <n v="0"/>
    <n v="0"/>
    <s v=" "/>
    <n v="1.1472868217054264E-2"/>
    <n v="0"/>
    <n v="0.96432015429122464"/>
    <n v="0.84722222222222221"/>
    <n v="7.6527777777777777"/>
    <n v="0.90032679738562094"/>
    <n v="1500.2352941176471"/>
    <n v="4"/>
    <n v="4.3208908406524467"/>
    <n v="0.92573502722323053"/>
    <n v="0.80372618349815017"/>
    <s v="2697/2698/2699"/>
  </r>
  <r>
    <x v="17"/>
    <s v="G"/>
    <x v="7"/>
    <s v="FO029"/>
    <m/>
    <m/>
    <s v="NIPPLE S TYPE S SIZE WITH PRINTED WRAP"/>
    <s v="HEH09AG22"/>
    <n v="8.5"/>
    <n v="16132"/>
    <n v="1897.8823529411766"/>
    <n v="17547"/>
    <n v="17545"/>
    <n v="0"/>
    <n v="0"/>
    <n v="0"/>
    <n v="0"/>
    <n v="2"/>
    <n v="0"/>
    <n v="1"/>
    <n v="17545"/>
    <n v="1.087589883461443"/>
    <s v="FO108"/>
    <n v="0"/>
    <n v="0"/>
    <s v=" "/>
    <n v="1.1397959765202029E-4"/>
    <n v="0"/>
    <n v="0.99984496124031008"/>
    <n v="0.84722222222222221"/>
    <n v="7.6527777777777777"/>
    <n v="0.90032679738562094"/>
    <n v="2064.1176470588234"/>
    <n v="2.5"/>
    <n v="1.5702479338842976"/>
    <n v="1.5921052631578947"/>
    <n v="1.4331927977909511"/>
    <s v="2700/2701/2702/2703/2704"/>
  </r>
  <r>
    <x v="17"/>
    <s v="G"/>
    <x v="6"/>
    <s v="FO101"/>
    <m/>
    <s v="PR1"/>
    <s v="RPP 240ML FLORAL PNK BOTLE PNTD WM3GB W/BIS LOGO"/>
    <s v="EH24Bb2H25Pa"/>
    <n v="2"/>
    <n v="400"/>
    <n v="200"/>
    <n v="393"/>
    <n v="385"/>
    <n v="0"/>
    <n v="0"/>
    <n v="5"/>
    <n v="0"/>
    <n v="8"/>
    <n v="0"/>
    <n v="6"/>
    <n v="64.166666666666671"/>
    <n v="0.96250000000000002"/>
    <s v="FO053"/>
    <n v="0"/>
    <n v="0"/>
    <s v=" "/>
    <n v="2.0356234096692113E-2"/>
    <n v="0"/>
    <n v="0.9995440816093919"/>
    <n v="1.1861111111111111"/>
    <n v="0.81388888888888888"/>
    <n v="0.40694444444444444"/>
    <n v="192.5"/>
    <n v="32.4"/>
    <n v="45.662337662337663"/>
    <n v="0.70955631399317398"/>
    <n v="0.28861835356471188"/>
    <s v="PINPM/21-22/2717"/>
  </r>
  <r>
    <x v="17"/>
    <s v="G"/>
    <x v="6"/>
    <s v="FO100"/>
    <m/>
    <s v="PR1"/>
    <s v="RPP 120ML FLORAL PNK BOTLE PNTD WM3GB W/BIS LOGO"/>
    <s v="EH21Bb1H25Pa"/>
    <n v="4"/>
    <n v="1600"/>
    <n v="400"/>
    <n v="1624"/>
    <n v="1609"/>
    <n v="0"/>
    <n v="0"/>
    <n v="13"/>
    <n v="0"/>
    <n v="15"/>
    <n v="0"/>
    <n v="6"/>
    <n v="268.16666666666669"/>
    <n v="1.005625"/>
    <s v="FO052"/>
    <n v="0"/>
    <n v="0"/>
    <s v=" "/>
    <n v="9.2364532019704442E-3"/>
    <n v="0"/>
    <n v="0.96183206106870234"/>
    <n v="0.84722222222222221"/>
    <n v="3.1527777777777777"/>
    <n v="0.78819444444444442"/>
    <n v="402.25"/>
    <n v="32.4"/>
    <n v="42.324425108763201"/>
    <n v="0.76551541850220273"/>
    <n v="0.58034541984732824"/>
    <s v="PINPM/21-22/2718"/>
  </r>
  <r>
    <x v="17"/>
    <s v="G"/>
    <x v="6"/>
    <s v="FO096"/>
    <m/>
    <s v="PR1"/>
    <s v="RPP 120ML ABSTRCT PNK BOTLE PNTD WM3GB W/BIS LOGO"/>
    <s v="EH21Bb1H25Pa"/>
    <n v="2"/>
    <n v="800"/>
    <n v="400"/>
    <n v="652"/>
    <n v="642"/>
    <n v="0"/>
    <n v="0"/>
    <n v="8"/>
    <n v="0"/>
    <n v="10"/>
    <n v="0"/>
    <n v="6"/>
    <n v="107"/>
    <n v="0.80249999999999999"/>
    <s v="FO052"/>
    <n v="0"/>
    <n v="0"/>
    <s v=" "/>
    <n v="1.5337423312883436E-2"/>
    <n v="0"/>
    <n v="0.99384236453201968"/>
    <n v="0.84722222222222221"/>
    <n v="1.1527777777777777"/>
    <n v="0.57638888888888884"/>
    <n v="321"/>
    <n v="32.4"/>
    <n v="38.785046728971956"/>
    <n v="0.83537349397590377"/>
    <n v="0.47853509852216752"/>
    <s v="PINPM/21-22/2719,20"/>
  </r>
  <r>
    <x v="17"/>
    <s v="B"/>
    <x v="8"/>
    <s v="FO151"/>
    <m/>
    <s v="LZ1"/>
    <s v="NIPPLE S TYPE LL SIZE LASER MARKED"/>
    <s v="HEH20AG22,HEH20BG22"/>
    <n v="8"/>
    <n v="7036"/>
    <n v="879.5"/>
    <n v="6300"/>
    <n v="6300"/>
    <n v="0"/>
    <n v="0"/>
    <n v="0"/>
    <n v="0"/>
    <n v="0"/>
    <n v="0"/>
    <n v="1"/>
    <n v="6300"/>
    <n v="0.89539511085844226"/>
    <s v="FO151"/>
    <n v="0"/>
    <n v="0"/>
    <s v=" "/>
    <n v="0"/>
    <n v="0"/>
    <n v="1"/>
    <n v="0.6777777777777777"/>
    <n v="7.322222222222222"/>
    <n v="0.91527777777777775"/>
    <n v="787.5"/>
    <n v="3.5"/>
    <n v="4.1841269841269844"/>
    <n v="0.83649468892260992"/>
    <n v="0.76562499999999989"/>
    <s v="PINPM/21-22/2720"/>
  </r>
  <r>
    <x v="17"/>
    <s v="B"/>
    <x v="3"/>
    <s v="FO150"/>
    <m/>
    <s v="P1"/>
    <s v="NIPPLE S TYPE LL SIZE PUNCHED"/>
    <s v="HEH20NcH20PcH25Pb"/>
    <n v="5.5"/>
    <n v="5000"/>
    <n v="909.09090909090912"/>
    <n v="4250"/>
    <n v="4250"/>
    <n v="0"/>
    <n v="0"/>
    <n v="0"/>
    <n v="0"/>
    <n v="0"/>
    <n v="0"/>
    <n v="1"/>
    <n v="4250"/>
    <n v="0.85"/>
    <s v="FO150"/>
    <n v="0"/>
    <n v="0"/>
    <s v=" "/>
    <n v="0"/>
    <n v="0"/>
    <n v="1"/>
    <n v="0.93194444444444435"/>
    <n v="4.5680555555555555"/>
    <n v="0.8305555555555556"/>
    <n v="772.72727272727275"/>
    <n v="3.5"/>
    <n v="3.8694117647058826"/>
    <n v="0.90453025235633921"/>
    <n v="0.75126262626262619"/>
    <s v="2705/2706"/>
  </r>
  <r>
    <x v="17"/>
    <s v="B"/>
    <x v="0"/>
    <s v="FO013"/>
    <s v="M2"/>
    <s v="L2"/>
    <s v="NIPPLE S TYPE L SIZE INJECTION"/>
    <s v="HEH25Nb"/>
    <n v="8"/>
    <n v="4815"/>
    <n v="601.875"/>
    <n v="6048"/>
    <n v="5700"/>
    <n v="1.2"/>
    <n v="230"/>
    <n v="0"/>
    <n v="0"/>
    <n v="110"/>
    <n v="8"/>
    <n v="1"/>
    <n v="5700"/>
    <n v="1.1838006230529594"/>
    <s v="Silicon"/>
    <n v="6.8"/>
    <n v="42.3264"/>
    <n v="0.91574053073259243"/>
    <n v="1.8932874354561102E-2"/>
    <n v="3.6635871296591273E-2"/>
    <n v="0.97411764705882353"/>
    <n v="4.0666666666666664"/>
    <n v="3.9333333333333336"/>
    <n v="0.4916666666666667"/>
    <n v="712.5"/>
    <n v="5.25"/>
    <n v="2.4842105263157896"/>
    <n v="2.1133474576271185"/>
    <n v="1.0121691176470589"/>
    <n v="2709"/>
  </r>
  <r>
    <x v="17"/>
    <s v="B"/>
    <x v="2"/>
    <s v="FO017"/>
    <m/>
    <s v="PC1"/>
    <s v="NIPPLE S TYPE L SIZE POSTCURED"/>
    <s v="HEH25NbH25Pb"/>
    <n v="8"/>
    <n v="7036"/>
    <n v="879.5"/>
    <n v="5000"/>
    <n v="5000"/>
    <n v="0"/>
    <n v="0"/>
    <n v="0"/>
    <n v="0"/>
    <n v="0"/>
    <n v="0"/>
    <n v="1"/>
    <n v="5000"/>
    <n v="0.71063104036384306"/>
    <s v="FO013"/>
    <n v="0"/>
    <n v="0"/>
    <s v=" "/>
    <n v="0"/>
    <n v="0"/>
    <n v="1"/>
    <n v="0"/>
    <n v="8"/>
    <n v="1"/>
    <n v="625"/>
    <n v="2.2999999999999998"/>
    <n v="5.76"/>
    <n v="0.39930555555555552"/>
    <n v="0.39930555555555552"/>
    <n v="2711"/>
  </r>
  <r>
    <x v="17"/>
    <s v="B"/>
    <x v="3"/>
    <s v="FO021"/>
    <m/>
    <s v="P1"/>
    <s v="NIPPLE S TYPE L SIZE PUNCHED"/>
    <s v="HEH25NbH25PbH25Pb"/>
    <n v="2.5"/>
    <n v="2036"/>
    <n v="814.4"/>
    <n v="2000"/>
    <n v="2000"/>
    <n v="0"/>
    <n v="0"/>
    <n v="0"/>
    <n v="0"/>
    <n v="0"/>
    <n v="0"/>
    <n v="1"/>
    <n v="2000"/>
    <n v="0.98231827111984282"/>
    <s v="FO017"/>
    <n v="0"/>
    <n v="0"/>
    <s v=" "/>
    <n v="0"/>
    <n v="0"/>
    <n v="1"/>
    <n v="0.33888888888888885"/>
    <n v="2.161111111111111"/>
    <n v="0.86444444444444435"/>
    <n v="800"/>
    <n v="3.5"/>
    <n v="3.8899999999999997"/>
    <n v="0.89974293059125976"/>
    <n v="0.77777777777777779"/>
    <n v="2713"/>
  </r>
  <r>
    <x v="17"/>
    <s v="B"/>
    <x v="1"/>
    <s v="FO001"/>
    <s v="BM4"/>
    <s v="B1"/>
    <s v="KPP 120 ML BOTTLE MOLDED"/>
    <s v="EH25Bb2"/>
    <n v="8"/>
    <n v="2574"/>
    <n v="321.75"/>
    <n v="4718"/>
    <n v="4500"/>
    <n v="1.5"/>
    <n v="118"/>
    <n v="0"/>
    <n v="0"/>
    <n v="92"/>
    <n v="8"/>
    <n v="1"/>
    <n v="4500"/>
    <n v="1.7482517482517483"/>
    <s v="HMC"/>
    <n v="21.3"/>
    <n v="101.99339999999999"/>
    <n v="0.93976669078587438"/>
    <n v="2.0034843205574911E-2"/>
    <n v="2.4400330851943756E-2"/>
    <n v="0.95399999999999996"/>
    <n v="0"/>
    <n v="8"/>
    <n v="1"/>
    <n v="562.5"/>
    <n v="9"/>
    <n v="6.4"/>
    <n v="1.40625"/>
    <n v="1.3415625"/>
    <n v="2710"/>
  </r>
  <r>
    <x v="17"/>
    <s v="B"/>
    <x v="9"/>
    <s v="FO130"/>
    <m/>
    <s v="INJ-1"/>
    <s v="HOOD S TYPE MOLDED"/>
    <s v="EH25Hb"/>
    <n v="8"/>
    <n v="4137"/>
    <n v="517.125"/>
    <n v="3615"/>
    <n v="3408"/>
    <n v="0"/>
    <n v="115"/>
    <n v="0"/>
    <n v="0"/>
    <n v="92"/>
    <n v="0"/>
    <n v="1"/>
    <n v="3408"/>
    <n v="0.82378535170413347"/>
    <s v="HMC"/>
    <n v="8.6"/>
    <n v="31.088999999999999"/>
    <n v="0.94273858921161835"/>
    <n v="2.6285714285714287E-2"/>
    <n v="3.0831099195710455E-2"/>
    <n v="0.98050021195421788"/>
    <n v="0"/>
    <n v="8"/>
    <n v="1"/>
    <n v="426"/>
    <n v="6"/>
    <n v="8.4507042253521121"/>
    <n v="0.71000000000000008"/>
    <n v="0.69615515048749477"/>
    <n v="2712"/>
  </r>
  <r>
    <x v="17"/>
    <s v="C"/>
    <x v="1"/>
    <s v="FO001"/>
    <s v="BM4"/>
    <s v="B1"/>
    <s v="KPP 120 ML BOTTLE MOLDED"/>
    <s v="EH25Bc1"/>
    <n v="8"/>
    <n v="2574"/>
    <n v="321.75"/>
    <n v="3382"/>
    <n v="3240"/>
    <n v="0"/>
    <n v="53"/>
    <n v="0"/>
    <n v="0"/>
    <n v="81"/>
    <n v="8"/>
    <n v="1"/>
    <n v="3240"/>
    <n v="1.2587412587412588"/>
    <s v="HMC"/>
    <n v="21.3"/>
    <n v="72.036599999999993"/>
    <n v="0.95801301005322304"/>
    <n v="2.4390243902439025E-2"/>
    <n v="1.5429403202328967E-2"/>
    <n v="0.97759336099585059"/>
    <n v="0"/>
    <n v="8"/>
    <n v="1"/>
    <n v="405"/>
    <n v="9"/>
    <n v="8.8888888888888893"/>
    <n v="1.0125"/>
    <n v="0.98981327800829866"/>
    <n v="2714"/>
  </r>
  <r>
    <x v="17"/>
    <s v="C"/>
    <x v="0"/>
    <s v="FO013"/>
    <s v="M2"/>
    <s v="L2"/>
    <s v="NIPPLE S TYPE L SIZE INJECTION"/>
    <s v="HEH25Nc"/>
    <n v="8"/>
    <n v="4815"/>
    <n v="601.875"/>
    <n v="5010"/>
    <n v="4888"/>
    <n v="0"/>
    <n v="52"/>
    <n v="0"/>
    <n v="0"/>
    <n v="70"/>
    <n v="0"/>
    <n v="1"/>
    <n v="4888"/>
    <n v="1.0151609553478713"/>
    <s v="Silicon"/>
    <n v="6.8"/>
    <n v="34.067999999999998"/>
    <n v="0.9756487025948104"/>
    <n v="1.4118596208148447E-2"/>
    <n v="1.0272619517977083E-2"/>
    <n v="0.97930218805440572"/>
    <n v="0"/>
    <n v="8"/>
    <n v="1"/>
    <n v="611"/>
    <n v="5.25"/>
    <n v="5.8919803600654665"/>
    <n v="0.89104166666666662"/>
    <n v="0.87259905381431102"/>
    <s v="2715"/>
  </r>
  <r>
    <x v="17"/>
    <s v="C"/>
    <x v="9"/>
    <s v="FO130"/>
    <m/>
    <s v="INJ-1"/>
    <s v="HOOD S TYPE MOLDED"/>
    <s v="EH25Hc"/>
    <n v="8"/>
    <n v="4137"/>
    <n v="517.125"/>
    <n v="5510"/>
    <n v="5500"/>
    <n v="0"/>
    <n v="0"/>
    <n v="0"/>
    <n v="0"/>
    <n v="2"/>
    <n v="8"/>
    <n v="1"/>
    <n v="5500"/>
    <n v="1.3294657964708727"/>
    <s v="HMC"/>
    <n v="8.6"/>
    <n v="47.386000000000003"/>
    <n v="0.998185117967332"/>
    <n v="3.6350418029807341E-4"/>
    <n v="0"/>
    <n v="0.9996007984031936"/>
    <n v="0"/>
    <n v="8"/>
    <n v="1"/>
    <n v="687.5"/>
    <n v="6"/>
    <n v="5.2363636363636363"/>
    <n v="1.1458333333333333"/>
    <n v="1.1453759148369926"/>
    <s v="2716"/>
  </r>
  <r>
    <x v="18"/>
    <s v="A"/>
    <x v="0"/>
    <s v="FO013"/>
    <s v="M2"/>
    <s v="L2"/>
    <s v="NIPPLE S TYPE L SIZE INJECTION"/>
    <s v="HEH26Na"/>
    <n v="8"/>
    <n v="4815"/>
    <n v="601.875"/>
    <n v="3358"/>
    <n v="3000"/>
    <n v="9.9499999999999993"/>
    <n v="280"/>
    <n v="0"/>
    <n v="0"/>
    <n v="70"/>
    <n v="8"/>
    <n v="1"/>
    <n v="3000"/>
    <n v="0.62305295950155759"/>
    <s v="Silicon"/>
    <n v="6.8"/>
    <n v="32.784399999999998"/>
    <n v="0.62224716633520816"/>
    <n v="2.2801302931596091E-2"/>
    <n v="7.6965365585486528E-2"/>
    <n v="0.98729582577132491"/>
    <n v="2.0333333333333332"/>
    <n v="5.9666666666666668"/>
    <n v="0.74583333333333335"/>
    <n v="375"/>
    <n v="5.25"/>
    <n v="7.16"/>
    <n v="0.73324022346368711"/>
    <n v="0.53992740471869327"/>
    <n v="2729"/>
  </r>
  <r>
    <x v="18"/>
    <s v="A"/>
    <x v="9"/>
    <s v="FO130"/>
    <m/>
    <s v="INJ-1"/>
    <s v="HOOD S TYPE MOLDED"/>
    <s v="EH26Ha"/>
    <n v="8"/>
    <n v="4137"/>
    <n v="517.125"/>
    <n v="5020"/>
    <n v="5000"/>
    <n v="0.2"/>
    <n v="0"/>
    <n v="0"/>
    <n v="0"/>
    <n v="12"/>
    <n v="8"/>
    <n v="1"/>
    <n v="5000"/>
    <n v="1.2086052695189751"/>
    <s v="HMC"/>
    <n v="8.6"/>
    <n v="43.372"/>
    <n v="0.99142303790463893"/>
    <n v="2.3942537909018356E-3"/>
    <n v="0"/>
    <n v="0.99642644431209049"/>
    <n v="0"/>
    <n v="8"/>
    <n v="1"/>
    <n v="625"/>
    <n v="6"/>
    <n v="5.76"/>
    <n v="1.0416666666666667"/>
    <n v="1.0379442128250944"/>
    <n v="2721"/>
  </r>
  <r>
    <x v="18"/>
    <s v="A"/>
    <x v="8"/>
    <s v="FO151"/>
    <m/>
    <s v="LZ1"/>
    <s v="NIPPLE S TYPE LL SIZE LASER MARKED"/>
    <s v="HEH20CG22"/>
    <n v="4.5"/>
    <n v="4000"/>
    <n v="888.88888888888891"/>
    <n v="4000"/>
    <n v="4000"/>
    <n v="0"/>
    <n v="0"/>
    <n v="0"/>
    <n v="0"/>
    <n v="0"/>
    <n v="0"/>
    <n v="1"/>
    <n v="4000"/>
    <n v="1"/>
    <s v="FO151"/>
    <n v="0"/>
    <n v="0"/>
    <s v=" "/>
    <n v="0"/>
    <n v="0"/>
    <n v="1"/>
    <n v="0.6777777777777777"/>
    <n v="3.8222222222222224"/>
    <n v="0.84938271604938276"/>
    <n v="888.88888888888891"/>
    <n v="3.5"/>
    <n v="3.44"/>
    <n v="1.0174418604651163"/>
    <n v="0.86419753086419759"/>
    <n v="2724"/>
  </r>
  <r>
    <x v="18"/>
    <s v="A"/>
    <x v="8"/>
    <s v="FO106"/>
    <m/>
    <s v="LZ1"/>
    <s v="NIPPLE S TYPE L SIZE PUNCHED LASER MARKED"/>
    <s v="HEH25BG22"/>
    <n v="3.5"/>
    <n v="3000"/>
    <n v="857.14285714285711"/>
    <n v="3000"/>
    <n v="2982"/>
    <n v="0"/>
    <n v="0"/>
    <n v="0"/>
    <n v="0"/>
    <n v="18"/>
    <n v="0"/>
    <n v="1"/>
    <n v="2982"/>
    <n v="0.99399999999999999"/>
    <s v="FO021"/>
    <n v="0"/>
    <n v="0"/>
    <s v=" "/>
    <n v="6.0000000000000001E-3"/>
    <n v="0"/>
    <n v="0.99550000000000005"/>
    <n v="0"/>
    <n v="3.5"/>
    <n v="1"/>
    <n v="852"/>
    <n v="3.5"/>
    <n v="4.225352112676056"/>
    <n v="0.82833333333333337"/>
    <n v="0.82460583333333337"/>
    <n v="2727"/>
  </r>
  <r>
    <x v="18"/>
    <s v="A"/>
    <x v="2"/>
    <s v="FO017"/>
    <m/>
    <s v="PC1"/>
    <s v="NIPPLE S TYPE L SIZE POSTCURED"/>
    <s v="HEH25NbH26Pa"/>
    <n v="8"/>
    <n v="7036"/>
    <n v="879.5"/>
    <n v="5588"/>
    <n v="5588"/>
    <n v="0"/>
    <n v="0"/>
    <n v="0"/>
    <n v="0"/>
    <n v="0"/>
    <n v="0"/>
    <n v="1"/>
    <n v="5588"/>
    <n v="0.79420125071063108"/>
    <s v="FO013"/>
    <n v="0"/>
    <n v="0"/>
    <s v=" "/>
    <n v="0"/>
    <n v="0"/>
    <n v="1"/>
    <n v="0"/>
    <n v="8"/>
    <n v="1"/>
    <n v="698.5"/>
    <n v="2.2999999999999998"/>
    <n v="5.1539012168933427"/>
    <n v="0.44626388888888885"/>
    <n v="0.44626388888888885"/>
    <s v="2722/2723/2728"/>
  </r>
  <r>
    <x v="18"/>
    <s v="A"/>
    <x v="3"/>
    <s v="FO021"/>
    <m/>
    <s v="P1"/>
    <s v="NIPPLE S TYPE L SIZE PUNCHED"/>
    <s v="HEH25NbH26PaH26Pa"/>
    <n v="8"/>
    <n v="7000"/>
    <n v="875"/>
    <n v="6000"/>
    <n v="6000"/>
    <n v="0"/>
    <n v="0"/>
    <n v="0"/>
    <n v="0"/>
    <n v="0"/>
    <n v="0"/>
    <n v="1"/>
    <n v="6000"/>
    <n v="0.8571428571428571"/>
    <s v="FO017"/>
    <n v="0"/>
    <n v="0"/>
    <s v=" "/>
    <n v="0"/>
    <n v="0"/>
    <n v="1"/>
    <n v="0"/>
    <n v="8"/>
    <n v="1"/>
    <n v="750"/>
    <n v="3.5"/>
    <n v="4.8"/>
    <n v="0.72916666666666674"/>
    <n v="0.72916666666666674"/>
    <s v="2725/2726"/>
  </r>
  <r>
    <x v="18"/>
    <s v="G"/>
    <x v="4"/>
    <s v="FO152"/>
    <m/>
    <m/>
    <s v="NIPPLE S TYPE LL SIZE INSPECTED"/>
    <s v="HEH20AG22,HEH20BG22"/>
    <n v="5.5"/>
    <n v="10072"/>
    <n v="1831.2727272727273"/>
    <n v="8058"/>
    <n v="7978"/>
    <n v="0"/>
    <n v="0"/>
    <n v="0"/>
    <n v="0"/>
    <n v="80"/>
    <n v="0"/>
    <n v="2"/>
    <n v="3989"/>
    <n v="0.79209690230341545"/>
    <s v="FO152"/>
    <n v="0"/>
    <n v="0"/>
    <s v=" "/>
    <n v="9.928021841648052E-3"/>
    <n v="0"/>
    <n v="0.98666666666666669"/>
    <n v="0.5083333333333333"/>
    <n v="4.9916666666666671"/>
    <n v="0.9075757575757577"/>
    <n v="1450.5454545454545"/>
    <n v="4"/>
    <n v="4.5048884432188521"/>
    <n v="0.88792431830829155"/>
    <n v="0.79511380471380477"/>
    <s v="2754/2755/2756"/>
  </r>
  <r>
    <x v="18"/>
    <s v="G"/>
    <x v="4"/>
    <s v="FO110"/>
    <m/>
    <m/>
    <s v="NIPPLE S TYPE L SIZE PUNCHED INSPECTED"/>
    <s v="HEH25BG22"/>
    <n v="3"/>
    <n v="4000"/>
    <n v="1333.3333333333333"/>
    <n v="3982"/>
    <n v="3942"/>
    <n v="0"/>
    <n v="0"/>
    <n v="0"/>
    <n v="0"/>
    <n v="40"/>
    <n v="0"/>
    <n v="2"/>
    <n v="1971"/>
    <n v="0.98550000000000004"/>
    <s v="FO106"/>
    <n v="0"/>
    <n v="0"/>
    <s v=" "/>
    <n v="1.0045203415369162E-2"/>
    <n v="0"/>
    <n v="0.99503598907917601"/>
    <n v="0.33888888888888885"/>
    <n v="2.661111111111111"/>
    <n v="0.88703703703703696"/>
    <n v="1314"/>
    <n v="4"/>
    <n v="4.8604769152714358"/>
    <n v="0.822964509394572"/>
    <n v="0.72637627202779842"/>
    <n v="2765"/>
  </r>
  <r>
    <x v="18"/>
    <s v="G"/>
    <x v="7"/>
    <s v="FO030"/>
    <m/>
    <s v="WR1"/>
    <s v="NIPPLE S TYPE M SIZE WITH PRINTED WRAP"/>
    <s v="HEH05AG22"/>
    <n v="8.5"/>
    <n v="16132"/>
    <n v="1897.8823529411766"/>
    <n v="17945"/>
    <n v="17935"/>
    <n v="0"/>
    <n v="0"/>
    <n v="0"/>
    <n v="0"/>
    <n v="10"/>
    <n v="0"/>
    <n v="2"/>
    <n v="8967.5"/>
    <n v="1.1117654351599306"/>
    <s v="FO020"/>
    <n v="0"/>
    <n v="0"/>
    <s v=" "/>
    <n v="5.5725828921705215E-4"/>
    <n v="0"/>
    <n v="0.99748869914615768"/>
    <n v="0.84722222222222221"/>
    <n v="7.6527777777777777"/>
    <n v="0.90032679738562094"/>
    <n v="2110"/>
    <n v="2.5"/>
    <n v="3.0722051853916921"/>
    <n v="0.81374773139745915"/>
    <n v="0.7307990122216641"/>
    <s v="2758/2759/2760/2761"/>
  </r>
  <r>
    <x v="18"/>
    <s v="G"/>
    <x v="6"/>
    <s v="FO006"/>
    <m/>
    <s v="PR1"/>
    <s v="KPP 120 ML BOTTLE PRINTED"/>
    <s v="EH24Bb2H26Pa"/>
    <n v="8.5"/>
    <n v="5100"/>
    <n v="600"/>
    <n v="6529"/>
    <n v="6480"/>
    <n v="0"/>
    <n v="0"/>
    <n v="0"/>
    <n v="0"/>
    <n v="49"/>
    <n v="0"/>
    <n v="6"/>
    <n v="1080"/>
    <n v="1.2705882352941176"/>
    <s v="FO001"/>
    <n v="0"/>
    <n v="0"/>
    <s v=" "/>
    <n v="7.5049777913922498E-3"/>
    <n v="0"/>
    <n v="0.99726943438283644"/>
    <n v="0"/>
    <n v="8.5"/>
    <n v="1"/>
    <n v="762.35294117647061"/>
    <n v="32.4"/>
    <n v="28.333333333333332"/>
    <n v="1.1435294117647059"/>
    <n v="1.140406929670726"/>
    <s v="PENDING"/>
  </r>
  <r>
    <x v="18"/>
    <s v="B"/>
    <x v="3"/>
    <s v="FO021"/>
    <m/>
    <s v="P1"/>
    <s v="NIPPLE S TYPE L SIZE PUNCHED"/>
    <s v="HEH25NcH26Pa"/>
    <n v="1"/>
    <n v="1000"/>
    <n v="1000"/>
    <n v="1000"/>
    <n v="1000"/>
    <n v="0"/>
    <n v="0"/>
    <n v="0"/>
    <n v="0"/>
    <n v="0"/>
    <n v="0"/>
    <n v="1"/>
    <n v="1000"/>
    <n v="1"/>
    <s v="FO017"/>
    <n v="0"/>
    <n v="0"/>
    <s v=" "/>
    <n v="0"/>
    <n v="0"/>
    <n v="1"/>
    <n v="0"/>
    <n v="1"/>
    <n v="1"/>
    <n v="1000"/>
    <n v="3.5"/>
    <n v="3.6"/>
    <n v="0.97222222222222221"/>
    <n v="0.97222222222222221"/>
    <n v="2757"/>
  </r>
  <r>
    <x v="18"/>
    <s v="B"/>
    <x v="8"/>
    <s v="FO106"/>
    <m/>
    <s v="LZ1"/>
    <s v="NIPPLE S TYPE L SIZE PUNCHED LASER MARKED"/>
    <s v="HEH25BG22"/>
    <n v="7"/>
    <n v="7036"/>
    <n v="1005.1428571428571"/>
    <n v="6000"/>
    <n v="6000"/>
    <n v="0"/>
    <n v="0"/>
    <n v="0"/>
    <n v="0"/>
    <n v="0"/>
    <n v="0"/>
    <n v="1"/>
    <n v="6000"/>
    <n v="0.85275724843661171"/>
    <s v="FO021"/>
    <n v="0"/>
    <n v="0"/>
    <s v=" "/>
    <n v="0"/>
    <n v="0"/>
    <n v="1"/>
    <n v="1.0166666666666666"/>
    <n v="5.9833333333333334"/>
    <n v="0.85476190476190472"/>
    <n v="857.14285714285711"/>
    <n v="3.5"/>
    <n v="3.59"/>
    <n v="0.97493036211699169"/>
    <n v="0.83333333333333337"/>
    <s v="2762/2763/2764"/>
  </r>
  <r>
    <x v="18"/>
    <s v="B"/>
    <x v="0"/>
    <s v="FO013"/>
    <s v="M2"/>
    <s v="L2"/>
    <s v="NIPPLE S TYPE L SIZE INJECTION"/>
    <s v="HEH26Nb"/>
    <n v="8"/>
    <n v="4815"/>
    <n v="601.875"/>
    <n v="5090"/>
    <n v="5000"/>
    <n v="0"/>
    <n v="40"/>
    <n v="0"/>
    <n v="0"/>
    <n v="50"/>
    <n v="0"/>
    <n v="1"/>
    <n v="5000"/>
    <n v="1.0384215991692627"/>
    <s v="Silicon"/>
    <n v="6.8"/>
    <n v="34.611999999999995"/>
    <n v="0.98231827111984293"/>
    <n v="9.9009900990099011E-3"/>
    <n v="7.7972709551656916E-3"/>
    <n v="0.9916666666666667"/>
    <n v="0"/>
    <n v="8"/>
    <n v="1"/>
    <n v="625"/>
    <n v="5.25"/>
    <n v="5.76"/>
    <n v="0.91145833333333337"/>
    <n v="0.90386284722222232"/>
    <s v="2766/2671"/>
  </r>
  <r>
    <x v="18"/>
    <s v="B"/>
    <x v="2"/>
    <s v="FO017"/>
    <m/>
    <s v="PC1"/>
    <s v="NIPPLE S TYPE L SIZE POSTCURED"/>
    <s v="HEH26NaH26Pb"/>
    <n v="8"/>
    <n v="7036"/>
    <n v="879.5"/>
    <n v="7000"/>
    <n v="7000"/>
    <n v="0"/>
    <n v="0"/>
    <n v="0"/>
    <n v="0"/>
    <n v="0"/>
    <n v="0"/>
    <n v="1"/>
    <n v="7000"/>
    <n v="0.99488345650938037"/>
    <s v="FO013"/>
    <n v="0"/>
    <n v="0"/>
    <s v=" "/>
    <n v="0"/>
    <n v="0"/>
    <n v="1"/>
    <n v="0"/>
    <n v="8"/>
    <n v="1"/>
    <n v="875"/>
    <n v="2.2999999999999998"/>
    <n v="4.1142857142857139"/>
    <n v="0.55902777777777779"/>
    <n v="0.55902777777777779"/>
    <s v="2767/2768"/>
  </r>
  <r>
    <x v="18"/>
    <s v="B"/>
    <x v="1"/>
    <s v="FO001"/>
    <s v="BM4"/>
    <s v="B1"/>
    <s v="KPP 120 ML BOTTLE MOLDED"/>
    <s v="EH26Bb1"/>
    <n v="8"/>
    <n v="2574"/>
    <n v="321.75"/>
    <n v="3271"/>
    <n v="3060"/>
    <n v="0"/>
    <n v="90"/>
    <n v="0"/>
    <n v="0"/>
    <n v="88"/>
    <n v="33"/>
    <n v="1"/>
    <n v="3060"/>
    <n v="1.1888111888111887"/>
    <s v="HMC"/>
    <n v="21.3"/>
    <n v="69.672299999999993"/>
    <n v="0.93549373280342407"/>
    <n v="2.795425667090216E-2"/>
    <n v="2.6777744718833679E-2"/>
    <n v="0.98742857142857143"/>
    <n v="0"/>
    <n v="8"/>
    <n v="1"/>
    <n v="382.5"/>
    <n v="9"/>
    <n v="9.4117647058823533"/>
    <n v="0.95624999999999993"/>
    <n v="0.94422857142857142"/>
    <n v="2770"/>
  </r>
  <r>
    <x v="18"/>
    <s v="B"/>
    <x v="9"/>
    <s v="FO130"/>
    <m/>
    <s v="INJ-1"/>
    <s v="HOOD S TYPE MOLDED"/>
    <s v="EH26Hb"/>
    <n v="8"/>
    <n v="4137"/>
    <n v="517.125"/>
    <n v="5520"/>
    <n v="5500"/>
    <n v="0"/>
    <n v="0"/>
    <n v="0"/>
    <n v="0"/>
    <n v="20"/>
    <n v="0"/>
    <n v="1"/>
    <n v="5500"/>
    <n v="1.3294657964708727"/>
    <s v="HMC"/>
    <n v="8.6"/>
    <n v="47.472000000000001"/>
    <n v="0.99637681159420277"/>
    <n v="3.6231884057971015E-3"/>
    <n v="0"/>
    <n v="0.99388566187710181"/>
    <n v="0"/>
    <n v="8"/>
    <n v="1"/>
    <n v="687.5"/>
    <n v="6"/>
    <n v="5.2363636363636363"/>
    <n v="1.1458333333333333"/>
    <n v="1.1388273209008457"/>
    <n v="2769"/>
  </r>
  <r>
    <x v="18"/>
    <s v="C"/>
    <x v="1"/>
    <s v="FO001"/>
    <s v="BM4"/>
    <s v="B1"/>
    <s v="KPP 120 ML BOTTLE MOLDED"/>
    <s v="EH26Bc1"/>
    <n v="8"/>
    <n v="2574"/>
    <n v="321.75"/>
    <n v="3390"/>
    <n v="3210"/>
    <n v="0"/>
    <n v="80"/>
    <n v="0"/>
    <n v="0"/>
    <n v="70"/>
    <n v="30"/>
    <n v="1"/>
    <n v="3210"/>
    <n v="1.2470862470862472"/>
    <s v="HMC"/>
    <n v="21.3"/>
    <n v="72.206999999999994"/>
    <n v="0.94690265486725678"/>
    <n v="2.1341463414634148E-2"/>
    <n v="2.3054755043227664E-2"/>
    <n v="0.9873188405797102"/>
    <n v="0"/>
    <n v="8"/>
    <n v="1"/>
    <n v="401.25"/>
    <n v="9"/>
    <n v="8.9719626168224291"/>
    <n v="1.003125"/>
    <n v="0.99040421195652184"/>
    <n v="2804"/>
  </r>
  <r>
    <x v="18"/>
    <s v="C"/>
    <x v="0"/>
    <s v="FO013"/>
    <s v="M2"/>
    <s v="L2"/>
    <s v="NIPPLE S TYPE L SIZE INJECTION"/>
    <s v="HEH26Nc"/>
    <n v="8"/>
    <n v="4815"/>
    <n v="601.875"/>
    <n v="5411"/>
    <n v="5300"/>
    <n v="0"/>
    <n v="43"/>
    <n v="0"/>
    <n v="0"/>
    <n v="60"/>
    <n v="8"/>
    <n v="1"/>
    <n v="5300"/>
    <n v="1.1007268951194185"/>
    <s v="Silicon"/>
    <n v="6.8"/>
    <n v="36.794799999999995"/>
    <n v="0.97948623175013871"/>
    <n v="1.1194029850746268E-2"/>
    <n v="7.8841217455078837E-3"/>
    <n v="0.98230088495575218"/>
    <n v="0"/>
    <n v="8"/>
    <n v="1"/>
    <n v="662.5"/>
    <n v="5.25"/>
    <n v="5.4339622641509431"/>
    <n v="0.96614583333333337"/>
    <n v="0.94904590707964598"/>
    <s v="2772"/>
  </r>
  <r>
    <x v="18"/>
    <s v="C"/>
    <x v="9"/>
    <s v="FO130"/>
    <m/>
    <s v="INJ-1"/>
    <s v="HOOD S TYPE MOLDED"/>
    <s v="EH26Hc"/>
    <n v="8"/>
    <n v="4137"/>
    <n v="517.125"/>
    <n v="5012"/>
    <n v="5000"/>
    <n v="0"/>
    <n v="0"/>
    <n v="0"/>
    <n v="0"/>
    <n v="4"/>
    <n v="8"/>
    <n v="1"/>
    <n v="5000"/>
    <n v="1.2086052695189751"/>
    <s v="HMC"/>
    <n v="8.6"/>
    <n v="43.103200000000001"/>
    <n v="0.99760574620909814"/>
    <n v="7.993605115907274E-4"/>
    <n v="0"/>
    <n v="0.99926076510811312"/>
    <n v="0"/>
    <n v="8"/>
    <n v="1"/>
    <n v="625"/>
    <n v="6"/>
    <n v="5.76"/>
    <n v="1.0416666666666667"/>
    <n v="1.0408966303209513"/>
    <s v="2773"/>
  </r>
  <r>
    <x v="19"/>
    <s v="A"/>
    <x v="2"/>
    <s v="FO017"/>
    <m/>
    <s v="PC1"/>
    <s v="NIPPLE S TYPE L SIZE POSTCURED"/>
    <s v="HEH26NcH27Pa"/>
    <n v="8"/>
    <n v="7036"/>
    <n v="879.5"/>
    <n v="10300"/>
    <n v="10300"/>
    <n v="0"/>
    <n v="0"/>
    <n v="0"/>
    <n v="0"/>
    <n v="0"/>
    <n v="0"/>
    <n v="1"/>
    <n v="10300"/>
    <n v="1.4638999431495168"/>
    <s v="FO013"/>
    <n v="0"/>
    <n v="0"/>
    <s v=" "/>
    <n v="0"/>
    <n v="0"/>
    <n v="1"/>
    <n v="0.6777777777777777"/>
    <n v="7.322222222222222"/>
    <n v="0.91527777777777775"/>
    <n v="1287.5"/>
    <n v="2.2999999999999998"/>
    <n v="2.5592233009708738"/>
    <n v="0.89871016691957506"/>
    <n v="0.82256944444444435"/>
    <s v="2775/2776/2779"/>
  </r>
  <r>
    <x v="19"/>
    <s v="A"/>
    <x v="0"/>
    <s v="FO013"/>
    <m/>
    <s v="L2"/>
    <s v="NIPPLE S TYPE L SIZE INJECTION"/>
    <s v="HEH27NA"/>
    <n v="8"/>
    <n v="4815"/>
    <n v="601.875"/>
    <n v="4340"/>
    <n v="4170"/>
    <n v="0"/>
    <n v="111"/>
    <n v="0"/>
    <n v="0"/>
    <n v="51"/>
    <n v="8"/>
    <n v="1"/>
    <n v="4170"/>
    <n v="0.86604361370716509"/>
    <s v="Silicon"/>
    <n v="6.8"/>
    <n v="29.511999999999997"/>
    <n v="0.96082949308755761"/>
    <n v="1.2082444918265814E-2"/>
    <n v="2.4938216131206472E-2"/>
    <n v="0.99504854368932039"/>
    <n v="1.0166666666666666"/>
    <n v="6.9833333333333334"/>
    <n v="0.87291666666666667"/>
    <n v="521.25"/>
    <n v="5.25"/>
    <n v="6.028776978417266"/>
    <n v="0.87082338902147971"/>
    <n v="0.75639236953883493"/>
    <n v="2777"/>
  </r>
  <r>
    <x v="19"/>
    <s v="A"/>
    <x v="9"/>
    <s v="FO130"/>
    <m/>
    <s v="INJ-1"/>
    <s v="HOOD S TYPE MOLDED"/>
    <s v="EH27HA"/>
    <n v="8"/>
    <n v="4137"/>
    <n v="517.125"/>
    <n v="5526"/>
    <n v="5500"/>
    <n v="0"/>
    <n v="0"/>
    <n v="0"/>
    <n v="0"/>
    <n v="18"/>
    <n v="8"/>
    <n v="1"/>
    <n v="5500"/>
    <n v="1.3294657964708727"/>
    <s v="HMC"/>
    <n v="8.6"/>
    <n v="47.523600000000002"/>
    <n v="0.9952949692363372"/>
    <n v="3.2620514679231605E-3"/>
    <n v="0"/>
    <n v="0.99585253456221201"/>
    <n v="0"/>
    <n v="8"/>
    <n v="1"/>
    <n v="687.5"/>
    <n v="6"/>
    <n v="5.2363636363636363"/>
    <n v="1.1458333333333333"/>
    <n v="1.141081029185868"/>
    <n v="2778"/>
  </r>
  <r>
    <x v="19"/>
    <s v="A"/>
    <x v="3"/>
    <s v="FO021"/>
    <m/>
    <s v="L2"/>
    <s v="NIPPLE S TYPE L SIZE PUNCHED"/>
    <s v="HEH26NBH26Pa"/>
    <n v="8"/>
    <n v="7036"/>
    <n v="879.5"/>
    <n v="6588"/>
    <n v="6588"/>
    <n v="0"/>
    <n v="0"/>
    <n v="0"/>
    <n v="0"/>
    <n v="0"/>
    <n v="0"/>
    <n v="1"/>
    <n v="6588"/>
    <n v="0.93632745878339962"/>
    <s v="FO017"/>
    <n v="0"/>
    <n v="0"/>
    <s v=" "/>
    <n v="0"/>
    <n v="0"/>
    <n v="1"/>
    <n v="0"/>
    <n v="8"/>
    <n v="1"/>
    <n v="823.5"/>
    <n v="3.5"/>
    <n v="4.3715846994535523"/>
    <n v="0.80062499999999992"/>
    <n v="0.80062499999999992"/>
    <s v="2780/2781/2782/2783"/>
  </r>
  <r>
    <x v="19"/>
    <s v="A"/>
    <x v="8"/>
    <s v="FO151"/>
    <m/>
    <s v="LZ1"/>
    <s v="NIPPLE S TYPE LL SIZE LASER MARKED"/>
    <s v="HEH20CG22"/>
    <n v="2.7"/>
    <n v="2250"/>
    <n v="833.33333333333326"/>
    <n v="2250"/>
    <n v="2250"/>
    <n v="0"/>
    <n v="0"/>
    <n v="0"/>
    <n v="0"/>
    <n v="0"/>
    <n v="0"/>
    <n v="1"/>
    <n v="2250"/>
    <n v="1"/>
    <s v="FO151"/>
    <n v="0"/>
    <n v="0"/>
    <s v=" "/>
    <n v="0"/>
    <n v="0"/>
    <n v="1"/>
    <n v="0"/>
    <n v="2.7"/>
    <n v="1"/>
    <n v="833.33333333333326"/>
    <n v="3.5"/>
    <n v="4.32"/>
    <n v="0.81018518518518512"/>
    <n v="0.81018518518518512"/>
    <s v="2784/2785"/>
  </r>
  <r>
    <x v="19"/>
    <s v="A"/>
    <x v="8"/>
    <s v="FO106"/>
    <m/>
    <s v="LZ1"/>
    <s v="NIPPLE S TYPE L SIZE PUNCHED LASER MARKED"/>
    <s v="HEH25Bg22"/>
    <n v="5.3"/>
    <n v="4750"/>
    <n v="896.2264150943397"/>
    <n v="3588"/>
    <n v="3588"/>
    <n v="0"/>
    <n v="0"/>
    <n v="0"/>
    <n v="0"/>
    <n v="0"/>
    <n v="0"/>
    <n v="1"/>
    <n v="3588"/>
    <n v="0.75536842105263158"/>
    <s v="FO021"/>
    <n v="0"/>
    <n v="0"/>
    <s v=" "/>
    <n v="0"/>
    <n v="0"/>
    <n v="1"/>
    <n v="0.6777777777777777"/>
    <n v="4.6222222222222218"/>
    <n v="0.8721174004192872"/>
    <n v="676.98113207547169"/>
    <n v="3.5"/>
    <n v="4.63768115942029"/>
    <n v="0.75468749999999996"/>
    <n v="0.65817610062893073"/>
    <s v="2786/2787/2789"/>
  </r>
  <r>
    <x v="19"/>
    <s v="G"/>
    <x v="6"/>
    <s v="FO006"/>
    <m/>
    <s v="PR1"/>
    <s v="KPP 120 ML BOTTLE PRINTED"/>
    <s v="EC25BC1H27Pa"/>
    <n v="8.5"/>
    <n v="5100"/>
    <n v="600"/>
    <n v="6347"/>
    <n v="6300"/>
    <n v="0"/>
    <n v="0"/>
    <n v="0"/>
    <n v="0"/>
    <n v="47"/>
    <n v="0"/>
    <n v="6"/>
    <n v="1050"/>
    <n v="1.2352941176470589"/>
    <s v="FO001"/>
    <n v="0"/>
    <n v="0"/>
    <s v=" "/>
    <n v="7.4050732629588785E-3"/>
    <n v="0"/>
    <n v="0.98690078037904128"/>
    <n v="0"/>
    <n v="8.5"/>
    <n v="1"/>
    <n v="741.17647058823525"/>
    <n v="32.4"/>
    <n v="29.142857142857142"/>
    <n v="1.111764705882353"/>
    <n v="1.0972014558331695"/>
    <s v="PENDING"/>
  </r>
  <r>
    <x v="19"/>
    <s v="G"/>
    <x v="4"/>
    <s v="FO110"/>
    <m/>
    <m/>
    <s v="NIPPLE S TYPE L SIZE PUNCHED INSPECTED"/>
    <s v="HEH25BG22"/>
    <n v="6.5"/>
    <n v="12000"/>
    <n v="1846.1538461538462"/>
    <n v="11588"/>
    <n v="11344"/>
    <n v="0"/>
    <n v="0"/>
    <n v="0"/>
    <n v="0"/>
    <n v="244"/>
    <n v="0"/>
    <n v="2"/>
    <n v="5672"/>
    <n v="0.94533333333333336"/>
    <s v="FO106"/>
    <n v="0"/>
    <n v="0"/>
    <s v=" "/>
    <n v="2.105626510182948E-2"/>
    <n v="0"/>
    <n v="0.96155664093272408"/>
    <n v="0.84722222222222221"/>
    <n v="5.6527777777777777"/>
    <n v="0.86965811965811968"/>
    <n v="1745.2307692307693"/>
    <n v="4"/>
    <n v="3.5877997179125529"/>
    <n v="1.1148894348894349"/>
    <n v="0.93229902006331811"/>
    <s v="2808/2809/2810/2811"/>
  </r>
  <r>
    <x v="19"/>
    <s v="G"/>
    <x v="4"/>
    <s v="FO152"/>
    <m/>
    <m/>
    <s v="NIPPLE S TYPE LL SIZE INSPECTED"/>
    <s v="HEH20CG22"/>
    <n v="2"/>
    <n v="2072"/>
    <n v="1036"/>
    <n v="2492"/>
    <n v="2382"/>
    <n v="0"/>
    <n v="0"/>
    <n v="0"/>
    <n v="0"/>
    <n v="110"/>
    <n v="0"/>
    <n v="2"/>
    <n v="1191"/>
    <n v="1.1496138996138996"/>
    <s v="FO152"/>
    <n v="0"/>
    <n v="0"/>
    <s v=" "/>
    <n v="4.4141252006420544E-2"/>
    <n v="0"/>
    <n v="0.99050742147048676"/>
    <n v="0.5083333333333333"/>
    <n v="1.4916666666666667"/>
    <n v="0.74583333333333335"/>
    <n v="1191"/>
    <n v="4"/>
    <n v="4.5088161209068014"/>
    <n v="0.88715083798882677"/>
    <n v="0.65538574387297199"/>
    <s v="2805/2806"/>
  </r>
  <r>
    <x v="19"/>
    <s v="G"/>
    <x v="7"/>
    <s v="FO031"/>
    <m/>
    <s v="WR1"/>
    <s v="NIPPLE S TYPE L SIZE WITH PRINTED WRAP"/>
    <s v="HEH26AG22"/>
    <n v="4.5"/>
    <n v="8016"/>
    <n v="1781.3333333333333"/>
    <n v="7668"/>
    <n v="7668"/>
    <n v="0"/>
    <n v="0"/>
    <n v="0"/>
    <n v="0"/>
    <n v="0"/>
    <n v="0"/>
    <n v="2"/>
    <n v="3834"/>
    <n v="0.95658682634730541"/>
    <s v="FO021"/>
    <n v="0"/>
    <n v="0"/>
    <s v=" "/>
    <n v="0"/>
    <n v="0"/>
    <n v="1"/>
    <n v="0.16944444444444443"/>
    <n v="4.3305555555555557"/>
    <n v="0.96234567901234569"/>
    <n v="1704"/>
    <n v="2.5"/>
    <n v="4.0662493479394888"/>
    <n v="0.61481719050673511"/>
    <n v="0.59166666666666667"/>
    <s v="2812/2813"/>
  </r>
  <r>
    <x v="19"/>
    <s v="B"/>
    <x v="8"/>
    <s v="FO106"/>
    <m/>
    <s v="LZ1"/>
    <s v="NIPPLE S TYPE L SIZE PUNCHED LASER MARKED"/>
    <s v="HEH26BG22"/>
    <n v="8"/>
    <n v="7036"/>
    <n v="879.5"/>
    <n v="7000"/>
    <n v="7000"/>
    <n v="0"/>
    <n v="0"/>
    <n v="0"/>
    <n v="0"/>
    <n v="0"/>
    <n v="0"/>
    <n v="1"/>
    <n v="7000"/>
    <n v="0.99488345650938037"/>
    <s v="FO021"/>
    <n v="0"/>
    <n v="0"/>
    <s v=" "/>
    <n v="0"/>
    <n v="0"/>
    <n v="1"/>
    <n v="0.6777777777777777"/>
    <n v="7.322222222222222"/>
    <n v="0.91527777777777775"/>
    <n v="875"/>
    <n v="3.5"/>
    <n v="3.7657142857142856"/>
    <n v="0.92943854324734454"/>
    <n v="0.85069444444444453"/>
    <s v="2807/2815/2816"/>
  </r>
  <r>
    <x v="19"/>
    <s v="B"/>
    <x v="3"/>
    <s v="FO021"/>
    <m/>
    <s v="P1"/>
    <s v="NIPPLE S TYPE L SIZE PUNCHED"/>
    <s v="HEH26NcH27PaH27Pb"/>
    <n v="8"/>
    <n v="7036"/>
    <n v="879.5"/>
    <n v="7300"/>
    <n v="7300"/>
    <n v="0"/>
    <n v="0"/>
    <n v="0"/>
    <n v="0"/>
    <n v="0"/>
    <n v="0"/>
    <n v="1"/>
    <n v="7300"/>
    <n v="1.0375213189312109"/>
    <s v="FO017"/>
    <n v="0"/>
    <n v="0"/>
    <s v=" "/>
    <n v="0"/>
    <n v="0"/>
    <n v="1"/>
    <n v="0.6777777777777777"/>
    <n v="7.322222222222222"/>
    <n v="0.91527777777777775"/>
    <n v="912.5"/>
    <n v="3.5"/>
    <n v="3.6109589041095891"/>
    <n v="0.96927162367223063"/>
    <n v="0.88715277777777768"/>
    <n v="2814"/>
  </r>
  <r>
    <x v="19"/>
    <s v="B"/>
    <x v="0"/>
    <s v="FO013"/>
    <m/>
    <m/>
    <s v="NIPPLE S TYPE L SIZE INJECTION"/>
    <s v="HEH27Nb"/>
    <n v="8"/>
    <n v="4815"/>
    <n v="601.875"/>
    <n v="5470"/>
    <n v="5300"/>
    <n v="0"/>
    <n v="90"/>
    <n v="0"/>
    <n v="0"/>
    <n v="80"/>
    <n v="0"/>
    <n v="1"/>
    <n v="5300"/>
    <n v="1.1007268951194185"/>
    <s v="Silicon"/>
    <n v="6.8"/>
    <n v="37.195999999999998"/>
    <n v="0.96892138939670935"/>
    <n v="1.4869888475836431E-2"/>
    <n v="1.618705035971223E-2"/>
    <n v="0.989041095890411"/>
    <n v="0"/>
    <n v="8"/>
    <n v="1"/>
    <n v="662.5"/>
    <n v="5.25"/>
    <n v="5.4339622641509431"/>
    <n v="0.96614583333333337"/>
    <n v="0.95555793378995446"/>
    <n v="2817"/>
  </r>
  <r>
    <x v="19"/>
    <s v="B"/>
    <x v="2"/>
    <s v="FO017"/>
    <m/>
    <m/>
    <s v="NIPPLE S TYPE L SIZE POSTCURED"/>
    <s v="HEH27NaH27Pb"/>
    <n v="8"/>
    <n v="7036"/>
    <n v="879.5"/>
    <n v="4170"/>
    <n v="4170"/>
    <n v="0"/>
    <n v="0"/>
    <n v="0"/>
    <n v="0"/>
    <n v="0"/>
    <n v="0"/>
    <n v="1"/>
    <n v="4170"/>
    <n v="0.59266628766344509"/>
    <s v="FO013"/>
    <n v="0"/>
    <n v="0"/>
    <s v=" "/>
    <n v="0"/>
    <n v="0"/>
    <n v="1"/>
    <n v="0.6777777777777777"/>
    <n v="7.322222222222222"/>
    <n v="0.91527777777777775"/>
    <n v="521.25"/>
    <n v="2.2999999999999998"/>
    <n v="6.3213429256594722"/>
    <n v="0.36384673748103186"/>
    <n v="0.33302083333333332"/>
    <n v="2819"/>
  </r>
  <r>
    <x v="19"/>
    <s v="B"/>
    <x v="1"/>
    <s v="FO052"/>
    <s v="BM5"/>
    <s v="B1"/>
    <s v="RPP 120ML PINK BOTTLE MOLDED (WM3GB)"/>
    <s v="EH27Bb2"/>
    <n v="4"/>
    <n v="1251.5"/>
    <n v="312.875"/>
    <n v="1180"/>
    <n v="1080"/>
    <n v="2.1"/>
    <n v="47"/>
    <n v="0"/>
    <n v="0"/>
    <n v="45"/>
    <n v="8"/>
    <n v="1"/>
    <n v="1080"/>
    <n v="0.86296444266879746"/>
    <s v="WMG3B"/>
    <n v="22.7"/>
    <n v="28.885999999999999"/>
    <n v="0.84871564079484862"/>
    <n v="0.04"/>
    <n v="3.8304808475957623E-2"/>
    <n v="0.98920863309352514"/>
    <n v="0.76249999999999996"/>
    <n v="3.2374999999999998"/>
    <n v="0.80937499999999996"/>
    <n v="270"/>
    <n v="9"/>
    <n v="10.791666666666666"/>
    <n v="0.83397683397683398"/>
    <n v="0.6677158273381294"/>
    <n v="2820"/>
  </r>
  <r>
    <x v="19"/>
    <s v="B"/>
    <x v="9"/>
    <s v="FO130"/>
    <m/>
    <s v="INJ"/>
    <s v="HOOD S TYPE MOLDED"/>
    <s v="EH27Hb"/>
    <n v="8"/>
    <n v="4137"/>
    <n v="517.125"/>
    <n v="4573"/>
    <n v="4500"/>
    <n v="0"/>
    <n v="45"/>
    <n v="0"/>
    <n v="0"/>
    <n v="28"/>
    <n v="0"/>
    <n v="1"/>
    <n v="4500"/>
    <n v="1.0877447425670776"/>
    <s v="HMC"/>
    <n v="8.6"/>
    <n v="39.327800000000003"/>
    <n v="0.98403673737152852"/>
    <n v="6.183745583038869E-3"/>
    <n v="9.7444781290601992E-3"/>
    <n v="0.97627118644067801"/>
    <n v="0"/>
    <n v="8"/>
    <n v="1"/>
    <n v="562.5"/>
    <n v="6"/>
    <n v="6.4"/>
    <n v="0.9375"/>
    <n v="0.9152542372881356"/>
    <n v="2818"/>
  </r>
  <r>
    <x v="19"/>
    <s v="C"/>
    <x v="0"/>
    <s v="FO013"/>
    <s v="M2"/>
    <s v="L2"/>
    <s v="NIPPLE S TYPE L SIZE INJECTION"/>
    <s v="HEH27Nc"/>
    <n v="8"/>
    <n v="4815"/>
    <n v="601.875"/>
    <n v="5331"/>
    <n v="5200"/>
    <n v="0"/>
    <n v="75"/>
    <n v="0"/>
    <n v="0"/>
    <n v="48"/>
    <n v="8"/>
    <n v="1"/>
    <n v="5200"/>
    <n v="1.0799584631360333"/>
    <s v="Silicon"/>
    <n v="6.8"/>
    <n v="36.250799999999998"/>
    <n v="0.97542674920277628"/>
    <n v="9.1463414634146336E-3"/>
    <n v="1.3873473917869035E-2"/>
    <n v="0.98950360813470373"/>
    <n v="0"/>
    <n v="8"/>
    <n v="1"/>
    <n v="650"/>
    <n v="5.25"/>
    <n v="5.5384615384615383"/>
    <n v="0.94791666666666674"/>
    <n v="0.93796696187768802"/>
    <s v="2822"/>
  </r>
  <r>
    <x v="19"/>
    <s v="C"/>
    <x v="1"/>
    <s v="FO052"/>
    <s v="BM5"/>
    <s v="B1"/>
    <s v="RPP 120ML PINK BOTTLE MOLDED (WM3GB)"/>
    <s v="EH27Bc1"/>
    <n v="8"/>
    <n v="2574"/>
    <n v="321.75"/>
    <n v="3102"/>
    <n v="2880"/>
    <n v="0.12"/>
    <n v="127"/>
    <n v="0"/>
    <n v="0"/>
    <n v="87"/>
    <n v="8"/>
    <n v="1"/>
    <n v="2880"/>
    <n v="1.118881118881119"/>
    <s v="WMG3B"/>
    <n v="22.7"/>
    <n v="70.535399999999996"/>
    <n v="0.92685375003189885"/>
    <n v="2.9322548028311426E-2"/>
    <n v="3.9331062248374113E-2"/>
    <n v="0.98368036015756899"/>
    <n v="0.76249999999999996"/>
    <n v="7.2374999999999998"/>
    <n v="0.90468749999999998"/>
    <n v="360"/>
    <n v="9"/>
    <n v="9.046875"/>
    <n v="0.99481865284974091"/>
    <n v="0.88531232414181205"/>
    <s v="2821"/>
  </r>
  <r>
    <x v="19"/>
    <s v="C"/>
    <x v="9"/>
    <s v="FO130"/>
    <m/>
    <s v="INJ1"/>
    <s v="HOOD S TYPE MOLDED"/>
    <s v="EH27Hc"/>
    <n v="8"/>
    <n v="4137"/>
    <n v="517.125"/>
    <n v="5520"/>
    <n v="5500"/>
    <n v="0"/>
    <n v="0"/>
    <n v="0"/>
    <n v="0"/>
    <n v="12"/>
    <n v="8"/>
    <n v="1"/>
    <n v="5500"/>
    <n v="1.3294657964708727"/>
    <s v="HMC"/>
    <n v="8.6"/>
    <n v="47.472000000000001"/>
    <n v="0.99637681159420277"/>
    <n v="2.1770682148040637E-3"/>
    <n v="0"/>
    <n v="0.99613152804642169"/>
    <n v="0"/>
    <n v="8"/>
    <n v="1"/>
    <n v="687.5"/>
    <n v="6"/>
    <n v="5.2363636363636363"/>
    <n v="1.1458333333333333"/>
    <n v="1.1414007092198581"/>
    <s v="2823"/>
  </r>
  <r>
    <x v="20"/>
    <s v="A"/>
    <x v="1"/>
    <s v="FO052"/>
    <s v="BM4"/>
    <s v="B1"/>
    <s v="RPP 120ML PINK BOTTLE MOLDED (WM3GB)"/>
    <s v="EH28Ba1"/>
    <n v="3.7"/>
    <n v="1200"/>
    <n v="324.32432432432432"/>
    <n v="1132"/>
    <n v="1080"/>
    <n v="0.9"/>
    <n v="27"/>
    <n v="0"/>
    <n v="0"/>
    <n v="17"/>
    <n v="8"/>
    <n v="1"/>
    <n v="1080"/>
    <n v="0.9"/>
    <s v="WMG3B"/>
    <n v="22.7"/>
    <n v="26.596399999999996"/>
    <n v="0.92177888736821534"/>
    <n v="1.5496809480401094E-2"/>
    <n v="2.3295944779982744E-2"/>
    <n v="0.99692028985507242"/>
    <n v="0"/>
    <n v="3.7"/>
    <n v="1"/>
    <n v="291.89189189189187"/>
    <n v="9"/>
    <n v="12.333333333333334"/>
    <n v="0.72972972972972971"/>
    <n v="0.72748237367802582"/>
    <n v="2826"/>
  </r>
  <r>
    <x v="20"/>
    <s v="A"/>
    <x v="2"/>
    <s v="FO017"/>
    <m/>
    <s v="PC1"/>
    <s v="NIPPLE S TYPE L SIZE POSTCURED"/>
    <s v="HEH27NbH28Pa"/>
    <n v="8"/>
    <n v="7036"/>
    <n v="879.5"/>
    <n v="9500"/>
    <n v="9500"/>
    <n v="0"/>
    <n v="0"/>
    <n v="0"/>
    <n v="0"/>
    <n v="0"/>
    <n v="0"/>
    <n v="1"/>
    <n v="9500"/>
    <n v="1.3501989766913018"/>
    <s v="FO013"/>
    <n v="0"/>
    <n v="0"/>
    <s v=" "/>
    <n v="0"/>
    <n v="0"/>
    <n v="1"/>
    <n v="0"/>
    <n v="8"/>
    <n v="1"/>
    <n v="1187.5"/>
    <n v="2.2999999999999998"/>
    <n v="3.0315789473684212"/>
    <n v="0.75868055555555547"/>
    <n v="0.75868055555555547"/>
    <s v="2827/2828/2842"/>
  </r>
  <r>
    <x v="20"/>
    <s v="A"/>
    <x v="1"/>
    <s v="FO054"/>
    <s v="BM4"/>
    <s v="B1"/>
    <s v="RPP 120ML BLUE BOTTLE MOLDED (WM3GB)"/>
    <s v="EH28Ba1"/>
    <n v="4.3"/>
    <n v="1374"/>
    <n v="319.53488372093022"/>
    <n v="1173"/>
    <n v="1080"/>
    <n v="1.1000000000000001"/>
    <n v="57"/>
    <n v="0"/>
    <n v="0"/>
    <n v="20"/>
    <n v="16"/>
    <n v="1"/>
    <n v="1080"/>
    <n v="0.78602620087336239"/>
    <s v="WMG3B"/>
    <n v="22.7"/>
    <n v="27.7271"/>
    <n v="0.88418911462071392"/>
    <n v="1.8181818181818181E-2"/>
    <n v="4.6341463414634146E-2"/>
    <n v="0.99789473684210528"/>
    <n v="1.3555555555555554"/>
    <n v="2.9444444444444446"/>
    <n v="0.68475452196382436"/>
    <n v="251.16279069767444"/>
    <n v="9"/>
    <n v="9.8148148148148149"/>
    <n v="0.91698113207547172"/>
    <n v="0.62658506731946151"/>
    <n v="2845"/>
  </r>
  <r>
    <x v="20"/>
    <s v="A"/>
    <x v="0"/>
    <s v="FO013"/>
    <s v="M2"/>
    <s v="L2"/>
    <s v="NIPPLE S TYPE L SIZE INJECTION"/>
    <s v="HEH28Na"/>
    <n v="8"/>
    <n v="4815"/>
    <n v="601.875"/>
    <n v="5337"/>
    <n v="5200"/>
    <n v="0"/>
    <n v="54"/>
    <n v="0"/>
    <n v="0"/>
    <n v="75"/>
    <n v="8"/>
    <n v="1"/>
    <n v="5200"/>
    <n v="1.0799584631360333"/>
    <s v="Silicon"/>
    <n v="6.8"/>
    <n v="36.291599999999995"/>
    <n v="0.97433014802323414"/>
    <n v="1.4218009478672985E-2"/>
    <n v="1.001669449081803E-2"/>
    <n v="0.93606138107416881"/>
    <n v="0"/>
    <n v="8"/>
    <n v="1"/>
    <n v="650"/>
    <n v="5.25"/>
    <n v="5.5384615384615383"/>
    <n v="0.94791666666666674"/>
    <n v="0.88730818414322254"/>
    <s v="2834/2836"/>
  </r>
  <r>
    <x v="20"/>
    <s v="A"/>
    <x v="3"/>
    <s v="FO021"/>
    <m/>
    <s v="P1"/>
    <s v="NIPPLE S TYPE L SIZE PUNCHED"/>
    <s v="HEH26NcH27Pa"/>
    <n v="8"/>
    <n v="7000"/>
    <n v="875"/>
    <n v="7170"/>
    <n v="7170"/>
    <n v="0"/>
    <n v="0"/>
    <n v="0"/>
    <n v="0"/>
    <n v="0"/>
    <n v="0"/>
    <n v="1"/>
    <n v="7170"/>
    <n v="1.0242857142857142"/>
    <s v="FO017"/>
    <n v="0"/>
    <n v="0"/>
    <s v=" "/>
    <n v="0"/>
    <n v="0"/>
    <n v="1"/>
    <n v="0.6777777777777777"/>
    <n v="7.322222222222222"/>
    <n v="0.91527777777777775"/>
    <n v="896.25"/>
    <n v="3.5"/>
    <n v="3.6764295676429568"/>
    <n v="0.95201062215477994"/>
    <n v="0.87135416666666665"/>
    <s v="2837/2838/2839/2840"/>
  </r>
  <r>
    <x v="20"/>
    <s v="A"/>
    <x v="9"/>
    <s v="FO130"/>
    <m/>
    <s v="INJ-1"/>
    <s v="HOOD S TYPE MOLDED"/>
    <s v="EH28Ha"/>
    <n v="8"/>
    <n v="4137"/>
    <n v="517.125"/>
    <n v="5320"/>
    <n v="5300"/>
    <n v="0"/>
    <n v="0"/>
    <n v="0"/>
    <n v="0"/>
    <n v="12"/>
    <n v="8"/>
    <n v="1"/>
    <n v="5300"/>
    <n v="1.2811215856901137"/>
    <s v="HMC"/>
    <n v="8.6"/>
    <n v="45.752000000000002"/>
    <n v="0.99624060150375926"/>
    <n v="2.2590361445783132E-3"/>
    <n v="0"/>
    <n v="0.99832635983263596"/>
    <n v="0"/>
    <n v="8"/>
    <n v="1"/>
    <n v="662.5"/>
    <n v="6"/>
    <n v="5.4339622641509431"/>
    <n v="1.1041666666666667"/>
    <n v="1.102318688981869"/>
    <n v="2835"/>
  </r>
  <r>
    <x v="20"/>
    <s v="A"/>
    <x v="8"/>
    <s v="FO106"/>
    <m/>
    <s v="LZ1"/>
    <s v="NIPPLE S TYPE L SIZE PUNCHED LASER MARKED"/>
    <s v="HEH26CG22"/>
    <n v="8"/>
    <n v="7000"/>
    <n v="875"/>
    <n v="6470"/>
    <n v="6470"/>
    <n v="0"/>
    <n v="0"/>
    <n v="0"/>
    <n v="0"/>
    <n v="0"/>
    <n v="0"/>
    <n v="1"/>
    <n v="6470"/>
    <n v="0.92428571428571427"/>
    <s v="FO021"/>
    <n v="0"/>
    <n v="0"/>
    <s v=" "/>
    <n v="0"/>
    <n v="0"/>
    <n v="1"/>
    <n v="0.6777777777777777"/>
    <n v="7.322222222222222"/>
    <n v="0.91527777777777775"/>
    <n v="808.75"/>
    <n v="3.5"/>
    <n v="4.0741885625965999"/>
    <n v="0.85906676783004543"/>
    <n v="0.78628472222222212"/>
    <s v="2846/2847"/>
  </r>
  <r>
    <x v="20"/>
    <s v="G"/>
    <x v="4"/>
    <s v="FO110"/>
    <m/>
    <m/>
    <s v="NIPPLE S TYPE L SIZE PUNCHED INSPECTED"/>
    <s v="HEH26BG22"/>
    <n v="8.5"/>
    <n v="14072"/>
    <n v="1655.5294117647059"/>
    <n v="12470"/>
    <n v="12444"/>
    <n v="0"/>
    <n v="0"/>
    <n v="0"/>
    <n v="0"/>
    <n v="26"/>
    <n v="0"/>
    <n v="2"/>
    <n v="6222"/>
    <n v="0.8843092666287663"/>
    <s v="FO106"/>
    <n v="0"/>
    <n v="0"/>
    <s v=" "/>
    <n v="2.0850040096230954E-3"/>
    <n v="0"/>
    <n v="0.9959814528593508"/>
    <n v="0.84722222222222221"/>
    <n v="7.6527777777777777"/>
    <n v="0.90032679738562094"/>
    <n v="1464"/>
    <n v="4"/>
    <n v="4.4278367084538734"/>
    <n v="0.90337568058076223"/>
    <n v="0.81006491499227196"/>
    <n v="2860"/>
  </r>
  <r>
    <x v="20"/>
    <s v="G"/>
    <x v="7"/>
    <s v="FO031"/>
    <m/>
    <s v="WR1"/>
    <s v="NIPPLE S TYPE L SIZE WITH PRINTED WRAP"/>
    <s v="HEH26BG22"/>
    <n v="8.5"/>
    <n v="16032"/>
    <n v="1886.1176470588234"/>
    <n v="11426"/>
    <n v="11423"/>
    <n v="0"/>
    <n v="0"/>
    <n v="0"/>
    <n v="0"/>
    <n v="3"/>
    <n v="0"/>
    <n v="2"/>
    <n v="5711.5"/>
    <n v="0.71251247504990023"/>
    <s v="FO021"/>
    <n v="0"/>
    <n v="0"/>
    <s v=" "/>
    <n v="2.6255907579205323E-4"/>
    <n v="0"/>
    <n v="0.99975942261427431"/>
    <n v="0"/>
    <n v="8.5"/>
    <n v="1"/>
    <n v="1343.8823529411766"/>
    <n v="2.5"/>
    <n v="5.357611835769938"/>
    <n v="0.46662581699346406"/>
    <n v="0.46651355737429967"/>
    <n v="2861"/>
  </r>
  <r>
    <x v="20"/>
    <s v="G"/>
    <x v="6"/>
    <s v="FO006"/>
    <m/>
    <s v="PR1"/>
    <s v="KPP 120 ML BOTTLE PRINTED"/>
    <s v="EH25BC1H28PA"/>
    <n v="4.5"/>
    <n v="2000"/>
    <n v="444.44444444444446"/>
    <n v="1997"/>
    <n v="1986"/>
    <n v="0"/>
    <n v="0"/>
    <n v="26"/>
    <n v="0"/>
    <n v="11"/>
    <n v="0"/>
    <n v="6"/>
    <n v="331"/>
    <n v="0.99299999999999999"/>
    <s v="FO001"/>
    <n v="0"/>
    <n v="0"/>
    <s v=" "/>
    <n v="5.5082623935903859E-3"/>
    <n v="0"/>
    <n v="0.99903728338876252"/>
    <n v="0.84722222222222221"/>
    <n v="3.6527777777777777"/>
    <n v="0.81172839506172834"/>
    <n v="441.33333333333331"/>
    <n v="32.4"/>
    <n v="39.728096676737152"/>
    <n v="0.81554372623574156"/>
    <n v="0.66136268160336076"/>
    <n v="2841"/>
  </r>
  <r>
    <x v="20"/>
    <s v="G"/>
    <x v="6"/>
    <s v="FO087"/>
    <m/>
    <s v="PR1"/>
    <s v="KPP 120 BOTTLE PRINTED (WMG3B) W/O OZ &amp; W/BIS LOGO"/>
    <s v="EH16BC1H28PA"/>
    <n v="2"/>
    <n v="1000"/>
    <n v="500"/>
    <n v="1077"/>
    <n v="1063"/>
    <n v="0"/>
    <n v="0"/>
    <n v="7"/>
    <n v="0"/>
    <n v="14"/>
    <n v="0"/>
    <n v="6"/>
    <n v="177.16666666666666"/>
    <n v="1.0629999999999999"/>
    <s v="FO042"/>
    <n v="0"/>
    <n v="0"/>
    <s v=" "/>
    <n v="1.2999071494893221E-2"/>
    <n v="0"/>
    <n v="0.99298948422633948"/>
    <n v="0.5083333333333333"/>
    <n v="1.4916666666666667"/>
    <n v="0.74583333333333335"/>
    <n v="531.5"/>
    <n v="32.4"/>
    <n v="30.310442144872997"/>
    <n v="1.0689385474860336"/>
    <n v="0.79166086629944932"/>
    <s v="2852/2853"/>
  </r>
  <r>
    <x v="20"/>
    <s v="G"/>
    <x v="6"/>
    <s v="FO102"/>
    <m/>
    <s v="PR1"/>
    <s v="RPP 120ML FLORAL BLUE BOTLE PNTD WM3GB W/BIS LOGO"/>
    <s v="EF28Ba1H28PA"/>
    <n v="2"/>
    <n v="1000"/>
    <n v="500"/>
    <n v="1011"/>
    <n v="1000"/>
    <n v="0"/>
    <n v="0"/>
    <n v="16"/>
    <n v="0"/>
    <n v="11"/>
    <n v="0"/>
    <n v="6"/>
    <n v="166.66666666666666"/>
    <n v="1"/>
    <s v="FO054"/>
    <n v="0"/>
    <n v="0"/>
    <s v=" "/>
    <n v="1.0880316518298714E-2"/>
    <n v="0"/>
    <n v="0.98978644382544101"/>
    <n v="0"/>
    <n v="2"/>
    <n v="1"/>
    <n v="500"/>
    <n v="32.4"/>
    <n v="43.2"/>
    <n v="0.74999999999999989"/>
    <n v="0.74233983286908067"/>
    <s v="PENDING"/>
  </r>
  <r>
    <x v="20"/>
    <s v="B"/>
    <x v="8"/>
    <s v="FO106"/>
    <m/>
    <s v="LZ1"/>
    <s v="NIPPLE S TYPE L SIZE PUNCHED LASER MARKED"/>
    <s v="HEH27AG22"/>
    <n v="8"/>
    <n v="7036"/>
    <n v="879.5"/>
    <n v="6300"/>
    <n v="6300"/>
    <n v="0"/>
    <n v="0"/>
    <n v="0"/>
    <n v="0"/>
    <n v="0"/>
    <n v="0"/>
    <n v="1"/>
    <n v="6300"/>
    <n v="0.89539511085844226"/>
    <s v="FO021"/>
    <n v="0"/>
    <n v="0"/>
    <s v=" "/>
    <n v="0"/>
    <n v="0"/>
    <n v="1"/>
    <n v="0.6777777777777777"/>
    <n v="7.322222222222222"/>
    <n v="0.91527777777777775"/>
    <n v="787.5"/>
    <n v="3.5"/>
    <n v="4.1841269841269844"/>
    <n v="0.83649468892260992"/>
    <n v="0.76562499999999989"/>
    <s v="2857/2865"/>
  </r>
  <r>
    <x v="20"/>
    <s v="B"/>
    <x v="3"/>
    <s v="FO021"/>
    <m/>
    <s v="P1"/>
    <s v="NIPPLE S TYPE L SIZE PUNCHED"/>
    <s v="HEH27NbH27PbH28Pb"/>
    <n v="8"/>
    <n v="7036"/>
    <n v="879.5"/>
    <n v="7300"/>
    <n v="7300"/>
    <n v="0"/>
    <n v="0"/>
    <n v="0"/>
    <n v="0"/>
    <n v="0"/>
    <n v="0"/>
    <n v="1"/>
    <n v="7300"/>
    <n v="1.0375213189312109"/>
    <s v="FO017"/>
    <n v="0"/>
    <n v="0"/>
    <s v=" "/>
    <n v="0"/>
    <n v="0"/>
    <n v="1"/>
    <n v="0.6777777777777777"/>
    <n v="7.322222222222222"/>
    <n v="0.91527777777777775"/>
    <n v="912.5"/>
    <n v="3.5"/>
    <n v="3.6109589041095891"/>
    <n v="0.96927162367223063"/>
    <n v="0.88715277777777768"/>
    <n v="2864"/>
  </r>
  <r>
    <x v="20"/>
    <s v="B"/>
    <x v="2"/>
    <s v="FO017"/>
    <m/>
    <s v="P1"/>
    <s v="NIPPLE S TYPE L SIZE POSTCURED"/>
    <s v="HEH28NaH28Pb"/>
    <n v="8"/>
    <n v="7036"/>
    <n v="879.5"/>
    <n v="5200"/>
    <n v="5200"/>
    <n v="0"/>
    <n v="0"/>
    <n v="0"/>
    <n v="0"/>
    <n v="0"/>
    <n v="0"/>
    <n v="1"/>
    <n v="5200"/>
    <n v="0.73905628197839679"/>
    <s v="FO013"/>
    <n v="0"/>
    <n v="0"/>
    <s v=" "/>
    <n v="0"/>
    <n v="0"/>
    <n v="1"/>
    <n v="2.7111111111111108"/>
    <n v="5.2888888888888896"/>
    <n v="0.6611111111111112"/>
    <n v="650"/>
    <n v="2.2999999999999998"/>
    <n v="3.6615384615384623"/>
    <n v="0.62815126050420145"/>
    <n v="0.41527777777777769"/>
    <s v="2863/2869"/>
  </r>
  <r>
    <x v="20"/>
    <s v="B"/>
    <x v="0"/>
    <s v="FO013"/>
    <s v="M2"/>
    <s v="L2"/>
    <s v="NIPPLE S TYPE L SIZE INJECTION"/>
    <s v="HEH28Nb"/>
    <n v="8"/>
    <n v="4815"/>
    <n v="601.875"/>
    <n v="5557"/>
    <n v="5500"/>
    <n v="0"/>
    <n v="0"/>
    <n v="0"/>
    <n v="0"/>
    <n v="57"/>
    <n v="0"/>
    <n v="1"/>
    <n v="5500"/>
    <n v="1.142263759086189"/>
    <s v="Silicon"/>
    <n v="6.8"/>
    <n v="37.787599999999998"/>
    <n v="0.98974266690660428"/>
    <n v="1.0257333093395717E-2"/>
    <n v="0"/>
    <n v="0.98903846153846153"/>
    <n v="0"/>
    <n v="8"/>
    <n v="1"/>
    <n v="687.5"/>
    <n v="5.25"/>
    <n v="5.2363636363636363"/>
    <n v="1.0026041666666667"/>
    <n v="0.9916140825320513"/>
    <n v="2867"/>
  </r>
  <r>
    <x v="20"/>
    <s v="B"/>
    <x v="1"/>
    <s v="FO054"/>
    <s v="BM4"/>
    <s v="B1"/>
    <s v="RPP 120ML BLUE BOTTLE MOLDED (WM3GB)"/>
    <s v="EH28Bb1"/>
    <n v="8"/>
    <n v="2503"/>
    <n v="312.875"/>
    <n v="2831"/>
    <n v="2700"/>
    <n v="0.3"/>
    <n v="57"/>
    <n v="0"/>
    <n v="0"/>
    <n v="74"/>
    <n v="0"/>
    <n v="1"/>
    <n v="2700"/>
    <n v="1.0787055533359968"/>
    <s v="WMG3B"/>
    <n v="22.7"/>
    <n v="64.563699999999997"/>
    <n v="0.94929503730424358"/>
    <n v="2.6676279740447006E-2"/>
    <n v="1.9736842105263157E-2"/>
    <n v="0.98668346229980208"/>
    <n v="0"/>
    <n v="8"/>
    <n v="1"/>
    <n v="337.5"/>
    <n v="9"/>
    <n v="10.666666666666666"/>
    <n v="0.84375"/>
    <n v="0.83251417131545802"/>
    <n v="2868"/>
  </r>
  <r>
    <x v="20"/>
    <s v="B"/>
    <x v="9"/>
    <s v="FO130"/>
    <m/>
    <s v="INJ1"/>
    <s v="HOOD S TYPE MOLDED"/>
    <s v="EH28Hb"/>
    <n v="8"/>
    <n v="4137"/>
    <n v="517.125"/>
    <n v="5020"/>
    <n v="5000"/>
    <n v="0"/>
    <n v="0"/>
    <n v="0"/>
    <n v="0"/>
    <n v="20"/>
    <n v="0"/>
    <n v="1"/>
    <n v="5000"/>
    <n v="1.2086052695189751"/>
    <s v="HMC"/>
    <n v="8.6"/>
    <n v="43.171999999999997"/>
    <n v="0.99601593625498019"/>
    <n v="3.9840637450199202E-3"/>
    <n v="0"/>
    <n v="0.99293535853055459"/>
    <n v="0"/>
    <n v="8"/>
    <n v="1"/>
    <n v="625"/>
    <n v="6"/>
    <n v="5.76"/>
    <n v="1.0416666666666667"/>
    <n v="1.0343076651359944"/>
    <n v="2866"/>
  </r>
  <r>
    <x v="20"/>
    <s v="C"/>
    <x v="1"/>
    <s v="FO054"/>
    <s v="BM4"/>
    <s v="B1"/>
    <s v="RPP 120ML BLUE BOTTLE MOLDED (WM3GB)"/>
    <s v="EH28Bc1"/>
    <n v="3.3"/>
    <n v="1200"/>
    <n v="363.63636363636368"/>
    <n v="1316"/>
    <n v="1260"/>
    <n v="0.28000000000000003"/>
    <n v="28"/>
    <n v="0"/>
    <n v="0"/>
    <n v="20"/>
    <n v="8"/>
    <n v="1"/>
    <n v="1260"/>
    <n v="1.05"/>
    <s v="WMG3B"/>
    <n v="22.7"/>
    <n v="30.153199999999998"/>
    <n v="0.94855604048658182"/>
    <n v="1.5625E-2"/>
    <n v="2.0833333333333332E-2"/>
    <n v="0.99601593625498008"/>
    <n v="0.1525"/>
    <n v="3.1475"/>
    <n v="0.95378787878787885"/>
    <n v="381.81818181818181"/>
    <n v="9"/>
    <n v="8.992857142857142"/>
    <n v="1.0007942811755361"/>
    <n v="0.95074248460702648"/>
    <s v="2870"/>
  </r>
  <r>
    <x v="20"/>
    <s v="C"/>
    <x v="0"/>
    <s v="FO013"/>
    <s v="M2"/>
    <s v="L2"/>
    <s v="NIPPLE S TYPE L SIZE INJECTION"/>
    <s v="HEH28Nc"/>
    <n v="8"/>
    <n v="4815"/>
    <n v="601.875"/>
    <n v="4313"/>
    <n v="4210"/>
    <n v="0.44800000000000001"/>
    <n v="41"/>
    <n v="0"/>
    <n v="0"/>
    <n v="54"/>
    <n v="8"/>
    <n v="1"/>
    <n v="4210"/>
    <n v="0.87435098650051923"/>
    <s v="Silicon"/>
    <n v="6.8"/>
    <n v="29.776399999999999"/>
    <n v="0.96143254389382204"/>
    <n v="1.2664165103189493E-2"/>
    <n v="9.416628387689481E-3"/>
    <n v="0.95896656534954405"/>
    <n v="1.7791666666666666"/>
    <n v="6.2208333333333332"/>
    <n v="0.77760416666666665"/>
    <n v="526.25"/>
    <n v="5.25"/>
    <n v="5.3194774346793352"/>
    <n v="0.98693904889484252"/>
    <n v="0.73595689273049636"/>
    <s v="2871"/>
  </r>
  <r>
    <x v="20"/>
    <s v="C"/>
    <x v="9"/>
    <s v="FO130"/>
    <m/>
    <s v="INJ1"/>
    <s v="HOOD S TYPE MOLDED"/>
    <s v="EH28Hc"/>
    <n v="8"/>
    <n v="4137"/>
    <n v="517.125"/>
    <n v="5512"/>
    <n v="5500"/>
    <n v="0"/>
    <n v="0"/>
    <n v="0"/>
    <n v="0"/>
    <n v="4"/>
    <n v="8"/>
    <n v="1"/>
    <n v="5500"/>
    <n v="1.3294657964708727"/>
    <s v="HMC"/>
    <n v="8.6"/>
    <n v="47.403199999999998"/>
    <n v="0.99782293178519588"/>
    <n v="7.2674418604651162E-4"/>
    <n v="0"/>
    <n v="0.99907257129608162"/>
    <n v="0"/>
    <n v="8"/>
    <n v="1"/>
    <n v="687.5"/>
    <n v="6"/>
    <n v="5.2363636363636363"/>
    <n v="1.1458333333333333"/>
    <n v="1.1447706546100935"/>
    <n v="2875"/>
  </r>
  <r>
    <x v="21"/>
    <s v="A"/>
    <x v="2"/>
    <s v="FO017"/>
    <m/>
    <m/>
    <s v="NIPPLE S TYPE L SIZE POSTCURED"/>
    <s v="HEH28NCH31Pa"/>
    <n v="8"/>
    <n v="7036"/>
    <n v="879.5"/>
    <n v="6710"/>
    <n v="6710"/>
    <n v="0"/>
    <n v="0"/>
    <n v="0"/>
    <n v="0"/>
    <n v="0"/>
    <n v="0"/>
    <n v="1"/>
    <n v="6710"/>
    <n v="0.9536668561682774"/>
    <s v="FO013"/>
    <n v="0"/>
    <n v="0"/>
    <s v=" "/>
    <n v="0"/>
    <n v="0"/>
    <n v="1"/>
    <n v="0"/>
    <n v="8"/>
    <n v="1"/>
    <n v="838.75"/>
    <n v="2.2999999999999998"/>
    <n v="4.2921013412816693"/>
    <n v="0.5358680555555555"/>
    <n v="0.5358680555555555"/>
    <s v="2873/2874"/>
  </r>
  <r>
    <x v="21"/>
    <s v="A"/>
    <x v="0"/>
    <s v="FO013"/>
    <s v="M2"/>
    <s v="L2"/>
    <s v="NIPPLE S TYPE L SIZE INJECTION"/>
    <s v="HEH31Na"/>
    <n v="8"/>
    <n v="4815"/>
    <n v="601.875"/>
    <n v="4160"/>
    <n v="4000"/>
    <n v="1.2"/>
    <n v="102"/>
    <n v="0"/>
    <n v="0"/>
    <n v="50"/>
    <n v="8"/>
    <n v="1"/>
    <n v="4000"/>
    <n v="0.83073727933541019"/>
    <s v="Silicon"/>
    <n v="6.8"/>
    <n v="29.487999999999996"/>
    <n v="0.92240911557243632"/>
    <n v="1.2345679012345678E-2"/>
    <n v="2.3932426091037073E-2"/>
    <n v="0.99254843517138602"/>
    <n v="2.0333333333333332"/>
    <n v="5.9666666666666668"/>
    <n v="0.74583333333333335"/>
    <n v="500"/>
    <n v="5.25"/>
    <n v="5.37"/>
    <n v="0.97765363128491622"/>
    <n v="0.72373323397913569"/>
    <n v="2887"/>
  </r>
  <r>
    <x v="21"/>
    <s v="A"/>
    <x v="3"/>
    <s v="FO021"/>
    <m/>
    <s v="P1"/>
    <s v="NIPPLE S TYPE L SIZE PUNCHED"/>
    <m/>
    <n v="8"/>
    <n v="7036"/>
    <n v="879.5"/>
    <n v="6400"/>
    <n v="6400"/>
    <n v="0"/>
    <n v="0"/>
    <n v="0"/>
    <n v="0"/>
    <n v="0"/>
    <n v="0"/>
    <n v="1"/>
    <n v="6400"/>
    <n v="0.90960773166571918"/>
    <s v="FO017"/>
    <n v="0"/>
    <n v="0"/>
    <s v=" "/>
    <n v="0"/>
    <n v="0"/>
    <n v="1"/>
    <n v="0.6777777777777777"/>
    <n v="7.322222222222222"/>
    <n v="0.91527777777777775"/>
    <n v="800"/>
    <n v="3.5"/>
    <n v="4.1187500000000004"/>
    <n v="0.84977238239757202"/>
    <n v="0.77777777777777768"/>
    <s v="2881/2882"/>
  </r>
  <r>
    <x v="21"/>
    <s v="A"/>
    <x v="8"/>
    <s v="FO106"/>
    <m/>
    <s v="LZ1"/>
    <s v="NIPPLE S TYPE L SIZE PUNCHED LASER MARKED"/>
    <s v="HEH27CG22"/>
    <n v="8"/>
    <n v="7036"/>
    <n v="879.5"/>
    <n v="3000"/>
    <n v="3000"/>
    <n v="0"/>
    <n v="0"/>
    <n v="0"/>
    <n v="0"/>
    <n v="0"/>
    <n v="0"/>
    <n v="1"/>
    <n v="3000"/>
    <n v="0.42637862421830586"/>
    <s v="FO021"/>
    <n v="0"/>
    <n v="0"/>
    <s v=" "/>
    <n v="0"/>
    <n v="0"/>
    <n v="1"/>
    <n v="4.7444444444444445"/>
    <n v="3.2555555555555555"/>
    <n v="0.40694444444444444"/>
    <n v="375"/>
    <n v="3.5"/>
    <n v="3.9066666666666667"/>
    <n v="0.89590443686006827"/>
    <n v="0.36458333333333331"/>
    <n v="2878"/>
  </r>
  <r>
    <x v="21"/>
    <s v="A"/>
    <x v="9"/>
    <s v="FO130"/>
    <m/>
    <s v="INJ1"/>
    <s v="HOOD S TYPE MOLDED"/>
    <s v="EH31Ha"/>
    <n v="8"/>
    <n v="4137"/>
    <n v="517.125"/>
    <n v="4545"/>
    <n v="4500"/>
    <n v="0.35"/>
    <n v="25"/>
    <n v="0"/>
    <n v="0"/>
    <n v="12"/>
    <n v="8"/>
    <n v="1"/>
    <n v="4500"/>
    <n v="1.0877447425670776"/>
    <s v="HMC"/>
    <n v="8.6"/>
    <n v="39.437000000000005"/>
    <n v="0.98131196592032854"/>
    <n v="2.6595744680851063E-3"/>
    <n v="5.4704595185995622E-3"/>
    <n v="0.996"/>
    <n v="0"/>
    <n v="8"/>
    <n v="1"/>
    <n v="562.5"/>
    <n v="6"/>
    <n v="6.4"/>
    <n v="0.9375"/>
    <n v="0.93374999999999997"/>
    <n v="2885"/>
  </r>
  <r>
    <x v="21"/>
    <s v="G"/>
    <x v="7"/>
    <s v="FO029"/>
    <m/>
    <s v="WR1"/>
    <s v="NIPPLE S TYPE S SIZE WITH PRINTED WRAP"/>
    <s v="HEH11BG22"/>
    <n v="8.5"/>
    <n v="16132"/>
    <n v="1897.8823529411766"/>
    <n v="18229"/>
    <n v="18229"/>
    <n v="0"/>
    <n v="0"/>
    <n v="0"/>
    <n v="0"/>
    <n v="0"/>
    <n v="0"/>
    <n v="1"/>
    <n v="18229"/>
    <n v="1.1299900818249442"/>
    <s v="FO108"/>
    <n v="0"/>
    <n v="0"/>
    <s v=" "/>
    <n v="0"/>
    <n v="0"/>
    <n v="1"/>
    <n v="0.84722222222222221"/>
    <n v="7.6527777777777777"/>
    <n v="0.90032679738562094"/>
    <n v="2144.5882352941176"/>
    <n v="2.5"/>
    <n v="1.5113281035712327"/>
    <n v="1.654174228675136"/>
    <n v="1.4892973856209148"/>
    <s v="2898/2899/2900/2901"/>
  </r>
  <r>
    <x v="21"/>
    <s v="G"/>
    <x v="4"/>
    <s v="FO110"/>
    <m/>
    <m/>
    <s v="NIPPLE S TYPE L SIZE PUNCHED INSPECTED"/>
    <s v="HEH27NbH28PaH28Pb"/>
    <n v="8.5"/>
    <n v="7036"/>
    <n v="827.76470588235293"/>
    <n v="7300"/>
    <n v="7222"/>
    <n v="0"/>
    <n v="0"/>
    <n v="0"/>
    <n v="0"/>
    <n v="78"/>
    <n v="0"/>
    <n v="1"/>
    <n v="7222"/>
    <n v="1.026435474701535"/>
    <s v="FO106"/>
    <n v="0"/>
    <n v="0"/>
    <s v=" "/>
    <n v="1.0684931506849316E-2"/>
    <n v="0"/>
    <n v="0.99572110373580558"/>
    <n v="0.84722222222222221"/>
    <n v="7.6527777777777777"/>
    <n v="0.90032679738562094"/>
    <n v="849.64705882352939"/>
    <n v="4"/>
    <n v="3.814732761008031"/>
    <n v="1.0485662431941924"/>
    <n v="0.94001278577516179"/>
    <s v="2902/2903"/>
  </r>
  <r>
    <x v="21"/>
    <s v="B"/>
    <x v="0"/>
    <s v="FO013"/>
    <s v="M2"/>
    <s v="L2"/>
    <s v="NIPPLE S TYPE L SIZE INJECTION"/>
    <s v="HEH31Nb"/>
    <n v="8"/>
    <n v="4815"/>
    <n v="601.875"/>
    <n v="4385"/>
    <n v="4300"/>
    <n v="0.4"/>
    <n v="30"/>
    <n v="0"/>
    <n v="0"/>
    <n v="55"/>
    <n v="0"/>
    <n v="1"/>
    <n v="4300"/>
    <n v="0.89304257528556596"/>
    <s v="Silicon"/>
    <n v="6.8"/>
    <n v="30.217999999999996"/>
    <n v="0.96763518432722229"/>
    <n v="1.2629161882893225E-2"/>
    <n v="6.7950169875424689E-3"/>
    <n v="0.99246575342465748"/>
    <n v="0"/>
    <n v="8"/>
    <n v="1"/>
    <n v="537.5"/>
    <n v="5.25"/>
    <n v="6.6976744186046515"/>
    <n v="0.78385416666666663"/>
    <n v="0.77794841609589038"/>
    <n v="2904"/>
  </r>
  <r>
    <x v="21"/>
    <s v="B"/>
    <x v="3"/>
    <s v="FO021"/>
    <m/>
    <s v="P1"/>
    <s v="NIPPLE S TYPE L SIZE PUNCHED"/>
    <s v="HEH28NbH28PbH31Pb"/>
    <n v="8"/>
    <n v="7000"/>
    <n v="875"/>
    <n v="7500"/>
    <n v="7500"/>
    <n v="0"/>
    <n v="0"/>
    <n v="0"/>
    <n v="0"/>
    <n v="0"/>
    <n v="0"/>
    <n v="1"/>
    <n v="7500"/>
    <n v="1.0714285714285714"/>
    <s v="FO017"/>
    <n v="0"/>
    <n v="0"/>
    <s v=" "/>
    <n v="0"/>
    <n v="0"/>
    <n v="1"/>
    <n v="0.6777777777777777"/>
    <n v="7.322222222222222"/>
    <n v="0.91527777777777775"/>
    <n v="937.5"/>
    <n v="3.5"/>
    <n v="3.5146666666666668"/>
    <n v="0.99582701062215473"/>
    <n v="0.91145833333333326"/>
    <s v="2905/2906"/>
  </r>
  <r>
    <x v="21"/>
    <s v="B"/>
    <x v="9"/>
    <s v="FO130"/>
    <m/>
    <s v="INJ-1"/>
    <s v="HOOD S TYPE MOLDED"/>
    <s v="EH31Hb"/>
    <n v="8"/>
    <n v="4137"/>
    <n v="517.125"/>
    <n v="4506"/>
    <n v="4500"/>
    <n v="0"/>
    <n v="0"/>
    <n v="0"/>
    <n v="0"/>
    <n v="6"/>
    <n v="0"/>
    <n v="1"/>
    <n v="4500"/>
    <n v="1.0877447425670776"/>
    <s v="HMC"/>
    <n v="8.6"/>
    <n v="38.751600000000003"/>
    <n v="0.99866844207723038"/>
    <n v="1.3315579227696406E-3"/>
    <n v="0"/>
    <n v="0.99919999999999998"/>
    <n v="0"/>
    <n v="8"/>
    <n v="1"/>
    <n v="562.5"/>
    <n v="6"/>
    <n v="6.4"/>
    <n v="0.9375"/>
    <n v="0.93674999999999997"/>
    <n v="2907"/>
  </r>
  <r>
    <x v="21"/>
    <s v="B"/>
    <x v="2"/>
    <s v="FO017"/>
    <m/>
    <s v="PC1"/>
    <s v="NIPPLE S TYPE L SIZE POSTCURED"/>
    <s v="HEH31NaH31Pb"/>
    <n v="4"/>
    <n v="4000"/>
    <n v="1000"/>
    <n v="4000"/>
    <n v="4000"/>
    <n v="0"/>
    <n v="0"/>
    <n v="0"/>
    <n v="0"/>
    <n v="0"/>
    <n v="0"/>
    <n v="1"/>
    <n v="4000"/>
    <n v="1"/>
    <s v="FO013"/>
    <n v="0"/>
    <n v="0"/>
    <s v=" "/>
    <n v="0"/>
    <n v="0"/>
    <n v="1"/>
    <n v="0"/>
    <n v="4"/>
    <n v="1"/>
    <n v="1000"/>
    <n v="2.2999999999999998"/>
    <n v="3.6"/>
    <n v="0.63888888888888884"/>
    <n v="0.63888888888888884"/>
    <n v="2908"/>
  </r>
  <r>
    <x v="21"/>
    <s v="G"/>
    <x v="6"/>
    <s v="FO058"/>
    <m/>
    <m/>
    <s v="RPP 120ML BOY BLUE BOTTLE PRINTED (WM3GB)"/>
    <s v="EH28Ba1H31Pa"/>
    <n v="3"/>
    <n v="650"/>
    <n v="216.66666666666666"/>
    <n v="682"/>
    <n v="670"/>
    <n v="0"/>
    <n v="0"/>
    <n v="7"/>
    <n v="0"/>
    <n v="12"/>
    <n v="0"/>
    <n v="6"/>
    <n v="111.66666666666667"/>
    <n v="1.0307692307692307"/>
    <s v="FO054"/>
    <n v="0"/>
    <n v="0"/>
    <s v=" "/>
    <n v="1.7595307917888565E-2"/>
    <n v="0"/>
    <n v="0.997"/>
    <n v="1.0166666666666666"/>
    <n v="1.9833333333333334"/>
    <n v="0.66111111111111109"/>
    <n v="223.33333333333334"/>
    <n v="32.4"/>
    <n v="63.940298507462686"/>
    <n v="0.50672268907563023"/>
    <n v="0.33399499999999999"/>
    <s v="PENDING"/>
  </r>
  <r>
    <x v="21"/>
    <s v="G"/>
    <x v="6"/>
    <s v="FO056"/>
    <m/>
    <m/>
    <s v="RPP 120ML GIRL PINK BOTTLE PRINTED (WM3GB)"/>
    <s v="EH27Bb1H31Pa"/>
    <n v="4"/>
    <n v="1100"/>
    <n v="275"/>
    <n v="1193"/>
    <n v="1171"/>
    <n v="0"/>
    <n v="0"/>
    <n v="18"/>
    <n v="0"/>
    <n v="22"/>
    <n v="0"/>
    <n v="6"/>
    <n v="195.16666666666666"/>
    <n v="1.0645454545454545"/>
    <s v="FO052"/>
    <n v="0"/>
    <n v="0"/>
    <s v=" "/>
    <n v="1.8440905280804692E-2"/>
    <n v="0"/>
    <n v="0.967741935483871"/>
    <n v="1.0166666666666666"/>
    <n v="2.9833333333333334"/>
    <n v="0.74583333333333335"/>
    <n v="292.75"/>
    <n v="32.4"/>
    <n v="55.029888983774548"/>
    <n v="0.58877094972067046"/>
    <n v="0.42495967741935492"/>
    <s v="PENDING"/>
  </r>
  <r>
    <x v="21"/>
    <s v="G"/>
    <x v="6"/>
    <s v="FO092"/>
    <m/>
    <m/>
    <s v="RPP 120ML GRL PNK BOTLE PNTD WM3GB W/BIS LOGO"/>
    <s v="EH27Bb1H31Pa"/>
    <n v="0.1"/>
    <n v="7"/>
    <n v="70"/>
    <n v="7"/>
    <n v="7"/>
    <n v="0"/>
    <n v="0"/>
    <n v="0"/>
    <n v="0"/>
    <n v="0"/>
    <n v="0"/>
    <n v="1"/>
    <n v="7"/>
    <n v="1"/>
    <s v="FO052"/>
    <n v="0"/>
    <n v="0"/>
    <s v=" "/>
    <n v="0"/>
    <n v="0"/>
    <n v="1"/>
    <n v="0"/>
    <n v="0.1"/>
    <n v="1"/>
    <n v="70"/>
    <n v="32.4"/>
    <n v="51.428571428571431"/>
    <n v="0.62999999999999989"/>
    <n v="0.62999999999999989"/>
    <s v="PENDING"/>
  </r>
  <r>
    <x v="21"/>
    <s v="G"/>
    <x v="6"/>
    <s v="FO094"/>
    <m/>
    <m/>
    <s v="RPP 120ML BOY BLUE BOTLE PNTD WM3GB W/BIS LOGO"/>
    <s v="EH28Bb1H31Pa"/>
    <n v="0.1"/>
    <n v="51"/>
    <n v="510"/>
    <n v="51"/>
    <n v="51"/>
    <n v="0"/>
    <n v="0"/>
    <n v="0"/>
    <n v="0"/>
    <n v="0"/>
    <n v="0"/>
    <n v="1"/>
    <n v="51"/>
    <n v="1"/>
    <s v="FO054"/>
    <n v="0"/>
    <n v="0"/>
    <s v=" "/>
    <n v="0"/>
    <n v="0"/>
    <n v="1"/>
    <n v="0"/>
    <n v="0.1"/>
    <n v="1"/>
    <n v="510"/>
    <n v="32.4"/>
    <n v="7.0588235294117645"/>
    <n v="4.59"/>
    <n v="4.59"/>
    <s v="PENDING"/>
  </r>
  <r>
    <x v="21"/>
    <s v="G"/>
    <x v="6"/>
    <s v="FO008"/>
    <m/>
    <m/>
    <s v="KPP 240 ML BOTTLE PRINTED"/>
    <s v="EH19Bb2H31Pa"/>
    <n v="1.2999999999999998"/>
    <n v="630"/>
    <n v="484.6153846153847"/>
    <n v="600"/>
    <n v="595"/>
    <n v="0"/>
    <n v="0"/>
    <n v="0"/>
    <n v="0"/>
    <n v="5"/>
    <n v="0"/>
    <n v="6"/>
    <n v="99.166666666666671"/>
    <n v="0.94444444444444442"/>
    <s v="FO003"/>
    <n v="0"/>
    <n v="0"/>
    <s v=" "/>
    <n v="8.3333333333333332E-3"/>
    <n v="0"/>
    <n v="0.90196078431372551"/>
    <n v="0.6777777777777777"/>
    <n v="0.62222222222222212"/>
    <n v="0.4786324786324786"/>
    <n v="457.69230769230774"/>
    <n v="32.4"/>
    <n v="22.588235294117641"/>
    <n v="1.4343750000000004"/>
    <n v="0.61923076923076936"/>
    <s v="PENDING"/>
  </r>
  <r>
    <x v="22"/>
    <m/>
    <x v="10"/>
    <m/>
    <m/>
    <m/>
    <s v=""/>
    <m/>
    <m/>
    <m/>
    <n v="0"/>
    <n v="0"/>
    <m/>
    <m/>
    <m/>
    <m/>
    <m/>
    <m/>
    <m/>
    <m/>
    <n v="0"/>
    <e v="#DIV/0!"/>
    <n v="0"/>
    <n v="0"/>
    <n v="0"/>
    <s v=" "/>
    <n v="0"/>
    <n v="0"/>
    <n v="1"/>
    <n v="0"/>
    <n v="0"/>
    <s v=" "/>
    <n v="0"/>
    <e v="#N/A"/>
    <e v="#DIV/0!"/>
    <e v="#N/A"/>
    <e v="#N/A"/>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0"/>
    <m/>
    <m/>
    <m/>
    <s v=""/>
    <m/>
    <m/>
    <m/>
    <n v="0"/>
    <n v="0"/>
    <m/>
    <m/>
    <m/>
    <m/>
    <m/>
    <m/>
    <m/>
    <m/>
    <n v="0"/>
    <e v="#DIV/0!"/>
    <n v="0"/>
    <n v="0"/>
    <n v="0"/>
    <s v=" "/>
    <n v="0"/>
    <n v="0"/>
    <e v="#DIV/0!"/>
    <n v="0"/>
    <n v="0"/>
    <s v=" "/>
    <n v="0"/>
    <e v="#N/A"/>
    <e v="#DIV/0!"/>
    <e v="#N/A"/>
    <e v="#DIV/0!"/>
    <m/>
  </r>
  <r>
    <x v="22"/>
    <m/>
    <x v="11"/>
    <m/>
    <m/>
    <m/>
    <s v=""/>
    <m/>
    <m/>
    <m/>
    <n v="0"/>
    <m/>
    <m/>
    <m/>
    <m/>
    <m/>
    <m/>
    <m/>
    <m/>
    <m/>
    <n v="0"/>
    <e v="#DIV/0!"/>
    <n v="0"/>
    <n v="0"/>
    <n v="0"/>
    <s v=" "/>
    <n v="0"/>
    <n v="0"/>
    <e v="#DIV/0!"/>
    <n v="0"/>
    <n v="0"/>
    <s v=" "/>
    <n v="0"/>
    <e v="#N/A"/>
    <e v="#DIV/0!"/>
    <e v="#N/A"/>
    <e v="#DIV/0!"/>
    <m/>
  </r>
  <r>
    <x v="22"/>
    <m/>
    <x v="11"/>
    <m/>
    <m/>
    <m/>
    <m/>
    <m/>
    <m/>
    <m/>
    <m/>
    <m/>
    <m/>
    <m/>
    <m/>
    <m/>
    <m/>
    <m/>
    <m/>
    <m/>
    <m/>
    <m/>
    <m/>
    <m/>
    <m/>
    <m/>
    <m/>
    <m/>
    <m/>
    <m/>
    <m/>
    <m/>
    <m/>
    <m/>
    <m/>
    <m/>
    <m/>
    <m/>
  </r>
  <r>
    <x v="22"/>
    <m/>
    <x v="11"/>
    <m/>
    <m/>
    <m/>
    <m/>
    <m/>
    <m/>
    <m/>
    <m/>
    <m/>
    <m/>
    <m/>
    <m/>
    <m/>
    <m/>
    <m/>
    <m/>
    <m/>
    <m/>
    <m/>
    <m/>
    <m/>
    <m/>
    <m/>
    <m/>
    <m/>
    <m/>
    <m/>
    <m/>
    <m/>
    <m/>
    <m/>
    <m/>
    <m/>
    <m/>
    <m/>
  </r>
  <r>
    <x v="23"/>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r>
    <x v="22"/>
    <m/>
    <x v="11"/>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350">
  <r>
    <d v="2021-08-02T00:00:00"/>
    <s v="B"/>
    <x v="0"/>
    <s v="FO012"/>
    <s v="M2"/>
    <s v="L2"/>
    <s v="NIPPLE S TYPE M SIZE INJECTION"/>
    <s v="HEH02Nb"/>
    <s v="Saurav"/>
    <n v="8"/>
    <n v="4815"/>
    <n v="601.875"/>
    <n v="6618"/>
    <n v="4330"/>
    <n v="0.8"/>
    <n v="2137"/>
    <n v="0"/>
    <n v="0"/>
    <n v="135"/>
    <n v="16"/>
    <n v="1"/>
    <n v="4330"/>
    <n v="0.89927310488058154"/>
    <s v="Silicon"/>
    <n v="6.8"/>
    <n v="45.802399999999992"/>
    <n v="0.64284840969032198"/>
    <n v="3.0235162374020158E-2"/>
    <n v="0.24408909194745859"/>
    <n v="0.97960108794197642"/>
    <n v="1"/>
    <n v="7"/>
    <n v="0.875"/>
    <n v="541.25"/>
    <n v="5.25"/>
    <n v="5.8198614318706694"/>
    <n v="0.90208333333333335"/>
    <n v="0.7732215879042007"/>
    <s v="2176"/>
    <s v="Nipple sticking at cavity due to polishing done during this preventive maintenance"/>
    <n v="0"/>
    <n v="0"/>
    <n v="0"/>
    <n v="0"/>
    <n v="0"/>
    <n v="0"/>
    <n v="0"/>
    <n v="60"/>
    <n v="0"/>
    <n v="0"/>
    <n v="0"/>
    <n v="0"/>
    <n v="0"/>
    <n v="0"/>
    <n v="0"/>
    <n v="0"/>
    <n v="0"/>
    <n v="0"/>
    <n v="0"/>
    <n v="0"/>
    <n v="0"/>
    <n v="0"/>
    <n v="0"/>
    <n v="0"/>
    <n v="0"/>
    <n v="0"/>
    <n v="0"/>
    <n v="0"/>
    <n v="1"/>
    <n v="1.0166666666666666"/>
  </r>
  <r>
    <d v="2021-08-02T00:00:00"/>
    <s v="B"/>
    <x v="1"/>
    <s v="FO004"/>
    <s v="BM1"/>
    <s v="B1"/>
    <s v="RPP 120 ML BOTTLE MOLDED"/>
    <s v="EH02Bb1"/>
    <s v="Saurav"/>
    <n v="8"/>
    <n v="2574"/>
    <n v="321.75"/>
    <n v="2381"/>
    <n v="2160"/>
    <n v="0.2"/>
    <n v="173"/>
    <n v="0"/>
    <n v="0"/>
    <n v="40"/>
    <n v="8"/>
    <n v="1"/>
    <n v="2160"/>
    <n v="0.83916083916083917"/>
    <s v="HMC"/>
    <n v="22.7"/>
    <n v="54.248699999999999"/>
    <n v="0.90383732697742059"/>
    <n v="1.8181818181818181E-2"/>
    <n v="6.773688332028191E-2"/>
    <n v="0.98320033599328016"/>
    <n v="2.5"/>
    <n v="5.5"/>
    <n v="0.6875"/>
    <n v="270"/>
    <n v="9"/>
    <n v="9.1666666666666661"/>
    <n v="0.98181818181818192"/>
    <n v="0.66366022679546421"/>
    <s v="2175/2177"/>
    <s v="Condensation,Fume,Bubble at thread area replaced with old lip cavity"/>
    <n v="0"/>
    <n v="0"/>
    <n v="120"/>
    <n v="0"/>
    <n v="0"/>
    <n v="0"/>
    <n v="0"/>
    <n v="30"/>
    <n v="0"/>
    <n v="0"/>
    <n v="0"/>
    <n v="0"/>
    <n v="0"/>
    <n v="0"/>
    <n v="0"/>
    <n v="0"/>
    <n v="0"/>
    <n v="0"/>
    <n v="0"/>
    <n v="0"/>
    <n v="0"/>
    <n v="0"/>
    <n v="0"/>
    <n v="0"/>
    <n v="0"/>
    <n v="0"/>
    <n v="0"/>
    <n v="0"/>
    <n v="2.5"/>
    <n v="2.5416666666666665"/>
  </r>
  <r>
    <d v="2021-08-02T00:00:00"/>
    <s v="B"/>
    <x v="2"/>
    <s v="FO016"/>
    <m/>
    <s v="PC1"/>
    <s v="NIPPLE S TYPE M SIZE POSTCURED"/>
    <s v="HEH02NbH02Pb"/>
    <s v="Saurav"/>
    <n v="3"/>
    <n v="3000"/>
    <n v="1000"/>
    <n v="2830"/>
    <n v="2830"/>
    <n v="0"/>
    <n v="0"/>
    <n v="0"/>
    <n v="0"/>
    <n v="0"/>
    <n v="0"/>
    <n v="1"/>
    <n v="2830"/>
    <n v="0.94333333333333336"/>
    <s v="FO012"/>
    <n v="0"/>
    <n v="0"/>
    <s v=" "/>
    <n v="0"/>
    <n v="0"/>
    <n v="1"/>
    <n v="1"/>
    <n v="2"/>
    <n v="0.66666666666666663"/>
    <n v="943.33333333333337"/>
    <n v="2.2999999999999998"/>
    <n v="2.5441696113074204"/>
    <n v="0.90402777777777776"/>
    <n v="0.6026851851851851"/>
    <s v="2178"/>
    <m/>
    <n v="0"/>
    <n v="0"/>
    <n v="0"/>
    <n v="60"/>
    <n v="0"/>
    <n v="0"/>
    <n v="0"/>
    <n v="0"/>
    <n v="0"/>
    <n v="0"/>
    <n v="0"/>
    <n v="0"/>
    <n v="0"/>
    <n v="0"/>
    <n v="0"/>
    <n v="0"/>
    <n v="0"/>
    <n v="0"/>
    <n v="0"/>
    <n v="0"/>
    <n v="0"/>
    <n v="0"/>
    <n v="0"/>
    <n v="0"/>
    <n v="0"/>
    <n v="0"/>
    <n v="0"/>
    <n v="0"/>
    <n v="1"/>
    <n v="1.0166666666666666"/>
  </r>
  <r>
    <d v="2021-08-02T00:00:00"/>
    <s v="C"/>
    <x v="0"/>
    <s v="FO012"/>
    <s v="M2"/>
    <s v="L2"/>
    <s v="NIPPLE S TYPE M SIZE INJECTION"/>
    <s v="HEH02Nc"/>
    <s v="Himanshu"/>
    <n v="8"/>
    <n v="4815"/>
    <n v="601.875"/>
    <n v="4848"/>
    <n v="4700"/>
    <n v="7.2629999999999999"/>
    <n v="60"/>
    <n v="0"/>
    <n v="0"/>
    <n v="80"/>
    <n v="8"/>
    <n v="1"/>
    <n v="4700"/>
    <n v="0.97611630321910692"/>
    <s v="Silicon"/>
    <n v="6.8"/>
    <n v="40.229399999999998"/>
    <n v="0.79444386443745119"/>
    <n v="1.6736401673640166E-2"/>
    <n v="1.2224938875305624E-2"/>
    <n v="0.98349834983498352"/>
    <n v="0.75"/>
    <n v="7.25"/>
    <n v="0.90625"/>
    <n v="587.5"/>
    <n v="5.25"/>
    <n v="5.5531914893617023"/>
    <n v="0.9454022988505747"/>
    <n v="0.84263270077007701"/>
    <n v="2180"/>
    <s v="Drum Change over"/>
    <n v="0"/>
    <n v="0"/>
    <n v="0"/>
    <n v="0"/>
    <n v="0"/>
    <n v="0"/>
    <n v="0"/>
    <n v="0"/>
    <n v="45"/>
    <n v="0"/>
    <n v="0"/>
    <n v="0"/>
    <n v="0"/>
    <n v="0"/>
    <n v="0"/>
    <n v="0"/>
    <n v="0"/>
    <n v="0"/>
    <n v="0"/>
    <n v="0"/>
    <n v="0"/>
    <n v="0"/>
    <n v="0"/>
    <n v="0"/>
    <n v="0"/>
    <n v="0"/>
    <n v="0"/>
    <n v="0"/>
    <n v="0.75"/>
    <n v="0.76249999999999996"/>
  </r>
  <r>
    <d v="2021-08-02T00:00:00"/>
    <s v="C"/>
    <x v="1"/>
    <s v="FO004"/>
    <s v="BM1"/>
    <s v="B1"/>
    <s v="RPP 120 ML BOTTLE MOLDED"/>
    <s v="EH02BC1"/>
    <s v="Himanshu"/>
    <n v="8"/>
    <n v="2503"/>
    <n v="312.875"/>
    <n v="3304"/>
    <n v="3240"/>
    <n v="0"/>
    <n v="20"/>
    <n v="0"/>
    <n v="0"/>
    <n v="36"/>
    <n v="8"/>
    <n v="1"/>
    <n v="3240"/>
    <n v="1.2944466640031962"/>
    <s v="HMC"/>
    <n v="22.7"/>
    <n v="75.000799999999998"/>
    <n v="0.98062953995157376"/>
    <n v="1.098901098901099E-2"/>
    <n v="6.0168471720818293E-3"/>
    <n v="1"/>
    <n v="0.33333333333333331"/>
    <n v="7.666666666666667"/>
    <n v="1"/>
    <n v="500"/>
    <n v="9"/>
    <n v="8.518518518518519"/>
    <n v="0.89999999999999991"/>
    <n v="0.89999999999999991"/>
    <s v="2179"/>
    <m/>
    <n v="0"/>
    <n v="0"/>
    <n v="0"/>
    <n v="0"/>
    <n v="0"/>
    <n v="0"/>
    <n v="20"/>
    <n v="0"/>
    <n v="0"/>
    <n v="0"/>
    <n v="0"/>
    <n v="0"/>
    <n v="0"/>
    <n v="0"/>
    <n v="0"/>
    <n v="0"/>
    <n v="0"/>
    <n v="0"/>
    <n v="0"/>
    <n v="0"/>
    <n v="0"/>
    <n v="0"/>
    <n v="0"/>
    <n v="0"/>
    <n v="0"/>
    <n v="0"/>
    <n v="0"/>
    <n v="0"/>
    <n v="0.33333333333333331"/>
    <n v="0.33888888888888885"/>
  </r>
  <r>
    <d v="2021-08-03T00:00:00"/>
    <s v="A"/>
    <x v="3"/>
    <s v="FO020"/>
    <m/>
    <s v="PC1"/>
    <s v="NIPPLE S TYPE M SIZE PUNCHED"/>
    <s v="HEH02NbH02PbH03Pa"/>
    <s v="Nitin"/>
    <n v="8"/>
    <n v="7036"/>
    <n v="879.5"/>
    <n v="2830"/>
    <n v="2827"/>
    <n v="0"/>
    <n v="0"/>
    <n v="0"/>
    <n v="0"/>
    <n v="3"/>
    <n v="0"/>
    <n v="1"/>
    <n v="2827"/>
    <n v="0.40179079022171688"/>
    <s v="FO016"/>
    <n v="0"/>
    <n v="0"/>
    <s v=" "/>
    <n v="0"/>
    <n v="0"/>
    <n v="1"/>
    <n v="4.5"/>
    <n v="3.5"/>
    <n v="1"/>
    <n v="500"/>
    <n v="3.5"/>
    <n v="4.457021577644146"/>
    <n v="0.89999999999999991"/>
    <n v="0.89999999999999991"/>
    <n v="2181"/>
    <s v="Material short from postcure stage"/>
    <n v="40"/>
    <n v="0"/>
    <n v="0"/>
    <n v="200"/>
    <n v="0"/>
    <n v="0"/>
    <n v="0"/>
    <m/>
    <n v="0"/>
    <n v="0"/>
    <n v="0"/>
    <n v="0"/>
    <n v="0"/>
    <n v="0"/>
    <n v="0"/>
    <n v="0"/>
    <n v="0"/>
    <n v="0"/>
    <n v="0"/>
    <n v="0"/>
    <n v="0"/>
    <n v="0"/>
    <n v="0"/>
    <n v="0"/>
    <n v="0"/>
    <n v="0"/>
    <n v="0"/>
    <n v="30"/>
    <n v="4.5"/>
    <n v="4.5750000000000002"/>
  </r>
  <r>
    <d v="2021-08-03T00:00:00"/>
    <s v="A"/>
    <x v="1"/>
    <s v="FO004"/>
    <s v="BM1"/>
    <s v="B1"/>
    <s v="RPP 120 ML BOTTLE MOLDED"/>
    <s v="EH03Ba1"/>
    <s v="Nitin"/>
    <n v="8"/>
    <n v="2574"/>
    <n v="321.75"/>
    <n v="3177"/>
    <n v="3060"/>
    <n v="0.28199999999999997"/>
    <n v="57"/>
    <n v="0"/>
    <n v="0"/>
    <n v="52"/>
    <n v="8"/>
    <n v="1"/>
    <n v="3060"/>
    <n v="1.1888111888111887"/>
    <s v="HMC"/>
    <n v="21.3"/>
    <n v="67.952100000000002"/>
    <n v="0.95917565461553056"/>
    <n v="1.6709511568123392E-2"/>
    <n v="1.7625231910946195E-2"/>
    <n v="0.98363235757003464"/>
    <n v="0"/>
    <n v="8"/>
    <n v="1"/>
    <n v="382.5"/>
    <n v="9"/>
    <n v="9.4117647058823533"/>
    <n v="0.95624999999999993"/>
    <n v="0.94059844192634556"/>
    <n v="2195"/>
    <s v="ERP Entry pending due to material not issue in erp"/>
    <n v="0"/>
    <n v="0"/>
    <n v="0"/>
    <n v="0"/>
    <n v="0"/>
    <n v="0"/>
    <n v="0"/>
    <n v="0"/>
    <n v="0"/>
    <n v="0"/>
    <n v="0"/>
    <n v="0"/>
    <n v="0"/>
    <n v="0"/>
    <n v="0"/>
    <n v="0"/>
    <n v="0"/>
    <n v="0"/>
    <n v="0"/>
    <n v="0"/>
    <n v="0"/>
    <n v="0"/>
    <n v="0"/>
    <n v="0"/>
    <n v="0"/>
    <n v="0"/>
    <n v="0"/>
    <n v="0"/>
    <n v="0"/>
    <n v="0"/>
  </r>
  <r>
    <d v="2021-08-03T00:00:00"/>
    <s v="A"/>
    <x v="0"/>
    <s v="FO012"/>
    <s v="M2"/>
    <s v="L2"/>
    <s v="NIPPLE S TYPE M SIZE INJECTION"/>
    <s v="HEH02Nb"/>
    <s v="Nitin"/>
    <n v="8"/>
    <n v="4815"/>
    <n v="601.875"/>
    <n v="4660"/>
    <n v="4500"/>
    <n v="0"/>
    <n v="92"/>
    <n v="0"/>
    <n v="0"/>
    <n v="60"/>
    <n v="8"/>
    <n v="1"/>
    <n v="4500"/>
    <n v="0.93457943925233644"/>
    <s v="Silicon"/>
    <n v="6.8"/>
    <n v="31.687999999999999"/>
    <n v="0.96566523605150212"/>
    <n v="1.3157894736842105E-2"/>
    <n v="1.9360269360269359E-2"/>
    <n v="0.98712446351931327"/>
    <n v="1"/>
    <n v="7"/>
    <n v="0.875"/>
    <n v="562.5"/>
    <n v="5.25"/>
    <n v="5.6"/>
    <n v="0.93750000000000011"/>
    <n v="0.80975053648068673"/>
    <n v="2182"/>
    <s v="4 time back plate open to cleane round block due to whit spot issue"/>
    <n v="0"/>
    <n v="0"/>
    <n v="0"/>
    <n v="0"/>
    <n v="0"/>
    <n v="60"/>
    <n v="0"/>
    <n v="0"/>
    <n v="0"/>
    <n v="0"/>
    <n v="0"/>
    <n v="0"/>
    <n v="0"/>
    <n v="0"/>
    <n v="0"/>
    <n v="0"/>
    <n v="0"/>
    <n v="0"/>
    <n v="0"/>
    <n v="0"/>
    <n v="0"/>
    <n v="0"/>
    <n v="0"/>
    <n v="0"/>
    <n v="0"/>
    <n v="0"/>
    <n v="0"/>
    <n v="0"/>
    <n v="1"/>
    <n v="1.0166666666666666"/>
  </r>
  <r>
    <d v="2021-08-03T00:00:00"/>
    <s v="B"/>
    <x v="2"/>
    <s v="FO016"/>
    <m/>
    <s v="PC1"/>
    <s v="NIPPLE S TYPE M SIZE POSTCURED"/>
    <s v="HEH03NaH03Pb"/>
    <s v="Saurav"/>
    <n v="8"/>
    <n v="12700"/>
    <n v="1587.5"/>
    <n v="12700"/>
    <n v="12700"/>
    <n v="0"/>
    <n v="0"/>
    <n v="0"/>
    <n v="0"/>
    <n v="0"/>
    <n v="0"/>
    <n v="1"/>
    <n v="12700"/>
    <n v="1"/>
    <s v="FO012"/>
    <n v="0"/>
    <n v="0"/>
    <s v=" "/>
    <n v="0"/>
    <n v="0"/>
    <n v="1"/>
    <n v="0.66666666666666663"/>
    <n v="7.333333333333333"/>
    <n v="0.91666666666666663"/>
    <n v="1587.5"/>
    <n v="2.2999999999999998"/>
    <n v="2.0787401574803148"/>
    <n v="1.1064393939393939"/>
    <n v="1.0142361111111111"/>
    <s v="2183/2184/2185/2189"/>
    <m/>
    <n v="40"/>
    <n v="0"/>
    <n v="0"/>
    <n v="0"/>
    <n v="0"/>
    <n v="0"/>
    <n v="0"/>
    <n v="0"/>
    <n v="0"/>
    <n v="0"/>
    <n v="0"/>
    <n v="0"/>
    <n v="0"/>
    <n v="0"/>
    <n v="0"/>
    <n v="0"/>
    <n v="0"/>
    <n v="0"/>
    <n v="0"/>
    <n v="0"/>
    <n v="0"/>
    <n v="0"/>
    <n v="0"/>
    <n v="0"/>
    <n v="0"/>
    <n v="0"/>
    <n v="0"/>
    <n v="0"/>
    <n v="0.66666666666666663"/>
    <n v="0.6777777777777777"/>
  </r>
  <r>
    <d v="2021-08-03T00:00:00"/>
    <s v="B"/>
    <x v="0"/>
    <s v="FO012"/>
    <s v="M2"/>
    <s v="L2"/>
    <s v="NIPPLE S TYPE M SIZE INJECTION"/>
    <s v="HEH03Nb"/>
    <s v="Saurav"/>
    <n v="8"/>
    <n v="4815"/>
    <n v="601.875"/>
    <n v="5119"/>
    <n v="5000"/>
    <n v="0.2"/>
    <n v="62"/>
    <n v="0"/>
    <n v="0"/>
    <n v="57"/>
    <n v="0"/>
    <n v="1"/>
    <n v="5000"/>
    <n v="1.0384215991692627"/>
    <s v="Silicon"/>
    <n v="6.8"/>
    <n v="35.0092"/>
    <n v="0.97117329159192445"/>
    <n v="1.1271504844769626E-2"/>
    <n v="1.1966801775718973E-2"/>
    <n v="0.98886501269779259"/>
    <n v="0"/>
    <n v="8"/>
    <n v="1"/>
    <n v="625"/>
    <n v="5.25"/>
    <n v="5.76"/>
    <n v="0.91145833333333337"/>
    <n v="0.90130925636517556"/>
    <n v="2188"/>
    <m/>
    <n v="0"/>
    <n v="0"/>
    <n v="0"/>
    <n v="0"/>
    <n v="0"/>
    <n v="0"/>
    <n v="0"/>
    <n v="0"/>
    <n v="0"/>
    <n v="0"/>
    <n v="0"/>
    <n v="0"/>
    <n v="0"/>
    <n v="0"/>
    <n v="0"/>
    <n v="0"/>
    <n v="0"/>
    <n v="0"/>
    <n v="0"/>
    <n v="0"/>
    <n v="0"/>
    <n v="0"/>
    <n v="0"/>
    <n v="0"/>
    <n v="0"/>
    <n v="0"/>
    <n v="0"/>
    <n v="0"/>
    <n v="0"/>
    <n v="0"/>
  </r>
  <r>
    <d v="2021-08-03T00:00:00"/>
    <s v="B"/>
    <x v="1"/>
    <s v="FO004"/>
    <s v="BM4"/>
    <s v="B1"/>
    <s v="RPP 120 ML BOTTLE MOLDED"/>
    <s v="EH03Bb1"/>
    <s v="Saurav"/>
    <n v="8"/>
    <n v="2574"/>
    <n v="321.75"/>
    <n v="2788"/>
    <n v="2700"/>
    <n v="0.25"/>
    <n v="37"/>
    <n v="0"/>
    <n v="0"/>
    <n v="51"/>
    <n v="0"/>
    <n v="1"/>
    <n v="2700"/>
    <n v="1.048951048951049"/>
    <s v="HMC"/>
    <n v="21.3"/>
    <n v="59.634399999999999"/>
    <n v="0.96437626604778448"/>
    <n v="1.8538713195201745E-2"/>
    <n v="1.3097345132743363E-2"/>
    <n v="0.98170731707317072"/>
    <n v="0"/>
    <n v="8"/>
    <n v="1"/>
    <n v="337.5"/>
    <n v="9"/>
    <n v="10.666666666666666"/>
    <n v="0.84375"/>
    <n v="0.82831554878048774"/>
    <n v="2196"/>
    <s v="Material short in ERP."/>
    <n v="0"/>
    <n v="0"/>
    <n v="0"/>
    <n v="0"/>
    <n v="0"/>
    <n v="0"/>
    <n v="0"/>
    <n v="0"/>
    <n v="0"/>
    <n v="0"/>
    <n v="0"/>
    <n v="0"/>
    <n v="0"/>
    <n v="0"/>
    <n v="0"/>
    <n v="0"/>
    <n v="0"/>
    <n v="0"/>
    <n v="0"/>
    <n v="0"/>
    <n v="0"/>
    <n v="0"/>
    <n v="0"/>
    <n v="0"/>
    <n v="0"/>
    <n v="0"/>
    <n v="0"/>
    <n v="0"/>
    <n v="0"/>
    <n v="0"/>
  </r>
  <r>
    <d v="2021-08-03T00:00:00"/>
    <s v="B"/>
    <x v="3"/>
    <s v="FO020"/>
    <m/>
    <s v="P1"/>
    <s v="NIPPLE S TYPE M SIZE PUNCHED"/>
    <s v="HEH02NcH03PbH03Pb"/>
    <s v="Saurav"/>
    <n v="4"/>
    <n v="3518"/>
    <n v="879.5"/>
    <n v="3200"/>
    <n v="3200"/>
    <n v="0"/>
    <n v="0"/>
    <n v="0"/>
    <n v="0"/>
    <n v="0"/>
    <n v="0"/>
    <n v="1"/>
    <n v="3200"/>
    <n v="0.90960773166571918"/>
    <s v="FO016"/>
    <n v="0"/>
    <n v="0"/>
    <s v=" "/>
    <n v="0"/>
    <n v="0"/>
    <n v="1"/>
    <n v="0.6777777777777777"/>
    <n v="3.3222222222222224"/>
    <n v="0.8305555555555556"/>
    <n v="800"/>
    <n v="3.5"/>
    <n v="3.7374999999999998"/>
    <n v="0.9364548494983278"/>
    <n v="0.7777777777777779"/>
    <s v="2186/2187"/>
    <m/>
    <n v="40"/>
    <n v="0"/>
    <n v="0"/>
    <n v="0"/>
    <n v="0"/>
    <n v="0"/>
    <n v="0"/>
    <n v="0"/>
    <n v="0"/>
    <n v="0"/>
    <n v="0"/>
    <n v="0"/>
    <n v="0"/>
    <n v="0"/>
    <n v="0"/>
    <n v="0"/>
    <n v="0"/>
    <n v="0"/>
    <n v="0"/>
    <n v="0"/>
    <n v="0"/>
    <n v="0"/>
    <n v="0"/>
    <n v="0"/>
    <n v="0"/>
    <n v="0"/>
    <n v="0"/>
    <n v="0"/>
    <n v="0.66666666666666663"/>
    <n v="0.6777777777777777"/>
  </r>
  <r>
    <d v="2021-08-03T00:00:00"/>
    <s v="C"/>
    <x v="1"/>
    <s v="FO004"/>
    <s v="BM4"/>
    <s v="B1"/>
    <s v="RPP 120 ML BOTTLE MOLDED"/>
    <s v="EH03Bc1"/>
    <s v="Himanshu"/>
    <n v="8"/>
    <n v="2574"/>
    <n v="321.75"/>
    <n v="3297"/>
    <n v="3240"/>
    <n v="0"/>
    <n v="20"/>
    <n v="0"/>
    <n v="0"/>
    <n v="29"/>
    <n v="8"/>
    <n v="1"/>
    <n v="3240"/>
    <n v="1.2587412587412588"/>
    <s v="HMC"/>
    <n v="21.3"/>
    <n v="70.226100000000002"/>
    <n v="0.98271155595996362"/>
    <n v="8.8712144386662584E-3"/>
    <n v="6.0295447693699128E-3"/>
    <n v="0.99120412496208676"/>
    <n v="0"/>
    <n v="8"/>
    <n v="1"/>
    <n v="405"/>
    <n v="9"/>
    <n v="8.8888888888888893"/>
    <n v="1.0125"/>
    <n v="1.0035941765241128"/>
    <n v="2197"/>
    <s v="FR101 Material short in ERP"/>
    <n v="0"/>
    <n v="0"/>
    <n v="0"/>
    <n v="0"/>
    <n v="0"/>
    <n v="0"/>
    <n v="0"/>
    <n v="0"/>
    <n v="0"/>
    <n v="0"/>
    <n v="0"/>
    <n v="0"/>
    <n v="0"/>
    <n v="0"/>
    <n v="0"/>
    <n v="0"/>
    <n v="0"/>
    <n v="0"/>
    <n v="0"/>
    <n v="0"/>
    <n v="0"/>
    <n v="0"/>
    <n v="0"/>
    <n v="0"/>
    <n v="0"/>
    <n v="0"/>
    <n v="0"/>
    <n v="0"/>
    <n v="0"/>
    <n v="0"/>
  </r>
  <r>
    <d v="2021-08-03T00:00:00"/>
    <s v="C"/>
    <x v="0"/>
    <s v="FO012"/>
    <s v="M2"/>
    <s v="L2"/>
    <s v="NIPPLE S TYPE M SIZE INJECTION"/>
    <s v="HEH03Nc"/>
    <s v="Himanshu"/>
    <n v="8"/>
    <n v="4815"/>
    <n v="601.875"/>
    <n v="5482"/>
    <n v="5400"/>
    <n v="0"/>
    <n v="23"/>
    <n v="0"/>
    <n v="0"/>
    <n v="51"/>
    <n v="8"/>
    <n v="1"/>
    <n v="5400"/>
    <n v="1.1214953271028036"/>
    <s v="Silicon"/>
    <n v="6.8"/>
    <n v="37.2776"/>
    <n v="0.98504195549069684"/>
    <n v="9.3560814529444133E-3"/>
    <n v="4.1780199818346958E-3"/>
    <n v="0.99069682597592124"/>
    <n v="0"/>
    <n v="8"/>
    <n v="1"/>
    <n v="675"/>
    <n v="5.25"/>
    <n v="5.333333333333333"/>
    <n v="0.984375"/>
    <n v="0.97521718807004742"/>
    <s v="2190"/>
    <m/>
    <n v="0"/>
    <n v="0"/>
    <n v="0"/>
    <n v="0"/>
    <n v="0"/>
    <n v="0"/>
    <n v="0"/>
    <n v="0"/>
    <n v="0"/>
    <n v="0"/>
    <n v="0"/>
    <n v="0"/>
    <n v="0"/>
    <n v="0"/>
    <n v="0"/>
    <n v="0"/>
    <n v="0"/>
    <n v="0"/>
    <n v="0"/>
    <n v="0"/>
    <n v="0"/>
    <n v="0"/>
    <n v="0"/>
    <n v="0"/>
    <n v="0"/>
    <n v="0"/>
    <n v="0"/>
    <n v="0"/>
    <n v="0"/>
    <n v="0"/>
  </r>
  <r>
    <d v="2021-08-04T00:00:00"/>
    <s v="A"/>
    <x v="3"/>
    <s v="FO020"/>
    <m/>
    <s v="PC1"/>
    <s v="NIPPLE S TYPE M SIZE PUNCHED"/>
    <s v="HEH03NaH03PbH04Pa"/>
    <s v="Nitin"/>
    <n v="8"/>
    <n v="7036"/>
    <n v="879.5"/>
    <n v="6500"/>
    <n v="6496"/>
    <n v="0"/>
    <n v="0"/>
    <n v="0"/>
    <n v="0"/>
    <n v="4"/>
    <n v="0"/>
    <n v="1"/>
    <n v="6496"/>
    <n v="0.92325184764070489"/>
    <s v="FO016"/>
    <n v="0"/>
    <n v="0"/>
    <s v=" "/>
    <n v="6.1538461538461541E-4"/>
    <n v="0"/>
    <n v="0.99938461538461543"/>
    <n v="1.1861111111111111"/>
    <n v="6.8138888888888891"/>
    <n v="0.85173611111111114"/>
    <n v="812"/>
    <n v="3.5"/>
    <n v="3.7761699507389164"/>
    <n v="0.92686506318793316"/>
    <n v="0.78895863247863252"/>
    <s v="2191/2192"/>
    <s v="Lot qty pending , 300 pcs punched handover to next shift"/>
    <n v="40"/>
    <n v="0"/>
    <n v="0"/>
    <n v="0"/>
    <n v="0"/>
    <n v="0"/>
    <n v="0"/>
    <n v="0"/>
    <n v="0"/>
    <n v="0"/>
    <n v="0"/>
    <n v="0"/>
    <n v="0"/>
    <n v="0"/>
    <n v="0"/>
    <n v="0"/>
    <n v="0"/>
    <n v="0"/>
    <n v="0"/>
    <n v="0"/>
    <n v="0"/>
    <n v="0"/>
    <n v="0"/>
    <n v="0"/>
    <n v="0"/>
    <n v="0"/>
    <n v="0"/>
    <n v="30"/>
    <n v="1.1666666666666667"/>
    <n v="1.1861111111111111"/>
  </r>
  <r>
    <d v="2021-08-04T00:00:00"/>
    <s v="A"/>
    <x v="1"/>
    <s v="FO004"/>
    <s v="BM1"/>
    <s v="B1"/>
    <s v="RPP 120 ML BOTTLE MOLDED"/>
    <s v="EH04Ba1"/>
    <s v="Nitin"/>
    <n v="8"/>
    <n v="2574"/>
    <n v="321.75"/>
    <n v="2808"/>
    <n v="2700"/>
    <n v="0"/>
    <n v="42"/>
    <n v="0"/>
    <n v="0"/>
    <n v="58"/>
    <n v="8"/>
    <n v="1"/>
    <n v="2700"/>
    <n v="1.048951048951049"/>
    <s v="HMC"/>
    <n v="21.3"/>
    <n v="59.810400000000001"/>
    <n v="0.96153846153846145"/>
    <n v="2.1029731689630168E-2"/>
    <n v="1.4736842105263158E-2"/>
    <n v="0.97934472934472938"/>
    <n v="0.5083333333333333"/>
    <n v="7.4916666666666671"/>
    <n v="0.93645833333333339"/>
    <n v="337.5"/>
    <n v="9"/>
    <n v="9.9888888888888889"/>
    <n v="0.90100111234705227"/>
    <n v="0.82632211538461542"/>
    <n v="2193"/>
    <s v="Thickness issue coming "/>
    <n v="0"/>
    <n v="0"/>
    <n v="0"/>
    <n v="0"/>
    <n v="0"/>
    <n v="0"/>
    <n v="0"/>
    <n v="30"/>
    <n v="0"/>
    <n v="0"/>
    <n v="0"/>
    <n v="0"/>
    <n v="0"/>
    <n v="0"/>
    <n v="0"/>
    <n v="0"/>
    <n v="0"/>
    <n v="0"/>
    <n v="0"/>
    <n v="0"/>
    <n v="0"/>
    <n v="0"/>
    <n v="0"/>
    <n v="0"/>
    <n v="0"/>
    <n v="0"/>
    <n v="0"/>
    <n v="0"/>
    <n v="0.5"/>
    <n v="0.5083333333333333"/>
  </r>
  <r>
    <d v="2021-08-04T00:00:00"/>
    <s v="A"/>
    <x v="0"/>
    <s v="FO012"/>
    <s v="M2"/>
    <s v="L2"/>
    <s v="NIPPLE S TYPE M SIZE INJECTION"/>
    <s v="HEH04Na"/>
    <s v="Nitin"/>
    <n v="8"/>
    <n v="4815"/>
    <n v="601.875"/>
    <n v="5680"/>
    <n v="5600"/>
    <n v="0"/>
    <n v="30"/>
    <n v="0"/>
    <n v="0"/>
    <n v="42"/>
    <n v="8"/>
    <n v="1"/>
    <n v="5600"/>
    <n v="1.1630321910695742"/>
    <s v="Silicon"/>
    <n v="6.8"/>
    <n v="38.623999999999995"/>
    <n v="0.98591549295774661"/>
    <n v="7.4441687344913151E-3"/>
    <n v="5.2539404553415062E-3"/>
    <n v="0.99260563380281686"/>
    <n v="0"/>
    <n v="8"/>
    <n v="1"/>
    <n v="700"/>
    <n v="5.25"/>
    <n v="5.1428571428571432"/>
    <n v="1.0208333333333333"/>
    <n v="1.0132849178403756"/>
    <n v="2194"/>
    <m/>
    <n v="0"/>
    <n v="0"/>
    <n v="0"/>
    <n v="0"/>
    <n v="0"/>
    <n v="0"/>
    <n v="0"/>
    <n v="0"/>
    <n v="0"/>
    <n v="0"/>
    <n v="0"/>
    <n v="0"/>
    <n v="0"/>
    <n v="0"/>
    <n v="0"/>
    <n v="0"/>
    <n v="0"/>
    <n v="0"/>
    <n v="0"/>
    <n v="0"/>
    <n v="0"/>
    <n v="0"/>
    <n v="0"/>
    <n v="0"/>
    <n v="0"/>
    <n v="0"/>
    <n v="0"/>
    <n v="0"/>
    <n v="0"/>
    <n v="0"/>
  </r>
  <r>
    <d v="2021-08-04T00:00:00"/>
    <s v="G"/>
    <x v="4"/>
    <s v="FO109"/>
    <m/>
    <m/>
    <s v="NIPPLE S TYPE M SIZE PUNCHED INSPECTED"/>
    <s v="HEH02NbH02PbH03Pa"/>
    <s v="Vivek"/>
    <n v="8.5"/>
    <n v="9000"/>
    <n v="1058.8235294117646"/>
    <n v="9027"/>
    <n v="8994"/>
    <n v="0"/>
    <n v="0"/>
    <n v="0"/>
    <n v="0"/>
    <n v="33"/>
    <n v="0"/>
    <n v="1"/>
    <n v="8994"/>
    <n v="0.9993333333333333"/>
    <s v="FO105"/>
    <n v="0"/>
    <n v="0"/>
    <s v=" "/>
    <n v="3.6556995679627785E-3"/>
    <n v="0"/>
    <n v="0.99634430043203726"/>
    <n v="1.8638888888888887"/>
    <n v="6.6361111111111111"/>
    <n v="0.78071895424836601"/>
    <n v="1058.1176470588234"/>
    <n v="4"/>
    <n v="2.6562152546141871"/>
    <n v="1.5059020510673924"/>
    <n v="1.1713883187040188"/>
    <s v="2198/2199/2200"/>
    <s v="Material short in punching stage"/>
    <n v="50"/>
    <n v="0"/>
    <n v="0"/>
    <n v="60"/>
    <n v="0"/>
    <n v="0"/>
    <n v="0"/>
    <n v="0"/>
    <n v="0"/>
    <n v="0"/>
    <n v="0"/>
    <n v="0"/>
    <n v="0"/>
    <n v="0"/>
    <n v="0"/>
    <n v="0"/>
    <n v="0"/>
    <n v="0"/>
    <n v="0"/>
    <n v="0"/>
    <n v="0"/>
    <n v="0"/>
    <n v="0"/>
    <n v="0"/>
    <n v="0"/>
    <n v="0"/>
    <n v="0"/>
    <n v="0"/>
    <n v="1.8333333333333333"/>
    <n v="1.8638888888888887"/>
  </r>
  <r>
    <d v="2021-08-04T00:00:00"/>
    <s v="B"/>
    <x v="1"/>
    <s v="FO004"/>
    <s v="BM4"/>
    <s v="B1"/>
    <s v="RPP 120 ML BOTTLE MOLDED"/>
    <s v="EH04Bb1"/>
    <s v="Saurav"/>
    <n v="3"/>
    <n v="1600"/>
    <n v="533.33333333333337"/>
    <n v="1186"/>
    <n v="1080"/>
    <n v="0.3"/>
    <n v="72"/>
    <n v="0"/>
    <n v="0"/>
    <n v="34"/>
    <n v="0"/>
    <n v="1"/>
    <n v="1080"/>
    <n v="0.67500000000000004"/>
    <s v="HMC"/>
    <n v="21.3"/>
    <n v="25.561800000000002"/>
    <n v="0.89993662418139553"/>
    <n v="3.052064631956912E-2"/>
    <n v="5.7233704292527825E-2"/>
    <n v="0.97133220910623941"/>
    <n v="0"/>
    <n v="3"/>
    <n v="1"/>
    <n v="360"/>
    <n v="9"/>
    <n v="10"/>
    <n v="0.9"/>
    <n v="0.87419898819561548"/>
    <n v="2201"/>
    <s v="Thickness issue coming and heat test fail."/>
    <m/>
    <n v="0"/>
    <n v="0"/>
    <n v="0"/>
    <n v="0"/>
    <n v="0"/>
    <n v="0"/>
    <n v="0"/>
    <n v="0"/>
    <n v="0"/>
    <n v="0"/>
    <n v="0"/>
    <n v="0"/>
    <n v="0"/>
    <n v="0"/>
    <n v="0"/>
    <n v="0"/>
    <n v="0"/>
    <n v="0"/>
    <n v="0"/>
    <n v="0"/>
    <n v="0"/>
    <n v="0"/>
    <n v="0"/>
    <n v="0"/>
    <n v="0"/>
    <n v="0"/>
    <n v="0"/>
    <n v="0"/>
    <n v="0"/>
  </r>
  <r>
    <d v="2021-08-04T00:00:00"/>
    <s v="B"/>
    <x v="3"/>
    <s v="FO020"/>
    <m/>
    <s v="P1"/>
    <s v="NIPPLE S TYPE M SIZE PUNCHED"/>
    <s v="HEH03NbH04PbH04Pb"/>
    <s v="Saurav"/>
    <n v="8"/>
    <n v="7036"/>
    <n v="879.5"/>
    <n v="7420"/>
    <n v="7400"/>
    <n v="0"/>
    <n v="0"/>
    <n v="0"/>
    <n v="0"/>
    <n v="20"/>
    <n v="0"/>
    <n v="1"/>
    <n v="7400"/>
    <n v="1.0517339397384877"/>
    <s v="FO016"/>
    <n v="0"/>
    <n v="0"/>
    <s v=" "/>
    <n v="2.6954177897574125E-3"/>
    <n v="0"/>
    <n v="0.99730458221024254"/>
    <n v="0.6777777777777777"/>
    <n v="7.322222222222222"/>
    <n v="0.91527777777777775"/>
    <n v="925"/>
    <n v="3.5"/>
    <n v="3.5621621621621622"/>
    <n v="0.98254931714719274"/>
    <n v="0.89688155136268333"/>
    <s v="2206/2207/2208"/>
    <m/>
    <n v="40"/>
    <n v="0"/>
    <n v="0"/>
    <n v="0"/>
    <n v="0"/>
    <n v="0"/>
    <n v="0"/>
    <n v="0"/>
    <n v="0"/>
    <n v="0"/>
    <n v="0"/>
    <n v="0"/>
    <n v="0"/>
    <n v="0"/>
    <n v="0"/>
    <n v="0"/>
    <n v="0"/>
    <n v="0"/>
    <n v="0"/>
    <n v="0"/>
    <n v="0"/>
    <n v="0"/>
    <n v="0"/>
    <n v="0"/>
    <n v="0"/>
    <n v="0"/>
    <n v="0"/>
    <n v="0"/>
    <n v="0.66666666666666663"/>
    <n v="0.6777777777777777"/>
  </r>
  <r>
    <d v="2021-08-04T00:00:00"/>
    <s v="B"/>
    <x v="2"/>
    <s v="FO016"/>
    <m/>
    <s v="PC1"/>
    <s v="NIPPLE S TYPE M SIZE POSTCURED"/>
    <s v="HEH03NbH04Pb"/>
    <s v="Saurav"/>
    <n v="8"/>
    <n v="14000"/>
    <n v="1750"/>
    <n v="14000"/>
    <n v="14000"/>
    <n v="0"/>
    <n v="0"/>
    <n v="0"/>
    <n v="0"/>
    <n v="0"/>
    <n v="0"/>
    <n v="1"/>
    <n v="14000"/>
    <n v="1"/>
    <s v="FO012"/>
    <n v="0"/>
    <n v="0"/>
    <s v=" "/>
    <n v="0"/>
    <n v="0"/>
    <n v="1"/>
    <n v="0"/>
    <n v="8"/>
    <n v="1"/>
    <n v="1750"/>
    <n v="2.2999999999999998"/>
    <n v="2.0571428571428569"/>
    <n v="1.1180555555555556"/>
    <n v="1.1180555555555556"/>
    <s v="2202/2203/2204"/>
    <m/>
    <m/>
    <n v="0"/>
    <n v="0"/>
    <n v="0"/>
    <n v="0"/>
    <n v="0"/>
    <n v="0"/>
    <n v="0"/>
    <n v="0"/>
    <n v="0"/>
    <n v="0"/>
    <n v="0"/>
    <n v="0"/>
    <n v="0"/>
    <n v="0"/>
    <n v="0"/>
    <n v="0"/>
    <n v="0"/>
    <n v="0"/>
    <n v="0"/>
    <n v="0"/>
    <n v="0"/>
    <n v="0"/>
    <n v="0"/>
    <n v="0"/>
    <n v="0"/>
    <n v="0"/>
    <n v="0"/>
    <n v="0"/>
    <n v="0"/>
  </r>
  <r>
    <d v="2021-08-04T00:00:00"/>
    <s v="B"/>
    <x v="0"/>
    <s v="FO012"/>
    <s v="M2"/>
    <s v="L2"/>
    <s v="NIPPLE S TYPE M SIZE INJECTION"/>
    <s v="HEH04Nb"/>
    <s v="Saurav"/>
    <n v="8"/>
    <n v="4815"/>
    <n v="601.875"/>
    <n v="5790"/>
    <n v="5700"/>
    <n v="0"/>
    <n v="30"/>
    <n v="0"/>
    <n v="0"/>
    <n v="60"/>
    <n v="0"/>
    <n v="1"/>
    <n v="5700"/>
    <n v="1.1838006230529594"/>
    <s v="Silicon"/>
    <n v="6.8"/>
    <n v="39.372"/>
    <n v="0.98445595854922274"/>
    <n v="1.0416666666666666E-2"/>
    <n v="5.1546391752577319E-3"/>
    <n v="0.98963730569948183"/>
    <n v="0"/>
    <n v="8"/>
    <n v="1"/>
    <n v="712.5"/>
    <n v="5.25"/>
    <n v="5.0526315789473681"/>
    <n v="1.0390625"/>
    <n v="1.0282950129533679"/>
    <n v="2205"/>
    <m/>
    <n v="0"/>
    <n v="0"/>
    <n v="0"/>
    <n v="0"/>
    <n v="0"/>
    <n v="0"/>
    <n v="0"/>
    <n v="0"/>
    <n v="0"/>
    <n v="0"/>
    <n v="0"/>
    <n v="0"/>
    <n v="0"/>
    <n v="0"/>
    <n v="0"/>
    <n v="0"/>
    <n v="0"/>
    <n v="0"/>
    <n v="0"/>
    <n v="0"/>
    <n v="0"/>
    <n v="0"/>
    <n v="0"/>
    <n v="0"/>
    <n v="0"/>
    <n v="0"/>
    <n v="0"/>
    <n v="0"/>
    <n v="0"/>
    <n v="0"/>
  </r>
  <r>
    <d v="2021-08-04T00:00:00"/>
    <s v="C"/>
    <x v="1"/>
    <s v="FO004"/>
    <s v="BM4"/>
    <s v="B1"/>
    <s v="RPP 120 ML BOTTLE MOLDED"/>
    <s v="EH04Bc1"/>
    <s v="Himanshu"/>
    <n v="6"/>
    <n v="2000"/>
    <n v="333.33333333333331"/>
    <n v="2273"/>
    <n v="2160"/>
    <n v="0.38"/>
    <n v="63"/>
    <n v="0"/>
    <n v="0"/>
    <n v="42"/>
    <n v="8"/>
    <n v="1"/>
    <n v="2160"/>
    <n v="1.08"/>
    <s v="HMC"/>
    <n v="21.3"/>
    <n v="48.794899999999998"/>
    <n v="0.94288542450133106"/>
    <n v="1.9073569482288829E-2"/>
    <n v="2.6969178082191781E-2"/>
    <n v="0.98152221733391998"/>
    <n v="0.5083333333333333"/>
    <n v="5.4916666666666671"/>
    <n v="0.91527777777777786"/>
    <n v="360"/>
    <n v="9"/>
    <n v="9.1527777777777786"/>
    <n v="0.98330804248861903"/>
    <n v="0.88336999560052798"/>
    <n v="2209"/>
    <s v="Monthly plan completed"/>
    <n v="0"/>
    <n v="0"/>
    <n v="0"/>
    <n v="0"/>
    <n v="0"/>
    <n v="0"/>
    <n v="0"/>
    <n v="30"/>
    <n v="0"/>
    <n v="0"/>
    <n v="0"/>
    <n v="0"/>
    <n v="0"/>
    <n v="0"/>
    <n v="0"/>
    <n v="0"/>
    <n v="0"/>
    <n v="0"/>
    <n v="0"/>
    <n v="0"/>
    <n v="0"/>
    <n v="0"/>
    <n v="0"/>
    <n v="0"/>
    <n v="0"/>
    <n v="0"/>
    <n v="0"/>
    <n v="0"/>
    <n v="0.5"/>
    <n v="0.5083333333333333"/>
  </r>
  <r>
    <d v="2021-08-04T00:00:00"/>
    <s v="C"/>
    <x v="0"/>
    <s v="FO012"/>
    <s v="M2"/>
    <s v="L2"/>
    <s v="NIPPLE S TYPE M SIZE INJECTION"/>
    <s v="HEH04Nc"/>
    <s v="Himanshu"/>
    <n v="8"/>
    <n v="4815"/>
    <n v="601.875"/>
    <n v="5882"/>
    <n v="5800"/>
    <n v="0"/>
    <n v="16"/>
    <n v="0"/>
    <n v="0"/>
    <n v="58"/>
    <n v="8"/>
    <n v="1"/>
    <n v="5800"/>
    <n v="1.2045690550363448"/>
    <s v="Silicon"/>
    <n v="6.8"/>
    <n v="39.997599999999998"/>
    <n v="0.98605916354981293"/>
    <n v="9.9009900990099011E-3"/>
    <n v="2.7127839945744322E-3"/>
    <n v="0.99013940836450187"/>
    <n v="0"/>
    <n v="8"/>
    <n v="1"/>
    <n v="725"/>
    <n v="5.25"/>
    <n v="4.9655172413793105"/>
    <n v="1.0572916666666667"/>
    <n v="1.0468661453020516"/>
    <n v="2210"/>
    <m/>
    <n v="0"/>
    <n v="0"/>
    <n v="0"/>
    <n v="0"/>
    <n v="0"/>
    <n v="0"/>
    <n v="0"/>
    <n v="0"/>
    <n v="0"/>
    <n v="0"/>
    <n v="0"/>
    <n v="0"/>
    <n v="0"/>
    <n v="0"/>
    <n v="0"/>
    <n v="0"/>
    <n v="0"/>
    <n v="0"/>
    <n v="0"/>
    <n v="0"/>
    <n v="0"/>
    <n v="0"/>
    <n v="0"/>
    <n v="0"/>
    <n v="0"/>
    <n v="0"/>
    <n v="0"/>
    <n v="0"/>
    <n v="0"/>
    <n v="0"/>
  </r>
  <r>
    <d v="2021-08-05T00:00:00"/>
    <s v="A"/>
    <x v="0"/>
    <s v="FO012"/>
    <s v="M2"/>
    <s v="L2"/>
    <s v="NIPPLE S TYPE M SIZE INJECTION"/>
    <s v="HEH05Na"/>
    <s v="Nitin"/>
    <n v="8"/>
    <n v="4815"/>
    <n v="601.875"/>
    <n v="5660"/>
    <n v="5600"/>
    <n v="0"/>
    <n v="0"/>
    <n v="0"/>
    <n v="0"/>
    <n v="52"/>
    <n v="8"/>
    <n v="1"/>
    <n v="5600"/>
    <n v="1.1630321910695742"/>
    <s v="Silicon"/>
    <n v="6.8"/>
    <n v="38.488"/>
    <n v="0.98939929328621901"/>
    <n v="9.200283085633405E-3"/>
    <n v="0"/>
    <n v="0.99081272084805649"/>
    <n v="0"/>
    <n v="8"/>
    <n v="1"/>
    <n v="700"/>
    <n v="5.25"/>
    <n v="5.1428571428571432"/>
    <n v="1.0208333333333333"/>
    <n v="1.0114546525323909"/>
    <n v="2218"/>
    <m/>
    <n v="0"/>
    <n v="0"/>
    <n v="0"/>
    <n v="0"/>
    <n v="0"/>
    <n v="0"/>
    <n v="0"/>
    <n v="0"/>
    <n v="0"/>
    <n v="0"/>
    <n v="0"/>
    <n v="0"/>
    <n v="0"/>
    <n v="0"/>
    <n v="0"/>
    <n v="0"/>
    <n v="0"/>
    <n v="0"/>
    <n v="0"/>
    <n v="0"/>
    <n v="0"/>
    <n v="0"/>
    <n v="0"/>
    <n v="0"/>
    <n v="0"/>
    <n v="0"/>
    <n v="0"/>
    <n v="0"/>
    <n v="0"/>
    <n v="0"/>
  </r>
  <r>
    <d v="2021-08-05T00:00:00"/>
    <s v="A"/>
    <x v="2"/>
    <s v="FO016"/>
    <m/>
    <s v="PC1"/>
    <s v="NIPPLE S TYPE M SIZE POSTCURED"/>
    <s v="HEH04NbH05Pa"/>
    <s v="Nitin"/>
    <n v="2.5"/>
    <n v="4000"/>
    <n v="1600"/>
    <n v="3700"/>
    <n v="3700"/>
    <n v="0"/>
    <n v="0"/>
    <n v="0"/>
    <n v="0"/>
    <n v="0"/>
    <n v="0"/>
    <n v="1"/>
    <n v="3700"/>
    <n v="0.92500000000000004"/>
    <s v="FO012"/>
    <n v="0"/>
    <n v="0"/>
    <s v=" "/>
    <n v="0"/>
    <n v="0"/>
    <n v="1"/>
    <n v="0"/>
    <n v="2.5"/>
    <n v="1"/>
    <n v="1480"/>
    <n v="2.2999999999999998"/>
    <n v="2.4324324324324325"/>
    <n v="0.94555555555555548"/>
    <n v="0.94555555555555548"/>
    <n v="2214"/>
    <m/>
    <n v="0"/>
    <n v="0"/>
    <n v="0"/>
    <n v="0"/>
    <n v="0"/>
    <n v="0"/>
    <n v="0"/>
    <n v="0"/>
    <n v="0"/>
    <n v="0"/>
    <n v="0"/>
    <n v="0"/>
    <n v="0"/>
    <n v="0"/>
    <n v="0"/>
    <n v="0"/>
    <n v="0"/>
    <n v="0"/>
    <n v="0"/>
    <n v="0"/>
    <n v="0"/>
    <n v="0"/>
    <n v="0"/>
    <n v="0"/>
    <n v="0"/>
    <n v="0"/>
    <n v="0"/>
    <n v="0"/>
    <n v="0"/>
    <n v="0"/>
  </r>
  <r>
    <d v="2021-08-05T00:00:00"/>
    <s v="A"/>
    <x v="3"/>
    <s v="FO020"/>
    <m/>
    <s v="P1"/>
    <s v="NIPPLE S TYPE M SIZE PUNCHED"/>
    <s v="HEH04NaH04Pb"/>
    <s v="Nitin"/>
    <n v="8"/>
    <n v="7036"/>
    <n v="879.5"/>
    <n v="7000"/>
    <n v="6998"/>
    <n v="0"/>
    <n v="0"/>
    <n v="0"/>
    <n v="0"/>
    <n v="2"/>
    <n v="0"/>
    <n v="1"/>
    <n v="6998"/>
    <n v="0.99459920409323477"/>
    <s v="FO016"/>
    <n v="0"/>
    <n v="0"/>
    <s v=" "/>
    <n v="2.8571428571428574E-4"/>
    <n v="0"/>
    <n v="0.99971428571428567"/>
    <n v="0.6777777777777777"/>
    <n v="7.322222222222222"/>
    <n v="0.91527777777777775"/>
    <n v="874.75"/>
    <n v="3.5"/>
    <n v="3.7667905115747358"/>
    <n v="0.9291729893778452"/>
    <n v="0.85020840277777765"/>
    <s v="2216/2217"/>
    <m/>
    <n v="40"/>
    <n v="0"/>
    <n v="0"/>
    <n v="0"/>
    <n v="0"/>
    <n v="0"/>
    <n v="0"/>
    <n v="0"/>
    <n v="0"/>
    <n v="0"/>
    <n v="0"/>
    <n v="0"/>
    <n v="0"/>
    <n v="0"/>
    <n v="0"/>
    <n v="0"/>
    <n v="0"/>
    <n v="0"/>
    <n v="0"/>
    <n v="0"/>
    <n v="0"/>
    <n v="0"/>
    <n v="0"/>
    <n v="0"/>
    <n v="0"/>
    <n v="0"/>
    <n v="0"/>
    <n v="0"/>
    <n v="0.66666666666666663"/>
    <n v="0.6777777777777777"/>
  </r>
  <r>
    <d v="2021-08-05T00:00:00"/>
    <s v="A"/>
    <x v="5"/>
    <s v="FO142"/>
    <m/>
    <s v="INJ-1"/>
    <s v="CAP S TYPE MOLDED RED"/>
    <s v="EH05Ca"/>
    <s v="Nitin"/>
    <n v="2"/>
    <n v="1137"/>
    <n v="568.5"/>
    <n v="1165"/>
    <n v="1165"/>
    <n v="0"/>
    <n v="0"/>
    <n v="0"/>
    <n v="0"/>
    <n v="0"/>
    <n v="0"/>
    <n v="1"/>
    <n v="1165"/>
    <n v="1.0246262093227791"/>
    <s v="FO153"/>
    <n v="7.3"/>
    <n v="8.5045000000000002"/>
    <n v="1"/>
    <n v="0"/>
    <n v="0"/>
    <n v="1"/>
    <n v="0"/>
    <n v="2"/>
    <n v="1"/>
    <n v="582.5"/>
    <n v="6"/>
    <n v="6.1802575107296134"/>
    <n v="0.97083333333333344"/>
    <n v="0.97083333333333344"/>
    <n v="2686"/>
    <s v="1.701 Kg booked as Runner wastage"/>
    <n v="0"/>
    <n v="0"/>
    <n v="0"/>
    <n v="0"/>
    <n v="0"/>
    <n v="0"/>
    <m/>
    <n v="0"/>
    <n v="0"/>
    <n v="0"/>
    <n v="0"/>
    <n v="0"/>
    <m/>
    <n v="0"/>
    <n v="0"/>
    <n v="0"/>
    <n v="0"/>
    <n v="0"/>
    <n v="0"/>
    <n v="0"/>
    <n v="0"/>
    <n v="0"/>
    <n v="0"/>
    <n v="0"/>
    <n v="0"/>
    <n v="0"/>
    <n v="0"/>
    <n v="0"/>
    <n v="0"/>
    <n v="0"/>
  </r>
  <r>
    <d v="2021-08-05T00:00:00"/>
    <s v="A"/>
    <x v="5"/>
    <s v="FO142"/>
    <m/>
    <s v="INJ-1"/>
    <s v="CAP S TYPE MOLDED RED"/>
    <s v="EH05CRa"/>
    <s v="Nitin"/>
    <n v="6"/>
    <n v="4000"/>
    <n v="666.66666666666663"/>
    <n v="2524"/>
    <n v="2500"/>
    <n v="0.68100000000000005"/>
    <n v="10"/>
    <n v="0"/>
    <n v="0"/>
    <n v="6"/>
    <n v="8"/>
    <n v="1"/>
    <n v="2500"/>
    <n v="0.625"/>
    <s v="FO153"/>
    <n v="7.3"/>
    <n v="19.106200000000001"/>
    <n v="0.95518732139305562"/>
    <n v="2.3942537909018356E-3"/>
    <n v="3.9463299131807421E-3"/>
    <n v="0.99762282091917587"/>
    <n v="1.0166666666666666"/>
    <n v="4.9833333333333334"/>
    <n v="0.8305555555555556"/>
    <n v="416.66666666666669"/>
    <n v="6"/>
    <n v="7.1760000000000002"/>
    <n v="0.83612040133779264"/>
    <n v="0.69279362563831659"/>
    <n v="2687"/>
    <m/>
    <n v="0"/>
    <n v="0"/>
    <n v="0"/>
    <n v="0"/>
    <n v="0"/>
    <n v="0"/>
    <n v="30"/>
    <n v="0"/>
    <n v="0"/>
    <n v="0"/>
    <n v="0"/>
    <n v="0"/>
    <n v="30"/>
    <n v="0"/>
    <n v="0"/>
    <n v="0"/>
    <n v="0"/>
    <n v="0"/>
    <n v="0"/>
    <n v="0"/>
    <n v="0"/>
    <n v="0"/>
    <n v="0"/>
    <n v="0"/>
    <n v="0"/>
    <n v="0"/>
    <n v="0"/>
    <n v="0"/>
    <n v="1"/>
    <n v="1.0166666666666666"/>
  </r>
  <r>
    <d v="2021-08-05T00:00:00"/>
    <s v="G"/>
    <x v="6"/>
    <s v="FO113"/>
    <m/>
    <s v="PR1"/>
    <s v="50 ML RPP BOTTLE PRINTED - BIRDS"/>
    <s v="DA30Ba2EG05Pa"/>
    <s v="Pintu"/>
    <n v="8.5"/>
    <n v="1800"/>
    <n v="211.76470588235293"/>
    <n v="1807"/>
    <n v="1654"/>
    <n v="0"/>
    <n v="0"/>
    <n v="232"/>
    <n v="0"/>
    <n v="153"/>
    <n v="0"/>
    <n v="6"/>
    <n v="275.66666666666669"/>
    <n v="0.91888888888888887"/>
    <s v="FO112"/>
    <n v="17.015000000000001"/>
    <n v="30.746104999999996"/>
    <n v="0.9153292750415053"/>
    <n v="8.4670724958494745E-2"/>
    <n v="0"/>
    <n v="0.9153292750415053"/>
    <n v="5.083333333333333"/>
    <n v="3.416666666666667"/>
    <n v="0.40196078431372551"/>
    <n v="194.58823529411765"/>
    <n v="32.4"/>
    <n v="44.619105199516326"/>
    <n v="0.72614634146341461"/>
    <n v="0.26716846251505583"/>
    <s v="PINPM/21-22/2237"/>
    <s v="SKU change over FO048 to FO113 total loss time 220 min ."/>
    <n v="50"/>
    <n v="100"/>
    <n v="0"/>
    <n v="0"/>
    <n v="0"/>
    <n v="0"/>
    <n v="150"/>
    <n v="0"/>
    <n v="0"/>
    <n v="0"/>
    <n v="0"/>
    <n v="0"/>
    <n v="0"/>
    <n v="0"/>
    <n v="0"/>
    <n v="0"/>
    <n v="0"/>
    <n v="0"/>
    <n v="0"/>
    <n v="0"/>
    <n v="0"/>
    <n v="0"/>
    <n v="0"/>
    <n v="0"/>
    <n v="0"/>
    <n v="0"/>
    <n v="0"/>
    <n v="0"/>
    <n v="5"/>
    <n v="5.083333333333333"/>
  </r>
  <r>
    <d v="2021-08-05T00:00:00"/>
    <s v="G"/>
    <x v="4"/>
    <s v="FO109"/>
    <m/>
    <m/>
    <s v="NIPPLE S TYPE M SIZE PUNCHED INSPECTED"/>
    <s v="HEH03NaH03PbH04Pa"/>
    <s v="Vivek"/>
    <n v="8.5"/>
    <n v="14182"/>
    <n v="1668.4705882352941"/>
    <n v="15874"/>
    <n v="15836"/>
    <n v="0"/>
    <n v="0"/>
    <n v="0"/>
    <n v="0"/>
    <n v="38"/>
    <n v="0"/>
    <n v="2"/>
    <n v="7918"/>
    <n v="1.1166267099139755"/>
    <s v="FO105"/>
    <n v="0"/>
    <n v="0"/>
    <s v=" "/>
    <n v="2.3938515812019657E-3"/>
    <n v="0"/>
    <n v="0.99760614841879802"/>
    <n v="0.6777777777777777"/>
    <n v="7.822222222222222"/>
    <n v="0.92026143790849668"/>
    <n v="1863.0588235294117"/>
    <n v="4"/>
    <n v="3.5564536499115937"/>
    <n v="1.1247159090909091"/>
    <n v="1.0325549651215742"/>
    <s v="2220/2221/2222/2223"/>
    <m/>
    <n v="40"/>
    <n v="0"/>
    <n v="0"/>
    <n v="0"/>
    <n v="0"/>
    <n v="0"/>
    <n v="0"/>
    <n v="0"/>
    <n v="0"/>
    <n v="0"/>
    <n v="0"/>
    <n v="0"/>
    <n v="0"/>
    <n v="0"/>
    <n v="0"/>
    <n v="0"/>
    <n v="0"/>
    <n v="0"/>
    <n v="0"/>
    <n v="0"/>
    <n v="0"/>
    <n v="0"/>
    <n v="0"/>
    <n v="0"/>
    <n v="0"/>
    <n v="0"/>
    <n v="0"/>
    <n v="0"/>
    <n v="0.66666666666666663"/>
    <n v="0.6777777777777777"/>
  </r>
  <r>
    <d v="2021-08-05T00:00:00"/>
    <s v="B"/>
    <x v="0"/>
    <s v="FO012"/>
    <s v="M2"/>
    <s v="L2"/>
    <s v="NIPPLE S TYPE M SIZE INJECTION"/>
    <s v="HEH05Nb"/>
    <s v="Saurav"/>
    <n v="8"/>
    <n v="4815"/>
    <n v="601.875"/>
    <n v="4610"/>
    <n v="4500"/>
    <n v="0"/>
    <n v="45"/>
    <n v="0"/>
    <n v="0"/>
    <n v="65"/>
    <n v="0"/>
    <n v="1"/>
    <n v="4500"/>
    <n v="0.93457943925233644"/>
    <s v="Silicon"/>
    <n v="6.8"/>
    <n v="31.347999999999999"/>
    <n v="0.97613882863340562"/>
    <n v="1.4238773274917854E-2"/>
    <n v="9.6670247046186895E-3"/>
    <n v="0.98590021691973972"/>
    <n v="0.84722222222222221"/>
    <n v="7.1527777777777777"/>
    <n v="0.89409722222222221"/>
    <n v="562.5"/>
    <n v="5.25"/>
    <n v="5.7222222222222223"/>
    <n v="0.91747572815533984"/>
    <n v="0.80874627169197399"/>
    <n v="2228"/>
    <s v="Production loss due to middle plate and back plate cleaning."/>
    <n v="0"/>
    <n v="0"/>
    <n v="0"/>
    <n v="0"/>
    <n v="0"/>
    <n v="50"/>
    <n v="0"/>
    <n v="0"/>
    <n v="0"/>
    <n v="0"/>
    <n v="0"/>
    <n v="0"/>
    <n v="0"/>
    <n v="0"/>
    <n v="0"/>
    <n v="0"/>
    <n v="0"/>
    <n v="0"/>
    <n v="0"/>
    <n v="0"/>
    <n v="0"/>
    <n v="0"/>
    <n v="0"/>
    <n v="0"/>
    <n v="0"/>
    <n v="0"/>
    <n v="0"/>
    <n v="0"/>
    <n v="0.83333333333333337"/>
    <n v="0.84722222222222221"/>
  </r>
  <r>
    <d v="2021-08-05T00:00:00"/>
    <s v="B"/>
    <x v="5"/>
    <s v="FO142"/>
    <m/>
    <s v="INJ-1"/>
    <s v="CAP S TYPE MOLDED RED"/>
    <s v="EH05CRa"/>
    <s v="Saurav"/>
    <n v="8"/>
    <n v="4137"/>
    <n v="517.125"/>
    <n v="3805"/>
    <n v="3800"/>
    <n v="0.3"/>
    <n v="0"/>
    <n v="0"/>
    <n v="0"/>
    <n v="5"/>
    <n v="0"/>
    <n v="1"/>
    <n v="3800"/>
    <n v="0.91854000483442111"/>
    <s v="FO153"/>
    <n v="7.3"/>
    <n v="28.076499999999999"/>
    <n v="0.98801488789557113"/>
    <n v="1.3140604467805519E-3"/>
    <n v="0"/>
    <n v="0.99868593955321949"/>
    <n v="0"/>
    <n v="8"/>
    <n v="1"/>
    <n v="475"/>
    <n v="6"/>
    <n v="7.5789473684210522"/>
    <n v="0.79166666666666674"/>
    <n v="0.79062636881296555"/>
    <n v="2687"/>
    <m/>
    <n v="0"/>
    <n v="0"/>
    <n v="0"/>
    <n v="0"/>
    <n v="0"/>
    <n v="0"/>
    <n v="0"/>
    <n v="0"/>
    <n v="0"/>
    <n v="0"/>
    <n v="0"/>
    <n v="0"/>
    <n v="0"/>
    <n v="0"/>
    <n v="0"/>
    <n v="0"/>
    <n v="0"/>
    <n v="0"/>
    <n v="0"/>
    <n v="0"/>
    <n v="0"/>
    <n v="0"/>
    <n v="0"/>
    <n v="0"/>
    <n v="0"/>
    <n v="0"/>
    <n v="0"/>
    <n v="0"/>
    <n v="0"/>
    <n v="0"/>
  </r>
  <r>
    <d v="2021-08-05T00:00:00"/>
    <s v="B"/>
    <x v="3"/>
    <s v="FO020"/>
    <m/>
    <s v="P1"/>
    <s v="NIPPLE S TYPE M SIZE PUNCHED"/>
    <s v="HEH04NbH05PaH05Pb"/>
    <s v="Saurav"/>
    <n v="8"/>
    <n v="7036"/>
    <n v="879.5"/>
    <n v="7300"/>
    <n v="7298"/>
    <n v="0"/>
    <n v="0"/>
    <n v="0"/>
    <n v="0"/>
    <n v="2"/>
    <n v="0"/>
    <n v="1"/>
    <n v="7298"/>
    <n v="1.0372370665150654"/>
    <s v="FO016"/>
    <n v="0"/>
    <n v="0"/>
    <s v=" "/>
    <n v="2.7397260273972601E-4"/>
    <n v="0"/>
    <n v="0.99972602739726024"/>
    <n v="0.6777777777777777"/>
    <n v="7.322222222222222"/>
    <n v="0.91527777777777775"/>
    <n v="912.25"/>
    <n v="3.5"/>
    <n v="3.6119484790353522"/>
    <n v="0.96900606980273141"/>
    <n v="0.88666673325722978"/>
    <s v="2227/2229"/>
    <m/>
    <n v="40"/>
    <n v="0"/>
    <n v="0"/>
    <n v="0"/>
    <n v="0"/>
    <n v="0"/>
    <n v="0"/>
    <n v="0"/>
    <n v="0"/>
    <n v="0"/>
    <n v="0"/>
    <n v="0"/>
    <n v="0"/>
    <n v="0"/>
    <n v="0"/>
    <n v="0"/>
    <n v="0"/>
    <n v="0"/>
    <n v="0"/>
    <n v="0"/>
    <n v="0"/>
    <n v="0"/>
    <n v="0"/>
    <n v="0"/>
    <n v="0"/>
    <n v="0"/>
    <n v="0"/>
    <n v="0"/>
    <n v="0.66666666666666663"/>
    <n v="0.6777777777777777"/>
  </r>
  <r>
    <d v="2021-08-05T00:00:00"/>
    <s v="B"/>
    <x v="2"/>
    <s v="FO016"/>
    <m/>
    <s v="PC1"/>
    <s v="NIPPLE S TYPE M SIZE POSTCURED"/>
    <s v="HEH04NbH05Pb"/>
    <s v="Saurav"/>
    <n v="8"/>
    <n v="10400"/>
    <n v="1300"/>
    <n v="10400"/>
    <n v="10400"/>
    <n v="0"/>
    <n v="0"/>
    <n v="0"/>
    <n v="0"/>
    <n v="0"/>
    <n v="0"/>
    <n v="1"/>
    <n v="10400"/>
    <n v="1"/>
    <s v="FO012"/>
    <n v="0"/>
    <n v="0"/>
    <s v=" "/>
    <n v="0"/>
    <n v="0"/>
    <n v="1"/>
    <n v="0.6777777777777777"/>
    <n v="7.322222222222222"/>
    <n v="0.91527777777777775"/>
    <n v="1300"/>
    <n v="2.2999999999999998"/>
    <n v="2.5346153846153845"/>
    <n v="0.90743550834597875"/>
    <n v="0.83055555555555549"/>
    <s v="2224/2225/2226"/>
    <m/>
    <n v="40"/>
    <n v="0"/>
    <n v="0"/>
    <n v="0"/>
    <n v="0"/>
    <n v="0"/>
    <n v="0"/>
    <n v="0"/>
    <n v="0"/>
    <n v="0"/>
    <n v="0"/>
    <n v="0"/>
    <n v="0"/>
    <n v="0"/>
    <n v="0"/>
    <n v="0"/>
    <n v="0"/>
    <n v="0"/>
    <n v="0"/>
    <n v="0"/>
    <n v="0"/>
    <n v="0"/>
    <n v="0"/>
    <n v="0"/>
    <n v="0"/>
    <n v="0"/>
    <n v="0"/>
    <n v="0"/>
    <n v="0.66666666666666663"/>
    <n v="0.6777777777777777"/>
  </r>
  <r>
    <d v="2021-08-05T00:00:00"/>
    <s v="B"/>
    <x v="1"/>
    <s v="FO043"/>
    <s v="BM2"/>
    <s v="B2"/>
    <s v="KPP BOTTLE 200 ML MOULDED-WMG3B"/>
    <s v="EH05Bb2"/>
    <s v="Saurav"/>
    <n v="4"/>
    <n v="2503"/>
    <n v="625.75"/>
    <n v="1606"/>
    <n v="1512"/>
    <n v="0.7"/>
    <n v="30"/>
    <n v="0"/>
    <n v="0"/>
    <n v="56"/>
    <n v="8"/>
    <n v="1"/>
    <n v="1512"/>
    <n v="0.60407510986815816"/>
    <s v="WMG3B"/>
    <n v="28.6"/>
    <n v="46.631600000000006"/>
    <n v="0.92733682738743672"/>
    <n v="3.5714285714285712E-2"/>
    <n v="1.8337408312958436E-2"/>
    <n v="0.96513075965130757"/>
    <n v="0"/>
    <n v="4"/>
    <n v="1"/>
    <n v="378"/>
    <n v="9"/>
    <n v="9.5238095238095237"/>
    <n v="0.94500000000000006"/>
    <n v="0.91204856787048572"/>
    <n v="2230"/>
    <m/>
    <n v="0"/>
    <n v="0"/>
    <n v="0"/>
    <n v="0"/>
    <n v="0"/>
    <n v="0"/>
    <n v="0"/>
    <n v="0"/>
    <n v="0"/>
    <n v="0"/>
    <n v="0"/>
    <n v="0"/>
    <n v="0"/>
    <n v="0"/>
    <n v="0"/>
    <n v="0"/>
    <n v="0"/>
    <n v="0"/>
    <n v="0"/>
    <n v="0"/>
    <n v="0"/>
    <n v="0"/>
    <n v="0"/>
    <n v="0"/>
    <n v="0"/>
    <n v="0"/>
    <n v="0"/>
    <n v="0"/>
    <n v="0"/>
    <n v="0"/>
  </r>
  <r>
    <d v="2021-08-05T00:00:00"/>
    <s v="C"/>
    <x v="0"/>
    <s v="FO012"/>
    <s v="M2"/>
    <s v="L2"/>
    <s v="NIPPLE S TYPE M SIZE INJECTION"/>
    <s v="HEH05Nc"/>
    <s v="Himanshu"/>
    <n v="8"/>
    <n v="4815"/>
    <n v="601.875"/>
    <n v="5126"/>
    <n v="5000"/>
    <n v="0"/>
    <n v="70"/>
    <n v="0"/>
    <n v="0"/>
    <n v="48"/>
    <n v="8"/>
    <n v="1"/>
    <n v="5000"/>
    <n v="1.0384215991692627"/>
    <s v="Silicon"/>
    <n v="6.8"/>
    <n v="34.8568"/>
    <n v="0.97541943035505263"/>
    <n v="9.5087163232963554E-3"/>
    <n v="1.3471901462663588E-2"/>
    <n v="0.99063597346859145"/>
    <n v="0.76249999999999996"/>
    <n v="7.2374999999999998"/>
    <n v="0.90468749999999998"/>
    <n v="625"/>
    <n v="5.25"/>
    <n v="5.2110000000000003"/>
    <n v="1.0074841681059297"/>
    <n v="0.90292341331772641"/>
    <s v="2231"/>
    <m/>
    <n v="0"/>
    <n v="0"/>
    <n v="0"/>
    <n v="0"/>
    <n v="0"/>
    <n v="0"/>
    <n v="45"/>
    <n v="0"/>
    <n v="0"/>
    <n v="0"/>
    <n v="0"/>
    <n v="0"/>
    <n v="0"/>
    <n v="0"/>
    <n v="0"/>
    <n v="0"/>
    <n v="0"/>
    <n v="0"/>
    <n v="0"/>
    <n v="0"/>
    <n v="0"/>
    <n v="0"/>
    <n v="0"/>
    <n v="0"/>
    <n v="0"/>
    <n v="0"/>
    <n v="0"/>
    <n v="0"/>
    <n v="0.75"/>
    <n v="0.76249999999999996"/>
  </r>
  <r>
    <d v="2021-08-05T00:00:00"/>
    <s v="C"/>
    <x v="1"/>
    <s v="FO043"/>
    <s v="BM3"/>
    <s v="B2"/>
    <s v="KPP BOTTLE 200 ML MOULDED-WMG3B"/>
    <s v="EH05Bc2"/>
    <s v="Himanshu"/>
    <n v="8"/>
    <n v="2503"/>
    <n v="312.875"/>
    <n v="2986"/>
    <n v="2916"/>
    <n v="0"/>
    <n v="25"/>
    <n v="0"/>
    <n v="0"/>
    <n v="45"/>
    <n v="0"/>
    <n v="1"/>
    <n v="2916"/>
    <n v="1.1650019976028765"/>
    <s v="WMG3B"/>
    <n v="28.6"/>
    <n v="85.399600000000007"/>
    <n v="0.9765572672471533"/>
    <n v="1.5197568389057751E-2"/>
    <n v="8.3028894055131187E-3"/>
    <n v="0.98492967180174151"/>
    <n v="0"/>
    <n v="8"/>
    <n v="1"/>
    <n v="364.5"/>
    <n v="9"/>
    <n v="9.8765432098765427"/>
    <n v="0.91125"/>
    <n v="0.89751716342933696"/>
    <n v="2232"/>
    <m/>
    <n v="0"/>
    <n v="0"/>
    <n v="0"/>
    <n v="0"/>
    <n v="0"/>
    <n v="0"/>
    <n v="0"/>
    <n v="0"/>
    <n v="0"/>
    <n v="0"/>
    <n v="0"/>
    <n v="0"/>
    <n v="0"/>
    <n v="0"/>
    <n v="0"/>
    <n v="0"/>
    <n v="0"/>
    <n v="0"/>
    <n v="0"/>
    <n v="0"/>
    <n v="0"/>
    <n v="0"/>
    <n v="0"/>
    <n v="0"/>
    <n v="0"/>
    <n v="0"/>
    <n v="0"/>
    <n v="0"/>
    <n v="0"/>
    <n v="0"/>
  </r>
  <r>
    <d v="2021-08-05T00:00:00"/>
    <s v="C"/>
    <x v="5"/>
    <s v="FO142"/>
    <m/>
    <s v="INJ-1"/>
    <s v="CAP S TYPE MOLDED RED"/>
    <s v="EH05CRc"/>
    <s v="Himanshu"/>
    <n v="8"/>
    <n v="4137"/>
    <n v="517.125"/>
    <n v="4012"/>
    <n v="4000"/>
    <n v="0"/>
    <n v="0"/>
    <n v="0"/>
    <n v="0"/>
    <n v="4"/>
    <n v="8"/>
    <n v="1"/>
    <n v="4000"/>
    <n v="0.96688421561518012"/>
    <s v="FO153"/>
    <n v="7.3"/>
    <n v="29.287600000000001"/>
    <n v="0.99700897308075764"/>
    <n v="9.99000999000999E-4"/>
    <n v="0"/>
    <n v="0.99900299102691925"/>
    <n v="0"/>
    <n v="8"/>
    <n v="1"/>
    <n v="500"/>
    <n v="6"/>
    <n v="7.2"/>
    <n v="0.83333333333333326"/>
    <n v="0.83250249252243269"/>
    <n v="2687"/>
    <m/>
    <n v="0"/>
    <n v="0"/>
    <n v="0"/>
    <n v="0"/>
    <n v="0"/>
    <n v="0"/>
    <n v="0"/>
    <n v="0"/>
    <n v="0"/>
    <n v="0"/>
    <n v="0"/>
    <n v="0"/>
    <n v="0"/>
    <n v="0"/>
    <n v="0"/>
    <n v="0"/>
    <n v="0"/>
    <n v="0"/>
    <n v="0"/>
    <n v="0"/>
    <n v="0"/>
    <n v="0"/>
    <n v="0"/>
    <n v="0"/>
    <n v="0"/>
    <n v="0"/>
    <n v="0"/>
    <n v="0"/>
    <n v="0"/>
    <n v="0"/>
  </r>
  <r>
    <d v="2021-08-06T00:00:00"/>
    <s v="A"/>
    <x v="0"/>
    <s v="FO012"/>
    <s v="M2"/>
    <s v="L2"/>
    <s v="NIPPLE S TYPE M SIZE INJECTION"/>
    <s v="HEH06Na"/>
    <s v="Nitin"/>
    <n v="8"/>
    <n v="4815"/>
    <n v="601.875"/>
    <n v="2788"/>
    <n v="2600"/>
    <n v="1.8"/>
    <n v="110"/>
    <n v="0"/>
    <n v="0"/>
    <n v="70"/>
    <n v="8"/>
    <n v="1"/>
    <n v="2600"/>
    <n v="0.53997923156801664"/>
    <s v="Silicon"/>
    <n v="6.8"/>
    <n v="20.758399999999998"/>
    <n v="0.85170340681362733"/>
    <n v="2.6217228464419477E-2"/>
    <n v="3.7957211870255352E-2"/>
    <n v="0.97489239598278332"/>
    <n v="4.0666666666666664"/>
    <n v="3.9333333333333336"/>
    <n v="0.4916666666666667"/>
    <n v="325"/>
    <n v="5.25"/>
    <n v="5.4461538461538463"/>
    <n v="0.96398305084745761"/>
    <n v="0.46205837517934001"/>
    <n v="2236"/>
    <s v="Material drum change over and middle plate and back plate cleane 2 time due to bubble and deformation issue"/>
    <n v="0"/>
    <n v="0"/>
    <n v="0"/>
    <n v="0"/>
    <n v="0"/>
    <n v="120"/>
    <n v="0"/>
    <n v="70"/>
    <n v="50"/>
    <n v="0"/>
    <n v="0"/>
    <n v="0"/>
    <n v="0"/>
    <n v="0"/>
    <n v="0"/>
    <n v="0"/>
    <n v="0"/>
    <n v="0"/>
    <n v="0"/>
    <n v="0"/>
    <n v="0"/>
    <n v="0"/>
    <n v="0"/>
    <n v="0"/>
    <n v="0"/>
    <n v="0"/>
    <n v="0"/>
    <n v="0"/>
    <n v="4"/>
    <n v="4.0666666666666664"/>
  </r>
  <r>
    <d v="2021-08-06T00:00:00"/>
    <s v="A"/>
    <x v="3"/>
    <s v="FO020"/>
    <m/>
    <s v="P1"/>
    <s v="NIPPLE S TYPE M SIZE PUNCHED"/>
    <s v="HEH04NbH05Pb"/>
    <s v="Nitin"/>
    <n v="8"/>
    <n v="7036"/>
    <n v="879.5"/>
    <n v="6800"/>
    <n v="6792"/>
    <n v="0"/>
    <n v="0"/>
    <n v="0"/>
    <n v="0"/>
    <n v="8"/>
    <n v="0"/>
    <n v="1"/>
    <n v="6792"/>
    <n v="0.96532120523024445"/>
    <s v="FO016"/>
    <n v="0"/>
    <n v="0"/>
    <s v=" "/>
    <n v="1.176470588235294E-3"/>
    <n v="0"/>
    <n v="0.99882352941176467"/>
    <n v="0.6777777777777777"/>
    <n v="7.322222222222222"/>
    <n v="0.91527777777777775"/>
    <n v="849"/>
    <n v="3.5"/>
    <n v="3.8810365135453475"/>
    <n v="0.90182094081942332"/>
    <n v="0.82444558823529401"/>
    <s v="2233/2234"/>
    <m/>
    <n v="40"/>
    <n v="0"/>
    <n v="0"/>
    <n v="0"/>
    <n v="0"/>
    <n v="0"/>
    <n v="0"/>
    <n v="0"/>
    <n v="0"/>
    <n v="0"/>
    <n v="0"/>
    <n v="0"/>
    <n v="0"/>
    <n v="0"/>
    <n v="0"/>
    <n v="0"/>
    <n v="0"/>
    <n v="0"/>
    <n v="0"/>
    <n v="0"/>
    <n v="0"/>
    <n v="0"/>
    <n v="0"/>
    <n v="0"/>
    <n v="0"/>
    <n v="0"/>
    <n v="0"/>
    <n v="0"/>
    <n v="0.66666666666666663"/>
    <n v="0.6777777777777777"/>
  </r>
  <r>
    <d v="2021-08-06T00:00:00"/>
    <s v="A"/>
    <x v="5"/>
    <s v="FO142"/>
    <m/>
    <s v="INJ-1"/>
    <s v="CAP S TYPE MOLDED RED"/>
    <s v="EH06CRa"/>
    <s v="Nitin"/>
    <n v="8"/>
    <n v="4137"/>
    <n v="517.125"/>
    <n v="4910"/>
    <n v="4900"/>
    <n v="0"/>
    <n v="0"/>
    <n v="0"/>
    <n v="0"/>
    <n v="10"/>
    <n v="0"/>
    <n v="1"/>
    <n v="4900"/>
    <n v="1.1844331641285957"/>
    <s v="RM000107"/>
    <n v="7.3"/>
    <n v="35.843000000000004"/>
    <n v="0.99796334012219956"/>
    <n v="2.0366598778004071E-3"/>
    <n v="0"/>
    <n v="0.99796334012219956"/>
    <n v="0"/>
    <n v="8"/>
    <n v="1"/>
    <n v="612.5"/>
    <n v="6"/>
    <n v="5.8775510204081636"/>
    <n v="1.0208333333333333"/>
    <n v="1.018754243041412"/>
    <n v="2687"/>
    <m/>
    <n v="0"/>
    <n v="0"/>
    <n v="0"/>
    <n v="0"/>
    <n v="0"/>
    <n v="0"/>
    <n v="0"/>
    <n v="0"/>
    <n v="0"/>
    <n v="0"/>
    <n v="0"/>
    <n v="0"/>
    <n v="0"/>
    <n v="0"/>
    <n v="0"/>
    <n v="0"/>
    <n v="0"/>
    <n v="0"/>
    <n v="0"/>
    <n v="0"/>
    <n v="0"/>
    <n v="0"/>
    <n v="0"/>
    <n v="0"/>
    <n v="0"/>
    <n v="0"/>
    <n v="0"/>
    <n v="0"/>
    <n v="0"/>
    <n v="0"/>
  </r>
  <r>
    <d v="2021-08-06T00:00:00"/>
    <s v="A"/>
    <x v="1"/>
    <s v="FO043"/>
    <s v="BM3"/>
    <s v="B2"/>
    <s v="KPP BOTTLE 200 ML MOULDED-WMG3B"/>
    <s v="EH06Ba1"/>
    <s v="Nitin"/>
    <n v="8"/>
    <n v="2574"/>
    <n v="321.75"/>
    <n v="2472"/>
    <n v="2376"/>
    <n v="0.12"/>
    <n v="36"/>
    <n v="0"/>
    <n v="0"/>
    <n v="52"/>
    <n v="8"/>
    <n v="1"/>
    <n v="2376"/>
    <n v="0.92307692307692313"/>
    <s v="WMG3B"/>
    <n v="28.6"/>
    <n v="70.819200000000009"/>
    <n v="0.95953639690931247"/>
    <n v="2.1416803953871501E-2"/>
    <n v="1.4354066985645933E-2"/>
    <n v="0.97896440129449835"/>
    <n v="1.0166666666666666"/>
    <n v="6.9833333333333334"/>
    <n v="0.87291666666666667"/>
    <n v="297"/>
    <n v="9"/>
    <n v="10.580808080808081"/>
    <n v="0.85059665871121715"/>
    <n v="0.72688106796116503"/>
    <n v="2235"/>
    <m/>
    <n v="0"/>
    <n v="0"/>
    <n v="0"/>
    <n v="0"/>
    <n v="0"/>
    <n v="0"/>
    <n v="60"/>
    <n v="0"/>
    <n v="0"/>
    <n v="0"/>
    <n v="0"/>
    <n v="0"/>
    <n v="0"/>
    <n v="0"/>
    <n v="0"/>
    <n v="0"/>
    <n v="0"/>
    <n v="0"/>
    <n v="0"/>
    <n v="0"/>
    <n v="0"/>
    <n v="0"/>
    <n v="0"/>
    <n v="0"/>
    <n v="0"/>
    <n v="0"/>
    <n v="0"/>
    <n v="0"/>
    <n v="1"/>
    <n v="1.0166666666666666"/>
  </r>
  <r>
    <d v="2021-08-06T00:00:00"/>
    <s v="B"/>
    <x v="1"/>
    <s v="FO043"/>
    <s v="BM2"/>
    <s v="B2"/>
    <s v="KPP BOTTLE 200 ML MOULDED-WMG3B"/>
    <s v="EH06Bb2"/>
    <s v="Saurav"/>
    <n v="1.5"/>
    <n v="500"/>
    <n v="333.33333333333331"/>
    <n v="533"/>
    <n v="488"/>
    <n v="0.3"/>
    <n v="20"/>
    <n v="0"/>
    <n v="0"/>
    <n v="25"/>
    <n v="0"/>
    <n v="1"/>
    <n v="488"/>
    <n v="0.97599999999999998"/>
    <s v="WMG3B"/>
    <n v="28.6"/>
    <n v="15.543800000000001"/>
    <n v="0.89790141406863178"/>
    <n v="4.8732943469785572E-2"/>
    <n v="3.6166365280289332E-2"/>
    <n v="0.95309568480300189"/>
    <n v="0"/>
    <n v="1.5"/>
    <n v="1"/>
    <n v="325.33333333333331"/>
    <n v="9"/>
    <n v="11.065573770491802"/>
    <n v="0.81333333333333335"/>
    <n v="0.77518449030644154"/>
    <s v="2242/2243"/>
    <m/>
    <n v="0"/>
    <n v="0"/>
    <n v="0"/>
    <n v="0"/>
    <n v="0"/>
    <n v="0"/>
    <n v="0"/>
    <n v="0"/>
    <n v="0"/>
    <n v="0"/>
    <n v="0"/>
    <n v="0"/>
    <n v="0"/>
    <n v="0"/>
    <n v="0"/>
    <n v="0"/>
    <n v="0"/>
    <n v="0"/>
    <n v="0"/>
    <n v="0"/>
    <n v="0"/>
    <n v="0"/>
    <n v="0"/>
    <n v="0"/>
    <n v="0"/>
    <n v="0"/>
    <n v="0"/>
    <n v="0"/>
    <n v="0"/>
    <n v="0"/>
  </r>
  <r>
    <d v="2021-08-06T00:00:00"/>
    <s v="G"/>
    <x v="6"/>
    <s v="FO048"/>
    <m/>
    <s v="PR1"/>
    <s v="KPP BOTTLE 200 ML PRINTED-WMG3B"/>
    <s v="EH05Bc2H06Pa"/>
    <s v="Pintu"/>
    <n v="8.5"/>
    <n v="5100"/>
    <n v="600"/>
    <n v="4889"/>
    <n v="4752"/>
    <n v="0"/>
    <n v="0"/>
    <n v="43"/>
    <n v="0"/>
    <n v="137"/>
    <n v="0"/>
    <n v="6"/>
    <n v="792"/>
    <n v="0.93176470588235294"/>
    <s v="FO043"/>
    <n v="0"/>
    <n v="0"/>
    <s v=" "/>
    <n v="2.8022090407036203E-2"/>
    <n v="0"/>
    <n v="0.97197790959296382"/>
    <n v="2.2027777777777775"/>
    <n v="6.2972222222222225"/>
    <n v="0.74084967320261441"/>
    <n v="559.05882352941171"/>
    <n v="32.4"/>
    <n v="28.623737373737374"/>
    <n v="1.1319276576973973"/>
    <n v="0.81508923995042903"/>
    <s v="2256,57,58"/>
    <s v="SKU change over FO113 to FO048 total loss time 80 min ."/>
    <n v="50"/>
    <n v="80"/>
    <n v="0"/>
    <n v="0"/>
    <n v="0"/>
    <n v="0"/>
    <n v="0"/>
    <n v="0"/>
    <n v="0"/>
    <n v="0"/>
    <n v="0"/>
    <n v="0"/>
    <n v="0"/>
    <n v="0"/>
    <n v="0"/>
    <n v="0"/>
    <n v="0"/>
    <n v="0"/>
    <n v="0"/>
    <n v="0"/>
    <n v="0"/>
    <n v="0"/>
    <n v="0"/>
    <n v="0"/>
    <n v="0"/>
    <n v="0"/>
    <n v="0"/>
    <n v="0"/>
    <n v="2.1666666666666665"/>
    <n v="2.2027777777777775"/>
  </r>
  <r>
    <d v="2021-08-06T00:00:00"/>
    <s v="G"/>
    <x v="4"/>
    <s v="FO109"/>
    <m/>
    <m/>
    <s v="NIPPLE S TYPE M SIZE PUNCHED INSPECTED"/>
    <s v="HEH04NaH04PbH05Pb"/>
    <s v="Vivek"/>
    <n v="8.5"/>
    <n v="14182"/>
    <n v="1668.4705882352941"/>
    <n v="16090"/>
    <n v="16038"/>
    <n v="0"/>
    <n v="0"/>
    <n v="0"/>
    <n v="0"/>
    <n v="52"/>
    <n v="0"/>
    <n v="2"/>
    <n v="8019"/>
    <n v="1.1308701170497815"/>
    <s v="FO105"/>
    <n v="0"/>
    <n v="0"/>
    <s v=" "/>
    <n v="3.2318210068365445E-3"/>
    <n v="0"/>
    <n v="0.9967681789931635"/>
    <n v="0.84722222222222221"/>
    <n v="7.6527777777777777"/>
    <n v="0.90032679738562094"/>
    <n v="1886.8235294117646"/>
    <n v="4"/>
    <n v="3.4355904726275095"/>
    <n v="1.1642831215970963"/>
    <n v="1.0448475852740102"/>
    <s v="2245/2246/2247"/>
    <m/>
    <n v="50"/>
    <n v="0"/>
    <n v="0"/>
    <n v="0"/>
    <n v="0"/>
    <n v="0"/>
    <n v="0"/>
    <n v="0"/>
    <n v="0"/>
    <n v="0"/>
    <n v="0"/>
    <n v="0"/>
    <n v="0"/>
    <n v="0"/>
    <n v="0"/>
    <n v="0"/>
    <n v="0"/>
    <n v="0"/>
    <n v="0"/>
    <n v="0"/>
    <n v="0"/>
    <n v="0"/>
    <n v="0"/>
    <n v="0"/>
    <n v="0"/>
    <n v="0"/>
    <n v="0"/>
    <n v="0"/>
    <n v="0.83333333333333337"/>
    <n v="0.84722222222222221"/>
  </r>
  <r>
    <d v="2021-08-06T00:00:00"/>
    <s v="B"/>
    <x v="1"/>
    <s v="FO002"/>
    <s v="BM2"/>
    <s v="B2"/>
    <s v="KPP 200 ML BOTTLE MOLDED"/>
    <s v="EH06Bb2"/>
    <s v="Saurav"/>
    <n v="6"/>
    <n v="2074"/>
    <n v="345.66666666666669"/>
    <n v="1386"/>
    <n v="1296"/>
    <n v="0.6"/>
    <n v="52"/>
    <n v="0"/>
    <n v="0"/>
    <n v="30"/>
    <n v="8"/>
    <n v="1"/>
    <n v="1296"/>
    <n v="0.62487945998071359"/>
    <s v="HMC"/>
    <n v="28.1"/>
    <n v="39.546599999999998"/>
    <n v="0.92087815387416372"/>
    <n v="2.2624434389140271E-2"/>
    <n v="3.6161335187760782E-2"/>
    <n v="0.97835497835497831"/>
    <n v="2.2027777777777775"/>
    <n v="3.7972222222222225"/>
    <n v="0.63287037037037042"/>
    <n v="216"/>
    <n v="9"/>
    <n v="10.54783950617284"/>
    <n v="0.85325530358449153"/>
    <n v="0.52831168831168829"/>
    <n v="2253"/>
    <s v="After SKU change sample give to QC for heat test,heat test pass than start mass prodcution.major issue prifrom sticking."/>
    <n v="0"/>
    <n v="40"/>
    <n v="90"/>
    <n v="0"/>
    <n v="0"/>
    <n v="0"/>
    <n v="0"/>
    <n v="0"/>
    <n v="0"/>
    <n v="0"/>
    <n v="0"/>
    <n v="0"/>
    <n v="0"/>
    <n v="0"/>
    <n v="0"/>
    <n v="0"/>
    <n v="0"/>
    <n v="0"/>
    <n v="0"/>
    <n v="0"/>
    <n v="0"/>
    <n v="0"/>
    <n v="0"/>
    <n v="0"/>
    <n v="0"/>
    <n v="0"/>
    <n v="0"/>
    <n v="0"/>
    <n v="2.1666666666666665"/>
    <n v="2.2027777777777775"/>
  </r>
  <r>
    <d v="2021-08-06T00:00:00"/>
    <s v="B"/>
    <x v="0"/>
    <s v="FO012"/>
    <s v="M2"/>
    <s v="L2"/>
    <s v="NIPPLE S TYPE M SIZE INJECTION"/>
    <s v="HEH06Nb"/>
    <s v="Saurav"/>
    <n v="8"/>
    <n v="4815"/>
    <n v="601.875"/>
    <n v="5099"/>
    <n v="5012"/>
    <n v="0"/>
    <n v="27"/>
    <n v="0"/>
    <n v="0"/>
    <n v="60"/>
    <n v="0"/>
    <n v="1"/>
    <n v="5012"/>
    <n v="1.0409138110072689"/>
    <s v="Silicon"/>
    <n v="6.8"/>
    <n v="34.673200000000001"/>
    <n v="0.98293783094724441"/>
    <n v="1.1829652996845425E-2"/>
    <n v="5.2672649239172845E-3"/>
    <n v="0.98823298686016869"/>
    <n v="0.5083333333333333"/>
    <n v="7.4916666666666671"/>
    <n v="0.93645833333333339"/>
    <n v="626.5"/>
    <n v="5.25"/>
    <n v="5.3810853950518753"/>
    <n v="0.97563959955506119"/>
    <n v="0.90289495080734794"/>
    <n v="2263"/>
    <m/>
    <n v="0"/>
    <n v="0"/>
    <n v="0"/>
    <n v="0"/>
    <n v="0"/>
    <n v="30"/>
    <n v="0"/>
    <n v="0"/>
    <n v="0"/>
    <n v="0"/>
    <n v="0"/>
    <n v="0"/>
    <n v="0"/>
    <n v="0"/>
    <n v="0"/>
    <n v="0"/>
    <n v="0"/>
    <n v="0"/>
    <n v="0"/>
    <n v="0"/>
    <n v="0"/>
    <n v="0"/>
    <n v="0"/>
    <n v="0"/>
    <n v="0"/>
    <n v="0"/>
    <n v="0"/>
    <n v="0"/>
    <n v="0.5"/>
    <n v="0.5083333333333333"/>
  </r>
  <r>
    <d v="2021-08-06T00:00:00"/>
    <s v="B"/>
    <x v="5"/>
    <s v="FO142"/>
    <m/>
    <s v="INJ-1"/>
    <s v="CAP S TYPE MOLDED RED"/>
    <s v="EH06CRb"/>
    <s v="Saurav"/>
    <n v="8"/>
    <n v="4137"/>
    <n v="517.125"/>
    <n v="4505"/>
    <n v="4500"/>
    <n v="0"/>
    <n v="0"/>
    <n v="0"/>
    <n v="0"/>
    <n v="5"/>
    <n v="0"/>
    <n v="1"/>
    <n v="4500"/>
    <n v="1.0877447425670776"/>
    <s v="FO153"/>
    <n v="7.3"/>
    <n v="32.886499999999998"/>
    <n v="0.99889012208657058"/>
    <n v="1.1098779134295228E-3"/>
    <n v="0"/>
    <n v="0.99889012208657046"/>
    <n v="0"/>
    <n v="8"/>
    <n v="1"/>
    <n v="562.5"/>
    <n v="6"/>
    <n v="6.4"/>
    <n v="0.9375"/>
    <n v="0.93645948945615975"/>
    <n v="2687"/>
    <m/>
    <n v="0"/>
    <n v="0"/>
    <n v="0"/>
    <n v="0"/>
    <n v="0"/>
    <n v="0"/>
    <n v="0"/>
    <n v="0"/>
    <n v="0"/>
    <n v="0"/>
    <n v="0"/>
    <n v="0"/>
    <n v="0"/>
    <n v="0"/>
    <n v="0"/>
    <n v="0"/>
    <n v="0"/>
    <n v="0"/>
    <n v="0"/>
    <n v="0"/>
    <n v="0"/>
    <n v="0"/>
    <n v="0"/>
    <n v="0"/>
    <n v="0"/>
    <n v="0"/>
    <n v="0"/>
    <n v="0"/>
    <n v="0"/>
    <n v="0"/>
  </r>
  <r>
    <d v="2021-08-06T00:00:00"/>
    <s v="B"/>
    <x v="2"/>
    <s v="FO016"/>
    <m/>
    <s v="PC1"/>
    <s v="NIPPLE S TYPE M SIZE POSTCURED"/>
    <s v="HEH05NaH06Pb"/>
    <s v="Saurav"/>
    <n v="8"/>
    <n v="11500"/>
    <n v="1437.5"/>
    <n v="11500"/>
    <n v="11500"/>
    <n v="0"/>
    <n v="0"/>
    <n v="0"/>
    <n v="0"/>
    <n v="0"/>
    <n v="0"/>
    <n v="1"/>
    <n v="11500"/>
    <n v="1"/>
    <s v="FO012"/>
    <n v="0"/>
    <n v="0"/>
    <s v=" "/>
    <n v="0"/>
    <n v="0"/>
    <n v="1"/>
    <n v="0.6777777777777777"/>
    <n v="7.322222222222222"/>
    <n v="0.91527777777777775"/>
    <n v="1437.5"/>
    <n v="2.2999999999999998"/>
    <n v="2.2921739130434782"/>
    <n v="1.0034142640364188"/>
    <n v="0.91840277777777768"/>
    <s v="2248/2249/2250"/>
    <m/>
    <n v="40"/>
    <n v="0"/>
    <n v="0"/>
    <n v="0"/>
    <n v="0"/>
    <n v="0"/>
    <n v="0"/>
    <n v="0"/>
    <n v="0"/>
    <n v="0"/>
    <n v="0"/>
    <n v="0"/>
    <n v="0"/>
    <n v="0"/>
    <n v="0"/>
    <n v="0"/>
    <n v="0"/>
    <n v="0"/>
    <n v="0"/>
    <n v="0"/>
    <n v="0"/>
    <n v="0"/>
    <n v="0"/>
    <n v="0"/>
    <n v="0"/>
    <n v="0"/>
    <n v="0"/>
    <n v="0"/>
    <n v="0.66666666666666663"/>
    <n v="0.6777777777777777"/>
  </r>
  <r>
    <d v="2021-08-06T00:00:00"/>
    <s v="B"/>
    <x v="3"/>
    <s v="FO020"/>
    <m/>
    <s v="P1"/>
    <s v="NIPPLE S TYPE M SIZE PUNCHED"/>
    <s v="HEH05NaH06PbH06Pb"/>
    <s v="Saurav"/>
    <n v="8"/>
    <n v="7036"/>
    <n v="879.5"/>
    <n v="6100"/>
    <n v="6095"/>
    <n v="0"/>
    <n v="0"/>
    <n v="0"/>
    <n v="0"/>
    <n v="5"/>
    <n v="0"/>
    <n v="1"/>
    <n v="6095"/>
    <n v="0.86625923820352468"/>
    <s v="FO016"/>
    <n v="0"/>
    <n v="0"/>
    <s v=" "/>
    <n v="8.1967213114754098E-4"/>
    <n v="0"/>
    <n v="0.99918032786885247"/>
    <n v="1.6944444444444444"/>
    <n v="6.3055555555555554"/>
    <n v="0.78819444444444442"/>
    <n v="761.875"/>
    <n v="3.5"/>
    <n v="3.7243642329778508"/>
    <n v="0.93975770925110125"/>
    <n v="0.74010466473132963"/>
    <s v="2251/2252"/>
    <s v="Machine stop due to center hole reading issue total loss time 60 min."/>
    <n v="40"/>
    <n v="0"/>
    <n v="0"/>
    <n v="0"/>
    <n v="0"/>
    <n v="0"/>
    <n v="0"/>
    <n v="0"/>
    <n v="0"/>
    <n v="0"/>
    <n v="0"/>
    <n v="0"/>
    <n v="0"/>
    <n v="0"/>
    <n v="0"/>
    <n v="0"/>
    <n v="60"/>
    <n v="0"/>
    <n v="0"/>
    <n v="0"/>
    <n v="0"/>
    <n v="0"/>
    <n v="0"/>
    <n v="0"/>
    <n v="0"/>
    <n v="0"/>
    <n v="0"/>
    <n v="0"/>
    <n v="1.6666666666666667"/>
    <n v="1.6944444444444444"/>
  </r>
  <r>
    <d v="2021-08-06T00:00:00"/>
    <s v="C"/>
    <x v="0"/>
    <s v="FO011"/>
    <s v="M2"/>
    <s v="L2"/>
    <s v="NIPPLE S TYPE S SIZE INJECTION"/>
    <s v="HEH06Nc"/>
    <s v="Himanshu"/>
    <n v="8"/>
    <n v="4815"/>
    <n v="601.875"/>
    <n v="3962"/>
    <n v="3800"/>
    <n v="0"/>
    <n v="90"/>
    <n v="0"/>
    <n v="0"/>
    <n v="64"/>
    <n v="8"/>
    <n v="1"/>
    <n v="3800"/>
    <n v="0.78920041536863972"/>
    <s v="Silicon"/>
    <n v="6.8"/>
    <n v="26.941599999999998"/>
    <n v="0.95911155981827367"/>
    <n v="1.6563146997929608E-2"/>
    <n v="2.2211253701875617E-2"/>
    <n v="0.9838465421504291"/>
    <n v="2.0333333333333332"/>
    <n v="5.9666666666666668"/>
    <n v="0.74583333333333335"/>
    <n v="475"/>
    <n v="5.25"/>
    <n v="5.6526315789473687"/>
    <n v="0.92877094972067031"/>
    <n v="0.68151869846878677"/>
    <s v="2255"/>
    <s v="SKU Change from &quot;M&quot; size to &quot;S&quot; size."/>
    <n v="0"/>
    <n v="120"/>
    <n v="0"/>
    <n v="0"/>
    <n v="0"/>
    <n v="0"/>
    <n v="0"/>
    <n v="0"/>
    <n v="0"/>
    <n v="0"/>
    <n v="0"/>
    <n v="0"/>
    <n v="0"/>
    <n v="0"/>
    <n v="0"/>
    <n v="0"/>
    <n v="0"/>
    <n v="0"/>
    <n v="0"/>
    <n v="0"/>
    <n v="0"/>
    <n v="0"/>
    <n v="0"/>
    <n v="0"/>
    <n v="0"/>
    <n v="0"/>
    <n v="0"/>
    <n v="0"/>
    <n v="2"/>
    <n v="2.0333333333333332"/>
  </r>
  <r>
    <d v="2021-08-06T00:00:00"/>
    <s v="C"/>
    <x v="1"/>
    <s v="FO002"/>
    <s v="BM2"/>
    <s v="B2"/>
    <s v="KPP 200 ML BOTTLE MOLDED"/>
    <s v="EH06Bc2"/>
    <s v="Himanshu"/>
    <n v="8"/>
    <n v="2574"/>
    <n v="321.75"/>
    <n v="3202"/>
    <n v="3132"/>
    <n v="0"/>
    <n v="0"/>
    <n v="0"/>
    <n v="0"/>
    <n v="62"/>
    <n v="8"/>
    <n v="1"/>
    <n v="3132"/>
    <n v="1.2167832167832169"/>
    <s v="HMC"/>
    <n v="28.1"/>
    <n v="89.976200000000006"/>
    <n v="0.97813866333541533"/>
    <n v="1.9411396368190358E-2"/>
    <n v="0"/>
    <n v="0.98063710181136787"/>
    <n v="0"/>
    <n v="8"/>
    <n v="1"/>
    <n v="391.5"/>
    <n v="9"/>
    <n v="9.1954022988505741"/>
    <n v="0.97875000000000001"/>
    <n v="0.95979856339787628"/>
    <s v="2254"/>
    <m/>
    <n v="0"/>
    <n v="0"/>
    <n v="0"/>
    <n v="0"/>
    <n v="0"/>
    <n v="0"/>
    <n v="0"/>
    <n v="0"/>
    <n v="0"/>
    <n v="0"/>
    <n v="0"/>
    <n v="0"/>
    <n v="0"/>
    <n v="0"/>
    <n v="0"/>
    <n v="0"/>
    <n v="0"/>
    <n v="0"/>
    <n v="0"/>
    <n v="0"/>
    <n v="0"/>
    <n v="0"/>
    <n v="0"/>
    <n v="0"/>
    <n v="0"/>
    <n v="0"/>
    <n v="0"/>
    <n v="0"/>
    <n v="0"/>
    <n v="0"/>
  </r>
  <r>
    <d v="2021-08-06T00:00:00"/>
    <s v="C"/>
    <x v="5"/>
    <s v="FO142"/>
    <m/>
    <s v="INJ-1"/>
    <s v="CAP S TYPE MOLDED RED"/>
    <s v="EH06CRc"/>
    <s v="Himanshu"/>
    <n v="8"/>
    <n v="4137"/>
    <n v="517.125"/>
    <n v="3906"/>
    <n v="3895"/>
    <n v="0"/>
    <n v="0"/>
    <n v="0"/>
    <n v="0"/>
    <n v="3"/>
    <n v="8"/>
    <n v="1"/>
    <n v="3895"/>
    <n v="0.94150350495528157"/>
    <s v="FO153"/>
    <n v="7.3"/>
    <n v="28.5138"/>
    <n v="0.99718381976446491"/>
    <n v="7.6962544894817856E-4"/>
    <n v="0"/>
    <n v="0.99923195084485406"/>
    <n v="1.1861111111111111"/>
    <n v="6.8138888888888891"/>
    <n v="0.85173611111111114"/>
    <n v="486.875"/>
    <n v="6"/>
    <n v="6.2978177150192556"/>
    <n v="0.95271096616388096"/>
    <n v="0.81083509344598048"/>
    <n v="2687"/>
    <s v="SKU change from FO142 to FO143"/>
    <n v="0"/>
    <n v="70"/>
    <n v="0"/>
    <n v="0"/>
    <n v="0"/>
    <n v="0"/>
    <n v="0"/>
    <n v="0"/>
    <n v="0"/>
    <n v="0"/>
    <n v="0"/>
    <n v="0"/>
    <n v="0"/>
    <n v="0"/>
    <n v="0"/>
    <n v="0"/>
    <n v="0"/>
    <n v="0"/>
    <n v="0"/>
    <n v="0"/>
    <n v="0"/>
    <n v="0"/>
    <n v="0"/>
    <n v="0"/>
    <n v="0"/>
    <n v="0"/>
    <n v="0"/>
    <n v="0"/>
    <n v="1.1666666666666667"/>
    <n v="1.1861111111111111"/>
  </r>
  <r>
    <d v="2021-08-07T00:00:00"/>
    <s v="A"/>
    <x v="0"/>
    <s v="FO011"/>
    <s v="M2"/>
    <s v="L2"/>
    <s v="NIPPLE S TYPE S SIZE INJECTION"/>
    <s v="HEH07Na"/>
    <s v="Nitin"/>
    <n v="8"/>
    <n v="4815"/>
    <n v="601.875"/>
    <n v="5465"/>
    <n v="5400"/>
    <n v="0"/>
    <n v="0"/>
    <n v="0"/>
    <n v="0"/>
    <n v="57"/>
    <n v="8"/>
    <n v="1"/>
    <n v="5400"/>
    <n v="1.1214953271028036"/>
    <s v="Silicon"/>
    <n v="6.8"/>
    <n v="37.161999999999999"/>
    <n v="0.98810612991765778"/>
    <n v="1.0445299615173173E-2"/>
    <n v="0"/>
    <n v="0.98956999085086916"/>
    <n v="0"/>
    <n v="8"/>
    <n v="1"/>
    <n v="675"/>
    <n v="5.25"/>
    <n v="5.333333333333333"/>
    <n v="0.984375"/>
    <n v="0.97410795974382436"/>
    <n v="2271"/>
    <m/>
    <n v="0"/>
    <n v="0"/>
    <n v="0"/>
    <n v="0"/>
    <n v="0"/>
    <n v="0"/>
    <n v="0"/>
    <n v="0"/>
    <n v="0"/>
    <n v="0"/>
    <n v="0"/>
    <n v="0"/>
    <n v="0"/>
    <n v="0"/>
    <n v="0"/>
    <n v="0"/>
    <n v="0"/>
    <n v="0"/>
    <n v="0"/>
    <n v="0"/>
    <n v="0"/>
    <n v="0"/>
    <n v="0"/>
    <n v="0"/>
    <n v="0"/>
    <n v="0"/>
    <n v="0"/>
    <n v="0"/>
    <n v="0"/>
    <n v="0"/>
  </r>
  <r>
    <d v="2021-08-07T00:00:00"/>
    <s v="A"/>
    <x v="3"/>
    <s v="FO020"/>
    <m/>
    <s v="P1"/>
    <s v="NIPPLE S TYPE M SIZE PUNCHED"/>
    <s v="HEH05NbH06PbH07Pa"/>
    <s v="Nitin"/>
    <n v="8"/>
    <n v="7036"/>
    <n v="879.5"/>
    <n v="7000"/>
    <n v="6994"/>
    <n v="0"/>
    <n v="0"/>
    <n v="0"/>
    <n v="0"/>
    <n v="6"/>
    <n v="0"/>
    <n v="1"/>
    <n v="6994"/>
    <n v="0.99403069926094367"/>
    <s v="FO016"/>
    <n v="0"/>
    <n v="0"/>
    <s v=" "/>
    <n v="8.571428571428571E-4"/>
    <n v="0"/>
    <n v="0.99914285714285711"/>
    <n v="0.5083333333333333"/>
    <n v="7.4916666666666671"/>
    <n v="0.93645833333333339"/>
    <n v="874.25"/>
    <n v="3.5"/>
    <n v="3.856162424935659"/>
    <n v="0.90763811642565817"/>
    <n v="0.84923673611111117"/>
    <s v="2268/2269"/>
    <m/>
    <n v="0"/>
    <n v="0"/>
    <n v="0"/>
    <n v="0"/>
    <n v="0"/>
    <n v="0"/>
    <n v="0"/>
    <n v="0"/>
    <n v="0"/>
    <n v="0"/>
    <n v="0"/>
    <n v="0"/>
    <n v="0"/>
    <n v="0"/>
    <n v="0"/>
    <n v="0"/>
    <n v="0"/>
    <n v="0"/>
    <n v="0"/>
    <n v="0"/>
    <n v="0"/>
    <n v="0"/>
    <n v="0"/>
    <n v="0"/>
    <n v="0"/>
    <n v="0"/>
    <n v="0"/>
    <n v="30"/>
    <n v="0.5"/>
    <n v="0.5083333333333333"/>
  </r>
  <r>
    <d v="2021-08-07T00:00:00"/>
    <s v="A"/>
    <x v="2"/>
    <s v="FO016"/>
    <m/>
    <s v="PC1"/>
    <s v="NIPPLE S TYPE M SIZE POSTCURED"/>
    <s v="HEH06NbH07Pa"/>
    <s v="Nitin"/>
    <n v="5"/>
    <n v="5036"/>
    <n v="1007.2"/>
    <n v="8612"/>
    <n v="8612"/>
    <n v="0"/>
    <n v="0"/>
    <n v="0"/>
    <n v="0"/>
    <n v="0"/>
    <n v="0"/>
    <n v="1"/>
    <n v="8612"/>
    <n v="1.710087370929309"/>
    <s v="FO012"/>
    <n v="0"/>
    <n v="0"/>
    <s v=" "/>
    <n v="0"/>
    <n v="0"/>
    <n v="1"/>
    <n v="0"/>
    <n v="5"/>
    <n v="1"/>
    <n v="1722.4"/>
    <n v="2.2999999999999998"/>
    <n v="2.0901068276823036"/>
    <n v="1.1004222222222222"/>
    <n v="1.1004222222222222"/>
    <s v="2264/2265/2266"/>
    <m/>
    <n v="0"/>
    <n v="0"/>
    <n v="0"/>
    <n v="0"/>
    <n v="0"/>
    <n v="0"/>
    <n v="0"/>
    <n v="0"/>
    <n v="0"/>
    <n v="0"/>
    <n v="0"/>
    <n v="0"/>
    <n v="0"/>
    <n v="0"/>
    <n v="0"/>
    <n v="0"/>
    <n v="0"/>
    <n v="0"/>
    <n v="0"/>
    <n v="0"/>
    <n v="0"/>
    <n v="0"/>
    <n v="0"/>
    <n v="0"/>
    <n v="0"/>
    <n v="0"/>
    <n v="0"/>
    <n v="0"/>
    <n v="0"/>
    <n v="0"/>
  </r>
  <r>
    <d v="2021-08-07T00:00:00"/>
    <s v="A"/>
    <x v="2"/>
    <s v="FO015"/>
    <m/>
    <s v="PC1"/>
    <s v="NIPPLE S TYPE S SIZE POSTCURED"/>
    <s v="HEH06NcH07Pa"/>
    <s v="Nitin"/>
    <n v="5"/>
    <n v="2000"/>
    <n v="400"/>
    <n v="6800"/>
    <n v="6800"/>
    <n v="0"/>
    <n v="0"/>
    <n v="0"/>
    <n v="0"/>
    <n v="0"/>
    <n v="0"/>
    <n v="1"/>
    <n v="6800"/>
    <n v="3.4"/>
    <s v="FO011"/>
    <n v="0"/>
    <n v="0"/>
    <s v=" "/>
    <n v="0"/>
    <n v="0"/>
    <n v="1"/>
    <n v="0"/>
    <n v="5"/>
    <n v="1"/>
    <n v="1360"/>
    <n v="2.2999999999999998"/>
    <n v="2.6470588235294117"/>
    <n v="0.86888888888888882"/>
    <n v="0.86888888888888882"/>
    <s v="2267/2273"/>
    <m/>
    <n v="0"/>
    <n v="0"/>
    <n v="0"/>
    <n v="0"/>
    <n v="0"/>
    <n v="0"/>
    <n v="0"/>
    <n v="0"/>
    <n v="0"/>
    <n v="0"/>
    <n v="0"/>
    <n v="0"/>
    <n v="0"/>
    <n v="0"/>
    <n v="0"/>
    <n v="0"/>
    <n v="0"/>
    <n v="0"/>
    <n v="0"/>
    <n v="0"/>
    <n v="0"/>
    <n v="0"/>
    <n v="0"/>
    <n v="0"/>
    <n v="0"/>
    <n v="0"/>
    <n v="0"/>
    <n v="0"/>
    <n v="0"/>
    <n v="0"/>
  </r>
  <r>
    <d v="2021-08-07T00:00:00"/>
    <s v="A"/>
    <x v="1"/>
    <s v="FO002"/>
    <s v="BM2"/>
    <s v="B2"/>
    <s v="KPP 200 ML BOTTLE MOLDED"/>
    <s v="EH07Ba2"/>
    <s v="Nitin"/>
    <n v="8"/>
    <n v="2574"/>
    <n v="321.75"/>
    <n v="3038"/>
    <n v="2916"/>
    <n v="0.2"/>
    <n v="50"/>
    <n v="0"/>
    <n v="0"/>
    <n v="64"/>
    <n v="8"/>
    <n v="1"/>
    <n v="2916"/>
    <n v="1.1328671328671329"/>
    <s v="HMC"/>
    <n v="28.1"/>
    <n v="85.567800000000005"/>
    <n v="0.95759853589784938"/>
    <n v="2.1476510067114093E-2"/>
    <n v="1.6191709844559584E-2"/>
    <n v="0.97893350888742592"/>
    <n v="0"/>
    <n v="8"/>
    <n v="1"/>
    <n v="364.5"/>
    <n v="9"/>
    <n v="9.8765432098765427"/>
    <n v="0.91125"/>
    <n v="0.89205315997366685"/>
    <n v="2270"/>
    <s v="2 Time machine stop due to cleane lip cavity air vent to avoid fume and polish cavity B due to scratch mark coming in B cavity."/>
    <n v="0"/>
    <n v="0"/>
    <n v="0"/>
    <n v="0"/>
    <n v="0"/>
    <n v="0"/>
    <n v="0"/>
    <n v="0"/>
    <n v="0"/>
    <n v="0"/>
    <n v="0"/>
    <n v="0"/>
    <n v="0"/>
    <n v="0"/>
    <n v="0"/>
    <n v="0"/>
    <n v="0"/>
    <n v="0"/>
    <n v="0"/>
    <n v="0"/>
    <n v="0"/>
    <n v="0"/>
    <n v="0"/>
    <n v="0"/>
    <n v="0"/>
    <n v="0"/>
    <n v="0"/>
    <n v="0"/>
    <n v="0"/>
    <n v="0"/>
  </r>
  <r>
    <d v="2021-08-07T00:00:00"/>
    <s v="A"/>
    <x v="5"/>
    <s v="FO143"/>
    <m/>
    <s v="INJ-1"/>
    <s v="CAP S TYPE MOLDED PINK"/>
    <s v="EH07Ca"/>
    <s v="Nitin"/>
    <n v="8"/>
    <n v="4137"/>
    <n v="517.125"/>
    <n v="4712"/>
    <n v="4700"/>
    <n v="0.38"/>
    <n v="0"/>
    <n v="0"/>
    <n v="0"/>
    <n v="4"/>
    <n v="8"/>
    <n v="1"/>
    <n v="4700"/>
    <n v="1.1360889533478367"/>
    <s v="RM000123"/>
    <n v="7.3"/>
    <n v="34.7776"/>
    <n v="0.98655456385719553"/>
    <n v="8.5034013605442174E-4"/>
    <n v="0"/>
    <n v="0.99915110356536507"/>
    <n v="0"/>
    <n v="8"/>
    <n v="1"/>
    <n v="587.5"/>
    <n v="6"/>
    <n v="6.1276595744680851"/>
    <n v="0.97916666666666663"/>
    <n v="0.97833545557441992"/>
    <n v="2688"/>
    <s v="Runner wastage booked(28.636440kg)"/>
    <n v="0"/>
    <n v="0"/>
    <n v="0"/>
    <n v="0"/>
    <n v="0"/>
    <n v="0"/>
    <n v="0"/>
    <n v="0"/>
    <n v="0"/>
    <n v="0"/>
    <n v="0"/>
    <n v="0"/>
    <n v="0"/>
    <n v="0"/>
    <n v="0"/>
    <n v="0"/>
    <n v="0"/>
    <n v="0"/>
    <n v="0"/>
    <n v="0"/>
    <n v="0"/>
    <n v="0"/>
    <n v="0"/>
    <n v="0"/>
    <n v="0"/>
    <n v="0"/>
    <n v="0"/>
    <n v="0"/>
    <n v="0"/>
    <n v="0"/>
  </r>
  <r>
    <d v="2021-08-07T00:00:00"/>
    <s v="G"/>
    <x v="4"/>
    <s v="FO109"/>
    <m/>
    <m/>
    <s v="NIPPLE S TYPE M SIZE PUNCHED INSPECTED"/>
    <s v="HEH05NaH05PbH06Pb"/>
    <s v="Vivek"/>
    <n v="8.5"/>
    <n v="14182"/>
    <n v="1668.4705882352941"/>
    <n v="15089"/>
    <n v="14937"/>
    <n v="0"/>
    <n v="0"/>
    <n v="0"/>
    <n v="0"/>
    <n v="152"/>
    <n v="0"/>
    <n v="2"/>
    <n v="7468.5"/>
    <n v="1.0532364969679875"/>
    <s v="FO105"/>
    <n v="0"/>
    <n v="0"/>
    <s v=" "/>
    <n v="1.0073563523096296E-2"/>
    <n v="0"/>
    <n v="0.9899264364769037"/>
    <n v="0.84722222222222221"/>
    <n v="7.6527777777777777"/>
    <n v="0.90032679738562094"/>
    <n v="1757.2941176470588"/>
    <n v="4"/>
    <n v="3.6888264042311039"/>
    <n v="1.084355716878403"/>
    <n v="0.96643994651343224"/>
    <s v="2277/2278/2281"/>
    <m/>
    <n v="50"/>
    <n v="0"/>
    <n v="0"/>
    <n v="0"/>
    <n v="0"/>
    <n v="0"/>
    <n v="0"/>
    <n v="0"/>
    <n v="0"/>
    <n v="0"/>
    <n v="0"/>
    <n v="0"/>
    <n v="0"/>
    <n v="0"/>
    <n v="0"/>
    <n v="0"/>
    <n v="0"/>
    <n v="0"/>
    <n v="0"/>
    <n v="0"/>
    <n v="0"/>
    <n v="0"/>
    <n v="0"/>
    <n v="0"/>
    <n v="0"/>
    <n v="0"/>
    <n v="0"/>
    <n v="0"/>
    <n v="0.83333333333333337"/>
    <n v="0.84722222222222221"/>
  </r>
  <r>
    <d v="2021-08-07T00:00:00"/>
    <s v="G"/>
    <x v="6"/>
    <s v="FO048"/>
    <m/>
    <s v="PR1"/>
    <s v="KPP BOTTLE 200 ML PRINTED-WMG3B"/>
    <s v="EH06Bb2H07Pa"/>
    <s v="Pintu"/>
    <n v="3.5"/>
    <n v="2125"/>
    <n v="607.14285714285711"/>
    <n v="2017"/>
    <n v="1989"/>
    <n v="0"/>
    <n v="0"/>
    <n v="12"/>
    <n v="0"/>
    <n v="28"/>
    <n v="0"/>
    <n v="6"/>
    <n v="331.5"/>
    <n v="0.93600000000000005"/>
    <s v="FO043"/>
    <n v="0"/>
    <n v="0"/>
    <s v=" "/>
    <n v="1.3882002974714923E-2"/>
    <n v="0"/>
    <n v="0.98611799702528513"/>
    <n v="0.33888888888888885"/>
    <n v="3.161111111111111"/>
    <n v="0.90317460317460319"/>
    <n v="568.28571428571433"/>
    <n v="32.4"/>
    <n v="34.328808446455504"/>
    <n v="0.94381370826010547"/>
    <n v="0.84059515546426811"/>
    <n v="22882290"/>
    <m/>
    <n v="20"/>
    <n v="0"/>
    <n v="0"/>
    <n v="0"/>
    <n v="0"/>
    <n v="0"/>
    <n v="0"/>
    <n v="0"/>
    <n v="0"/>
    <n v="0"/>
    <n v="0"/>
    <n v="0"/>
    <n v="0"/>
    <n v="0"/>
    <n v="0"/>
    <n v="0"/>
    <n v="0"/>
    <n v="0"/>
    <n v="0"/>
    <n v="0"/>
    <n v="0"/>
    <n v="0"/>
    <n v="0"/>
    <n v="0"/>
    <n v="0"/>
    <n v="0"/>
    <n v="0"/>
    <n v="0"/>
    <n v="0.33333333333333331"/>
    <n v="0.33888888888888885"/>
  </r>
  <r>
    <d v="2021-08-07T00:00:00"/>
    <s v="G"/>
    <x v="6"/>
    <s v="FO088"/>
    <m/>
    <s v="PR1"/>
    <s v="KPP 200 BOTTLE PRINTED (WMG3B) W/O OZ &amp; W/BIS LOGO"/>
    <s v="EH05Bc2H07Pa"/>
    <s v="Pintu"/>
    <n v="0.8"/>
    <n v="638"/>
    <n v="797.5"/>
    <n v="487"/>
    <n v="467"/>
    <n v="0"/>
    <n v="0"/>
    <n v="0"/>
    <n v="0"/>
    <n v="20"/>
    <n v="0"/>
    <n v="6"/>
    <n v="77.833333333333329"/>
    <n v="0.73197492163009403"/>
    <s v="FO043"/>
    <n v="0"/>
    <n v="0"/>
    <s v=" "/>
    <n v="4.1067761806981518E-2"/>
    <n v="0"/>
    <n v="0.95893223819301843"/>
    <n v="0"/>
    <n v="0.8"/>
    <n v="1"/>
    <n v="583.75"/>
    <n v="32.4"/>
    <n v="37.002141327623136"/>
    <n v="0.87562499999999976"/>
    <n v="0.83966504106776152"/>
    <s v="PINPM/21-22/2314"/>
    <m/>
    <n v="0"/>
    <n v="0"/>
    <n v="0"/>
    <n v="0"/>
    <n v="0"/>
    <n v="0"/>
    <n v="0"/>
    <n v="0"/>
    <n v="0"/>
    <n v="0"/>
    <n v="0"/>
    <n v="0"/>
    <n v="0"/>
    <n v="0"/>
    <n v="0"/>
    <n v="0"/>
    <n v="0"/>
    <n v="0"/>
    <n v="0"/>
    <n v="0"/>
    <n v="0"/>
    <n v="0"/>
    <n v="0"/>
    <n v="0"/>
    <n v="0"/>
    <n v="0"/>
    <n v="0"/>
    <n v="0"/>
    <n v="0"/>
    <n v="0"/>
  </r>
  <r>
    <d v="2021-08-07T00:00:00"/>
    <s v="G"/>
    <x v="6"/>
    <s v="FO009"/>
    <m/>
    <s v="PR1"/>
    <s v="RPP 120 ML BOTTLE PRINTED"/>
    <s v="EG20Ba1H07Pa"/>
    <s v="Pintu"/>
    <n v="4"/>
    <n v="2550"/>
    <n v="637.5"/>
    <n v="2538"/>
    <n v="2520"/>
    <n v="0"/>
    <n v="0"/>
    <n v="11"/>
    <n v="0"/>
    <n v="18"/>
    <n v="0"/>
    <n v="6"/>
    <n v="420"/>
    <n v="0.9882352941176471"/>
    <s v="FO004"/>
    <n v="0"/>
    <n v="0"/>
    <s v=" "/>
    <n v="7.0921985815602835E-3"/>
    <n v="0"/>
    <n v="0.99290780141843971"/>
    <n v="0.5083333333333333"/>
    <n v="3.4916666666666667"/>
    <n v="0.87291666666666667"/>
    <n v="630"/>
    <n v="32.4"/>
    <n v="29.928571428571427"/>
    <n v="1.0825775656324583"/>
    <n v="0.93829787234042561"/>
    <s v="PINPM/21-22/2294, 96"/>
    <m/>
    <n v="30"/>
    <n v="0"/>
    <n v="0"/>
    <n v="0"/>
    <n v="0"/>
    <n v="0"/>
    <n v="0"/>
    <n v="0"/>
    <n v="0"/>
    <n v="0"/>
    <n v="0"/>
    <n v="0"/>
    <n v="0"/>
    <n v="0"/>
    <n v="0"/>
    <n v="0"/>
    <n v="0"/>
    <n v="0"/>
    <n v="0"/>
    <n v="0"/>
    <n v="0"/>
    <n v="0"/>
    <n v="0"/>
    <n v="0"/>
    <n v="0"/>
    <n v="0"/>
    <n v="0"/>
    <n v="0"/>
    <n v="0.5"/>
    <n v="0.5083333333333333"/>
  </r>
  <r>
    <d v="2021-08-07T00:00:00"/>
    <s v="B"/>
    <x v="3"/>
    <s v="FO020"/>
    <m/>
    <s v="P1"/>
    <s v="NIPPLE S TYPE M SIZE PUNCHED"/>
    <s v="HEH05NcH07Pa"/>
    <s v="Saurav"/>
    <n v="8"/>
    <n v="7036"/>
    <n v="879.5"/>
    <n v="6600"/>
    <n v="6600"/>
    <n v="0"/>
    <n v="0"/>
    <n v="0"/>
    <n v="0"/>
    <n v="0"/>
    <n v="0"/>
    <n v="1"/>
    <n v="6600"/>
    <n v="0.93803297328027291"/>
    <s v="FO016"/>
    <n v="0"/>
    <n v="0"/>
    <s v=" "/>
    <n v="0"/>
    <n v="0"/>
    <n v="1"/>
    <n v="0.6777777777777777"/>
    <n v="7.322222222222222"/>
    <n v="0.91527777777777775"/>
    <n v="825"/>
    <n v="3.5"/>
    <n v="3.9939393939393941"/>
    <n v="0.87632776934749612"/>
    <n v="0.80208333333333326"/>
    <s v="2276/2279/2280"/>
    <s v="Lot qty pending , 500 pcs punched handover to next shift"/>
    <n v="40"/>
    <n v="0"/>
    <n v="0"/>
    <n v="0"/>
    <n v="0"/>
    <n v="0"/>
    <n v="0"/>
    <n v="0"/>
    <n v="0"/>
    <n v="0"/>
    <n v="0"/>
    <n v="0"/>
    <n v="0"/>
    <n v="0"/>
    <n v="0"/>
    <n v="0"/>
    <n v="0"/>
    <n v="0"/>
    <n v="0"/>
    <n v="0"/>
    <n v="0"/>
    <n v="0"/>
    <n v="0"/>
    <n v="0"/>
    <n v="0"/>
    <n v="0"/>
    <n v="0"/>
    <n v="0"/>
    <n v="0.66666666666666663"/>
    <n v="0.6777777777777777"/>
  </r>
  <r>
    <d v="2021-08-07T00:00:00"/>
    <s v="B"/>
    <x v="5"/>
    <s v="FO143"/>
    <m/>
    <s v="INJ-1"/>
    <s v="CAP S TYPE MOLDED PINK"/>
    <s v="EH07Ca"/>
    <s v="Saurav"/>
    <n v="3"/>
    <n v="1500"/>
    <n v="500"/>
    <n v="1500"/>
    <n v="1500"/>
    <n v="0"/>
    <n v="0"/>
    <n v="0"/>
    <n v="0"/>
    <n v="0"/>
    <n v="0"/>
    <n v="1"/>
    <n v="1500"/>
    <n v="1"/>
    <s v="RM000123"/>
    <n v="7.3"/>
    <n v="10.95"/>
    <n v="1"/>
    <n v="0"/>
    <n v="0"/>
    <n v="1"/>
    <n v="0"/>
    <n v="3"/>
    <n v="1"/>
    <n v="500"/>
    <n v="6"/>
    <n v="7.2"/>
    <n v="0.83333333333333326"/>
    <n v="0.83333333333333326"/>
    <n v="2688"/>
    <m/>
    <n v="0"/>
    <n v="0"/>
    <n v="0"/>
    <n v="0"/>
    <n v="0"/>
    <n v="0"/>
    <n v="0"/>
    <n v="0"/>
    <n v="0"/>
    <n v="0"/>
    <n v="0"/>
    <n v="0"/>
    <n v="0"/>
    <n v="0"/>
    <n v="0"/>
    <n v="0"/>
    <n v="0"/>
    <n v="0"/>
    <n v="0"/>
    <n v="0"/>
    <n v="0"/>
    <n v="0"/>
    <n v="0"/>
    <n v="0"/>
    <n v="0"/>
    <n v="0"/>
    <n v="0"/>
    <n v="0"/>
    <n v="0"/>
    <n v="0"/>
  </r>
  <r>
    <d v="2021-08-07T00:00:00"/>
    <s v="B"/>
    <x v="5"/>
    <s v="FO143"/>
    <m/>
    <s v="INJ-1"/>
    <s v="CAP S TYPE MOLDED PINK"/>
    <s v="EH07CRa"/>
    <s v="Saurav"/>
    <n v="5"/>
    <n v="2637"/>
    <n v="527.4"/>
    <n v="3000"/>
    <n v="3000"/>
    <n v="0"/>
    <n v="0"/>
    <n v="0"/>
    <n v="0"/>
    <n v="0"/>
    <n v="0"/>
    <n v="1"/>
    <n v="3000"/>
    <n v="1.1376564277588168"/>
    <s v="RM000123"/>
    <n v="7.3"/>
    <n v="21.9"/>
    <n v="1"/>
    <n v="0"/>
    <n v="0"/>
    <n v="1"/>
    <n v="0"/>
    <n v="5"/>
    <n v="1"/>
    <n v="600"/>
    <n v="6"/>
    <n v="6"/>
    <n v="1"/>
    <n v="1"/>
    <n v="2689"/>
    <m/>
    <n v="0"/>
    <n v="0"/>
    <n v="0"/>
    <n v="0"/>
    <n v="0"/>
    <n v="0"/>
    <n v="0"/>
    <n v="0"/>
    <n v="0"/>
    <n v="0"/>
    <n v="0"/>
    <n v="0"/>
    <n v="0"/>
    <n v="0"/>
    <n v="0"/>
    <n v="0"/>
    <n v="0"/>
    <n v="0"/>
    <n v="0"/>
    <n v="0"/>
    <n v="0"/>
    <n v="0"/>
    <n v="0"/>
    <n v="0"/>
    <n v="0"/>
    <n v="0"/>
    <n v="0"/>
    <n v="0"/>
    <n v="0"/>
    <n v="0"/>
  </r>
  <r>
    <d v="2021-08-07T00:00:00"/>
    <s v="B"/>
    <x v="0"/>
    <s v="FO011"/>
    <s v="M2"/>
    <s v="L2"/>
    <s v="NIPPLE S TYPE S SIZE INJECTION"/>
    <s v="HEH07Nb"/>
    <s v="Saurav"/>
    <n v="8"/>
    <n v="4815"/>
    <n v="601.875"/>
    <n v="5065"/>
    <n v="5000"/>
    <n v="0"/>
    <n v="21"/>
    <n v="0"/>
    <n v="0"/>
    <n v="44"/>
    <n v="0"/>
    <n v="1"/>
    <n v="5000"/>
    <n v="1.0384215991692627"/>
    <s v="Silicon"/>
    <n v="6.8"/>
    <n v="34.442"/>
    <n v="0.98716683119447191"/>
    <n v="8.7232355273592389E-3"/>
    <n v="4.1289815178922528E-3"/>
    <n v="0.99131293188548864"/>
    <n v="0.5083333333333333"/>
    <n v="7.4916666666666671"/>
    <n v="0.93645833333333339"/>
    <n v="625"/>
    <n v="5.25"/>
    <n v="5.3940000000000001"/>
    <n v="0.97330367074527246"/>
    <n v="0.90354043270812767"/>
    <n v="2282"/>
    <m/>
    <n v="0"/>
    <n v="0"/>
    <n v="0"/>
    <n v="0"/>
    <n v="0"/>
    <n v="30"/>
    <n v="0"/>
    <n v="0"/>
    <n v="0"/>
    <n v="0"/>
    <n v="0"/>
    <n v="0"/>
    <n v="0"/>
    <n v="0"/>
    <n v="0"/>
    <n v="0"/>
    <n v="0"/>
    <n v="0"/>
    <n v="0"/>
    <n v="0"/>
    <n v="0"/>
    <n v="0"/>
    <n v="0"/>
    <n v="0"/>
    <n v="0"/>
    <n v="0"/>
    <n v="0"/>
    <n v="0"/>
    <n v="0.5"/>
    <n v="0.5083333333333333"/>
  </r>
  <r>
    <d v="2021-08-07T00:00:00"/>
    <s v="B"/>
    <x v="1"/>
    <s v="FO002"/>
    <s v="BM2"/>
    <s v="B2"/>
    <s v="KPP 200 ML BOTTLE MOLDED"/>
    <s v="EH07Bb2"/>
    <s v="Saurav"/>
    <n v="8"/>
    <n v="2574"/>
    <n v="321.75"/>
    <n v="3114"/>
    <n v="3024"/>
    <n v="0"/>
    <n v="30"/>
    <n v="0"/>
    <n v="0"/>
    <n v="60"/>
    <n v="0"/>
    <n v="1"/>
    <n v="3024"/>
    <n v="1.1748251748251748"/>
    <s v="HMC"/>
    <n v="28.1"/>
    <n v="87.503399999999999"/>
    <n v="0.97109826589595383"/>
    <n v="1.9455252918287938E-2"/>
    <n v="9.5419847328244278E-3"/>
    <n v="0.98073217726396922"/>
    <n v="0"/>
    <n v="8"/>
    <n v="1"/>
    <n v="378"/>
    <n v="9"/>
    <n v="9.5238095238095237"/>
    <n v="0.94500000000000006"/>
    <n v="0.92679190751445095"/>
    <n v="2283"/>
    <m/>
    <n v="0"/>
    <n v="0"/>
    <n v="0"/>
    <n v="0"/>
    <n v="0"/>
    <n v="0"/>
    <n v="0"/>
    <n v="0"/>
    <n v="0"/>
    <n v="0"/>
    <n v="0"/>
    <n v="0"/>
    <n v="0"/>
    <n v="0"/>
    <n v="0"/>
    <n v="0"/>
    <n v="0"/>
    <n v="0"/>
    <n v="0"/>
    <n v="0"/>
    <n v="0"/>
    <n v="0"/>
    <n v="0"/>
    <n v="0"/>
    <n v="0"/>
    <n v="0"/>
    <n v="0"/>
    <n v="0"/>
    <n v="0"/>
    <n v="0"/>
  </r>
  <r>
    <d v="2021-08-07T00:00:00"/>
    <s v="C"/>
    <x v="0"/>
    <s v="FO011"/>
    <s v="M2"/>
    <s v="L2"/>
    <s v="NIPPLE S TYPE S SIZE INJECTION"/>
    <s v="HEH07Nc"/>
    <s v="Himanshu"/>
    <n v="8"/>
    <n v="4815"/>
    <n v="601.875"/>
    <n v="4678"/>
    <n v="4600"/>
    <n v="0.57999999999999996"/>
    <n v="30"/>
    <n v="0"/>
    <n v="0"/>
    <n v="40"/>
    <n v="8"/>
    <n v="1"/>
    <n v="4600"/>
    <n v="0.95534787123572174"/>
    <s v="Silicon"/>
    <n v="6.8"/>
    <n v="32.3904"/>
    <n v="0.96571823750246977"/>
    <n v="8.6206896551724137E-3"/>
    <n v="6.3721325403568391E-3"/>
    <n v="0.9914493373236426"/>
    <n v="1.5249999999999999"/>
    <n v="6.4749999999999996"/>
    <n v="0.80937499999999996"/>
    <n v="575"/>
    <n v="5.25"/>
    <n v="5.0673913043478258"/>
    <n v="1.0360360360360361"/>
    <n v="0.83137157973492959"/>
    <n v="2284"/>
    <m/>
    <n v="0"/>
    <n v="0"/>
    <n v="0"/>
    <n v="0"/>
    <n v="0"/>
    <n v="0"/>
    <n v="0"/>
    <n v="0"/>
    <n v="0"/>
    <n v="0"/>
    <n v="0"/>
    <n v="0"/>
    <n v="90"/>
    <n v="0"/>
    <n v="0"/>
    <n v="0"/>
    <n v="0"/>
    <n v="0"/>
    <n v="0"/>
    <n v="0"/>
    <n v="0"/>
    <n v="0"/>
    <n v="0"/>
    <n v="0"/>
    <n v="0"/>
    <n v="0"/>
    <n v="0"/>
    <n v="0"/>
    <n v="1.5"/>
    <n v="1.5249999999999999"/>
  </r>
  <r>
    <d v="2021-08-07T00:00:00"/>
    <s v="C"/>
    <x v="1"/>
    <s v="FO002"/>
    <s v="BM2"/>
    <s v="B2"/>
    <s v="KPP 200 ML BOTTLE MOLDED"/>
    <s v="EH07Bc2"/>
    <s v="Himanshu"/>
    <n v="8"/>
    <n v="2574"/>
    <n v="321.75"/>
    <n v="3012"/>
    <n v="2916"/>
    <n v="0"/>
    <n v="34"/>
    <n v="0"/>
    <n v="0"/>
    <n v="54"/>
    <n v="8"/>
    <n v="1"/>
    <n v="2916"/>
    <n v="1.1328671328671329"/>
    <s v="HMC"/>
    <n v="28.1"/>
    <n v="84.637199999999993"/>
    <n v="0.96812749003984067"/>
    <n v="1.8181818181818181E-2"/>
    <n v="1.1162179908076166E-2"/>
    <n v="0.98207171314741037"/>
    <n v="0.5083333333333333"/>
    <n v="7.4916666666666671"/>
    <n v="0.93645833333333339"/>
    <n v="364.5"/>
    <n v="9"/>
    <n v="9.2489711934156382"/>
    <n v="0.97308120133481646"/>
    <n v="0.89491284860557774"/>
    <n v="2285"/>
    <m/>
    <n v="0"/>
    <n v="0"/>
    <n v="0"/>
    <n v="0"/>
    <n v="0"/>
    <n v="0"/>
    <n v="0"/>
    <n v="0"/>
    <n v="0"/>
    <n v="0"/>
    <n v="0"/>
    <n v="0"/>
    <n v="30"/>
    <n v="0"/>
    <n v="0"/>
    <n v="0"/>
    <n v="0"/>
    <n v="0"/>
    <n v="0"/>
    <n v="0"/>
    <n v="0"/>
    <n v="0"/>
    <n v="0"/>
    <n v="0"/>
    <n v="0"/>
    <n v="0"/>
    <n v="0"/>
    <n v="0"/>
    <n v="0.5"/>
    <n v="0.5083333333333333"/>
  </r>
  <r>
    <d v="2021-08-07T00:00:00"/>
    <s v="C"/>
    <x v="5"/>
    <s v="FO143"/>
    <m/>
    <s v="INJ-1"/>
    <s v="CAP S TYPE MOLDED PINK"/>
    <s v="EH07CRc"/>
    <s v="Himanshu"/>
    <n v="3"/>
    <n v="1557"/>
    <n v="519"/>
    <n v="1572"/>
    <n v="1560"/>
    <n v="0"/>
    <n v="0"/>
    <n v="0"/>
    <n v="0"/>
    <n v="8"/>
    <n v="4"/>
    <n v="1"/>
    <n v="1560"/>
    <n v="1.0019267822736031"/>
    <s v="RM000123"/>
    <n v="7.3"/>
    <n v="11.4756"/>
    <n v="0.99236641221374045"/>
    <n v="5.1020408163265302E-3"/>
    <n v="0"/>
    <n v="0.99491094147582693"/>
    <n v="0.33888888888888885"/>
    <n v="2.661111111111111"/>
    <n v="0.88703703703703696"/>
    <n v="520"/>
    <n v="6"/>
    <n v="6.1410256410256414"/>
    <n v="0.97703549060542794"/>
    <n v="0.86225614927904992"/>
    <n v="2689"/>
    <m/>
    <n v="0"/>
    <n v="0"/>
    <n v="0"/>
    <n v="0"/>
    <n v="0"/>
    <n v="0"/>
    <n v="0"/>
    <n v="0"/>
    <n v="0"/>
    <n v="0"/>
    <n v="0"/>
    <n v="0"/>
    <n v="0"/>
    <n v="0"/>
    <n v="0"/>
    <n v="0"/>
    <n v="0"/>
    <n v="0"/>
    <n v="0"/>
    <n v="0"/>
    <n v="0"/>
    <n v="0"/>
    <n v="0"/>
    <n v="20"/>
    <n v="0"/>
    <n v="0"/>
    <n v="0"/>
    <n v="0"/>
    <n v="0.33333333333333331"/>
    <n v="0.33888888888888885"/>
  </r>
  <r>
    <d v="2021-08-07T00:00:00"/>
    <s v="C"/>
    <x v="5"/>
    <s v="FO143"/>
    <m/>
    <s v="INJ-1"/>
    <s v="CAP S TYPE MOLDED PINK"/>
    <s v="EH07Cc"/>
    <s v="Himanshu"/>
    <n v="5"/>
    <n v="2580"/>
    <n v="516"/>
    <n v="2588"/>
    <n v="2580"/>
    <n v="0.09"/>
    <n v="0"/>
    <n v="0"/>
    <n v="0"/>
    <n v="4"/>
    <n v="4"/>
    <n v="1"/>
    <n v="2580"/>
    <n v="1"/>
    <s v="RM000123"/>
    <n v="7.3"/>
    <n v="18.982399999999998"/>
    <n v="0.99218223196223876"/>
    <n v="1.5479876160990713E-3"/>
    <n v="0"/>
    <n v="0.99845440494590421"/>
    <n v="0.33888888888888885"/>
    <n v="4.6611111111111114"/>
    <n v="0.93222222222222229"/>
    <n v="516"/>
    <n v="6"/>
    <n v="6.5038759689922481"/>
    <n v="0.92252681764004762"/>
    <n v="0.85867078825347753"/>
    <n v="2688"/>
    <m/>
    <n v="0"/>
    <n v="0"/>
    <n v="0"/>
    <n v="0"/>
    <n v="0"/>
    <n v="0"/>
    <n v="0"/>
    <n v="0"/>
    <n v="0"/>
    <n v="0"/>
    <n v="0"/>
    <n v="0"/>
    <n v="20"/>
    <n v="0"/>
    <n v="0"/>
    <n v="0"/>
    <n v="0"/>
    <n v="0"/>
    <n v="0"/>
    <n v="0"/>
    <n v="0"/>
    <n v="0"/>
    <n v="0"/>
    <n v="0"/>
    <n v="0"/>
    <n v="0"/>
    <n v="0"/>
    <n v="0"/>
    <n v="0.33333333333333331"/>
    <n v="0.33888888888888885"/>
  </r>
  <r>
    <d v="2021-08-09T00:00:00"/>
    <s v="A"/>
    <x v="0"/>
    <s v="FO011"/>
    <s v="M2"/>
    <s v="L2"/>
    <s v="NIPPLE S TYPE S SIZE INJECTION"/>
    <s v="HEH09Na"/>
    <s v="Himanshu"/>
    <n v="8"/>
    <n v="3600"/>
    <n v="450"/>
    <n v="4605"/>
    <n v="4500"/>
    <n v="0.32"/>
    <n v="48"/>
    <n v="0"/>
    <n v="0"/>
    <n v="49"/>
    <n v="8"/>
    <n v="1"/>
    <n v="4500"/>
    <n v="1.25"/>
    <s v="Silicon"/>
    <n v="6.8"/>
    <n v="31.633999999999997"/>
    <n v="0.9673136498703927"/>
    <n v="1.0771598153440316E-2"/>
    <n v="1.0315925209542231E-2"/>
    <n v="0.98935939196525513"/>
    <n v="1.5249999999999999"/>
    <n v="6.4749999999999996"/>
    <n v="0.80937499999999996"/>
    <n v="562.5"/>
    <n v="5.25"/>
    <n v="5.18"/>
    <n v="1.0135135135135136"/>
    <n v="0.8115838762214983"/>
    <n v="2292"/>
    <s v="Time loss due to heating stability"/>
    <n v="0"/>
    <n v="0"/>
    <n v="0"/>
    <n v="0"/>
    <n v="0"/>
    <n v="0"/>
    <n v="0"/>
    <n v="0"/>
    <n v="0"/>
    <n v="0"/>
    <n v="0"/>
    <n v="0"/>
    <n v="90"/>
    <n v="0"/>
    <n v="0"/>
    <n v="0"/>
    <n v="0"/>
    <n v="0"/>
    <n v="0"/>
    <n v="0"/>
    <n v="0"/>
    <n v="0"/>
    <n v="0"/>
    <n v="0"/>
    <n v="0"/>
    <n v="0"/>
    <n v="0"/>
    <n v="0"/>
    <n v="1.5"/>
    <n v="1.5249999999999999"/>
  </r>
  <r>
    <d v="2021-08-09T00:00:00"/>
    <s v="A"/>
    <x v="1"/>
    <s v="FO002"/>
    <s v="BM2"/>
    <s v="B2"/>
    <s v="KPP 200 ML BOTTLE MOLDED"/>
    <s v="EH09Ba2"/>
    <s v="Himanshu"/>
    <n v="8"/>
    <n v="2574"/>
    <n v="321.75"/>
    <n v="2278"/>
    <n v="2160"/>
    <n v="0.185"/>
    <n v="60"/>
    <n v="0"/>
    <n v="0"/>
    <n v="50"/>
    <n v="8"/>
    <n v="1"/>
    <n v="2160"/>
    <n v="0.83916083916083917"/>
    <s v="HMC"/>
    <n v="28.1"/>
    <n v="64.196799999999996"/>
    <n v="0.94546768686289662"/>
    <n v="2.2624434389140271E-2"/>
    <n v="2.5662959794696322E-2"/>
    <n v="0.97805092186128184"/>
    <n v="2.5416666666666665"/>
    <n v="5.4583333333333339"/>
    <n v="0.68229166666666674"/>
    <n v="270"/>
    <n v="9"/>
    <n v="9.0972222222222232"/>
    <n v="0.98931297709923649"/>
    <n v="0.66018437225636528"/>
    <n v="2287"/>
    <s v="Start-up and machine start after heat test result"/>
    <n v="0"/>
    <n v="0"/>
    <n v="0"/>
    <n v="0"/>
    <n v="0"/>
    <n v="0"/>
    <n v="0"/>
    <n v="0"/>
    <n v="0"/>
    <n v="0"/>
    <n v="0"/>
    <n v="0"/>
    <n v="150"/>
    <n v="0"/>
    <n v="0"/>
    <n v="0"/>
    <n v="0"/>
    <n v="0"/>
    <n v="0"/>
    <n v="0"/>
    <n v="0"/>
    <n v="0"/>
    <n v="0"/>
    <n v="0"/>
    <n v="0"/>
    <n v="0"/>
    <n v="0"/>
    <n v="0"/>
    <n v="2.5"/>
    <n v="2.5416666666666665"/>
  </r>
  <r>
    <d v="2021-08-09T00:00:00"/>
    <s v="A"/>
    <x v="5"/>
    <s v="FO143"/>
    <m/>
    <s v="INJ-1"/>
    <s v="CAP S TYPE MOLDED PINK"/>
    <s v="EH09Ca"/>
    <s v="Himanshu"/>
    <n v="8"/>
    <n v="4137"/>
    <n v="517.125"/>
    <n v="3612"/>
    <n v="3600"/>
    <n v="0"/>
    <n v="0"/>
    <n v="0"/>
    <n v="0"/>
    <n v="4"/>
    <n v="8"/>
    <n v="1"/>
    <n v="3600"/>
    <n v="0.8701957940536621"/>
    <s v="RM000123"/>
    <n v="7.3"/>
    <n v="26.367599999999999"/>
    <n v="0.99667774086378746"/>
    <n v="1.1098779134295228E-3"/>
    <n v="0"/>
    <n v="0.99889258028792915"/>
    <n v="1.5249999999999999"/>
    <n v="6.4749999999999996"/>
    <n v="0.80937499999999996"/>
    <n v="450"/>
    <n v="6"/>
    <n v="6.4749999999999996"/>
    <n v="0.92664092664092668"/>
    <n v="0.74916943521594692"/>
    <n v="2688"/>
    <s v="Process start-up"/>
    <n v="0"/>
    <n v="0"/>
    <n v="0"/>
    <n v="0"/>
    <n v="0"/>
    <n v="0"/>
    <n v="0"/>
    <n v="0"/>
    <n v="0"/>
    <n v="0"/>
    <n v="0"/>
    <n v="0"/>
    <n v="90"/>
    <n v="0"/>
    <n v="0"/>
    <n v="0"/>
    <n v="0"/>
    <n v="0"/>
    <n v="0"/>
    <n v="0"/>
    <n v="0"/>
    <n v="0"/>
    <n v="0"/>
    <n v="0"/>
    <n v="0"/>
    <n v="0"/>
    <n v="0"/>
    <n v="0"/>
    <n v="1.5"/>
    <n v="1.5249999999999999"/>
  </r>
  <r>
    <d v="2021-08-09T00:00:00"/>
    <s v="A"/>
    <x v="2"/>
    <s v="FO015"/>
    <m/>
    <s v="PC1"/>
    <s v="NIPPLE S TYPE S SIZE POSTCURED"/>
    <s v="HEH07NaH09Pa"/>
    <s v="Himanshu"/>
    <n v="2.5"/>
    <n v="3400"/>
    <n v="1360"/>
    <n v="3400"/>
    <n v="3400"/>
    <n v="0"/>
    <n v="0"/>
    <n v="0"/>
    <n v="0"/>
    <n v="0"/>
    <n v="0"/>
    <n v="1"/>
    <n v="3400"/>
    <n v="1"/>
    <s v="FO011"/>
    <n v="0"/>
    <n v="0"/>
    <s v=" "/>
    <n v="0"/>
    <n v="0"/>
    <n v="1"/>
    <n v="0"/>
    <n v="2.5"/>
    <n v="1"/>
    <n v="1360"/>
    <n v="2.2999999999999998"/>
    <n v="2.6470588235294117"/>
    <n v="0.86888888888888882"/>
    <n v="0.86888888888888882"/>
    <n v="2293"/>
    <m/>
    <n v="0"/>
    <n v="0"/>
    <n v="0"/>
    <n v="0"/>
    <n v="0"/>
    <n v="0"/>
    <n v="0"/>
    <n v="0"/>
    <n v="0"/>
    <n v="0"/>
    <n v="0"/>
    <n v="0"/>
    <n v="0"/>
    <n v="0"/>
    <n v="0"/>
    <n v="0"/>
    <n v="0"/>
    <n v="0"/>
    <n v="0"/>
    <n v="0"/>
    <n v="0"/>
    <n v="0"/>
    <n v="0"/>
    <n v="0"/>
    <n v="0"/>
    <n v="0"/>
    <n v="0"/>
    <n v="0"/>
    <n v="0"/>
    <n v="0"/>
  </r>
  <r>
    <d v="2021-08-09T00:00:00"/>
    <s v="A"/>
    <x v="3"/>
    <s v="FO020"/>
    <m/>
    <s v="P1"/>
    <s v="NIPPLE S TYPE M SIZE PUNCHED"/>
    <s v="HEH06NbH07PaH09Pa"/>
    <s v="Himanshu"/>
    <n v="4"/>
    <n v="3000"/>
    <n v="750"/>
    <n v="2992"/>
    <n v="2992"/>
    <n v="0"/>
    <n v="0"/>
    <n v="0"/>
    <n v="0"/>
    <n v="0"/>
    <n v="0"/>
    <n v="1"/>
    <n v="2992"/>
    <n v="0.99733333333333329"/>
    <s v="FO016"/>
    <n v="0"/>
    <n v="0"/>
    <s v=" "/>
    <n v="0"/>
    <n v="0"/>
    <n v="1"/>
    <n v="1.0166666666666666"/>
    <n v="2.9833333333333334"/>
    <n v="0.74583333333333335"/>
    <n v="748"/>
    <n v="3.5"/>
    <n v="3.5895721925133688"/>
    <n v="0.97504655493482317"/>
    <n v="0.72722222222222233"/>
    <n v="2297"/>
    <s v="SKU Change from &quot;M&quot; size to &quot;S&quot; size."/>
    <n v="30"/>
    <n v="0"/>
    <n v="0"/>
    <n v="0"/>
    <n v="0"/>
    <n v="0"/>
    <n v="30"/>
    <n v="0"/>
    <n v="0"/>
    <n v="0"/>
    <n v="0"/>
    <n v="0"/>
    <n v="0"/>
    <n v="0"/>
    <n v="0"/>
    <n v="0"/>
    <n v="0"/>
    <n v="0"/>
    <n v="0"/>
    <n v="0"/>
    <n v="0"/>
    <n v="0"/>
    <n v="0"/>
    <n v="0"/>
    <n v="0"/>
    <n v="0"/>
    <n v="0"/>
    <n v="0"/>
    <n v="1"/>
    <n v="1.0166666666666666"/>
  </r>
  <r>
    <d v="2021-08-09T00:00:00"/>
    <s v="A"/>
    <x v="3"/>
    <s v="FO019"/>
    <m/>
    <s v="P1"/>
    <s v="NIPPLE S TYPE S SIZE PUNCHED"/>
    <s v="HEH06NcH07PaH09Pa"/>
    <s v="Himanshu"/>
    <n v="4"/>
    <n v="2036"/>
    <n v="509"/>
    <n v="3000"/>
    <n v="2992"/>
    <n v="0"/>
    <n v="0"/>
    <n v="0"/>
    <n v="0"/>
    <n v="0"/>
    <n v="8"/>
    <n v="1"/>
    <n v="2992"/>
    <n v="1.4695481335952849"/>
    <s v="FO015"/>
    <n v="0"/>
    <n v="0"/>
    <s v=" "/>
    <n v="0"/>
    <n v="0"/>
    <n v="1"/>
    <n v="1.0166666666666666"/>
    <n v="2.9833333333333334"/>
    <n v="0.74583333333333335"/>
    <n v="748"/>
    <n v="3.5"/>
    <n v="3.5895721925133688"/>
    <n v="0.97504655493482317"/>
    <n v="0.72722222222222233"/>
    <n v="2295"/>
    <s v="Callibration of punching machine"/>
    <n v="0"/>
    <n v="30"/>
    <n v="0"/>
    <n v="0"/>
    <n v="0"/>
    <n v="0"/>
    <n v="0"/>
    <n v="0"/>
    <n v="0"/>
    <n v="0"/>
    <n v="0"/>
    <n v="30"/>
    <n v="0"/>
    <n v="0"/>
    <n v="0"/>
    <n v="0"/>
    <n v="0"/>
    <n v="0"/>
    <n v="0"/>
    <n v="0"/>
    <n v="0"/>
    <n v="0"/>
    <n v="0"/>
    <n v="0"/>
    <n v="0"/>
    <n v="0"/>
    <n v="0"/>
    <n v="0"/>
    <n v="1"/>
    <n v="1.0166666666666666"/>
  </r>
  <r>
    <d v="2021-08-09T00:00:00"/>
    <s v="G"/>
    <x v="6"/>
    <s v="FO009"/>
    <m/>
    <s v="PR1"/>
    <s v="RPP 120 ML BOTTLE PRINTED"/>
    <s v="EH02Bc1H09Pa"/>
    <s v="Pintu"/>
    <n v="8.5"/>
    <n v="5100"/>
    <n v="600"/>
    <n v="6353"/>
    <n v="6322"/>
    <n v="0"/>
    <n v="0"/>
    <n v="54"/>
    <n v="0"/>
    <n v="31"/>
    <n v="0"/>
    <n v="6"/>
    <n v="1053.6666666666667"/>
    <n v="1.2396078431372548"/>
    <s v="FO004"/>
    <n v="0"/>
    <n v="0"/>
    <s v=" "/>
    <n v="4.8795844482921458E-3"/>
    <n v="0"/>
    <n v="0.99512041555170783"/>
    <n v="0.84722222222222221"/>
    <n v="7.6527777777777777"/>
    <n v="0.90032679738562094"/>
    <n v="743.76470588235293"/>
    <n v="32.4"/>
    <n v="26.146788990825687"/>
    <n v="1.239157894736842"/>
    <n v="1.1102031647855111"/>
    <s v="PINPM/21-22/2315,16,17"/>
    <m/>
    <n v="50"/>
    <n v="0"/>
    <n v="0"/>
    <n v="0"/>
    <n v="0"/>
    <n v="0"/>
    <n v="0"/>
    <n v="0"/>
    <n v="0"/>
    <n v="0"/>
    <n v="0"/>
    <n v="0"/>
    <n v="0"/>
    <n v="0"/>
    <n v="0"/>
    <n v="0"/>
    <n v="0"/>
    <n v="0"/>
    <n v="0"/>
    <n v="0"/>
    <n v="0"/>
    <n v="0"/>
    <n v="0"/>
    <n v="0"/>
    <n v="0"/>
    <n v="0"/>
    <n v="0"/>
    <n v="0"/>
    <n v="0.83333333333333337"/>
    <n v="0.84722222222222221"/>
  </r>
  <r>
    <d v="2021-08-09T00:00:00"/>
    <s v="G"/>
    <x v="4"/>
    <s v="FO109"/>
    <m/>
    <m/>
    <s v="NIPPLE S TYPE M SIZE PUNCHED INSPECTED"/>
    <s v="HEH06NaH07PaH07Pb"/>
    <s v="Vivek"/>
    <n v="4.5"/>
    <n v="8091"/>
    <n v="1798"/>
    <n v="7612"/>
    <n v="7570"/>
    <n v="0"/>
    <n v="0"/>
    <n v="0"/>
    <n v="0"/>
    <n v="42"/>
    <n v="0"/>
    <n v="2"/>
    <n v="3785"/>
    <n v="0.93560746508466197"/>
    <s v="FO105"/>
    <n v="0"/>
    <n v="0"/>
    <s v=" "/>
    <n v="5.5176037834997376E-3"/>
    <n v="0"/>
    <n v="0.99448239621650025"/>
    <n v="0.6777777777777777"/>
    <n v="3.8222222222222224"/>
    <n v="0.84938271604938276"/>
    <n v="1682.2222222222222"/>
    <n v="4"/>
    <n v="3.6354029062087188"/>
    <n v="1.1002906976744187"/>
    <n v="0.92941132584677877"/>
    <s v="2299/2300"/>
    <m/>
    <n v="40"/>
    <n v="0"/>
    <n v="0"/>
    <n v="0"/>
    <n v="0"/>
    <n v="0"/>
    <n v="0"/>
    <n v="0"/>
    <n v="0"/>
    <n v="0"/>
    <n v="0"/>
    <n v="0"/>
    <n v="0"/>
    <n v="0"/>
    <n v="0"/>
    <n v="0"/>
    <n v="0"/>
    <n v="0"/>
    <n v="0"/>
    <n v="0"/>
    <n v="0"/>
    <n v="0"/>
    <n v="0"/>
    <n v="0"/>
    <n v="0"/>
    <n v="0"/>
    <n v="0"/>
    <n v="0"/>
    <n v="0.66666666666666663"/>
    <n v="0.6777777777777777"/>
  </r>
  <r>
    <d v="2021-08-09T00:00:00"/>
    <s v="G"/>
    <x v="4"/>
    <s v="FO108"/>
    <m/>
    <m/>
    <s v="NIPPLE S TYPE S SIZE PUNCHED INSPECTED"/>
    <s v="HEH06NcH07PaH09Pa"/>
    <s v="Vivek"/>
    <n v="4"/>
    <n v="6091"/>
    <n v="1522.75"/>
    <n v="4792"/>
    <n v="4772"/>
    <n v="0"/>
    <n v="0"/>
    <n v="0"/>
    <n v="0"/>
    <n v="20"/>
    <n v="0"/>
    <n v="2"/>
    <n v="2386"/>
    <n v="0.78345099326875722"/>
    <s v="FO104"/>
    <n v="0"/>
    <n v="0"/>
    <s v=" "/>
    <n v="4.1736227045075123E-3"/>
    <n v="0"/>
    <n v="0.9958263772954925"/>
    <n v="1.6944444444444444"/>
    <n v="2.3055555555555554"/>
    <n v="0.57638888888888884"/>
    <n v="1193"/>
    <n v="4"/>
    <n v="3.4786253143336126"/>
    <n v="1.1498795180722892"/>
    <n v="0.66001159339640136"/>
    <s v="2301/2302"/>
    <s v="Material short in punching stage"/>
    <n v="10"/>
    <n v="0"/>
    <n v="0"/>
    <n v="90"/>
    <n v="0"/>
    <n v="0"/>
    <n v="0"/>
    <n v="0"/>
    <n v="0"/>
    <n v="0"/>
    <n v="0"/>
    <n v="0"/>
    <n v="0"/>
    <n v="0"/>
    <n v="0"/>
    <n v="0"/>
    <n v="0"/>
    <n v="0"/>
    <n v="0"/>
    <n v="0"/>
    <n v="0"/>
    <n v="0"/>
    <n v="0"/>
    <n v="0"/>
    <n v="0"/>
    <n v="0"/>
    <n v="0"/>
    <n v="0"/>
    <n v="1.6666666666666667"/>
    <n v="1.6944444444444444"/>
  </r>
  <r>
    <d v="2021-08-09T00:00:00"/>
    <s v="B"/>
    <x v="3"/>
    <s v="FO019"/>
    <m/>
    <s v="P1"/>
    <s v="NIPPLE S TYPE S SIZE PUNCHED"/>
    <s v="HEH06NcH07PaH09Pb"/>
    <s v="Saurav"/>
    <n v="8"/>
    <n v="7036"/>
    <n v="879.5"/>
    <n v="6200"/>
    <n v="6200"/>
    <n v="0"/>
    <n v="0"/>
    <n v="0"/>
    <n v="0"/>
    <n v="0"/>
    <n v="0"/>
    <n v="1"/>
    <n v="6200"/>
    <n v="0.88118249005116545"/>
    <s v="FO015"/>
    <n v="0"/>
    <n v="0"/>
    <s v=" "/>
    <n v="0"/>
    <n v="0"/>
    <n v="1"/>
    <n v="0.6777777777777777"/>
    <n v="7.322222222222222"/>
    <n v="0.91527777777777775"/>
    <n v="775"/>
    <n v="3.5"/>
    <n v="4.2516129032258068"/>
    <n v="0.82321699544764793"/>
    <n v="0.75347222222222221"/>
    <s v="2298/2305"/>
    <m/>
    <n v="40"/>
    <n v="0"/>
    <n v="0"/>
    <n v="0"/>
    <n v="0"/>
    <n v="0"/>
    <n v="0"/>
    <n v="0"/>
    <n v="0"/>
    <n v="0"/>
    <n v="0"/>
    <n v="0"/>
    <n v="0"/>
    <n v="0"/>
    <n v="0"/>
    <n v="0"/>
    <n v="0"/>
    <n v="0"/>
    <n v="0"/>
    <n v="0"/>
    <n v="0"/>
    <n v="0"/>
    <n v="0"/>
    <n v="0"/>
    <n v="0"/>
    <n v="0"/>
    <n v="0"/>
    <n v="0"/>
    <n v="0.66666666666666663"/>
    <n v="0.6777777777777777"/>
  </r>
  <r>
    <d v="2021-08-09T00:00:00"/>
    <s v="B"/>
    <x v="1"/>
    <s v="FO002"/>
    <s v="BM2"/>
    <s v="B2"/>
    <s v="KPP 200 ML BOTTLE MOLDED"/>
    <s v="EH09Bb2"/>
    <s v="Saurav"/>
    <n v="8"/>
    <n v="2574"/>
    <n v="321.75"/>
    <n v="3117"/>
    <n v="3024"/>
    <n v="0.15"/>
    <n v="35"/>
    <n v="0"/>
    <n v="0"/>
    <n v="58"/>
    <n v="0"/>
    <n v="1"/>
    <n v="3024"/>
    <n v="1.1748251748251748"/>
    <s v="HMC"/>
    <n v="28.1"/>
    <n v="87.737700000000004"/>
    <n v="0.96850498702382215"/>
    <n v="1.8818948734587931E-2"/>
    <n v="1.1104060913705584E-2"/>
    <n v="0.98139236445299971"/>
    <n v="0"/>
    <n v="8"/>
    <n v="1"/>
    <n v="378"/>
    <n v="9"/>
    <n v="9.5238095238095237"/>
    <n v="0.94500000000000006"/>
    <n v="0.92741578440808481"/>
    <n v="2303"/>
    <m/>
    <n v="0"/>
    <n v="0"/>
    <n v="0"/>
    <n v="0"/>
    <n v="0"/>
    <n v="0"/>
    <n v="0"/>
    <n v="0"/>
    <n v="0"/>
    <n v="0"/>
    <n v="0"/>
    <n v="0"/>
    <n v="0"/>
    <n v="0"/>
    <n v="0"/>
    <n v="0"/>
    <n v="0"/>
    <n v="0"/>
    <n v="0"/>
    <n v="0"/>
    <n v="0"/>
    <n v="0"/>
    <n v="0"/>
    <n v="0"/>
    <n v="0"/>
    <n v="0"/>
    <n v="0"/>
    <n v="0"/>
    <n v="0"/>
    <n v="0"/>
  </r>
  <r>
    <d v="2021-08-09T00:00:00"/>
    <s v="B"/>
    <x v="0"/>
    <s v="FO011"/>
    <s v="M2"/>
    <s v="L2"/>
    <s v="NIPPLE S TYPE S SIZE INJECTION"/>
    <s v="HEH09Nb"/>
    <s v="Saurav"/>
    <n v="8"/>
    <n v="4815"/>
    <n v="601.875"/>
    <n v="3770"/>
    <n v="3700"/>
    <n v="0"/>
    <n v="30"/>
    <n v="0"/>
    <n v="0"/>
    <n v="40"/>
    <n v="0"/>
    <n v="1"/>
    <n v="3700"/>
    <n v="0.76843198338525442"/>
    <s v="Silicon"/>
    <n v="6.8"/>
    <n v="25.635999999999999"/>
    <n v="0.98143236074270557"/>
    <n v="1.06951871657754E-2"/>
    <n v="7.8947368421052634E-3"/>
    <n v="0.98938992042440321"/>
    <n v="1.5249999999999999"/>
    <n v="6.4749999999999996"/>
    <n v="0.80937499999999996"/>
    <n v="462.5"/>
    <n v="5.25"/>
    <n v="6.3"/>
    <n v="0.83333333333333337"/>
    <n v="0.66732288903625114"/>
    <n v="2304"/>
    <m/>
    <n v="0"/>
    <n v="0"/>
    <n v="0"/>
    <n v="0"/>
    <n v="0"/>
    <n v="60"/>
    <n v="30"/>
    <n v="0"/>
    <n v="0"/>
    <n v="0"/>
    <n v="0"/>
    <n v="0"/>
    <n v="0"/>
    <n v="0"/>
    <n v="0"/>
    <n v="0"/>
    <n v="0"/>
    <n v="0"/>
    <n v="0"/>
    <n v="0"/>
    <n v="0"/>
    <n v="0"/>
    <n v="0"/>
    <n v="0"/>
    <n v="0"/>
    <n v="0"/>
    <n v="0"/>
    <n v="0"/>
    <n v="1.5"/>
    <n v="1.5249999999999999"/>
  </r>
  <r>
    <d v="2021-08-09T00:00:00"/>
    <s v="B"/>
    <x v="5"/>
    <s v="FO143"/>
    <m/>
    <s v="INJ-1"/>
    <s v="CAP S TYPE MOLDED PINK"/>
    <s v="EH09CRb"/>
    <s v="Saurav"/>
    <n v="8"/>
    <n v="4137"/>
    <n v="517.125"/>
    <n v="3752"/>
    <n v="3750"/>
    <n v="0"/>
    <n v="0"/>
    <n v="0"/>
    <n v="0"/>
    <n v="2"/>
    <n v="0"/>
    <n v="1"/>
    <n v="3750"/>
    <n v="0.9064539521392313"/>
    <s v="RM000123"/>
    <n v="7.3"/>
    <n v="27.389600000000002"/>
    <n v="0.99946695095948823"/>
    <n v="5.3304904051172707E-4"/>
    <n v="0"/>
    <n v="0.99946695095948823"/>
    <n v="0"/>
    <n v="8"/>
    <n v="1"/>
    <n v="468.75"/>
    <n v="6"/>
    <n v="7.68"/>
    <n v="0.78125"/>
    <n v="0.7808335554371002"/>
    <n v="2689"/>
    <m/>
    <n v="0"/>
    <n v="0"/>
    <n v="0"/>
    <n v="0"/>
    <n v="0"/>
    <n v="0"/>
    <n v="0"/>
    <n v="0"/>
    <n v="0"/>
    <n v="0"/>
    <n v="0"/>
    <n v="0"/>
    <n v="0"/>
    <n v="0"/>
    <n v="0"/>
    <n v="0"/>
    <n v="0"/>
    <n v="0"/>
    <n v="0"/>
    <n v="0"/>
    <n v="0"/>
    <n v="0"/>
    <n v="0"/>
    <n v="0"/>
    <n v="0"/>
    <n v="0"/>
    <n v="0"/>
    <n v="0"/>
    <n v="0"/>
    <n v="0"/>
  </r>
  <r>
    <d v="2021-08-09T00:00:00"/>
    <s v="B"/>
    <x v="2"/>
    <s v="FO015"/>
    <m/>
    <s v="PC1"/>
    <s v="NIPPLE S TYPE S SIZE POSTCURED"/>
    <s v="HEH07NbH09Pb"/>
    <s v="Saurav"/>
    <n v="8"/>
    <n v="9000"/>
    <n v="1125"/>
    <n v="9600"/>
    <n v="9600"/>
    <n v="0"/>
    <n v="0"/>
    <n v="0"/>
    <n v="0"/>
    <n v="0"/>
    <n v="0"/>
    <n v="1"/>
    <n v="9600"/>
    <n v="1.0666666666666667"/>
    <s v="FO011"/>
    <n v="0"/>
    <n v="0"/>
    <s v=" "/>
    <n v="0"/>
    <n v="0"/>
    <n v="1"/>
    <n v="0.6777777777777777"/>
    <n v="7.322222222222222"/>
    <n v="0.91527777777777775"/>
    <n v="1200"/>
    <n v="2.2999999999999998"/>
    <n v="2.7458333333333331"/>
    <n v="0.83763277693474958"/>
    <n v="0.76666666666666661"/>
    <s v="2306/2307/2308"/>
    <m/>
    <n v="40"/>
    <n v="0"/>
    <n v="0"/>
    <n v="0"/>
    <n v="0"/>
    <n v="0"/>
    <n v="0"/>
    <n v="0"/>
    <n v="0"/>
    <n v="0"/>
    <n v="0"/>
    <n v="0"/>
    <n v="0"/>
    <n v="0"/>
    <n v="0"/>
    <n v="0"/>
    <n v="0"/>
    <n v="0"/>
    <n v="0"/>
    <n v="0"/>
    <n v="0"/>
    <n v="0"/>
    <n v="0"/>
    <n v="0"/>
    <n v="0"/>
    <n v="0"/>
    <n v="0"/>
    <n v="0"/>
    <n v="0.66666666666666663"/>
    <n v="0.6777777777777777"/>
  </r>
  <r>
    <d v="2021-08-09T00:00:00"/>
    <s v="C"/>
    <x v="1"/>
    <s v="FO002"/>
    <s v="BM2"/>
    <s v="B2"/>
    <s v="KPP 200 ML BOTTLE MOLDED"/>
    <s v="EH09Bc2"/>
    <s v="Nitin"/>
    <n v="8"/>
    <n v="2574"/>
    <n v="321.75"/>
    <n v="3498"/>
    <n v="3356"/>
    <n v="0"/>
    <n v="26"/>
    <n v="0"/>
    <n v="0"/>
    <n v="108"/>
    <n v="8"/>
    <n v="1"/>
    <n v="3356"/>
    <n v="1.3038073038073037"/>
    <s v="HMC"/>
    <n v="28.1"/>
    <n v="98.293800000000005"/>
    <n v="0.95940537449971408"/>
    <n v="3.117782909930716E-2"/>
    <n v="7.3779795686719635E-3"/>
    <n v="0.96912521440823329"/>
    <n v="0.5083333333333333"/>
    <n v="7.4916666666666671"/>
    <n v="0.93645833333333339"/>
    <n v="419.5"/>
    <n v="9"/>
    <n v="8.0363528009535159"/>
    <n v="1.1199110122358176"/>
    <n v="1.0163700686106347"/>
    <s v="2313\2321"/>
    <s v="machine stop 4 time to cleane lip cavity due to fume issue."/>
    <n v="0"/>
    <n v="0"/>
    <n v="0"/>
    <n v="0"/>
    <n v="0"/>
    <n v="0"/>
    <n v="0"/>
    <n v="0"/>
    <n v="0"/>
    <n v="0"/>
    <n v="30"/>
    <n v="0"/>
    <n v="0"/>
    <n v="0"/>
    <n v="0"/>
    <n v="0"/>
    <n v="0"/>
    <n v="0"/>
    <n v="0"/>
    <n v="0"/>
    <n v="0"/>
    <n v="0"/>
    <n v="0"/>
    <n v="0"/>
    <n v="0"/>
    <n v="0"/>
    <n v="0"/>
    <n v="0"/>
    <n v="0.5"/>
    <n v="0.5083333333333333"/>
  </r>
  <r>
    <d v="2021-08-09T00:00:00"/>
    <s v="C"/>
    <x v="0"/>
    <s v="FO011"/>
    <s v="M2"/>
    <s v="L2"/>
    <s v="NIPPLE S TYPE S SIZE INJECTION"/>
    <s v="HEH09Nc"/>
    <s v="Nitin"/>
    <n v="8"/>
    <n v="4815"/>
    <n v="601.875"/>
    <n v="5086"/>
    <n v="5000"/>
    <n v="0"/>
    <n v="34"/>
    <n v="0"/>
    <n v="0"/>
    <n v="52"/>
    <n v="0"/>
    <n v="1"/>
    <n v="5000"/>
    <n v="1.0384215991692627"/>
    <s v="Silicon"/>
    <n v="6.8"/>
    <n v="34.584800000000001"/>
    <n v="0.98309083759339355"/>
    <n v="1.0292953285827395E-2"/>
    <n v="6.6406249999999998E-3"/>
    <n v="0.98977585528902867"/>
    <n v="0.5083333333333333"/>
    <n v="7.4916666666666671"/>
    <n v="0.93645833333333339"/>
    <n v="625"/>
    <n v="5.25"/>
    <n v="5.3940000000000001"/>
    <n v="0.97330367074527246"/>
    <n v="0.9021394514353126"/>
    <n v="2311"/>
    <m/>
    <n v="0"/>
    <n v="0"/>
    <n v="0"/>
    <n v="0"/>
    <n v="0"/>
    <n v="30"/>
    <n v="0"/>
    <n v="0"/>
    <n v="0"/>
    <n v="0"/>
    <n v="0"/>
    <n v="0"/>
    <n v="0"/>
    <n v="0"/>
    <n v="0"/>
    <n v="0"/>
    <n v="0"/>
    <n v="0"/>
    <n v="0"/>
    <n v="0"/>
    <n v="0"/>
    <n v="0"/>
    <n v="0"/>
    <n v="0"/>
    <n v="0"/>
    <n v="0"/>
    <n v="0"/>
    <n v="0"/>
    <n v="0.5"/>
    <n v="0.5083333333333333"/>
  </r>
  <r>
    <d v="2021-08-09T00:00:00"/>
    <s v="C"/>
    <x v="5"/>
    <s v="FO143"/>
    <m/>
    <s v="INJ-1"/>
    <s v="CAP S TYPE MOLDED PINK"/>
    <s v="EH09CRc"/>
    <s v="Nitin"/>
    <n v="8"/>
    <n v="4137"/>
    <n v="517.125"/>
    <n v="4320"/>
    <n v="4300"/>
    <n v="0"/>
    <n v="0"/>
    <n v="0"/>
    <n v="0"/>
    <n v="4"/>
    <n v="16"/>
    <n v="1"/>
    <n v="4300"/>
    <n v="1.0394005317863186"/>
    <s v="RM000123"/>
    <n v="7.3"/>
    <n v="31.536000000000001"/>
    <n v="0.99537037037037035"/>
    <n v="9.2936802973977691E-4"/>
    <n v="0"/>
    <n v="0.99907407407407411"/>
    <n v="0"/>
    <n v="8"/>
    <n v="1"/>
    <n v="537.5"/>
    <n v="6"/>
    <n v="6.6976744186046515"/>
    <n v="0.89583333333333326"/>
    <n v="0.89500385802469129"/>
    <n v="2689"/>
    <m/>
    <n v="0"/>
    <n v="0"/>
    <n v="0"/>
    <n v="0"/>
    <n v="0"/>
    <n v="0"/>
    <n v="0"/>
    <n v="0"/>
    <n v="0"/>
    <n v="0"/>
    <n v="0"/>
    <n v="0"/>
    <n v="0"/>
    <n v="0"/>
    <n v="0"/>
    <n v="0"/>
    <n v="0"/>
    <n v="0"/>
    <n v="0"/>
    <n v="0"/>
    <n v="0"/>
    <n v="0"/>
    <n v="0"/>
    <n v="0"/>
    <n v="0"/>
    <n v="0"/>
    <n v="0"/>
    <n v="0"/>
    <n v="0"/>
    <n v="0"/>
  </r>
  <r>
    <d v="2021-08-09T00:00:00"/>
    <s v="C"/>
    <x v="2"/>
    <s v="FO015"/>
    <m/>
    <s v="PC1"/>
    <s v="NIPPLE S TYPE S SIZE POSTCURED"/>
    <s v="HEH09NaH09Pc"/>
    <s v="Nitin"/>
    <n v="8"/>
    <n v="7000"/>
    <n v="875"/>
    <n v="10200"/>
    <n v="10200"/>
    <n v="0"/>
    <n v="0"/>
    <n v="0"/>
    <n v="0"/>
    <n v="0"/>
    <n v="0"/>
    <n v="1"/>
    <n v="10200"/>
    <n v="1.4571428571428571"/>
    <s v="FO011"/>
    <n v="0"/>
    <n v="0"/>
    <s v=" "/>
    <n v="0"/>
    <n v="0"/>
    <n v="1"/>
    <n v="0.6777777777777777"/>
    <n v="7.322222222222222"/>
    <n v="0.91527777777777775"/>
    <n v="1275"/>
    <n v="2.2999999999999998"/>
    <n v="2.5843137254901962"/>
    <n v="0.88998482549317137"/>
    <n v="0.81458333333333321"/>
    <s v="2309/2310/2312"/>
    <s v="Plan complete as per material availability"/>
    <n v="40"/>
    <n v="0"/>
    <n v="0"/>
    <n v="0"/>
    <n v="0"/>
    <n v="0"/>
    <n v="0"/>
    <n v="0"/>
    <n v="0"/>
    <n v="0"/>
    <n v="0"/>
    <n v="0"/>
    <n v="0"/>
    <n v="0"/>
    <n v="0"/>
    <n v="0"/>
    <n v="0"/>
    <n v="0"/>
    <n v="0"/>
    <n v="0"/>
    <n v="0"/>
    <n v="0"/>
    <n v="0"/>
    <n v="0"/>
    <n v="0"/>
    <n v="0"/>
    <n v="0"/>
    <n v="0"/>
    <n v="0.66666666666666663"/>
    <n v="0.6777777777777777"/>
  </r>
  <r>
    <d v="2021-08-10T00:00:00"/>
    <s v="A"/>
    <x v="5"/>
    <s v="FO143"/>
    <m/>
    <s v="INJ-1"/>
    <s v="CAP S TYPE MOLDED PINK"/>
    <s v="EH10CRa"/>
    <s v="Himanshu"/>
    <n v="1"/>
    <n v="550"/>
    <n v="550"/>
    <n v="550"/>
    <n v="550"/>
    <n v="0"/>
    <n v="0"/>
    <n v="0"/>
    <n v="0"/>
    <n v="0"/>
    <n v="0"/>
    <n v="1"/>
    <n v="550"/>
    <n v="1"/>
    <s v="RM000123"/>
    <n v="7.3"/>
    <n v="4.0149999999999997"/>
    <n v="1"/>
    <n v="0"/>
    <n v="0"/>
    <n v="1"/>
    <n v="0"/>
    <n v="1"/>
    <n v="1"/>
    <n v="550"/>
    <n v="6"/>
    <n v="6.5454545454545459"/>
    <n v="0.91666666666666663"/>
    <n v="0.91666666666666663"/>
    <n v="2689"/>
    <m/>
    <n v="0"/>
    <n v="0"/>
    <n v="0"/>
    <n v="0"/>
    <n v="0"/>
    <n v="0"/>
    <n v="0"/>
    <n v="0"/>
    <n v="0"/>
    <n v="0"/>
    <n v="0"/>
    <n v="0"/>
    <n v="0"/>
    <n v="0"/>
    <n v="0"/>
    <n v="0"/>
    <n v="0"/>
    <n v="0"/>
    <n v="0"/>
    <n v="0"/>
    <n v="0"/>
    <n v="0"/>
    <n v="0"/>
    <n v="0"/>
    <n v="0"/>
    <n v="0"/>
    <n v="0"/>
    <n v="0"/>
    <n v="0"/>
    <n v="0"/>
  </r>
  <r>
    <d v="2021-08-10T00:00:00"/>
    <s v="A"/>
    <x v="5"/>
    <s v="FO143"/>
    <m/>
    <s v="INJ-1"/>
    <s v="CAP S TYPE MOLDED PINK"/>
    <s v="EH10Ca"/>
    <s v="Himanshu"/>
    <n v="7"/>
    <n v="3587"/>
    <n v="512.42857142857144"/>
    <n v="3402"/>
    <n v="3390"/>
    <n v="0"/>
    <n v="0"/>
    <n v="0"/>
    <n v="0"/>
    <n v="4"/>
    <n v="8"/>
    <n v="1"/>
    <n v="3390"/>
    <n v="0.94507945358238077"/>
    <s v="RM000123"/>
    <n v="7.3"/>
    <n v="24.834600000000002"/>
    <n v="0.9964726631393297"/>
    <n v="1.1785503830288745E-3"/>
    <n v="0"/>
    <n v="0.99882422104644331"/>
    <n v="0.76249999999999996"/>
    <n v="6.2374999999999998"/>
    <n v="0.89107142857142851"/>
    <n v="484.28571428571428"/>
    <n v="6"/>
    <n v="6.6238938053097343"/>
    <n v="0.905811623246493"/>
    <n v="0.80619383555891488"/>
    <n v="2688"/>
    <m/>
    <n v="0"/>
    <n v="0"/>
    <n v="0"/>
    <n v="0"/>
    <n v="0"/>
    <n v="0"/>
    <n v="0"/>
    <n v="0"/>
    <n v="0"/>
    <n v="0"/>
    <n v="0"/>
    <n v="0"/>
    <n v="0"/>
    <n v="0"/>
    <n v="0"/>
    <n v="0"/>
    <n v="0"/>
    <n v="0"/>
    <n v="0"/>
    <n v="0"/>
    <n v="0"/>
    <n v="0"/>
    <n v="0"/>
    <n v="45"/>
    <n v="0"/>
    <n v="0"/>
    <n v="0"/>
    <n v="0"/>
    <n v="0.75"/>
    <n v="0.76249999999999996"/>
  </r>
  <r>
    <d v="2021-08-10T00:00:00"/>
    <s v="A"/>
    <x v="0"/>
    <s v="FO011"/>
    <s v="M2"/>
    <s v="L2"/>
    <s v="NIPPLE S TYPE S SIZE INJECTION"/>
    <s v="HEH10Na"/>
    <s v="Himanshu"/>
    <n v="8"/>
    <n v="4815"/>
    <n v="601.875"/>
    <n v="5405"/>
    <n v="5300"/>
    <n v="0"/>
    <n v="30"/>
    <n v="0"/>
    <m/>
    <n v="67"/>
    <n v="8"/>
    <n v="1"/>
    <n v="5300"/>
    <n v="1.1007268951194185"/>
    <s v="Silicon"/>
    <n v="6.8"/>
    <n v="36.753999999999998"/>
    <n v="0.98057354301572619"/>
    <n v="1.2483696664803428E-2"/>
    <n v="5.5197792088316471E-3"/>
    <n v="0.98760407030527286"/>
    <n v="0"/>
    <n v="8"/>
    <n v="1"/>
    <n v="662.5"/>
    <n v="5.25"/>
    <n v="5.4339622641509431"/>
    <n v="0.96614583333333337"/>
    <n v="0.95416955750847976"/>
    <s v="2327"/>
    <m/>
    <n v="0"/>
    <n v="0"/>
    <n v="0"/>
    <n v="0"/>
    <n v="0"/>
    <n v="0"/>
    <n v="0"/>
    <n v="0"/>
    <n v="0"/>
    <n v="0"/>
    <n v="0"/>
    <n v="0"/>
    <n v="0"/>
    <n v="0"/>
    <n v="0"/>
    <n v="0"/>
    <n v="0"/>
    <n v="0"/>
    <n v="0"/>
    <n v="0"/>
    <n v="0"/>
    <n v="0"/>
    <n v="0"/>
    <n v="0"/>
    <n v="0"/>
    <n v="0"/>
    <n v="0"/>
    <n v="0"/>
    <n v="0"/>
    <n v="0"/>
  </r>
  <r>
    <d v="2021-08-10T00:00:00"/>
    <s v="A"/>
    <x v="3"/>
    <s v="FO019"/>
    <m/>
    <s v="P1"/>
    <s v="NIPPLE S TYPE S SIZE PUNCHED"/>
    <s v="HEH07NbH09Pa"/>
    <s v="Himanshu"/>
    <n v="8"/>
    <n v="7036"/>
    <n v="879.5"/>
    <n v="7000"/>
    <n v="7000"/>
    <n v="0"/>
    <n v="0"/>
    <n v="0"/>
    <n v="0"/>
    <n v="0"/>
    <n v="0"/>
    <n v="1"/>
    <n v="7000"/>
    <n v="0.99488345650938037"/>
    <s v="FO015"/>
    <n v="0"/>
    <n v="0"/>
    <s v=" "/>
    <n v="0"/>
    <n v="0"/>
    <n v="1"/>
    <n v="0.6777777777777777"/>
    <n v="7.322222222222222"/>
    <n v="0.91527777777777775"/>
    <n v="875"/>
    <n v="3.5"/>
    <n v="3.7657142857142856"/>
    <n v="0.92943854324734454"/>
    <n v="0.85069444444444453"/>
    <s v="2328/2329"/>
    <m/>
    <n v="40"/>
    <n v="0"/>
    <n v="0"/>
    <n v="0"/>
    <n v="0"/>
    <n v="0"/>
    <n v="0"/>
    <n v="0"/>
    <n v="0"/>
    <n v="0"/>
    <n v="0"/>
    <n v="0"/>
    <n v="0"/>
    <n v="0"/>
    <n v="0"/>
    <n v="0"/>
    <n v="0"/>
    <n v="0"/>
    <n v="0"/>
    <n v="0"/>
    <n v="0"/>
    <n v="0"/>
    <n v="0"/>
    <n v="0"/>
    <n v="0"/>
    <n v="0"/>
    <n v="0"/>
    <n v="0"/>
    <n v="0.66666666666666663"/>
    <n v="0.6777777777777777"/>
  </r>
  <r>
    <d v="2021-08-10T00:00:00"/>
    <s v="G"/>
    <x v="6"/>
    <s v="FO007"/>
    <m/>
    <s v="PR1"/>
    <s v="KPP 200 ML BOTTLE PRINTED"/>
    <s v="EH06Bb2H10Pa"/>
    <s v="Pintu"/>
    <n v="8.5"/>
    <n v="5100"/>
    <n v="600"/>
    <n v="5324"/>
    <n v="5292"/>
    <n v="0"/>
    <n v="0"/>
    <n v="52"/>
    <n v="0"/>
    <n v="32"/>
    <n v="0"/>
    <n v="6"/>
    <n v="882"/>
    <n v="1.0376470588235294"/>
    <s v="FO002"/>
    <n v="0"/>
    <n v="0"/>
    <s v=" "/>
    <n v="6.0105184072126224E-3"/>
    <n v="0"/>
    <n v="0.99398948159278733"/>
    <n v="0.84722222222222221"/>
    <n v="7.6527777777777777"/>
    <n v="0.90032679738562094"/>
    <n v="622.58823529411768"/>
    <n v="32.4"/>
    <n v="31.235827664399093"/>
    <n v="1.0372704174228675"/>
    <n v="0.9282692358686524"/>
    <s v="PINPM/21-22/2344,45,49"/>
    <m/>
    <n v="50"/>
    <n v="0"/>
    <n v="0"/>
    <n v="0"/>
    <n v="0"/>
    <n v="0"/>
    <n v="0"/>
    <n v="0"/>
    <n v="0"/>
    <n v="0"/>
    <n v="0"/>
    <n v="0"/>
    <n v="0"/>
    <n v="0"/>
    <n v="0"/>
    <n v="0"/>
    <n v="0"/>
    <n v="0"/>
    <n v="0"/>
    <n v="0"/>
    <n v="0"/>
    <n v="0"/>
    <n v="0"/>
    <n v="0"/>
    <n v="0"/>
    <n v="0"/>
    <n v="0"/>
    <n v="0"/>
    <n v="0.83333333333333337"/>
    <n v="0.84722222222222221"/>
  </r>
  <r>
    <d v="2021-08-10T00:00:00"/>
    <s v="G"/>
    <x v="4"/>
    <s v="FO108"/>
    <m/>
    <m/>
    <s v="NIPPLE S TYPE S SIZE PUNCHED INSPECTED"/>
    <s v="HEH07NaH09PaH09Pb"/>
    <s v="Vivek"/>
    <n v="8.5"/>
    <n v="14182"/>
    <n v="1668.4705882352941"/>
    <n v="14000"/>
    <n v="13925"/>
    <n v="0"/>
    <n v="0"/>
    <n v="0"/>
    <n v="0"/>
    <n v="75"/>
    <n v="0"/>
    <n v="2"/>
    <n v="6962.5"/>
    <n v="0.98187843745593006"/>
    <s v="FO104"/>
    <n v="0"/>
    <n v="0"/>
    <s v=" "/>
    <n v="5.3571428571428572E-3"/>
    <n v="0"/>
    <n v="0.99464285714285716"/>
    <n v="0.84722222222222221"/>
    <n v="7.6527777777777777"/>
    <n v="0.90032679738562094"/>
    <n v="1638.2352941176471"/>
    <n v="4"/>
    <n v="3.9569120287253141"/>
    <n v="1.0108892921960073"/>
    <n v="0.90525501867413638"/>
    <s v="2332/2333/2334"/>
    <m/>
    <n v="50"/>
    <n v="0"/>
    <n v="0"/>
    <n v="0"/>
    <n v="0"/>
    <n v="0"/>
    <n v="0"/>
    <n v="0"/>
    <n v="0"/>
    <n v="0"/>
    <n v="0"/>
    <n v="0"/>
    <n v="0"/>
    <n v="0"/>
    <n v="0"/>
    <n v="0"/>
    <n v="0"/>
    <n v="0"/>
    <n v="0"/>
    <n v="0"/>
    <n v="0"/>
    <n v="0"/>
    <n v="0"/>
    <n v="0"/>
    <n v="0"/>
    <n v="0"/>
    <n v="0"/>
    <n v="0"/>
    <n v="0.83333333333333337"/>
    <n v="0.84722222222222221"/>
  </r>
  <r>
    <d v="2021-08-10T00:00:00"/>
    <s v="B"/>
    <x v="3"/>
    <s v="FO019"/>
    <m/>
    <s v="P1"/>
    <s v="NIPPLE S TYPE S SIZE PUNCHED"/>
    <s v="HEH07NcH09PbH10Pb"/>
    <s v="Saurav"/>
    <n v="8"/>
    <n v="7036"/>
    <n v="879.5"/>
    <n v="7100"/>
    <n v="7100"/>
    <n v="0"/>
    <n v="0"/>
    <n v="0"/>
    <n v="0"/>
    <n v="0"/>
    <n v="0"/>
    <n v="1"/>
    <n v="7100"/>
    <n v="1.0090960773166573"/>
    <s v="FO015"/>
    <n v="0"/>
    <n v="0"/>
    <s v=" "/>
    <n v="0"/>
    <n v="0"/>
    <n v="1"/>
    <n v="0.6777777777777777"/>
    <n v="7.322222222222222"/>
    <n v="0.91527777777777775"/>
    <n v="887.5"/>
    <n v="3.5"/>
    <n v="3.7126760563380281"/>
    <n v="0.94271623672230653"/>
    <n v="0.86284722222222221"/>
    <s v="2331/2337"/>
    <m/>
    <n v="40"/>
    <n v="0"/>
    <n v="0"/>
    <n v="0"/>
    <n v="0"/>
    <n v="0"/>
    <n v="0"/>
    <n v="0"/>
    <n v="0"/>
    <n v="0"/>
    <n v="0"/>
    <n v="0"/>
    <n v="0"/>
    <n v="0"/>
    <n v="0"/>
    <n v="0"/>
    <n v="0"/>
    <n v="0"/>
    <n v="0"/>
    <n v="0"/>
    <n v="0"/>
    <n v="0"/>
    <n v="0"/>
    <n v="0"/>
    <n v="0"/>
    <n v="0"/>
    <n v="0"/>
    <n v="0"/>
    <n v="0.66666666666666663"/>
    <n v="0.6777777777777777"/>
  </r>
  <r>
    <d v="2021-08-10T00:00:00"/>
    <s v="B"/>
    <x v="0"/>
    <s v="FO011"/>
    <s v="M2"/>
    <s v="L2"/>
    <s v="NIPPLE S TYPE S SIZE INJECTION"/>
    <s v="HEH10Nb"/>
    <s v="Saurav"/>
    <n v="8"/>
    <n v="4815"/>
    <n v="601.875"/>
    <n v="5109"/>
    <n v="5000"/>
    <n v="0"/>
    <n v="40"/>
    <n v="0"/>
    <n v="0"/>
    <n v="69"/>
    <n v="0"/>
    <n v="1"/>
    <n v="5000"/>
    <n v="1.0384215991692627"/>
    <s v="Silicon"/>
    <n v="6.8"/>
    <n v="34.741199999999999"/>
    <n v="0.97866510080250535"/>
    <n v="1.3612152298283685E-2"/>
    <n v="7.768498737618955E-3"/>
    <n v="0.98649442160892542"/>
    <n v="0"/>
    <n v="8"/>
    <n v="1"/>
    <n v="625"/>
    <n v="5.25"/>
    <n v="5.76"/>
    <n v="0.91145833333333337"/>
    <n v="0.89914856136230181"/>
    <s v="2338/2340"/>
    <m/>
    <n v="0"/>
    <n v="0"/>
    <n v="0"/>
    <n v="0"/>
    <n v="0"/>
    <n v="0"/>
    <n v="0"/>
    <n v="0"/>
    <n v="0"/>
    <n v="0"/>
    <n v="0"/>
    <n v="0"/>
    <n v="0"/>
    <n v="0"/>
    <n v="0"/>
    <n v="0"/>
    <n v="0"/>
    <n v="0"/>
    <n v="0"/>
    <n v="0"/>
    <n v="0"/>
    <n v="0"/>
    <n v="0"/>
    <n v="0"/>
    <n v="0"/>
    <n v="0"/>
    <n v="0"/>
    <n v="0"/>
    <n v="0"/>
    <n v="0"/>
  </r>
  <r>
    <d v="2021-08-10T00:00:00"/>
    <s v="B"/>
    <x v="2"/>
    <s v="FO015"/>
    <m/>
    <s v="PC1"/>
    <s v="NIPPLE S TYPE S SIZE POSTCURED"/>
    <s v="HEH09NcH10Pb"/>
    <s v="Saurav"/>
    <n v="8"/>
    <n v="11000"/>
    <n v="1375"/>
    <n v="11300"/>
    <n v="11300"/>
    <n v="0"/>
    <n v="0"/>
    <n v="0"/>
    <n v="0"/>
    <n v="0"/>
    <n v="0"/>
    <n v="1"/>
    <n v="11300"/>
    <n v="1.0272727272727273"/>
    <s v="FO011"/>
    <n v="0"/>
    <n v="0"/>
    <s v=" "/>
    <n v="0"/>
    <n v="0"/>
    <n v="1"/>
    <n v="0"/>
    <n v="8"/>
    <n v="1"/>
    <n v="1412.5"/>
    <n v="2.2999999999999998"/>
    <n v="2.5486725663716814"/>
    <n v="0.90243055555555551"/>
    <n v="0.90243055555555551"/>
    <s v="2335/2336/2339"/>
    <m/>
    <n v="40"/>
    <n v="0"/>
    <n v="0"/>
    <n v="0"/>
    <n v="0"/>
    <n v="0"/>
    <n v="0"/>
    <n v="0"/>
    <n v="0"/>
    <n v="0"/>
    <n v="0"/>
    <n v="0"/>
    <n v="0"/>
    <n v="0"/>
    <n v="0"/>
    <n v="0"/>
    <n v="0"/>
    <n v="0"/>
    <n v="0"/>
    <n v="0"/>
    <n v="0"/>
    <n v="0"/>
    <n v="0"/>
    <n v="0"/>
    <n v="0"/>
    <n v="0"/>
    <n v="0"/>
    <n v="0"/>
    <m/>
    <m/>
  </r>
  <r>
    <d v="2021-08-10T00:00:00"/>
    <s v="B"/>
    <x v="5"/>
    <s v="FO143"/>
    <m/>
    <s v="INJ-1"/>
    <s v="CAP S TYPE MOLDED PINK"/>
    <s v="EH10CRb"/>
    <s v="Saurav"/>
    <n v="8"/>
    <n v="4137"/>
    <n v="517.125"/>
    <n v="4320"/>
    <n v="4320"/>
    <n v="0"/>
    <n v="0"/>
    <n v="0"/>
    <n v="0"/>
    <n v="0"/>
    <n v="0"/>
    <n v="1"/>
    <n v="4320"/>
    <n v="1.0442349528643944"/>
    <s v="RM000123"/>
    <n v="7.3"/>
    <n v="31.536000000000001"/>
    <n v="1"/>
    <n v="0"/>
    <n v="0"/>
    <n v="1"/>
    <n v="0"/>
    <n v="8"/>
    <n v="1"/>
    <n v="540"/>
    <n v="6"/>
    <n v="6.666666666666667"/>
    <n v="0.89999999999999991"/>
    <n v="0.89999999999999991"/>
    <n v="2689"/>
    <m/>
    <n v="0"/>
    <n v="0"/>
    <n v="0"/>
    <n v="0"/>
    <n v="0"/>
    <n v="0"/>
    <n v="0"/>
    <n v="0"/>
    <n v="0"/>
    <n v="0"/>
    <n v="0"/>
    <n v="0"/>
    <n v="0"/>
    <n v="0"/>
    <n v="0"/>
    <n v="0"/>
    <n v="0"/>
    <n v="0"/>
    <n v="0"/>
    <n v="0"/>
    <n v="0"/>
    <n v="0"/>
    <n v="0"/>
    <n v="0"/>
    <n v="0"/>
    <n v="0"/>
    <n v="0"/>
    <n v="0"/>
    <n v="0"/>
    <n v="0"/>
  </r>
  <r>
    <d v="2021-08-10T00:00:00"/>
    <s v="C"/>
    <x v="1"/>
    <s v="FO003"/>
    <s v="BM3"/>
    <s v="B2"/>
    <s v="KPP 240 ML BOTTLE MOLDED"/>
    <s v="EH10Bc2"/>
    <s v="Nitin"/>
    <n v="8"/>
    <n v="2574"/>
    <n v="321.75"/>
    <n v="1773"/>
    <n v="1620"/>
    <n v="0.23"/>
    <n v="107"/>
    <n v="0"/>
    <n v="0"/>
    <n v="38"/>
    <n v="8"/>
    <n v="1"/>
    <n v="1620"/>
    <n v="0.62937062937062938"/>
    <s v="HMC"/>
    <n v="32.1"/>
    <n v="57.143300000000004"/>
    <n v="0.91002794728340852"/>
    <n v="2.2919179734620022E-2"/>
    <n v="5.6914893617021275E-2"/>
    <n v="0.97856739988719688"/>
    <n v="3.3888888888888888"/>
    <n v="4.6111111111111107"/>
    <n v="0.57638888888888884"/>
    <n v="202.5"/>
    <n v="9"/>
    <n v="10.246913580246913"/>
    <n v="0.87831325301204821"/>
    <n v="0.4953997461928934"/>
    <n v="2372"/>
    <s v="Machine start after heat test pass , scratch mark isuue so polishing done , at 5 am water lekage happen from pu tube of inj MTC."/>
    <n v="0"/>
    <n v="0"/>
    <n v="150"/>
    <n v="0"/>
    <n v="0"/>
    <n v="0"/>
    <n v="20"/>
    <n v="30"/>
    <n v="0"/>
    <n v="0"/>
    <n v="0"/>
    <n v="0"/>
    <n v="0"/>
    <n v="0"/>
    <n v="0"/>
    <n v="0"/>
    <n v="0"/>
    <n v="0"/>
    <n v="0"/>
    <n v="0"/>
    <n v="0"/>
    <n v="0"/>
    <n v="0"/>
    <n v="0"/>
    <n v="0"/>
    <n v="0"/>
    <n v="0"/>
    <n v="0"/>
    <n v="3.3333333333333335"/>
    <n v="3.3888888888888888"/>
  </r>
  <r>
    <d v="2021-08-10T00:00:00"/>
    <s v="C"/>
    <x v="0"/>
    <s v="FO011"/>
    <s v="M2"/>
    <s v="L2"/>
    <s v="NIPPLE S TYPE S SIZE INJECTION"/>
    <s v="HEH10Nc"/>
    <s v="Nitin"/>
    <n v="8"/>
    <n v="4815"/>
    <n v="601.875"/>
    <n v="5090"/>
    <n v="5000"/>
    <n v="0"/>
    <n v="32"/>
    <n v="0"/>
    <n v="0"/>
    <n v="50"/>
    <n v="8"/>
    <n v="1"/>
    <n v="5000"/>
    <n v="1.0384215991692627"/>
    <s v="Silicon"/>
    <n v="6.8"/>
    <n v="34.611999999999995"/>
    <n v="0.98231827111984293"/>
    <n v="9.9009900990099011E-3"/>
    <n v="6.247559547051933E-3"/>
    <n v="0.99017681728880158"/>
    <n v="0"/>
    <n v="8"/>
    <n v="1"/>
    <n v="625"/>
    <n v="5.25"/>
    <n v="5.76"/>
    <n v="0.91145833333333337"/>
    <n v="0.9025049115913556"/>
    <n v="2341"/>
    <m/>
    <n v="0"/>
    <n v="0"/>
    <n v="0"/>
    <n v="0"/>
    <n v="0"/>
    <n v="0"/>
    <n v="0"/>
    <n v="0"/>
    <n v="0"/>
    <n v="0"/>
    <n v="0"/>
    <n v="0"/>
    <n v="0"/>
    <n v="0"/>
    <n v="0"/>
    <n v="0"/>
    <n v="0"/>
    <n v="0"/>
    <n v="0"/>
    <n v="0"/>
    <n v="0"/>
    <n v="0"/>
    <n v="0"/>
    <n v="0"/>
    <n v="0"/>
    <n v="0"/>
    <n v="0"/>
    <n v="0"/>
    <n v="0"/>
    <n v="0"/>
  </r>
  <r>
    <d v="2021-08-10T00:00:00"/>
    <s v="C"/>
    <x v="5"/>
    <s v="FO143"/>
    <m/>
    <s v="INJ-1"/>
    <s v="CAP S TYPE MOLDED PINK"/>
    <s v="EH10Cc"/>
    <s v="Nitin"/>
    <n v="8"/>
    <n v="4137"/>
    <n v="517.125"/>
    <n v="3800"/>
    <n v="3788"/>
    <n v="0"/>
    <n v="0"/>
    <n v="0"/>
    <n v="0"/>
    <n v="4"/>
    <n v="8"/>
    <n v="1"/>
    <n v="3788"/>
    <n v="0.91563935218757553"/>
    <s v="RM000123"/>
    <n v="7.3"/>
    <n v="27.740000000000002"/>
    <n v="0.99684210526315786"/>
    <n v="1.0548523206751054E-3"/>
    <n v="0"/>
    <n v="0.99894736842105258"/>
    <n v="1.0166666666666666"/>
    <n v="6.9833333333333334"/>
    <n v="0.87291666666666667"/>
    <n v="473.5"/>
    <n v="6"/>
    <n v="6.6367476240760297"/>
    <n v="0.90405727923627688"/>
    <n v="0.78833596491228075"/>
    <n v="2688"/>
    <s v="Plan completed so material change in BLUE ."/>
    <n v="0"/>
    <n v="30"/>
    <n v="0"/>
    <n v="0"/>
    <n v="0"/>
    <n v="0"/>
    <n v="30"/>
    <n v="0"/>
    <n v="0"/>
    <n v="0"/>
    <n v="0"/>
    <n v="0"/>
    <n v="0"/>
    <n v="0"/>
    <n v="0"/>
    <n v="0"/>
    <n v="0"/>
    <n v="0"/>
    <n v="0"/>
    <n v="0"/>
    <n v="0"/>
    <n v="0"/>
    <n v="0"/>
    <n v="0"/>
    <n v="0"/>
    <n v="0"/>
    <n v="0"/>
    <n v="0"/>
    <n v="1"/>
    <n v="1.0166666666666666"/>
  </r>
  <r>
    <d v="2021-08-10T00:00:00"/>
    <s v="C"/>
    <x v="2"/>
    <s v="FO015"/>
    <m/>
    <s v="PC1"/>
    <s v="NIPPLE S TYPE S SIZE POSTCURED"/>
    <s v="HEH10NbH10Pc"/>
    <s v="Nitin"/>
    <n v="4"/>
    <n v="7000"/>
    <n v="1750"/>
    <n v="5000"/>
    <n v="5000"/>
    <n v="0"/>
    <n v="0"/>
    <n v="0"/>
    <n v="0"/>
    <n v="0"/>
    <n v="0"/>
    <n v="1"/>
    <n v="5000"/>
    <n v="0.7142857142857143"/>
    <s v="FO011"/>
    <n v="0"/>
    <n v="0"/>
    <s v=" "/>
    <n v="0"/>
    <n v="0"/>
    <n v="1"/>
    <n v="0"/>
    <n v="4"/>
    <n v="1"/>
    <n v="1250"/>
    <n v="2.2999999999999998"/>
    <n v="2.88"/>
    <n v="0.79861111111111105"/>
    <n v="0.79861111111111105"/>
    <s v="2342/2343"/>
    <s v="Plan completed as per material availibility"/>
    <m/>
    <n v="0"/>
    <n v="0"/>
    <n v="0"/>
    <n v="0"/>
    <n v="0"/>
    <n v="0"/>
    <n v="0"/>
    <n v="0"/>
    <n v="0"/>
    <n v="0"/>
    <n v="0"/>
    <n v="0"/>
    <n v="0"/>
    <n v="0"/>
    <n v="0"/>
    <n v="0"/>
    <n v="0"/>
    <n v="0"/>
    <n v="0"/>
    <n v="0"/>
    <n v="0"/>
    <n v="0"/>
    <n v="0"/>
    <n v="0"/>
    <n v="0"/>
    <n v="0"/>
    <n v="0"/>
    <n v="0"/>
    <n v="0"/>
  </r>
  <r>
    <d v="2021-08-11T00:00:00"/>
    <s v="A"/>
    <x v="0"/>
    <s v="FO011"/>
    <s v="M2"/>
    <s v="L2"/>
    <s v="NIPPLE S TYPE S SIZE INJECTION"/>
    <s v="HEH11Na"/>
    <s v="Himanshu"/>
    <n v="8"/>
    <n v="4815"/>
    <n v="601.875"/>
    <n v="4959"/>
    <n v="4820"/>
    <n v="64.88"/>
    <n v="70"/>
    <n v="0"/>
    <n v="0"/>
    <n v="61"/>
    <n v="8"/>
    <n v="1"/>
    <n v="4820"/>
    <n v="1.0010384215991692"/>
    <s v="Silicon"/>
    <n v="6.8"/>
    <n v="98.601199999999992"/>
    <n v="0.33240974754871139"/>
    <n v="1.2497439049375128E-2"/>
    <n v="1.3919268244183734E-2"/>
    <n v="0.98769913288969546"/>
    <n v="0.76249999999999996"/>
    <n v="7.2374999999999998"/>
    <n v="0.90468749999999998"/>
    <n v="602.5"/>
    <n v="5.25"/>
    <n v="5.4056016597510377"/>
    <n v="0.97121473805411618"/>
    <n v="0.86783772770047707"/>
    <n v="2359"/>
    <s v="Drum Change over"/>
    <n v="0"/>
    <n v="0"/>
    <n v="0"/>
    <n v="0"/>
    <n v="0"/>
    <n v="0"/>
    <n v="0"/>
    <n v="0"/>
    <n v="45"/>
    <n v="0"/>
    <n v="0"/>
    <n v="0"/>
    <n v="0"/>
    <n v="0"/>
    <n v="0"/>
    <n v="0"/>
    <n v="0"/>
    <n v="0"/>
    <n v="0"/>
    <n v="0"/>
    <n v="0"/>
    <n v="0"/>
    <n v="0"/>
    <n v="0"/>
    <n v="0"/>
    <n v="0"/>
    <n v="0"/>
    <n v="0"/>
    <n v="0.75"/>
    <n v="0.76249999999999996"/>
  </r>
  <r>
    <d v="2021-08-11T00:00:00"/>
    <s v="A"/>
    <x v="3"/>
    <s v="FO019"/>
    <m/>
    <s v="P1"/>
    <s v="NIPPLE S TYPE S SIZE PUNCHED"/>
    <s v="HEH09NbH09Pc"/>
    <s v="Himanshu"/>
    <n v="8"/>
    <n v="7036"/>
    <n v="879.5"/>
    <n v="6700"/>
    <n v="6700"/>
    <n v="0"/>
    <n v="0"/>
    <n v="0"/>
    <n v="0"/>
    <n v="0"/>
    <n v="0"/>
    <n v="1"/>
    <n v="6700"/>
    <n v="0.95224559408754972"/>
    <s v="FO015"/>
    <n v="0"/>
    <n v="0"/>
    <s v=" "/>
    <n v="0"/>
    <n v="0"/>
    <n v="1"/>
    <n v="0.6777777777777777"/>
    <n v="7.322222222222222"/>
    <n v="0.91527777777777775"/>
    <n v="837.5"/>
    <n v="3.5"/>
    <n v="3.9343283582089552"/>
    <n v="0.88960546282245823"/>
    <n v="0.81423611111111105"/>
    <s v="2357/2358"/>
    <m/>
    <n v="40"/>
    <n v="0"/>
    <n v="0"/>
    <n v="0"/>
    <n v="0"/>
    <n v="0"/>
    <n v="0"/>
    <n v="0"/>
    <n v="0"/>
    <n v="0"/>
    <n v="0"/>
    <n v="0"/>
    <n v="0"/>
    <n v="0"/>
    <n v="0"/>
    <n v="0"/>
    <n v="0"/>
    <n v="0"/>
    <n v="0"/>
    <n v="0"/>
    <n v="0"/>
    <n v="0"/>
    <n v="0"/>
    <n v="0"/>
    <n v="0"/>
    <n v="0"/>
    <n v="0"/>
    <n v="0"/>
    <n v="0.66666666666666663"/>
    <n v="0.6777777777777777"/>
  </r>
  <r>
    <d v="2021-08-11T00:00:00"/>
    <s v="A"/>
    <x v="5"/>
    <s v="FO144"/>
    <m/>
    <s v="INJ-1"/>
    <s v="CAP S TYPE MOLDED BLUE"/>
    <s v="EH11Ca"/>
    <s v="Himanshu"/>
    <n v="8"/>
    <n v="4137"/>
    <n v="517.125"/>
    <n v="4372"/>
    <n v="4300"/>
    <n v="0"/>
    <n v="41"/>
    <n v="0"/>
    <n v="0"/>
    <n v="23"/>
    <n v="8"/>
    <n v="1"/>
    <n v="4300"/>
    <n v="1.0394005317863186"/>
    <s v="RM000114"/>
    <n v="7.3"/>
    <n v="31.915600000000001"/>
    <n v="0.98353156450137236"/>
    <n v="5.320379366180893E-3"/>
    <n v="9.290731928393383E-3"/>
    <n v="0.99473924977127171"/>
    <n v="0.5083333333333333"/>
    <n v="7.4916666666666671"/>
    <n v="0.93645833333333339"/>
    <n v="537.5"/>
    <n v="6"/>
    <n v="6.2720930232558141"/>
    <n v="0.95661846496106784"/>
    <n v="0.89112057792009758"/>
    <n v="2690"/>
    <s v="RUNNER WASTAGE BOOKEd(24.6886kg)"/>
    <n v="0"/>
    <n v="30"/>
    <n v="0"/>
    <n v="0"/>
    <n v="0"/>
    <n v="0"/>
    <n v="0"/>
    <n v="0"/>
    <n v="0"/>
    <n v="0"/>
    <n v="0"/>
    <n v="0"/>
    <n v="0"/>
    <n v="0"/>
    <n v="0"/>
    <n v="0"/>
    <n v="0"/>
    <n v="0"/>
    <n v="0"/>
    <n v="0"/>
    <n v="0"/>
    <n v="0"/>
    <n v="0"/>
    <n v="0"/>
    <n v="0"/>
    <n v="0"/>
    <n v="0"/>
    <n v="0"/>
    <n v="0.5"/>
    <n v="0.5083333333333333"/>
  </r>
  <r>
    <d v="2021-08-11T00:00:00"/>
    <s v="A"/>
    <x v="2"/>
    <s v="FO015"/>
    <m/>
    <s v="PC1"/>
    <s v="NIPPLE S TYPE S SIZE POSTCURED"/>
    <s v="HEH10NcH11Pa"/>
    <s v="Himanshu"/>
    <n v="2"/>
    <n v="3000"/>
    <n v="1500"/>
    <n v="3000"/>
    <n v="3000"/>
    <n v="0"/>
    <n v="0"/>
    <n v="0"/>
    <n v="0"/>
    <n v="0"/>
    <n v="0"/>
    <n v="1"/>
    <n v="3000"/>
    <n v="1"/>
    <s v="FO011"/>
    <n v="0"/>
    <n v="0"/>
    <s v=" "/>
    <n v="0"/>
    <n v="0"/>
    <n v="1"/>
    <n v="0"/>
    <n v="2"/>
    <n v="1"/>
    <n v="1500"/>
    <n v="2.2999999999999998"/>
    <n v="2.4"/>
    <n v="0.95833333333333326"/>
    <n v="0.95833333333333326"/>
    <s v="2361/2362"/>
    <m/>
    <n v="0"/>
    <n v="0"/>
    <n v="0"/>
    <n v="0"/>
    <n v="0"/>
    <n v="0"/>
    <n v="0"/>
    <n v="0"/>
    <n v="0"/>
    <n v="0"/>
    <n v="0"/>
    <n v="0"/>
    <n v="0"/>
    <n v="0"/>
    <n v="0"/>
    <n v="0"/>
    <n v="0"/>
    <n v="0"/>
    <n v="0"/>
    <n v="0"/>
    <n v="0"/>
    <n v="0"/>
    <n v="0"/>
    <n v="0"/>
    <n v="0"/>
    <n v="0"/>
    <n v="0"/>
    <n v="0"/>
    <n v="0"/>
    <n v="0"/>
  </r>
  <r>
    <d v="2021-08-11T00:00:00"/>
    <s v="G"/>
    <x v="6"/>
    <s v="FO007"/>
    <m/>
    <s v="PR1"/>
    <s v="KPP 200 ML BOTTLE PRINTED"/>
    <s v="EH07Ba1H11Pa"/>
    <s v="Pintu"/>
    <n v="8.5"/>
    <n v="5100"/>
    <n v="600"/>
    <n v="5928"/>
    <n v="5899"/>
    <n v="0"/>
    <n v="0"/>
    <n v="56"/>
    <n v="0"/>
    <n v="29"/>
    <n v="0"/>
    <n v="6"/>
    <n v="983.16666666666663"/>
    <n v="1.1566666666666667"/>
    <s v="FO002"/>
    <n v="0"/>
    <n v="0"/>
    <s v=" "/>
    <n v="4.8920377867746291E-3"/>
    <n v="0"/>
    <n v="0.99510796221322539"/>
    <n v="0.84722222222222221"/>
    <n v="7.6527777777777777"/>
    <n v="0.90032679738562094"/>
    <n v="694"/>
    <n v="32.4"/>
    <n v="28.02169859298186"/>
    <n v="1.1562468239564427"/>
    <n v="1.0359073886639676"/>
    <s v="PINPM/21-22/2377,78"/>
    <m/>
    <n v="50"/>
    <n v="0"/>
    <n v="0"/>
    <n v="0"/>
    <n v="0"/>
    <n v="0"/>
    <n v="0"/>
    <n v="0"/>
    <n v="0"/>
    <n v="0"/>
    <n v="0"/>
    <n v="0"/>
    <n v="0"/>
    <n v="0"/>
    <n v="0"/>
    <n v="0"/>
    <n v="0"/>
    <n v="0"/>
    <n v="0"/>
    <n v="0"/>
    <n v="0"/>
    <n v="0"/>
    <n v="0"/>
    <n v="0"/>
    <n v="0"/>
    <n v="0"/>
    <n v="0"/>
    <n v="0"/>
    <n v="0.83333333333333337"/>
    <n v="0.84722222222222221"/>
  </r>
  <r>
    <d v="2021-08-11T00:00:00"/>
    <s v="G"/>
    <x v="4"/>
    <s v="FO108"/>
    <m/>
    <m/>
    <s v="NIPPLE S TYPE S SIZE PUNCHED INSPECTED"/>
    <s v="HEH09NaH09PaH10Pb"/>
    <s v="Vivek"/>
    <n v="8.5"/>
    <n v="14182"/>
    <n v="1668.4705882352941"/>
    <n v="13200"/>
    <n v="13116"/>
    <n v="0"/>
    <n v="0"/>
    <n v="0"/>
    <n v="0"/>
    <n v="84"/>
    <n v="0"/>
    <n v="2"/>
    <n v="6558"/>
    <n v="0.92483429699619235"/>
    <s v="FO104"/>
    <n v="0"/>
    <n v="0"/>
    <s v=" "/>
    <n v="6.3636363636363638E-3"/>
    <n v="0"/>
    <n v="0.99363636363636365"/>
    <n v="1.5249999999999999"/>
    <n v="6.9749999999999996"/>
    <n v="0.82058823529411762"/>
    <n v="1543.0588235294117"/>
    <n v="4"/>
    <n v="3.828911253430924"/>
    <n v="1.04468339307049"/>
    <n v="0.85179964349376125"/>
    <s v="2366/2367/2368"/>
    <m/>
    <n v="50"/>
    <n v="0"/>
    <n v="0"/>
    <n v="40"/>
    <n v="0"/>
    <n v="0"/>
    <n v="0"/>
    <n v="0"/>
    <n v="0"/>
    <n v="0"/>
    <n v="0"/>
    <n v="0"/>
    <n v="0"/>
    <n v="0"/>
    <n v="0"/>
    <n v="0"/>
    <n v="0"/>
    <n v="0"/>
    <n v="0"/>
    <n v="0"/>
    <n v="0"/>
    <n v="0"/>
    <n v="0"/>
    <n v="0"/>
    <n v="0"/>
    <n v="0"/>
    <n v="0"/>
    <n v="0"/>
    <n v="1.5"/>
    <n v="1.5249999999999999"/>
  </r>
  <r>
    <d v="2021-08-11T00:00:00"/>
    <s v="B"/>
    <x v="3"/>
    <s v="FO019"/>
    <m/>
    <s v="P1"/>
    <s v="NIPPLE S TYPE S SIZE PUNCHED"/>
    <s v="HEH09NcH10Pb"/>
    <s v="Saurav"/>
    <n v="8"/>
    <n v="7036"/>
    <n v="879.5"/>
    <n v="7300"/>
    <n v="7300"/>
    <n v="0"/>
    <n v="0"/>
    <n v="0"/>
    <n v="0"/>
    <n v="0"/>
    <n v="0"/>
    <n v="1"/>
    <n v="7300"/>
    <n v="1.0375213189312109"/>
    <s v="FO015"/>
    <n v="0"/>
    <n v="0"/>
    <s v=" "/>
    <n v="0"/>
    <n v="0"/>
    <n v="1"/>
    <n v="0.6777777777777777"/>
    <n v="7.322222222222222"/>
    <n v="0.91527777777777775"/>
    <n v="912.5"/>
    <n v="3.5"/>
    <n v="3.6109589041095891"/>
    <n v="0.96927162367223063"/>
    <n v="0.88715277777777768"/>
    <s v="2364/2365"/>
    <m/>
    <n v="40"/>
    <n v="0"/>
    <n v="0"/>
    <n v="0"/>
    <n v="0"/>
    <n v="0"/>
    <n v="0"/>
    <n v="0"/>
    <n v="0"/>
    <n v="0"/>
    <n v="0"/>
    <n v="0"/>
    <n v="0"/>
    <n v="0"/>
    <n v="0"/>
    <n v="0"/>
    <n v="0"/>
    <n v="0"/>
    <n v="0"/>
    <n v="0"/>
    <n v="0"/>
    <n v="0"/>
    <n v="0"/>
    <n v="0"/>
    <n v="0"/>
    <n v="0"/>
    <n v="0"/>
    <n v="0"/>
    <n v="0.66666666666666663"/>
    <n v="0.6777777777777777"/>
  </r>
  <r>
    <d v="2021-08-11T00:00:00"/>
    <s v="B"/>
    <x v="2"/>
    <s v="FO015"/>
    <m/>
    <s v="PC1"/>
    <s v="NIPPLE S TYPE S SIZE POSTCURED"/>
    <s v="HEH11NaH11Pb"/>
    <s v="Saurav"/>
    <n v="8"/>
    <n v="7091"/>
    <n v="886.375"/>
    <n v="6820"/>
    <n v="6820"/>
    <n v="0"/>
    <n v="0"/>
    <n v="0"/>
    <n v="0"/>
    <n v="0"/>
    <n v="0"/>
    <n v="1"/>
    <n v="6820"/>
    <n v="0.96178254124947116"/>
    <s v="FO011"/>
    <n v="0"/>
    <n v="0"/>
    <s v=" "/>
    <n v="0"/>
    <n v="0"/>
    <n v="1"/>
    <n v="2.7111111111111108"/>
    <n v="5.2888888888888896"/>
    <n v="0.6611111111111112"/>
    <n v="852.5"/>
    <n v="2.2999999999999998"/>
    <n v="2.791788856304986"/>
    <n v="0.82384453781512579"/>
    <n v="0.54465277777777765"/>
    <n v="2369"/>
    <s v="Plan completed as per material availibility"/>
    <n v="40"/>
    <n v="0"/>
    <n v="0"/>
    <n v="120"/>
    <n v="0"/>
    <n v="0"/>
    <n v="0"/>
    <n v="0"/>
    <n v="0"/>
    <n v="0"/>
    <n v="0"/>
    <n v="0"/>
    <n v="0"/>
    <n v="0"/>
    <n v="0"/>
    <n v="0"/>
    <n v="0"/>
    <n v="0"/>
    <n v="0"/>
    <n v="0"/>
    <n v="0"/>
    <n v="0"/>
    <n v="0"/>
    <n v="0"/>
    <n v="0"/>
    <n v="0"/>
    <n v="0"/>
    <n v="0"/>
    <n v="2.6666666666666665"/>
    <n v="2.7111111111111108"/>
  </r>
  <r>
    <d v="2021-08-11T00:00:00"/>
    <s v="B"/>
    <x v="0"/>
    <s v="FO011"/>
    <s v="M2"/>
    <s v="L2"/>
    <s v="NIPPLE S TYPE S SIZE INJECTION"/>
    <s v="HEH11Nb"/>
    <s v="Saurav"/>
    <n v="8"/>
    <n v="4815"/>
    <n v="601.875"/>
    <n v="4586"/>
    <n v="4500"/>
    <n v="0"/>
    <n v="35"/>
    <n v="0"/>
    <n v="0"/>
    <n v="51"/>
    <n v="0"/>
    <n v="1"/>
    <n v="4500"/>
    <n v="0.93457943925233644"/>
    <s v="Silicon"/>
    <n v="6.8"/>
    <n v="31.184799999999999"/>
    <n v="0.98124727431312686"/>
    <n v="1.1206328279499011E-2"/>
    <n v="7.5741181562432374E-3"/>
    <n v="0.98887919755778453"/>
    <n v="0"/>
    <n v="8"/>
    <n v="1"/>
    <n v="562.5"/>
    <n v="5.25"/>
    <n v="6.4"/>
    <n v="0.8203125"/>
    <n v="0.81118996674662014"/>
    <n v="2370"/>
    <m/>
    <n v="0"/>
    <n v="0"/>
    <n v="0"/>
    <n v="0"/>
    <n v="0"/>
    <n v="0"/>
    <n v="0"/>
    <n v="0"/>
    <n v="0"/>
    <n v="0"/>
    <n v="0"/>
    <n v="0"/>
    <n v="0"/>
    <n v="0"/>
    <n v="0"/>
    <n v="0"/>
    <n v="0"/>
    <n v="0"/>
    <n v="0"/>
    <n v="0"/>
    <n v="0"/>
    <n v="0"/>
    <n v="0"/>
    <n v="0"/>
    <n v="0"/>
    <n v="0"/>
    <n v="0"/>
    <n v="0"/>
    <n v="0"/>
    <n v="0"/>
  </r>
  <r>
    <d v="2021-08-11T00:00:00"/>
    <s v="B"/>
    <x v="5"/>
    <s v="FO144"/>
    <m/>
    <s v="INJ-1"/>
    <s v="CAP S TYPE MOLDED BLUE"/>
    <s v="EH11Cb"/>
    <s v="Saurav"/>
    <n v="2"/>
    <n v="1040"/>
    <n v="520"/>
    <n v="1040"/>
    <n v="1040"/>
    <n v="0"/>
    <n v="0"/>
    <n v="0"/>
    <n v="0"/>
    <n v="0"/>
    <n v="0"/>
    <n v="1"/>
    <n v="1040"/>
    <n v="1"/>
    <s v="RM000114"/>
    <n v="7.3"/>
    <n v="7.5919999999999996"/>
    <n v="1"/>
    <n v="0"/>
    <n v="0"/>
    <n v="1"/>
    <n v="0"/>
    <n v="2"/>
    <n v="1"/>
    <n v="520"/>
    <n v="6"/>
    <n v="6.9230769230769234"/>
    <n v="0.86666666666666659"/>
    <n v="0.86666666666666659"/>
    <n v="2690"/>
    <m/>
    <n v="0"/>
    <n v="0"/>
    <n v="0"/>
    <n v="0"/>
    <n v="0"/>
    <n v="0"/>
    <n v="0"/>
    <n v="0"/>
    <n v="0"/>
    <n v="0"/>
    <n v="0"/>
    <n v="0"/>
    <n v="0"/>
    <n v="0"/>
    <n v="0"/>
    <n v="0"/>
    <n v="0"/>
    <n v="0"/>
    <n v="0"/>
    <n v="0"/>
    <n v="0"/>
    <n v="0"/>
    <n v="0"/>
    <n v="0"/>
    <n v="0"/>
    <n v="0"/>
    <n v="0"/>
    <n v="0"/>
    <n v="0"/>
    <n v="0"/>
  </r>
  <r>
    <d v="2021-08-11T00:00:00"/>
    <s v="B"/>
    <x v="5"/>
    <s v="FO144"/>
    <m/>
    <s v="INJ-1"/>
    <s v="CAP S TYPE MOLDED BLUE"/>
    <s v="EH11CRb"/>
    <s v="Saurav"/>
    <n v="6"/>
    <n v="3097"/>
    <n v="516.16666666666663"/>
    <n v="3505"/>
    <n v="3500"/>
    <n v="0"/>
    <n v="0"/>
    <n v="0"/>
    <n v="0"/>
    <n v="5"/>
    <n v="0"/>
    <n v="1"/>
    <n v="3500"/>
    <n v="1.1301259283177267"/>
    <s v="RM000114"/>
    <n v="7.3"/>
    <n v="25.586500000000001"/>
    <n v="0.99857346647646217"/>
    <n v="1.4265335235378032E-3"/>
    <n v="0"/>
    <n v="0.99857346647646217"/>
    <n v="0"/>
    <n v="6"/>
    <n v="1"/>
    <n v="583.33333333333337"/>
    <n v="6"/>
    <n v="6.1714285714285717"/>
    <n v="0.97222222222222221"/>
    <n v="0.97083531462989381"/>
    <n v="2691"/>
    <m/>
    <n v="0"/>
    <n v="0"/>
    <n v="0"/>
    <n v="0"/>
    <n v="0"/>
    <n v="0"/>
    <n v="0"/>
    <n v="0"/>
    <n v="0"/>
    <n v="0"/>
    <n v="0"/>
    <n v="0"/>
    <n v="0"/>
    <n v="0"/>
    <n v="0"/>
    <n v="0"/>
    <n v="0"/>
    <n v="0"/>
    <n v="0"/>
    <n v="0"/>
    <n v="0"/>
    <n v="0"/>
    <n v="0"/>
    <n v="0"/>
    <n v="0"/>
    <n v="0"/>
    <n v="0"/>
    <n v="0"/>
    <n v="0"/>
    <n v="0"/>
  </r>
  <r>
    <d v="2021-08-11T00:00:00"/>
    <s v="C"/>
    <x v="1"/>
    <s v="FO001"/>
    <s v="BM4"/>
    <s v="B1"/>
    <s v="KPP 120 ML BOTTLE MOLDED"/>
    <s v="EH11Bc1"/>
    <s v="Nitin"/>
    <n v="1.2"/>
    <n v="500"/>
    <n v="416.66666666666669"/>
    <n v="489"/>
    <n v="453"/>
    <n v="0.25"/>
    <n v="18"/>
    <n v="0"/>
    <n v="0"/>
    <n v="10"/>
    <n v="8"/>
    <n v="1"/>
    <n v="453"/>
    <n v="0.90600000000000003"/>
    <s v="HMC"/>
    <n v="21.3"/>
    <n v="10.665699999999999"/>
    <n v="0.90466636038891024"/>
    <n v="2.159827213822894E-2"/>
    <n v="3.5502958579881658E-2"/>
    <n v="0.9795501022494888"/>
    <n v="0"/>
    <n v="1.2"/>
    <n v="1"/>
    <n v="377.5"/>
    <n v="9"/>
    <n v="9.5364238410596034"/>
    <n v="0.94374999999999998"/>
    <n v="0.92445040899795505"/>
    <n v="2373"/>
    <s v="Machine start after heat test pass , thickness issue coming so adjut parameters but no major improvement coming after that change inj core cooling pipe fan type to round and againe sample given for heat test , heat test result is fail 3 time."/>
    <n v="0"/>
    <n v="0"/>
    <n v="0"/>
    <n v="0"/>
    <n v="0"/>
    <n v="0"/>
    <n v="0"/>
    <n v="0"/>
    <n v="0"/>
    <n v="0"/>
    <n v="0"/>
    <n v="0"/>
    <n v="0"/>
    <n v="0"/>
    <n v="0"/>
    <n v="0"/>
    <n v="0"/>
    <n v="0"/>
    <n v="0"/>
    <n v="0"/>
    <n v="0"/>
    <n v="0"/>
    <n v="0"/>
    <n v="0"/>
    <n v="0"/>
    <n v="0"/>
    <n v="0"/>
    <n v="0"/>
    <n v="0"/>
    <n v="0"/>
  </r>
  <r>
    <d v="2021-08-11T00:00:00"/>
    <s v="C"/>
    <x v="0"/>
    <s v="FO011"/>
    <s v="M2"/>
    <s v="L2"/>
    <s v="NIPPLE S TYPE S SIZE INJECTION"/>
    <s v="HEH11Nc"/>
    <s v="Nitin"/>
    <n v="8"/>
    <n v="4815"/>
    <n v="601.875"/>
    <n v="5373"/>
    <n v="5300"/>
    <n v="0"/>
    <n v="0"/>
    <n v="0"/>
    <n v="0"/>
    <n v="65"/>
    <n v="8"/>
    <n v="1"/>
    <n v="5300"/>
    <n v="1.1007268951194185"/>
    <s v="Silicon"/>
    <n v="6.8"/>
    <n v="36.5364"/>
    <n v="0.98641354922761959"/>
    <n v="1.2115563839701771E-2"/>
    <n v="0"/>
    <n v="0.98790247533966125"/>
    <n v="0"/>
    <n v="8"/>
    <n v="1"/>
    <n v="662.5"/>
    <n v="5.25"/>
    <n v="5.4339622641509431"/>
    <n v="0.96614583333333337"/>
    <n v="0.95445786028909985"/>
    <n v="2374"/>
    <m/>
    <n v="0"/>
    <n v="0"/>
    <n v="0"/>
    <n v="0"/>
    <n v="0"/>
    <n v="0"/>
    <n v="0"/>
    <n v="0"/>
    <n v="0"/>
    <n v="0"/>
    <n v="0"/>
    <n v="0"/>
    <n v="0"/>
    <n v="0"/>
    <n v="0"/>
    <n v="0"/>
    <n v="0"/>
    <n v="0"/>
    <n v="0"/>
    <n v="0"/>
    <n v="0"/>
    <n v="0"/>
    <n v="0"/>
    <n v="0"/>
    <n v="0"/>
    <n v="0"/>
    <n v="0"/>
    <n v="0"/>
    <n v="0"/>
    <n v="0"/>
  </r>
  <r>
    <d v="2021-08-11T00:00:00"/>
    <s v="C"/>
    <x v="2"/>
    <s v="FO015"/>
    <m/>
    <s v="PC1"/>
    <s v="NIPPLE S TYPE S SIZE POSTCURED"/>
    <s v="HEH11NCH11PC"/>
    <s v="Nitin"/>
    <n v="4"/>
    <n v="7000"/>
    <n v="1750"/>
    <n v="5500"/>
    <n v="5500"/>
    <n v="0"/>
    <n v="0"/>
    <n v="0"/>
    <n v="0"/>
    <n v="0"/>
    <n v="0"/>
    <n v="1"/>
    <n v="5500"/>
    <n v="0.7857142857142857"/>
    <s v="FO011"/>
    <n v="0"/>
    <n v="0"/>
    <s v=" "/>
    <n v="0"/>
    <n v="0"/>
    <n v="1"/>
    <n v="0"/>
    <n v="4"/>
    <n v="1"/>
    <n v="1375"/>
    <n v="2.2999999999999998"/>
    <n v="2.6181818181818182"/>
    <n v="0.87847222222222221"/>
    <n v="0.87847222222222221"/>
    <s v="2375/2376"/>
    <s v="Plan completed as per material availibility"/>
    <m/>
    <n v="0"/>
    <n v="0"/>
    <n v="0"/>
    <n v="0"/>
    <n v="0"/>
    <n v="0"/>
    <n v="0"/>
    <n v="0"/>
    <n v="0"/>
    <n v="0"/>
    <n v="0"/>
    <n v="0"/>
    <n v="0"/>
    <n v="0"/>
    <n v="0"/>
    <n v="0"/>
    <n v="0"/>
    <n v="0"/>
    <n v="0"/>
    <n v="0"/>
    <n v="0"/>
    <n v="0"/>
    <n v="0"/>
    <n v="0"/>
    <n v="0"/>
    <n v="0"/>
    <n v="0"/>
    <n v="0"/>
    <n v="0"/>
  </r>
  <r>
    <d v="2021-08-11T00:00:00"/>
    <s v="C"/>
    <x v="5"/>
    <s v="FO144"/>
    <m/>
    <s v="INJ-1"/>
    <s v="CAP S TYPE MOLDED BLUE"/>
    <s v="EH11CRc"/>
    <s v="Nitin"/>
    <n v="8"/>
    <n v="7091"/>
    <n v="886.375"/>
    <n v="4223"/>
    <n v="4200"/>
    <n v="0.15"/>
    <n v="0"/>
    <n v="0"/>
    <n v="0"/>
    <n v="15"/>
    <n v="8"/>
    <n v="1"/>
    <n v="4200"/>
    <n v="0.5923000987166831"/>
    <s v="RM000114"/>
    <n v="7.3"/>
    <n v="30.977899999999998"/>
    <n v="0.98973784536718123"/>
    <n v="3.5587188612099642E-3"/>
    <n v="0"/>
    <n v="0.99644802273265454"/>
    <n v="0"/>
    <n v="8"/>
    <n v="1"/>
    <n v="525"/>
    <n v="6"/>
    <n v="6.8571428571428568"/>
    <n v="0.875"/>
    <n v="0.87189201989107268"/>
    <n v="2691"/>
    <m/>
    <n v="0"/>
    <n v="0"/>
    <n v="0"/>
    <n v="0"/>
    <n v="0"/>
    <n v="0"/>
    <n v="0"/>
    <n v="0"/>
    <n v="0"/>
    <n v="0"/>
    <n v="0"/>
    <n v="0"/>
    <n v="0"/>
    <n v="0"/>
    <n v="0"/>
    <n v="0"/>
    <n v="0"/>
    <n v="0"/>
    <n v="0"/>
    <n v="0"/>
    <n v="0"/>
    <n v="0"/>
    <n v="0"/>
    <n v="0"/>
    <n v="0"/>
    <n v="0"/>
    <n v="0"/>
    <n v="0"/>
    <n v="0"/>
    <n v="0"/>
  </r>
  <r>
    <d v="2021-08-12T00:00:00"/>
    <s v="A"/>
    <x v="0"/>
    <s v="FO011"/>
    <s v="M2"/>
    <s v="L2"/>
    <s v="NIPPLE S TYPE S SIZE INJECTION"/>
    <s v="HEH12Na"/>
    <s v="Himanshu"/>
    <n v="8"/>
    <n v="4815"/>
    <n v="601.875"/>
    <n v="5096"/>
    <n v="5000"/>
    <n v="0"/>
    <n v="30"/>
    <n v="0"/>
    <n v="0"/>
    <n v="58"/>
    <n v="8"/>
    <n v="1"/>
    <n v="5000"/>
    <n v="1.0384215991692627"/>
    <s v="Silicon"/>
    <n v="6.8"/>
    <n v="34.652799999999999"/>
    <n v="0.98116169544740972"/>
    <n v="1.1466982997232108E-2"/>
    <n v="5.8525165821303156E-3"/>
    <n v="0.98861852433281006"/>
    <n v="0.76249999999999996"/>
    <n v="7.2374999999999998"/>
    <n v="0.90468749999999998"/>
    <n v="625"/>
    <n v="5.25"/>
    <n v="5.2110000000000003"/>
    <n v="1.0074841681059297"/>
    <n v="0.90108459249084238"/>
    <s v="2387"/>
    <m/>
    <n v="0"/>
    <n v="0"/>
    <n v="0"/>
    <n v="0"/>
    <n v="0"/>
    <n v="45"/>
    <n v="0"/>
    <n v="0"/>
    <n v="0"/>
    <n v="0"/>
    <n v="0"/>
    <n v="0"/>
    <n v="0"/>
    <n v="0"/>
    <n v="0"/>
    <n v="0"/>
    <n v="0"/>
    <n v="0"/>
    <n v="0"/>
    <n v="0"/>
    <n v="0"/>
    <n v="0"/>
    <n v="0"/>
    <n v="0"/>
    <n v="0"/>
    <n v="0"/>
    <n v="0"/>
    <n v="0"/>
    <n v="0.75"/>
    <n v="0.76249999999999996"/>
  </r>
  <r>
    <d v="2021-08-12T00:00:00"/>
    <s v="A"/>
    <x v="3"/>
    <s v="FO019"/>
    <m/>
    <s v="P1"/>
    <s v="NIPPLE S TYPE S SIZE PUNCHED"/>
    <s v="HEH10NcH10PcH12Pa"/>
    <s v="Himanshu"/>
    <n v="8"/>
    <n v="7091"/>
    <n v="886.375"/>
    <n v="7000"/>
    <n v="7000"/>
    <n v="0"/>
    <n v="0"/>
    <n v="0"/>
    <n v="0"/>
    <n v="0"/>
    <n v="0"/>
    <n v="1"/>
    <n v="7000"/>
    <n v="0.98716683119447191"/>
    <s v="FO015"/>
    <n v="0"/>
    <n v="0"/>
    <s v=" "/>
    <n v="0"/>
    <n v="0"/>
    <n v="1"/>
    <n v="0.6777777777777777"/>
    <n v="7.322222222222222"/>
    <n v="0.91527777777777775"/>
    <n v="875"/>
    <n v="3.5"/>
    <n v="3.7657142857142856"/>
    <n v="0.92943854324734454"/>
    <n v="0.85069444444444453"/>
    <s v="2385/2386"/>
    <m/>
    <n v="40"/>
    <n v="0"/>
    <n v="0"/>
    <n v="0"/>
    <n v="0"/>
    <n v="0"/>
    <n v="0"/>
    <n v="0"/>
    <n v="0"/>
    <n v="0"/>
    <n v="0"/>
    <n v="0"/>
    <n v="0"/>
    <n v="0"/>
    <n v="0"/>
    <n v="0"/>
    <n v="0"/>
    <n v="0"/>
    <n v="0"/>
    <n v="0"/>
    <n v="0"/>
    <n v="0"/>
    <n v="0"/>
    <n v="0"/>
    <n v="0"/>
    <n v="0"/>
    <n v="0"/>
    <n v="0"/>
    <n v="0.66666666666666663"/>
    <n v="0.6777777777777777"/>
  </r>
  <r>
    <d v="2021-08-12T00:00:00"/>
    <s v="A"/>
    <x v="1"/>
    <s v="FO003"/>
    <s v="BM3"/>
    <s v="B2"/>
    <s v="KPP 240 ML BOTTLE MOLDED"/>
    <s v="EH12Ba2"/>
    <s v="Himanshu"/>
    <n v="8"/>
    <n v="2574"/>
    <n v="321.75"/>
    <n v="2787"/>
    <n v="2700"/>
    <n v="0.12"/>
    <n v="30"/>
    <n v="0"/>
    <n v="0"/>
    <n v="49"/>
    <n v="8"/>
    <n v="1"/>
    <n v="2700"/>
    <n v="1.048951048951049"/>
    <s v="HMC"/>
    <n v="32.1"/>
    <n v="89.582700000000017"/>
    <n v="0.96748590966782644"/>
    <n v="1.7824663514005093E-2"/>
    <n v="1.0649627263045794E-2"/>
    <n v="0.98241837100825258"/>
    <n v="1.2708333333333333"/>
    <n v="6.729166666666667"/>
    <n v="0.84114583333333337"/>
    <n v="337.5"/>
    <n v="9"/>
    <n v="8.9722222222222214"/>
    <n v="1.0030959752321982"/>
    <n v="0.82891550053821317"/>
    <s v="2388"/>
    <m/>
    <n v="0"/>
    <n v="0"/>
    <n v="0"/>
    <n v="0"/>
    <n v="0"/>
    <n v="0"/>
    <n v="15"/>
    <n v="0"/>
    <n v="0"/>
    <n v="0"/>
    <n v="0"/>
    <n v="0"/>
    <n v="60"/>
    <n v="0"/>
    <n v="0"/>
    <n v="0"/>
    <n v="0"/>
    <n v="0"/>
    <n v="0"/>
    <n v="0"/>
    <n v="0"/>
    <n v="0"/>
    <n v="0"/>
    <n v="0"/>
    <n v="0"/>
    <n v="0"/>
    <n v="0"/>
    <n v="0"/>
    <n v="1.25"/>
    <n v="1.2708333333333333"/>
  </r>
  <r>
    <d v="2021-08-12T00:00:00"/>
    <s v="A"/>
    <x v="5"/>
    <s v="FO144"/>
    <m/>
    <s v="INJ-1"/>
    <s v="CAP S TYPE MOLDED BLUE"/>
    <s v="EH12Ca"/>
    <s v="Himanshu"/>
    <n v="5"/>
    <n v="2887"/>
    <n v="577.4"/>
    <n v="3034"/>
    <n v="3000"/>
    <n v="0"/>
    <n v="20"/>
    <n v="0"/>
    <n v="0"/>
    <n v="10"/>
    <n v="4"/>
    <n v="1"/>
    <n v="3000"/>
    <n v="1.0391409767925182"/>
    <s v="RM000114"/>
    <n v="7.3"/>
    <n v="22.148199999999999"/>
    <n v="0.98879367172050092"/>
    <n v="3.3222591362126247E-3"/>
    <n v="6.5487884741322853E-3"/>
    <n v="0.99670402109426504"/>
    <n v="0"/>
    <n v="5"/>
    <n v="1"/>
    <n v="600"/>
    <n v="6"/>
    <n v="6"/>
    <n v="1"/>
    <n v="0.99670402109426504"/>
    <n v="2690"/>
    <m/>
    <n v="0"/>
    <n v="0"/>
    <n v="0"/>
    <n v="0"/>
    <n v="0"/>
    <n v="0"/>
    <n v="0"/>
    <n v="0"/>
    <n v="0"/>
    <n v="0"/>
    <n v="0"/>
    <n v="0"/>
    <n v="0"/>
    <n v="0"/>
    <n v="0"/>
    <n v="0"/>
    <n v="0"/>
    <n v="0"/>
    <n v="0"/>
    <n v="0"/>
    <n v="0"/>
    <n v="0"/>
    <n v="0"/>
    <n v="0"/>
    <n v="0"/>
    <n v="0"/>
    <n v="0"/>
    <n v="0"/>
    <n v="0"/>
    <n v="0"/>
  </r>
  <r>
    <d v="2021-08-12T00:00:00"/>
    <s v="A"/>
    <x v="5"/>
    <s v="FO144"/>
    <m/>
    <s v="INJ-1"/>
    <s v="CAP S TYPE MOLDED BLUE"/>
    <s v="EH12CRa"/>
    <s v="Himanshu"/>
    <n v="3"/>
    <n v="1250"/>
    <n v="416.66666666666669"/>
    <n v="1269"/>
    <n v="1250"/>
    <n v="0"/>
    <n v="10"/>
    <n v="0"/>
    <n v="0"/>
    <n v="5"/>
    <n v="4"/>
    <n v="1"/>
    <n v="1250"/>
    <n v="1"/>
    <s v="RM000114"/>
    <n v="7.3"/>
    <n v="9.2637"/>
    <n v="0.9850275807722616"/>
    <n v="3.9840637450199202E-3"/>
    <n v="7.8186082877247844E-3"/>
    <n v="0.99605988967691095"/>
    <n v="0.76249999999999996"/>
    <n v="2.2374999999999998"/>
    <n v="0.74583333333333324"/>
    <n v="416.66666666666669"/>
    <n v="6"/>
    <n v="6.4439999999999991"/>
    <n v="0.93109869646182508"/>
    <n v="0.69170825672007707"/>
    <n v="2691"/>
    <m/>
    <n v="0"/>
    <n v="0"/>
    <n v="0"/>
    <n v="0"/>
    <n v="0"/>
    <n v="0"/>
    <n v="0"/>
    <n v="0"/>
    <n v="0"/>
    <n v="0"/>
    <n v="0"/>
    <n v="0"/>
    <n v="0"/>
    <n v="0"/>
    <n v="0"/>
    <n v="0"/>
    <n v="0"/>
    <n v="0"/>
    <n v="0"/>
    <n v="0"/>
    <n v="0"/>
    <n v="0"/>
    <n v="0"/>
    <n v="45"/>
    <n v="0"/>
    <n v="0"/>
    <n v="0"/>
    <n v="0"/>
    <n v="0.75"/>
    <n v="0.76249999999999996"/>
  </r>
  <r>
    <d v="2021-08-12T00:00:00"/>
    <s v="G"/>
    <x v="6"/>
    <s v="FO008"/>
    <m/>
    <s v="PR1"/>
    <s v="KPP 240 ML BOTTLE PRINTED"/>
    <s v="EH10Bc2"/>
    <s v="Pintu"/>
    <n v="7.5"/>
    <n v="4250"/>
    <n v="566.66666666666663"/>
    <n v="4303"/>
    <n v="4273"/>
    <n v="0"/>
    <n v="0"/>
    <n v="28"/>
    <n v="0"/>
    <n v="30"/>
    <n v="0"/>
    <n v="6"/>
    <n v="712.16666666666663"/>
    <n v="1.0054117647058824"/>
    <s v="FO003"/>
    <n v="0"/>
    <n v="0"/>
    <s v=" "/>
    <n v="6.971880083662561E-3"/>
    <n v="0"/>
    <n v="0.99302811991633744"/>
    <n v="1.3555555555555554"/>
    <n v="6.1444444444444448"/>
    <n v="0.81925925925925935"/>
    <n v="569.73333333333335"/>
    <n v="32.4"/>
    <n v="31.06014509712146"/>
    <n v="1.0431374321880651"/>
    <n v="0.84864183128050197"/>
    <s v="2405,06"/>
    <s v="SKU change over FO007 to Fo008"/>
    <n v="30"/>
    <n v="50"/>
    <n v="0"/>
    <n v="0"/>
    <n v="0"/>
    <n v="0"/>
    <n v="0"/>
    <n v="0"/>
    <n v="0"/>
    <n v="0"/>
    <n v="0"/>
    <n v="0"/>
    <n v="0"/>
    <n v="0"/>
    <n v="0"/>
    <n v="0"/>
    <n v="0"/>
    <n v="0"/>
    <n v="0"/>
    <n v="0"/>
    <n v="0"/>
    <n v="0"/>
    <n v="0"/>
    <n v="0"/>
    <n v="0"/>
    <n v="0"/>
    <n v="0"/>
    <n v="0"/>
    <n v="1.3333333333333333"/>
    <n v="1.3555555555555554"/>
  </r>
  <r>
    <d v="2021-08-12T00:00:00"/>
    <s v="G"/>
    <x v="4"/>
    <s v="FO108"/>
    <m/>
    <m/>
    <s v="NIPPLE S TYPE S SIZE PUNCHED INSPECTED"/>
    <s v="HEH10NaH10PbH11Pb"/>
    <s v="Vivek"/>
    <n v="8.5"/>
    <n v="14182"/>
    <n v="1668.4705882352941"/>
    <n v="15300"/>
    <n v="15251"/>
    <n v="0"/>
    <n v="0"/>
    <n v="0"/>
    <n v="0"/>
    <n v="49"/>
    <n v="0"/>
    <n v="2"/>
    <n v="7625.5"/>
    <n v="1.0753772387533493"/>
    <s v="FO104"/>
    <n v="0"/>
    <n v="0"/>
    <s v=" "/>
    <n v="3.2026143790849673E-3"/>
    <n v="0"/>
    <n v="0.99679738562091502"/>
    <n v="0.84722222222222221"/>
    <n v="7.6527777777777777"/>
    <n v="0.90032679738562094"/>
    <n v="1794.2352941176471"/>
    <n v="4"/>
    <n v="3.6128778440757983"/>
    <n v="1.1071506352087115"/>
    <n v="0.99360502798069128"/>
    <s v="2390/2391/2393"/>
    <m/>
    <n v="50"/>
    <n v="0"/>
    <n v="0"/>
    <n v="0"/>
    <n v="0"/>
    <n v="0"/>
    <n v="0"/>
    <n v="0"/>
    <n v="0"/>
    <n v="0"/>
    <n v="0"/>
    <n v="0"/>
    <n v="0"/>
    <n v="0"/>
    <n v="0"/>
    <n v="0"/>
    <n v="0"/>
    <n v="0"/>
    <n v="0"/>
    <n v="0"/>
    <n v="0"/>
    <n v="0"/>
    <n v="0"/>
    <n v="0"/>
    <n v="0"/>
    <n v="0"/>
    <n v="0"/>
    <n v="0"/>
    <n v="0.83333333333333337"/>
    <n v="0.84722222222222221"/>
  </r>
  <r>
    <d v="2021-08-12T00:00:00"/>
    <s v="B"/>
    <x v="1"/>
    <s v="FO003"/>
    <s v="BM3"/>
    <s v="B2"/>
    <s v="KPP 240 ML BOTTLE MOLDED"/>
    <s v="EH12Bb2"/>
    <s v="Saurav"/>
    <n v="8"/>
    <n v="2574"/>
    <n v="321.75"/>
    <n v="3347"/>
    <n v="3132"/>
    <n v="0.2"/>
    <n v="155"/>
    <n v="0"/>
    <n v="0"/>
    <n v="60"/>
    <n v="0"/>
    <n v="1"/>
    <n v="3132"/>
    <n v="1.2167832167832169"/>
    <s v="HMC"/>
    <n v="32.1"/>
    <n v="107.63870000000001"/>
    <n v="0.93402465841746507"/>
    <n v="1.8796992481203006E-2"/>
    <n v="4.42604226156482E-2"/>
    <n v="0.98207349865551241"/>
    <n v="0"/>
    <n v="8"/>
    <n v="1"/>
    <n v="391.5"/>
    <n v="9"/>
    <n v="9.1954022988505741"/>
    <n v="0.97875000000000001"/>
    <n v="0.96120443680908274"/>
    <n v="2395"/>
    <s v="Setup rejection high due 240 ml bottle yestraday 03 time heat test fail and thickness issue problem coming in bottle ."/>
    <n v="0"/>
    <n v="0"/>
    <n v="0"/>
    <n v="0"/>
    <n v="0"/>
    <n v="0"/>
    <n v="0"/>
    <n v="0"/>
    <n v="0"/>
    <n v="0"/>
    <n v="0"/>
    <n v="0"/>
    <n v="0"/>
    <n v="0"/>
    <n v="0"/>
    <n v="0"/>
    <n v="0"/>
    <n v="0"/>
    <n v="0"/>
    <n v="0"/>
    <n v="0"/>
    <n v="0"/>
    <n v="0"/>
    <n v="0"/>
    <n v="0"/>
    <n v="0"/>
    <n v="0"/>
    <n v="0"/>
    <n v="0"/>
    <n v="0"/>
  </r>
  <r>
    <d v="2021-08-12T00:00:00"/>
    <s v="B"/>
    <x v="3"/>
    <s v="FO019"/>
    <m/>
    <s v="P1"/>
    <s v="NIPPLE S TYPE S SIZE PUNCHED"/>
    <s v="HEH10NcH10PcH12Pb"/>
    <s v="Saurav"/>
    <n v="8"/>
    <n v="7036"/>
    <n v="879.5"/>
    <n v="7000"/>
    <n v="7000"/>
    <n v="0"/>
    <n v="0"/>
    <n v="0"/>
    <n v="0"/>
    <n v="0"/>
    <n v="0"/>
    <n v="1"/>
    <n v="7000"/>
    <n v="0.99488345650938037"/>
    <s v="FO015"/>
    <n v="0"/>
    <n v="0"/>
    <s v=" "/>
    <n v="0"/>
    <n v="0"/>
    <n v="1"/>
    <n v="0.6777777777777777"/>
    <n v="7.322222222222222"/>
    <n v="0.91527777777777775"/>
    <n v="875"/>
    <n v="3.5"/>
    <n v="3.7657142857142856"/>
    <n v="0.92943854324734454"/>
    <n v="0.85069444444444453"/>
    <s v="2389/2392"/>
    <m/>
    <n v="40"/>
    <n v="0"/>
    <n v="0"/>
    <n v="0"/>
    <n v="0"/>
    <n v="0"/>
    <n v="0"/>
    <n v="0"/>
    <n v="0"/>
    <n v="0"/>
    <n v="0"/>
    <n v="0"/>
    <n v="0"/>
    <n v="0"/>
    <n v="0"/>
    <n v="0"/>
    <n v="0"/>
    <n v="0"/>
    <n v="0"/>
    <n v="0"/>
    <n v="0"/>
    <n v="0"/>
    <n v="0"/>
    <n v="0"/>
    <n v="0"/>
    <n v="0"/>
    <n v="0"/>
    <n v="0"/>
    <n v="0.66666666666666663"/>
    <n v="0.6777777777777777"/>
  </r>
  <r>
    <d v="2021-08-12T00:00:00"/>
    <s v="B"/>
    <x v="0"/>
    <s v="FO011"/>
    <s v="M2"/>
    <s v="L2"/>
    <s v="NIPPLE S TYPE S SIZE INJECTION"/>
    <s v="HEH12Nb"/>
    <s v="Saurav"/>
    <n v="8"/>
    <n v="4815"/>
    <n v="601.875"/>
    <n v="5099"/>
    <n v="5000"/>
    <n v="0"/>
    <n v="35"/>
    <n v="0"/>
    <n v="0"/>
    <n v="64"/>
    <n v="0"/>
    <n v="1"/>
    <n v="5000"/>
    <n v="1.0384215991692627"/>
    <s v="Silicon"/>
    <n v="6.8"/>
    <n v="34.673200000000001"/>
    <n v="0.98058442831927828"/>
    <n v="1.2638230647709321E-2"/>
    <n v="6.8172964550058434E-3"/>
    <n v="0.98744851931751321"/>
    <n v="0"/>
    <n v="8"/>
    <n v="1"/>
    <n v="625"/>
    <n v="5.25"/>
    <n v="5.76"/>
    <n v="0.91145833333333337"/>
    <n v="0.90001818166960845"/>
    <n v="2394"/>
    <m/>
    <n v="0"/>
    <n v="0"/>
    <n v="0"/>
    <n v="0"/>
    <n v="0"/>
    <n v="0"/>
    <n v="0"/>
    <n v="0"/>
    <n v="0"/>
    <n v="0"/>
    <n v="0"/>
    <n v="0"/>
    <n v="0"/>
    <n v="0"/>
    <n v="0"/>
    <n v="0"/>
    <n v="0"/>
    <n v="0"/>
    <n v="0"/>
    <n v="0"/>
    <n v="0"/>
    <n v="0"/>
    <n v="0"/>
    <n v="0"/>
    <n v="0"/>
    <n v="0"/>
    <n v="0"/>
    <n v="0"/>
    <n v="0"/>
    <n v="0"/>
  </r>
  <r>
    <d v="2021-08-12T00:00:00"/>
    <s v="B"/>
    <x v="5"/>
    <s v="FO144"/>
    <m/>
    <s v="INJ-1"/>
    <s v="CAP S TYPE MOLDED BLUE"/>
    <s v="EH12Cb"/>
    <s v="Saurav"/>
    <n v="8"/>
    <n v="4137"/>
    <n v="517.125"/>
    <n v="4002"/>
    <n v="4000"/>
    <n v="0"/>
    <n v="0"/>
    <n v="0"/>
    <n v="0"/>
    <n v="2"/>
    <n v="0"/>
    <n v="1"/>
    <n v="4000"/>
    <n v="0.96688421561518012"/>
    <s v="RM000114"/>
    <n v="7.3"/>
    <n v="29.214600000000001"/>
    <n v="0.99950024987506236"/>
    <n v="4.9975012493753122E-4"/>
    <n v="0"/>
    <n v="0.99950024987506247"/>
    <n v="0"/>
    <n v="8"/>
    <n v="1"/>
    <n v="500"/>
    <n v="6"/>
    <n v="7.2"/>
    <n v="0.83333333333333326"/>
    <n v="0.83291687489588528"/>
    <n v="2690"/>
    <m/>
    <n v="0"/>
    <n v="0"/>
    <n v="0"/>
    <n v="0"/>
    <n v="0"/>
    <n v="0"/>
    <n v="0"/>
    <n v="0"/>
    <n v="0"/>
    <n v="0"/>
    <n v="0"/>
    <n v="0"/>
    <n v="0"/>
    <n v="0"/>
    <n v="0"/>
    <n v="0"/>
    <n v="0"/>
    <n v="0"/>
    <n v="0"/>
    <n v="0"/>
    <n v="0"/>
    <n v="0"/>
    <n v="0"/>
    <n v="0"/>
    <n v="0"/>
    <n v="0"/>
    <n v="0"/>
    <n v="0"/>
    <n v="0"/>
    <n v="0"/>
  </r>
  <r>
    <d v="2021-08-12T00:00:00"/>
    <s v="C"/>
    <x v="1"/>
    <s v="FO003"/>
    <s v="BM3"/>
    <s v="B2"/>
    <s v="KPP 240 ML BOTTLE MOLDED"/>
    <s v="EH12Bc2"/>
    <s v="Nitin"/>
    <n v="8"/>
    <n v="2574"/>
    <n v="321.75"/>
    <n v="3277"/>
    <n v="3132"/>
    <n v="0.23"/>
    <n v="70"/>
    <n v="0"/>
    <n v="0"/>
    <n v="67"/>
    <n v="8"/>
    <n v="1"/>
    <n v="3132"/>
    <n v="1.2167832167832169"/>
    <s v="HMC"/>
    <n v="32.1"/>
    <n v="105.42170000000002"/>
    <n v="0.9536670343961442"/>
    <n v="2.0944045014066895E-2"/>
    <n v="2.0914251568568867E-2"/>
    <n v="0.97955447055233447"/>
    <n v="0"/>
    <n v="8"/>
    <n v="1"/>
    <n v="391.5"/>
    <n v="9"/>
    <n v="9.1954022988505741"/>
    <n v="0.97875000000000001"/>
    <n v="0.9587389380530974"/>
    <n v="2400"/>
    <m/>
    <n v="0"/>
    <n v="0"/>
    <n v="0"/>
    <n v="0"/>
    <n v="0"/>
    <n v="0"/>
    <n v="0"/>
    <n v="0"/>
    <n v="0"/>
    <n v="0"/>
    <n v="0"/>
    <n v="0"/>
    <n v="0"/>
    <n v="0"/>
    <n v="0"/>
    <n v="0"/>
    <n v="0"/>
    <n v="0"/>
    <n v="0"/>
    <n v="0"/>
    <n v="0"/>
    <n v="0"/>
    <n v="0"/>
    <n v="0"/>
    <n v="0"/>
    <n v="0"/>
    <n v="0"/>
    <n v="0"/>
    <n v="0"/>
    <n v="0"/>
  </r>
  <r>
    <d v="2021-08-12T00:00:00"/>
    <s v="C"/>
    <x v="0"/>
    <s v="FO011"/>
    <s v="M2"/>
    <s v="L2"/>
    <s v="NIPPLE S TYPE S SIZE INJECTION"/>
    <s v="HEH12Nc"/>
    <s v="Nitin"/>
    <n v="8"/>
    <n v="4815"/>
    <n v="601.875"/>
    <n v="5368"/>
    <n v="5300"/>
    <n v="0"/>
    <n v="0"/>
    <n v="0"/>
    <n v="0"/>
    <n v="60"/>
    <n v="8"/>
    <n v="1"/>
    <n v="5300"/>
    <n v="1.1007268951194185"/>
    <s v="Silicon"/>
    <n v="6.8"/>
    <n v="36.502400000000002"/>
    <n v="0.98733233979135615"/>
    <n v="1.1194029850746268E-2"/>
    <n v="0"/>
    <n v="0.98882265275707903"/>
    <n v="0.59305555555555556"/>
    <n v="7.4069444444444441"/>
    <n v="0.92586805555555551"/>
    <n v="662.5"/>
    <n v="5.25"/>
    <n v="5.0311320754716977"/>
    <n v="1.0435027189199326"/>
    <n v="0.95534688586686556"/>
    <n v="2399"/>
    <m/>
    <n v="0"/>
    <n v="0"/>
    <n v="0"/>
    <n v="0"/>
    <n v="0"/>
    <n v="35"/>
    <n v="0"/>
    <n v="0"/>
    <n v="0"/>
    <n v="0"/>
    <n v="0"/>
    <n v="0"/>
    <n v="0"/>
    <n v="0"/>
    <n v="0"/>
    <n v="0"/>
    <n v="0"/>
    <n v="0"/>
    <n v="0"/>
    <n v="0"/>
    <n v="0"/>
    <n v="0"/>
    <n v="0"/>
    <n v="0"/>
    <n v="0"/>
    <n v="0"/>
    <n v="0"/>
    <n v="0"/>
    <n v="0.58333333333333337"/>
    <n v="0.59305555555555556"/>
  </r>
  <r>
    <d v="2021-08-12T00:00:00"/>
    <s v="C"/>
    <x v="2"/>
    <s v="FO015"/>
    <m/>
    <s v="PC1"/>
    <s v="NIPPLE S TYPE S SIZE POSTCURED"/>
    <s v="HEH11NcH12Pc"/>
    <s v="Nitin"/>
    <n v="8"/>
    <n v="7000"/>
    <n v="875"/>
    <n v="10300"/>
    <n v="10300"/>
    <n v="0"/>
    <n v="0"/>
    <n v="0"/>
    <n v="0"/>
    <n v="0"/>
    <n v="0"/>
    <n v="1"/>
    <n v="10300"/>
    <n v="1.4714285714285715"/>
    <s v="FO011"/>
    <n v="0"/>
    <n v="0"/>
    <s v=" "/>
    <n v="0"/>
    <n v="0"/>
    <n v="1"/>
    <n v="0.6777777777777777"/>
    <n v="7.322222222222222"/>
    <n v="0.91527777777777775"/>
    <n v="1287.5"/>
    <n v="2.2999999999999998"/>
    <n v="2.5592233009708738"/>
    <n v="0.89871016691957506"/>
    <n v="0.82256944444444435"/>
    <s v="2396/2397/2398"/>
    <m/>
    <n v="40"/>
    <n v="0"/>
    <n v="0"/>
    <n v="0"/>
    <n v="0"/>
    <n v="0"/>
    <n v="0"/>
    <n v="0"/>
    <n v="0"/>
    <n v="0"/>
    <n v="0"/>
    <n v="0"/>
    <n v="0"/>
    <n v="0"/>
    <n v="0"/>
    <n v="0"/>
    <n v="0"/>
    <n v="0"/>
    <n v="0"/>
    <n v="0"/>
    <n v="0"/>
    <n v="0"/>
    <n v="0"/>
    <n v="0"/>
    <n v="0"/>
    <n v="0"/>
    <n v="0"/>
    <n v="0"/>
    <n v="0.66666666666666663"/>
    <n v="0.6777777777777777"/>
  </r>
  <r>
    <d v="2021-08-12T00:00:00"/>
    <s v="C"/>
    <x v="5"/>
    <s v="FO144"/>
    <m/>
    <s v="INJ-1"/>
    <s v="CAP S TYPE MOLDED BLUE"/>
    <s v="EH12CRc"/>
    <s v="Nitin"/>
    <n v="8"/>
    <n v="4137"/>
    <n v="517.125"/>
    <n v="4033"/>
    <n v="4000"/>
    <n v="0"/>
    <n v="0"/>
    <n v="0"/>
    <n v="0"/>
    <n v="25"/>
    <n v="8"/>
    <n v="1"/>
    <n v="4000"/>
    <n v="0.96688421561518012"/>
    <s v="RM000114"/>
    <n v="7.3"/>
    <n v="29.440899999999999"/>
    <n v="0.99181750557897352"/>
    <n v="6.2111801242236021E-3"/>
    <n v="0"/>
    <n v="0.99380114059013147"/>
    <n v="0"/>
    <n v="8"/>
    <n v="1"/>
    <n v="500"/>
    <n v="6"/>
    <n v="7.2"/>
    <n v="0.83333333333333326"/>
    <n v="0.82816761715844278"/>
    <n v="2691"/>
    <m/>
    <n v="0"/>
    <n v="0"/>
    <n v="0"/>
    <n v="0"/>
    <n v="0"/>
    <n v="0"/>
    <n v="0"/>
    <n v="0"/>
    <n v="0"/>
    <n v="0"/>
    <n v="0"/>
    <n v="0"/>
    <n v="0"/>
    <n v="0"/>
    <n v="0"/>
    <n v="0"/>
    <n v="0"/>
    <n v="0"/>
    <n v="0"/>
    <n v="0"/>
    <n v="0"/>
    <n v="0"/>
    <n v="0"/>
    <n v="0"/>
    <n v="0"/>
    <n v="0"/>
    <n v="0"/>
    <n v="0"/>
    <n v="0"/>
    <n v="0"/>
  </r>
  <r>
    <d v="2021-08-13T00:00:00"/>
    <s v="G"/>
    <x v="6"/>
    <s v="FO089"/>
    <m/>
    <m/>
    <s v="KPP 240 BOTTLE PRINTED (WMG3B) W/O OZ &amp; W/BIS LOGO"/>
    <s v="EG21Bc2H12Pa"/>
    <s v="Pintu"/>
    <n v="1"/>
    <n v="600"/>
    <n v="600"/>
    <n v="328"/>
    <n v="324"/>
    <n v="0"/>
    <n v="0"/>
    <n v="4"/>
    <n v="0"/>
    <n v="4"/>
    <n v="0"/>
    <n v="6"/>
    <n v="54"/>
    <n v="0.54"/>
    <s v="FO044"/>
    <n v="0"/>
    <n v="0"/>
    <s v=" "/>
    <n v="1.2195121951219513E-2"/>
    <n v="0"/>
    <n v="0.98780487804878048"/>
    <n v="0.5083333333333333"/>
    <n v="0.4916666666666667"/>
    <n v="0.4916666666666667"/>
    <n v="324"/>
    <n v="32.4"/>
    <n v="32.777777777777779"/>
    <n v="0.9884745762711864"/>
    <n v="0.4800731707317073"/>
    <s v="PINPM/21-22/2407"/>
    <s v="FO008 to FO089 total time"/>
    <n v="0"/>
    <n v="30"/>
    <n v="0"/>
    <n v="0"/>
    <n v="0"/>
    <n v="0"/>
    <n v="0"/>
    <n v="0"/>
    <n v="0"/>
    <n v="0"/>
    <n v="0"/>
    <n v="0"/>
    <n v="0"/>
    <n v="0"/>
    <n v="0"/>
    <n v="0"/>
    <n v="0"/>
    <n v="0"/>
    <n v="0"/>
    <n v="0"/>
    <n v="0"/>
    <n v="0"/>
    <n v="0"/>
    <n v="0"/>
    <n v="0"/>
    <n v="0"/>
    <n v="0"/>
    <n v="0"/>
    <n v="0.5"/>
    <n v="0.5083333333333333"/>
  </r>
  <r>
    <d v="2021-08-13T00:00:00"/>
    <s v="A"/>
    <x v="2"/>
    <s v="FO015"/>
    <m/>
    <s v="PC1"/>
    <s v="NIPPLE S TYPE S SIZE POSTCURED"/>
    <s v="HEH12NcH13Pa"/>
    <s v="Himanshu"/>
    <n v="8"/>
    <n v="7000"/>
    <n v="875"/>
    <n v="9300"/>
    <n v="9300"/>
    <n v="0"/>
    <n v="0"/>
    <n v="0"/>
    <n v="0"/>
    <n v="0"/>
    <n v="0"/>
    <n v="1"/>
    <n v="9300"/>
    <n v="1.3285714285714285"/>
    <s v="FO011"/>
    <n v="0"/>
    <n v="0"/>
    <s v=" "/>
    <n v="0"/>
    <n v="0"/>
    <n v="1"/>
    <n v="0.6777777777777777"/>
    <n v="7.322222222222222"/>
    <n v="0.91527777777777775"/>
    <n v="1162.5"/>
    <n v="2.2999999999999998"/>
    <n v="2.8344086021505377"/>
    <n v="0.81145675265553863"/>
    <n v="0.74270833333333319"/>
    <s v="2411/2417"/>
    <m/>
    <n v="40"/>
    <n v="0"/>
    <n v="0"/>
    <n v="0"/>
    <n v="0"/>
    <n v="0"/>
    <n v="0"/>
    <n v="0"/>
    <n v="0"/>
    <n v="0"/>
    <n v="0"/>
    <n v="0"/>
    <n v="0"/>
    <n v="0"/>
    <n v="0"/>
    <n v="0"/>
    <n v="0"/>
    <n v="0"/>
    <n v="0"/>
    <n v="0"/>
    <n v="0"/>
    <n v="0"/>
    <n v="0"/>
    <n v="0"/>
    <n v="0"/>
    <n v="0"/>
    <n v="0"/>
    <n v="0"/>
    <n v="0.66666666666666663"/>
    <n v="0.6777777777777777"/>
  </r>
  <r>
    <d v="2021-08-13T00:00:00"/>
    <s v="A"/>
    <x v="5"/>
    <s v="FO144"/>
    <m/>
    <s v="INJ-1"/>
    <s v="CAP S TYPE MOLDED BLUE"/>
    <s v="EH13CRc"/>
    <s v="Himanshu"/>
    <n v="6"/>
    <n v="3000"/>
    <n v="500"/>
    <n v="3414"/>
    <n v="3400"/>
    <n v="0.2"/>
    <n v="0"/>
    <n v="0"/>
    <n v="0"/>
    <n v="6"/>
    <n v="8"/>
    <n v="1"/>
    <n v="3400"/>
    <n v="1.1333333333333333"/>
    <s v="RM000114"/>
    <n v="7.3"/>
    <n v="25.122199999999999"/>
    <n v="0.98797079873577953"/>
    <n v="1.7615971814445098E-3"/>
    <n v="0"/>
    <n v="0.99824253075571179"/>
    <n v="0"/>
    <n v="6"/>
    <n v="1"/>
    <n v="566.66666666666663"/>
    <n v="6"/>
    <n v="6.3529411764705879"/>
    <n v="0.94444444444444453"/>
    <n v="0.94278461238039457"/>
    <n v="2691"/>
    <m/>
    <n v="0"/>
    <n v="0"/>
    <n v="0"/>
    <n v="0"/>
    <n v="0"/>
    <n v="0"/>
    <n v="0"/>
    <n v="0"/>
    <n v="0"/>
    <n v="0"/>
    <n v="0"/>
    <n v="0"/>
    <n v="0"/>
    <n v="0"/>
    <n v="0"/>
    <n v="0"/>
    <n v="0"/>
    <n v="0"/>
    <n v="0"/>
    <n v="0"/>
    <n v="0"/>
    <n v="0"/>
    <n v="0"/>
    <n v="0"/>
    <n v="0"/>
    <n v="0"/>
    <n v="0"/>
    <n v="0"/>
    <n v="0"/>
    <n v="0"/>
  </r>
  <r>
    <d v="2021-08-13T00:00:00"/>
    <s v="A"/>
    <x v="5"/>
    <s v="FO144"/>
    <m/>
    <s v="INJ-1"/>
    <s v="CAP S TYPE MOLDED BLUE"/>
    <s v="EH13Cc"/>
    <s v="Himanshu"/>
    <n v="2"/>
    <n v="1037"/>
    <n v="518.5"/>
    <n v="1012"/>
    <n v="1000"/>
    <n v="0"/>
    <n v="0"/>
    <n v="0"/>
    <n v="0"/>
    <n v="12"/>
    <n v="0"/>
    <n v="1"/>
    <n v="1000"/>
    <n v="0.96432015429122464"/>
    <s v="RM000114"/>
    <n v="7.3"/>
    <n v="7.3875999999999999"/>
    <n v="0.98814229249011853"/>
    <n v="1.1857707509881422E-2"/>
    <n v="0"/>
    <n v="0.98814229249011853"/>
    <n v="0"/>
    <n v="2"/>
    <n v="1"/>
    <n v="500"/>
    <n v="6"/>
    <n v="7.2"/>
    <n v="0.83333333333333326"/>
    <n v="0.82345191040843202"/>
    <n v="2690"/>
    <m/>
    <n v="0"/>
    <n v="0"/>
    <n v="0"/>
    <n v="0"/>
    <n v="0"/>
    <n v="0"/>
    <n v="0"/>
    <n v="0"/>
    <n v="0"/>
    <n v="0"/>
    <n v="0"/>
    <n v="0"/>
    <n v="0"/>
    <n v="0"/>
    <n v="0"/>
    <n v="0"/>
    <n v="0"/>
    <n v="0"/>
    <n v="0"/>
    <n v="0"/>
    <n v="0"/>
    <n v="0"/>
    <n v="0"/>
    <n v="0"/>
    <n v="0"/>
    <n v="0"/>
    <n v="0"/>
    <n v="0"/>
    <n v="0"/>
    <n v="0"/>
  </r>
  <r>
    <d v="2021-08-13T00:00:00"/>
    <s v="A"/>
    <x v="1"/>
    <s v="FO003"/>
    <s v="BM3"/>
    <s v="B2"/>
    <s v="KPP 240 ML BOTTLE MOLDED"/>
    <s v="EH13Ba2"/>
    <s v="Himanshu"/>
    <n v="8"/>
    <n v="2574"/>
    <n v="321.75"/>
    <n v="3202"/>
    <n v="2916"/>
    <n v="0.12"/>
    <n v="200"/>
    <n v="0"/>
    <n v="0"/>
    <n v="78"/>
    <n v="8"/>
    <n v="1"/>
    <n v="2916"/>
    <n v="1.1328671328671329"/>
    <s v="HMC"/>
    <n v="32.1"/>
    <n v="102.90420000000002"/>
    <n v="0.90961884937641024"/>
    <n v="2.6052104208416832E-2"/>
    <n v="5.8788947677836566E-2"/>
    <n v="0.97564022485946289"/>
    <n v="0"/>
    <n v="8"/>
    <n v="1"/>
    <n v="364.5"/>
    <n v="9"/>
    <n v="9.8765432098765427"/>
    <n v="0.91125"/>
    <n v="0.88905215490318557"/>
    <n v="2419"/>
    <s v="Set up rejection high due to thread going insde the barrel during feed the material."/>
    <n v="0"/>
    <n v="0"/>
    <n v="0"/>
    <n v="0"/>
    <n v="0"/>
    <n v="0"/>
    <n v="0"/>
    <n v="0"/>
    <n v="0"/>
    <n v="0"/>
    <n v="0"/>
    <n v="0"/>
    <n v="0"/>
    <n v="0"/>
    <n v="0"/>
    <n v="0"/>
    <n v="0"/>
    <n v="0"/>
    <n v="0"/>
    <n v="0"/>
    <n v="0"/>
    <n v="0"/>
    <n v="0"/>
    <n v="0"/>
    <n v="0"/>
    <n v="0"/>
    <n v="0"/>
    <n v="0"/>
    <n v="0"/>
    <n v="0"/>
  </r>
  <r>
    <d v="2021-08-13T00:00:00"/>
    <s v="A"/>
    <x v="0"/>
    <s v="FO011"/>
    <s v="M2"/>
    <s v="L2"/>
    <s v="NIPPLE S TYPE S SIZE INJECTION"/>
    <s v="HEH13Na"/>
    <s v="Himanshu"/>
    <n v="8"/>
    <n v="4815"/>
    <n v="601.875"/>
    <n v="5080"/>
    <n v="5000"/>
    <n v="0"/>
    <n v="0"/>
    <n v="0"/>
    <n v="0"/>
    <n v="72"/>
    <n v="8"/>
    <n v="1"/>
    <n v="5000"/>
    <n v="1.0384215991692627"/>
    <s v="Silicon"/>
    <n v="6.8"/>
    <n v="34.543999999999997"/>
    <n v="0.98425196850393715"/>
    <n v="1.4195583596214511E-2"/>
    <n v="0"/>
    <n v="0.98582677165354327"/>
    <n v="1.0166666666666666"/>
    <n v="6.9833333333333334"/>
    <n v="0.87291666666666667"/>
    <n v="625"/>
    <n v="5.25"/>
    <n v="5.0279999999999996"/>
    <n v="1.0441527446300718"/>
    <n v="0.89854002624671925"/>
    <n v="2416"/>
    <m/>
    <n v="0"/>
    <n v="0"/>
    <n v="0"/>
    <n v="0"/>
    <n v="0"/>
    <n v="30"/>
    <n v="0"/>
    <n v="30"/>
    <n v="0"/>
    <n v="0"/>
    <n v="0"/>
    <n v="0"/>
    <n v="0"/>
    <n v="0"/>
    <n v="0"/>
    <n v="0"/>
    <n v="0"/>
    <n v="0"/>
    <n v="0"/>
    <n v="0"/>
    <n v="0"/>
    <n v="0"/>
    <n v="0"/>
    <n v="0"/>
    <n v="0"/>
    <n v="0"/>
    <n v="0"/>
    <n v="0"/>
    <n v="1"/>
    <n v="1.0166666666666666"/>
  </r>
  <r>
    <d v="2021-08-13T00:00:00"/>
    <s v="A"/>
    <x v="3"/>
    <s v="FO019"/>
    <m/>
    <s v="PC1"/>
    <s v="NIPPLE S TYPE S SIZE PUNCHED"/>
    <s v="HEH11NaH11PbH13Pa"/>
    <s v="Himanshu"/>
    <n v="8"/>
    <n v="7036"/>
    <n v="879.5"/>
    <n v="7320"/>
    <n v="7320"/>
    <n v="0"/>
    <n v="0"/>
    <n v="0"/>
    <n v="0"/>
    <n v="0"/>
    <n v="0"/>
    <n v="1"/>
    <n v="7320"/>
    <n v="1.0403638430926663"/>
    <s v="FO015"/>
    <n v="0"/>
    <n v="0"/>
    <s v=" "/>
    <n v="0"/>
    <n v="0"/>
    <n v="1"/>
    <n v="0"/>
    <n v="8"/>
    <n v="1"/>
    <n v="915"/>
    <n v="3.5"/>
    <n v="3.9344262295081966"/>
    <n v="0.88958333333333339"/>
    <n v="0.88958333333333339"/>
    <s v="2413/2414/2415"/>
    <m/>
    <n v="0"/>
    <n v="0"/>
    <n v="0"/>
    <n v="0"/>
    <n v="0"/>
    <n v="0"/>
    <n v="0"/>
    <n v="0"/>
    <n v="0"/>
    <n v="0"/>
    <n v="0"/>
    <n v="0"/>
    <n v="0"/>
    <n v="0"/>
    <n v="0"/>
    <n v="0"/>
    <n v="0"/>
    <n v="0"/>
    <n v="0"/>
    <n v="0"/>
    <n v="0"/>
    <n v="0"/>
    <n v="0"/>
    <n v="0"/>
    <n v="0"/>
    <n v="0"/>
    <n v="0"/>
    <n v="0"/>
    <n v="0"/>
    <n v="0"/>
  </r>
  <r>
    <d v="2021-08-13T00:00:00"/>
    <s v="G"/>
    <x v="4"/>
    <s v="FO108"/>
    <m/>
    <m/>
    <s v="NIPPLE S TYPE S SIZE PUNCHED INSPECTED"/>
    <s v="HEH11NaH11PbH12Pb"/>
    <s v="Vivek"/>
    <n v="8.5"/>
    <n v="7091"/>
    <n v="834.23529411764707"/>
    <n v="9320"/>
    <n v="9263"/>
    <n v="0"/>
    <n v="0"/>
    <n v="0"/>
    <n v="0"/>
    <n v="57"/>
    <n v="0"/>
    <n v="1"/>
    <n v="9263"/>
    <n v="1.3063037653363418"/>
    <s v="FO104"/>
    <n v="0"/>
    <n v="0"/>
    <s v=" "/>
    <n v="6.1158798283261805E-3"/>
    <n v="0"/>
    <n v="0.99388412017167382"/>
    <n v="0.84722222222222221"/>
    <n v="7.6527777777777777"/>
    <n v="0.90032679738562094"/>
    <n v="1089.7647058823529"/>
    <n v="4"/>
    <n v="2.97419842383677"/>
    <n v="1.3449001814882033"/>
    <n v="1.2034442621111394"/>
    <s v="2426/2427"/>
    <m/>
    <n v="50"/>
    <n v="0"/>
    <n v="0"/>
    <n v="0"/>
    <n v="0"/>
    <n v="0"/>
    <n v="0"/>
    <n v="0"/>
    <n v="0"/>
    <n v="0"/>
    <n v="0"/>
    <n v="0"/>
    <n v="0"/>
    <n v="0"/>
    <n v="0"/>
    <n v="0"/>
    <n v="0"/>
    <n v="0"/>
    <n v="0"/>
    <n v="0"/>
    <n v="0"/>
    <n v="0"/>
    <n v="0"/>
    <n v="0"/>
    <n v="0"/>
    <n v="0"/>
    <n v="0"/>
    <n v="0"/>
    <n v="0.83333333333333337"/>
    <n v="0.84722222222222221"/>
  </r>
  <r>
    <d v="2021-08-13T00:00:00"/>
    <s v="G"/>
    <x v="6"/>
    <s v="FO089"/>
    <m/>
    <s v="PR1"/>
    <s v="KPP 240 BOTTLE PRINTED (WMG3B) W/O OZ &amp; W/BIS LOGO"/>
    <s v="EG21Bc2H13Pa"/>
    <s v="Pintu"/>
    <n v="4"/>
    <n v="2100"/>
    <n v="525"/>
    <n v="1863"/>
    <n v="1836"/>
    <n v="0"/>
    <n v="0"/>
    <n v="27"/>
    <n v="0"/>
    <n v="27"/>
    <n v="0"/>
    <n v="6"/>
    <n v="306"/>
    <n v="0.87428571428571433"/>
    <s v="FO044"/>
    <n v="0"/>
    <n v="0"/>
    <s v=" "/>
    <n v="1.4492753623188406E-2"/>
    <n v="0"/>
    <n v="0.98550724637681164"/>
    <n v="1.3555555555555554"/>
    <n v="2.6444444444444448"/>
    <n v="0.6611111111111112"/>
    <n v="459"/>
    <n v="32.4"/>
    <n v="31.111111111111114"/>
    <n v="1.0414285714285714"/>
    <n v="0.6785217391304349"/>
    <s v="PINPM/21-22/2423,24,25"/>
    <s v="SKU changeover FO089 to FO008 total time 80 min and pigeon logo whaiteness .issue and print cat problem."/>
    <n v="20"/>
    <n v="60"/>
    <n v="0"/>
    <n v="0"/>
    <n v="0"/>
    <n v="0"/>
    <n v="0"/>
    <n v="0"/>
    <n v="0"/>
    <n v="0"/>
    <n v="0"/>
    <n v="0"/>
    <n v="0"/>
    <n v="0"/>
    <n v="0"/>
    <n v="0"/>
    <n v="0"/>
    <n v="0"/>
    <n v="0"/>
    <n v="0"/>
    <n v="0"/>
    <n v="0"/>
    <n v="0"/>
    <n v="0"/>
    <n v="0"/>
    <n v="0"/>
    <n v="0"/>
    <n v="0"/>
    <n v="1.3333333333333333"/>
    <n v="1.3555555555555554"/>
  </r>
  <r>
    <d v="2021-08-13T00:00:00"/>
    <s v="G"/>
    <x v="6"/>
    <s v="FO008"/>
    <m/>
    <s v="PR1"/>
    <s v="KPP 240 ML BOTTLE PRINTED"/>
    <s v="EH12Bb2H13Pa"/>
    <s v="Pintu"/>
    <n v="4.5"/>
    <n v="3000"/>
    <n v="666.66666666666663"/>
    <n v="1739"/>
    <n v="1728"/>
    <n v="0"/>
    <n v="0"/>
    <n v="16"/>
    <n v="0"/>
    <n v="11"/>
    <n v="0"/>
    <n v="6"/>
    <n v="288"/>
    <n v="0.57599999999999996"/>
    <s v="FO003"/>
    <n v="0"/>
    <n v="0"/>
    <s v=" "/>
    <n v="6.3254744105807935E-3"/>
    <n v="0"/>
    <n v="0.99367452558941916"/>
    <n v="1.8638888888888887"/>
    <n v="2.6361111111111111"/>
    <n v="0.58580246913580247"/>
    <n v="384"/>
    <n v="32.4"/>
    <n v="32.951388888888886"/>
    <n v="0.98326659641728142"/>
    <n v="0.57235652673950554"/>
    <s v="PINPM/21-22/2437"/>
    <s v="                                                                                                                                                                                     "/>
    <n v="30"/>
    <n v="80"/>
    <n v="0"/>
    <n v="0"/>
    <n v="0"/>
    <n v="0"/>
    <n v="0"/>
    <n v="0"/>
    <n v="0"/>
    <n v="0"/>
    <n v="0"/>
    <n v="0"/>
    <n v="0"/>
    <n v="0"/>
    <n v="0"/>
    <n v="0"/>
    <n v="0"/>
    <n v="0"/>
    <n v="0"/>
    <n v="0"/>
    <n v="0"/>
    <n v="0"/>
    <n v="0"/>
    <n v="0"/>
    <n v="0"/>
    <n v="0"/>
    <n v="0"/>
    <n v="0"/>
    <n v="1.8333333333333333"/>
    <n v="1.8638888888888887"/>
  </r>
  <r>
    <d v="2021-08-13T00:00:00"/>
    <s v="B"/>
    <x v="5"/>
    <s v="FO144"/>
    <m/>
    <s v="INJ-1"/>
    <s v="CAP S TYPE MOLDED BLUE"/>
    <s v="EH13Cb"/>
    <s v="Saurav"/>
    <n v="8"/>
    <n v="4137"/>
    <n v="517.125"/>
    <n v="3450"/>
    <n v="3445"/>
    <n v="0"/>
    <n v="0"/>
    <n v="0"/>
    <n v="0"/>
    <n v="5"/>
    <n v="0"/>
    <n v="1"/>
    <n v="3445"/>
    <n v="0.83272903069857385"/>
    <s v="RM000114"/>
    <n v="7.3"/>
    <n v="25.184999999999999"/>
    <n v="0.99855072463768113"/>
    <n v="1.4492753623188406E-3"/>
    <n v="0"/>
    <n v="0.99855072463768113"/>
    <n v="1.1861111111111111"/>
    <n v="6.8138888888888891"/>
    <n v="0.85173611111111114"/>
    <n v="430.625"/>
    <n v="6"/>
    <n v="7.1204644412191582"/>
    <n v="0.84264166326946599"/>
    <n v="0.71666817632850244"/>
    <n v="2690"/>
    <s v="Plan completed sku change FO144 to FO145"/>
    <n v="0"/>
    <n v="30"/>
    <n v="0"/>
    <n v="0"/>
    <n v="0"/>
    <n v="0"/>
    <n v="40"/>
    <n v="0"/>
    <n v="0"/>
    <n v="0"/>
    <n v="0"/>
    <n v="0"/>
    <n v="0"/>
    <n v="0"/>
    <n v="0"/>
    <n v="0"/>
    <n v="0"/>
    <n v="0"/>
    <n v="0"/>
    <n v="0"/>
    <n v="0"/>
    <n v="0"/>
    <n v="0"/>
    <n v="0"/>
    <n v="0"/>
    <n v="0"/>
    <n v="0"/>
    <n v="0"/>
    <n v="1.1666666666666667"/>
    <n v="1.1861111111111111"/>
  </r>
  <r>
    <d v="2021-08-13T00:00:00"/>
    <s v="B"/>
    <x v="1"/>
    <s v="FO003"/>
    <s v="BM3"/>
    <s v="B2"/>
    <s v="KPP 240 ML BOTTLE MOLDED"/>
    <s v="EH13Bb2"/>
    <s v="Saurav"/>
    <n v="8"/>
    <n v="2574"/>
    <n v="321.75"/>
    <n v="3023"/>
    <n v="2916"/>
    <n v="0"/>
    <n v="42"/>
    <n v="0"/>
    <n v="0"/>
    <n v="65"/>
    <n v="0"/>
    <n v="1"/>
    <n v="2916"/>
    <n v="1.1328671328671329"/>
    <s v="HMC"/>
    <n v="32.1"/>
    <n v="97.038300000000007"/>
    <n v="0.96460469732054255"/>
    <n v="2.1804763502180476E-2"/>
    <n v="1.3703099510603589E-2"/>
    <n v="0.97849818061528282"/>
    <n v="0"/>
    <n v="8"/>
    <n v="1"/>
    <n v="364.5"/>
    <n v="9"/>
    <n v="9.8765432098765427"/>
    <n v="0.91125"/>
    <n v="0.89165646708567647"/>
    <n v="2431"/>
    <m/>
    <n v="0"/>
    <n v="0"/>
    <n v="0"/>
    <n v="0"/>
    <n v="0"/>
    <n v="0"/>
    <n v="0"/>
    <n v="0"/>
    <n v="0"/>
    <n v="0"/>
    <n v="0"/>
    <n v="0"/>
    <n v="0"/>
    <n v="0"/>
    <n v="0"/>
    <n v="0"/>
    <n v="0"/>
    <n v="0"/>
    <n v="0"/>
    <n v="0"/>
    <n v="0"/>
    <n v="0"/>
    <n v="0"/>
    <n v="0"/>
    <n v="0"/>
    <n v="0"/>
    <n v="0"/>
    <n v="0"/>
    <m/>
    <n v="0"/>
  </r>
  <r>
    <d v="2021-08-13T00:00:00"/>
    <s v="B"/>
    <x v="0"/>
    <s v="FO011"/>
    <s v="M2"/>
    <s v="L2"/>
    <s v="NIPPLE S TYPE S SIZE INJECTION"/>
    <s v="HEH13Nb"/>
    <s v="Saurav"/>
    <n v="8"/>
    <n v="4815"/>
    <n v="601.875"/>
    <n v="5612"/>
    <n v="5500"/>
    <n v="0"/>
    <n v="44"/>
    <n v="0"/>
    <n v="0"/>
    <n v="68"/>
    <n v="0"/>
    <n v="1"/>
    <n v="5500"/>
    <n v="1.142263759086189"/>
    <s v="Silicon"/>
    <n v="6.8"/>
    <n v="38.1616"/>
    <n v="0.98004276550249458"/>
    <n v="1.221264367816092E-2"/>
    <n v="7.7793493635077791E-3"/>
    <n v="0.98788310762651466"/>
    <n v="0"/>
    <n v="8"/>
    <n v="1"/>
    <n v="687.5"/>
    <n v="5.25"/>
    <n v="5.2363636363636363"/>
    <n v="1.0026041666666667"/>
    <n v="0.99045571988595882"/>
    <n v="2430"/>
    <m/>
    <n v="0"/>
    <n v="0"/>
    <n v="0"/>
    <n v="0"/>
    <n v="0"/>
    <n v="0"/>
    <n v="0"/>
    <n v="0"/>
    <n v="0"/>
    <n v="0"/>
    <n v="0"/>
    <n v="0"/>
    <n v="0"/>
    <n v="0"/>
    <n v="0"/>
    <n v="0"/>
    <n v="0"/>
    <n v="0"/>
    <n v="0"/>
    <n v="0"/>
    <n v="0"/>
    <n v="0"/>
    <n v="0"/>
    <n v="0"/>
    <n v="0"/>
    <n v="0"/>
    <n v="0"/>
    <n v="0"/>
    <n v="0"/>
    <n v="0"/>
  </r>
  <r>
    <d v="2021-08-13T00:00:00"/>
    <s v="B"/>
    <x v="3"/>
    <s v="FO019"/>
    <m/>
    <s v="P1"/>
    <s v="NIPPLE S TYPE S SIZE PUNCHED"/>
    <s v="HEH12NaH12PcH13Pb"/>
    <s v="Saurav"/>
    <n v="8"/>
    <n v="7036"/>
    <n v="879.5"/>
    <n v="7300"/>
    <n v="7300"/>
    <n v="0"/>
    <n v="0"/>
    <n v="0"/>
    <n v="0"/>
    <n v="0"/>
    <n v="0"/>
    <n v="1"/>
    <n v="7300"/>
    <n v="1.0375213189312109"/>
    <s v="FO015"/>
    <n v="0"/>
    <n v="0"/>
    <s v=" "/>
    <n v="0"/>
    <n v="0"/>
    <n v="1"/>
    <n v="0"/>
    <n v="8"/>
    <n v="1"/>
    <n v="912.5"/>
    <n v="3.5"/>
    <n v="3.9452054794520546"/>
    <n v="0.88715277777777779"/>
    <n v="0.88715277777777779"/>
    <s v="2428/2429"/>
    <m/>
    <n v="0"/>
    <n v="0"/>
    <n v="0"/>
    <n v="0"/>
    <n v="0"/>
    <n v="0"/>
    <n v="0"/>
    <n v="0"/>
    <n v="0"/>
    <n v="0"/>
    <n v="0"/>
    <n v="0"/>
    <n v="0"/>
    <n v="0"/>
    <n v="0"/>
    <n v="0"/>
    <n v="0"/>
    <n v="0"/>
    <n v="0"/>
    <n v="0"/>
    <n v="0"/>
    <n v="0"/>
    <n v="0"/>
    <n v="0"/>
    <n v="0"/>
    <n v="0"/>
    <n v="0"/>
    <n v="0"/>
    <n v="0"/>
    <n v="0"/>
  </r>
  <r>
    <d v="2021-08-13T00:00:00"/>
    <s v="C"/>
    <x v="0"/>
    <s v="FO011"/>
    <s v="BM3"/>
    <s v="B2"/>
    <s v="NIPPLE S TYPE S SIZE INJECTION"/>
    <s v="HEH13Nc"/>
    <s v="Nitin"/>
    <n v="8"/>
    <n v="4815"/>
    <n v="601.875"/>
    <n v="4564"/>
    <n v="4500"/>
    <n v="0.39"/>
    <n v="16"/>
    <n v="0"/>
    <n v="0"/>
    <n v="40"/>
    <n v="8"/>
    <n v="1"/>
    <n v="4500"/>
    <n v="0.93457943925233644"/>
    <s v="Silicon"/>
    <n v="6.8"/>
    <n v="31.4252"/>
    <n v="0.97374081946972491"/>
    <n v="8.8105726872246704E-3"/>
    <n v="3.4934497816593887E-3"/>
    <n v="0.99123575810692377"/>
    <n v="1.3555555555555554"/>
    <n v="6.6444444444444448"/>
    <n v="0.8305555555555556"/>
    <n v="562.5"/>
    <n v="5.25"/>
    <n v="5.3155555555555551"/>
    <n v="0.98766722408026764"/>
    <n v="0.81312308282208601"/>
    <s v="2432"/>
    <m/>
    <n v="0"/>
    <n v="0"/>
    <n v="0"/>
    <n v="0"/>
    <n v="0"/>
    <n v="0"/>
    <n v="0"/>
    <n v="0"/>
    <n v="0"/>
    <n v="0"/>
    <n v="0"/>
    <n v="0"/>
    <n v="80"/>
    <n v="0"/>
    <n v="0"/>
    <n v="0"/>
    <n v="0"/>
    <n v="0"/>
    <n v="0"/>
    <n v="0"/>
    <n v="0"/>
    <n v="0"/>
    <n v="0"/>
    <n v="0"/>
    <n v="0"/>
    <n v="0"/>
    <n v="0"/>
    <n v="0"/>
    <n v="1.3333333333333333"/>
    <n v="1.3555555555555554"/>
  </r>
  <r>
    <d v="2021-08-13T00:00:00"/>
    <s v="C"/>
    <x v="2"/>
    <s v="FO015"/>
    <m/>
    <s v="PC1"/>
    <s v="NIPPLE S TYPE S SIZE POSTCURED"/>
    <s v="HEH13NaH13Pc"/>
    <s v="Nitin"/>
    <n v="8"/>
    <n v="11000"/>
    <n v="1375"/>
    <n v="11000"/>
    <n v="11000"/>
    <n v="0"/>
    <n v="0"/>
    <n v="0"/>
    <n v="0"/>
    <n v="0"/>
    <n v="0"/>
    <n v="1"/>
    <n v="11000"/>
    <n v="1"/>
    <s v="FO011"/>
    <n v="0"/>
    <n v="0"/>
    <s v=" "/>
    <n v="0"/>
    <n v="0"/>
    <n v="1"/>
    <n v="0.6777777777777777"/>
    <n v="7.322222222222222"/>
    <n v="0.91527777777777775"/>
    <n v="1375"/>
    <n v="2.2999999999999998"/>
    <n v="2.3963636363636365"/>
    <n v="0.95978755690440054"/>
    <n v="0.8784722222222221"/>
    <s v="2434/2435/2436"/>
    <m/>
    <n v="40"/>
    <n v="0"/>
    <n v="0"/>
    <n v="0"/>
    <n v="0"/>
    <n v="0"/>
    <n v="0"/>
    <n v="0"/>
    <n v="0"/>
    <n v="0"/>
    <n v="0"/>
    <n v="0"/>
    <n v="0"/>
    <n v="0"/>
    <n v="0"/>
    <n v="0"/>
    <n v="0"/>
    <n v="0"/>
    <n v="0"/>
    <n v="0"/>
    <n v="0"/>
    <n v="0"/>
    <n v="0"/>
    <n v="0"/>
    <n v="0"/>
    <n v="0"/>
    <n v="0"/>
    <n v="0"/>
    <n v="0.66666666666666663"/>
    <n v="0.6777777777777777"/>
  </r>
  <r>
    <d v="2021-08-13T00:00:00"/>
    <s v="C"/>
    <x v="1"/>
    <s v="FO003"/>
    <s v="BM3"/>
    <s v="B2"/>
    <s v="KPP 240 ML BOTTLE MOLDED"/>
    <s v="EH13Bc2"/>
    <s v="Nitin"/>
    <n v="8"/>
    <n v="2574"/>
    <n v="321.75"/>
    <n v="3036"/>
    <n v="2916"/>
    <n v="0"/>
    <n v="40"/>
    <n v="0"/>
    <n v="0"/>
    <n v="72"/>
    <n v="8"/>
    <n v="1"/>
    <n v="2916"/>
    <n v="1.1328671328671329"/>
    <s v="HMC"/>
    <n v="32.1"/>
    <n v="97.455600000000004"/>
    <n v="0.96047430830039537"/>
    <n v="2.4096385542168676E-2"/>
    <n v="1.3003901170351105E-2"/>
    <n v="0.97628458498023718"/>
    <n v="0.6777777777777777"/>
    <n v="7.322222222222222"/>
    <n v="0.91527777777777775"/>
    <n v="364.5"/>
    <n v="9"/>
    <n v="9.0397805212620028"/>
    <n v="0.99559939301972689"/>
    <n v="0.8896393280632412"/>
    <s v="2433"/>
    <m/>
    <n v="0"/>
    <n v="0"/>
    <n v="0"/>
    <n v="0"/>
    <n v="0"/>
    <n v="0"/>
    <n v="0"/>
    <n v="0"/>
    <n v="0"/>
    <n v="0"/>
    <n v="0"/>
    <n v="0"/>
    <n v="40"/>
    <n v="0"/>
    <n v="0"/>
    <n v="0"/>
    <n v="0"/>
    <n v="0"/>
    <n v="0"/>
    <n v="0"/>
    <n v="0"/>
    <n v="0"/>
    <n v="0"/>
    <n v="0"/>
    <n v="0"/>
    <n v="0"/>
    <n v="0"/>
    <n v="0"/>
    <n v="0.66666666666666663"/>
    <n v="0.6777777777777777"/>
  </r>
  <r>
    <d v="2021-08-13T00:00:00"/>
    <s v="C"/>
    <x v="5"/>
    <s v="FO145"/>
    <m/>
    <s v="INJ-1"/>
    <s v="CAP S TYPE MOLDED PALE BLUE"/>
    <s v="EH13Cc"/>
    <s v="Nitin"/>
    <n v="8"/>
    <n v="4137"/>
    <n v="517.125"/>
    <n v="4014"/>
    <n v="4000"/>
    <n v="0.57999999999999996"/>
    <n v="0"/>
    <n v="0"/>
    <n v="0"/>
    <n v="6"/>
    <n v="8"/>
    <n v="1"/>
    <n v="4000"/>
    <n v="0.96688421561518012"/>
    <s v="RM000115"/>
    <n v="7.3"/>
    <n v="29.882199999999997"/>
    <n v="0.97717035559630827"/>
    <n v="1.4977533699450823E-3"/>
    <n v="0"/>
    <n v="0.99850523168908822"/>
    <n v="1.2708333333333333"/>
    <n v="6.729166666666667"/>
    <n v="0.84114583333333337"/>
    <n v="500"/>
    <n v="6"/>
    <n v="6.0562500000000004"/>
    <n v="0.99071207430340547"/>
    <n v="0.83208769307424013"/>
    <n v="2692"/>
    <s v="RUNNER WASTAGE BOOKED 13.688960 KG"/>
    <n v="0"/>
    <n v="45"/>
    <n v="0"/>
    <n v="0"/>
    <n v="0"/>
    <n v="0"/>
    <n v="0"/>
    <n v="0"/>
    <n v="0"/>
    <n v="0"/>
    <n v="0"/>
    <n v="0"/>
    <n v="30"/>
    <n v="0"/>
    <n v="0"/>
    <n v="0"/>
    <n v="0"/>
    <n v="0"/>
    <n v="0"/>
    <n v="0"/>
    <n v="0"/>
    <n v="0"/>
    <n v="0"/>
    <n v="0"/>
    <n v="0"/>
    <n v="0"/>
    <n v="0"/>
    <n v="0"/>
    <n v="1.25"/>
    <n v="1.2708333333333333"/>
  </r>
  <r>
    <d v="2021-08-17T00:00:00"/>
    <s v="A"/>
    <x v="0"/>
    <s v="FO011"/>
    <s v="M2"/>
    <s v="L2"/>
    <s v="NIPPLE S TYPE S SIZE INJECTION"/>
    <s v="HEH17Na"/>
    <s v="Himanshu"/>
    <n v="6"/>
    <n v="3600"/>
    <n v="600"/>
    <n v="4160"/>
    <n v="4000"/>
    <n v="1.147"/>
    <n v="90"/>
    <n v="0"/>
    <n v="0"/>
    <n v="62"/>
    <n v="8"/>
    <n v="1"/>
    <n v="4000"/>
    <n v="1.1111111111111112"/>
    <s v="Silicon"/>
    <n v="6.8"/>
    <n v="29.434999999999995"/>
    <n v="0.92406998471207757"/>
    <n v="1.5263417035942885E-2"/>
    <n v="2.1176470588235293E-2"/>
    <n v="0.9850961538461539"/>
    <n v="0"/>
    <n v="6"/>
    <n v="1"/>
    <n v="666.66666666666663"/>
    <n v="5.25"/>
    <n v="5.4"/>
    <n v="0.97222222222222221"/>
    <n v="0.95773237179487181"/>
    <s v="2451"/>
    <m/>
    <n v="0"/>
    <n v="0"/>
    <n v="0"/>
    <n v="0"/>
    <n v="0"/>
    <n v="0"/>
    <n v="0"/>
    <n v="0"/>
    <n v="0"/>
    <n v="0"/>
    <n v="0"/>
    <n v="0"/>
    <n v="0"/>
    <n v="0"/>
    <n v="0"/>
    <n v="0"/>
    <n v="0"/>
    <n v="0"/>
    <n v="0"/>
    <n v="0"/>
    <n v="0"/>
    <n v="0"/>
    <n v="0"/>
    <n v="0"/>
    <n v="0"/>
    <n v="0"/>
    <n v="0"/>
    <n v="0"/>
    <n v="0"/>
    <n v="0"/>
  </r>
  <r>
    <d v="2021-08-17T00:00:00"/>
    <s v="A"/>
    <x v="2"/>
    <s v="FO015"/>
    <m/>
    <s v="PC1"/>
    <s v="NIPPLE S TYPE S SIZE POSTCURED"/>
    <s v="HEH17NaH17Pa"/>
    <s v="Himanshu"/>
    <n v="3"/>
    <n v="4000"/>
    <n v="1333.3333333333333"/>
    <n v="4000"/>
    <n v="4000"/>
    <n v="0"/>
    <n v="0"/>
    <n v="0"/>
    <n v="0"/>
    <n v="0"/>
    <n v="0"/>
    <n v="1"/>
    <n v="4000"/>
    <n v="1"/>
    <s v="FO011"/>
    <n v="0"/>
    <n v="0"/>
    <s v=" "/>
    <n v="0"/>
    <n v="0"/>
    <n v="1"/>
    <n v="0"/>
    <n v="3"/>
    <n v="1"/>
    <n v="1333.3333333333333"/>
    <n v="2.2999999999999998"/>
    <n v="2.7"/>
    <n v="0.85185185185185175"/>
    <n v="0.85185185185185175"/>
    <n v="2453"/>
    <m/>
    <n v="0"/>
    <n v="0"/>
    <n v="0"/>
    <n v="0"/>
    <n v="0"/>
    <n v="0"/>
    <n v="0"/>
    <n v="0"/>
    <n v="0"/>
    <n v="0"/>
    <n v="0"/>
    <n v="0"/>
    <n v="0"/>
    <n v="0"/>
    <n v="0"/>
    <n v="0"/>
    <n v="0"/>
    <n v="0"/>
    <n v="0"/>
    <n v="0"/>
    <n v="0"/>
    <n v="0"/>
    <n v="0"/>
    <n v="0"/>
    <n v="0"/>
    <n v="0"/>
    <n v="0"/>
    <n v="0"/>
    <n v="0"/>
    <n v="0"/>
  </r>
  <r>
    <d v="2021-08-17T00:00:00"/>
    <s v="A"/>
    <x v="3"/>
    <s v="FO019"/>
    <m/>
    <s v="P1"/>
    <s v="NIPPLE S TYPE S SIZE PUNCHED"/>
    <s v="HEH12NaH12PcH17Pa"/>
    <s v="Himanshu"/>
    <n v="8"/>
    <n v="7000"/>
    <n v="875"/>
    <n v="4000"/>
    <n v="4000"/>
    <n v="0"/>
    <n v="0"/>
    <n v="0"/>
    <n v="0"/>
    <n v="0"/>
    <n v="0"/>
    <n v="1"/>
    <n v="4000"/>
    <n v="0.5714285714285714"/>
    <s v="FO015"/>
    <n v="0"/>
    <n v="0"/>
    <s v=" "/>
    <n v="0"/>
    <n v="0"/>
    <n v="1"/>
    <n v="4.1513888888888895"/>
    <n v="3.8486111111111105"/>
    <n v="0.48107638888888882"/>
    <n v="500"/>
    <n v="3.5"/>
    <n v="3.4637499999999997"/>
    <n v="1.0104655359076147"/>
    <n v="0.4861111111111111"/>
    <s v="2449/2450"/>
    <m/>
    <n v="40"/>
    <n v="0"/>
    <n v="0"/>
    <n v="0"/>
    <n v="0"/>
    <n v="0"/>
    <n v="45"/>
    <n v="0"/>
    <n v="0"/>
    <n v="0"/>
    <n v="0"/>
    <n v="0"/>
    <n v="0"/>
    <n v="0"/>
    <n v="0"/>
    <n v="0"/>
    <n v="0"/>
    <n v="0"/>
    <n v="0"/>
    <n v="0"/>
    <n v="0"/>
    <n v="160"/>
    <n v="0"/>
    <n v="0"/>
    <n v="0"/>
    <n v="0"/>
    <n v="0"/>
    <n v="0"/>
    <n v="4.083333333333333"/>
    <n v="4.1513888888888895"/>
  </r>
  <r>
    <d v="2021-08-17T00:00:00"/>
    <s v="A"/>
    <x v="1"/>
    <s v="FO003"/>
    <s v="BM3"/>
    <s v="B2"/>
    <s v="KPP 240 ML BOTTLE MOLDED"/>
    <s v="EH17Ba2"/>
    <s v="Himanshu"/>
    <n v="8"/>
    <n v="2574"/>
    <n v="321.75"/>
    <n v="1141"/>
    <n v="1080"/>
    <n v="0.124"/>
    <n v="21"/>
    <n v="0"/>
    <n v="0"/>
    <n v="32"/>
    <n v="8"/>
    <n v="1"/>
    <n v="1080"/>
    <n v="0.41958041958041958"/>
    <s v="HMC"/>
    <n v="32.1"/>
    <n v="36.750100000000003"/>
    <n v="0.94334437185204945"/>
    <n v="2.8776978417266189E-2"/>
    <n v="1.8072289156626505E-2"/>
    <n v="0.97195442594215598"/>
    <n v="5.2527777777777782"/>
    <n v="2.7472222222222218"/>
    <n v="0.34340277777777772"/>
    <n v="135"/>
    <n v="9"/>
    <n v="9.1574074074074066"/>
    <n v="0.98281092012133475"/>
    <n v="0.32803461875547762"/>
    <n v="2452"/>
    <m/>
    <n v="0"/>
    <n v="0"/>
    <n v="190"/>
    <n v="0"/>
    <n v="0"/>
    <n v="0"/>
    <n v="0"/>
    <n v="0"/>
    <n v="0"/>
    <n v="0"/>
    <n v="0"/>
    <n v="0"/>
    <n v="120"/>
    <n v="0"/>
    <n v="0"/>
    <n v="0"/>
    <n v="0"/>
    <n v="0"/>
    <n v="0"/>
    <n v="0"/>
    <n v="0"/>
    <n v="0"/>
    <n v="0"/>
    <n v="0"/>
    <n v="0"/>
    <n v="0"/>
    <n v="0"/>
    <n v="0"/>
    <n v="5.166666666666667"/>
    <n v="5.2527777777777782"/>
  </r>
  <r>
    <d v="2021-08-17T00:00:00"/>
    <s v="A"/>
    <x v="5"/>
    <s v="FO145"/>
    <m/>
    <s v="INJ-1"/>
    <s v="CAP S TYPE MOLDED PALE BLUE"/>
    <s v="EH17Ca"/>
    <s v="Himanshu"/>
    <n v="8"/>
    <n v="4137"/>
    <n v="517.125"/>
    <n v="4012"/>
    <n v="4000"/>
    <n v="0"/>
    <n v="2"/>
    <n v="0"/>
    <n v="0"/>
    <n v="2"/>
    <n v="8"/>
    <n v="1"/>
    <n v="4000"/>
    <n v="0.96688421561518012"/>
    <s v="RM000115"/>
    <n v="7.3"/>
    <n v="29.287600000000001"/>
    <n v="0.99700897308075764"/>
    <n v="4.9975012493753122E-4"/>
    <n v="4.9825610363726954E-4"/>
    <n v="0.99950149551345957"/>
    <n v="1.0166666666666666"/>
    <n v="6.9833333333333334"/>
    <n v="0.87291666666666667"/>
    <n v="500"/>
    <n v="6"/>
    <n v="6.2850000000000001"/>
    <n v="0.95465393794749398"/>
    <n v="0.83291791292788298"/>
    <n v="2692"/>
    <m/>
    <n v="0"/>
    <n v="0"/>
    <n v="0"/>
    <n v="0"/>
    <n v="0"/>
    <n v="0"/>
    <n v="0"/>
    <n v="0"/>
    <n v="0"/>
    <n v="0"/>
    <n v="0"/>
    <n v="0"/>
    <n v="60"/>
    <n v="0"/>
    <n v="0"/>
    <n v="0"/>
    <n v="0"/>
    <n v="0"/>
    <n v="0"/>
    <n v="0"/>
    <n v="0"/>
    <n v="0"/>
    <n v="0"/>
    <n v="0"/>
    <n v="0"/>
    <n v="0"/>
    <n v="0"/>
    <n v="0"/>
    <n v="1"/>
    <n v="1.0166666666666666"/>
  </r>
  <r>
    <d v="2021-08-17T00:00:00"/>
    <s v="G"/>
    <x v="6"/>
    <s v="FO008"/>
    <m/>
    <s v="PR1"/>
    <s v="KPP 240 ML BOTTLE PRINTED"/>
    <s v="EH12Bc2H17Pa"/>
    <s v="Pintu"/>
    <n v="8.5"/>
    <n v="5100"/>
    <n v="600"/>
    <n v="5205"/>
    <n v="5184"/>
    <n v="0"/>
    <n v="0"/>
    <n v="61"/>
    <n v="0"/>
    <n v="21"/>
    <n v="0"/>
    <n v="6"/>
    <n v="864"/>
    <n v="1.016470588235294"/>
    <s v="FO003"/>
    <n v="0"/>
    <n v="0"/>
    <s v=" "/>
    <n v="4.0345821325648411E-3"/>
    <n v="0"/>
    <n v="0.9959654178674352"/>
    <n v="0.84722222222222221"/>
    <n v="7.6527777777777777"/>
    <n v="0.90032679738562094"/>
    <n v="609.88235294117646"/>
    <n v="32.4"/>
    <n v="31.886574074074073"/>
    <n v="1.0161016333938293"/>
    <n v="0.91113259874555008"/>
    <s v="PINPM/21-22/2478,79,80"/>
    <m/>
    <n v="50"/>
    <n v="0"/>
    <n v="0"/>
    <n v="0"/>
    <n v="0"/>
    <n v="0"/>
    <n v="0"/>
    <n v="0"/>
    <n v="0"/>
    <n v="0"/>
    <n v="0"/>
    <n v="0"/>
    <n v="0"/>
    <n v="0"/>
    <n v="0"/>
    <n v="0"/>
    <n v="0"/>
    <n v="0"/>
    <n v="0"/>
    <n v="0"/>
    <n v="0"/>
    <n v="0"/>
    <n v="0"/>
    <n v="0"/>
    <n v="0"/>
    <n v="0"/>
    <n v="0"/>
    <n v="0"/>
    <n v="0.83333333333333337"/>
    <n v="0.84722222222222221"/>
  </r>
  <r>
    <d v="2021-08-17T00:00:00"/>
    <s v="G"/>
    <x v="7"/>
    <s v="FO030"/>
    <m/>
    <s v="WR1"/>
    <s v="NIPPLE S TYPE M SIZE WITH PRINTED WRAP"/>
    <s v="HEG14CG22"/>
    <s v="Vivek"/>
    <n v="8.5"/>
    <n v="16132"/>
    <n v="1897.8823529411766"/>
    <n v="11557"/>
    <n v="11507"/>
    <n v="0"/>
    <n v="0"/>
    <n v="0"/>
    <n v="0"/>
    <n v="50"/>
    <n v="0"/>
    <n v="2"/>
    <n v="5753.5"/>
    <n v="0.71330275229357798"/>
    <s v="FO020"/>
    <n v="0"/>
    <n v="0"/>
    <s v=" "/>
    <n v="4.3263822791381849E-3"/>
    <n v="0"/>
    <n v="0.99567361772086183"/>
    <n v="2.2027777777777775"/>
    <n v="6.2972222222222225"/>
    <n v="0.74084967320261441"/>
    <n v="1353.7647058823529"/>
    <n v="2.5"/>
    <n v="3.9402103067697922"/>
    <n v="0.63448389942655492"/>
    <n v="0.46802354244746558"/>
    <s v="2462/2463/2464"/>
    <s v="Production loss due to wrapping film poly open and poly fold (Nipple Fold)  issue total loss time 80 min."/>
    <n v="50"/>
    <n v="0"/>
    <n v="0"/>
    <n v="0"/>
    <n v="0"/>
    <n v="0"/>
    <n v="0"/>
    <n v="30"/>
    <n v="0"/>
    <n v="0"/>
    <n v="0"/>
    <n v="0"/>
    <n v="0"/>
    <n v="0"/>
    <n v="0"/>
    <n v="0"/>
    <n v="0"/>
    <n v="0"/>
    <n v="0"/>
    <n v="0"/>
    <n v="0"/>
    <n v="50"/>
    <n v="0"/>
    <n v="0"/>
    <n v="0"/>
    <n v="0"/>
    <n v="0"/>
    <n v="0"/>
    <n v="2.1666666666666665"/>
    <n v="2.2027777777777775"/>
  </r>
  <r>
    <d v="2021-08-17T00:00:00"/>
    <s v="G"/>
    <x v="4"/>
    <s v="FO108"/>
    <m/>
    <m/>
    <s v="NIPPLE S TYPE S SIZE PUNCHED INSPECTED"/>
    <s v="HEH11NcH11PcH13Pa"/>
    <s v="Vivek"/>
    <n v="8.5"/>
    <n v="14182"/>
    <n v="1668.4705882352941"/>
    <n v="12300"/>
    <n v="12216"/>
    <n v="0"/>
    <n v="0"/>
    <n v="0"/>
    <n v="0"/>
    <n v="84"/>
    <n v="0"/>
    <n v="1"/>
    <n v="12216"/>
    <n v="0.86137357213369059"/>
    <s v="FO104"/>
    <n v="0"/>
    <n v="0"/>
    <s v=" "/>
    <n v="6.8292682926829268E-3"/>
    <n v="0"/>
    <n v="0.99317073170731707"/>
    <n v="0.84722222222222221"/>
    <n v="7.6527777777777777"/>
    <n v="0.90032679738562094"/>
    <n v="1437.1764705882354"/>
    <n v="4"/>
    <n v="2.2552390307793058"/>
    <n v="1.7736479128856626"/>
    <n v="1.5859573409851746"/>
    <s v="2459/2460/2461"/>
    <m/>
    <n v="50"/>
    <n v="0"/>
    <n v="0"/>
    <n v="0"/>
    <n v="0"/>
    <n v="0"/>
    <n v="0"/>
    <n v="0"/>
    <n v="0"/>
    <n v="0"/>
    <n v="0"/>
    <n v="0"/>
    <n v="0"/>
    <n v="0"/>
    <n v="0"/>
    <n v="0"/>
    <n v="0"/>
    <n v="0"/>
    <n v="0"/>
    <n v="0"/>
    <n v="0"/>
    <n v="0"/>
    <n v="0"/>
    <n v="0"/>
    <n v="0"/>
    <n v="0"/>
    <n v="0"/>
    <n v="0"/>
    <n v="0.83333333333333337"/>
    <n v="0.84722222222222221"/>
  </r>
  <r>
    <d v="2021-08-17T00:00:00"/>
    <s v="B"/>
    <x v="2"/>
    <s v="FO015"/>
    <m/>
    <s v="PC1"/>
    <s v="NIPPLE S TYPE S SIZE POSTCURED"/>
    <s v="HEH17NbH17Pb"/>
    <s v="Saurav"/>
    <n v="1.5"/>
    <n v="2000"/>
    <n v="1333.3333333333333"/>
    <n v="2000"/>
    <n v="2000"/>
    <n v="0"/>
    <n v="0"/>
    <n v="0"/>
    <n v="0"/>
    <n v="0"/>
    <n v="0"/>
    <n v="1"/>
    <n v="2000"/>
    <n v="1"/>
    <s v="FO011"/>
    <n v="0"/>
    <n v="0"/>
    <s v=" "/>
    <n v="0"/>
    <n v="0"/>
    <n v="1"/>
    <n v="0"/>
    <n v="1.5"/>
    <n v="1"/>
    <n v="1333.3333333333333"/>
    <n v="2.2999999999999998"/>
    <n v="2.7"/>
    <n v="0.85185185185185175"/>
    <n v="0.85185185185185175"/>
    <n v="2469"/>
    <m/>
    <n v="0"/>
    <n v="0"/>
    <n v="0"/>
    <n v="0"/>
    <n v="0"/>
    <n v="0"/>
    <n v="0"/>
    <n v="0"/>
    <n v="0"/>
    <n v="0"/>
    <n v="0"/>
    <n v="0"/>
    <n v="0"/>
    <n v="0"/>
    <n v="0"/>
    <n v="0"/>
    <n v="0"/>
    <n v="0"/>
    <n v="0"/>
    <n v="0"/>
    <n v="0"/>
    <n v="0"/>
    <n v="0"/>
    <n v="0"/>
    <n v="0"/>
    <n v="0"/>
    <n v="0"/>
    <n v="0"/>
    <n v="0"/>
    <n v="0"/>
  </r>
  <r>
    <d v="2021-08-17T00:00:00"/>
    <s v="B"/>
    <x v="0"/>
    <s v="FO011"/>
    <s v="M2"/>
    <s v="L2"/>
    <s v="NIPPLE S TYPE S SIZE INJECTION"/>
    <s v="HEH17Nb"/>
    <s v="Saurav"/>
    <n v="8"/>
    <n v="4815"/>
    <n v="601.875"/>
    <n v="5417"/>
    <n v="5300"/>
    <n v="0"/>
    <n v="45"/>
    <n v="0"/>
    <n v="0"/>
    <n v="72"/>
    <n v="0"/>
    <n v="1"/>
    <n v="5300"/>
    <n v="1.1007268951194185"/>
    <s v="Silicon"/>
    <n v="6.8"/>
    <n v="36.835599999999999"/>
    <n v="0.97840132914897548"/>
    <n v="1.3402829486224869E-2"/>
    <n v="8.2387403881362137E-3"/>
    <n v="0.98670851024552331"/>
    <n v="0"/>
    <n v="8"/>
    <n v="1"/>
    <n v="662.5"/>
    <n v="5.25"/>
    <n v="5.4339622641509431"/>
    <n v="0.96614583333333337"/>
    <n v="0.95330431588825304"/>
    <s v="2465/2468"/>
    <m/>
    <n v="0"/>
    <n v="0"/>
    <n v="0"/>
    <n v="0"/>
    <n v="0"/>
    <n v="0"/>
    <n v="0"/>
    <n v="0"/>
    <n v="0"/>
    <n v="0"/>
    <n v="0"/>
    <n v="0"/>
    <n v="0"/>
    <n v="0"/>
    <n v="0"/>
    <n v="0"/>
    <n v="0"/>
    <n v="0"/>
    <n v="0"/>
    <n v="0"/>
    <n v="0"/>
    <n v="0"/>
    <n v="0"/>
    <n v="0"/>
    <n v="0"/>
    <n v="0"/>
    <n v="0"/>
    <n v="0"/>
    <n v="0"/>
    <n v="0"/>
  </r>
  <r>
    <d v="2021-08-17T00:00:00"/>
    <s v="B"/>
    <x v="1"/>
    <s v="FO003"/>
    <s v="BM3"/>
    <s v="B2"/>
    <s v="KPP 240 ML BOTTLE MOLDED"/>
    <s v="EH17Bb2"/>
    <s v="Saurav"/>
    <n v="8"/>
    <n v="2574"/>
    <n v="321.75"/>
    <n v="3180"/>
    <n v="3132"/>
    <n v="0.1"/>
    <n v="0"/>
    <n v="0"/>
    <n v="0"/>
    <n v="48"/>
    <n v="0"/>
    <n v="1"/>
    <n v="3132"/>
    <n v="1.2167832167832169"/>
    <s v="HMC"/>
    <n v="32.1"/>
    <n v="102.17800000000001"/>
    <n v="0.9839417487130302"/>
    <n v="1.509433962264151E-2"/>
    <n v="0"/>
    <n v="0.98490566037735849"/>
    <n v="0"/>
    <n v="8"/>
    <n v="1"/>
    <n v="391.5"/>
    <n v="9"/>
    <n v="9.1954022988505741"/>
    <n v="0.97875000000000001"/>
    <n v="0.96397641509433962"/>
    <n v="2472"/>
    <m/>
    <n v="0"/>
    <n v="0"/>
    <n v="0"/>
    <n v="0"/>
    <n v="0"/>
    <n v="0"/>
    <n v="0"/>
    <n v="0"/>
    <n v="0"/>
    <n v="0"/>
    <n v="0"/>
    <n v="0"/>
    <n v="0"/>
    <n v="0"/>
    <n v="0"/>
    <n v="0"/>
    <n v="0"/>
    <n v="0"/>
    <n v="0"/>
    <n v="0"/>
    <n v="0"/>
    <n v="0"/>
    <n v="0"/>
    <n v="0"/>
    <n v="0"/>
    <n v="0"/>
    <n v="0"/>
    <n v="0"/>
    <n v="0"/>
    <n v="0"/>
  </r>
  <r>
    <d v="2021-08-17T00:00:00"/>
    <s v="B"/>
    <x v="3"/>
    <s v="FO019"/>
    <m/>
    <s v="P1"/>
    <s v="NIPPLE S TYPE S SIZE PUNCHED"/>
    <s v="HEH12NcH13PaH17Pb"/>
    <s v="Saurav"/>
    <n v="8"/>
    <n v="7036"/>
    <n v="879.5"/>
    <n v="7300"/>
    <n v="7300"/>
    <n v="0"/>
    <n v="0"/>
    <n v="0"/>
    <n v="0"/>
    <n v="0"/>
    <n v="0"/>
    <n v="1"/>
    <n v="7300"/>
    <n v="1.0375213189312109"/>
    <s v="FO015"/>
    <n v="0"/>
    <n v="0"/>
    <s v=" "/>
    <n v="0"/>
    <n v="0"/>
    <n v="1"/>
    <n v="0.6777777777777777"/>
    <n v="7.322222222222222"/>
    <n v="0.91527777777777775"/>
    <n v="912.5"/>
    <n v="3.5"/>
    <n v="3.6109589041095891"/>
    <n v="0.96927162367223063"/>
    <n v="0.88715277777777768"/>
    <s v="2466/2467"/>
    <m/>
    <n v="40"/>
    <n v="0"/>
    <n v="0"/>
    <n v="0"/>
    <n v="0"/>
    <n v="0"/>
    <n v="0"/>
    <n v="0"/>
    <n v="0"/>
    <n v="0"/>
    <n v="0"/>
    <n v="0"/>
    <n v="0"/>
    <n v="0"/>
    <n v="0"/>
    <n v="0"/>
    <n v="0"/>
    <n v="0"/>
    <n v="0"/>
    <n v="0"/>
    <n v="0"/>
    <n v="0"/>
    <n v="0"/>
    <n v="0"/>
    <n v="0"/>
    <n v="0"/>
    <n v="0"/>
    <n v="0"/>
    <n v="0.66666666666666663"/>
    <n v="0.6777777777777777"/>
  </r>
  <r>
    <d v="2021-08-17T00:00:00"/>
    <s v="B"/>
    <x v="8"/>
    <s v="FO104"/>
    <m/>
    <s v="LZR"/>
    <s v="NIPPLE S TYPE S SIZE PUNCHED LASER MARKED"/>
    <s v="HEH12BG22"/>
    <s v="Saurav"/>
    <n v="8"/>
    <n v="7036"/>
    <n v="879.5"/>
    <n v="6000"/>
    <n v="6000"/>
    <n v="0"/>
    <n v="0"/>
    <n v="0"/>
    <n v="0"/>
    <n v="0"/>
    <n v="0"/>
    <n v="1"/>
    <n v="6000"/>
    <n v="0.85275724843661171"/>
    <s v="FO019"/>
    <n v="0"/>
    <n v="0"/>
    <s v=" "/>
    <n v="0"/>
    <n v="0"/>
    <n v="1"/>
    <n v="1.6944444444444444"/>
    <n v="6.3055555555555554"/>
    <n v="0.78819444444444442"/>
    <n v="750"/>
    <n v="3.5"/>
    <n v="3.7833333333333332"/>
    <n v="0.92511013215859039"/>
    <n v="0.72916666666666674"/>
    <s v="2470/2471"/>
    <s v="Laser machine start in 3:00 pm 60 min loss due to machine setup . Laser marking start Lot.No(HEH12BG22)"/>
    <n v="40"/>
    <n v="0"/>
    <n v="0"/>
    <n v="0"/>
    <n v="0"/>
    <n v="0"/>
    <n v="60"/>
    <n v="0"/>
    <n v="0"/>
    <n v="0"/>
    <n v="0"/>
    <n v="0"/>
    <n v="0"/>
    <n v="0"/>
    <n v="0"/>
    <n v="0"/>
    <n v="0"/>
    <n v="0"/>
    <n v="0"/>
    <n v="0"/>
    <n v="0"/>
    <n v="0"/>
    <n v="0"/>
    <n v="0"/>
    <n v="0"/>
    <n v="0"/>
    <n v="0"/>
    <n v="0"/>
    <n v="1.6666666666666667"/>
    <n v="1.6944444444444444"/>
  </r>
  <r>
    <d v="2021-08-17T00:00:00"/>
    <s v="B"/>
    <x v="5"/>
    <s v="FO145"/>
    <m/>
    <s v="INJ-1"/>
    <s v="CAP S TYPE MOLDED PALE BLUE"/>
    <s v="EH17Cb"/>
    <s v="Saurav"/>
    <n v="2.5"/>
    <n v="1290"/>
    <n v="516"/>
    <n v="1350"/>
    <n v="1350"/>
    <n v="0"/>
    <n v="0"/>
    <n v="0"/>
    <n v="0"/>
    <n v="0"/>
    <n v="0"/>
    <n v="1"/>
    <n v="1350"/>
    <n v="1.0465116279069768"/>
    <s v="RM000115"/>
    <n v="7.3"/>
    <n v="9.8550000000000004"/>
    <n v="1"/>
    <n v="0"/>
    <n v="0"/>
    <n v="1"/>
    <n v="0"/>
    <n v="2.5"/>
    <n v="1"/>
    <n v="540"/>
    <n v="6"/>
    <n v="6.666666666666667"/>
    <n v="0.89999999999999991"/>
    <n v="0.89999999999999991"/>
    <n v="2692"/>
    <m/>
    <n v="0"/>
    <n v="0"/>
    <n v="0"/>
    <n v="0"/>
    <n v="0"/>
    <n v="0"/>
    <n v="0"/>
    <n v="0"/>
    <n v="0"/>
    <n v="0"/>
    <n v="0"/>
    <n v="0"/>
    <n v="0"/>
    <n v="0"/>
    <n v="0"/>
    <n v="0"/>
    <n v="0"/>
    <n v="0"/>
    <n v="0"/>
    <n v="0"/>
    <n v="0"/>
    <n v="0"/>
    <n v="0"/>
    <n v="0"/>
    <n v="0"/>
    <n v="0"/>
    <n v="0"/>
    <n v="0"/>
    <n v="0"/>
    <n v="0"/>
  </r>
  <r>
    <d v="2021-08-17T00:00:00"/>
    <s v="B"/>
    <x v="5"/>
    <s v="FO145"/>
    <m/>
    <s v="INJ-1"/>
    <s v="CAP S TYPE MOLDED PALE BLUE"/>
    <s v="EH17CRb"/>
    <s v="Saurav"/>
    <n v="5.5"/>
    <n v="2847"/>
    <n v="517.63636363636363"/>
    <n v="3008"/>
    <n v="3000"/>
    <n v="0"/>
    <n v="0"/>
    <n v="0"/>
    <n v="0"/>
    <n v="8"/>
    <n v="0"/>
    <n v="1"/>
    <n v="3000"/>
    <n v="1.053740779768177"/>
    <s v="RM000115"/>
    <n v="7.3"/>
    <n v="21.958400000000001"/>
    <n v="0.99734042553191482"/>
    <n v="2.6595744680851063E-3"/>
    <n v="0"/>
    <n v="0.99734042553191493"/>
    <n v="0"/>
    <n v="5.5"/>
    <n v="1"/>
    <n v="545.4545454545455"/>
    <n v="6"/>
    <n v="6.6"/>
    <n v="0.90909090909090917"/>
    <n v="0.9066731141199228"/>
    <n v="2693"/>
    <m/>
    <n v="0"/>
    <n v="0"/>
    <n v="0"/>
    <n v="0"/>
    <n v="0"/>
    <n v="0"/>
    <n v="0"/>
    <n v="0"/>
    <n v="0"/>
    <n v="0"/>
    <n v="0"/>
    <n v="0"/>
    <n v="0"/>
    <n v="0"/>
    <n v="0"/>
    <n v="0"/>
    <n v="0"/>
    <n v="0"/>
    <n v="0"/>
    <n v="0"/>
    <n v="0"/>
    <n v="0"/>
    <n v="0"/>
    <n v="0"/>
    <n v="0"/>
    <n v="0"/>
    <n v="0"/>
    <n v="0"/>
    <n v="0"/>
    <n v="0"/>
  </r>
  <r>
    <d v="2021-08-17T00:00:00"/>
    <s v="C"/>
    <x v="5"/>
    <s v="FO145"/>
    <m/>
    <s v="INJ-1"/>
    <s v="CAP S TYPE MOLDED PALE BLUE"/>
    <s v="EH17CRc"/>
    <s v="Nitin"/>
    <n v="3"/>
    <n v="1537"/>
    <n v="512.33333333333337"/>
    <n v="1578"/>
    <n v="1570"/>
    <n v="0.19"/>
    <n v="0"/>
    <n v="0"/>
    <n v="0"/>
    <n v="0"/>
    <n v="8"/>
    <n v="1"/>
    <n v="1570"/>
    <n v="1.0214703968770331"/>
    <s v="RM000115"/>
    <n v="7.3"/>
    <n v="11.7094"/>
    <n v="0.97878627427536846"/>
    <n v="0"/>
    <n v="0"/>
    <n v="1"/>
    <n v="0.5083333333333333"/>
    <n v="2.4916666666666667"/>
    <n v="0.8305555555555556"/>
    <n v="523.33333333333337"/>
    <n v="6"/>
    <n v="5.7133757961783438"/>
    <n v="1.0501672240802675"/>
    <n v="0.87222222222222223"/>
    <n v="2693"/>
    <s v="Material change over Pale blue to white due to Pale Blue cap plan completed"/>
    <n v="0"/>
    <n v="30"/>
    <n v="0"/>
    <n v="0"/>
    <n v="0"/>
    <n v="0"/>
    <n v="0"/>
    <n v="0"/>
    <n v="0"/>
    <n v="0"/>
    <n v="0"/>
    <n v="0"/>
    <n v="0"/>
    <n v="0"/>
    <n v="0"/>
    <n v="0"/>
    <n v="0"/>
    <n v="0"/>
    <n v="0"/>
    <n v="0"/>
    <n v="0"/>
    <n v="0"/>
    <n v="0"/>
    <n v="0"/>
    <n v="0"/>
    <n v="0"/>
    <n v="0"/>
    <n v="0"/>
    <n v="0.5"/>
    <n v="0.5083333333333333"/>
  </r>
  <r>
    <d v="2021-08-17T00:00:00"/>
    <s v="C"/>
    <x v="5"/>
    <s v="FO146"/>
    <m/>
    <s v="INJ-1"/>
    <s v="CAP S TYPE MOLDED WHITE"/>
    <s v="EH17Cc"/>
    <s v="Nitin"/>
    <n v="5"/>
    <n v="2600"/>
    <n v="520"/>
    <n v="3012"/>
    <n v="3000"/>
    <n v="0"/>
    <n v="0"/>
    <n v="0"/>
    <n v="0"/>
    <n v="4"/>
    <n v="8"/>
    <n v="1"/>
    <n v="3000"/>
    <n v="1.1538461538461537"/>
    <s v="RM000106"/>
    <n v="7.3"/>
    <n v="21.9876"/>
    <n v="0.99601593625497997"/>
    <n v="1.3315579227696406E-3"/>
    <n v="0"/>
    <n v="0.99867197875166003"/>
    <n v="0"/>
    <n v="5"/>
    <n v="1"/>
    <n v="600"/>
    <n v="6"/>
    <n v="6"/>
    <n v="1"/>
    <n v="0.99867197875166003"/>
    <n v="2694"/>
    <m/>
    <n v="0"/>
    <n v="0"/>
    <n v="0"/>
    <n v="0"/>
    <n v="0"/>
    <n v="0"/>
    <n v="0"/>
    <n v="0"/>
    <n v="0"/>
    <n v="0"/>
    <n v="0"/>
    <n v="0"/>
    <n v="0"/>
    <n v="0"/>
    <n v="0"/>
    <n v="0"/>
    <n v="0"/>
    <n v="0"/>
    <n v="0"/>
    <n v="0"/>
    <n v="0"/>
    <n v="0"/>
    <n v="0"/>
    <n v="0"/>
    <n v="0"/>
    <n v="0"/>
    <n v="0"/>
    <n v="0"/>
    <n v="0"/>
    <n v="0"/>
  </r>
  <r>
    <d v="2021-08-17T00:00:00"/>
    <s v="C"/>
    <x v="0"/>
    <s v="FO011"/>
    <s v="M2"/>
    <s v="L2"/>
    <s v="NIPPLE S TYPE S SIZE INJECTION"/>
    <s v="HEH17Nc"/>
    <s v="Nitin"/>
    <n v="8"/>
    <n v="4815"/>
    <n v="601.875"/>
    <n v="5326"/>
    <n v="5200"/>
    <n v="5.94"/>
    <n v="64"/>
    <n v="0"/>
    <n v="0"/>
    <n v="54"/>
    <n v="8"/>
    <n v="1"/>
    <n v="5200"/>
    <n v="1.0799584631360333"/>
    <s v="Silicon"/>
    <n v="6.8"/>
    <n v="42.156799999999997"/>
    <n v="0.83877334143008964"/>
    <n v="1.0277883517320136E-2"/>
    <n v="1.1873840445269016E-2"/>
    <n v="0.98986105895606458"/>
    <n v="0.76249999999999996"/>
    <n v="7.2374999999999998"/>
    <n v="0.90468749999999998"/>
    <n v="650"/>
    <n v="5.25"/>
    <n v="5.0105769230769228"/>
    <n v="1.047783534830167"/>
    <n v="0.93830579546876958"/>
    <n v="2474"/>
    <s v="Material drum change over and middle plate cleane"/>
    <n v="0"/>
    <n v="0"/>
    <n v="0"/>
    <n v="0"/>
    <n v="0"/>
    <n v="25"/>
    <n v="0"/>
    <n v="0"/>
    <n v="20"/>
    <n v="0"/>
    <n v="0"/>
    <n v="0"/>
    <n v="0"/>
    <n v="0"/>
    <n v="0"/>
    <n v="0"/>
    <n v="0"/>
    <n v="0"/>
    <n v="0"/>
    <n v="0"/>
    <n v="0"/>
    <n v="0"/>
    <n v="0"/>
    <n v="0"/>
    <n v="0"/>
    <n v="0"/>
    <n v="0"/>
    <n v="0"/>
    <n v="0.75"/>
    <n v="0.76249999999999996"/>
  </r>
  <r>
    <d v="2021-08-17T00:00:00"/>
    <s v="C"/>
    <x v="1"/>
    <s v="FO003"/>
    <s v="BM3"/>
    <s v="B2"/>
    <s v="KPP 240 ML BOTTLE MOLDED"/>
    <s v="EH17Bc2"/>
    <s v="Nitin"/>
    <n v="8"/>
    <n v="2574"/>
    <n v="321.75"/>
    <n v="3305"/>
    <n v="3240"/>
    <n v="0"/>
    <n v="20"/>
    <n v="0"/>
    <n v="0"/>
    <n v="37"/>
    <n v="8"/>
    <n v="1"/>
    <n v="3240"/>
    <n v="1.2587412587412588"/>
    <s v="HMC"/>
    <n v="32.1"/>
    <n v="106.09050000000001"/>
    <n v="0.98033282904689867"/>
    <n v="1.1290814769606347E-2"/>
    <n v="6.0150375939849628E-3"/>
    <n v="0.98880484114977307"/>
    <n v="0.33888888888888885"/>
    <n v="7.6611111111111114"/>
    <n v="0.95763888888888893"/>
    <n v="405"/>
    <n v="9"/>
    <n v="8.5123456790123448"/>
    <n v="1.0572878897751996"/>
    <n v="1.0011649016641453"/>
    <s v="2473/2475"/>
    <s v="Lip cavity cleaning done"/>
    <n v="0"/>
    <n v="0"/>
    <n v="0"/>
    <n v="0"/>
    <n v="0"/>
    <n v="0"/>
    <n v="0"/>
    <n v="0"/>
    <n v="0"/>
    <n v="0"/>
    <n v="20"/>
    <n v="0"/>
    <n v="0"/>
    <n v="0"/>
    <n v="0"/>
    <n v="0"/>
    <n v="0"/>
    <n v="0"/>
    <n v="0"/>
    <n v="0"/>
    <n v="0"/>
    <n v="0"/>
    <n v="0"/>
    <n v="0"/>
    <n v="0"/>
    <n v="0"/>
    <n v="0"/>
    <n v="0"/>
    <n v="0.33333333333333331"/>
    <n v="0.33888888888888885"/>
  </r>
  <r>
    <d v="2021-08-18T00:00:00"/>
    <s v="A"/>
    <x v="0"/>
    <s v="FO011"/>
    <m/>
    <m/>
    <s v="NIPPLE S TYPE S SIZE INJECTION"/>
    <s v="HEH18Na"/>
    <s v="Himanshu"/>
    <n v="8"/>
    <n v="4815"/>
    <n v="601.875"/>
    <n v="5138"/>
    <n v="5000"/>
    <n v="0"/>
    <n v="90"/>
    <n v="0"/>
    <n v="0"/>
    <n v="40"/>
    <n v="8"/>
    <n v="1"/>
    <n v="5000"/>
    <n v="1.0384215991692627"/>
    <s v="Silicon"/>
    <n v="6.8"/>
    <n v="34.938400000000001"/>
    <n v="0.97314130011677691"/>
    <n v="7.9365079365079361E-3"/>
    <n v="1.7214996174445295E-2"/>
    <n v="0.9922148695990658"/>
    <n v="0"/>
    <n v="8"/>
    <n v="1"/>
    <n v="625"/>
    <n v="5.25"/>
    <n v="5.76"/>
    <n v="0.91145833333333337"/>
    <n v="0.90436251135331525"/>
    <n v="2484"/>
    <s v="Plan completed"/>
    <n v="0"/>
    <n v="0"/>
    <n v="0"/>
    <n v="0"/>
    <n v="0"/>
    <n v="0"/>
    <n v="0"/>
    <n v="0"/>
    <n v="0"/>
    <n v="0"/>
    <n v="0"/>
    <n v="0"/>
    <n v="0"/>
    <n v="0"/>
    <n v="0"/>
    <n v="0"/>
    <n v="0"/>
    <n v="0"/>
    <n v="0"/>
    <n v="0"/>
    <n v="0"/>
    <n v="0"/>
    <n v="0"/>
    <n v="0"/>
    <n v="0"/>
    <n v="0"/>
    <n v="0"/>
    <n v="0"/>
    <n v="0"/>
    <n v="0"/>
  </r>
  <r>
    <d v="2021-08-18T00:00:00"/>
    <s v="A"/>
    <x v="1"/>
    <s v="FO003"/>
    <s v="BM3"/>
    <s v="B2"/>
    <s v="KPP 240 ML BOTTLE MOLDED"/>
    <s v="EH18Ba2"/>
    <s v="Himanshu"/>
    <n v="8"/>
    <n v="2574"/>
    <n v="321.75"/>
    <n v="3270"/>
    <n v="3132"/>
    <n v="0.18"/>
    <n v="58"/>
    <n v="0"/>
    <n v="0"/>
    <n v="72"/>
    <n v="8"/>
    <n v="1"/>
    <n v="3132"/>
    <n v="1.2167832167832169"/>
    <s v="HMC"/>
    <n v="32.1"/>
    <n v="105.14700000000002"/>
    <n v="0.95615852092784381"/>
    <n v="2.247191011235955E-2"/>
    <n v="1.7427884615384616E-2"/>
    <n v="0.97798165137614679"/>
    <n v="0"/>
    <n v="8"/>
    <n v="1"/>
    <n v="391.5"/>
    <n v="9"/>
    <n v="9.1954022988505741"/>
    <n v="0.97875000000000001"/>
    <n v="0.95719954128440365"/>
    <n v="2485"/>
    <s v="heat mark and fume issue is major"/>
    <n v="0"/>
    <n v="0"/>
    <n v="0"/>
    <n v="0"/>
    <n v="0"/>
    <n v="0"/>
    <n v="0"/>
    <n v="0"/>
    <n v="0"/>
    <n v="0"/>
    <n v="0"/>
    <n v="0"/>
    <n v="0"/>
    <n v="0"/>
    <n v="0"/>
    <n v="0"/>
    <n v="0"/>
    <n v="0"/>
    <n v="0"/>
    <n v="0"/>
    <n v="0"/>
    <n v="0"/>
    <n v="0"/>
    <n v="0"/>
    <n v="0"/>
    <n v="0"/>
    <n v="0"/>
    <n v="0"/>
    <n v="0"/>
    <n v="0"/>
  </r>
  <r>
    <d v="2021-08-18T00:00:00"/>
    <s v="A"/>
    <x v="3"/>
    <s v="FO019"/>
    <m/>
    <m/>
    <s v="NIPPLE S TYPE S SIZE PUNCHED"/>
    <s v="HEH13NbH13PcH17Pa"/>
    <s v="Himanshu"/>
    <n v="8"/>
    <n v="7000"/>
    <n v="875"/>
    <n v="7000"/>
    <n v="7000"/>
    <n v="0"/>
    <n v="0"/>
    <n v="0"/>
    <n v="0"/>
    <n v="0"/>
    <n v="0"/>
    <n v="1"/>
    <n v="7000"/>
    <n v="1"/>
    <s v="FO015"/>
    <n v="0"/>
    <n v="0"/>
    <s v=" "/>
    <n v="0"/>
    <n v="0"/>
    <n v="1"/>
    <n v="0.6777777777777777"/>
    <n v="7.322222222222222"/>
    <n v="0.91527777777777775"/>
    <n v="875"/>
    <n v="3.5"/>
    <n v="3.7657142857142856"/>
    <n v="0.92943854324734454"/>
    <n v="0.85069444444444453"/>
    <s v="2482/2483"/>
    <s v="Plan completed"/>
    <n v="40"/>
    <n v="0"/>
    <n v="0"/>
    <n v="0"/>
    <n v="0"/>
    <n v="0"/>
    <n v="0"/>
    <n v="0"/>
    <n v="0"/>
    <n v="0"/>
    <n v="0"/>
    <n v="0"/>
    <n v="0"/>
    <n v="0"/>
    <n v="0"/>
    <n v="0"/>
    <n v="0"/>
    <n v="0"/>
    <n v="0"/>
    <n v="0"/>
    <n v="0"/>
    <n v="0"/>
    <n v="0"/>
    <n v="0"/>
    <n v="0"/>
    <n v="0"/>
    <n v="0"/>
    <n v="0"/>
    <n v="0.66666666666666663"/>
    <n v="0.6777777777777777"/>
  </r>
  <r>
    <d v="2021-08-18T00:00:00"/>
    <s v="A"/>
    <x v="2"/>
    <s v="FO015"/>
    <m/>
    <m/>
    <s v="NIPPLE S TYPE S SIZE POSTCURED"/>
    <s v="HEH17NbH18PC"/>
    <s v="Himanshu"/>
    <n v="2"/>
    <n v="3000"/>
    <n v="1500"/>
    <n v="3300"/>
    <n v="3300"/>
    <n v="0"/>
    <n v="0"/>
    <n v="0"/>
    <n v="0"/>
    <n v="0"/>
    <n v="0"/>
    <n v="1"/>
    <n v="3300"/>
    <n v="1.1000000000000001"/>
    <s v="FO011"/>
    <n v="0"/>
    <n v="0"/>
    <s v=" "/>
    <n v="0"/>
    <n v="0"/>
    <n v="1"/>
    <n v="0"/>
    <n v="2"/>
    <n v="1"/>
    <n v="1650"/>
    <n v="2.2999999999999998"/>
    <n v="2.1818181818181817"/>
    <n v="1.0541666666666667"/>
    <n v="1.0541666666666667"/>
    <n v="2486"/>
    <s v="Plan complete as per material availability"/>
    <n v="0"/>
    <n v="0"/>
    <n v="0"/>
    <n v="0"/>
    <n v="0"/>
    <n v="0"/>
    <n v="0"/>
    <n v="0"/>
    <n v="0"/>
    <n v="0"/>
    <n v="0"/>
    <n v="0"/>
    <n v="0"/>
    <n v="0"/>
    <n v="0"/>
    <n v="0"/>
    <n v="0"/>
    <n v="0"/>
    <n v="0"/>
    <n v="0"/>
    <n v="0"/>
    <n v="0"/>
    <n v="0"/>
    <n v="0"/>
    <n v="0"/>
    <n v="0"/>
    <n v="0"/>
    <n v="0"/>
    <n v="0"/>
    <n v="0"/>
  </r>
  <r>
    <d v="2021-08-18T00:00:00"/>
    <s v="A"/>
    <x v="8"/>
    <s v="FO104"/>
    <m/>
    <m/>
    <s v="NIPPLE S TYPE S SIZE PUNCHED LASER MARKED"/>
    <s v="HEH12CG22"/>
    <s v="Himanshu"/>
    <n v="5"/>
    <n v="4375"/>
    <n v="875"/>
    <n v="4300"/>
    <n v="4300"/>
    <n v="0"/>
    <n v="0"/>
    <n v="0"/>
    <n v="0"/>
    <n v="0"/>
    <n v="0"/>
    <n v="1"/>
    <n v="4300"/>
    <n v="0.98285714285714287"/>
    <s v="FO019"/>
    <n v="0"/>
    <n v="0"/>
    <s v=" "/>
    <n v="0"/>
    <n v="0"/>
    <n v="1"/>
    <n v="0.6777777777777777"/>
    <n v="4.322222222222222"/>
    <n v="0.86444444444444435"/>
    <n v="860"/>
    <n v="3.5"/>
    <n v="3.6186046511627903"/>
    <n v="0.96722365038560421"/>
    <n v="0.83611111111111114"/>
    <s v="2487/2488"/>
    <s v="New manpower on machine"/>
    <n v="30"/>
    <n v="0"/>
    <n v="0"/>
    <n v="0"/>
    <n v="10"/>
    <n v="0"/>
    <n v="0"/>
    <n v="0"/>
    <n v="0"/>
    <n v="0"/>
    <n v="0"/>
    <n v="0"/>
    <n v="0"/>
    <n v="0"/>
    <n v="0"/>
    <n v="0"/>
    <n v="0"/>
    <n v="0"/>
    <n v="0"/>
    <n v="0"/>
    <n v="0"/>
    <n v="0"/>
    <n v="0"/>
    <n v="0"/>
    <n v="0"/>
    <n v="0"/>
    <n v="0"/>
    <n v="0"/>
    <n v="0.66666666666666663"/>
    <n v="0.6777777777777777"/>
  </r>
  <r>
    <d v="2021-08-18T00:00:00"/>
    <s v="A"/>
    <x v="5"/>
    <s v="FO146"/>
    <m/>
    <s v="INJ-1"/>
    <s v="CAP S TYPE MOLDED WHITE"/>
    <s v="EH18Ca"/>
    <s v="Himanshu"/>
    <n v="8"/>
    <n v="4137"/>
    <n v="517.125"/>
    <n v="4012"/>
    <n v="4000"/>
    <n v="0"/>
    <n v="0"/>
    <n v="0"/>
    <n v="0"/>
    <n v="4"/>
    <n v="8"/>
    <n v="1"/>
    <n v="4000"/>
    <n v="0.96688421561518012"/>
    <s v="RM000106"/>
    <n v="7.3"/>
    <n v="29.287600000000001"/>
    <n v="0.99700897308075764"/>
    <n v="9.99000999000999E-4"/>
    <n v="0"/>
    <n v="0.99900299102691925"/>
    <n v="0.76249999999999996"/>
    <n v="7.2374999999999998"/>
    <n v="0.90468749999999998"/>
    <n v="500"/>
    <n v="6"/>
    <n v="6.5137499999999999"/>
    <n v="0.92112838226827864"/>
    <n v="0.83250249252243269"/>
    <n v="2694"/>
    <m/>
    <n v="0"/>
    <n v="0"/>
    <n v="0"/>
    <n v="0"/>
    <n v="0"/>
    <n v="0"/>
    <n v="0"/>
    <n v="0"/>
    <n v="0"/>
    <n v="0"/>
    <n v="45"/>
    <n v="0"/>
    <n v="0"/>
    <n v="0"/>
    <n v="0"/>
    <n v="0"/>
    <n v="0"/>
    <n v="0"/>
    <n v="0"/>
    <n v="0"/>
    <n v="0"/>
    <n v="0"/>
    <n v="0"/>
    <n v="0"/>
    <n v="0"/>
    <n v="0"/>
    <n v="0"/>
    <n v="0"/>
    <n v="0.75"/>
    <n v="0.76249999999999996"/>
  </r>
  <r>
    <d v="2021-08-18T00:00:00"/>
    <s v="G"/>
    <x v="4"/>
    <s v="FO108"/>
    <m/>
    <m/>
    <s v="NIPPLE S TYPE S SIZE PUNCHED INSPECTED"/>
    <s v="HEH12NbH12PcH17Pb"/>
    <s v="Vivek"/>
    <n v="8.5"/>
    <n v="14182"/>
    <n v="1668.4705882352941"/>
    <n v="12300"/>
    <n v="12239"/>
    <n v="0"/>
    <n v="0"/>
    <n v="0"/>
    <n v="0"/>
    <n v="61"/>
    <n v="0"/>
    <n v="2"/>
    <n v="6119.5"/>
    <n v="0.86299534621351004"/>
    <s v="FO104"/>
    <n v="0"/>
    <n v="0"/>
    <s v=" "/>
    <n v="4.9593495934959347E-3"/>
    <n v="0"/>
    <n v="0.99504065040650402"/>
    <n v="1.8638888888888887"/>
    <n v="6.6361111111111111"/>
    <n v="0.78071895424836601"/>
    <n v="1439.8823529411766"/>
    <n v="4"/>
    <n v="3.9039137184410491"/>
    <n v="1.0246128087065718"/>
    <n v="0.79596748498857539"/>
    <s v="2558/2559/2560"/>
    <s v="Material short in laser stage."/>
    <n v="50"/>
    <n v="0"/>
    <n v="0"/>
    <n v="60"/>
    <n v="0"/>
    <n v="0"/>
    <n v="0"/>
    <n v="0"/>
    <n v="0"/>
    <n v="0"/>
    <n v="0"/>
    <n v="0"/>
    <n v="0"/>
    <n v="0"/>
    <n v="0"/>
    <n v="0"/>
    <n v="0"/>
    <n v="0"/>
    <n v="0"/>
    <n v="0"/>
    <n v="0"/>
    <n v="0"/>
    <n v="0"/>
    <n v="0"/>
    <n v="0"/>
    <n v="0"/>
    <n v="0"/>
    <n v="0"/>
    <n v="1.8333333333333333"/>
    <n v="1.8638888888888887"/>
  </r>
  <r>
    <d v="2021-08-18T00:00:00"/>
    <s v="G"/>
    <x v="7"/>
    <s v="FO031"/>
    <m/>
    <m/>
    <s v="NIPPLE S TYPE L SIZE WITH PRINTED WRAP"/>
    <s v="HEG22AG22"/>
    <s v="Vivek"/>
    <n v="8.5"/>
    <n v="16132"/>
    <n v="1897.8823529411766"/>
    <n v="15285"/>
    <n v="15244"/>
    <n v="0"/>
    <n v="0"/>
    <n v="0"/>
    <n v="0"/>
    <n v="41"/>
    <n v="0"/>
    <n v="2"/>
    <n v="7622"/>
    <n v="0.94495412844036697"/>
    <s v="FO021"/>
    <n v="0"/>
    <n v="0"/>
    <s v=" "/>
    <n v="2.6823683349689238E-3"/>
    <n v="0"/>
    <n v="0.99731763166503107"/>
    <n v="0.84722222222222221"/>
    <n v="7.6527777777777777"/>
    <n v="0.90032679738562094"/>
    <n v="1793.4117647058824"/>
    <n v="2.5"/>
    <n v="3.6145368669640514"/>
    <n v="0.69165154264972772"/>
    <n v="0.62104207422801194"/>
    <s v="2491/2492/2493/2494"/>
    <s v="Rejection qty haigh due to wrapping film poly open and poly fold (Nipple Fold)  issue."/>
    <n v="50"/>
    <n v="0"/>
    <n v="0"/>
    <n v="0"/>
    <n v="0"/>
    <n v="0"/>
    <n v="0"/>
    <n v="0"/>
    <n v="0"/>
    <n v="0"/>
    <n v="0"/>
    <n v="0"/>
    <n v="0"/>
    <n v="0"/>
    <n v="0"/>
    <n v="0"/>
    <n v="0"/>
    <n v="0"/>
    <n v="0"/>
    <n v="0"/>
    <n v="0"/>
    <n v="0"/>
    <n v="0"/>
    <n v="0"/>
    <n v="0"/>
    <n v="0"/>
    <n v="0"/>
    <n v="0"/>
    <n v="0.83333333333333337"/>
    <n v="0.84722222222222221"/>
  </r>
  <r>
    <d v="2021-08-18T00:00:00"/>
    <s v="G"/>
    <x v="6"/>
    <s v="FO008"/>
    <m/>
    <m/>
    <s v="KPP 240 ML BOTTLE PRINTED"/>
    <s v="EH13Ba2H18Pa"/>
    <s v="Pintu"/>
    <n v="8.5"/>
    <n v="5100"/>
    <n v="600"/>
    <n v="3812"/>
    <n v="3780"/>
    <n v="0"/>
    <n v="0"/>
    <n v="36"/>
    <n v="0"/>
    <n v="32"/>
    <n v="0"/>
    <n v="6"/>
    <n v="630"/>
    <n v="0.74117647058823533"/>
    <s v="FO003"/>
    <n v="0"/>
    <n v="0"/>
    <s v=" "/>
    <n v="8.3945435466946487E-3"/>
    <n v="0"/>
    <n v="0.99160545645330533"/>
    <n v="2.8805555555555555"/>
    <n v="5.6194444444444445"/>
    <n v="0.66111111111111109"/>
    <n v="444.70588235294116"/>
    <n v="32.4"/>
    <n v="32.111111111111114"/>
    <n v="1.0089965397923875"/>
    <n v="0.66145916918708725"/>
    <s v="PINPM/21-22/2489,90"/>
    <s v="Scale 240 ml shaddow issue screen changeover total loss time 120 min."/>
    <n v="50"/>
    <n v="120"/>
    <n v="0"/>
    <n v="0"/>
    <n v="0"/>
    <n v="0"/>
    <n v="0"/>
    <n v="0"/>
    <n v="0"/>
    <n v="0"/>
    <n v="0"/>
    <n v="0"/>
    <n v="0"/>
    <n v="0"/>
    <n v="0"/>
    <n v="0"/>
    <n v="0"/>
    <n v="0"/>
    <n v="0"/>
    <n v="0"/>
    <n v="0"/>
    <n v="0"/>
    <n v="0"/>
    <n v="0"/>
    <n v="0"/>
    <n v="0"/>
    <n v="0"/>
    <n v="0"/>
    <n v="2.8333333333333335"/>
    <n v="2.8805555555555555"/>
  </r>
  <r>
    <d v="2021-08-18T00:00:00"/>
    <s v="B"/>
    <x v="3"/>
    <s v="FO019"/>
    <m/>
    <m/>
    <s v="NIPPLE S TYPE S SIZE PUNCHED"/>
    <s v="HEH13NbH13PcH18Pb"/>
    <s v="Saurav"/>
    <n v="8"/>
    <n v="7000"/>
    <n v="875"/>
    <n v="7000"/>
    <n v="7000"/>
    <n v="0"/>
    <n v="0"/>
    <n v="0"/>
    <n v="0"/>
    <n v="0"/>
    <n v="0"/>
    <n v="1"/>
    <n v="7000"/>
    <n v="1"/>
    <s v="FO015"/>
    <n v="0"/>
    <n v="0"/>
    <s v=" "/>
    <n v="0"/>
    <n v="0"/>
    <n v="1"/>
    <n v="0.6777777777777777"/>
    <n v="7.322222222222222"/>
    <n v="0.91527777777777775"/>
    <n v="875"/>
    <n v="3.5"/>
    <n v="3.7657142857142856"/>
    <n v="0.92943854324734454"/>
    <n v="0.85069444444444453"/>
    <s v="2495/2496"/>
    <m/>
    <n v="40"/>
    <n v="0"/>
    <n v="0"/>
    <n v="0"/>
    <n v="0"/>
    <n v="0"/>
    <n v="0"/>
    <n v="0"/>
    <n v="0"/>
    <n v="0"/>
    <n v="0"/>
    <n v="0"/>
    <n v="0"/>
    <n v="0"/>
    <n v="0"/>
    <n v="0"/>
    <n v="0"/>
    <n v="0"/>
    <n v="0"/>
    <n v="0"/>
    <n v="0"/>
    <n v="0"/>
    <n v="0"/>
    <n v="0"/>
    <n v="0"/>
    <n v="0"/>
    <n v="0"/>
    <n v="0"/>
    <n v="0.66666666666666663"/>
    <n v="0.6777777777777777"/>
  </r>
  <r>
    <d v="2021-08-18T00:00:00"/>
    <s v="B"/>
    <x v="8"/>
    <s v="FO104"/>
    <m/>
    <m/>
    <s v="NIPPLE S TYPE S SIZE PUNCHED LASER MARKED"/>
    <s v="HEH13BG22"/>
    <s v="Saurav"/>
    <n v="8"/>
    <n v="7000"/>
    <n v="875"/>
    <n v="7000"/>
    <n v="7000"/>
    <n v="0"/>
    <n v="0"/>
    <n v="0"/>
    <n v="0"/>
    <n v="0"/>
    <n v="0"/>
    <n v="1"/>
    <n v="7000"/>
    <n v="1"/>
    <s v="FO019"/>
    <n v="0"/>
    <n v="0"/>
    <s v=" "/>
    <n v="0"/>
    <n v="0"/>
    <n v="1"/>
    <n v="0.6777777777777777"/>
    <n v="7.322222222222222"/>
    <n v="0.91527777777777775"/>
    <n v="875"/>
    <n v="3.5"/>
    <n v="3.7657142857142856"/>
    <n v="0.92943854324734454"/>
    <n v="0.85069444444444453"/>
    <s v="2497/2500"/>
    <m/>
    <n v="40"/>
    <n v="0"/>
    <n v="0"/>
    <n v="0"/>
    <n v="0"/>
    <n v="0"/>
    <n v="0"/>
    <n v="0"/>
    <n v="0"/>
    <n v="0"/>
    <n v="0"/>
    <n v="0"/>
    <n v="0"/>
    <n v="0"/>
    <n v="0"/>
    <n v="0"/>
    <n v="0"/>
    <n v="0"/>
    <n v="0"/>
    <n v="0"/>
    <n v="0"/>
    <n v="0"/>
    <n v="0"/>
    <n v="0"/>
    <n v="0"/>
    <n v="0"/>
    <n v="0"/>
    <n v="0"/>
    <n v="0.66666666666666663"/>
    <n v="0.6777777777777777"/>
  </r>
  <r>
    <d v="2021-08-18T00:00:00"/>
    <s v="B"/>
    <x v="2"/>
    <s v="FO015"/>
    <m/>
    <m/>
    <s v="NIPPLE S TYPE S SIZE POSTCURED"/>
    <s v="HEH17NcH187Pb"/>
    <s v="Saurav"/>
    <n v="8"/>
    <n v="7000"/>
    <n v="875"/>
    <n v="8200"/>
    <n v="8200"/>
    <n v="0"/>
    <n v="0"/>
    <n v="0"/>
    <n v="0"/>
    <n v="0"/>
    <n v="0"/>
    <n v="1"/>
    <n v="8200"/>
    <n v="1.1714285714285715"/>
    <s v="FO011"/>
    <n v="0"/>
    <n v="0"/>
    <s v=" "/>
    <n v="0"/>
    <n v="0"/>
    <n v="1"/>
    <n v="0"/>
    <n v="8"/>
    <n v="1"/>
    <n v="1025"/>
    <n v="2.2999999999999998"/>
    <n v="3.5121951219512195"/>
    <n v="0.65486111111111101"/>
    <n v="0.65486111111111101"/>
    <s v="2498/2499"/>
    <m/>
    <n v="40"/>
    <n v="0"/>
    <n v="0"/>
    <n v="0"/>
    <n v="0"/>
    <n v="0"/>
    <n v="0"/>
    <n v="0"/>
    <n v="0"/>
    <n v="0"/>
    <n v="0"/>
    <n v="0"/>
    <n v="0"/>
    <n v="0"/>
    <n v="0"/>
    <n v="0"/>
    <n v="0"/>
    <n v="0"/>
    <n v="0"/>
    <n v="0"/>
    <n v="0"/>
    <n v="0"/>
    <n v="0"/>
    <n v="0"/>
    <n v="0"/>
    <n v="0"/>
    <n v="0"/>
    <n v="0"/>
    <n v="0.66666666666666663"/>
    <m/>
  </r>
  <r>
    <d v="2021-08-18T00:00:00"/>
    <s v="B"/>
    <x v="0"/>
    <s v="FO011"/>
    <m/>
    <m/>
    <s v="NIPPLE S TYPE S SIZE INJECTION"/>
    <s v="HEH18Nb"/>
    <s v="Saurav"/>
    <n v="8"/>
    <n v="4815"/>
    <n v="601.875"/>
    <n v="5046"/>
    <n v="4950"/>
    <n v="0"/>
    <n v="33"/>
    <n v="0"/>
    <n v="0"/>
    <n v="63"/>
    <n v="0"/>
    <n v="1"/>
    <n v="4950"/>
    <n v="1.02803738317757"/>
    <s v="Silicon"/>
    <n v="6.8"/>
    <n v="34.312799999999996"/>
    <n v="0.98097502972651607"/>
    <n v="1.2567324955116697E-2"/>
    <n v="6.4973419964559952E-3"/>
    <n v="0.98751486325802618"/>
    <n v="0"/>
    <n v="8"/>
    <n v="1"/>
    <n v="618.75"/>
    <n v="5.25"/>
    <n v="5.8181818181818183"/>
    <n v="0.90234375"/>
    <n v="0.89107786489298457"/>
    <n v="2502"/>
    <m/>
    <n v="0"/>
    <n v="0"/>
    <n v="0"/>
    <n v="0"/>
    <n v="0"/>
    <n v="0"/>
    <n v="0"/>
    <n v="0"/>
    <n v="0"/>
    <n v="0"/>
    <n v="0"/>
    <n v="0"/>
    <n v="0"/>
    <n v="0"/>
    <n v="0"/>
    <n v="0"/>
    <n v="0"/>
    <n v="0"/>
    <n v="0"/>
    <n v="0"/>
    <n v="0"/>
    <n v="0"/>
    <n v="0"/>
    <n v="0"/>
    <n v="0"/>
    <n v="0"/>
    <n v="0"/>
    <n v="0"/>
    <n v="0"/>
    <n v="0"/>
  </r>
  <r>
    <d v="2021-08-18T00:00:00"/>
    <s v="B"/>
    <x v="1"/>
    <s v="FO003"/>
    <s v="BM3"/>
    <s v="B2"/>
    <s v="KPP 240 ML BOTTLE MOLDED"/>
    <s v="EH18Bb2"/>
    <s v="Saurav"/>
    <n v="8"/>
    <n v="2574"/>
    <n v="321.75"/>
    <n v="3201"/>
    <n v="3132"/>
    <n v="0.15"/>
    <n v="18"/>
    <n v="0"/>
    <n v="0"/>
    <n v="51"/>
    <n v="0"/>
    <n v="1"/>
    <n v="3132"/>
    <n v="1.2167832167832169"/>
    <s v="HMC"/>
    <n v="32.1"/>
    <n v="102.90210000000002"/>
    <n v="0.97701796173255939"/>
    <n v="1.6022620169651274E-2"/>
    <n v="5.5917986952469714E-3"/>
    <n v="0.98406747891283974"/>
    <n v="0"/>
    <n v="8"/>
    <n v="1"/>
    <n v="391.5"/>
    <n v="9"/>
    <n v="9.1954022988505741"/>
    <n v="0.97875000000000001"/>
    <n v="0.96315604498594187"/>
    <n v="2501"/>
    <m/>
    <n v="0"/>
    <n v="0"/>
    <n v="0"/>
    <n v="0"/>
    <n v="0"/>
    <n v="0"/>
    <n v="0"/>
    <n v="0"/>
    <n v="0"/>
    <n v="0"/>
    <n v="0"/>
    <n v="0"/>
    <n v="0"/>
    <n v="0"/>
    <n v="0"/>
    <n v="0"/>
    <n v="0"/>
    <n v="0"/>
    <n v="0"/>
    <n v="0"/>
    <n v="0"/>
    <n v="0"/>
    <n v="0"/>
    <n v="0"/>
    <n v="0"/>
    <n v="0"/>
    <n v="0"/>
    <n v="0"/>
    <n v="0"/>
    <n v="0"/>
  </r>
  <r>
    <d v="2021-08-18T00:00:00"/>
    <s v="B"/>
    <x v="5"/>
    <s v="FO146"/>
    <m/>
    <s v="INJ-1"/>
    <s v="CAP S TYPE MOLDED WHITE"/>
    <s v="EH18Cb"/>
    <s v="Saurav"/>
    <n v="5.4"/>
    <n v="2800"/>
    <n v="518.51851851851848"/>
    <n v="2880"/>
    <n v="2880"/>
    <n v="0"/>
    <n v="0"/>
    <n v="0"/>
    <n v="0"/>
    <n v="0"/>
    <n v="0"/>
    <n v="1"/>
    <n v="2880"/>
    <n v="1.0285714285714285"/>
    <s v="RM000106"/>
    <n v="7.3"/>
    <n v="21.024000000000001"/>
    <n v="1"/>
    <n v="0"/>
    <n v="0"/>
    <n v="1"/>
    <n v="0.33888888888888885"/>
    <n v="5.0611111111111118"/>
    <n v="0.93724279835390956"/>
    <n v="533.33333333333326"/>
    <n v="6"/>
    <n v="6.3263888888888902"/>
    <n v="0.9484083424807902"/>
    <n v="0.88888888888888884"/>
    <n v="2694"/>
    <m/>
    <n v="0"/>
    <n v="0"/>
    <n v="0"/>
    <n v="0"/>
    <n v="0"/>
    <n v="0"/>
    <n v="20"/>
    <n v="0"/>
    <n v="0"/>
    <n v="0"/>
    <n v="0"/>
    <n v="0"/>
    <n v="0"/>
    <n v="0"/>
    <n v="0"/>
    <n v="0"/>
    <n v="0"/>
    <n v="0"/>
    <n v="0"/>
    <n v="0"/>
    <n v="0"/>
    <n v="0"/>
    <n v="0"/>
    <n v="0"/>
    <n v="0"/>
    <n v="0"/>
    <n v="0"/>
    <n v="0"/>
    <n v="0.33333333333333331"/>
    <n v="0.33888888888888885"/>
  </r>
  <r>
    <d v="2021-08-18T00:00:00"/>
    <s v="B"/>
    <x v="5"/>
    <s v="FO146"/>
    <m/>
    <s v="INJ-1"/>
    <s v="CAP S TYPE MOLDED WHITE"/>
    <s v="EH18CRb"/>
    <s v="Saurav"/>
    <n v="3.5"/>
    <n v="1337"/>
    <n v="382"/>
    <n v="2008"/>
    <n v="2000"/>
    <n v="0"/>
    <n v="0"/>
    <n v="0"/>
    <n v="0"/>
    <n v="8"/>
    <n v="0"/>
    <n v="1"/>
    <n v="2000"/>
    <n v="1.4958863126402393"/>
    <s v="RM000106"/>
    <n v="7.3"/>
    <n v="14.6584"/>
    <n v="0.99601593625498008"/>
    <n v="3.9840637450199202E-3"/>
    <n v="0"/>
    <n v="0.99601593625498008"/>
    <n v="0"/>
    <n v="3.5"/>
    <n v="1"/>
    <n v="571.42857142857144"/>
    <n v="6"/>
    <n v="6.3"/>
    <n v="0.95238095238095244"/>
    <n v="0.94858660595712396"/>
    <n v="2695"/>
    <m/>
    <n v="0"/>
    <n v="0"/>
    <n v="0"/>
    <n v="0"/>
    <n v="0"/>
    <n v="0"/>
    <n v="0"/>
    <n v="0"/>
    <n v="0"/>
    <n v="0"/>
    <n v="0"/>
    <n v="0"/>
    <n v="0"/>
    <n v="0"/>
    <n v="0"/>
    <n v="0"/>
    <n v="0"/>
    <n v="0"/>
    <n v="0"/>
    <n v="0"/>
    <n v="0"/>
    <n v="0"/>
    <n v="0"/>
    <n v="0"/>
    <n v="0"/>
    <n v="0"/>
    <n v="0"/>
    <n v="0"/>
    <n v="0"/>
    <n v="0"/>
  </r>
  <r>
    <d v="2021-08-18T00:00:00"/>
    <s v="C"/>
    <x v="5"/>
    <s v="FO146"/>
    <m/>
    <s v="INJ-1"/>
    <s v="CAP S TYPE MOLDED WHITE"/>
    <s v="EH18CRc"/>
    <s v="Nitin"/>
    <n v="8"/>
    <n v="4137"/>
    <n v="517.125"/>
    <n v="4015"/>
    <n v="4000"/>
    <n v="0"/>
    <n v="0"/>
    <n v="0"/>
    <n v="0"/>
    <n v="7"/>
    <n v="8"/>
    <n v="1"/>
    <n v="4000"/>
    <n v="0.96688421561518012"/>
    <s v="RM000106"/>
    <n v="7.3"/>
    <n v="29.3095"/>
    <n v="0.99626400996264008"/>
    <n v="1.7469428500124782E-3"/>
    <n v="0"/>
    <n v="0.99825653798256542"/>
    <n v="0.5083333333333333"/>
    <n v="7.4916666666666671"/>
    <n v="0.93645833333333339"/>
    <n v="500"/>
    <n v="6"/>
    <n v="6.7424999999999997"/>
    <n v="0.88987764182424922"/>
    <n v="0.83188044831880459"/>
    <n v="2695"/>
    <m/>
    <n v="0"/>
    <n v="0"/>
    <n v="0"/>
    <n v="0"/>
    <n v="0"/>
    <n v="0"/>
    <n v="30"/>
    <n v="0"/>
    <n v="0"/>
    <n v="0"/>
    <n v="0"/>
    <n v="0"/>
    <n v="0"/>
    <n v="0"/>
    <n v="0"/>
    <n v="0"/>
    <n v="0"/>
    <n v="0"/>
    <n v="0"/>
    <n v="0"/>
    <n v="0"/>
    <n v="0"/>
    <n v="0"/>
    <n v="0"/>
    <n v="0"/>
    <n v="0"/>
    <n v="0"/>
    <n v="0"/>
    <n v="0.5"/>
    <n v="0.5083333333333333"/>
  </r>
  <r>
    <d v="2021-08-18T00:00:00"/>
    <s v="C"/>
    <x v="0"/>
    <s v="FO148"/>
    <s v="M2"/>
    <s v="L2"/>
    <s v="NIPPLE S TYPE LL SIZE INJECTION"/>
    <s v="HEH18Nc"/>
    <s v="Nitin"/>
    <n v="8"/>
    <n v="4815"/>
    <n v="601.875"/>
    <n v="3702"/>
    <n v="3600"/>
    <n v="0"/>
    <n v="53"/>
    <n v="0"/>
    <n v="0"/>
    <n v="41"/>
    <n v="8"/>
    <n v="1"/>
    <n v="3600"/>
    <n v="0.74766355140186913"/>
    <s v="FO148"/>
    <n v="6.8"/>
    <n v="25.173599999999997"/>
    <n v="0.97244732576985415"/>
    <n v="1.1260642680582258E-2"/>
    <n v="1.411451398135819E-2"/>
    <n v="0.98892490545651002"/>
    <n v="2.0333333333333332"/>
    <n v="5.9666666666666668"/>
    <n v="0.74583333333333335"/>
    <n v="450"/>
    <n v="5.25"/>
    <n v="5.9666666666666668"/>
    <n v="0.87988826815642451"/>
    <n v="0.64898196920583462"/>
    <n v="2505"/>
    <s v="SKU change FO011 (S SIZE)  TO FO148 (LL SIZE)"/>
    <n v="0"/>
    <m/>
    <n v="0"/>
    <n v="0"/>
    <n v="0"/>
    <n v="0"/>
    <n v="0"/>
    <n v="0"/>
    <n v="0"/>
    <n v="0"/>
    <n v="0"/>
    <n v="0"/>
    <n v="120"/>
    <n v="0"/>
    <n v="0"/>
    <n v="0"/>
    <n v="0"/>
    <n v="0"/>
    <n v="0"/>
    <n v="0"/>
    <n v="0"/>
    <n v="0"/>
    <n v="0"/>
    <n v="0"/>
    <n v="0"/>
    <n v="0"/>
    <n v="0"/>
    <n v="0"/>
    <n v="2"/>
    <n v="2.0333333333333332"/>
  </r>
  <r>
    <d v="2021-08-18T00:00:00"/>
    <s v="C"/>
    <x v="1"/>
    <s v="FO003"/>
    <s v="BM3"/>
    <s v="B2"/>
    <s v="KPP 240 ML BOTTLE MOLDED"/>
    <s v="EH18Bc2"/>
    <s v="Nitin"/>
    <n v="8"/>
    <n v="2574"/>
    <n v="321.75"/>
    <n v="3287"/>
    <n v="3132"/>
    <n v="0"/>
    <n v="69"/>
    <n v="0"/>
    <n v="0"/>
    <n v="78"/>
    <n v="8"/>
    <n v="1"/>
    <n v="3132"/>
    <n v="1.2167832167832169"/>
    <s v="HMC"/>
    <n v="32.1"/>
    <n v="105.51270000000001"/>
    <n v="0.95284453909339828"/>
    <n v="2.4299065420560748E-2"/>
    <n v="2.0560190703218118E-2"/>
    <n v="0.97627015515667781"/>
    <n v="0.33888888888888885"/>
    <n v="7.6611111111111114"/>
    <n v="0.95763888888888893"/>
    <n v="391.5"/>
    <n v="9"/>
    <n v="8.8058748403575997"/>
    <n v="1.022044960116026"/>
    <n v="0.95552441435959834"/>
    <n v="2506"/>
    <s v="Rejection inctease after filter clening due to Dust ."/>
    <n v="0"/>
    <n v="0"/>
    <n v="0"/>
    <n v="0"/>
    <n v="0"/>
    <n v="0"/>
    <n v="0"/>
    <n v="0"/>
    <n v="0"/>
    <n v="0"/>
    <n v="20"/>
    <n v="0"/>
    <n v="0"/>
    <n v="0"/>
    <n v="0"/>
    <n v="0"/>
    <n v="0"/>
    <n v="0"/>
    <n v="0"/>
    <n v="0"/>
    <n v="0"/>
    <n v="0"/>
    <n v="0"/>
    <n v="0"/>
    <n v="0"/>
    <n v="0"/>
    <n v="0"/>
    <n v="0"/>
    <n v="0.33333333333333331"/>
    <n v="0.33888888888888885"/>
  </r>
  <r>
    <d v="2021-08-18T00:00:00"/>
    <s v="C"/>
    <x v="2"/>
    <s v="FO015"/>
    <m/>
    <s v="PC1"/>
    <s v="NIPPLE S TYPE S SIZE POSTCURED"/>
    <s v="HEH18NbH18Pc"/>
    <s v="Nitin"/>
    <n v="4"/>
    <n v="7036"/>
    <n v="1759"/>
    <n v="6950"/>
    <n v="6950"/>
    <n v="0"/>
    <n v="0"/>
    <n v="0"/>
    <n v="0"/>
    <n v="0"/>
    <n v="0"/>
    <n v="1"/>
    <n v="6950"/>
    <n v="0.86029411764705888"/>
    <s v="FO017"/>
    <n v="0"/>
    <n v="0"/>
    <s v=" "/>
    <n v="0"/>
    <n v="0"/>
    <n v="1"/>
    <n v="0"/>
    <n v="4"/>
    <n v="1"/>
    <n v="760.5"/>
    <n v="2.2999999999999998"/>
    <n v="2.0719424460431655"/>
    <n v="0.739375"/>
    <n v="0.739375"/>
    <s v="2503/2504"/>
    <m/>
    <n v="40"/>
    <n v="0"/>
    <n v="0"/>
    <n v="0"/>
    <n v="0"/>
    <n v="0"/>
    <n v="0"/>
    <n v="0"/>
    <n v="0"/>
    <n v="0"/>
    <n v="0"/>
    <n v="0"/>
    <n v="0"/>
    <n v="0"/>
    <n v="0"/>
    <n v="0"/>
    <n v="0"/>
    <n v="0"/>
    <n v="0"/>
    <n v="0"/>
    <n v="0"/>
    <n v="0"/>
    <n v="0"/>
    <n v="0"/>
    <n v="0"/>
    <n v="0"/>
    <n v="0"/>
    <n v="0"/>
    <n v="0"/>
    <n v="0"/>
  </r>
  <r>
    <d v="2021-08-19T00:00:00"/>
    <s v="A"/>
    <x v="1"/>
    <s v="FO003"/>
    <s v="B2"/>
    <m/>
    <s v="KPP 240 ML BOTTLE MOLDED"/>
    <s v="EH19Ba2"/>
    <s v="Himanshu"/>
    <n v="8"/>
    <n v="2574"/>
    <n v="321.75"/>
    <n v="3286"/>
    <n v="3132"/>
    <n v="0"/>
    <n v="76"/>
    <n v="0"/>
    <n v="0"/>
    <n v="70"/>
    <n v="8"/>
    <n v="1"/>
    <n v="3132"/>
    <n v="1.2167832167832169"/>
    <s v="HMC"/>
    <n v="32.1"/>
    <n v="105.48060000000001"/>
    <n v="0.95313451004260508"/>
    <n v="2.1861336664584636E-2"/>
    <n v="2.2605591909577633E-2"/>
    <n v="0.97869750456482041"/>
    <n v="0"/>
    <n v="8"/>
    <n v="1"/>
    <n v="391.5"/>
    <n v="9"/>
    <n v="9.1954022988505741"/>
    <n v="0.97875000000000001"/>
    <n v="0.95790018259281795"/>
    <s v="2525"/>
    <m/>
    <n v="0"/>
    <n v="0"/>
    <n v="0"/>
    <n v="0"/>
    <n v="0"/>
    <n v="0"/>
    <n v="0"/>
    <n v="0"/>
    <n v="0"/>
    <n v="0"/>
    <n v="0"/>
    <n v="0"/>
    <n v="0"/>
    <n v="0"/>
    <n v="0"/>
    <n v="0"/>
    <n v="0"/>
    <n v="0"/>
    <n v="0"/>
    <n v="0"/>
    <n v="0"/>
    <n v="0"/>
    <n v="0"/>
    <n v="0"/>
    <n v="0"/>
    <n v="0"/>
    <n v="0"/>
    <n v="0"/>
    <n v="0"/>
    <n v="0"/>
  </r>
  <r>
    <d v="2021-08-19T00:00:00"/>
    <s v="A"/>
    <x v="0"/>
    <s v="FO148"/>
    <m/>
    <m/>
    <s v="NIPPLE S TYPE LL SIZE INJECTION"/>
    <s v="HEH19Na"/>
    <s v="Himanshu"/>
    <n v="8"/>
    <n v="4815"/>
    <n v="601.875"/>
    <n v="5634"/>
    <n v="5500"/>
    <n v="0"/>
    <n v="48"/>
    <n v="0"/>
    <n v="0"/>
    <n v="78"/>
    <n v="8"/>
    <n v="1"/>
    <n v="5500"/>
    <n v="1.142263759086189"/>
    <s v="FO148"/>
    <n v="6.8"/>
    <n v="38.311199999999999"/>
    <n v="0.97621583244586441"/>
    <n v="1.3983506633201864E-2"/>
    <n v="8.4477296726504746E-3"/>
    <n v="0.98615548455804047"/>
    <n v="0"/>
    <n v="8"/>
    <n v="1"/>
    <n v="687.5"/>
    <n v="5.25"/>
    <n v="5.2363636363636363"/>
    <n v="1.0026041666666667"/>
    <n v="0.98872359779907715"/>
    <n v="2526"/>
    <m/>
    <n v="0"/>
    <n v="0"/>
    <n v="0"/>
    <n v="0"/>
    <n v="0"/>
    <n v="0"/>
    <n v="0"/>
    <n v="0"/>
    <n v="0"/>
    <n v="0"/>
    <n v="0"/>
    <n v="0"/>
    <n v="0"/>
    <n v="0"/>
    <n v="0"/>
    <n v="0"/>
    <n v="0"/>
    <n v="0"/>
    <n v="0"/>
    <n v="0"/>
    <n v="0"/>
    <n v="0"/>
    <n v="0"/>
    <n v="0"/>
    <n v="0"/>
    <n v="0"/>
    <n v="0"/>
    <n v="0"/>
    <n v="0"/>
    <n v="0"/>
  </r>
  <r>
    <d v="2021-08-19T00:00:00"/>
    <s v="A"/>
    <x v="3"/>
    <s v="FO019"/>
    <m/>
    <m/>
    <s v="NIPPLE S TYPE S SIZE PUNCHED"/>
    <s v="HEH17NbH17PbH19Pa"/>
    <s v="Himanshu"/>
    <n v="8"/>
    <n v="7000"/>
    <n v="875"/>
    <n v="7000"/>
    <n v="7000"/>
    <n v="0"/>
    <n v="0"/>
    <n v="0"/>
    <n v="0"/>
    <n v="0"/>
    <n v="0"/>
    <n v="1"/>
    <n v="7000"/>
    <n v="1"/>
    <s v="FO015"/>
    <n v="0"/>
    <n v="0"/>
    <s v=" "/>
    <n v="0"/>
    <n v="0"/>
    <n v="1"/>
    <n v="0.6777777777777777"/>
    <n v="7.322222222222222"/>
    <n v="0.91527777777777775"/>
    <n v="875"/>
    <n v="3.5"/>
    <n v="3.7657142857142856"/>
    <n v="0.92943854324734454"/>
    <n v="0.85069444444444453"/>
    <s v="2527/2528/2529"/>
    <m/>
    <n v="40"/>
    <n v="0"/>
    <n v="0"/>
    <n v="0"/>
    <n v="0"/>
    <n v="0"/>
    <n v="0"/>
    <n v="0"/>
    <n v="0"/>
    <n v="0"/>
    <n v="0"/>
    <n v="0"/>
    <n v="0"/>
    <n v="0"/>
    <n v="0"/>
    <n v="0"/>
    <n v="0"/>
    <n v="0"/>
    <n v="0"/>
    <n v="0"/>
    <n v="0"/>
    <n v="0"/>
    <n v="0"/>
    <n v="0"/>
    <n v="0"/>
    <n v="0"/>
    <n v="0"/>
    <n v="0"/>
    <n v="0.66666666666666663"/>
    <n v="0.6777777777777777"/>
  </r>
  <r>
    <d v="2021-08-19T00:00:00"/>
    <s v="A"/>
    <x v="8"/>
    <s v="FO104"/>
    <m/>
    <m/>
    <s v="NIPPLE S TYPE S SIZE PUNCHED LASER MARKED"/>
    <s v="HEH13CG22"/>
    <s v="Himanshu"/>
    <n v="8"/>
    <n v="5000"/>
    <n v="625"/>
    <n v="5000"/>
    <n v="5000"/>
    <n v="0"/>
    <n v="0"/>
    <n v="0"/>
    <n v="0"/>
    <n v="0"/>
    <n v="0"/>
    <n v="1"/>
    <n v="5000"/>
    <n v="1"/>
    <s v="FO019"/>
    <n v="0"/>
    <n v="0"/>
    <s v=" "/>
    <n v="0"/>
    <n v="0"/>
    <n v="1"/>
    <n v="0.6777777777777777"/>
    <n v="7.322222222222222"/>
    <n v="0.91527777777777775"/>
    <n v="625"/>
    <n v="3.5"/>
    <n v="5.2720000000000002"/>
    <n v="0.66388467374810312"/>
    <n v="0.60763888888888884"/>
    <s v="2537/2538"/>
    <m/>
    <n v="40"/>
    <n v="0"/>
    <n v="0"/>
    <n v="0"/>
    <n v="0"/>
    <n v="0"/>
    <n v="0"/>
    <n v="0"/>
    <n v="0"/>
    <n v="0"/>
    <n v="0"/>
    <n v="0"/>
    <n v="0"/>
    <n v="0"/>
    <n v="0"/>
    <n v="0"/>
    <n v="0"/>
    <n v="0"/>
    <n v="0"/>
    <n v="0"/>
    <n v="0"/>
    <n v="0"/>
    <n v="0"/>
    <n v="0"/>
    <n v="0"/>
    <n v="0"/>
    <n v="0"/>
    <n v="0"/>
    <n v="0.66666666666666663"/>
    <n v="0.6777777777777777"/>
  </r>
  <r>
    <d v="2021-08-19T00:00:00"/>
    <s v="G"/>
    <x v="7"/>
    <s v="FO141"/>
    <m/>
    <s v="WR1"/>
    <s v="NIPPLE S TYPE LL SIZE WRAPPED"/>
    <s v="HED23G22"/>
    <s v="Vivek"/>
    <n v="8.5"/>
    <n v="16132"/>
    <n v="1897.8823529411766"/>
    <n v="17412"/>
    <n v="17390"/>
    <n v="0"/>
    <n v="0"/>
    <n v="0"/>
    <n v="0"/>
    <n v="22"/>
    <n v="0"/>
    <n v="2"/>
    <n v="8695"/>
    <n v="1.0779816513761469"/>
    <s v="FO141"/>
    <n v="0"/>
    <n v="0"/>
    <s v=" "/>
    <n v="1.2634964392373076E-3"/>
    <n v="0"/>
    <n v="0.99873650356076271"/>
    <n v="0.84722222222222221"/>
    <n v="7.6527777777777777"/>
    <n v="0.90032679738562094"/>
    <n v="2045.8823529411766"/>
    <n v="2.5"/>
    <n v="3.1684876365727428"/>
    <n v="0.78901996370235938"/>
    <n v="0.70947825967817257"/>
    <n v="2586"/>
    <m/>
    <n v="50"/>
    <n v="0"/>
    <n v="0"/>
    <n v="0"/>
    <n v="0"/>
    <n v="0"/>
    <n v="0"/>
    <n v="0"/>
    <n v="0"/>
    <n v="0"/>
    <n v="0"/>
    <n v="0"/>
    <n v="0"/>
    <n v="0"/>
    <n v="0"/>
    <n v="0"/>
    <n v="0"/>
    <n v="0"/>
    <n v="0"/>
    <n v="0"/>
    <n v="0"/>
    <n v="0"/>
    <n v="0"/>
    <n v="0"/>
    <n v="0"/>
    <n v="0"/>
    <n v="0"/>
    <n v="0"/>
    <n v="0.83333333333333337"/>
    <n v="0.84722222222222221"/>
  </r>
  <r>
    <d v="2021-08-19T00:00:00"/>
    <s v="G"/>
    <x v="4"/>
    <s v="FO108"/>
    <m/>
    <m/>
    <s v="NIPPLE S TYPE S SIZE PUNCHED INSPECTED"/>
    <s v="HEH13NaH13PcH17Pa"/>
    <s v="Vivek"/>
    <n v="8.5"/>
    <n v="14182"/>
    <n v="1668.4705882352941"/>
    <n v="13000"/>
    <n v="12953"/>
    <n v="0"/>
    <n v="0"/>
    <n v="0"/>
    <n v="0"/>
    <n v="47"/>
    <n v="0"/>
    <n v="2"/>
    <n v="6476.5"/>
    <n v="0.91334085460442815"/>
    <s v="FO104"/>
    <n v="0"/>
    <n v="0"/>
    <s v=" "/>
    <n v="3.6153846153846154E-3"/>
    <n v="0"/>
    <n v="0.99638461538461542"/>
    <n v="1.8638888888888887"/>
    <n v="6.6361111111111111"/>
    <n v="0.78071895424836601"/>
    <n v="1523.8823529411766"/>
    <n v="4"/>
    <n v="3.6887207596695748"/>
    <n v="1.0843867727082461"/>
    <n v="0.84354051784816486"/>
    <s v="2561/2562/2563/2564"/>
    <m/>
    <n v="50"/>
    <n v="0"/>
    <n v="0"/>
    <n v="60"/>
    <n v="0"/>
    <n v="0"/>
    <n v="0"/>
    <n v="0"/>
    <n v="0"/>
    <n v="0"/>
    <n v="0"/>
    <n v="0"/>
    <n v="0"/>
    <n v="0"/>
    <n v="0"/>
    <n v="0"/>
    <n v="0"/>
    <n v="0"/>
    <n v="0"/>
    <n v="0"/>
    <n v="0"/>
    <n v="0"/>
    <n v="0"/>
    <n v="0"/>
    <n v="0"/>
    <n v="0"/>
    <n v="0"/>
    <n v="0"/>
    <n v="1.8333333333333333"/>
    <n v="1.8638888888888887"/>
  </r>
  <r>
    <d v="2021-08-19T00:00:00"/>
    <s v="G"/>
    <x v="6"/>
    <s v="FO008"/>
    <m/>
    <s v="PR1"/>
    <s v="KPP 240 ML BOTTLE PRINTED"/>
    <s v="HEH13Bc2H19Pa"/>
    <s v="Pintu"/>
    <n v="8.5"/>
    <n v="5100"/>
    <n v="600"/>
    <n v="5309"/>
    <n v="5268"/>
    <n v="0"/>
    <n v="0"/>
    <n v="45"/>
    <n v="0"/>
    <n v="41"/>
    <n v="0"/>
    <n v="6"/>
    <n v="878"/>
    <n v="1.0329411764705883"/>
    <s v="FO003"/>
    <n v="0"/>
    <n v="0"/>
    <s v=" "/>
    <n v="7.7227349783386698E-3"/>
    <n v="0"/>
    <n v="0.99227726502166136"/>
    <n v="0.84722222222222221"/>
    <n v="7.6527777777777777"/>
    <n v="0.90032679738562094"/>
    <n v="619.76470588235293"/>
    <n v="32.4"/>
    <n v="31.378132118451024"/>
    <n v="1.0325662431941924"/>
    <n v="0.92246764096484335"/>
    <s v="PINPM/21-22/2569,70,71"/>
    <m/>
    <n v="50"/>
    <n v="0"/>
    <n v="0"/>
    <n v="0"/>
    <n v="0"/>
    <n v="0"/>
    <n v="0"/>
    <n v="0"/>
    <n v="0"/>
    <n v="0"/>
    <n v="0"/>
    <n v="0"/>
    <n v="0"/>
    <n v="0"/>
    <n v="0"/>
    <n v="0"/>
    <n v="0"/>
    <n v="0"/>
    <n v="0"/>
    <n v="0"/>
    <n v="0"/>
    <n v="0"/>
    <n v="0"/>
    <n v="0"/>
    <n v="0"/>
    <n v="0"/>
    <n v="0"/>
    <n v="0"/>
    <n v="0.83333333333333337"/>
    <n v="0.84722222222222221"/>
  </r>
  <r>
    <d v="2021-08-19T00:00:00"/>
    <s v="B"/>
    <x v="1"/>
    <s v="FO003"/>
    <s v="BM3"/>
    <s v="B2"/>
    <s v="KPP 240 ML BOTTLE MOLDED"/>
    <s v="EH19Bb2"/>
    <s v="Saurav"/>
    <n v="2"/>
    <n v="600"/>
    <n v="300"/>
    <n v="630"/>
    <n v="630"/>
    <n v="0"/>
    <n v="0"/>
    <n v="0"/>
    <n v="0"/>
    <n v="0"/>
    <n v="0"/>
    <n v="1"/>
    <n v="630"/>
    <n v="1.05"/>
    <s v="HMC"/>
    <n v="32.1"/>
    <n v="20.223000000000003"/>
    <n v="1"/>
    <n v="0"/>
    <n v="0"/>
    <n v="1"/>
    <n v="0"/>
    <n v="2"/>
    <n v="1"/>
    <n v="315"/>
    <n v="9"/>
    <n v="11.428571428571429"/>
    <n v="0.78749999999999998"/>
    <n v="0.78749999999999998"/>
    <s v="PINPM/21-22/2570"/>
    <m/>
    <n v="0"/>
    <n v="0"/>
    <n v="0"/>
    <n v="0"/>
    <n v="0"/>
    <n v="0"/>
    <n v="0"/>
    <n v="0"/>
    <n v="0"/>
    <n v="0"/>
    <n v="0"/>
    <n v="0"/>
    <n v="0"/>
    <n v="0"/>
    <n v="0"/>
    <n v="0"/>
    <n v="0"/>
    <n v="0"/>
    <n v="0"/>
    <n v="0"/>
    <n v="0"/>
    <n v="0"/>
    <n v="0"/>
    <n v="0"/>
    <n v="0"/>
    <n v="0"/>
    <n v="0"/>
    <n v="0"/>
    <n v="0"/>
    <n v="0"/>
  </r>
  <r>
    <d v="2021-08-19T00:00:00"/>
    <s v="B"/>
    <x v="1"/>
    <s v="FO003"/>
    <s v="BM3"/>
    <s v="B2"/>
    <s v="KPP 240 ML BOTTLE MOLDED"/>
    <s v="EH19Bb2"/>
    <s v="Saurav"/>
    <n v="6"/>
    <n v="1974"/>
    <n v="329"/>
    <n v="2609"/>
    <n v="2484"/>
    <n v="0.18"/>
    <n v="55"/>
    <n v="0"/>
    <n v="0"/>
    <n v="70"/>
    <n v="0"/>
    <n v="1"/>
    <n v="2484"/>
    <n v="1.2583586626139818"/>
    <s v="HMC"/>
    <n v="32.1"/>
    <n v="83.928900000000013"/>
    <n v="0.95004700407130305"/>
    <n v="2.7407987470634301E-2"/>
    <n v="2.0645645645645645E-2"/>
    <n v="0.97316979685703331"/>
    <n v="0"/>
    <n v="6"/>
    <n v="1"/>
    <n v="414"/>
    <n v="9"/>
    <n v="8.695652173913043"/>
    <n v="1.0350000000000001"/>
    <n v="1.0072307397470297"/>
    <s v="PINPM/21-22/2571"/>
    <m/>
    <n v="0"/>
    <n v="0"/>
    <n v="0"/>
    <n v="0"/>
    <n v="0"/>
    <n v="0"/>
    <n v="0"/>
    <n v="0"/>
    <n v="0"/>
    <n v="0"/>
    <n v="0"/>
    <n v="0"/>
    <n v="0"/>
    <n v="0"/>
    <n v="0"/>
    <n v="0"/>
    <n v="0"/>
    <n v="0"/>
    <n v="0"/>
    <n v="0"/>
    <n v="0"/>
    <n v="0"/>
    <n v="0"/>
    <n v="0"/>
    <n v="0"/>
    <n v="0"/>
    <n v="0"/>
    <n v="0"/>
    <n v="0"/>
    <n v="0"/>
  </r>
  <r>
    <d v="2021-08-19T00:00:00"/>
    <s v="B"/>
    <x v="3"/>
    <s v="FO019"/>
    <m/>
    <s v="P1"/>
    <s v="NIPPLE S TYPE S SIZE PUNCHED"/>
    <s v="HEH17NbH18PaH19Pb"/>
    <s v="Saurav"/>
    <n v="8"/>
    <n v="7000"/>
    <n v="875"/>
    <n v="7300"/>
    <n v="7300"/>
    <n v="0"/>
    <n v="0"/>
    <n v="0"/>
    <n v="0"/>
    <n v="0"/>
    <n v="0"/>
    <n v="1"/>
    <n v="7300"/>
    <n v="1.0428571428571429"/>
    <s v="FO015"/>
    <n v="0"/>
    <n v="0"/>
    <s v=" "/>
    <n v="0"/>
    <n v="0"/>
    <n v="1"/>
    <n v="0.6777777777777777"/>
    <n v="7.322222222222222"/>
    <n v="0.91527777777777775"/>
    <n v="912.5"/>
    <n v="3.5"/>
    <n v="3.6109589041095891"/>
    <n v="0.96927162367223063"/>
    <n v="0.88715277777777768"/>
    <s v="PINPM/21-22/2614"/>
    <m/>
    <n v="40"/>
    <n v="0"/>
    <n v="0"/>
    <n v="0"/>
    <n v="0"/>
    <n v="0"/>
    <n v="0"/>
    <n v="0"/>
    <n v="0"/>
    <n v="0"/>
    <n v="0"/>
    <n v="0"/>
    <n v="0"/>
    <n v="0"/>
    <n v="0"/>
    <n v="0"/>
    <n v="0"/>
    <n v="0"/>
    <n v="0"/>
    <n v="0"/>
    <n v="0"/>
    <n v="0"/>
    <n v="0"/>
    <n v="0"/>
    <n v="0"/>
    <n v="0"/>
    <n v="0"/>
    <n v="0"/>
    <n v="0.66666666666666663"/>
    <n v="0.6777777777777777"/>
  </r>
  <r>
    <d v="2021-08-19T00:00:00"/>
    <s v="B"/>
    <x v="8"/>
    <s v="FO104"/>
    <m/>
    <s v="LZ1"/>
    <s v="NIPPLE S TYPE S SIZE PUNCHED LASER MARKED"/>
    <s v="HEH13CG22"/>
    <s v="Saurav"/>
    <n v="8"/>
    <n v="7000"/>
    <n v="875"/>
    <n v="7300"/>
    <n v="7300"/>
    <n v="0"/>
    <n v="0"/>
    <n v="0"/>
    <n v="0"/>
    <n v="0"/>
    <n v="0"/>
    <n v="1"/>
    <n v="7300"/>
    <n v="1.0428571428571429"/>
    <s v="FO019"/>
    <n v="0"/>
    <n v="0"/>
    <s v=" "/>
    <n v="0"/>
    <n v="0"/>
    <n v="1"/>
    <n v="0.6777777777777777"/>
    <n v="7.322222222222222"/>
    <n v="0.91527777777777775"/>
    <n v="912.5"/>
    <n v="3.5"/>
    <n v="3.6109589041095891"/>
    <n v="0.96927162367223063"/>
    <n v="0.88715277777777768"/>
    <s v="2555/2556/2557"/>
    <m/>
    <n v="40"/>
    <n v="0"/>
    <n v="0"/>
    <n v="0"/>
    <n v="0"/>
    <n v="0"/>
    <n v="0"/>
    <n v="0"/>
    <n v="0"/>
    <n v="0"/>
    <n v="0"/>
    <n v="0"/>
    <n v="0"/>
    <n v="0"/>
    <n v="0"/>
    <n v="0"/>
    <n v="0"/>
    <n v="0"/>
    <n v="0"/>
    <n v="0"/>
    <n v="0"/>
    <n v="0"/>
    <n v="0"/>
    <n v="0"/>
    <n v="0"/>
    <n v="0"/>
    <n v="0"/>
    <n v="0"/>
    <n v="0.66666666666666663"/>
    <n v="0.6777777777777777"/>
  </r>
  <r>
    <d v="2021-08-19T00:00:00"/>
    <s v="B"/>
    <x v="2"/>
    <s v="FO149"/>
    <m/>
    <m/>
    <s v="NIPPLE S TYPE LL SIZE POSTCURED"/>
    <s v="HEH18NcH19Pb"/>
    <s v="Saurav"/>
    <n v="8"/>
    <n v="7036"/>
    <n v="879.5"/>
    <n v="9100"/>
    <n v="9100"/>
    <n v="0"/>
    <n v="0"/>
    <n v="0"/>
    <n v="0"/>
    <n v="0"/>
    <n v="0"/>
    <n v="1"/>
    <n v="9100"/>
    <n v="1.2933484934621944"/>
    <s v="FO149"/>
    <n v="0"/>
    <n v="0"/>
    <s v=" "/>
    <n v="0"/>
    <n v="0"/>
    <n v="1"/>
    <n v="0.6777777777777777"/>
    <n v="7.322222222222222"/>
    <n v="0.91527777777777775"/>
    <n v="1137.5"/>
    <n v="2.2999999999999998"/>
    <n v="2.8967032967032966"/>
    <n v="0.79400606980273136"/>
    <n v="0.72673611111111103"/>
    <s v="2552/2553"/>
    <m/>
    <n v="40"/>
    <n v="0"/>
    <n v="0"/>
    <n v="0"/>
    <n v="0"/>
    <n v="0"/>
    <n v="0"/>
    <n v="0"/>
    <n v="0"/>
    <n v="0"/>
    <n v="0"/>
    <n v="0"/>
    <n v="0"/>
    <n v="0"/>
    <n v="0"/>
    <n v="0"/>
    <n v="0"/>
    <n v="0"/>
    <n v="0"/>
    <n v="0"/>
    <n v="0"/>
    <n v="0"/>
    <n v="0"/>
    <n v="0"/>
    <n v="0"/>
    <n v="0"/>
    <n v="0"/>
    <n v="0"/>
    <n v="0.66666666666666663"/>
    <n v="0.6777777777777777"/>
  </r>
  <r>
    <d v="2021-08-19T00:00:00"/>
    <s v="B"/>
    <x v="0"/>
    <s v="FO148"/>
    <s v="M2"/>
    <s v="L2"/>
    <s v="NIPPLE S TYPE LL SIZE INJECTION"/>
    <s v="HEH19Nb"/>
    <s v="Saurav"/>
    <n v="8"/>
    <n v="4815"/>
    <n v="601.875"/>
    <n v="5365"/>
    <n v="5300"/>
    <n v="0"/>
    <n v="0"/>
    <n v="0"/>
    <n v="0"/>
    <n v="65"/>
    <n v="0"/>
    <n v="1"/>
    <n v="5300"/>
    <n v="1.1007268951194185"/>
    <s v="FO148"/>
    <n v="6.8"/>
    <n v="36.481999999999999"/>
    <n v="0.9878844361602982"/>
    <n v="1.2115563839701771E-2"/>
    <n v="0"/>
    <n v="0.9878844361602982"/>
    <n v="0"/>
    <n v="8"/>
    <n v="1"/>
    <n v="662.5"/>
    <n v="5.25"/>
    <n v="5.4339622641509431"/>
    <n v="0.96614583333333337"/>
    <n v="0.95444043181112148"/>
    <s v="2554"/>
    <m/>
    <n v="0"/>
    <n v="0"/>
    <n v="0"/>
    <n v="0"/>
    <n v="0"/>
    <n v="0"/>
    <n v="0"/>
    <n v="0"/>
    <n v="0"/>
    <n v="0"/>
    <n v="0"/>
    <n v="0"/>
    <n v="0"/>
    <n v="0"/>
    <n v="0"/>
    <n v="0"/>
    <n v="0"/>
    <n v="0"/>
    <n v="0"/>
    <n v="0"/>
    <n v="0"/>
    <n v="0"/>
    <n v="0"/>
    <n v="0"/>
    <n v="0"/>
    <n v="0"/>
    <n v="0"/>
    <n v="0"/>
    <n v="0"/>
    <n v="0"/>
  </r>
  <r>
    <d v="2021-08-19T00:00:00"/>
    <s v="C"/>
    <x v="0"/>
    <s v="FO148"/>
    <s v="M2"/>
    <s v="L2"/>
    <s v="NIPPLE S TYPE LL SIZE INJECTION"/>
    <s v="HEH19Nc"/>
    <s v="Nitin"/>
    <n v="8"/>
    <n v="4815"/>
    <n v="601.875"/>
    <n v="5130"/>
    <n v="5000"/>
    <n v="0"/>
    <n v="70"/>
    <n v="0"/>
    <n v="0"/>
    <n v="52"/>
    <n v="8"/>
    <n v="1"/>
    <n v="5000"/>
    <n v="1.0384215991692627"/>
    <s v="FO148"/>
    <n v="6.8"/>
    <n v="34.884"/>
    <n v="0.97465886939571145"/>
    <n v="1.0292953285827395E-2"/>
    <n v="1.3461538461538462E-2"/>
    <n v="0.98986354775828456"/>
    <n v="0.5083333333333333"/>
    <n v="7.4916666666666671"/>
    <n v="0.93645833333333339"/>
    <n v="625"/>
    <n v="5.25"/>
    <n v="5.3940000000000001"/>
    <n v="0.97330367074527246"/>
    <n v="0.90221937946718644"/>
    <n v="2566"/>
    <s v="set up after middle plate cleaning"/>
    <n v="0"/>
    <n v="0"/>
    <n v="0"/>
    <n v="0"/>
    <n v="0"/>
    <n v="30"/>
    <n v="0"/>
    <n v="0"/>
    <n v="0"/>
    <n v="0"/>
    <n v="0"/>
    <n v="0"/>
    <n v="0"/>
    <n v="0"/>
    <n v="0"/>
    <n v="0"/>
    <n v="0"/>
    <n v="0"/>
    <n v="0"/>
    <n v="0"/>
    <n v="0"/>
    <n v="0"/>
    <n v="0"/>
    <n v="0"/>
    <n v="0"/>
    <n v="0"/>
    <n v="0"/>
    <n v="0"/>
    <n v="0.5"/>
    <n v="0.5083333333333333"/>
  </r>
  <r>
    <d v="2021-08-19T00:00:00"/>
    <s v="C"/>
    <x v="1"/>
    <s v="FO003"/>
    <s v="BM3"/>
    <s v="B2"/>
    <s v="KPP 240 ML BOTTLE MOLDED"/>
    <s v="EH19Bc2"/>
    <s v="Nitin"/>
    <n v="8"/>
    <n v="2574"/>
    <n v="321.75"/>
    <n v="3252"/>
    <n v="3132"/>
    <n v="0"/>
    <n v="57"/>
    <n v="0"/>
    <n v="0"/>
    <n v="55"/>
    <n v="8"/>
    <n v="1"/>
    <n v="3132"/>
    <n v="1.2167832167832169"/>
    <s v="HMC"/>
    <n v="32.1"/>
    <n v="104.38920000000002"/>
    <n v="0.96309963099630991"/>
    <n v="1.7257609036711641E-2"/>
    <n v="1.7225747960108794E-2"/>
    <n v="0.98308733087330868"/>
    <n v="0"/>
    <n v="8"/>
    <n v="1"/>
    <n v="391.5"/>
    <n v="9"/>
    <n v="9.1954022988505741"/>
    <n v="0.97875000000000001"/>
    <n v="0.96219672509225085"/>
    <s v="2567/2568"/>
    <s v="String is major issue "/>
    <n v="0"/>
    <n v="0"/>
    <n v="0"/>
    <n v="0"/>
    <n v="0"/>
    <n v="0"/>
    <n v="0"/>
    <n v="0"/>
    <n v="0"/>
    <n v="0"/>
    <n v="0"/>
    <n v="0"/>
    <n v="0"/>
    <n v="0"/>
    <n v="0"/>
    <n v="0"/>
    <n v="0"/>
    <n v="0"/>
    <n v="0"/>
    <n v="0"/>
    <n v="0"/>
    <n v="0"/>
    <n v="0"/>
    <n v="0"/>
    <n v="0"/>
    <n v="0"/>
    <n v="0"/>
    <n v="0"/>
    <n v="0"/>
    <n v="0"/>
  </r>
  <r>
    <d v="2021-08-19T00:00:00"/>
    <s v="C"/>
    <x v="9"/>
    <s v="FO130"/>
    <m/>
    <s v="INJ-1"/>
    <s v="HOOD S TYPE MOLDED"/>
    <s v="EH19Hc"/>
    <s v="Nitin"/>
    <n v="8"/>
    <n v="4137"/>
    <n v="517.125"/>
    <n v="5466"/>
    <n v="5000"/>
    <n v="1.8"/>
    <n v="403"/>
    <n v="0"/>
    <n v="0"/>
    <n v="55"/>
    <n v="8"/>
    <n v="1"/>
    <n v="5000"/>
    <n v="1.2086052695189751"/>
    <s v="HMC"/>
    <n v="8.6"/>
    <n v="48.807599999999994"/>
    <n v="0.88101033445610943"/>
    <n v="1.0880316518298714E-2"/>
    <n v="6.8665871528369393E-2"/>
    <n v="0.98993779729235276"/>
    <n v="0"/>
    <n v="8"/>
    <n v="1"/>
    <n v="625"/>
    <n v="6"/>
    <n v="5.76"/>
    <n v="1.0416666666666667"/>
    <n v="1.0311852055128676"/>
    <n v="2565"/>
    <s v="Mold start up after PM , Set up rejection high due to hood sticking at core side "/>
    <n v="0"/>
    <n v="0"/>
    <n v="0"/>
    <n v="0"/>
    <n v="0"/>
    <n v="0"/>
    <n v="0"/>
    <n v="0"/>
    <n v="0"/>
    <n v="0"/>
    <n v="0"/>
    <n v="0"/>
    <n v="0"/>
    <n v="0"/>
    <n v="0"/>
    <n v="0"/>
    <n v="0"/>
    <n v="0"/>
    <n v="0"/>
    <n v="0"/>
    <n v="0"/>
    <n v="0"/>
    <n v="0"/>
    <n v="0"/>
    <n v="0"/>
    <n v="0"/>
    <n v="0"/>
    <n v="0"/>
    <n v="0"/>
    <n v="0"/>
  </r>
  <r>
    <d v="2021-08-19T00:00:00"/>
    <s v="C"/>
    <x v="2"/>
    <s v="FO149"/>
    <m/>
    <s v="PC1"/>
    <s v="NIPPLE S TYPE LL SIZE POSTCURED"/>
    <s v="HEH19NbH19Pc"/>
    <s v="Nitin"/>
    <n v="6"/>
    <n v="7036"/>
    <n v="1172.6666666666667"/>
    <n v="7300"/>
    <n v="7300"/>
    <n v="0"/>
    <n v="0"/>
    <n v="0"/>
    <n v="0"/>
    <n v="0"/>
    <n v="0"/>
    <n v="1"/>
    <n v="7300"/>
    <n v="1.0375213189312109"/>
    <s v="FO149"/>
    <n v="0"/>
    <n v="0"/>
    <s v=" "/>
    <n v="0"/>
    <n v="0"/>
    <n v="1"/>
    <n v="0.6777777777777777"/>
    <n v="5.322222222222222"/>
    <n v="0.88703703703703696"/>
    <n v="1216.6666666666667"/>
    <n v="2.2999999999999998"/>
    <n v="2.6246575342465754"/>
    <n v="0.87630480167014602"/>
    <n v="0.77731481481481468"/>
    <s v="2608/2609"/>
    <s v="ERP Entry pending due to Indivisual QR batch not genrated in ERP OF FO149."/>
    <n v="40"/>
    <n v="0"/>
    <n v="0"/>
    <n v="0"/>
    <n v="0"/>
    <n v="0"/>
    <n v="0"/>
    <n v="0"/>
    <n v="0"/>
    <n v="0"/>
    <n v="0"/>
    <n v="0"/>
    <n v="0"/>
    <n v="0"/>
    <n v="0"/>
    <n v="0"/>
    <n v="0"/>
    <n v="0"/>
    <n v="0"/>
    <n v="0"/>
    <n v="0"/>
    <n v="0"/>
    <n v="0"/>
    <n v="0"/>
    <n v="0"/>
    <n v="0"/>
    <n v="0"/>
    <n v="0"/>
    <n v="0.66666666666666663"/>
    <n v="0.6777777777777777"/>
  </r>
  <r>
    <d v="2021-08-20T00:00:00"/>
    <s v="A"/>
    <x v="1"/>
    <s v="FO003"/>
    <s v="BM3"/>
    <s v="B2"/>
    <s v="KPP 240 ML BOTTLE MOLDED"/>
    <s v="EH20Ba2"/>
    <s v="Vivek"/>
    <n v="8"/>
    <n v="2574"/>
    <n v="321.75"/>
    <n v="2943"/>
    <n v="2808"/>
    <n v="0"/>
    <n v="60"/>
    <n v="0"/>
    <n v="0"/>
    <n v="67"/>
    <n v="8"/>
    <n v="1"/>
    <n v="2808"/>
    <n v="1.0909090909090908"/>
    <s v="HMC"/>
    <n v="32.1"/>
    <n v="94.470300000000009"/>
    <n v="0.95412844036697242"/>
    <n v="2.3304347826086955E-2"/>
    <n v="1.998001998001998E-2"/>
    <n v="0.97723411484879374"/>
    <n v="0"/>
    <n v="8"/>
    <n v="1"/>
    <n v="351"/>
    <n v="9"/>
    <n v="10.256410256410257"/>
    <n v="0.87749999999999995"/>
    <n v="0.85752293577981642"/>
    <n v="2573"/>
    <s v="Heat mark and thickness issue faced, adjust the heating core after that issue resolved."/>
    <n v="0"/>
    <n v="0"/>
    <n v="0"/>
    <n v="0"/>
    <n v="0"/>
    <n v="0"/>
    <n v="0"/>
    <n v="0"/>
    <n v="0"/>
    <n v="0"/>
    <n v="0"/>
    <n v="0"/>
    <n v="0"/>
    <n v="0"/>
    <n v="0"/>
    <n v="0"/>
    <n v="0"/>
    <n v="0"/>
    <n v="0"/>
    <n v="0"/>
    <n v="0"/>
    <n v="0"/>
    <n v="0"/>
    <n v="0"/>
    <n v="0"/>
    <n v="0"/>
    <n v="0"/>
    <n v="0"/>
    <n v="0"/>
    <n v="0"/>
  </r>
  <r>
    <d v="2021-08-20T00:00:00"/>
    <s v="A"/>
    <x v="0"/>
    <s v="FO148"/>
    <s v="M2"/>
    <s v="L2"/>
    <s v="NIPPLE S TYPE LL SIZE INJECTION"/>
    <s v="HEH20Na"/>
    <s v="Vivek"/>
    <n v="8"/>
    <n v="4815"/>
    <n v="601.875"/>
    <n v="3973"/>
    <n v="3600"/>
    <n v="0"/>
    <n v="265"/>
    <n v="0"/>
    <n v="0"/>
    <n v="100"/>
    <n v="8"/>
    <n v="1"/>
    <n v="3600"/>
    <n v="0.74766355140186913"/>
    <s v="FO148"/>
    <n v="6.8"/>
    <n v="27.016399999999997"/>
    <n v="0.90611628492323182"/>
    <n v="2.7027027027027029E-2"/>
    <n v="6.2529495044832462E-2"/>
    <n v="0.97483010319657692"/>
    <n v="2.2027777777777775"/>
    <n v="5.7972222222222225"/>
    <n v="0.72465277777777781"/>
    <n v="450"/>
    <n v="5.25"/>
    <n v="5.7972222222222225"/>
    <n v="0.90560613320555816"/>
    <n v="0.63973225522275357"/>
    <n v="2574"/>
    <s v="cavity No.-2 and 4 consisitency issue faced, three times middle plate cleaned hence setup rejection high."/>
    <n v="0"/>
    <n v="0"/>
    <n v="0"/>
    <n v="0"/>
    <n v="0"/>
    <n v="60"/>
    <n v="70"/>
    <n v="0"/>
    <n v="0"/>
    <n v="0"/>
    <n v="0"/>
    <n v="0"/>
    <n v="0"/>
    <n v="0"/>
    <n v="0"/>
    <n v="0"/>
    <n v="0"/>
    <n v="0"/>
    <n v="0"/>
    <n v="0"/>
    <n v="0"/>
    <n v="0"/>
    <n v="0"/>
    <n v="0"/>
    <n v="0"/>
    <n v="0"/>
    <n v="0"/>
    <n v="0"/>
    <n v="2.1666666666666665"/>
    <n v="2.2027777777777775"/>
  </r>
  <r>
    <d v="2021-08-20T00:00:00"/>
    <s v="A"/>
    <x v="3"/>
    <s v="FO019"/>
    <m/>
    <m/>
    <s v="NIPPLE S TYPE S SIZE PUNCHED"/>
    <s v="HEH18NaH18PbH20Pa"/>
    <s v="Vivek"/>
    <n v="8"/>
    <n v="7000"/>
    <n v="875"/>
    <n v="7200"/>
    <n v="7200"/>
    <n v="0"/>
    <n v="0"/>
    <n v="0"/>
    <n v="0"/>
    <n v="0"/>
    <n v="0"/>
    <n v="1"/>
    <n v="7200"/>
    <n v="1.0285714285714285"/>
    <s v="FO015"/>
    <n v="0"/>
    <n v="0"/>
    <s v=" "/>
    <n v="0"/>
    <n v="0"/>
    <n v="1"/>
    <n v="0.6777777777777777"/>
    <n v="7.322222222222222"/>
    <n v="0.91527777777777775"/>
    <n v="900"/>
    <n v="3.5"/>
    <n v="3.661111111111111"/>
    <n v="0.95599393019726864"/>
    <n v="0.875"/>
    <s v="2575|2576|2577|2578"/>
    <m/>
    <n v="40"/>
    <n v="0"/>
    <n v="0"/>
    <n v="0"/>
    <n v="0"/>
    <n v="0"/>
    <n v="0"/>
    <n v="0"/>
    <n v="0"/>
    <n v="0"/>
    <n v="0"/>
    <n v="0"/>
    <n v="0"/>
    <n v="0"/>
    <n v="0"/>
    <n v="0"/>
    <n v="0"/>
    <n v="0"/>
    <n v="0"/>
    <n v="0"/>
    <n v="0"/>
    <n v="0"/>
    <n v="0"/>
    <n v="0"/>
    <n v="0"/>
    <n v="0"/>
    <n v="0"/>
    <n v="0"/>
    <n v="0.66666666666666663"/>
    <n v="0.6777777777777777"/>
  </r>
  <r>
    <d v="2021-08-20T00:00:00"/>
    <s v="A"/>
    <x v="8"/>
    <s v="FO104"/>
    <m/>
    <s v="LZ1"/>
    <s v="NIPPLE S TYPE S SIZE PUNCHED LASER MARKED"/>
    <s v="HEH17BG"/>
    <s v="Vivek"/>
    <n v="8"/>
    <n v="7000"/>
    <n v="875"/>
    <n v="6000"/>
    <n v="6000"/>
    <n v="0"/>
    <n v="0"/>
    <n v="0"/>
    <n v="0"/>
    <n v="0"/>
    <n v="0"/>
    <n v="1"/>
    <n v="6000"/>
    <n v="0.8571428571428571"/>
    <s v="FO019"/>
    <n v="0"/>
    <n v="0"/>
    <s v=" "/>
    <n v="0"/>
    <n v="0"/>
    <n v="1"/>
    <n v="0.6777777777777777"/>
    <n v="7.322222222222222"/>
    <n v="0.91527777777777775"/>
    <n v="750"/>
    <n v="3.5"/>
    <n v="4.3933333333333335"/>
    <n v="0.79666160849772383"/>
    <n v="0.72916666666666663"/>
    <s v="2581|2583"/>
    <m/>
    <n v="40"/>
    <n v="0"/>
    <n v="0"/>
    <n v="0"/>
    <n v="0"/>
    <n v="0"/>
    <n v="0"/>
    <n v="0"/>
    <n v="0"/>
    <n v="0"/>
    <n v="0"/>
    <n v="0"/>
    <n v="0"/>
    <n v="0"/>
    <n v="0"/>
    <n v="0"/>
    <n v="0"/>
    <n v="0"/>
    <n v="0"/>
    <n v="0"/>
    <n v="0"/>
    <n v="0"/>
    <n v="0"/>
    <n v="0"/>
    <n v="0"/>
    <n v="0"/>
    <n v="0"/>
    <n v="0"/>
    <n v="0.66666666666666663"/>
    <n v="0.6777777777777777"/>
  </r>
  <r>
    <d v="2021-08-20T00:00:00"/>
    <s v="A"/>
    <x v="9"/>
    <s v="FO130"/>
    <m/>
    <m/>
    <s v="HOOD S TYPE MOLDED"/>
    <s v="EH20Ha"/>
    <s v="Vivek"/>
    <n v="8"/>
    <n v="4137"/>
    <n v="517.125"/>
    <n v="4044"/>
    <n v="4000"/>
    <n v="0"/>
    <n v="0"/>
    <n v="0"/>
    <n v="0"/>
    <n v="44"/>
    <n v="0"/>
    <n v="1"/>
    <n v="4000"/>
    <n v="0.96688421561518012"/>
    <s v="HMC"/>
    <n v="8.6"/>
    <n v="34.778399999999998"/>
    <n v="0.98911968348170132"/>
    <n v="1.0880316518298714E-2"/>
    <n v="0"/>
    <n v="0.98911968348170132"/>
    <n v="0.5083333333333333"/>
    <n v="7.4916666666666671"/>
    <n v="0.93645833333333339"/>
    <n v="500"/>
    <n v="6"/>
    <n v="6.7424999999999997"/>
    <n v="0.88987764182424922"/>
    <n v="0.82426640290141784"/>
    <n v="2586"/>
    <s v="Cavity no.-2 sticking problem in core side, 7-8 times sticking done and polishing done at the same time. "/>
    <n v="0"/>
    <n v="0"/>
    <n v="0"/>
    <n v="0"/>
    <n v="0"/>
    <n v="0"/>
    <n v="0"/>
    <n v="0"/>
    <n v="0"/>
    <n v="0"/>
    <n v="0"/>
    <n v="0"/>
    <n v="0"/>
    <n v="0"/>
    <n v="0"/>
    <n v="0"/>
    <n v="0"/>
    <n v="0"/>
    <n v="0"/>
    <n v="0"/>
    <n v="0"/>
    <n v="30"/>
    <n v="0"/>
    <n v="0"/>
    <n v="0"/>
    <n v="0"/>
    <n v="0"/>
    <n v="0"/>
    <n v="0.5"/>
    <n v="0.5083333333333333"/>
  </r>
  <r>
    <d v="2021-08-20T00:00:00"/>
    <s v="G"/>
    <x v="6"/>
    <s v="FO088"/>
    <m/>
    <s v="PR1"/>
    <s v="KPP 200 BOTTLE PRINTED (WMG3B) W/O OZ &amp; W/BIS LOGO"/>
    <s v="EG05Ba1H20Pa"/>
    <s v="Pintu"/>
    <n v="2"/>
    <n v="1200"/>
    <n v="600"/>
    <n v="1168"/>
    <n v="1156"/>
    <n v="0"/>
    <n v="0"/>
    <n v="13"/>
    <n v="0"/>
    <n v="12"/>
    <n v="0"/>
    <n v="5"/>
    <n v="231.2"/>
    <n v="0.96333333333333337"/>
    <s v="FO043"/>
    <n v="0"/>
    <n v="0"/>
    <s v=" "/>
    <n v="1.0273972602739725E-2"/>
    <n v="0"/>
    <n v="0.98972602739726023"/>
    <n v="0"/>
    <n v="2"/>
    <n v="1"/>
    <n v="578"/>
    <n v="32.4"/>
    <n v="31.141868512110726"/>
    <n v="1.0404"/>
    <n v="1.0297109589041096"/>
    <s v="PINPM/21-22/2614,15"/>
    <m/>
    <n v="0"/>
    <n v="0"/>
    <n v="0"/>
    <n v="0"/>
    <n v="0"/>
    <n v="0"/>
    <n v="0"/>
    <n v="0"/>
    <n v="0"/>
    <n v="0"/>
    <n v="0"/>
    <n v="0"/>
    <n v="0"/>
    <n v="0"/>
    <n v="0"/>
    <n v="0"/>
    <n v="0"/>
    <n v="0"/>
    <n v="0"/>
    <n v="0"/>
    <n v="0"/>
    <n v="0"/>
    <n v="0"/>
    <n v="0"/>
    <n v="0"/>
    <n v="0"/>
    <n v="0"/>
    <n v="0"/>
    <n v="0"/>
    <n v="0"/>
  </r>
  <r>
    <d v="2021-08-20T00:00:00"/>
    <s v="G"/>
    <x v="6"/>
    <s v="FO117"/>
    <m/>
    <s v="PR1"/>
    <s v="RPP 240 ML RPP PRINTED ELEPHANT"/>
    <s v="EH22Bb2H20Pa"/>
    <s v="Pintu"/>
    <n v="5.5"/>
    <n v="1800"/>
    <n v="327.27272727272725"/>
    <n v="1495"/>
    <n v="1484"/>
    <n v="0"/>
    <n v="0"/>
    <n v="36"/>
    <n v="0"/>
    <n v="11"/>
    <n v="0"/>
    <n v="6"/>
    <n v="247.33333333333334"/>
    <n v="0.82444444444444442"/>
    <s v="FO005"/>
    <n v="32"/>
    <n v="47.84"/>
    <n v="0.9926421404682273"/>
    <n v="7.3578595317725752E-3"/>
    <n v="0"/>
    <n v="0.99264214046822741"/>
    <n v="3.05"/>
    <n v="2.4500000000000002"/>
    <n v="0.44545454545454549"/>
    <n v="269.81818181818181"/>
    <n v="32.4"/>
    <n v="35.660377358490571"/>
    <n v="0.90857142857142836"/>
    <n v="0.401749346305868"/>
    <s v="PINPM/21-22/2616,17"/>
    <s v="SKU changeover FO008 TO FO088 and fo088 to fo117."/>
    <n v="40"/>
    <n v="140"/>
    <n v="0"/>
    <n v="0"/>
    <n v="0"/>
    <n v="0"/>
    <n v="0"/>
    <n v="0"/>
    <n v="0"/>
    <n v="0"/>
    <n v="0"/>
    <n v="0"/>
    <n v="0"/>
    <n v="0"/>
    <n v="0"/>
    <n v="0"/>
    <n v="0"/>
    <n v="0"/>
    <n v="0"/>
    <n v="0"/>
    <n v="0"/>
    <n v="0"/>
    <n v="0"/>
    <n v="0"/>
    <n v="0"/>
    <n v="0"/>
    <n v="0"/>
    <n v="0"/>
    <n v="3"/>
    <n v="3.05"/>
  </r>
  <r>
    <d v="2021-08-20T00:00:00"/>
    <s v="G"/>
    <x v="7"/>
    <s v="FO029"/>
    <m/>
    <s v="WR1"/>
    <s v="NIPPLE S TYPE S SIZE WITH PRINTED WRAP"/>
    <s v="HEG09CG22"/>
    <s v="Vivek"/>
    <n v="2.2999999999999998"/>
    <n v="3800"/>
    <n v="1652.1739130434785"/>
    <n v="4200"/>
    <n v="4200"/>
    <n v="0"/>
    <n v="0"/>
    <n v="0"/>
    <n v="0"/>
    <n v="0"/>
    <n v="0"/>
    <n v="2"/>
    <n v="2100"/>
    <n v="1.1052631578947369"/>
    <s v="FO108"/>
    <n v="0"/>
    <n v="0"/>
    <s v=" "/>
    <n v="0"/>
    <n v="0"/>
    <n v="1"/>
    <n v="0"/>
    <n v="2.2999999999999998"/>
    <n v="1"/>
    <n v="1826.0869565217392"/>
    <n v="2.5"/>
    <n v="3.9428571428571431"/>
    <n v="0.63405797101449268"/>
    <n v="0.63405797101449268"/>
    <s v="2597/2598"/>
    <m/>
    <n v="0"/>
    <n v="0"/>
    <n v="0"/>
    <n v="0"/>
    <n v="0"/>
    <n v="0"/>
    <n v="0"/>
    <n v="0"/>
    <n v="0"/>
    <n v="0"/>
    <n v="0"/>
    <n v="0"/>
    <n v="0"/>
    <n v="0"/>
    <n v="0"/>
    <n v="0"/>
    <n v="0"/>
    <n v="0"/>
    <n v="0"/>
    <n v="0"/>
    <n v="0"/>
    <n v="0"/>
    <n v="0"/>
    <n v="0"/>
    <n v="0"/>
    <n v="0"/>
    <n v="0"/>
    <n v="0"/>
    <n v="0"/>
    <n v="0"/>
  </r>
  <r>
    <d v="2021-08-20T00:00:00"/>
    <s v="G"/>
    <x v="7"/>
    <s v="FO030"/>
    <m/>
    <s v="WR1"/>
    <s v="NIPPLE S TYPE M SIZE WITH PRINTED WRAP"/>
    <s v="HEG22CG22"/>
    <s v="Vivek"/>
    <n v="2"/>
    <n v="3700"/>
    <n v="1850"/>
    <n v="4000"/>
    <n v="4000"/>
    <n v="0"/>
    <n v="0"/>
    <n v="0"/>
    <n v="0"/>
    <n v="0"/>
    <n v="0"/>
    <n v="2"/>
    <n v="2000"/>
    <n v="1.0810810810810811"/>
    <s v="FO020"/>
    <n v="0"/>
    <n v="0"/>
    <s v=" "/>
    <n v="0"/>
    <n v="0"/>
    <n v="1"/>
    <n v="0"/>
    <n v="2"/>
    <n v="1"/>
    <n v="2000"/>
    <n v="2.5"/>
    <n v="3.6"/>
    <n v="0.69444444444444442"/>
    <n v="0.69444444444444442"/>
    <s v="2624/2625"/>
    <m/>
    <n v="0"/>
    <n v="0"/>
    <n v="0"/>
    <n v="0"/>
    <n v="0"/>
    <n v="0"/>
    <n v="0"/>
    <n v="0"/>
    <n v="0"/>
    <n v="0"/>
    <n v="0"/>
    <n v="0"/>
    <n v="0"/>
    <n v="0"/>
    <n v="0"/>
    <n v="0"/>
    <n v="0"/>
    <n v="0"/>
    <n v="0"/>
    <n v="0"/>
    <n v="0"/>
    <n v="0"/>
    <n v="0"/>
    <n v="0"/>
    <n v="0"/>
    <n v="0"/>
    <n v="0"/>
    <n v="0"/>
    <n v="0"/>
    <n v="0"/>
  </r>
  <r>
    <d v="2021-08-20T00:00:00"/>
    <s v="G"/>
    <x v="7"/>
    <s v="FO031"/>
    <m/>
    <s v="WR1"/>
    <s v="NIPPLE S TYPE L SIZE WITH PRINTED WRAP"/>
    <s v="HEG22BG22"/>
    <s v="Vivek"/>
    <n v="2"/>
    <n v="3500"/>
    <n v="1750"/>
    <n v="3752"/>
    <n v="3752"/>
    <n v="0"/>
    <n v="0"/>
    <n v="0"/>
    <n v="0"/>
    <n v="0"/>
    <n v="0"/>
    <n v="2"/>
    <n v="1876"/>
    <n v="1.0720000000000001"/>
    <s v="FO021"/>
    <n v="0"/>
    <n v="0"/>
    <s v=" "/>
    <n v="0"/>
    <n v="0"/>
    <n v="1"/>
    <n v="0"/>
    <n v="2"/>
    <n v="1"/>
    <n v="1876"/>
    <n v="2.5"/>
    <n v="3.8379530916844349"/>
    <n v="0.65138888888888891"/>
    <n v="0.65138888888888891"/>
    <s v="2595/2596"/>
    <m/>
    <n v="0"/>
    <n v="0"/>
    <n v="0"/>
    <n v="0"/>
    <n v="0"/>
    <n v="0"/>
    <n v="0"/>
    <n v="0"/>
    <n v="0"/>
    <n v="0"/>
    <n v="0"/>
    <n v="0"/>
    <n v="0"/>
    <n v="0"/>
    <n v="0"/>
    <n v="0"/>
    <n v="0"/>
    <n v="0"/>
    <n v="0"/>
    <n v="0"/>
    <n v="0"/>
    <n v="0"/>
    <n v="0"/>
    <n v="0"/>
    <n v="0"/>
    <n v="0"/>
    <n v="0"/>
    <n v="0"/>
    <n v="0"/>
    <n v="0"/>
  </r>
  <r>
    <d v="2021-08-20T00:00:00"/>
    <s v="G"/>
    <x v="7"/>
    <s v="FO141"/>
    <m/>
    <s v="WR1"/>
    <s v="NIPPLE S TYPE LL SIZE WRAPPED"/>
    <s v="HED24GG22"/>
    <s v="Vivek"/>
    <n v="3"/>
    <n v="5132"/>
    <n v="1710.6666666666667"/>
    <n v="6103"/>
    <n v="6090"/>
    <n v="0"/>
    <n v="0"/>
    <n v="0"/>
    <n v="0"/>
    <n v="13"/>
    <n v="0"/>
    <n v="2"/>
    <n v="3045"/>
    <n v="1.186671862821512"/>
    <s v="FO141"/>
    <n v="0"/>
    <n v="0"/>
    <s v=" "/>
    <n v="2.1300999508438471E-3"/>
    <n v="0"/>
    <n v="0.9978699000491561"/>
    <n v="0"/>
    <n v="3"/>
    <n v="1"/>
    <n v="2030"/>
    <n v="2.5"/>
    <n v="3.5467980295566504"/>
    <n v="0.70486111111111105"/>
    <n v="0.70335968649298153"/>
    <n v="2588"/>
    <m/>
    <n v="0"/>
    <n v="0"/>
    <n v="0"/>
    <n v="0"/>
    <n v="0"/>
    <n v="0"/>
    <n v="0"/>
    <n v="0"/>
    <n v="0"/>
    <n v="0"/>
    <n v="0"/>
    <n v="0"/>
    <n v="0"/>
    <n v="0"/>
    <n v="0"/>
    <n v="0"/>
    <n v="0"/>
    <n v="0"/>
    <n v="0"/>
    <n v="0"/>
    <n v="0"/>
    <n v="0"/>
    <n v="0"/>
    <n v="0"/>
    <n v="0"/>
    <n v="0"/>
    <n v="0"/>
    <n v="0"/>
    <n v="0"/>
    <n v="0"/>
  </r>
  <r>
    <d v="2021-08-20T00:00:00"/>
    <s v="G"/>
    <x v="4"/>
    <s v="FO108"/>
    <m/>
    <m/>
    <s v="NIPPLE S TYPE S SIZE PUNCHED INSPECTED"/>
    <s v="HEH17NbH18PaH19Pb"/>
    <s v="Vivek"/>
    <n v="8.5"/>
    <n v="7036"/>
    <n v="827.76470588235293"/>
    <n v="7300"/>
    <n v="7262"/>
    <n v="0"/>
    <n v="0"/>
    <n v="0"/>
    <n v="0"/>
    <n v="38"/>
    <n v="0"/>
    <n v="1"/>
    <n v="7262"/>
    <n v="1.0321205230244457"/>
    <s v="FO104"/>
    <n v="0"/>
    <n v="0"/>
    <s v=" "/>
    <n v="5.2054794520547945E-3"/>
    <n v="0"/>
    <n v="0.99479452054794526"/>
    <n v="0.84722222222222221"/>
    <n v="7.6527777777777777"/>
    <n v="0.90032679738562094"/>
    <n v="854.35294117647061"/>
    <n v="4"/>
    <n v="3.7937207380886808"/>
    <n v="1.0543738656987296"/>
    <n v="0.94433958277374885"/>
    <s v="2618/2619"/>
    <m/>
    <n v="50"/>
    <n v="0"/>
    <n v="0"/>
    <n v="0"/>
    <n v="0"/>
    <n v="0"/>
    <n v="0"/>
    <n v="0"/>
    <n v="0"/>
    <n v="0"/>
    <n v="0"/>
    <n v="0"/>
    <n v="0"/>
    <n v="0"/>
    <n v="0"/>
    <n v="0"/>
    <n v="0"/>
    <n v="0"/>
    <n v="0"/>
    <n v="0"/>
    <n v="0"/>
    <n v="0"/>
    <n v="0"/>
    <n v="0"/>
    <n v="0"/>
    <n v="0"/>
    <n v="0"/>
    <n v="0"/>
    <n v="0.83333333333333337"/>
    <n v="0.84722222222222221"/>
  </r>
  <r>
    <d v="2021-08-20T00:00:00"/>
    <s v="B"/>
    <x v="1"/>
    <s v="FO003"/>
    <s v="BM3"/>
    <s v="B2"/>
    <s v="KPP 240 ML BOTTLE MOLDED"/>
    <s v="EH20Bb2"/>
    <s v="Saurav"/>
    <n v="8"/>
    <n v="2574"/>
    <n v="321.75"/>
    <n v="3227"/>
    <n v="3132"/>
    <n v="0.35"/>
    <n v="24"/>
    <n v="0"/>
    <n v="0"/>
    <n v="71"/>
    <n v="0"/>
    <n v="1"/>
    <n v="3132"/>
    <n v="1.2167832167832169"/>
    <s v="HMC"/>
    <n v="32.1"/>
    <n v="103.9367"/>
    <n v="0.96729259251063393"/>
    <n v="2.216671870121761E-2"/>
    <n v="7.3823438941864042E-3"/>
    <n v="0.97799814068794544"/>
    <n v="0"/>
    <n v="8"/>
    <n v="1"/>
    <n v="391.5"/>
    <n v="9"/>
    <n v="9.1954022988505741"/>
    <n v="0.97875000000000001"/>
    <n v="0.95721568019832659"/>
    <n v="2594"/>
    <m/>
    <n v="0"/>
    <n v="0"/>
    <n v="0"/>
    <n v="0"/>
    <n v="0"/>
    <n v="0"/>
    <n v="0"/>
    <n v="0"/>
    <n v="0"/>
    <n v="0"/>
    <n v="0"/>
    <n v="0"/>
    <n v="0"/>
    <n v="0"/>
    <n v="0"/>
    <n v="0"/>
    <n v="0"/>
    <n v="0"/>
    <n v="0"/>
    <n v="0"/>
    <n v="0"/>
    <n v="0"/>
    <n v="0"/>
    <n v="0"/>
    <n v="0"/>
    <n v="0"/>
    <n v="0"/>
    <n v="0"/>
    <n v="0"/>
    <n v="0"/>
  </r>
  <r>
    <d v="2021-08-20T00:00:00"/>
    <s v="B"/>
    <x v="3"/>
    <s v="FO019"/>
    <m/>
    <s v="P1"/>
    <s v="NIPPLE S TYPE S SIZE PUNCHED"/>
    <s v="HEH18NbH18PcH20Pb"/>
    <s v="Saurav"/>
    <n v="5"/>
    <n v="4500"/>
    <n v="900"/>
    <n v="3950"/>
    <n v="3950"/>
    <n v="0"/>
    <n v="0"/>
    <n v="0"/>
    <n v="0"/>
    <n v="0"/>
    <n v="0"/>
    <n v="1"/>
    <n v="3950"/>
    <n v="0.87777777777777777"/>
    <s v="FO015"/>
    <n v="0"/>
    <n v="0"/>
    <s v=" "/>
    <n v="0"/>
    <n v="0"/>
    <n v="1"/>
    <n v="0"/>
    <n v="5"/>
    <n v="1"/>
    <n v="790"/>
    <n v="3.5"/>
    <n v="4.556962025316456"/>
    <n v="0.76805555555555549"/>
    <n v="0.76805555555555549"/>
    <n v="2601"/>
    <s v="Production loss due to LL size cautting issue."/>
    <n v="0"/>
    <n v="0"/>
    <n v="0"/>
    <n v="0"/>
    <n v="0"/>
    <n v="0"/>
    <n v="0"/>
    <n v="0"/>
    <n v="0"/>
    <n v="0"/>
    <n v="0"/>
    <n v="0"/>
    <n v="0"/>
    <n v="0"/>
    <n v="0"/>
    <n v="0"/>
    <n v="0"/>
    <n v="0"/>
    <n v="0"/>
    <n v="0"/>
    <n v="0"/>
    <n v="0"/>
    <n v="0"/>
    <n v="0"/>
    <n v="0"/>
    <n v="0"/>
    <n v="0"/>
    <n v="0"/>
    <n v="0"/>
    <n v="0"/>
  </r>
  <r>
    <d v="2021-08-20T00:00:00"/>
    <s v="B"/>
    <x v="3"/>
    <s v="FO150"/>
    <m/>
    <s v="P1"/>
    <s v="NIPPLE S TYPE LL SIZE PUNCHED"/>
    <s v="HEH18NcH19Pb"/>
    <s v="Saurav"/>
    <n v="3"/>
    <n v="2500"/>
    <n v="833.33333333333337"/>
    <n v="2000"/>
    <n v="2000"/>
    <n v="0"/>
    <n v="0"/>
    <n v="0"/>
    <n v="0"/>
    <n v="0"/>
    <n v="0"/>
    <n v="1"/>
    <n v="2000"/>
    <n v="0.8"/>
    <s v="FO150"/>
    <n v="0"/>
    <n v="0"/>
    <s v=" "/>
    <n v="0"/>
    <n v="0"/>
    <n v="1"/>
    <n v="1.1861111111111111"/>
    <n v="1.8138888888888889"/>
    <n v="0.60462962962962963"/>
    <n v="666.66666666666663"/>
    <n v="3.5"/>
    <n v="3.2650000000000001"/>
    <n v="1.0719754977029097"/>
    <n v="0.64814814814814814"/>
    <n v="2602"/>
    <m/>
    <n v="40"/>
    <n v="0"/>
    <n v="0"/>
    <n v="0"/>
    <n v="0"/>
    <n v="0"/>
    <n v="0"/>
    <n v="0"/>
    <n v="0"/>
    <n v="0"/>
    <n v="0"/>
    <n v="0"/>
    <n v="0"/>
    <n v="0"/>
    <n v="0"/>
    <n v="0"/>
    <n v="30"/>
    <n v="0"/>
    <n v="0"/>
    <n v="0"/>
    <n v="0"/>
    <n v="0"/>
    <n v="0"/>
    <n v="0"/>
    <n v="0"/>
    <n v="0"/>
    <n v="0"/>
    <n v="0"/>
    <n v="1.1666666666666667"/>
    <n v="1.1861111111111111"/>
  </r>
  <r>
    <d v="2021-08-20T00:00:00"/>
    <s v="B"/>
    <x v="8"/>
    <s v="FO104"/>
    <m/>
    <s v="LZ1"/>
    <s v="NIPPLE S TYPE S SIZE PUNCHED LASER MARKED"/>
    <s v="HEH18AG22"/>
    <s v="Saurav"/>
    <n v="8"/>
    <n v="7000"/>
    <n v="875"/>
    <n v="7200"/>
    <n v="7200"/>
    <n v="0"/>
    <n v="0"/>
    <n v="0"/>
    <n v="0"/>
    <n v="0"/>
    <n v="0"/>
    <n v="1"/>
    <n v="7200"/>
    <n v="1.0285714285714285"/>
    <s v="FO019"/>
    <n v="0"/>
    <n v="0"/>
    <s v=" "/>
    <n v="0"/>
    <n v="0"/>
    <n v="1"/>
    <n v="0.6777777777777777"/>
    <n v="7.322222222222222"/>
    <n v="0.91527777777777775"/>
    <n v="900"/>
    <n v="3.5"/>
    <n v="3.661111111111111"/>
    <n v="0.95599393019726864"/>
    <n v="0.875"/>
    <s v="2599/2600"/>
    <m/>
    <n v="40"/>
    <n v="0"/>
    <n v="0"/>
    <n v="0"/>
    <n v="0"/>
    <n v="0"/>
    <n v="0"/>
    <n v="0"/>
    <n v="0"/>
    <n v="0"/>
    <n v="0"/>
    <n v="0"/>
    <n v="0"/>
    <n v="0"/>
    <n v="0"/>
    <n v="0"/>
    <n v="0"/>
    <n v="0"/>
    <n v="0"/>
    <n v="0"/>
    <n v="0"/>
    <n v="0"/>
    <n v="0"/>
    <n v="0"/>
    <n v="0"/>
    <n v="0"/>
    <n v="0"/>
    <n v="0"/>
    <n v="0.66666666666666663"/>
    <n v="0.6777777777777777"/>
  </r>
  <r>
    <d v="2021-08-20T00:00:00"/>
    <s v="B"/>
    <x v="9"/>
    <s v="FO130"/>
    <m/>
    <s v="INJ-1"/>
    <s v="HOOD S TYPE MOLDED"/>
    <s v="EH20Hb"/>
    <s v="Saurav"/>
    <n v="4"/>
    <n v="4137"/>
    <n v="1034.25"/>
    <n v="2402"/>
    <n v="2330"/>
    <n v="0"/>
    <n v="50"/>
    <n v="0"/>
    <n v="0"/>
    <n v="22"/>
    <n v="0"/>
    <n v="1"/>
    <n v="2330"/>
    <n v="0.56321005559584236"/>
    <s v="HMC"/>
    <n v="8.6"/>
    <n v="20.6572"/>
    <n v="0.97002497918401331"/>
    <n v="9.3537414965986394E-3"/>
    <n v="2.0391517128874388E-2"/>
    <n v="0.99084096586178183"/>
    <n v="0"/>
    <n v="4"/>
    <n v="1"/>
    <n v="582.5"/>
    <n v="6"/>
    <n v="6.1802575107296134"/>
    <n v="0.97083333333333344"/>
    <n v="0.96194143769081331"/>
    <n v="2603"/>
    <s v="Hood (FO130) production loss cavity no.02 sticking problem."/>
    <m/>
    <n v="0"/>
    <n v="0"/>
    <n v="0"/>
    <n v="0"/>
    <n v="0"/>
    <n v="0"/>
    <n v="0"/>
    <n v="0"/>
    <n v="0"/>
    <n v="0"/>
    <n v="0"/>
    <n v="0"/>
    <n v="0"/>
    <n v="0"/>
    <n v="0"/>
    <n v="0"/>
    <n v="0"/>
    <n v="0"/>
    <n v="0"/>
    <n v="0"/>
    <n v="0"/>
    <n v="0"/>
    <n v="0"/>
    <n v="0"/>
    <n v="0"/>
    <n v="0"/>
    <n v="0"/>
    <n v="0"/>
    <n v="0"/>
  </r>
  <r>
    <d v="2021-08-20T00:00:00"/>
    <s v="B"/>
    <x v="2"/>
    <s v="FO149"/>
    <m/>
    <s v="PC1"/>
    <s v="NIPPLE S TYPE LL SIZE POSTCURED"/>
    <s v="HEH19NcH20Pb"/>
    <s v="Saurav"/>
    <n v="5"/>
    <n v="7096"/>
    <n v="1419.2"/>
    <n v="6600"/>
    <n v="6600"/>
    <n v="0"/>
    <n v="0"/>
    <n v="0"/>
    <n v="0"/>
    <n v="0"/>
    <n v="0"/>
    <n v="1"/>
    <n v="6600"/>
    <n v="0.93010146561443063"/>
    <s v="FO149"/>
    <n v="0"/>
    <n v="0"/>
    <s v=" "/>
    <n v="0"/>
    <n v="0"/>
    <n v="1"/>
    <n v="0.6777777777777777"/>
    <n v="4.322222222222222"/>
    <n v="0.86444444444444435"/>
    <n v="1320"/>
    <n v="2.2999999999999998"/>
    <n v="2.3575757575757574"/>
    <n v="0.97557840616966585"/>
    <n v="0.84333333333333327"/>
    <s v="2605/2606"/>
    <m/>
    <n v="40"/>
    <n v="0"/>
    <n v="0"/>
    <n v="0"/>
    <n v="0"/>
    <n v="0"/>
    <n v="0"/>
    <n v="0"/>
    <n v="0"/>
    <n v="0"/>
    <n v="0"/>
    <n v="0"/>
    <n v="0"/>
    <n v="0"/>
    <n v="0"/>
    <n v="0"/>
    <n v="0"/>
    <n v="0"/>
    <n v="0"/>
    <n v="0"/>
    <n v="0"/>
    <n v="0"/>
    <n v="0"/>
    <n v="0"/>
    <n v="0"/>
    <n v="0"/>
    <n v="0"/>
    <n v="0"/>
    <n v="0.66666666666666663"/>
    <n v="0.6777777777777777"/>
  </r>
  <r>
    <d v="2021-08-20T00:00:00"/>
    <s v="B"/>
    <x v="0"/>
    <s v="FO148"/>
    <s v="M2"/>
    <s v="L2"/>
    <s v="NIPPLE S TYPE LL SIZE INJECTION"/>
    <s v="HEH20Nb"/>
    <s v="Saurav"/>
    <n v="8"/>
    <n v="4815"/>
    <n v="601.875"/>
    <n v="3450"/>
    <n v="3300"/>
    <n v="0"/>
    <n v="100"/>
    <n v="0"/>
    <n v="0"/>
    <n v="50"/>
    <n v="0"/>
    <n v="1"/>
    <n v="3300"/>
    <n v="0.68535825545171336"/>
    <s v="FO148"/>
    <n v="6.8"/>
    <n v="23.459999999999997"/>
    <n v="0.95652173913043481"/>
    <n v="1.4925373134328358E-2"/>
    <n v="2.8169014084507043E-2"/>
    <n v="0.98550724637681164"/>
    <n v="1.8638888888888887"/>
    <n v="6.1361111111111111"/>
    <n v="0.76701388888888888"/>
    <n v="412.5"/>
    <n v="5.25"/>
    <n v="6.6939393939393943"/>
    <n v="0.78429153463105472"/>
    <n v="0.59284420289855078"/>
    <n v="2604"/>
    <m/>
    <n v="0"/>
    <n v="0"/>
    <n v="0"/>
    <n v="0"/>
    <n v="0"/>
    <n v="60"/>
    <n v="50"/>
    <n v="0"/>
    <n v="0"/>
    <n v="0"/>
    <n v="0"/>
    <n v="0"/>
    <n v="0"/>
    <n v="0"/>
    <n v="0"/>
    <n v="0"/>
    <n v="0"/>
    <n v="0"/>
    <n v="0"/>
    <n v="0"/>
    <n v="0"/>
    <n v="0"/>
    <n v="0"/>
    <n v="0"/>
    <n v="0"/>
    <n v="0"/>
    <n v="0"/>
    <n v="0"/>
    <n v="1.8333333333333333"/>
    <n v="1.8638888888888887"/>
  </r>
  <r>
    <d v="2021-08-20T00:00:00"/>
    <s v="C"/>
    <x v="1"/>
    <s v="FO003"/>
    <s v="BM3"/>
    <s v="B2"/>
    <s v="KPP 240 ML BOTTLE MOLDED"/>
    <s v="EH20Bc2"/>
    <s v="Nitin"/>
    <n v="0.6"/>
    <n v="324"/>
    <n v="540"/>
    <n v="224"/>
    <n v="222"/>
    <n v="0.24"/>
    <n v="0"/>
    <n v="0"/>
    <n v="0"/>
    <n v="2"/>
    <n v="0"/>
    <n v="1"/>
    <n v="222"/>
    <n v="0.68518518518518523"/>
    <s v="HMC"/>
    <n v="32.1"/>
    <n v="7.4304000000000006"/>
    <n v="0.95906007751937983"/>
    <n v="8.9285714285714281E-3"/>
    <n v="0"/>
    <n v="0.9910714285714286"/>
    <n v="0"/>
    <n v="0.6"/>
    <n v="1"/>
    <n v="370"/>
    <n v="9"/>
    <n v="9.7297297297297298"/>
    <n v="0.92500000000000004"/>
    <n v="0.91674107142857153"/>
    <n v="2607"/>
    <m/>
    <n v="0"/>
    <n v="0"/>
    <n v="0"/>
    <n v="0"/>
    <n v="0"/>
    <n v="0"/>
    <n v="0"/>
    <n v="0"/>
    <n v="0"/>
    <n v="0"/>
    <n v="0"/>
    <n v="0"/>
    <n v="0"/>
    <n v="0"/>
    <n v="0"/>
    <n v="0"/>
    <n v="0"/>
    <n v="0"/>
    <n v="0"/>
    <n v="0"/>
    <n v="0"/>
    <n v="0"/>
    <n v="0"/>
    <n v="0"/>
    <n v="0"/>
    <n v="0"/>
    <n v="0"/>
    <n v="0"/>
    <n v="0"/>
    <n v="0"/>
  </r>
  <r>
    <d v="2021-08-20T00:00:00"/>
    <s v="C"/>
    <x v="1"/>
    <s v="FO005"/>
    <s v="BM4"/>
    <s v="B2"/>
    <s v="RPP 240 ML BOTTLE MOLDED"/>
    <s v="EH20Bc2"/>
    <s v="Nitin"/>
    <n v="7"/>
    <n v="2250"/>
    <n v="321.42857142857144"/>
    <n v="921"/>
    <n v="840"/>
    <n v="0"/>
    <n v="40"/>
    <n v="0"/>
    <n v="0"/>
    <n v="33"/>
    <n v="8"/>
    <n v="1"/>
    <n v="840"/>
    <n v="0.37333333333333335"/>
    <s v="HMC"/>
    <n v="32.1"/>
    <n v="29.564100000000003"/>
    <n v="0.91205211726384361"/>
    <n v="3.7800687285223365E-2"/>
    <n v="4.1623309053069719E-2"/>
    <n v="0.96416938110749184"/>
    <n v="4.7444444444444445"/>
    <n v="2.2555555555555555"/>
    <n v="0.32222222222222224"/>
    <n v="120"/>
    <n v="9"/>
    <n v="9.6666666666666661"/>
    <n v="0.93103448275862077"/>
    <n v="0.28925081433224764"/>
    <n v="2610"/>
    <s v="KPP-8 Blow mold changeover and load RPP-8 Blow mold, during set up face scratch mark issue"/>
    <n v="0"/>
    <n v="140"/>
    <n v="80"/>
    <n v="0"/>
    <n v="0"/>
    <n v="0"/>
    <n v="0"/>
    <n v="60"/>
    <n v="0"/>
    <n v="0"/>
    <n v="0"/>
    <n v="0"/>
    <n v="0"/>
    <n v="0"/>
    <n v="0"/>
    <n v="0"/>
    <n v="0"/>
    <n v="0"/>
    <n v="0"/>
    <n v="0"/>
    <n v="0"/>
    <n v="0"/>
    <n v="0"/>
    <n v="0"/>
    <n v="0"/>
    <n v="0"/>
    <n v="0"/>
    <n v="0"/>
    <n v="4.666666666666667"/>
    <n v="4.7444444444444445"/>
  </r>
  <r>
    <d v="2021-08-20T00:00:00"/>
    <s v="C"/>
    <x v="0"/>
    <s v="FO148"/>
    <s v="M2"/>
    <s v="L2"/>
    <s v="NIPPLE S TYPE LL SIZE INJECTION"/>
    <s v="HEH20Nc"/>
    <s v="Nitin"/>
    <n v="8"/>
    <n v="4815"/>
    <n v="601.875"/>
    <n v="4708"/>
    <n v="4500"/>
    <n v="0"/>
    <n v="110"/>
    <n v="0"/>
    <n v="0"/>
    <n v="90"/>
    <n v="8"/>
    <n v="1"/>
    <n v="4500"/>
    <n v="0.93457943925233644"/>
    <s v="FO148"/>
    <n v="6.8"/>
    <n v="32.014399999999995"/>
    <n v="0.955819881053526"/>
    <n v="1.9607843137254902E-2"/>
    <n v="2.2831050228310501E-2"/>
    <n v="0.98088360237892946"/>
    <n v="0"/>
    <n v="8"/>
    <n v="1"/>
    <n v="562.5"/>
    <n v="5.25"/>
    <n v="6.4"/>
    <n v="0.8203125"/>
    <n v="0.80463108007646555"/>
    <n v="2611"/>
    <m/>
    <n v="0"/>
    <n v="0"/>
    <n v="0"/>
    <n v="0"/>
    <n v="0"/>
    <n v="0"/>
    <n v="0"/>
    <n v="0"/>
    <n v="0"/>
    <n v="0"/>
    <n v="0"/>
    <n v="0"/>
    <n v="0"/>
    <n v="0"/>
    <n v="0"/>
    <n v="0"/>
    <n v="0"/>
    <n v="0"/>
    <n v="0"/>
    <n v="0"/>
    <n v="0"/>
    <n v="0"/>
    <n v="0"/>
    <n v="0"/>
    <n v="0"/>
    <n v="0"/>
    <n v="0"/>
    <n v="0"/>
    <n v="0"/>
    <n v="0"/>
  </r>
  <r>
    <d v="2021-08-20T00:00:00"/>
    <s v="C"/>
    <x v="2"/>
    <s v="FO149"/>
    <m/>
    <s v="PC1"/>
    <s v="NIPPLE S TYPE LL SIZE POSTCURED"/>
    <s v="HEH20NbH20Pc"/>
    <s v="Nitin"/>
    <n v="5"/>
    <n v="7036"/>
    <n v="1407.2"/>
    <n v="6300"/>
    <n v="6300"/>
    <n v="0"/>
    <n v="0"/>
    <n v="0"/>
    <n v="0"/>
    <n v="0"/>
    <n v="0"/>
    <n v="1"/>
    <n v="6300"/>
    <n v="0.89539511085844226"/>
    <s v="FO149"/>
    <n v="0"/>
    <n v="0"/>
    <s v=" "/>
    <n v="0"/>
    <n v="0"/>
    <n v="1"/>
    <n v="0.6777777777777777"/>
    <n v="4.322222222222222"/>
    <n v="0.86444444444444435"/>
    <n v="1260"/>
    <n v="2.2999999999999998"/>
    <n v="2.4698412698412695"/>
    <n v="0.9312339331619538"/>
    <n v="0.80499999999999994"/>
    <s v="2612/2613"/>
    <m/>
    <n v="40"/>
    <n v="0"/>
    <n v="0"/>
    <n v="0"/>
    <n v="0"/>
    <n v="0"/>
    <n v="0"/>
    <n v="0"/>
    <n v="0"/>
    <n v="0"/>
    <n v="0"/>
    <n v="0"/>
    <n v="0"/>
    <n v="0"/>
    <n v="0"/>
    <n v="0"/>
    <n v="0"/>
    <n v="0"/>
    <n v="0"/>
    <n v="0"/>
    <n v="0"/>
    <n v="0"/>
    <n v="0"/>
    <n v="0"/>
    <n v="0"/>
    <n v="0"/>
    <n v="0"/>
    <n v="0"/>
    <n v="0.66666666666666663"/>
    <n v="0.6777777777777777"/>
  </r>
  <r>
    <d v="2021-08-21T00:00:00"/>
    <s v="A"/>
    <x v="0"/>
    <s v="FO148"/>
    <s v="M2"/>
    <s v="L2"/>
    <s v="NIPPLE S TYPE LL SIZE INJECTION"/>
    <s v="HEH21Na"/>
    <s v="Nitin"/>
    <n v="3"/>
    <n v="3600"/>
    <n v="1200"/>
    <n v="1873"/>
    <n v="1750"/>
    <n v="0"/>
    <n v="70"/>
    <n v="0"/>
    <n v="0"/>
    <n v="45"/>
    <n v="8"/>
    <n v="1"/>
    <n v="1750"/>
    <n v="0.4861111111111111"/>
    <s v="FO148"/>
    <n v="6.8"/>
    <n v="12.7364"/>
    <n v="0.93432995194874524"/>
    <n v="2.5069637883008356E-2"/>
    <n v="3.6026762738033971E-2"/>
    <n v="0.97597437266417508"/>
    <n v="0"/>
    <n v="3"/>
    <n v="1"/>
    <n v="583.33333333333337"/>
    <n v="5.25"/>
    <n v="6.1714285714285717"/>
    <n v="0.85069444444444442"/>
    <n v="0.83025597674556562"/>
    <n v="2620"/>
    <s v="Machine stop due to mold unload (mould maintenance) ."/>
    <n v="0"/>
    <n v="0"/>
    <n v="0"/>
    <n v="0"/>
    <n v="0"/>
    <n v="0"/>
    <n v="0"/>
    <n v="0"/>
    <n v="0"/>
    <n v="0"/>
    <n v="0"/>
    <n v="0"/>
    <n v="0"/>
    <n v="0"/>
    <n v="0"/>
    <n v="0"/>
    <n v="0"/>
    <n v="0"/>
    <n v="0"/>
    <n v="0"/>
    <n v="0"/>
    <n v="0"/>
    <n v="0"/>
    <n v="0"/>
    <n v="0"/>
    <n v="0"/>
    <n v="0"/>
    <n v="0"/>
    <n v="0"/>
    <n v="0"/>
  </r>
  <r>
    <d v="2021-08-21T00:00:00"/>
    <s v="A"/>
    <x v="2"/>
    <s v="FO149"/>
    <m/>
    <s v="PC1"/>
    <s v="NIPPLE S TYPE LL SIZE POSTCURED"/>
    <s v="HEH20NcH21Pa"/>
    <s v="Nitin"/>
    <n v="2.5"/>
    <n v="3500"/>
    <n v="1400"/>
    <n v="3250"/>
    <n v="3250"/>
    <n v="0"/>
    <n v="0"/>
    <n v="0"/>
    <n v="0"/>
    <n v="0"/>
    <n v="0"/>
    <n v="1"/>
    <n v="3250"/>
    <n v="0.9285714285714286"/>
    <s v="FO149"/>
    <n v="0"/>
    <n v="0"/>
    <s v=" "/>
    <n v="0"/>
    <n v="0"/>
    <n v="1"/>
    <n v="0"/>
    <n v="2.5"/>
    <n v="1"/>
    <n v="1300"/>
    <n v="2.2999999999999998"/>
    <n v="2.7692307692307692"/>
    <n v="0.83055555555555549"/>
    <n v="0.83055555555555549"/>
    <s v="2682/2683"/>
    <m/>
    <n v="0"/>
    <n v="0"/>
    <n v="0"/>
    <n v="0"/>
    <n v="0"/>
    <n v="0"/>
    <n v="0"/>
    <n v="0"/>
    <n v="0"/>
    <n v="0"/>
    <n v="0"/>
    <n v="0"/>
    <n v="0"/>
    <n v="0"/>
    <n v="0"/>
    <n v="0"/>
    <n v="0"/>
    <n v="0"/>
    <n v="0"/>
    <n v="0"/>
    <n v="0"/>
    <n v="0"/>
    <n v="0"/>
    <n v="0"/>
    <n v="0"/>
    <n v="0"/>
    <n v="0"/>
    <n v="0"/>
    <n v="0"/>
    <n v="0"/>
  </r>
  <r>
    <d v="2021-08-21T00:00:00"/>
    <s v="A"/>
    <x v="3"/>
    <s v="FO150"/>
    <m/>
    <s v="P1"/>
    <s v="NIPPLE S TYPE LL SIZE PUNCHED"/>
    <s v="HEH18NcH19PbH21Pa"/>
    <s v="Nitin"/>
    <n v="6"/>
    <n v="5000"/>
    <n v="833.33333333333337"/>
    <n v="5600"/>
    <n v="5600"/>
    <n v="0"/>
    <n v="0"/>
    <n v="0"/>
    <n v="0"/>
    <n v="0"/>
    <n v="0"/>
    <n v="1"/>
    <n v="5600"/>
    <n v="1.1200000000000001"/>
    <s v="FO150"/>
    <n v="0"/>
    <n v="0"/>
    <s v=" "/>
    <n v="0"/>
    <n v="0"/>
    <n v="1"/>
    <n v="0.6777777777777777"/>
    <n v="5.322222222222222"/>
    <n v="0.88703703703703696"/>
    <n v="933.33333333333337"/>
    <n v="3.5"/>
    <n v="3.4214285714285713"/>
    <n v="1.0229645093945721"/>
    <n v="0.90740740740740733"/>
    <s v="2628/2629"/>
    <m/>
    <n v="40"/>
    <n v="0"/>
    <n v="0"/>
    <n v="0"/>
    <n v="0"/>
    <n v="0"/>
    <n v="0"/>
    <n v="0"/>
    <n v="0"/>
    <n v="0"/>
    <n v="0"/>
    <n v="0"/>
    <n v="0"/>
    <n v="0"/>
    <n v="0"/>
    <n v="0"/>
    <n v="0"/>
    <n v="0"/>
    <n v="0"/>
    <n v="0"/>
    <n v="0"/>
    <n v="0"/>
    <n v="0"/>
    <n v="0"/>
    <n v="0"/>
    <n v="0"/>
    <n v="0"/>
    <n v="0"/>
    <n v="0.66666666666666663"/>
    <n v="0.6777777777777777"/>
  </r>
  <r>
    <d v="2021-08-21T00:00:00"/>
    <s v="A"/>
    <x v="8"/>
    <s v="FO104"/>
    <m/>
    <m/>
    <s v="NIPPLE S TYPE S SIZE PUNCHED LASER MARKED"/>
    <s v="HEH18BG22"/>
    <s v="Nitin"/>
    <n v="5"/>
    <n v="5000"/>
    <n v="1000"/>
    <n v="4950"/>
    <n v="4950"/>
    <n v="0"/>
    <n v="0"/>
    <n v="0"/>
    <n v="0"/>
    <n v="0"/>
    <n v="0"/>
    <n v="1"/>
    <n v="4950"/>
    <n v="0.99"/>
    <s v="FO019"/>
    <n v="0"/>
    <n v="0"/>
    <s v=" "/>
    <n v="0"/>
    <n v="0"/>
    <n v="1"/>
    <n v="0"/>
    <n v="5"/>
    <n v="1"/>
    <n v="990"/>
    <n v="3.5"/>
    <n v="3.6363636363636362"/>
    <n v="0.96250000000000002"/>
    <n v="0.96250000000000002"/>
    <s v="2626/2627"/>
    <m/>
    <n v="0"/>
    <n v="0"/>
    <n v="0"/>
    <n v="0"/>
    <n v="0"/>
    <n v="0"/>
    <n v="0"/>
    <n v="0"/>
    <n v="0"/>
    <n v="0"/>
    <n v="0"/>
    <n v="0"/>
    <n v="0"/>
    <n v="0"/>
    <n v="0"/>
    <n v="0"/>
    <n v="0"/>
    <n v="0"/>
    <n v="0"/>
    <n v="0"/>
    <n v="0"/>
    <n v="0"/>
    <n v="0"/>
    <n v="0"/>
    <n v="0"/>
    <n v="0"/>
    <n v="0"/>
    <n v="0"/>
    <n v="0"/>
    <n v="0"/>
  </r>
  <r>
    <d v="2021-08-21T00:00:00"/>
    <s v="G"/>
    <x v="4"/>
    <s v="FO108"/>
    <m/>
    <m/>
    <s v="NIPPLE S TYPE S SIZE PUNCHED INSPECTED"/>
    <s v="HEH17NcH18PbH19Pb"/>
    <s v="Vivek"/>
    <n v="5"/>
    <n v="5000"/>
    <n v="1000"/>
    <n v="7224"/>
    <n v="7200"/>
    <n v="0"/>
    <n v="0"/>
    <n v="0"/>
    <n v="0"/>
    <n v="24"/>
    <n v="0"/>
    <n v="1"/>
    <n v="7200"/>
    <n v="1.44"/>
    <s v="FO104"/>
    <n v="0"/>
    <n v="0"/>
    <s v=" "/>
    <n v="3.3222591362126247E-3"/>
    <n v="0"/>
    <n v="0.99667774086378735"/>
    <n v="0"/>
    <n v="5"/>
    <n v="1"/>
    <n v="1440"/>
    <n v="4"/>
    <n v="2.5"/>
    <n v="1.6"/>
    <n v="1.5946843853820598"/>
    <s v="2634/2635"/>
    <m/>
    <n v="0"/>
    <n v="0"/>
    <n v="0"/>
    <n v="0"/>
    <n v="0"/>
    <n v="0"/>
    <n v="0"/>
    <n v="0"/>
    <n v="0"/>
    <n v="0"/>
    <n v="0"/>
    <n v="0"/>
    <n v="0"/>
    <n v="0"/>
    <n v="0"/>
    <n v="0"/>
    <n v="0"/>
    <n v="0"/>
    <n v="0"/>
    <n v="0"/>
    <n v="0"/>
    <n v="0"/>
    <n v="0"/>
    <n v="0"/>
    <n v="0"/>
    <n v="0"/>
    <n v="0"/>
    <n v="0"/>
    <n v="0"/>
    <n v="0"/>
  </r>
  <r>
    <d v="2021-08-21T00:00:00"/>
    <s v="G"/>
    <x v="7"/>
    <s v="FO030"/>
    <m/>
    <s v="WR1"/>
    <s v="NIPPLE S TYPE M SIZE WITH PRINTED WRAP"/>
    <s v="HEH02CG22"/>
    <s v="Vivek"/>
    <n v="5"/>
    <n v="6000"/>
    <n v="1200"/>
    <n v="8705"/>
    <n v="8701"/>
    <n v="0"/>
    <n v="0"/>
    <n v="0"/>
    <n v="0"/>
    <n v="4"/>
    <n v="0"/>
    <n v="1"/>
    <n v="8701"/>
    <n v="1.4501666666666666"/>
    <s v="FO020"/>
    <n v="0"/>
    <n v="0"/>
    <s v=" "/>
    <n v="4.5950603101665711E-4"/>
    <n v="0"/>
    <n v="0.99954049396898337"/>
    <n v="0"/>
    <n v="5"/>
    <n v="1"/>
    <n v="1740.2"/>
    <n v="2.5"/>
    <n v="2.0687277324445468"/>
    <n v="1.2084722222222222"/>
    <n v="1.207916921947795"/>
    <s v="2636/2637/2638/2639"/>
    <m/>
    <m/>
    <n v="0"/>
    <n v="0"/>
    <n v="0"/>
    <n v="0"/>
    <n v="0"/>
    <n v="0"/>
    <n v="0"/>
    <n v="0"/>
    <n v="0"/>
    <n v="0"/>
    <n v="0"/>
    <n v="0"/>
    <n v="0"/>
    <n v="0"/>
    <n v="0"/>
    <n v="0"/>
    <n v="0"/>
    <n v="0"/>
    <n v="0"/>
    <n v="0"/>
    <n v="0"/>
    <n v="0"/>
    <n v="0"/>
    <n v="0"/>
    <n v="0"/>
    <n v="0"/>
    <n v="0"/>
    <n v="0"/>
    <n v="0"/>
  </r>
  <r>
    <d v="2021-08-21T00:00:00"/>
    <s v="A"/>
    <x v="1"/>
    <s v="FO005"/>
    <s v="BM5"/>
    <s v="B2"/>
    <s v="RPP 240 ML BOTTLE MOLDED"/>
    <s v="EH21Ba2"/>
    <s v="Nitin"/>
    <n v="8"/>
    <n v="2574"/>
    <n v="321.75"/>
    <n v="2640"/>
    <n v="2520"/>
    <n v="0.2"/>
    <n v="80"/>
    <n v="0"/>
    <n v="0"/>
    <n v="40"/>
    <n v="0"/>
    <n v="1"/>
    <n v="2520"/>
    <n v="0.97902097902097907"/>
    <s v="HMC"/>
    <n v="32.1"/>
    <n v="84.944000000000017"/>
    <n v="0.95229798455452996"/>
    <n v="1.5625E-2"/>
    <n v="2.9411764705882353E-2"/>
    <n v="0.98484848484848486"/>
    <n v="0"/>
    <n v="8"/>
    <n v="1"/>
    <n v="315"/>
    <n v="9"/>
    <n v="11.428571428571429"/>
    <n v="0.78749999999999998"/>
    <n v="0.77556818181818177"/>
    <n v="2633"/>
    <m/>
    <m/>
    <n v="0"/>
    <n v="0"/>
    <n v="0"/>
    <n v="0"/>
    <n v="0"/>
    <n v="0"/>
    <n v="0"/>
    <n v="0"/>
    <n v="0"/>
    <n v="0"/>
    <n v="0"/>
    <n v="0"/>
    <n v="0"/>
    <n v="0"/>
    <n v="0"/>
    <n v="0"/>
    <n v="0"/>
    <n v="0"/>
    <n v="0"/>
    <n v="0"/>
    <n v="0"/>
    <n v="0"/>
    <n v="0"/>
    <n v="0"/>
    <n v="0"/>
    <n v="0"/>
    <n v="0"/>
    <n v="0"/>
    <n v="0"/>
  </r>
  <r>
    <d v="2021-08-21T00:00:00"/>
    <s v="G"/>
    <x v="6"/>
    <s v="FO010"/>
    <m/>
    <m/>
    <s v="RPP 240 ML BOTTLE PRINTED"/>
    <s v="EG23Ba2H21Pa"/>
    <s v="Pintu"/>
    <n v="2"/>
    <n v="1200"/>
    <n v="600"/>
    <n v="1257"/>
    <n v="1246"/>
    <n v="0"/>
    <n v="0"/>
    <n v="8"/>
    <n v="0"/>
    <n v="11"/>
    <n v="0"/>
    <n v="6"/>
    <n v="207.66666666666666"/>
    <n v="1.0383333333333333"/>
    <s v="FO005"/>
    <n v="0"/>
    <n v="0"/>
    <s v=" "/>
    <n v="8.7509944311853615E-3"/>
    <n v="0"/>
    <n v="0.99124900556881468"/>
    <n v="0.16944444444444443"/>
    <n v="1.8305555555555555"/>
    <n v="0.91527777777777775"/>
    <n v="623"/>
    <n v="32.4"/>
    <n v="31.73354735152488"/>
    <n v="1.0210015174506828"/>
    <n v="0.92632219570405727"/>
    <s v="2630"/>
    <m/>
    <n v="10"/>
    <n v="0"/>
    <n v="0"/>
    <n v="0"/>
    <n v="0"/>
    <n v="0"/>
    <n v="0"/>
    <n v="0"/>
    <n v="0"/>
    <n v="0"/>
    <n v="0"/>
    <n v="0"/>
    <n v="0"/>
    <n v="0"/>
    <n v="0"/>
    <n v="0"/>
    <n v="0"/>
    <n v="0"/>
    <n v="0"/>
    <n v="0"/>
    <n v="0"/>
    <n v="0"/>
    <n v="0"/>
    <n v="0"/>
    <n v="0"/>
    <n v="0"/>
    <n v="0"/>
    <n v="0"/>
    <n v="0.16666666666666666"/>
    <n v="0.16944444444444443"/>
  </r>
  <r>
    <d v="2021-08-21T00:00:00"/>
    <s v="G"/>
    <x v="6"/>
    <s v="FO116"/>
    <m/>
    <m/>
    <s v="RPP 120 ML RPP PRINTED ELEPHANT"/>
    <s v="EH02Ba1H21Pa"/>
    <s v="Pintu"/>
    <n v="2.5"/>
    <n v="1062"/>
    <n v="424.8"/>
    <n v="283"/>
    <n v="275"/>
    <n v="0"/>
    <n v="0"/>
    <n v="12"/>
    <n v="0"/>
    <n v="8"/>
    <n v="0"/>
    <n v="6"/>
    <n v="45.833333333333336"/>
    <n v="0.25894538606403011"/>
    <s v="FO004"/>
    <n v="0"/>
    <n v="0"/>
    <s v=" "/>
    <n v="2.8268551236749116E-2"/>
    <n v="0"/>
    <n v="0.9717314487632509"/>
    <n v="2.0333333333333332"/>
    <n v="0.46666666666666679"/>
    <n v="0.1866666666666667"/>
    <n v="110"/>
    <n v="32.4"/>
    <n v="36.654545454545463"/>
    <n v="0.88392857142857117"/>
    <n v="0.1603356890459364"/>
    <s v="PINPM/21-22/2663"/>
    <s v="Job Changeover in FO116 and Lunch Break"/>
    <n v="30"/>
    <n v="90"/>
    <n v="0"/>
    <n v="0"/>
    <n v="0"/>
    <n v="0"/>
    <n v="0"/>
    <n v="0"/>
    <n v="0"/>
    <n v="0"/>
    <n v="0"/>
    <n v="0"/>
    <n v="0"/>
    <n v="0"/>
    <n v="0"/>
    <n v="0"/>
    <n v="0"/>
    <n v="0"/>
    <n v="0"/>
    <n v="0"/>
    <n v="0"/>
    <n v="0"/>
    <n v="0"/>
    <n v="0"/>
    <n v="0"/>
    <n v="0"/>
    <n v="0"/>
    <n v="0"/>
    <n v="2"/>
    <n v="2.0333333333333332"/>
  </r>
  <r>
    <d v="2021-08-24T00:00:00"/>
    <s v="A"/>
    <x v="3"/>
    <s v="FO150"/>
    <m/>
    <m/>
    <s v="NIPPLE S TYPE LL SIZE PUNCHED"/>
    <s v="HEH19NaH19PbH24Pa"/>
    <s v="Saurav"/>
    <n v="8"/>
    <n v="7000"/>
    <n v="875"/>
    <n v="6500"/>
    <n v="6500"/>
    <n v="0"/>
    <n v="0"/>
    <n v="0"/>
    <n v="0"/>
    <n v="0"/>
    <n v="0"/>
    <n v="1"/>
    <n v="6500"/>
    <n v="0.9285714285714286"/>
    <s v="FO150"/>
    <n v="0"/>
    <n v="0"/>
    <s v=" "/>
    <n v="0"/>
    <n v="0"/>
    <n v="1"/>
    <n v="0.6777777777777777"/>
    <n v="7.322222222222222"/>
    <n v="0.91527777777777775"/>
    <n v="812.5"/>
    <n v="3.5"/>
    <n v="4.0553846153846154"/>
    <n v="0.86305007587253413"/>
    <n v="0.78993055555555547"/>
    <n v="2640"/>
    <s v=" Pin &amp; die cleaing"/>
    <n v="40"/>
    <n v="0"/>
    <n v="0"/>
    <n v="0"/>
    <n v="0"/>
    <n v="0"/>
    <n v="0"/>
    <n v="0"/>
    <n v="0"/>
    <n v="0"/>
    <n v="0"/>
    <n v="0"/>
    <n v="0"/>
    <n v="0"/>
    <n v="0"/>
    <n v="0"/>
    <n v="0"/>
    <n v="0"/>
    <n v="0"/>
    <n v="0"/>
    <n v="0"/>
    <n v="0"/>
    <n v="0"/>
    <n v="0"/>
    <n v="0"/>
    <n v="0"/>
    <n v="0"/>
    <n v="0"/>
    <n v="0.66666666666666663"/>
    <n v="0.6777777777777777"/>
  </r>
  <r>
    <d v="2021-08-24T00:00:00"/>
    <s v="A"/>
    <x v="8"/>
    <s v="FO151"/>
    <m/>
    <m/>
    <s v="NIPPLE S TYPE LL SIZE LASER MARKED"/>
    <s v="HEH18CG22"/>
    <s v="Saurav"/>
    <n v="8"/>
    <n v="7000"/>
    <n v="875"/>
    <n v="7100"/>
    <n v="7100"/>
    <n v="0"/>
    <n v="0"/>
    <n v="0"/>
    <n v="0"/>
    <n v="0"/>
    <n v="0"/>
    <n v="1"/>
    <n v="7100"/>
    <n v="1.0142857142857142"/>
    <s v="FO151"/>
    <n v="0"/>
    <n v="0"/>
    <s v=" "/>
    <n v="0"/>
    <n v="0"/>
    <n v="1"/>
    <n v="0.6777777777777777"/>
    <n v="7.322222222222222"/>
    <n v="0.91527777777777775"/>
    <n v="887.5"/>
    <n v="3.5"/>
    <n v="3.7126760563380281"/>
    <n v="0.94271623672230653"/>
    <n v="0.86284722222222221"/>
    <s v="2641/2642"/>
    <m/>
    <n v="40"/>
    <n v="0"/>
    <n v="0"/>
    <n v="0"/>
    <n v="0"/>
    <n v="0"/>
    <n v="0"/>
    <n v="0"/>
    <n v="0"/>
    <n v="0"/>
    <n v="0"/>
    <n v="0"/>
    <n v="0"/>
    <n v="0"/>
    <n v="0"/>
    <n v="0"/>
    <n v="0"/>
    <n v="0"/>
    <n v="0"/>
    <n v="0"/>
    <n v="0"/>
    <n v="0"/>
    <n v="0"/>
    <n v="0"/>
    <n v="0"/>
    <n v="0"/>
    <n v="0"/>
    <n v="0"/>
    <n v="0.66666666666666663"/>
    <n v="0.6777777777777777"/>
  </r>
  <r>
    <d v="2021-08-24T00:00:00"/>
    <s v="A"/>
    <x v="9"/>
    <s v="FO130"/>
    <m/>
    <m/>
    <s v="HOOD S TYPE MOLDED"/>
    <s v="EH24HA"/>
    <s v="Saurav"/>
    <n v="2"/>
    <n v="4137"/>
    <n v="2068.5"/>
    <n v="1795"/>
    <n v="1100"/>
    <n v="0"/>
    <n v="600"/>
    <n v="0"/>
    <n v="0"/>
    <n v="95"/>
    <n v="0"/>
    <n v="1"/>
    <n v="1100"/>
    <n v="0.26589315929417451"/>
    <s v="HMC"/>
    <n v="8.6"/>
    <n v="15.436999999999999"/>
    <n v="0.61281337047353768"/>
    <n v="7.9497907949790794E-2"/>
    <n v="0.25052192066805845"/>
    <n v="0.94707520891364905"/>
    <n v="0"/>
    <n v="2"/>
    <n v="1"/>
    <n v="550"/>
    <n v="6"/>
    <n v="6.5454545454545459"/>
    <n v="0.91666666666666663"/>
    <n v="0.86815227483751156"/>
    <n v="2643"/>
    <s v="Hood (FO130) production loss cavity no.02 sticking problem.mold unload due to under maintenance."/>
    <m/>
    <n v="0"/>
    <n v="0"/>
    <n v="0"/>
    <n v="0"/>
    <n v="0"/>
    <n v="0"/>
    <n v="0"/>
    <n v="0"/>
    <n v="0"/>
    <n v="0"/>
    <n v="0"/>
    <n v="0"/>
    <n v="0"/>
    <n v="0"/>
    <n v="0"/>
    <n v="0"/>
    <n v="0"/>
    <n v="0"/>
    <n v="0"/>
    <n v="0"/>
    <n v="0"/>
    <n v="0"/>
    <n v="0"/>
    <n v="0"/>
    <n v="0"/>
    <n v="0"/>
    <n v="0"/>
    <n v="0"/>
    <n v="0"/>
  </r>
  <r>
    <d v="2021-08-24T00:00:00"/>
    <s v="G"/>
    <x v="6"/>
    <s v="FO116"/>
    <m/>
    <s v="PR1"/>
    <s v="RPP 120 ML RPP PRINTED ELEPHANT"/>
    <s v="EH03Ba1H24Pa"/>
    <s v="Pintu"/>
    <n v="2"/>
    <n v="600"/>
    <n v="300"/>
    <n v="140"/>
    <n v="137"/>
    <n v="0"/>
    <n v="0"/>
    <n v="5"/>
    <n v="0"/>
    <n v="3"/>
    <n v="0"/>
    <n v="5"/>
    <n v="27.4"/>
    <n v="0.22833333333333333"/>
    <s v="FO004"/>
    <n v="0"/>
    <n v="0"/>
    <s v=" "/>
    <n v="2.1428571428571429E-2"/>
    <n v="0"/>
    <n v="0.97857142857142854"/>
    <n v="1.6944444444444444"/>
    <n v="0.30555555555555558"/>
    <n v="0.15277777777777779"/>
    <n v="68.5"/>
    <n v="32.4"/>
    <n v="40.145985401459853"/>
    <n v="0.80705454545454547"/>
    <n v="0.12065785714285715"/>
    <s v="PINPM/21-22/2664"/>
    <s v="Changeover FO116 TO FO094"/>
    <n v="20"/>
    <n v="80"/>
    <n v="0"/>
    <n v="0"/>
    <n v="0"/>
    <n v="0"/>
    <n v="0"/>
    <n v="0"/>
    <n v="0"/>
    <n v="0"/>
    <n v="0"/>
    <n v="0"/>
    <n v="0"/>
    <n v="0"/>
    <n v="0"/>
    <n v="0"/>
    <n v="0"/>
    <n v="0"/>
    <n v="0"/>
    <n v="0"/>
    <n v="0"/>
    <n v="0"/>
    <n v="0"/>
    <n v="0"/>
    <n v="0"/>
    <n v="0"/>
    <n v="0"/>
    <n v="0"/>
    <n v="1.6666666666666667"/>
    <n v="1.6944444444444444"/>
  </r>
  <r>
    <d v="2021-08-24T00:00:00"/>
    <s v="G"/>
    <x v="6"/>
    <s v="FO094"/>
    <m/>
    <s v="PR1"/>
    <s v="RPP 120ML BOY BLUE BOTLE PNTD WM3GB W/BIS LOGO"/>
    <s v="EF22Ba1H24Pa"/>
    <s v="Pintu"/>
    <n v="2"/>
    <n v="600"/>
    <n v="300"/>
    <n v="407"/>
    <n v="396"/>
    <n v="0"/>
    <n v="0"/>
    <n v="9"/>
    <n v="0"/>
    <n v="11"/>
    <n v="0"/>
    <n v="5"/>
    <n v="79.2"/>
    <n v="0.66"/>
    <s v="FO054"/>
    <n v="0"/>
    <n v="0"/>
    <s v=" "/>
    <n v="2.7027027027027029E-2"/>
    <n v="0"/>
    <n v="0.97297297297297303"/>
    <n v="1.1861111111111111"/>
    <n v="0.81388888888888888"/>
    <n v="0.40694444444444444"/>
    <n v="198"/>
    <n v="32.4"/>
    <n v="36.994949494949495"/>
    <n v="0.8757952218430034"/>
    <n v="0.3467675675675676"/>
    <s v="PINPM/21-22/2665"/>
    <s v="Changeover FO094 TO FO119"/>
    <n v="30"/>
    <n v="40"/>
    <n v="0"/>
    <n v="0"/>
    <n v="0"/>
    <n v="0"/>
    <n v="0"/>
    <n v="0"/>
    <n v="0"/>
    <n v="0"/>
    <n v="0"/>
    <n v="0"/>
    <n v="0"/>
    <n v="0"/>
    <n v="0"/>
    <n v="0"/>
    <n v="0"/>
    <n v="0"/>
    <n v="0"/>
    <n v="0"/>
    <n v="0"/>
    <n v="0"/>
    <n v="0"/>
    <n v="0"/>
    <n v="0"/>
    <n v="0"/>
    <n v="0"/>
    <n v="0"/>
    <n v="1.1666666666666667"/>
    <n v="1.1861111111111111"/>
  </r>
  <r>
    <d v="2021-08-24T00:00:00"/>
    <s v="G"/>
    <x v="6"/>
    <s v="FO119"/>
    <m/>
    <s v="PR1"/>
    <s v="RPP 240 ML RPP PRINTED BEE"/>
    <s v="EG23Ba2H24Pa"/>
    <s v="Pintu"/>
    <n v="2"/>
    <n v="600"/>
    <n v="300"/>
    <n v="1051"/>
    <n v="1038"/>
    <n v="0"/>
    <n v="0"/>
    <n v="6"/>
    <n v="0"/>
    <n v="13"/>
    <n v="0"/>
    <n v="5"/>
    <n v="207.6"/>
    <n v="1.73"/>
    <s v="FO005"/>
    <n v="0"/>
    <n v="0"/>
    <s v=" "/>
    <n v="1.2369172216936251E-2"/>
    <n v="0"/>
    <n v="0.98763082778306377"/>
    <n v="0"/>
    <n v="2"/>
    <n v="1"/>
    <n v="519"/>
    <n v="32.4"/>
    <n v="34.682080924855491"/>
    <n v="0.93419999999999992"/>
    <n v="0.92264471931493808"/>
    <s v="PINPM/21-22/2666"/>
    <s v="Changeover FO119 TO FO093"/>
    <n v="0"/>
    <n v="0"/>
    <n v="0"/>
    <n v="0"/>
    <n v="0"/>
    <n v="0"/>
    <n v="0"/>
    <n v="0"/>
    <n v="0"/>
    <n v="0"/>
    <n v="0"/>
    <n v="0"/>
    <n v="0"/>
    <n v="0"/>
    <n v="0"/>
    <n v="0"/>
    <n v="0"/>
    <n v="0"/>
    <n v="0"/>
    <n v="0"/>
    <n v="0"/>
    <n v="0"/>
    <n v="0"/>
    <n v="0"/>
    <n v="0"/>
    <n v="0"/>
    <n v="0"/>
    <n v="0"/>
    <n v="0"/>
    <n v="0"/>
  </r>
  <r>
    <d v="2021-08-24T00:00:00"/>
    <s v="G"/>
    <x v="6"/>
    <s v="FO093"/>
    <m/>
    <s v="PR1"/>
    <s v="RPP 240ML GRL PNK BOTLE PNTD WM3GB W/BIS LOGO"/>
    <s v="ED14Ba1H24Pa"/>
    <s v="Pintu"/>
    <n v="2"/>
    <n v="600"/>
    <n v="300"/>
    <n v="468"/>
    <n v="457"/>
    <n v="0"/>
    <n v="0"/>
    <n v="9"/>
    <n v="0"/>
    <n v="11"/>
    <n v="0"/>
    <n v="5"/>
    <n v="91.4"/>
    <n v="0.76166666666666671"/>
    <s v="FO057"/>
    <n v="0"/>
    <n v="0"/>
    <s v=" "/>
    <n v="2.3504273504273504E-2"/>
    <n v="0"/>
    <n v="0.97649572649572647"/>
    <n v="1.0166666666666666"/>
    <n v="0.98333333333333339"/>
    <n v="0.4916666666666667"/>
    <n v="228.5"/>
    <n v="32.4"/>
    <n v="38.730853391684903"/>
    <n v="0.83654237288135591"/>
    <n v="0.40163269230769233"/>
    <s v="PINPM/21-22/2667"/>
    <m/>
    <n v="0"/>
    <n v="60"/>
    <n v="0"/>
    <n v="0"/>
    <n v="0"/>
    <n v="0"/>
    <n v="0"/>
    <n v="0"/>
    <n v="0"/>
    <n v="0"/>
    <n v="0"/>
    <n v="0"/>
    <n v="0"/>
    <n v="0"/>
    <n v="0"/>
    <n v="0"/>
    <n v="0"/>
    <n v="0"/>
    <n v="0"/>
    <n v="0"/>
    <n v="0"/>
    <n v="0"/>
    <n v="0"/>
    <n v="0"/>
    <n v="0"/>
    <n v="0"/>
    <n v="0"/>
    <n v="0"/>
    <n v="1"/>
    <n v="1.0166666666666666"/>
  </r>
  <r>
    <d v="2021-08-24T00:00:00"/>
    <s v="G"/>
    <x v="4"/>
    <s v="FO108"/>
    <m/>
    <m/>
    <s v="NIPPLE S TYPE S SIZE PUNCHED INSPECTED"/>
    <s v="HEH18NaH18PcH20Pb"/>
    <s v="Vivek"/>
    <n v="4"/>
    <n v="7000"/>
    <n v="1750"/>
    <n v="7926"/>
    <n v="7905"/>
    <n v="0"/>
    <n v="0"/>
    <n v="0"/>
    <n v="0"/>
    <n v="21"/>
    <n v="0"/>
    <n v="2"/>
    <n v="3952.5"/>
    <n v="1.1292857142857142"/>
    <s v="FO104"/>
    <n v="0"/>
    <n v="0"/>
    <s v=" "/>
    <n v="2.6495079485238456E-3"/>
    <n v="0"/>
    <n v="0.99735049205147619"/>
    <n v="0"/>
    <n v="4"/>
    <n v="1"/>
    <n v="1976.25"/>
    <n v="4"/>
    <n v="3.6432637571157493"/>
    <n v="1.0979166666666667"/>
    <n v="1.0950077277315164"/>
    <s v="2645/2646"/>
    <s v="Plan completed"/>
    <n v="0"/>
    <n v="0"/>
    <n v="0"/>
    <n v="0"/>
    <n v="0"/>
    <n v="0"/>
    <n v="0"/>
    <n v="0"/>
    <n v="0"/>
    <n v="0"/>
    <n v="0"/>
    <n v="0"/>
    <n v="0"/>
    <n v="0"/>
    <n v="0"/>
    <n v="0"/>
    <n v="0"/>
    <n v="0"/>
    <n v="0"/>
    <n v="0"/>
    <n v="0"/>
    <n v="0"/>
    <n v="0"/>
    <n v="0"/>
    <n v="0"/>
    <n v="0"/>
    <n v="0"/>
    <n v="0"/>
    <n v="0"/>
    <n v="0"/>
  </r>
  <r>
    <d v="2021-08-24T00:00:00"/>
    <s v="G"/>
    <x v="4"/>
    <s v="FO152"/>
    <m/>
    <m/>
    <s v="NIPPLE S TYPE LL SIZE INSPECTED"/>
    <s v="HEH18NcH19PbH20Pb"/>
    <s v="Vivek"/>
    <n v="4"/>
    <n v="7072"/>
    <n v="1768"/>
    <n v="9100"/>
    <n v="9086"/>
    <n v="0"/>
    <n v="0"/>
    <n v="0"/>
    <n v="0"/>
    <n v="14"/>
    <n v="0"/>
    <n v="1"/>
    <n v="9086"/>
    <n v="1.2847850678733033"/>
    <s v="FO152"/>
    <n v="0"/>
    <n v="0"/>
    <s v=" "/>
    <n v="1.5384615384615385E-3"/>
    <n v="0"/>
    <n v="0.99823366136765079"/>
    <n v="0"/>
    <n v="4"/>
    <n v="1"/>
    <n v="2271.5"/>
    <n v="4"/>
    <n v="1.5848558221439577"/>
    <n v="2.5238888888888891"/>
    <n v="2.5194308464406876"/>
    <s v="2654/2655"/>
    <s v="Plan completed"/>
    <n v="0"/>
    <n v="0"/>
    <n v="0"/>
    <n v="0"/>
    <n v="0"/>
    <n v="0"/>
    <n v="0"/>
    <n v="0"/>
    <n v="0"/>
    <n v="0"/>
    <n v="0"/>
    <n v="0"/>
    <n v="0"/>
    <n v="0"/>
    <n v="0"/>
    <n v="0"/>
    <n v="0"/>
    <n v="0"/>
    <n v="0"/>
    <n v="0"/>
    <n v="0"/>
    <n v="0"/>
    <n v="0"/>
    <n v="0"/>
    <n v="0"/>
    <n v="0"/>
    <n v="0"/>
    <n v="0"/>
    <n v="0"/>
    <n v="0"/>
  </r>
  <r>
    <d v="2021-08-24T00:00:00"/>
    <s v="G"/>
    <x v="7"/>
    <s v="FO030"/>
    <m/>
    <s v="WR1"/>
    <s v="NIPPLE S TYPE M SIZE WITH PRINTED WRAP"/>
    <s v="HEH04AG22"/>
    <s v="Vivek"/>
    <n v="8"/>
    <n v="16132"/>
    <n v="2016.5"/>
    <n v="18065"/>
    <n v="18065"/>
    <n v="0"/>
    <n v="0"/>
    <n v="0"/>
    <n v="0"/>
    <n v="0"/>
    <n v="0"/>
    <n v="2"/>
    <n v="9032.5"/>
    <n v="1.1198239523927598"/>
    <s v="FO020"/>
    <n v="0"/>
    <n v="0"/>
    <s v=" "/>
    <n v="0"/>
    <n v="0"/>
    <n v="1"/>
    <n v="0"/>
    <n v="8"/>
    <n v="1"/>
    <n v="2258.125"/>
    <n v="2.5"/>
    <n v="3.1884860226958205"/>
    <n v="0.78407118055555558"/>
    <n v="0.78407118055555558"/>
    <s v="2647/2648/2649/2650/2651"/>
    <s v="Plan completed"/>
    <n v="0"/>
    <n v="0"/>
    <n v="0"/>
    <n v="0"/>
    <n v="0"/>
    <n v="0"/>
    <n v="0"/>
    <n v="0"/>
    <n v="0"/>
    <n v="0"/>
    <n v="0"/>
    <n v="0"/>
    <n v="0"/>
    <n v="0"/>
    <n v="0"/>
    <n v="0"/>
    <n v="0"/>
    <n v="0"/>
    <n v="0"/>
    <n v="0"/>
    <n v="0"/>
    <n v="0"/>
    <n v="0"/>
    <n v="0"/>
    <n v="0"/>
    <n v="0"/>
    <n v="0"/>
    <n v="0"/>
    <n v="0"/>
    <n v="0"/>
  </r>
  <r>
    <d v="2021-08-24T00:00:00"/>
    <s v="B"/>
    <x v="1"/>
    <s v="FO053"/>
    <s v="BM5"/>
    <s v="B2"/>
    <s v="RPP 240ML PINK BOTTLE MOLDED (WM3GB)"/>
    <s v="EH24Bb2"/>
    <s v="Nitin"/>
    <n v="8"/>
    <n v="1600"/>
    <n v="200"/>
    <n v="1648"/>
    <n v="1440"/>
    <n v="1.85"/>
    <n v="120"/>
    <n v="0"/>
    <n v="0"/>
    <n v="80"/>
    <n v="8"/>
    <n v="1"/>
    <n v="1440"/>
    <n v="0.9"/>
    <s v="WMG3B"/>
    <n v="33.130000000000003"/>
    <n v="56.448239999999998"/>
    <n v="0.84514946790192225"/>
    <n v="5.2631578947368418E-2"/>
    <n v="6.7873303167420809E-2"/>
    <n v="0.99557154719070029"/>
    <n v="3.8972222222222226"/>
    <n v="4.1027777777777779"/>
    <n v="0.51284722222222223"/>
    <n v="180"/>
    <n v="9"/>
    <n v="10.256944444444445"/>
    <n v="0.87745429925524709"/>
    <n v="0.44800719623581514"/>
    <n v="2644"/>
    <s v="Material change Export to Domestic and mold cleaning"/>
    <n v="0"/>
    <n v="120"/>
    <n v="0"/>
    <n v="0"/>
    <n v="0"/>
    <n v="0"/>
    <n v="60"/>
    <n v="0"/>
    <n v="0"/>
    <n v="0"/>
    <n v="20"/>
    <n v="0"/>
    <n v="30"/>
    <n v="0"/>
    <n v="0"/>
    <n v="0"/>
    <n v="0"/>
    <n v="0"/>
    <n v="0"/>
    <n v="0"/>
    <n v="0"/>
    <n v="0"/>
    <n v="0"/>
    <n v="0"/>
    <n v="0"/>
    <n v="0"/>
    <n v="0"/>
    <n v="0"/>
    <n v="3.8333333333333335"/>
    <n v="3.8972222222222226"/>
  </r>
  <r>
    <d v="2021-08-24T00:00:00"/>
    <s v="B"/>
    <x v="1"/>
    <s v="FO001"/>
    <s v="BM4"/>
    <s v="B1"/>
    <s v="KPP 120 ML BOTTLE MOLDED"/>
    <s v="EH24Bb1"/>
    <s v="Nitin"/>
    <n v="8"/>
    <n v="2574"/>
    <n v="321.75"/>
    <n v="2852"/>
    <n v="2520"/>
    <n v="0.84"/>
    <n v="220"/>
    <n v="0"/>
    <n v="0"/>
    <n v="84"/>
    <n v="28"/>
    <n v="1"/>
    <n v="2520"/>
    <n v="0.97902097902097907"/>
    <s v="HMC"/>
    <n v="21.3"/>
    <n v="61.587600000000002"/>
    <n v="0.87153907604777581"/>
    <n v="3.2258064516129031E-2"/>
    <n v="7.1614583333333329E-2"/>
    <n v="0.94902912621359226"/>
    <n v="0"/>
    <n v="8"/>
    <n v="1"/>
    <n v="315"/>
    <n v="9"/>
    <n v="11.428571428571429"/>
    <n v="0.78749999999999998"/>
    <n v="0.74736043689320386"/>
    <n v="2656"/>
    <s v="Set up and line rejection high in kpp4 due to reslove the thickness issue "/>
    <n v="0"/>
    <n v="0"/>
    <n v="0"/>
    <n v="0"/>
    <n v="0"/>
    <n v="0"/>
    <n v="0"/>
    <n v="0"/>
    <n v="0"/>
    <n v="0"/>
    <n v="0"/>
    <n v="0"/>
    <n v="0"/>
    <n v="0"/>
    <n v="0"/>
    <n v="0"/>
    <n v="0"/>
    <n v="0"/>
    <n v="0"/>
    <n v="0"/>
    <n v="0"/>
    <n v="0"/>
    <n v="0"/>
    <n v="0"/>
    <n v="0"/>
    <n v="0"/>
    <n v="0"/>
    <n v="0"/>
    <n v="0"/>
    <n v="0"/>
  </r>
  <r>
    <d v="2021-08-24T00:00:00"/>
    <s v="B"/>
    <x v="3"/>
    <s v="FO150"/>
    <m/>
    <s v="P1"/>
    <s v="NIPPLE S TYPE LL SIZE PUNCHED"/>
    <s v="HEH19NcH19Pc"/>
    <s v="Nitin"/>
    <n v="8"/>
    <n v="7036"/>
    <n v="879.5"/>
    <n v="6900"/>
    <n v="6900"/>
    <n v="0"/>
    <n v="0"/>
    <n v="0"/>
    <n v="0"/>
    <n v="0"/>
    <n v="0"/>
    <n v="1"/>
    <n v="6900"/>
    <n v="0.98067083570210345"/>
    <s v="FO150"/>
    <n v="0"/>
    <n v="0"/>
    <s v=" "/>
    <n v="0"/>
    <n v="0"/>
    <n v="1"/>
    <n v="0.6777777777777777"/>
    <n v="7.322222222222222"/>
    <n v="0.91527777777777775"/>
    <n v="862.5"/>
    <n v="3.5"/>
    <n v="3.8202898550724638"/>
    <n v="0.91616084977238244"/>
    <n v="0.83854166666666663"/>
    <n v="2652"/>
    <m/>
    <n v="40"/>
    <n v="0"/>
    <n v="0"/>
    <n v="0"/>
    <n v="0"/>
    <n v="0"/>
    <n v="0"/>
    <n v="0"/>
    <n v="0"/>
    <n v="0"/>
    <n v="0"/>
    <n v="0"/>
    <n v="0"/>
    <n v="0"/>
    <n v="0"/>
    <n v="0"/>
    <n v="0"/>
    <n v="0"/>
    <n v="0"/>
    <n v="0"/>
    <n v="0"/>
    <n v="0"/>
    <n v="0"/>
    <n v="0"/>
    <n v="0"/>
    <n v="0"/>
    <n v="0"/>
    <n v="0"/>
    <n v="0.66666666666666663"/>
    <n v="0.6777777777777777"/>
  </r>
  <r>
    <d v="2021-08-24T00:00:00"/>
    <s v="B"/>
    <x v="8"/>
    <s v="FO151"/>
    <m/>
    <s v="LZ1"/>
    <s v="NIPPLE S TYPE LL SIZE LASER MARKED"/>
    <s v="HEH19HAH19PbH24Pb"/>
    <s v="Nitin"/>
    <n v="8"/>
    <n v="7036"/>
    <n v="879.5"/>
    <n v="6000"/>
    <n v="6000"/>
    <n v="0"/>
    <n v="0"/>
    <n v="0"/>
    <n v="0"/>
    <n v="0"/>
    <n v="0"/>
    <n v="1"/>
    <n v="6000"/>
    <n v="0.85275724843661171"/>
    <s v="FO151"/>
    <n v="0"/>
    <n v="0"/>
    <s v=" "/>
    <n v="0"/>
    <n v="0"/>
    <n v="1"/>
    <n v="0.6777777777777777"/>
    <n v="7.322222222222222"/>
    <n v="0.91527777777777775"/>
    <n v="750"/>
    <n v="3.5"/>
    <n v="4.3933333333333335"/>
    <n v="0.79666160849772383"/>
    <n v="0.72916666666666663"/>
    <n v="2653"/>
    <m/>
    <n v="40"/>
    <n v="0"/>
    <n v="0"/>
    <n v="0"/>
    <n v="0"/>
    <n v="0"/>
    <n v="0"/>
    <n v="0"/>
    <n v="0"/>
    <n v="0"/>
    <n v="0"/>
    <n v="0"/>
    <n v="0"/>
    <n v="0"/>
    <n v="0"/>
    <n v="0"/>
    <n v="0"/>
    <n v="0"/>
    <n v="0"/>
    <n v="0"/>
    <n v="0"/>
    <n v="0"/>
    <n v="0"/>
    <n v="0"/>
    <n v="0"/>
    <n v="0"/>
    <n v="0"/>
    <n v="0"/>
    <n v="0.66666666666666663"/>
    <n v="0.6777777777777777"/>
  </r>
  <r>
    <d v="2021-08-24T00:00:00"/>
    <s v="C"/>
    <x v="1"/>
    <s v="FO001"/>
    <s v="BM4"/>
    <s v="B1"/>
    <s v="KPP 120 ML BOTTLE MOLDED"/>
    <s v="EH24Bc1"/>
    <m/>
    <n v="8"/>
    <n v="2574"/>
    <n v="321.75"/>
    <n v="3182"/>
    <n v="3060"/>
    <n v="0"/>
    <n v="57"/>
    <n v="0"/>
    <n v="0"/>
    <n v="65"/>
    <n v="0"/>
    <n v="1"/>
    <n v="3060"/>
    <n v="1.1888111888111887"/>
    <s v="HMC"/>
    <n v="21.3"/>
    <n v="67.776600000000002"/>
    <n v="0.9616593337523569"/>
    <n v="2.0799999999999999E-2"/>
    <n v="1.7598024081506639E-2"/>
    <n v="0.98916666666666664"/>
    <n v="0.33888888888888885"/>
    <n v="7.6611111111111114"/>
    <n v="0.95763888888888893"/>
    <n v="382.5"/>
    <n v="9"/>
    <n v="9.0130718954248366"/>
    <n v="0.99854967367657721"/>
    <n v="0.9458906250000001"/>
    <s v="2657"/>
    <m/>
    <n v="0"/>
    <n v="0"/>
    <n v="0"/>
    <n v="0"/>
    <n v="0"/>
    <n v="0"/>
    <n v="0"/>
    <n v="20"/>
    <n v="0"/>
    <n v="0"/>
    <n v="0"/>
    <n v="0"/>
    <n v="0"/>
    <n v="0"/>
    <n v="0"/>
    <n v="0"/>
    <n v="0"/>
    <n v="0"/>
    <n v="0"/>
    <n v="0"/>
    <n v="0"/>
    <n v="0"/>
    <n v="0"/>
    <n v="0"/>
    <n v="0"/>
    <n v="0"/>
    <n v="0"/>
    <n v="0"/>
    <n v="0.33333333333333331"/>
    <n v="0.33888888888888885"/>
  </r>
  <r>
    <d v="2021-08-24T00:00:00"/>
    <s v="C"/>
    <x v="9"/>
    <s v="FO130"/>
    <m/>
    <s v="INJ-1"/>
    <s v="HOOD S TYPE MOLDED"/>
    <s v="EH24Hc"/>
    <s v="Himanshu"/>
    <n v="8"/>
    <n v="4137"/>
    <n v="517.125"/>
    <n v="4116"/>
    <n v="4000"/>
    <n v="0.12"/>
    <n v="80"/>
    <n v="0"/>
    <n v="0"/>
    <n v="28"/>
    <n v="8"/>
    <n v="1"/>
    <n v="4000"/>
    <n v="0.96688421561518012"/>
    <s v="HMC"/>
    <n v="8.6"/>
    <n v="35.517599999999995"/>
    <n v="0.96853390994887056"/>
    <n v="6.9513406156901684E-3"/>
    <n v="1.9065776930409915E-2"/>
    <n v="0.99120050282840977"/>
    <n v="1.3047222222222221"/>
    <n v="6.6952777777777781"/>
    <n v="0.83690972222222226"/>
    <n v="500"/>
    <n v="6"/>
    <n v="6.0257500000000004"/>
    <n v="0.99572667302825368"/>
    <n v="0.82600041902367471"/>
    <s v="2658"/>
    <m/>
    <n v="0"/>
    <n v="0"/>
    <n v="0"/>
    <n v="0"/>
    <n v="0"/>
    <n v="0"/>
    <n v="0"/>
    <n v="32"/>
    <n v="0"/>
    <n v="0"/>
    <n v="0"/>
    <n v="0"/>
    <n v="45"/>
    <n v="0"/>
    <n v="0"/>
    <n v="0"/>
    <n v="0"/>
    <n v="0"/>
    <n v="0"/>
    <n v="0"/>
    <n v="0"/>
    <n v="0"/>
    <n v="0"/>
    <n v="0"/>
    <n v="0"/>
    <n v="0"/>
    <n v="0"/>
    <n v="0"/>
    <n v="1.2833333333333334"/>
    <n v="1.3047222222222221"/>
  </r>
  <r>
    <d v="2021-08-25T00:00:00"/>
    <s v="A"/>
    <x v="3"/>
    <s v="FO150"/>
    <m/>
    <m/>
    <s v="NIPPLE S TYPE LL SIZE PUNCHED"/>
    <s v="HEH20NaH20PbH25Pa"/>
    <s v="Saurav"/>
    <n v="8"/>
    <n v="7000"/>
    <n v="875"/>
    <n v="7300"/>
    <n v="7300"/>
    <n v="0"/>
    <n v="0"/>
    <n v="0"/>
    <n v="0"/>
    <n v="0"/>
    <n v="0"/>
    <n v="1"/>
    <n v="7300"/>
    <n v="1.0428571428571429"/>
    <s v="FO150"/>
    <n v="0"/>
    <n v="0"/>
    <s v=" "/>
    <n v="0"/>
    <n v="0"/>
    <n v="1"/>
    <n v="0.6777777777777777"/>
    <n v="7.322222222222222"/>
    <n v="0.91527777777777775"/>
    <n v="912.5"/>
    <n v="3.5"/>
    <n v="3.6109589041095891"/>
    <n v="0.96927162367223063"/>
    <n v="0.88715277777777768"/>
    <s v="2676/2677/2679"/>
    <m/>
    <n v="40"/>
    <n v="0"/>
    <n v="0"/>
    <n v="0"/>
    <n v="0"/>
    <n v="0"/>
    <n v="0"/>
    <n v="0"/>
    <n v="0"/>
    <n v="0"/>
    <n v="0"/>
    <n v="0"/>
    <n v="0"/>
    <n v="0"/>
    <n v="0"/>
    <n v="0"/>
    <n v="0"/>
    <n v="0"/>
    <n v="0"/>
    <n v="0"/>
    <n v="0"/>
    <n v="0"/>
    <n v="0"/>
    <n v="0"/>
    <n v="0"/>
    <n v="0"/>
    <n v="0"/>
    <n v="0"/>
    <n v="0.66666666666666663"/>
    <n v="0.6777777777777777"/>
  </r>
  <r>
    <d v="2021-08-25T00:00:00"/>
    <s v="A"/>
    <x v="8"/>
    <s v="FO151"/>
    <m/>
    <m/>
    <s v="NIPPLE S TYPE LL SIZE LASER MARKED"/>
    <s v="HEH19BG22"/>
    <s v="Saurav"/>
    <n v="8"/>
    <n v="7000"/>
    <n v="875"/>
    <n v="6900"/>
    <n v="6900"/>
    <n v="0"/>
    <n v="0"/>
    <n v="0"/>
    <n v="0"/>
    <n v="0"/>
    <n v="0"/>
    <n v="1"/>
    <n v="6900"/>
    <n v="0.98571428571428577"/>
    <s v="FO151"/>
    <n v="0"/>
    <n v="0"/>
    <s v=" "/>
    <n v="0"/>
    <n v="0"/>
    <n v="1"/>
    <n v="0.6777777777777777"/>
    <n v="7.322222222222222"/>
    <n v="0.91527777777777775"/>
    <n v="862.5"/>
    <n v="3.5"/>
    <n v="3.8202898550724638"/>
    <n v="0.91616084977238244"/>
    <n v="0.83854166666666663"/>
    <s v="2681/2684/2685"/>
    <m/>
    <n v="40"/>
    <n v="0"/>
    <n v="0"/>
    <n v="0"/>
    <n v="0"/>
    <n v="0"/>
    <n v="0"/>
    <n v="0"/>
    <n v="0"/>
    <n v="0"/>
    <n v="0"/>
    <n v="0"/>
    <n v="0"/>
    <n v="0"/>
    <n v="0"/>
    <n v="0"/>
    <n v="0"/>
    <n v="0"/>
    <n v="0"/>
    <n v="0"/>
    <n v="0"/>
    <n v="0"/>
    <n v="0"/>
    <n v="0"/>
    <n v="0"/>
    <n v="0"/>
    <n v="0"/>
    <n v="0"/>
    <n v="0.66666666666666663"/>
    <n v="0.6777777777777777"/>
  </r>
  <r>
    <d v="2021-08-25T00:00:00"/>
    <s v="A"/>
    <x v="9"/>
    <s v="FO130"/>
    <m/>
    <s v="INJ-1"/>
    <s v="HOOD S TYPE MOLDED"/>
    <s v="EH25Ha"/>
    <s v="Saurav"/>
    <n v="7"/>
    <n v="4137"/>
    <n v="591"/>
    <n v="4148"/>
    <n v="4000"/>
    <n v="0"/>
    <n v="100"/>
    <n v="0"/>
    <n v="0"/>
    <n v="40"/>
    <n v="8"/>
    <n v="1"/>
    <n v="4000"/>
    <n v="0.96688421561518012"/>
    <s v="HMC"/>
    <n v="8.6"/>
    <n v="35.672800000000002"/>
    <n v="0.96432015429122464"/>
    <n v="9.9009900990099011E-3"/>
    <n v="2.3540489642184557E-2"/>
    <n v="0.99420289855072463"/>
    <n v="0"/>
    <n v="7"/>
    <n v="1"/>
    <n v="571.42857142857144"/>
    <n v="6"/>
    <n v="6.3"/>
    <n v="0.95238095238095244"/>
    <n v="0.94685990338164261"/>
    <n v="2680"/>
    <m/>
    <n v="0"/>
    <n v="0"/>
    <n v="0"/>
    <n v="0"/>
    <n v="0"/>
    <n v="0"/>
    <n v="0"/>
    <n v="0"/>
    <n v="0"/>
    <n v="0"/>
    <n v="0"/>
    <n v="0"/>
    <n v="0"/>
    <n v="0"/>
    <n v="0"/>
    <n v="0"/>
    <n v="0"/>
    <n v="0"/>
    <n v="0"/>
    <n v="0"/>
    <n v="0"/>
    <n v="0"/>
    <n v="0"/>
    <n v="0"/>
    <n v="0"/>
    <n v="0"/>
    <n v="0"/>
    <n v="0"/>
    <n v="0"/>
    <n v="0"/>
  </r>
  <r>
    <d v="2021-08-25T00:00:00"/>
    <s v="G"/>
    <x v="4"/>
    <s v="FO152"/>
    <m/>
    <m/>
    <s v="NIPPLE S TYPE LL SIZE INSPECTED"/>
    <s v="HEH19BG22,HEH19CG22"/>
    <s v="Vivek"/>
    <n v="8.5"/>
    <n v="14072"/>
    <n v="1655.5294117647059"/>
    <n v="12900"/>
    <n v="12752"/>
    <n v="0"/>
    <n v="0"/>
    <n v="0"/>
    <n v="0"/>
    <n v="148"/>
    <n v="0"/>
    <n v="2"/>
    <n v="6376"/>
    <n v="0.90619670267197272"/>
    <s v="FO152"/>
    <n v="0"/>
    <n v="0"/>
    <s v=" "/>
    <n v="1.1472868217054264E-2"/>
    <n v="0"/>
    <n v="0.96432015429122464"/>
    <n v="0.84722222222222221"/>
    <n v="7.6527777777777777"/>
    <n v="0.90032679738562094"/>
    <n v="1500.2352941176471"/>
    <n v="4"/>
    <n v="4.3208908406524467"/>
    <n v="0.92573502722323053"/>
    <n v="0.80372618349815017"/>
    <s v="2697/2698/2699"/>
    <m/>
    <n v="50"/>
    <n v="0"/>
    <n v="0"/>
    <n v="0"/>
    <n v="0"/>
    <n v="0"/>
    <n v="0"/>
    <n v="0"/>
    <n v="0"/>
    <n v="0"/>
    <n v="0"/>
    <n v="0"/>
    <n v="0"/>
    <n v="0"/>
    <n v="0"/>
    <n v="0"/>
    <n v="0"/>
    <n v="0"/>
    <n v="0"/>
    <n v="0"/>
    <n v="0"/>
    <n v="0"/>
    <n v="0"/>
    <n v="0"/>
    <n v="0"/>
    <n v="0"/>
    <n v="0"/>
    <n v="0"/>
    <n v="0.83333333333333337"/>
    <n v="0.84722222222222221"/>
  </r>
  <r>
    <d v="2021-08-25T00:00:00"/>
    <s v="G"/>
    <x v="7"/>
    <s v="FO029"/>
    <m/>
    <m/>
    <s v="NIPPLE S TYPE S SIZE WITH PRINTED WRAP"/>
    <s v="HEH09AG22"/>
    <s v="Vivek"/>
    <n v="8.5"/>
    <n v="16132"/>
    <n v="1897.8823529411766"/>
    <n v="17547"/>
    <n v="17545"/>
    <n v="0"/>
    <n v="0"/>
    <n v="0"/>
    <n v="0"/>
    <n v="2"/>
    <n v="0"/>
    <n v="1"/>
    <n v="17545"/>
    <n v="1.087589883461443"/>
    <s v="FO108"/>
    <n v="0"/>
    <n v="0"/>
    <s v=" "/>
    <n v="1.1397959765202029E-4"/>
    <n v="0"/>
    <n v="0.99984496124031008"/>
    <n v="0"/>
    <n v="8.5"/>
    <n v="1"/>
    <n v="2064.1176470588234"/>
    <n v="2.5"/>
    <n v="1.744086634368766"/>
    <n v="1.4334150326797386"/>
    <n v="1.4331927977909511"/>
    <s v="2700/2701/2702/2703/2704"/>
    <m/>
    <m/>
    <n v="0"/>
    <n v="0"/>
    <n v="0"/>
    <n v="0"/>
    <n v="0"/>
    <n v="0"/>
    <n v="0"/>
    <n v="0"/>
    <n v="0"/>
    <n v="0"/>
    <n v="0"/>
    <n v="0"/>
    <n v="0"/>
    <n v="0"/>
    <n v="0"/>
    <n v="0"/>
    <n v="0"/>
    <n v="0"/>
    <n v="0"/>
    <n v="0"/>
    <n v="0"/>
    <n v="0"/>
    <n v="0"/>
    <n v="0"/>
    <n v="0"/>
    <n v="0"/>
    <n v="0"/>
    <n v="0"/>
    <n v="0"/>
  </r>
  <r>
    <d v="2021-08-25T00:00:00"/>
    <s v="G"/>
    <x v="6"/>
    <s v="FO101"/>
    <m/>
    <s v="PR1"/>
    <s v="RPP 240ML FLORAL PNK BOTLE PNTD WM3GB W/BIS LOGO"/>
    <s v="EH24Bb2H25Pa"/>
    <s v="Pintu"/>
    <n v="2"/>
    <n v="400"/>
    <n v="200"/>
    <n v="393"/>
    <n v="385"/>
    <n v="0"/>
    <n v="0"/>
    <n v="5"/>
    <n v="0"/>
    <n v="8"/>
    <n v="0"/>
    <n v="6"/>
    <n v="64.166666666666671"/>
    <n v="0.96250000000000002"/>
    <s v="FO053"/>
    <n v="0"/>
    <n v="0"/>
    <s v=" "/>
    <n v="2.0356234096692113E-2"/>
    <n v="0"/>
    <n v="0.9995440816093919"/>
    <n v="1.3555555555555554"/>
    <n v="0.6444444444444446"/>
    <n v="0.3222222222222223"/>
    <n v="192.5"/>
    <n v="32.4"/>
    <n v="36.155844155844164"/>
    <n v="0.89612068965517211"/>
    <n v="0.28861835356471188"/>
    <s v="PINPM/21-22/2717"/>
    <s v="Changeover FO093 TO FO101"/>
    <n v="30"/>
    <n v="50"/>
    <m/>
    <m/>
    <m/>
    <m/>
    <m/>
    <m/>
    <m/>
    <m/>
    <m/>
    <m/>
    <m/>
    <m/>
    <m/>
    <m/>
    <m/>
    <m/>
    <m/>
    <m/>
    <m/>
    <m/>
    <m/>
    <m/>
    <m/>
    <m/>
    <m/>
    <m/>
    <n v="1.3333333333333333"/>
    <n v="1.3555555555555554"/>
  </r>
  <r>
    <d v="2021-08-25T00:00:00"/>
    <s v="G"/>
    <x v="6"/>
    <s v="FO100"/>
    <m/>
    <s v="PR1"/>
    <s v="RPP 120ML FLORAL PNK BOTLE PNTD WM3GB W/BIS LOGO"/>
    <s v="EH21Bb1H25Pa"/>
    <s v="Pintu"/>
    <n v="4"/>
    <n v="1600"/>
    <n v="400"/>
    <n v="1624"/>
    <n v="1609"/>
    <n v="0"/>
    <n v="0"/>
    <n v="13"/>
    <n v="0"/>
    <n v="15"/>
    <n v="0"/>
    <n v="6"/>
    <n v="268.16666666666669"/>
    <n v="1.005625"/>
    <s v="FO052"/>
    <n v="0"/>
    <n v="0"/>
    <s v=" "/>
    <n v="9.2364532019704442E-3"/>
    <n v="0"/>
    <n v="0.96183206106870234"/>
    <n v="0.84722222222222221"/>
    <n v="3.1527777777777777"/>
    <n v="0.78819444444444442"/>
    <n v="402.25"/>
    <n v="32.4"/>
    <n v="42.324425108763201"/>
    <n v="0.76551541850220273"/>
    <n v="0.58034541984732824"/>
    <s v="PINPM/21-22/2718"/>
    <s v="Changeover FO101 TO FO100"/>
    <n v="10"/>
    <n v="40"/>
    <m/>
    <m/>
    <m/>
    <m/>
    <m/>
    <m/>
    <m/>
    <m/>
    <m/>
    <m/>
    <m/>
    <m/>
    <m/>
    <m/>
    <m/>
    <m/>
    <m/>
    <m/>
    <m/>
    <m/>
    <m/>
    <m/>
    <m/>
    <m/>
    <m/>
    <m/>
    <n v="0.83333333333333337"/>
    <n v="0.84722222222222221"/>
  </r>
  <r>
    <d v="2021-08-25T00:00:00"/>
    <s v="G"/>
    <x v="6"/>
    <s v="FO096"/>
    <m/>
    <s v="PR1"/>
    <s v="RPP 120ML ABSTRCT PNK BOTLE PNTD WM3GB W/BIS LOGO"/>
    <s v="EH21Bb1H25Pa"/>
    <s v="Pintu"/>
    <n v="2"/>
    <n v="800"/>
    <n v="400"/>
    <n v="652"/>
    <n v="642"/>
    <n v="0"/>
    <n v="0"/>
    <n v="8"/>
    <n v="0"/>
    <n v="10"/>
    <n v="0"/>
    <n v="6"/>
    <n v="107"/>
    <n v="0.80249999999999999"/>
    <s v="FO052"/>
    <n v="0"/>
    <n v="0"/>
    <s v=" "/>
    <n v="1.5337423312883436E-2"/>
    <n v="0"/>
    <n v="0.99384236453201968"/>
    <n v="0.84722222222222221"/>
    <n v="1.1527777777777777"/>
    <n v="0.57638888888888884"/>
    <n v="321"/>
    <n v="32.4"/>
    <n v="38.785046728971956"/>
    <n v="0.83537349397590377"/>
    <n v="0.47853509852216752"/>
    <s v="PINPM/21-22/2719,20"/>
    <s v="Changeover FO100 TO FO096"/>
    <n v="10"/>
    <n v="40"/>
    <m/>
    <m/>
    <m/>
    <m/>
    <m/>
    <m/>
    <m/>
    <m/>
    <m/>
    <m/>
    <m/>
    <m/>
    <m/>
    <m/>
    <m/>
    <m/>
    <m/>
    <m/>
    <m/>
    <m/>
    <m/>
    <m/>
    <m/>
    <m/>
    <m/>
    <m/>
    <n v="0.83333333333333337"/>
    <n v="0.84722222222222221"/>
  </r>
  <r>
    <d v="2021-08-25T00:00:00"/>
    <s v="B"/>
    <x v="8"/>
    <s v="FO151"/>
    <m/>
    <s v="LZ1"/>
    <s v="NIPPLE S TYPE LL SIZE LASER MARKED"/>
    <s v="HEH20AG22,HEH20BG22"/>
    <s v="Nitin"/>
    <n v="8"/>
    <n v="7036"/>
    <n v="879.5"/>
    <n v="6300"/>
    <n v="6300"/>
    <n v="0"/>
    <n v="0"/>
    <n v="0"/>
    <n v="0"/>
    <n v="0"/>
    <n v="0"/>
    <n v="1"/>
    <n v="6300"/>
    <n v="0.89539511085844226"/>
    <s v="FO151"/>
    <n v="0"/>
    <n v="0"/>
    <s v=" "/>
    <n v="0"/>
    <n v="0"/>
    <n v="1"/>
    <n v="0.6777777777777777"/>
    <n v="7.322222222222222"/>
    <n v="0.91527777777777775"/>
    <n v="787.5"/>
    <n v="3.5"/>
    <n v="4.1841269841269844"/>
    <n v="0.83649468892260992"/>
    <n v="0.76562499999999989"/>
    <s v="PINPM/21-22/2720"/>
    <m/>
    <n v="40"/>
    <n v="0"/>
    <n v="0"/>
    <n v="0"/>
    <n v="0"/>
    <n v="0"/>
    <n v="0"/>
    <n v="0"/>
    <n v="0"/>
    <n v="0"/>
    <n v="0"/>
    <n v="0"/>
    <n v="0"/>
    <n v="0"/>
    <n v="0"/>
    <n v="0"/>
    <n v="0"/>
    <n v="0"/>
    <n v="0"/>
    <n v="0"/>
    <n v="0"/>
    <n v="0"/>
    <n v="0"/>
    <n v="0"/>
    <n v="0"/>
    <n v="0"/>
    <n v="0"/>
    <n v="0"/>
    <n v="0.66666666666666663"/>
    <n v="0.6777777777777777"/>
  </r>
  <r>
    <d v="2021-08-25T00:00:00"/>
    <s v="B"/>
    <x v="3"/>
    <s v="FO150"/>
    <m/>
    <s v="P1"/>
    <s v="NIPPLE S TYPE LL SIZE PUNCHED"/>
    <s v="HEH20NcH20PcH25Pb"/>
    <s v="Nitin"/>
    <n v="5.5"/>
    <n v="5000"/>
    <n v="909.09090909090912"/>
    <n v="4250"/>
    <n v="4250"/>
    <n v="0"/>
    <n v="0"/>
    <n v="0"/>
    <n v="0"/>
    <n v="0"/>
    <n v="0"/>
    <n v="1"/>
    <n v="4250"/>
    <n v="0.85"/>
    <s v="FO150"/>
    <n v="0"/>
    <n v="0"/>
    <s v=" "/>
    <n v="0"/>
    <n v="0"/>
    <n v="1"/>
    <n v="0.93194444444444435"/>
    <n v="4.5680555555555555"/>
    <n v="0.8305555555555556"/>
    <n v="772.72727272727275"/>
    <n v="3.5"/>
    <n v="3.8694117647058826"/>
    <n v="0.90453025235633921"/>
    <n v="0.75126262626262619"/>
    <s v="2705/2706"/>
    <m/>
    <n v="40"/>
    <n v="15"/>
    <n v="0"/>
    <n v="0"/>
    <n v="0"/>
    <n v="0"/>
    <n v="0"/>
    <n v="0"/>
    <n v="0"/>
    <n v="0"/>
    <n v="0"/>
    <n v="0"/>
    <n v="0"/>
    <n v="0"/>
    <n v="0"/>
    <n v="0"/>
    <n v="0"/>
    <n v="0"/>
    <n v="0"/>
    <n v="0"/>
    <n v="0"/>
    <n v="0"/>
    <n v="0"/>
    <n v="0"/>
    <n v="0"/>
    <n v="0"/>
    <n v="0"/>
    <n v="0"/>
    <n v="0.91666666666666663"/>
    <n v="0.93194444444444435"/>
  </r>
  <r>
    <d v="2021-08-25T00:00:00"/>
    <s v="B"/>
    <x v="0"/>
    <s v="FO013"/>
    <s v="M2"/>
    <s v="L2"/>
    <s v="NIPPLE S TYPE L SIZE INJECTION"/>
    <s v="HEH25Nb"/>
    <s v="Nitin"/>
    <n v="8"/>
    <n v="4815"/>
    <n v="601.875"/>
    <n v="6048"/>
    <n v="5700"/>
    <n v="1.2"/>
    <n v="230"/>
    <n v="0"/>
    <n v="0"/>
    <n v="110"/>
    <n v="8"/>
    <n v="1"/>
    <n v="5700"/>
    <n v="1.1838006230529594"/>
    <s v="Silicon"/>
    <n v="6.8"/>
    <n v="42.3264"/>
    <n v="0.91574053073259243"/>
    <n v="1.8932874354561102E-2"/>
    <n v="3.6635871296591273E-2"/>
    <n v="0.97411764705882353"/>
    <n v="0"/>
    <n v="8"/>
    <n v="1"/>
    <n v="712.5"/>
    <n v="5.25"/>
    <n v="5.0526315789473681"/>
    <n v="1.0390625"/>
    <n v="1.0121691176470589"/>
    <n v="2709"/>
    <s v="Sku change LL Size to L size in shift A. and mold loaded after PM and mold Start up"/>
    <n v="0"/>
    <m/>
    <n v="0"/>
    <n v="0"/>
    <n v="0"/>
    <n v="0"/>
    <n v="0"/>
    <m/>
    <n v="0"/>
    <n v="0"/>
    <n v="0"/>
    <n v="0"/>
    <m/>
    <n v="0"/>
    <n v="0"/>
    <n v="0"/>
    <n v="0"/>
    <n v="0"/>
    <n v="0"/>
    <n v="0"/>
    <n v="0"/>
    <n v="0"/>
    <n v="0"/>
    <n v="0"/>
    <n v="0"/>
    <n v="0"/>
    <n v="0"/>
    <n v="0"/>
    <n v="0"/>
    <n v="0"/>
  </r>
  <r>
    <d v="2021-08-25T00:00:00"/>
    <s v="B"/>
    <x v="2"/>
    <s v="FO017"/>
    <m/>
    <s v="PC1"/>
    <s v="NIPPLE S TYPE L SIZE POSTCURED"/>
    <s v="HEH25NbH25Pb"/>
    <s v="Nitin"/>
    <n v="5"/>
    <n v="7036"/>
    <n v="1407.2"/>
    <n v="5000"/>
    <n v="5000"/>
    <n v="0"/>
    <n v="0"/>
    <n v="0"/>
    <n v="0"/>
    <n v="0"/>
    <n v="0"/>
    <n v="1"/>
    <n v="5000"/>
    <n v="0.71063104036384306"/>
    <s v="FO013"/>
    <n v="0"/>
    <n v="0"/>
    <s v=" "/>
    <n v="0"/>
    <n v="0"/>
    <n v="1"/>
    <n v="0.6777777777777777"/>
    <n v="4.322222222222222"/>
    <n v="0.86444444444444435"/>
    <n v="1000"/>
    <n v="2.2999999999999998"/>
    <n v="3.1119999999999997"/>
    <n v="0.73907455012853474"/>
    <n v="0.63888888888888884"/>
    <n v="2711"/>
    <m/>
    <n v="40"/>
    <n v="0"/>
    <n v="0"/>
    <n v="0"/>
    <n v="0"/>
    <n v="0"/>
    <n v="0"/>
    <n v="0"/>
    <n v="0"/>
    <n v="0"/>
    <n v="0"/>
    <n v="0"/>
    <n v="0"/>
    <n v="0"/>
    <n v="0"/>
    <n v="0"/>
    <n v="0"/>
    <n v="0"/>
    <n v="0"/>
    <n v="0"/>
    <n v="0"/>
    <n v="0"/>
    <n v="0"/>
    <n v="0"/>
    <n v="0"/>
    <n v="0"/>
    <n v="0"/>
    <n v="0"/>
    <n v="0.66666666666666663"/>
    <n v="0.6777777777777777"/>
  </r>
  <r>
    <d v="2021-08-25T00:00:00"/>
    <s v="B"/>
    <x v="3"/>
    <s v="FO021"/>
    <m/>
    <s v="P1"/>
    <s v="NIPPLE S TYPE L SIZE PUNCHED"/>
    <s v="HEH25NbH25PbH25Pb"/>
    <s v="Nitin"/>
    <n v="2.5"/>
    <n v="2036"/>
    <n v="814.4"/>
    <n v="2000"/>
    <n v="2000"/>
    <n v="0"/>
    <n v="0"/>
    <n v="0"/>
    <n v="0"/>
    <n v="0"/>
    <n v="0"/>
    <n v="1"/>
    <n v="2000"/>
    <n v="0.98231827111984282"/>
    <s v="FO017"/>
    <n v="0"/>
    <n v="0"/>
    <s v=" "/>
    <n v="0"/>
    <n v="0"/>
    <n v="1"/>
    <n v="0.33888888888888885"/>
    <n v="2.161111111111111"/>
    <n v="0.86444444444444435"/>
    <n v="800"/>
    <n v="3.5"/>
    <n v="3.8899999999999997"/>
    <n v="0.89974293059125976"/>
    <n v="0.77777777777777779"/>
    <n v="2713"/>
    <s v="SKU Change FO150 (LL SIZE) TO FO021 (L SIZE)"/>
    <n v="0"/>
    <n v="0"/>
    <n v="0"/>
    <n v="0"/>
    <n v="0"/>
    <n v="0"/>
    <n v="0"/>
    <n v="0"/>
    <n v="0"/>
    <n v="0"/>
    <n v="0"/>
    <n v="0"/>
    <n v="0"/>
    <n v="0"/>
    <n v="0"/>
    <n v="0"/>
    <n v="0"/>
    <n v="0"/>
    <n v="0"/>
    <n v="0"/>
    <n v="0"/>
    <n v="0"/>
    <n v="0"/>
    <n v="0"/>
    <n v="0"/>
    <n v="0"/>
    <n v="0"/>
    <n v="20"/>
    <n v="0.33333333333333331"/>
    <n v="0.33888888888888885"/>
  </r>
  <r>
    <d v="2021-08-25T00:00:00"/>
    <s v="B"/>
    <x v="1"/>
    <s v="FO001"/>
    <s v="BM4"/>
    <s v="B1"/>
    <s v="KPP 120 ML BOTTLE MOLDED"/>
    <s v="EH25Bb2"/>
    <s v="Nitin"/>
    <n v="10.5"/>
    <n v="2574"/>
    <n v="245.14285714285714"/>
    <n v="4718"/>
    <n v="4500"/>
    <n v="1.5"/>
    <n v="118"/>
    <n v="0"/>
    <n v="0"/>
    <n v="92"/>
    <n v="8"/>
    <n v="1"/>
    <n v="4500"/>
    <n v="1.7482517482517483"/>
    <s v="HMC"/>
    <n v="21.3"/>
    <n v="101.99339999999999"/>
    <n v="0.93976669078587438"/>
    <n v="2.0034843205574911E-2"/>
    <n v="2.4400330851943756E-2"/>
    <n v="0.95399999999999996"/>
    <n v="0"/>
    <n v="10.5"/>
    <n v="1"/>
    <n v="428.57142857142856"/>
    <n v="9"/>
    <n v="8.4"/>
    <n v="1.0714285714285714"/>
    <n v="1.022142857142857"/>
    <n v="2710"/>
    <s v="Kpp-4 thickness Major issue "/>
    <n v="0"/>
    <n v="0"/>
    <n v="0"/>
    <n v="0"/>
    <n v="0"/>
    <n v="0"/>
    <n v="0"/>
    <n v="0"/>
    <n v="0"/>
    <n v="0"/>
    <n v="0"/>
    <n v="0"/>
    <n v="0"/>
    <n v="0"/>
    <n v="0"/>
    <n v="0"/>
    <n v="0"/>
    <n v="0"/>
    <n v="0"/>
    <n v="0"/>
    <n v="0"/>
    <n v="0"/>
    <n v="0"/>
    <n v="0"/>
    <n v="0"/>
    <n v="0"/>
    <n v="0"/>
    <n v="0"/>
    <n v="0"/>
    <n v="0"/>
  </r>
  <r>
    <d v="2021-08-25T00:00:00"/>
    <s v="B"/>
    <x v="9"/>
    <s v="FO130"/>
    <m/>
    <s v="INJ-1"/>
    <s v="HOOD S TYPE MOLDED"/>
    <s v="EH25Hb"/>
    <s v="Nitin"/>
    <n v="8"/>
    <n v="4137"/>
    <n v="517.125"/>
    <n v="3615"/>
    <n v="3408"/>
    <n v="0"/>
    <n v="115"/>
    <n v="0"/>
    <n v="0"/>
    <n v="92"/>
    <n v="0"/>
    <n v="1"/>
    <n v="3408"/>
    <n v="0.82378535170413347"/>
    <s v="HMC"/>
    <n v="8.6"/>
    <n v="31.088999999999999"/>
    <n v="0.94273858921161835"/>
    <n v="2.6285714285714287E-2"/>
    <n v="3.0831099195710455E-2"/>
    <n v="0.98050021195421788"/>
    <n v="2.0333333333333332"/>
    <n v="5.9666666666666668"/>
    <n v="0.74583333333333335"/>
    <n v="426"/>
    <n v="6"/>
    <n v="6.302816901408451"/>
    <n v="0.95195530726256983"/>
    <n v="0.69615515048749466"/>
    <n v="2712"/>
    <s v="Hood (FO130) production loss cavity no.02 sticking problem."/>
    <n v="0"/>
    <n v="0"/>
    <n v="0"/>
    <n v="0"/>
    <n v="0"/>
    <n v="0"/>
    <n v="120"/>
    <n v="0"/>
    <n v="0"/>
    <n v="0"/>
    <n v="0"/>
    <n v="0"/>
    <n v="0"/>
    <n v="0"/>
    <n v="0"/>
    <n v="0"/>
    <n v="0"/>
    <n v="0"/>
    <n v="0"/>
    <n v="0"/>
    <n v="0"/>
    <n v="0"/>
    <n v="0"/>
    <n v="0"/>
    <n v="0"/>
    <n v="0"/>
    <n v="0"/>
    <n v="0"/>
    <n v="2"/>
    <n v="2.0333333333333332"/>
  </r>
  <r>
    <d v="2021-08-25T00:00:00"/>
    <s v="C"/>
    <x v="1"/>
    <s v="FO001"/>
    <s v="BM4"/>
    <s v="B1"/>
    <s v="KPP 120 ML BOTTLE MOLDED"/>
    <s v="EH25Bc1"/>
    <s v="Himanshu"/>
    <n v="8"/>
    <n v="2574"/>
    <n v="321.75"/>
    <n v="3382"/>
    <n v="3240"/>
    <n v="0"/>
    <n v="53"/>
    <n v="0"/>
    <n v="0"/>
    <n v="81"/>
    <n v="8"/>
    <n v="1"/>
    <n v="3240"/>
    <n v="1.2587412587412588"/>
    <s v="HMC"/>
    <n v="21.3"/>
    <n v="72.036599999999993"/>
    <n v="0.95801301005322304"/>
    <n v="2.4390243902439025E-2"/>
    <n v="1.5429403202328967E-2"/>
    <n v="0.97759336099585059"/>
    <n v="0"/>
    <n v="8"/>
    <n v="1"/>
    <n v="405"/>
    <n v="9"/>
    <n v="8.8888888888888893"/>
    <n v="1.0125"/>
    <n v="0.98981327800829866"/>
    <n v="2714"/>
    <m/>
    <n v="0"/>
    <n v="0"/>
    <n v="0"/>
    <n v="0"/>
    <n v="0"/>
    <n v="0"/>
    <n v="0"/>
    <n v="0"/>
    <n v="0"/>
    <n v="0"/>
    <n v="0"/>
    <n v="0"/>
    <n v="0"/>
    <n v="0"/>
    <n v="0"/>
    <n v="0"/>
    <n v="0"/>
    <n v="0"/>
    <n v="0"/>
    <n v="0"/>
    <n v="0"/>
    <n v="0"/>
    <n v="0"/>
    <n v="0"/>
    <n v="0"/>
    <n v="0"/>
    <n v="0"/>
    <n v="0"/>
    <n v="0"/>
    <n v="0"/>
  </r>
  <r>
    <d v="2021-08-25T00:00:00"/>
    <s v="C"/>
    <x v="0"/>
    <s v="FO013"/>
    <s v="M2"/>
    <s v="L2"/>
    <s v="NIPPLE S TYPE L SIZE INJECTION"/>
    <s v="HEH25Nc"/>
    <s v="Himanshu"/>
    <n v="8"/>
    <n v="4815"/>
    <n v="601.875"/>
    <n v="5010"/>
    <n v="4888"/>
    <n v="0"/>
    <n v="52"/>
    <n v="0"/>
    <n v="0"/>
    <n v="70"/>
    <n v="0"/>
    <n v="1"/>
    <n v="4888"/>
    <n v="1.0151609553478713"/>
    <s v="Silicon"/>
    <n v="6.8"/>
    <n v="34.067999999999998"/>
    <n v="0.9756487025948104"/>
    <n v="1.4118596208148447E-2"/>
    <n v="1.0272619517977083E-2"/>
    <n v="0.97930218805440572"/>
    <n v="0"/>
    <n v="8"/>
    <n v="1"/>
    <n v="611"/>
    <n v="5.25"/>
    <n v="5.8919803600654665"/>
    <n v="0.89104166666666662"/>
    <n v="0.87259905381431102"/>
    <s v="2715"/>
    <m/>
    <n v="0"/>
    <n v="0"/>
    <n v="0"/>
    <n v="0"/>
    <n v="0"/>
    <n v="0"/>
    <n v="0"/>
    <n v="0"/>
    <n v="0"/>
    <n v="0"/>
    <n v="0"/>
    <n v="0"/>
    <n v="0"/>
    <n v="0"/>
    <n v="0"/>
    <n v="0"/>
    <n v="0"/>
    <n v="0"/>
    <n v="0"/>
    <n v="0"/>
    <n v="0"/>
    <n v="0"/>
    <n v="0"/>
    <n v="0"/>
    <n v="0"/>
    <n v="0"/>
    <n v="0"/>
    <n v="0"/>
    <n v="0"/>
    <n v="0"/>
  </r>
  <r>
    <d v="2021-08-25T00:00:00"/>
    <s v="C"/>
    <x v="9"/>
    <s v="FO130"/>
    <m/>
    <s v="INJ-1"/>
    <s v="HOOD S TYPE MOLDED"/>
    <s v="EH25Hc"/>
    <s v="Himanshu"/>
    <n v="8"/>
    <n v="4137"/>
    <n v="517.125"/>
    <n v="5510"/>
    <n v="5500"/>
    <n v="0"/>
    <n v="0"/>
    <n v="0"/>
    <n v="0"/>
    <n v="2"/>
    <n v="8"/>
    <n v="1"/>
    <n v="5500"/>
    <n v="1.3294657964708727"/>
    <s v="HMC"/>
    <n v="8.6"/>
    <n v="47.386000000000003"/>
    <n v="0.998185117967332"/>
    <n v="3.6350418029807341E-4"/>
    <n v="0"/>
    <n v="0.9996007984031936"/>
    <n v="0"/>
    <n v="8"/>
    <n v="1"/>
    <n v="687.5"/>
    <n v="6"/>
    <n v="5.2363636363636363"/>
    <n v="1.1458333333333333"/>
    <n v="1.1453759148369926"/>
    <s v="2716"/>
    <m/>
    <n v="0"/>
    <n v="0"/>
    <n v="0"/>
    <n v="0"/>
    <n v="0"/>
    <n v="0"/>
    <n v="0"/>
    <n v="0"/>
    <n v="0"/>
    <n v="0"/>
    <n v="0"/>
    <n v="0"/>
    <n v="0"/>
    <n v="0"/>
    <n v="0"/>
    <n v="0"/>
    <n v="0"/>
    <n v="0"/>
    <n v="0"/>
    <n v="0"/>
    <n v="0"/>
    <n v="0"/>
    <n v="0"/>
    <n v="0"/>
    <n v="0"/>
    <n v="0"/>
    <n v="0"/>
    <n v="0"/>
    <n v="0"/>
    <n v="0"/>
  </r>
  <r>
    <d v="2021-08-26T00:00:00"/>
    <s v="A"/>
    <x v="0"/>
    <s v="FO013"/>
    <s v="M2"/>
    <s v="L2"/>
    <s v="NIPPLE S TYPE L SIZE INJECTION"/>
    <s v="HEH26Na"/>
    <s v="Saurav"/>
    <n v="8"/>
    <n v="4815"/>
    <n v="601.875"/>
    <n v="3358"/>
    <n v="3000"/>
    <n v="9.9499999999999993"/>
    <n v="280"/>
    <n v="0"/>
    <n v="0"/>
    <n v="70"/>
    <n v="8"/>
    <n v="1"/>
    <n v="3000"/>
    <n v="0.62305295950155759"/>
    <s v="Silicon"/>
    <n v="6.8"/>
    <n v="32.784399999999998"/>
    <n v="0.62224716633520816"/>
    <n v="2.2801302931596091E-2"/>
    <n v="7.6965365585486528E-2"/>
    <n v="0.98729582577132491"/>
    <n v="2.2027777777777775"/>
    <n v="5.7972222222222225"/>
    <n v="0.72465277777777781"/>
    <n v="375"/>
    <n v="5.25"/>
    <n v="6.956666666666667"/>
    <n v="0.75467177767129845"/>
    <n v="0.53992740471869327"/>
    <n v="2729"/>
    <s v="Silicon duram change loss time 40 min. "/>
    <n v="0"/>
    <n v="0"/>
    <n v="0"/>
    <n v="0"/>
    <n v="0"/>
    <n v="60"/>
    <n v="20"/>
    <n v="0"/>
    <n v="50"/>
    <n v="0"/>
    <n v="0"/>
    <n v="0"/>
    <n v="0"/>
    <n v="0"/>
    <n v="0"/>
    <n v="0"/>
    <n v="0"/>
    <n v="0"/>
    <n v="0"/>
    <n v="0"/>
    <n v="0"/>
    <n v="0"/>
    <n v="0"/>
    <n v="0"/>
    <n v="0"/>
    <n v="0"/>
    <n v="0"/>
    <n v="0"/>
    <n v="2.1666666666666665"/>
    <n v="2.2027777777777775"/>
  </r>
  <r>
    <d v="2021-08-26T00:00:00"/>
    <s v="A"/>
    <x v="9"/>
    <s v="FO130"/>
    <m/>
    <s v="INJ-1"/>
    <s v="HOOD S TYPE MOLDED"/>
    <s v="EH26Ha"/>
    <s v="Saurav"/>
    <n v="8"/>
    <n v="4137"/>
    <n v="517.125"/>
    <n v="5020"/>
    <n v="5000"/>
    <n v="0.2"/>
    <n v="0"/>
    <n v="0"/>
    <n v="0"/>
    <n v="12"/>
    <n v="8"/>
    <n v="1"/>
    <n v="5000"/>
    <n v="1.2086052695189751"/>
    <s v="HMC"/>
    <n v="8.6"/>
    <n v="43.372"/>
    <n v="0.99142303790463893"/>
    <n v="2.3942537909018356E-3"/>
    <n v="0"/>
    <n v="0.99642644431209049"/>
    <n v="0"/>
    <n v="8"/>
    <n v="1"/>
    <n v="625"/>
    <n v="6"/>
    <n v="5.76"/>
    <n v="1.0416666666666667"/>
    <n v="1.0379442128250944"/>
    <n v="2721"/>
    <m/>
    <n v="0"/>
    <n v="0"/>
    <n v="0"/>
    <n v="0"/>
    <n v="0"/>
    <n v="0"/>
    <n v="0"/>
    <n v="0"/>
    <n v="0"/>
    <n v="0"/>
    <n v="0"/>
    <n v="0"/>
    <n v="0"/>
    <n v="0"/>
    <n v="0"/>
    <n v="0"/>
    <n v="0"/>
    <n v="0"/>
    <n v="0"/>
    <n v="0"/>
    <n v="0"/>
    <n v="0"/>
    <n v="0"/>
    <n v="0"/>
    <n v="0"/>
    <n v="0"/>
    <n v="0"/>
    <n v="0"/>
    <n v="0"/>
    <n v="0"/>
  </r>
  <r>
    <d v="2021-08-26T00:00:00"/>
    <s v="A"/>
    <x v="8"/>
    <s v="FO151"/>
    <m/>
    <s v="LZ1"/>
    <s v="NIPPLE S TYPE LL SIZE LASER MARKED"/>
    <s v="HEH20CG22"/>
    <s v="Saurav"/>
    <n v="4.5"/>
    <n v="4000"/>
    <n v="888.88888888888891"/>
    <n v="4000"/>
    <n v="4000"/>
    <n v="0"/>
    <n v="0"/>
    <n v="0"/>
    <n v="0"/>
    <n v="0"/>
    <n v="0"/>
    <n v="1"/>
    <n v="4000"/>
    <n v="1"/>
    <s v="FO151"/>
    <n v="0"/>
    <n v="0"/>
    <s v=" "/>
    <n v="0"/>
    <n v="0"/>
    <n v="1"/>
    <n v="0.5083333333333333"/>
    <n v="3.9916666666666667"/>
    <n v="0.88703703703703707"/>
    <n v="888.88888888888891"/>
    <n v="3.5"/>
    <n v="3.5924999999999998"/>
    <n v="0.97425191370911624"/>
    <n v="0.86419753086419759"/>
    <n v="2724"/>
    <m/>
    <n v="30"/>
    <n v="0"/>
    <n v="0"/>
    <n v="0"/>
    <n v="0"/>
    <n v="0"/>
    <n v="0"/>
    <n v="0"/>
    <n v="0"/>
    <n v="0"/>
    <n v="0"/>
    <n v="0"/>
    <n v="0"/>
    <n v="0"/>
    <n v="0"/>
    <n v="0"/>
    <n v="0"/>
    <n v="0"/>
    <n v="0"/>
    <n v="0"/>
    <n v="0"/>
    <n v="0"/>
    <n v="0"/>
    <n v="0"/>
    <n v="0"/>
    <n v="0"/>
    <n v="0"/>
    <n v="0"/>
    <n v="0.5"/>
    <n v="0.5083333333333333"/>
  </r>
  <r>
    <d v="2021-08-26T00:00:00"/>
    <s v="A"/>
    <x v="8"/>
    <s v="FO106"/>
    <m/>
    <s v="LZ1"/>
    <s v="NIPPLE S TYPE L SIZE PUNCHED LASER MARKED"/>
    <s v="HEH25BG22"/>
    <s v="Saurav"/>
    <n v="3"/>
    <n v="3000"/>
    <n v="1000"/>
    <n v="3000"/>
    <n v="2982"/>
    <n v="0"/>
    <n v="0"/>
    <n v="0"/>
    <n v="0"/>
    <n v="18"/>
    <n v="0"/>
    <n v="1"/>
    <n v="2982"/>
    <n v="0.99399999999999999"/>
    <s v="FO021"/>
    <n v="0"/>
    <n v="0"/>
    <s v=" "/>
    <n v="6.0000000000000001E-3"/>
    <n v="0"/>
    <n v="0.99550000000000005"/>
    <n v="0"/>
    <n v="3"/>
    <n v="1"/>
    <n v="994"/>
    <n v="3.5"/>
    <n v="3.6217303822937628"/>
    <n v="0.96638888888888885"/>
    <n v="0.96204013888888895"/>
    <n v="2727"/>
    <m/>
    <n v="0"/>
    <n v="0"/>
    <n v="0"/>
    <n v="0"/>
    <n v="0"/>
    <n v="0"/>
    <n v="0"/>
    <n v="0"/>
    <n v="0"/>
    <n v="0"/>
    <n v="0"/>
    <n v="0"/>
    <n v="0"/>
    <n v="0"/>
    <n v="0"/>
    <n v="0"/>
    <n v="0"/>
    <n v="0"/>
    <n v="0"/>
    <n v="0"/>
    <n v="0"/>
    <n v="0"/>
    <n v="0"/>
    <n v="0"/>
    <n v="0"/>
    <n v="0"/>
    <n v="0"/>
    <n v="0"/>
    <n v="0"/>
    <n v="0"/>
  </r>
  <r>
    <d v="2021-08-26T00:00:00"/>
    <s v="A"/>
    <x v="2"/>
    <s v="FO017"/>
    <m/>
    <s v="PC1"/>
    <s v="NIPPLE S TYPE L SIZE POSTCURED"/>
    <s v="HEH25NbH26Pa"/>
    <s v="Saurav"/>
    <n v="5"/>
    <n v="7036"/>
    <n v="1407.2"/>
    <n v="5588"/>
    <n v="5588"/>
    <n v="0"/>
    <n v="0"/>
    <n v="0"/>
    <n v="0"/>
    <n v="0"/>
    <n v="0"/>
    <n v="1"/>
    <n v="5588"/>
    <n v="0.79420125071063108"/>
    <s v="FO013"/>
    <n v="0"/>
    <n v="0"/>
    <s v=" "/>
    <n v="0"/>
    <n v="0"/>
    <n v="1"/>
    <n v="0.6777777777777777"/>
    <n v="4.322222222222222"/>
    <n v="0.86444444444444435"/>
    <n v="1117.5999999999999"/>
    <n v="2.2999999999999998"/>
    <n v="2.7845382963493197"/>
    <n v="0.82598971722365044"/>
    <n v="0.71402222222222222"/>
    <s v="2722/2723/2728"/>
    <m/>
    <n v="40"/>
    <n v="0"/>
    <n v="0"/>
    <n v="0"/>
    <n v="0"/>
    <n v="0"/>
    <n v="0"/>
    <n v="0"/>
    <n v="0"/>
    <n v="0"/>
    <n v="0"/>
    <n v="0"/>
    <n v="0"/>
    <n v="0"/>
    <n v="0"/>
    <n v="0"/>
    <n v="0"/>
    <n v="0"/>
    <n v="0"/>
    <n v="0"/>
    <n v="0"/>
    <n v="0"/>
    <n v="0"/>
    <n v="0"/>
    <n v="0"/>
    <n v="0"/>
    <n v="0"/>
    <n v="0"/>
    <n v="0.66666666666666663"/>
    <n v="0.6777777777777777"/>
  </r>
  <r>
    <d v="2021-08-26T00:00:00"/>
    <s v="A"/>
    <x v="3"/>
    <s v="FO021"/>
    <m/>
    <s v="P1"/>
    <s v="NIPPLE S TYPE L SIZE PUNCHED"/>
    <s v="HEH25NbH26PaH26Pa"/>
    <s v="Saurav"/>
    <n v="8"/>
    <n v="7000"/>
    <n v="875"/>
    <n v="6000"/>
    <n v="6000"/>
    <n v="0"/>
    <n v="0"/>
    <n v="0"/>
    <n v="0"/>
    <n v="0"/>
    <n v="0"/>
    <n v="1"/>
    <n v="6000"/>
    <n v="0.8571428571428571"/>
    <s v="FO017"/>
    <n v="0"/>
    <n v="0"/>
    <s v=" "/>
    <n v="0"/>
    <n v="0"/>
    <n v="1"/>
    <n v="0.6777777777777777"/>
    <n v="7.322222222222222"/>
    <n v="0.91527777777777775"/>
    <n v="750"/>
    <n v="3.5"/>
    <n v="4.3933333333333335"/>
    <n v="0.79666160849772383"/>
    <n v="0.72916666666666663"/>
    <s v="2725/2726"/>
    <m/>
    <n v="40"/>
    <n v="0"/>
    <n v="0"/>
    <n v="0"/>
    <n v="0"/>
    <n v="0"/>
    <n v="0"/>
    <n v="0"/>
    <n v="0"/>
    <n v="0"/>
    <n v="0"/>
    <n v="0"/>
    <n v="0"/>
    <n v="0"/>
    <n v="0"/>
    <n v="0"/>
    <n v="0"/>
    <n v="0"/>
    <n v="0"/>
    <n v="0"/>
    <n v="0"/>
    <n v="0"/>
    <n v="0"/>
    <n v="0"/>
    <n v="0"/>
    <n v="0"/>
    <n v="0"/>
    <n v="0"/>
    <n v="0.66666666666666663"/>
    <n v="0.6777777777777777"/>
  </r>
  <r>
    <d v="2021-08-26T00:00:00"/>
    <s v="G"/>
    <x v="4"/>
    <s v="FO152"/>
    <m/>
    <m/>
    <s v="NIPPLE S TYPE LL SIZE INSPECTED"/>
    <s v="HEH20AG22,HEH20BG22"/>
    <s v="Vivek"/>
    <n v="5.5"/>
    <n v="10072"/>
    <n v="1831.2727272727273"/>
    <n v="8058"/>
    <n v="7978"/>
    <n v="0"/>
    <n v="0"/>
    <n v="0"/>
    <n v="0"/>
    <n v="80"/>
    <n v="0"/>
    <n v="2"/>
    <n v="3989"/>
    <n v="0.79209690230341545"/>
    <s v="FO152"/>
    <n v="0"/>
    <n v="0"/>
    <s v=" "/>
    <n v="9.928021841648052E-3"/>
    <n v="0"/>
    <n v="0.98666666666666669"/>
    <n v="0.5083333333333333"/>
    <n v="4.9916666666666671"/>
    <n v="0.9075757575757577"/>
    <n v="1450.5454545454545"/>
    <n v="4"/>
    <n v="4.5048884432188521"/>
    <n v="0.88792431830829155"/>
    <n v="0.79511380471380477"/>
    <s v="2754/2755/2756"/>
    <m/>
    <n v="30"/>
    <n v="0"/>
    <n v="0"/>
    <n v="0"/>
    <n v="0"/>
    <n v="0"/>
    <n v="0"/>
    <n v="0"/>
    <n v="0"/>
    <n v="0"/>
    <n v="0"/>
    <n v="0"/>
    <n v="0"/>
    <n v="0"/>
    <n v="0"/>
    <n v="0"/>
    <n v="0"/>
    <n v="0"/>
    <n v="0"/>
    <n v="0"/>
    <n v="0"/>
    <n v="0"/>
    <n v="0"/>
    <n v="0"/>
    <n v="0"/>
    <n v="0"/>
    <n v="0"/>
    <n v="0"/>
    <n v="0.5"/>
    <n v="0.5083333333333333"/>
  </r>
  <r>
    <d v="2021-08-26T00:00:00"/>
    <s v="G"/>
    <x v="4"/>
    <s v="FO110"/>
    <m/>
    <m/>
    <s v="NIPPLE S TYPE L SIZE PUNCHED INSPECTED"/>
    <s v="HEH25BG22"/>
    <s v="Vivek"/>
    <n v="3"/>
    <n v="4000"/>
    <n v="1333.3333333333333"/>
    <n v="3982"/>
    <n v="3942"/>
    <n v="0"/>
    <n v="0"/>
    <n v="0"/>
    <n v="0"/>
    <n v="40"/>
    <n v="0"/>
    <n v="2"/>
    <n v="1971"/>
    <n v="0.98550000000000004"/>
    <s v="FO106"/>
    <n v="0"/>
    <n v="0"/>
    <s v=" "/>
    <n v="1.0045203415369162E-2"/>
    <n v="0"/>
    <n v="0.99503598907917601"/>
    <n v="0.33888888888888885"/>
    <n v="2.661111111111111"/>
    <n v="0.88703703703703696"/>
    <n v="1314"/>
    <n v="4"/>
    <n v="4.8604769152714358"/>
    <n v="0.822964509394572"/>
    <n v="0.72637627202779842"/>
    <n v="2765"/>
    <m/>
    <n v="20"/>
    <n v="0"/>
    <n v="0"/>
    <n v="0"/>
    <n v="0"/>
    <n v="0"/>
    <n v="0"/>
    <n v="0"/>
    <n v="0"/>
    <n v="0"/>
    <n v="0"/>
    <n v="0"/>
    <n v="0"/>
    <n v="0"/>
    <n v="0"/>
    <n v="0"/>
    <n v="0"/>
    <n v="0"/>
    <n v="0"/>
    <n v="0"/>
    <n v="0"/>
    <n v="0"/>
    <n v="0"/>
    <n v="0"/>
    <n v="0"/>
    <n v="0"/>
    <n v="0"/>
    <n v="0"/>
    <n v="0.33333333333333331"/>
    <n v="0.33888888888888885"/>
  </r>
  <r>
    <d v="2021-08-26T00:00:00"/>
    <s v="G"/>
    <x v="7"/>
    <s v="FO030"/>
    <m/>
    <s v="WR1"/>
    <s v="NIPPLE S TYPE M SIZE WITH PRINTED WRAP"/>
    <s v="HEH05AG22"/>
    <s v="Vivek"/>
    <n v="8.5"/>
    <n v="16132"/>
    <n v="1897.8823529411766"/>
    <n v="17945"/>
    <n v="17935"/>
    <n v="0"/>
    <n v="0"/>
    <n v="0"/>
    <n v="0"/>
    <n v="10"/>
    <n v="0"/>
    <n v="2"/>
    <n v="8967.5"/>
    <n v="1.1117654351599306"/>
    <s v="FO020"/>
    <n v="0"/>
    <n v="0"/>
    <s v=" "/>
    <n v="5.5725828921705215E-4"/>
    <n v="0"/>
    <n v="0.99748869914615768"/>
    <n v="0.84722222222222221"/>
    <n v="7.6527777777777777"/>
    <n v="0.90032679738562094"/>
    <n v="2110"/>
    <n v="2.5"/>
    <n v="3.0722051853916921"/>
    <n v="0.81374773139745915"/>
    <n v="0.7307990122216641"/>
    <s v="2758/2759/2760/2761"/>
    <m/>
    <n v="50"/>
    <n v="0"/>
    <n v="0"/>
    <n v="0"/>
    <n v="0"/>
    <n v="0"/>
    <n v="0"/>
    <n v="0"/>
    <n v="0"/>
    <n v="0"/>
    <n v="0"/>
    <n v="0"/>
    <n v="0"/>
    <n v="0"/>
    <n v="0"/>
    <n v="0"/>
    <n v="0"/>
    <n v="0"/>
    <n v="0"/>
    <n v="0"/>
    <n v="0"/>
    <n v="0"/>
    <n v="0"/>
    <n v="0"/>
    <n v="0"/>
    <n v="0"/>
    <n v="0"/>
    <n v="0"/>
    <n v="0.83333333333333337"/>
    <n v="0.84722222222222221"/>
  </r>
  <r>
    <d v="2021-08-26T00:00:00"/>
    <s v="G"/>
    <x v="6"/>
    <s v="FO006"/>
    <m/>
    <s v="PR1"/>
    <s v="KPP 120 ML BOTTLE PRINTED"/>
    <s v="EH24Bb2H26Pa"/>
    <s v="Pintu"/>
    <n v="8.5"/>
    <n v="5100"/>
    <n v="600"/>
    <n v="6529"/>
    <n v="6480"/>
    <n v="0"/>
    <n v="0"/>
    <n v="0"/>
    <n v="0"/>
    <n v="49"/>
    <n v="0"/>
    <n v="6"/>
    <n v="1080"/>
    <n v="1.2705882352941176"/>
    <s v="FO001"/>
    <n v="0"/>
    <n v="0"/>
    <s v=" "/>
    <n v="7.5049777913922498E-3"/>
    <n v="0"/>
    <n v="0.99726943438283644"/>
    <n v="0.84722222222222221"/>
    <n v="7.6527777777777777"/>
    <n v="0.90032679738562094"/>
    <n v="762.35294117647061"/>
    <n v="32.4"/>
    <n v="25.50925925925926"/>
    <n v="1.2701270417422867"/>
    <n v="1.140406929670726"/>
    <s v="2751,52,53,74"/>
    <m/>
    <n v="50"/>
    <n v="0"/>
    <n v="0"/>
    <n v="0"/>
    <n v="0"/>
    <n v="0"/>
    <n v="0"/>
    <n v="0"/>
    <n v="0"/>
    <n v="0"/>
    <n v="0"/>
    <n v="0"/>
    <n v="0"/>
    <n v="0"/>
    <n v="0"/>
    <n v="0"/>
    <n v="0"/>
    <n v="0"/>
    <n v="0"/>
    <n v="0"/>
    <n v="0"/>
    <n v="0"/>
    <n v="0"/>
    <n v="0"/>
    <n v="0"/>
    <n v="0"/>
    <n v="0"/>
    <n v="0"/>
    <n v="0.83333333333333337"/>
    <n v="0.84722222222222221"/>
  </r>
  <r>
    <d v="2021-08-26T00:00:00"/>
    <s v="B"/>
    <x v="3"/>
    <s v="FO021"/>
    <m/>
    <s v="P1"/>
    <s v="NIPPLE S TYPE L SIZE PUNCHED"/>
    <s v="HEH25NcH26Pa"/>
    <s v="Nitin"/>
    <n v="1"/>
    <n v="1000"/>
    <n v="1000"/>
    <n v="1000"/>
    <n v="1000"/>
    <n v="0"/>
    <n v="0"/>
    <n v="0"/>
    <n v="0"/>
    <n v="0"/>
    <n v="0"/>
    <n v="1"/>
    <n v="1000"/>
    <n v="1"/>
    <s v="FO017"/>
    <n v="0"/>
    <n v="0"/>
    <s v=" "/>
    <n v="0"/>
    <n v="0"/>
    <n v="1"/>
    <n v="0"/>
    <n v="1"/>
    <n v="1"/>
    <n v="1000"/>
    <n v="3.5"/>
    <n v="3.6"/>
    <n v="0.97222222222222221"/>
    <n v="0.97222222222222221"/>
    <n v="2757"/>
    <s v="Punching machine stop due to MP absent."/>
    <n v="0"/>
    <n v="0"/>
    <n v="0"/>
    <n v="0"/>
    <n v="0"/>
    <n v="0"/>
    <n v="0"/>
    <n v="0"/>
    <n v="0"/>
    <n v="0"/>
    <n v="0"/>
    <n v="0"/>
    <n v="0"/>
    <n v="0"/>
    <n v="0"/>
    <n v="0"/>
    <n v="0"/>
    <n v="0"/>
    <n v="0"/>
    <n v="0"/>
    <n v="0"/>
    <n v="0"/>
    <n v="0"/>
    <n v="0"/>
    <n v="0"/>
    <n v="0"/>
    <n v="0"/>
    <n v="0"/>
    <n v="0"/>
    <n v="0"/>
  </r>
  <r>
    <d v="2021-08-26T00:00:00"/>
    <s v="B"/>
    <x v="8"/>
    <s v="FO106"/>
    <m/>
    <s v="LZ1"/>
    <s v="NIPPLE S TYPE L SIZE PUNCHED LASER MARKED"/>
    <s v="HEH25BG22"/>
    <s v="Nitin"/>
    <n v="6.5"/>
    <n v="7036"/>
    <n v="1082.4615384615386"/>
    <n v="6000"/>
    <n v="6000"/>
    <n v="0"/>
    <n v="0"/>
    <n v="0"/>
    <n v="0"/>
    <n v="0"/>
    <n v="0"/>
    <n v="1"/>
    <n v="6000"/>
    <n v="0.85275724843661171"/>
    <s v="FO021"/>
    <n v="0"/>
    <n v="0"/>
    <s v=" "/>
    <n v="0"/>
    <n v="0"/>
    <n v="1"/>
    <n v="0.84722222222222221"/>
    <n v="5.6527777777777777"/>
    <n v="0.86965811965811968"/>
    <n v="923.07692307692309"/>
    <n v="3.5"/>
    <n v="3.3916666666666666"/>
    <n v="1.031941031941032"/>
    <n v="0.89743589743589758"/>
    <s v="2762/2763/2764"/>
    <m/>
    <n v="30"/>
    <n v="0"/>
    <n v="0"/>
    <n v="0"/>
    <n v="20"/>
    <n v="0"/>
    <n v="0"/>
    <n v="0"/>
    <n v="0"/>
    <n v="0"/>
    <n v="0"/>
    <n v="0"/>
    <n v="0"/>
    <n v="0"/>
    <n v="0"/>
    <n v="0"/>
    <n v="0"/>
    <n v="0"/>
    <n v="0"/>
    <n v="0"/>
    <n v="0"/>
    <n v="0"/>
    <n v="0"/>
    <n v="0"/>
    <n v="0"/>
    <n v="0"/>
    <n v="0"/>
    <n v="0"/>
    <n v="0.83333333333333337"/>
    <n v="0.84722222222222221"/>
  </r>
  <r>
    <d v="2021-08-26T00:00:00"/>
    <s v="B"/>
    <x v="0"/>
    <s v="FO013"/>
    <s v="M2"/>
    <s v="L2"/>
    <s v="NIPPLE S TYPE L SIZE INJECTION"/>
    <s v="HEH26Nb"/>
    <s v="Nitin"/>
    <n v="8"/>
    <n v="4815"/>
    <n v="601.875"/>
    <n v="5090"/>
    <n v="5000"/>
    <n v="0"/>
    <n v="40"/>
    <n v="0"/>
    <n v="0"/>
    <n v="50"/>
    <n v="0"/>
    <n v="1"/>
    <n v="5000"/>
    <n v="1.0384215991692627"/>
    <s v="Silicon"/>
    <n v="6.8"/>
    <n v="34.611999999999995"/>
    <n v="0.98231827111984293"/>
    <n v="9.9009900990099011E-3"/>
    <n v="7.7972709551656916E-3"/>
    <n v="0.9916666666666667"/>
    <n v="0"/>
    <n v="8"/>
    <n v="1"/>
    <n v="625"/>
    <n v="5.25"/>
    <n v="5.76"/>
    <n v="0.91145833333333337"/>
    <n v="0.90386284722222232"/>
    <s v="2766/2671"/>
    <m/>
    <n v="0"/>
    <n v="0"/>
    <n v="0"/>
    <n v="0"/>
    <n v="0"/>
    <n v="0"/>
    <n v="0"/>
    <n v="0"/>
    <n v="0"/>
    <n v="0"/>
    <n v="0"/>
    <n v="0"/>
    <n v="0"/>
    <n v="0"/>
    <n v="0"/>
    <n v="0"/>
    <n v="0"/>
    <n v="0"/>
    <n v="0"/>
    <n v="0"/>
    <n v="0"/>
    <n v="0"/>
    <n v="0"/>
    <n v="0"/>
    <n v="0"/>
    <n v="0"/>
    <n v="0"/>
    <n v="0"/>
    <n v="0"/>
    <n v="0"/>
  </r>
  <r>
    <d v="2021-08-26T00:00:00"/>
    <s v="B"/>
    <x v="2"/>
    <s v="FO017"/>
    <m/>
    <s v="PC1"/>
    <s v="NIPPLE S TYPE L SIZE POSTCURED"/>
    <s v="HEH26NaH26Pb"/>
    <s v="Nitin"/>
    <n v="6"/>
    <n v="7036"/>
    <n v="1172.6666666666667"/>
    <n v="7000"/>
    <n v="7000"/>
    <n v="0"/>
    <n v="0"/>
    <n v="0"/>
    <n v="0"/>
    <n v="0"/>
    <n v="0"/>
    <n v="1"/>
    <n v="7000"/>
    <n v="0.99488345650938037"/>
    <s v="FO013"/>
    <n v="0"/>
    <n v="0"/>
    <s v=" "/>
    <n v="0"/>
    <n v="0"/>
    <n v="1"/>
    <n v="0.5083333333333333"/>
    <n v="5.4916666666666671"/>
    <n v="0.91527777777777786"/>
    <n v="1166.6666666666667"/>
    <n v="2.2999999999999998"/>
    <n v="2.8242857142857143"/>
    <n v="0.81436519979767319"/>
    <n v="0.74537037037037035"/>
    <s v="2767/2768"/>
    <m/>
    <n v="30"/>
    <n v="0"/>
    <n v="0"/>
    <n v="0"/>
    <n v="0"/>
    <n v="0"/>
    <n v="0"/>
    <n v="0"/>
    <n v="0"/>
    <n v="0"/>
    <n v="0"/>
    <n v="0"/>
    <n v="0"/>
    <n v="0"/>
    <n v="0"/>
    <n v="0"/>
    <n v="0"/>
    <n v="0"/>
    <n v="0"/>
    <n v="0"/>
    <n v="0"/>
    <n v="0"/>
    <n v="0"/>
    <n v="0"/>
    <n v="0"/>
    <n v="0"/>
    <n v="0"/>
    <n v="0"/>
    <n v="0.5"/>
    <n v="0.5083333333333333"/>
  </r>
  <r>
    <d v="2021-08-26T00:00:00"/>
    <s v="B"/>
    <x v="1"/>
    <s v="FO001"/>
    <s v="BM4"/>
    <s v="B1"/>
    <s v="KPP 120 ML BOTTLE MOLDED"/>
    <s v="EH26Bb1"/>
    <s v="Nitin"/>
    <n v="8"/>
    <n v="2574"/>
    <n v="321.75"/>
    <n v="3271"/>
    <n v="3060"/>
    <n v="0"/>
    <n v="90"/>
    <n v="0"/>
    <n v="0"/>
    <n v="88"/>
    <n v="33"/>
    <n v="1"/>
    <n v="3060"/>
    <n v="1.1888111888111887"/>
    <s v="HMC"/>
    <n v="21.3"/>
    <n v="69.672299999999993"/>
    <n v="0.93549373280342407"/>
    <n v="2.795425667090216E-2"/>
    <n v="2.6777744718833679E-2"/>
    <n v="0.98742857142857143"/>
    <n v="0"/>
    <n v="8"/>
    <n v="1"/>
    <n v="382.5"/>
    <n v="9"/>
    <n v="9.4117647058823533"/>
    <n v="0.95624999999999993"/>
    <n v="0.94422857142857142"/>
    <n v="2770"/>
    <m/>
    <n v="0"/>
    <n v="0"/>
    <n v="0"/>
    <n v="0"/>
    <n v="0"/>
    <n v="0"/>
    <n v="0"/>
    <n v="0"/>
    <n v="0"/>
    <n v="0"/>
    <n v="0"/>
    <n v="0"/>
    <n v="0"/>
    <n v="0"/>
    <n v="0"/>
    <n v="0"/>
    <n v="0"/>
    <n v="0"/>
    <n v="0"/>
    <n v="0"/>
    <n v="0"/>
    <n v="0"/>
    <n v="0"/>
    <n v="0"/>
    <n v="0"/>
    <n v="0"/>
    <n v="0"/>
    <n v="0"/>
    <n v="0"/>
    <n v="0"/>
  </r>
  <r>
    <d v="2021-08-26T00:00:00"/>
    <s v="B"/>
    <x v="9"/>
    <s v="FO130"/>
    <m/>
    <s v="INJ-1"/>
    <s v="HOOD S TYPE MOLDED"/>
    <s v="EH26Hb"/>
    <s v="Nitin"/>
    <n v="8"/>
    <n v="4137"/>
    <n v="517.125"/>
    <n v="5520"/>
    <n v="5500"/>
    <n v="0"/>
    <n v="0"/>
    <n v="0"/>
    <n v="0"/>
    <n v="20"/>
    <n v="0"/>
    <n v="1"/>
    <n v="5500"/>
    <n v="1.3294657964708727"/>
    <s v="HMC"/>
    <n v="8.6"/>
    <n v="47.472000000000001"/>
    <n v="0.99637681159420277"/>
    <n v="3.6231884057971015E-3"/>
    <n v="0"/>
    <n v="0.99388566187710181"/>
    <n v="0"/>
    <n v="8"/>
    <n v="1"/>
    <n v="687.5"/>
    <n v="6"/>
    <n v="5.2363636363636363"/>
    <n v="1.1458333333333333"/>
    <n v="1.1388273209008457"/>
    <n v="2769"/>
    <m/>
    <n v="0"/>
    <n v="0"/>
    <n v="0"/>
    <n v="0"/>
    <n v="0"/>
    <n v="0"/>
    <n v="0"/>
    <n v="0"/>
    <n v="0"/>
    <n v="0"/>
    <n v="0"/>
    <n v="0"/>
    <n v="0"/>
    <n v="0"/>
    <n v="0"/>
    <n v="0"/>
    <n v="0"/>
    <n v="0"/>
    <n v="0"/>
    <n v="0"/>
    <n v="0"/>
    <n v="0"/>
    <n v="0"/>
    <n v="0"/>
    <n v="0"/>
    <n v="0"/>
    <n v="0"/>
    <n v="0"/>
    <n v="0"/>
    <n v="0"/>
  </r>
  <r>
    <d v="2021-08-26T00:00:00"/>
    <s v="C"/>
    <x v="1"/>
    <s v="FO001"/>
    <s v="BM4"/>
    <s v="B1"/>
    <s v="KPP 120 ML BOTTLE MOLDED"/>
    <s v="EH26Bc1"/>
    <s v="Himanshu"/>
    <n v="8"/>
    <n v="2574"/>
    <n v="321.75"/>
    <n v="3390"/>
    <n v="3210"/>
    <n v="0"/>
    <n v="80"/>
    <n v="0"/>
    <n v="0"/>
    <n v="70"/>
    <n v="30"/>
    <n v="1"/>
    <n v="3210"/>
    <n v="1.2470862470862472"/>
    <s v="HMC"/>
    <n v="21.3"/>
    <n v="72.206999999999994"/>
    <n v="0.94690265486725678"/>
    <n v="2.1341463414634148E-2"/>
    <n v="2.3054755043227664E-2"/>
    <n v="0.9873188405797102"/>
    <n v="0"/>
    <n v="8"/>
    <n v="1"/>
    <n v="401.25"/>
    <n v="9"/>
    <n v="8.9719626168224291"/>
    <n v="1.003125"/>
    <n v="0.99040421195652184"/>
    <n v="2804"/>
    <m/>
    <n v="0"/>
    <n v="0"/>
    <n v="0"/>
    <n v="0"/>
    <n v="0"/>
    <n v="0"/>
    <n v="0"/>
    <n v="0"/>
    <n v="0"/>
    <n v="0"/>
    <n v="0"/>
    <n v="0"/>
    <n v="0"/>
    <n v="0"/>
    <n v="0"/>
    <n v="0"/>
    <n v="0"/>
    <n v="0"/>
    <n v="0"/>
    <n v="0"/>
    <n v="0"/>
    <n v="0"/>
    <n v="0"/>
    <n v="0"/>
    <n v="0"/>
    <n v="0"/>
    <n v="0"/>
    <n v="0"/>
    <n v="0"/>
    <n v="0"/>
  </r>
  <r>
    <d v="2021-08-26T00:00:00"/>
    <s v="C"/>
    <x v="0"/>
    <s v="FO013"/>
    <s v="M2"/>
    <s v="L2"/>
    <s v="NIPPLE S TYPE L SIZE INJECTION"/>
    <s v="HEH26Nc"/>
    <s v="Himanshu"/>
    <n v="8"/>
    <n v="4815"/>
    <n v="601.875"/>
    <n v="5411"/>
    <n v="5300"/>
    <n v="0"/>
    <n v="43"/>
    <n v="0"/>
    <n v="0"/>
    <n v="60"/>
    <n v="8"/>
    <n v="1"/>
    <n v="5300"/>
    <n v="1.1007268951194185"/>
    <s v="Silicon"/>
    <n v="6.8"/>
    <n v="36.794799999999995"/>
    <n v="0.97948623175013871"/>
    <n v="1.1194029850746268E-2"/>
    <n v="7.8841217455078837E-3"/>
    <n v="0.98230088495575218"/>
    <n v="0"/>
    <n v="8"/>
    <n v="1"/>
    <n v="662.5"/>
    <n v="5.25"/>
    <n v="5.4339622641509431"/>
    <n v="0.96614583333333337"/>
    <n v="0.94904590707964598"/>
    <s v="2772"/>
    <m/>
    <n v="0"/>
    <n v="0"/>
    <n v="0"/>
    <n v="0"/>
    <n v="0"/>
    <n v="0"/>
    <n v="0"/>
    <n v="0"/>
    <n v="0"/>
    <n v="0"/>
    <n v="0"/>
    <n v="0"/>
    <n v="0"/>
    <n v="0"/>
    <n v="0"/>
    <n v="0"/>
    <n v="0"/>
    <n v="0"/>
    <n v="0"/>
    <n v="0"/>
    <n v="0"/>
    <n v="0"/>
    <n v="0"/>
    <n v="0"/>
    <n v="0"/>
    <n v="0"/>
    <n v="0"/>
    <n v="0"/>
    <n v="0"/>
    <n v="0"/>
  </r>
  <r>
    <d v="2021-08-26T00:00:00"/>
    <s v="C"/>
    <x v="9"/>
    <s v="FO130"/>
    <m/>
    <s v="INJ-1"/>
    <s v="HOOD S TYPE MOLDED"/>
    <s v="EH26Hc"/>
    <s v="Himanshu"/>
    <n v="8"/>
    <n v="4137"/>
    <n v="517.125"/>
    <n v="5012"/>
    <n v="5000"/>
    <n v="0"/>
    <n v="0"/>
    <n v="0"/>
    <n v="0"/>
    <n v="4"/>
    <n v="8"/>
    <n v="1"/>
    <n v="5000"/>
    <n v="1.2086052695189751"/>
    <s v="HMC"/>
    <n v="8.6"/>
    <n v="43.103200000000001"/>
    <n v="0.99760574620909814"/>
    <n v="7.993605115907274E-4"/>
    <n v="0"/>
    <n v="0.99926076510811312"/>
    <n v="0"/>
    <n v="8"/>
    <n v="1"/>
    <n v="625"/>
    <n v="6"/>
    <n v="5.76"/>
    <n v="1.0416666666666667"/>
    <n v="1.0408966303209513"/>
    <s v="2773"/>
    <m/>
    <n v="0"/>
    <n v="0"/>
    <n v="0"/>
    <n v="0"/>
    <n v="0"/>
    <n v="0"/>
    <n v="0"/>
    <n v="0"/>
    <n v="0"/>
    <n v="0"/>
    <n v="0"/>
    <n v="0"/>
    <n v="0"/>
    <n v="0"/>
    <n v="0"/>
    <n v="0"/>
    <n v="0"/>
    <n v="0"/>
    <n v="0"/>
    <n v="0"/>
    <n v="0"/>
    <n v="0"/>
    <n v="0"/>
    <n v="0"/>
    <n v="0"/>
    <n v="0"/>
    <n v="0"/>
    <n v="0"/>
    <n v="0"/>
    <n v="0"/>
  </r>
  <r>
    <d v="2021-08-27T00:00:00"/>
    <s v="A"/>
    <x v="2"/>
    <s v="FO017"/>
    <m/>
    <s v="PC1"/>
    <s v="NIPPLE S TYPE L SIZE POSTCURED"/>
    <s v="HEH26NcH27Pa"/>
    <s v="Saurav"/>
    <n v="8"/>
    <n v="7036"/>
    <n v="879.5"/>
    <n v="10300"/>
    <n v="10300"/>
    <n v="0"/>
    <n v="0"/>
    <n v="0"/>
    <n v="0"/>
    <n v="0"/>
    <n v="0"/>
    <n v="1"/>
    <n v="10300"/>
    <n v="1.4638999431495168"/>
    <s v="FO013"/>
    <n v="0"/>
    <n v="0"/>
    <s v=" "/>
    <n v="0"/>
    <n v="0"/>
    <n v="1"/>
    <n v="0.6777777777777777"/>
    <n v="7.322222222222222"/>
    <n v="0.91527777777777775"/>
    <n v="1287.5"/>
    <n v="2.2999999999999998"/>
    <n v="2.5592233009708738"/>
    <n v="0.89871016691957506"/>
    <n v="0.82256944444444435"/>
    <s v="2775/2776/2779"/>
    <m/>
    <n v="40"/>
    <n v="0"/>
    <n v="0"/>
    <n v="0"/>
    <n v="0"/>
    <n v="0"/>
    <n v="0"/>
    <n v="0"/>
    <n v="0"/>
    <n v="0"/>
    <n v="0"/>
    <n v="0"/>
    <n v="0"/>
    <n v="0"/>
    <n v="0"/>
    <n v="0"/>
    <n v="0"/>
    <n v="0"/>
    <n v="0"/>
    <n v="0"/>
    <n v="0"/>
    <n v="0"/>
    <n v="0"/>
    <n v="0"/>
    <n v="0"/>
    <n v="0"/>
    <n v="0"/>
    <n v="0"/>
    <n v="0.66666666666666663"/>
    <n v="0.6777777777777777"/>
  </r>
  <r>
    <d v="2021-08-27T00:00:00"/>
    <s v="A"/>
    <x v="0"/>
    <s v="FO013"/>
    <m/>
    <s v="L2"/>
    <s v="NIPPLE S TYPE L SIZE INJECTION"/>
    <s v="HEH27NA"/>
    <s v="Saurav"/>
    <n v="8"/>
    <n v="4815"/>
    <n v="601.875"/>
    <n v="4340"/>
    <n v="4170"/>
    <n v="0"/>
    <n v="111"/>
    <n v="0"/>
    <n v="0"/>
    <n v="51"/>
    <n v="8"/>
    <n v="1"/>
    <n v="4170"/>
    <n v="0.86604361370716509"/>
    <s v="Silicon"/>
    <n v="6.8"/>
    <n v="29.511999999999997"/>
    <n v="0.96082949308755761"/>
    <n v="1.2082444918265814E-2"/>
    <n v="2.4938216131206472E-2"/>
    <n v="0.99504854368932039"/>
    <n v="1.0166666666666666"/>
    <n v="6.9833333333333334"/>
    <n v="0.87291666666666667"/>
    <n v="521.25"/>
    <n v="5.25"/>
    <n v="6.028776978417266"/>
    <n v="0.87082338902147971"/>
    <n v="0.75639236953883493"/>
    <n v="2777"/>
    <s v="Production loss due to 3-no cavity dent mark issue loss time 60 min."/>
    <n v="0"/>
    <n v="0"/>
    <n v="0"/>
    <n v="0"/>
    <n v="0"/>
    <n v="0"/>
    <n v="60"/>
    <n v="0"/>
    <n v="0"/>
    <n v="0"/>
    <n v="0"/>
    <n v="0"/>
    <n v="0"/>
    <n v="0"/>
    <n v="0"/>
    <n v="0"/>
    <n v="0"/>
    <n v="0"/>
    <n v="0"/>
    <n v="0"/>
    <n v="0"/>
    <n v="0"/>
    <n v="0"/>
    <n v="0"/>
    <n v="0"/>
    <n v="0"/>
    <n v="0"/>
    <n v="0"/>
    <n v="1"/>
    <n v="1.0166666666666666"/>
  </r>
  <r>
    <d v="2021-08-27T00:00:00"/>
    <s v="A"/>
    <x v="9"/>
    <s v="FO130"/>
    <m/>
    <s v="INJ-1"/>
    <s v="HOOD S TYPE MOLDED"/>
    <s v="EH27HA"/>
    <s v="Saurav"/>
    <n v="8"/>
    <n v="4137"/>
    <n v="517.125"/>
    <n v="5526"/>
    <n v="5500"/>
    <n v="0"/>
    <n v="0"/>
    <n v="0"/>
    <n v="0"/>
    <n v="18"/>
    <n v="8"/>
    <n v="1"/>
    <n v="5500"/>
    <n v="1.3294657964708727"/>
    <s v="HMC"/>
    <n v="8.6"/>
    <n v="47.523600000000002"/>
    <n v="0.9952949692363372"/>
    <n v="3.2620514679231605E-3"/>
    <n v="0"/>
    <n v="0.99585253456221201"/>
    <n v="0"/>
    <n v="8"/>
    <n v="1"/>
    <n v="687.5"/>
    <n v="6"/>
    <n v="5.2363636363636363"/>
    <n v="1.1458333333333333"/>
    <n v="1.141081029185868"/>
    <n v="2778"/>
    <m/>
    <n v="0"/>
    <n v="0"/>
    <n v="0"/>
    <n v="0"/>
    <n v="0"/>
    <n v="0"/>
    <n v="0"/>
    <n v="0"/>
    <n v="0"/>
    <n v="0"/>
    <n v="0"/>
    <n v="0"/>
    <n v="0"/>
    <n v="0"/>
    <n v="0"/>
    <n v="0"/>
    <n v="0"/>
    <n v="0"/>
    <n v="0"/>
    <n v="0"/>
    <n v="0"/>
    <n v="0"/>
    <n v="0"/>
    <n v="0"/>
    <n v="0"/>
    <n v="0"/>
    <n v="0"/>
    <n v="0"/>
    <n v="0"/>
    <n v="0"/>
  </r>
  <r>
    <d v="2021-08-27T00:00:00"/>
    <s v="A"/>
    <x v="3"/>
    <s v="FO021"/>
    <m/>
    <s v="L2"/>
    <s v="NIPPLE S TYPE L SIZE PUNCHED"/>
    <s v="HEH26NBH26Pa"/>
    <s v="Saurav"/>
    <n v="8"/>
    <n v="7036"/>
    <n v="879.5"/>
    <n v="6588"/>
    <n v="6588"/>
    <n v="0"/>
    <n v="0"/>
    <n v="0"/>
    <n v="0"/>
    <n v="0"/>
    <n v="0"/>
    <n v="1"/>
    <n v="6588"/>
    <n v="0.93632745878339962"/>
    <s v="FO017"/>
    <n v="0"/>
    <n v="0"/>
    <s v=" "/>
    <n v="0"/>
    <n v="0"/>
    <n v="1"/>
    <n v="0.6777777777777777"/>
    <n v="7.322222222222222"/>
    <n v="0.91527777777777775"/>
    <n v="823.5"/>
    <n v="3.5"/>
    <n v="4.0012143290831812"/>
    <n v="0.87473444613050089"/>
    <n v="0.80062500000000014"/>
    <s v="2780/2781/2782/2783"/>
    <s v="600 PCS Handover in B-shift."/>
    <n v="40"/>
    <n v="0"/>
    <n v="0"/>
    <n v="0"/>
    <n v="0"/>
    <n v="0"/>
    <n v="0"/>
    <n v="0"/>
    <n v="0"/>
    <n v="0"/>
    <n v="0"/>
    <n v="0"/>
    <n v="0"/>
    <n v="0"/>
    <n v="0"/>
    <n v="0"/>
    <n v="0"/>
    <n v="0"/>
    <n v="0"/>
    <n v="0"/>
    <n v="0"/>
    <n v="0"/>
    <n v="0"/>
    <n v="0"/>
    <n v="0"/>
    <n v="0"/>
    <n v="0"/>
    <n v="0"/>
    <n v="0.66666666666666663"/>
    <n v="0.6777777777777777"/>
  </r>
  <r>
    <d v="2021-08-27T00:00:00"/>
    <s v="A"/>
    <x v="8"/>
    <s v="FO151"/>
    <m/>
    <s v="LZ1"/>
    <s v="NIPPLE S TYPE LL SIZE LASER MARKED"/>
    <s v="HEH20CG22"/>
    <s v="Saurav"/>
    <n v="2.2999999999999998"/>
    <n v="2250"/>
    <n v="978.26086956521749"/>
    <n v="2250"/>
    <n v="2250"/>
    <n v="0"/>
    <n v="0"/>
    <n v="0"/>
    <n v="0"/>
    <n v="0"/>
    <n v="0"/>
    <n v="1"/>
    <n v="2250"/>
    <n v="1"/>
    <s v="FO151"/>
    <n v="0"/>
    <n v="0"/>
    <s v=" "/>
    <n v="0"/>
    <n v="0"/>
    <n v="1"/>
    <n v="0"/>
    <n v="2.2999999999999998"/>
    <n v="1"/>
    <n v="978.26086956521749"/>
    <n v="3.5"/>
    <n v="3.68"/>
    <n v="0.95108695652173914"/>
    <n v="0.95108695652173914"/>
    <s v="2784/2785"/>
    <m/>
    <n v="0"/>
    <n v="0"/>
    <n v="0"/>
    <n v="0"/>
    <n v="0"/>
    <n v="0"/>
    <n v="0"/>
    <n v="0"/>
    <n v="0"/>
    <n v="0"/>
    <n v="0"/>
    <n v="0"/>
    <n v="0"/>
    <n v="0"/>
    <n v="0"/>
    <n v="0"/>
    <n v="0"/>
    <n v="0"/>
    <n v="0"/>
    <n v="0"/>
    <n v="0"/>
    <n v="0"/>
    <n v="0"/>
    <n v="0"/>
    <n v="0"/>
    <n v="0"/>
    <n v="0"/>
    <n v="0"/>
    <n v="0"/>
    <n v="0"/>
  </r>
  <r>
    <d v="2021-08-27T00:00:00"/>
    <s v="A"/>
    <x v="8"/>
    <s v="FO106"/>
    <m/>
    <s v="LZ1"/>
    <s v="NIPPLE S TYPE L SIZE PUNCHED LASER MARKED"/>
    <s v="HEH25Bg22"/>
    <s v="Saurav"/>
    <n v="5"/>
    <n v="4750"/>
    <n v="950"/>
    <n v="3588"/>
    <n v="3588"/>
    <n v="0"/>
    <n v="0"/>
    <n v="0"/>
    <n v="0"/>
    <n v="0"/>
    <n v="0"/>
    <n v="1"/>
    <n v="3588"/>
    <n v="0.75536842105263158"/>
    <s v="FO021"/>
    <n v="0"/>
    <n v="0"/>
    <s v=" "/>
    <n v="0"/>
    <n v="0"/>
    <n v="1"/>
    <n v="0.5083333333333333"/>
    <n v="4.4916666666666671"/>
    <n v="0.89833333333333343"/>
    <n v="717.6"/>
    <n v="3.5"/>
    <n v="4.5066889632107028"/>
    <n v="0.77662337662337655"/>
    <n v="0.69766666666666666"/>
    <s v="2786/2787/2789"/>
    <s v="700 PCS Handover in B-shift."/>
    <n v="30"/>
    <n v="0"/>
    <n v="0"/>
    <n v="0"/>
    <n v="0"/>
    <n v="0"/>
    <n v="0"/>
    <n v="0"/>
    <n v="0"/>
    <n v="0"/>
    <n v="0"/>
    <n v="0"/>
    <n v="0"/>
    <n v="0"/>
    <n v="0"/>
    <n v="0"/>
    <n v="0"/>
    <n v="0"/>
    <n v="0"/>
    <n v="0"/>
    <n v="0"/>
    <n v="0"/>
    <n v="0"/>
    <n v="0"/>
    <n v="0"/>
    <n v="0"/>
    <n v="0"/>
    <n v="0"/>
    <n v="0.5"/>
    <n v="0.5083333333333333"/>
  </r>
  <r>
    <d v="2021-08-27T00:00:00"/>
    <s v="G"/>
    <x v="6"/>
    <s v="FO006"/>
    <m/>
    <s v="PR1"/>
    <s v="KPP 120 ML BOTTLE PRINTED"/>
    <s v="EC25BC1H27Pa"/>
    <s v="Pintu"/>
    <n v="8.5"/>
    <n v="5100"/>
    <n v="600"/>
    <n v="6347"/>
    <n v="6300"/>
    <n v="0"/>
    <n v="0"/>
    <n v="0"/>
    <n v="0"/>
    <n v="47"/>
    <n v="0"/>
    <n v="6"/>
    <n v="1050"/>
    <n v="1.2352941176470589"/>
    <s v="FO001"/>
    <n v="0"/>
    <n v="0"/>
    <s v=" "/>
    <n v="7.4050732629588785E-3"/>
    <n v="0"/>
    <n v="0.98690078037904128"/>
    <n v="0.84722222222222221"/>
    <n v="7.6527777777777777"/>
    <n v="0.90032679738562094"/>
    <n v="741.17647058823525"/>
    <n v="32.4"/>
    <n v="26.238095238095237"/>
    <n v="1.2348457350272233"/>
    <n v="1.0972014558331695"/>
    <s v="2824,25,41"/>
    <m/>
    <n v="50"/>
    <n v="0"/>
    <n v="0"/>
    <n v="0"/>
    <n v="0"/>
    <n v="0"/>
    <n v="0"/>
    <n v="0"/>
    <n v="0"/>
    <n v="0"/>
    <n v="0"/>
    <n v="0"/>
    <n v="0"/>
    <n v="0"/>
    <n v="0"/>
    <n v="0"/>
    <n v="0"/>
    <n v="0"/>
    <n v="0"/>
    <n v="0"/>
    <n v="0"/>
    <n v="0"/>
    <n v="0"/>
    <n v="0"/>
    <n v="0"/>
    <n v="0"/>
    <n v="0"/>
    <n v="0"/>
    <n v="0.83333333333333337"/>
    <n v="0.84722222222222221"/>
  </r>
  <r>
    <d v="2021-08-27T00:00:00"/>
    <s v="G"/>
    <x v="4"/>
    <s v="FO110"/>
    <m/>
    <m/>
    <s v="NIPPLE S TYPE L SIZE PUNCHED INSPECTED"/>
    <s v="HEH25BG22"/>
    <s v="Vivek"/>
    <n v="6.5"/>
    <n v="12000"/>
    <n v="1846.1538461538462"/>
    <n v="11588"/>
    <n v="11344"/>
    <n v="0"/>
    <n v="0"/>
    <n v="0"/>
    <n v="0"/>
    <n v="244"/>
    <n v="0"/>
    <n v="2"/>
    <n v="5672"/>
    <n v="0.94533333333333336"/>
    <s v="FO106"/>
    <n v="0"/>
    <n v="0"/>
    <s v=" "/>
    <n v="2.105626510182948E-2"/>
    <n v="0"/>
    <n v="0.96155664093272408"/>
    <n v="0.84722222222222221"/>
    <n v="5.6527777777777777"/>
    <n v="0.86965811965811968"/>
    <n v="1745.2307692307693"/>
    <n v="4"/>
    <n v="3.5877997179125529"/>
    <n v="1.1148894348894349"/>
    <n v="0.93229902006331811"/>
    <s v="2808/2809/2810/2811"/>
    <m/>
    <n v="50"/>
    <n v="0"/>
    <n v="0"/>
    <n v="0"/>
    <n v="0"/>
    <n v="0"/>
    <n v="0"/>
    <n v="0"/>
    <n v="0"/>
    <n v="0"/>
    <n v="0"/>
    <n v="0"/>
    <n v="0"/>
    <n v="0"/>
    <n v="0"/>
    <n v="0"/>
    <n v="0"/>
    <n v="0"/>
    <n v="0"/>
    <n v="0"/>
    <n v="0"/>
    <n v="0"/>
    <n v="0"/>
    <n v="0"/>
    <n v="0"/>
    <n v="0"/>
    <n v="0"/>
    <n v="0"/>
    <n v="0.83333333333333337"/>
    <n v="0.84722222222222221"/>
  </r>
  <r>
    <d v="2021-08-27T00:00:00"/>
    <s v="G"/>
    <x v="4"/>
    <s v="FO152"/>
    <m/>
    <m/>
    <s v="NIPPLE S TYPE LL SIZE INSPECTED"/>
    <s v="HEH20CG22"/>
    <s v="Vivek"/>
    <n v="2"/>
    <n v="2072"/>
    <n v="1036"/>
    <n v="2492"/>
    <n v="2382"/>
    <n v="0"/>
    <n v="0"/>
    <n v="0"/>
    <n v="0"/>
    <n v="110"/>
    <n v="0"/>
    <n v="2"/>
    <n v="1191"/>
    <n v="1.1496138996138996"/>
    <s v="FO152"/>
    <n v="0"/>
    <n v="0"/>
    <s v=" "/>
    <n v="4.4141252006420544E-2"/>
    <n v="0"/>
    <n v="0.99050742147048676"/>
    <n v="0.5083333333333333"/>
    <n v="1.4916666666666667"/>
    <n v="0.74583333333333335"/>
    <n v="1191"/>
    <n v="4"/>
    <n v="4.5088161209068014"/>
    <n v="0.88715083798882677"/>
    <n v="0.65538574387297199"/>
    <s v="2805/2806"/>
    <m/>
    <n v="0"/>
    <n v="0"/>
    <n v="0"/>
    <n v="30"/>
    <n v="0"/>
    <n v="0"/>
    <n v="0"/>
    <n v="0"/>
    <n v="0"/>
    <n v="0"/>
    <n v="0"/>
    <n v="0"/>
    <n v="0"/>
    <n v="0"/>
    <n v="0"/>
    <n v="0"/>
    <n v="0"/>
    <n v="0"/>
    <n v="0"/>
    <n v="0"/>
    <n v="0"/>
    <n v="0"/>
    <n v="0"/>
    <n v="0"/>
    <n v="0"/>
    <n v="0"/>
    <n v="0"/>
    <n v="0"/>
    <n v="0.5"/>
    <n v="0.5083333333333333"/>
  </r>
  <r>
    <d v="2021-08-27T00:00:00"/>
    <s v="G"/>
    <x v="7"/>
    <s v="FO031"/>
    <m/>
    <s v="WR1"/>
    <s v="NIPPLE S TYPE L SIZE WITH PRINTED WRAP"/>
    <s v="HEH26AG22"/>
    <s v="Vivek"/>
    <n v="4"/>
    <n v="8016"/>
    <n v="2004"/>
    <n v="7668"/>
    <n v="7668"/>
    <n v="0"/>
    <n v="0"/>
    <n v="0"/>
    <n v="0"/>
    <n v="0"/>
    <n v="0"/>
    <n v="2"/>
    <n v="3834"/>
    <n v="0.95658682634730541"/>
    <s v="FO021"/>
    <n v="0"/>
    <n v="0"/>
    <s v=" "/>
    <n v="0"/>
    <n v="0"/>
    <n v="1"/>
    <n v="0.16944444444444443"/>
    <n v="3.8305555555555557"/>
    <n v="0.95763888888888893"/>
    <n v="1917"/>
    <n v="2.5"/>
    <n v="3.5967657798643713"/>
    <n v="0.69506889050036258"/>
    <n v="0.66562500000000002"/>
    <s v="2812/2813"/>
    <m/>
    <n v="10"/>
    <n v="0"/>
    <n v="0"/>
    <n v="0"/>
    <n v="0"/>
    <n v="0"/>
    <n v="0"/>
    <n v="0"/>
    <n v="0"/>
    <n v="0"/>
    <n v="0"/>
    <n v="0"/>
    <n v="0"/>
    <n v="0"/>
    <n v="0"/>
    <n v="0"/>
    <n v="0"/>
    <n v="0"/>
    <n v="0"/>
    <n v="0"/>
    <n v="0"/>
    <n v="0"/>
    <n v="0"/>
    <n v="0"/>
    <n v="0"/>
    <n v="0"/>
    <n v="0"/>
    <n v="0"/>
    <n v="0.16666666666666666"/>
    <n v="0.16944444444444443"/>
  </r>
  <r>
    <d v="2021-08-27T00:00:00"/>
    <s v="B"/>
    <x v="8"/>
    <s v="FO106"/>
    <m/>
    <s v="LZ1"/>
    <s v="NIPPLE S TYPE L SIZE PUNCHED LASER MARKED"/>
    <s v="HEH26BG22"/>
    <s v="Nitin"/>
    <n v="8"/>
    <n v="7036"/>
    <n v="879.5"/>
    <n v="7000"/>
    <n v="7000"/>
    <n v="0"/>
    <n v="0"/>
    <n v="0"/>
    <n v="0"/>
    <n v="0"/>
    <n v="0"/>
    <n v="1"/>
    <n v="7000"/>
    <n v="0.99488345650938037"/>
    <s v="FO021"/>
    <n v="0"/>
    <n v="0"/>
    <s v=" "/>
    <n v="0"/>
    <n v="0"/>
    <n v="1"/>
    <n v="0.6777777777777777"/>
    <n v="7.322222222222222"/>
    <n v="0.91527777777777775"/>
    <n v="875"/>
    <n v="3.5"/>
    <n v="3.7657142857142856"/>
    <n v="0.92943854324734454"/>
    <n v="0.85069444444444453"/>
    <s v="2807/2815/2816"/>
    <m/>
    <n v="40"/>
    <n v="0"/>
    <n v="0"/>
    <n v="0"/>
    <n v="0"/>
    <n v="0"/>
    <n v="0"/>
    <n v="0"/>
    <n v="0"/>
    <n v="0"/>
    <n v="0"/>
    <n v="0"/>
    <n v="0"/>
    <n v="0"/>
    <n v="0"/>
    <n v="0"/>
    <n v="0"/>
    <n v="0"/>
    <n v="0"/>
    <n v="0"/>
    <n v="0"/>
    <n v="0"/>
    <n v="0"/>
    <n v="0"/>
    <n v="0"/>
    <n v="0"/>
    <n v="0"/>
    <n v="0"/>
    <n v="0.66666666666666663"/>
    <n v="0.6777777777777777"/>
  </r>
  <r>
    <d v="2021-08-27T00:00:00"/>
    <s v="B"/>
    <x v="3"/>
    <s v="FO021"/>
    <m/>
    <s v="P1"/>
    <s v="NIPPLE S TYPE L SIZE PUNCHED"/>
    <s v="HEH26NcH27PaH27Pb"/>
    <s v="Nitin"/>
    <n v="8"/>
    <n v="7036"/>
    <n v="879.5"/>
    <n v="7300"/>
    <n v="7300"/>
    <n v="0"/>
    <n v="0"/>
    <n v="0"/>
    <n v="0"/>
    <n v="0"/>
    <n v="0"/>
    <n v="1"/>
    <n v="7300"/>
    <n v="1.0375213189312109"/>
    <s v="FO017"/>
    <n v="0"/>
    <n v="0"/>
    <s v=" "/>
    <n v="0"/>
    <n v="0"/>
    <n v="1"/>
    <n v="0.6777777777777777"/>
    <n v="7.322222222222222"/>
    <n v="0.91527777777777775"/>
    <n v="912.5"/>
    <n v="3.5"/>
    <n v="3.6109589041095891"/>
    <n v="0.96927162367223063"/>
    <n v="0.88715277777777768"/>
    <n v="2814"/>
    <m/>
    <n v="40"/>
    <n v="0"/>
    <n v="0"/>
    <n v="0"/>
    <n v="0"/>
    <n v="0"/>
    <n v="0"/>
    <n v="0"/>
    <n v="0"/>
    <n v="0"/>
    <n v="0"/>
    <n v="0"/>
    <n v="0"/>
    <n v="0"/>
    <n v="0"/>
    <n v="0"/>
    <n v="0"/>
    <n v="0"/>
    <n v="0"/>
    <n v="0"/>
    <n v="0"/>
    <n v="0"/>
    <n v="0"/>
    <n v="0"/>
    <n v="0"/>
    <n v="0"/>
    <n v="0"/>
    <n v="0"/>
    <n v="0.66666666666666663"/>
    <n v="0.6777777777777777"/>
  </r>
  <r>
    <d v="2021-08-27T00:00:00"/>
    <s v="B"/>
    <x v="0"/>
    <s v="FO013"/>
    <m/>
    <m/>
    <s v="NIPPLE S TYPE L SIZE INJECTION"/>
    <s v="HEH27Nb"/>
    <s v="Nitin"/>
    <n v="8"/>
    <n v="4815"/>
    <n v="601.875"/>
    <n v="5470"/>
    <n v="5300"/>
    <n v="0"/>
    <n v="90"/>
    <n v="0"/>
    <n v="0"/>
    <n v="80"/>
    <n v="0"/>
    <n v="1"/>
    <n v="5300"/>
    <n v="1.1007268951194185"/>
    <s v="Silicon"/>
    <n v="6.8"/>
    <n v="37.195999999999998"/>
    <n v="0.96892138939670935"/>
    <n v="1.4869888475836431E-2"/>
    <n v="1.618705035971223E-2"/>
    <n v="0.989041095890411"/>
    <n v="0"/>
    <n v="8"/>
    <n v="1"/>
    <n v="662.5"/>
    <n v="5.25"/>
    <n v="5.4339622641509431"/>
    <n v="0.96614583333333337"/>
    <n v="0.95555793378995446"/>
    <n v="2817"/>
    <m/>
    <n v="0"/>
    <n v="0"/>
    <n v="0"/>
    <n v="0"/>
    <n v="0"/>
    <n v="0"/>
    <n v="0"/>
    <n v="0"/>
    <n v="0"/>
    <n v="0"/>
    <n v="0"/>
    <n v="0"/>
    <n v="0"/>
    <n v="0"/>
    <n v="0"/>
    <n v="0"/>
    <n v="0"/>
    <n v="0"/>
    <n v="0"/>
    <n v="0"/>
    <n v="0"/>
    <n v="0"/>
    <n v="0"/>
    <n v="0"/>
    <n v="0"/>
    <n v="0"/>
    <n v="0"/>
    <n v="0"/>
    <n v="0"/>
    <n v="0"/>
  </r>
  <r>
    <d v="2021-08-27T00:00:00"/>
    <s v="B"/>
    <x v="2"/>
    <s v="FO017"/>
    <m/>
    <m/>
    <s v="NIPPLE S TYPE L SIZE POSTCURED"/>
    <s v="HEH27NaH27Pb"/>
    <s v="Nitin"/>
    <n v="5"/>
    <n v="7036"/>
    <n v="1407.2"/>
    <n v="4170"/>
    <n v="4170"/>
    <n v="0"/>
    <n v="0"/>
    <n v="0"/>
    <n v="0"/>
    <n v="0"/>
    <n v="0"/>
    <n v="1"/>
    <n v="4170"/>
    <n v="0.59266628766344509"/>
    <s v="FO013"/>
    <n v="0"/>
    <n v="0"/>
    <s v=" "/>
    <n v="0"/>
    <n v="0"/>
    <n v="1"/>
    <n v="0.6777777777777777"/>
    <n v="4.322222222222222"/>
    <n v="0.86444444444444435"/>
    <n v="834"/>
    <n v="2.2999999999999998"/>
    <n v="3.731414868105515"/>
    <n v="0.61638817480719799"/>
    <n v="0.53283333333333327"/>
    <n v="2819"/>
    <m/>
    <n v="40"/>
    <n v="0"/>
    <n v="0"/>
    <n v="0"/>
    <n v="0"/>
    <n v="0"/>
    <n v="0"/>
    <n v="0"/>
    <n v="0"/>
    <n v="0"/>
    <n v="0"/>
    <n v="0"/>
    <n v="0"/>
    <n v="0"/>
    <n v="0"/>
    <n v="0"/>
    <n v="0"/>
    <n v="0"/>
    <n v="0"/>
    <n v="0"/>
    <n v="0"/>
    <n v="0"/>
    <n v="0"/>
    <n v="0"/>
    <n v="0"/>
    <n v="0"/>
    <n v="0"/>
    <n v="0"/>
    <n v="0.66666666666666663"/>
    <n v="0.6777777777777777"/>
  </r>
  <r>
    <d v="2021-08-27T00:00:00"/>
    <s v="B"/>
    <x v="1"/>
    <s v="FO052"/>
    <s v="BM5"/>
    <s v="B1"/>
    <s v="RPP 120ML PINK BOTTLE MOLDED (WM3GB)"/>
    <s v="EH27Bb2"/>
    <s v="Nitin"/>
    <n v="4"/>
    <n v="1251.5"/>
    <n v="312.875"/>
    <n v="1180"/>
    <n v="1080"/>
    <n v="2.1"/>
    <n v="47"/>
    <n v="0"/>
    <n v="0"/>
    <n v="45"/>
    <n v="8"/>
    <n v="1"/>
    <n v="1080"/>
    <n v="0.86296444266879746"/>
    <s v="WMG3B"/>
    <n v="22.7"/>
    <n v="28.885999999999999"/>
    <n v="0.84871564079484862"/>
    <n v="0.04"/>
    <n v="3.8304808475957623E-2"/>
    <n v="0.98920863309352514"/>
    <n v="0.76249999999999996"/>
    <n v="3.2374999999999998"/>
    <n v="0.80937499999999996"/>
    <n v="270"/>
    <n v="9"/>
    <n v="10.791666666666666"/>
    <n v="0.83397683397683398"/>
    <n v="0.6677158273381294"/>
    <n v="2820"/>
    <s v="Flow mark and color variation issue face "/>
    <n v="0"/>
    <n v="0"/>
    <n v="0"/>
    <n v="0"/>
    <n v="0"/>
    <n v="0"/>
    <n v="0"/>
    <n v="45"/>
    <n v="0"/>
    <n v="0"/>
    <n v="0"/>
    <n v="0"/>
    <n v="0"/>
    <n v="0"/>
    <n v="0"/>
    <n v="0"/>
    <n v="0"/>
    <n v="0"/>
    <n v="0"/>
    <n v="0"/>
    <n v="0"/>
    <n v="0"/>
    <n v="0"/>
    <n v="0"/>
    <n v="0"/>
    <n v="0"/>
    <n v="0"/>
    <n v="0"/>
    <n v="0.75"/>
    <n v="0.76249999999999996"/>
  </r>
  <r>
    <d v="2021-08-27T00:00:00"/>
    <s v="B"/>
    <x v="9"/>
    <s v="FO130"/>
    <m/>
    <s v="INJ"/>
    <s v="HOOD S TYPE MOLDED"/>
    <s v="EH27Hb"/>
    <s v="Nitin"/>
    <n v="8"/>
    <n v="4137"/>
    <n v="517.125"/>
    <n v="4573"/>
    <n v="4500"/>
    <n v="0"/>
    <n v="45"/>
    <n v="0"/>
    <n v="0"/>
    <n v="28"/>
    <n v="0"/>
    <n v="1"/>
    <n v="4500"/>
    <n v="1.0877447425670776"/>
    <s v="HMC"/>
    <n v="8.6"/>
    <n v="39.327800000000003"/>
    <n v="0.98403673737152852"/>
    <n v="6.183745583038869E-3"/>
    <n v="9.7444781290601992E-3"/>
    <n v="0.97627118644067801"/>
    <n v="0"/>
    <n v="8"/>
    <n v="1"/>
    <n v="562.5"/>
    <n v="6"/>
    <n v="6.4"/>
    <n v="0.9375"/>
    <n v="0.9152542372881356"/>
    <n v="2818"/>
    <m/>
    <n v="0"/>
    <n v="0"/>
    <n v="0"/>
    <n v="0"/>
    <n v="0"/>
    <n v="0"/>
    <n v="0"/>
    <n v="0"/>
    <n v="0"/>
    <n v="0"/>
    <n v="0"/>
    <n v="0"/>
    <n v="0"/>
    <n v="0"/>
    <n v="0"/>
    <n v="0"/>
    <n v="0"/>
    <n v="0"/>
    <n v="0"/>
    <n v="0"/>
    <n v="0"/>
    <n v="0"/>
    <n v="0"/>
    <n v="0"/>
    <n v="0"/>
    <n v="0"/>
    <n v="0"/>
    <n v="0"/>
    <n v="0"/>
    <n v="0"/>
  </r>
  <r>
    <d v="2021-08-27T00:00:00"/>
    <s v="C"/>
    <x v="0"/>
    <s v="FO013"/>
    <s v="M2"/>
    <s v="L2"/>
    <s v="NIPPLE S TYPE L SIZE INJECTION"/>
    <s v="HEH27Nc"/>
    <s v="Himanshu"/>
    <n v="8"/>
    <n v="4815"/>
    <n v="601.875"/>
    <n v="5331"/>
    <n v="5200"/>
    <n v="0"/>
    <n v="75"/>
    <n v="0"/>
    <n v="0"/>
    <n v="48"/>
    <n v="8"/>
    <n v="1"/>
    <n v="5200"/>
    <n v="1.0799584631360333"/>
    <s v="Silicon"/>
    <n v="6.8"/>
    <n v="36.250799999999998"/>
    <n v="0.97542674920277628"/>
    <n v="9.1463414634146336E-3"/>
    <n v="1.3873473917869035E-2"/>
    <n v="0.98950360813470373"/>
    <n v="0"/>
    <n v="8"/>
    <n v="1"/>
    <n v="650"/>
    <n v="5.25"/>
    <n v="5.5384615384615383"/>
    <n v="0.94791666666666674"/>
    <n v="0.93796696187768802"/>
    <s v="2822"/>
    <m/>
    <n v="0"/>
    <n v="0"/>
    <n v="0"/>
    <n v="0"/>
    <n v="0"/>
    <n v="0"/>
    <n v="0"/>
    <n v="0"/>
    <n v="0"/>
    <n v="0"/>
    <n v="0"/>
    <n v="0"/>
    <n v="0"/>
    <n v="0"/>
    <n v="0"/>
    <n v="0"/>
    <n v="0"/>
    <n v="0"/>
    <n v="0"/>
    <n v="0"/>
    <n v="0"/>
    <n v="0"/>
    <n v="0"/>
    <n v="0"/>
    <n v="0"/>
    <n v="0"/>
    <n v="0"/>
    <n v="0"/>
    <n v="0"/>
    <n v="0"/>
  </r>
  <r>
    <d v="2021-08-27T00:00:00"/>
    <s v="C"/>
    <x v="1"/>
    <s v="FO052"/>
    <s v="BM5"/>
    <s v="B1"/>
    <s v="RPP 120ML PINK BOTTLE MOLDED (WM3GB)"/>
    <s v="EH27Bc1"/>
    <s v="Himanshu"/>
    <n v="8"/>
    <n v="2574"/>
    <n v="321.75"/>
    <n v="3102"/>
    <n v="2880"/>
    <n v="0.12"/>
    <n v="127"/>
    <n v="0"/>
    <n v="0"/>
    <n v="87"/>
    <n v="8"/>
    <n v="1"/>
    <n v="2880"/>
    <n v="1.118881118881119"/>
    <s v="WMG3B"/>
    <n v="22.7"/>
    <n v="70.535399999999996"/>
    <n v="0.92685375003189885"/>
    <n v="2.9322548028311426E-2"/>
    <n v="3.9331062248374113E-2"/>
    <n v="0.98368036015756899"/>
    <n v="0.76249999999999996"/>
    <n v="7.2374999999999998"/>
    <n v="0.90468749999999998"/>
    <n v="360"/>
    <n v="9"/>
    <n v="9.046875"/>
    <n v="0.99481865284974091"/>
    <n v="0.88531232414181205"/>
    <s v="2821"/>
    <m/>
    <n v="0"/>
    <n v="0"/>
    <n v="0"/>
    <n v="0"/>
    <n v="0"/>
    <n v="0"/>
    <n v="0"/>
    <n v="45"/>
    <n v="0"/>
    <n v="0"/>
    <n v="0"/>
    <n v="0"/>
    <n v="0"/>
    <n v="0"/>
    <n v="0"/>
    <n v="0"/>
    <n v="0"/>
    <n v="0"/>
    <n v="0"/>
    <n v="0"/>
    <n v="0"/>
    <n v="0"/>
    <n v="0"/>
    <n v="0"/>
    <n v="0"/>
    <n v="0"/>
    <n v="0"/>
    <n v="0"/>
    <n v="0.75"/>
    <n v="0.76249999999999996"/>
  </r>
  <r>
    <d v="2021-08-27T00:00:00"/>
    <s v="C"/>
    <x v="9"/>
    <s v="FO130"/>
    <m/>
    <s v="INJ1"/>
    <s v="HOOD S TYPE MOLDED"/>
    <s v="EH27Hc"/>
    <s v="Himanshu"/>
    <n v="8"/>
    <n v="4137"/>
    <n v="517.125"/>
    <n v="5520"/>
    <n v="5500"/>
    <n v="0"/>
    <n v="0"/>
    <n v="0"/>
    <n v="0"/>
    <n v="12"/>
    <n v="8"/>
    <n v="1"/>
    <n v="5500"/>
    <n v="1.3294657964708727"/>
    <s v="HMC"/>
    <n v="8.6"/>
    <n v="47.472000000000001"/>
    <n v="0.99637681159420277"/>
    <n v="2.1770682148040637E-3"/>
    <n v="0"/>
    <n v="0.99613152804642169"/>
    <n v="0"/>
    <n v="8"/>
    <n v="1"/>
    <n v="687.5"/>
    <n v="6"/>
    <n v="5.2363636363636363"/>
    <n v="1.1458333333333333"/>
    <n v="1.1414007092198581"/>
    <s v="2823"/>
    <m/>
    <n v="0"/>
    <n v="0"/>
    <n v="0"/>
    <n v="0"/>
    <n v="0"/>
    <n v="0"/>
    <n v="0"/>
    <n v="0"/>
    <n v="0"/>
    <n v="0"/>
    <n v="0"/>
    <n v="0"/>
    <n v="0"/>
    <n v="0"/>
    <n v="0"/>
    <n v="0"/>
    <n v="0"/>
    <n v="0"/>
    <n v="0"/>
    <n v="0"/>
    <n v="0"/>
    <n v="0"/>
    <n v="0"/>
    <n v="0"/>
    <n v="0"/>
    <n v="0"/>
    <n v="0"/>
    <n v="0"/>
    <n v="0"/>
    <n v="0"/>
  </r>
  <r>
    <d v="2021-08-28T00:00:00"/>
    <s v="A"/>
    <x v="1"/>
    <s v="FO052"/>
    <s v="BM4"/>
    <s v="B1"/>
    <s v="RPP 120ML PINK BOTTLE MOLDED (WM3GB)"/>
    <s v="EH28Ba1"/>
    <s v="Saurav"/>
    <n v="3"/>
    <n v="1200"/>
    <n v="400"/>
    <n v="1132"/>
    <n v="1080"/>
    <n v="0.9"/>
    <n v="27"/>
    <n v="0"/>
    <n v="0"/>
    <n v="17"/>
    <n v="8"/>
    <n v="1"/>
    <n v="1080"/>
    <n v="0.9"/>
    <s v="WMG3B"/>
    <n v="22.7"/>
    <n v="26.596399999999996"/>
    <n v="0.92177888736821534"/>
    <n v="1.5496809480401094E-2"/>
    <n v="2.3295944779982744E-2"/>
    <n v="0.99692028985507242"/>
    <n v="0"/>
    <n v="3"/>
    <n v="1"/>
    <n v="360"/>
    <n v="9"/>
    <n v="10"/>
    <n v="0.9"/>
    <n v="0.8972282608695652"/>
    <n v="2826"/>
    <s v="Production plan completed setup rejection high due to flow mark issue."/>
    <n v="0"/>
    <n v="0"/>
    <n v="0"/>
    <n v="0"/>
    <n v="0"/>
    <n v="0"/>
    <n v="0"/>
    <n v="0"/>
    <n v="0"/>
    <n v="0"/>
    <n v="0"/>
    <n v="0"/>
    <n v="0"/>
    <n v="0"/>
    <n v="0"/>
    <n v="0"/>
    <n v="0"/>
    <n v="0"/>
    <n v="0"/>
    <n v="0"/>
    <n v="0"/>
    <n v="0"/>
    <n v="0"/>
    <n v="0"/>
    <n v="0"/>
    <n v="0"/>
    <n v="0"/>
    <n v="0"/>
    <n v="0"/>
    <n v="0"/>
  </r>
  <r>
    <d v="2021-08-28T00:00:00"/>
    <s v="A"/>
    <x v="2"/>
    <s v="FO017"/>
    <m/>
    <s v="PC1"/>
    <s v="NIPPLE S TYPE L SIZE POSTCURED"/>
    <s v="HEH27NbH28Pa"/>
    <s v="Saurav"/>
    <n v="8"/>
    <n v="7036"/>
    <n v="879.5"/>
    <n v="9500"/>
    <n v="9500"/>
    <n v="0"/>
    <n v="0"/>
    <n v="0"/>
    <n v="0"/>
    <n v="0"/>
    <n v="0"/>
    <n v="1"/>
    <n v="9500"/>
    <n v="1.3501989766913018"/>
    <s v="FO013"/>
    <n v="0"/>
    <n v="0"/>
    <s v=" "/>
    <n v="0"/>
    <n v="0"/>
    <n v="1"/>
    <n v="0.6777777777777777"/>
    <n v="7.322222222222222"/>
    <n v="0.91527777777777775"/>
    <n v="1187.5"/>
    <n v="2.2999999999999998"/>
    <n v="2.7747368421052632"/>
    <n v="0.82890743550834589"/>
    <n v="0.75868055555555547"/>
    <s v="2827/2828/2842"/>
    <m/>
    <n v="40"/>
    <n v="0"/>
    <n v="0"/>
    <n v="0"/>
    <n v="0"/>
    <n v="0"/>
    <n v="0"/>
    <n v="0"/>
    <n v="0"/>
    <n v="0"/>
    <n v="0"/>
    <n v="0"/>
    <n v="0"/>
    <n v="0"/>
    <n v="0"/>
    <n v="0"/>
    <n v="0"/>
    <n v="0"/>
    <n v="0"/>
    <n v="0"/>
    <n v="0"/>
    <n v="0"/>
    <n v="0"/>
    <n v="0"/>
    <n v="0"/>
    <n v="0"/>
    <n v="0"/>
    <n v="0"/>
    <n v="0.66666666666666663"/>
    <n v="0.6777777777777777"/>
  </r>
  <r>
    <d v="2021-08-28T00:00:00"/>
    <s v="A"/>
    <x v="1"/>
    <s v="FO054"/>
    <s v="BM4"/>
    <s v="B1"/>
    <s v="RPP 120ML BLUE BOTTLE MOLDED (WM3GB)"/>
    <s v="EH28Ba1"/>
    <s v="Saurav"/>
    <n v="4.3"/>
    <n v="1374"/>
    <n v="319.53488372093022"/>
    <n v="1173"/>
    <n v="1080"/>
    <n v="1.1000000000000001"/>
    <n v="57"/>
    <n v="0"/>
    <n v="0"/>
    <n v="20"/>
    <n v="16"/>
    <n v="1"/>
    <n v="1080"/>
    <n v="0.78602620087336239"/>
    <s v="WMG3B"/>
    <n v="22.7"/>
    <n v="27.7271"/>
    <n v="0.88418911462071392"/>
    <n v="1.8181818181818181E-2"/>
    <n v="4.6341463414634146E-2"/>
    <n v="0.99789473684210528"/>
    <n v="1.3555555555555554"/>
    <n v="2.9444444444444446"/>
    <n v="0.68475452196382436"/>
    <n v="251.16279069767444"/>
    <n v="9"/>
    <n v="9.8148148148148149"/>
    <n v="0.91698113207547172"/>
    <n v="0.62658506731946151"/>
    <n v="2845"/>
    <s v="SKU change   FO052(pink) to FO054 (blue) after heat test pass start machine, Flow mark,contamination and colour varition issue ."/>
    <n v="0"/>
    <n v="20"/>
    <n v="60"/>
    <n v="0"/>
    <n v="0"/>
    <n v="0"/>
    <n v="0"/>
    <n v="0"/>
    <n v="0"/>
    <n v="0"/>
    <n v="0"/>
    <n v="0"/>
    <n v="0"/>
    <n v="0"/>
    <n v="0"/>
    <n v="0"/>
    <n v="0"/>
    <n v="0"/>
    <n v="0"/>
    <n v="0"/>
    <n v="0"/>
    <n v="0"/>
    <n v="0"/>
    <n v="0"/>
    <n v="0"/>
    <n v="0"/>
    <n v="0"/>
    <n v="0"/>
    <n v="1.3333333333333333"/>
    <n v="1.3555555555555554"/>
  </r>
  <r>
    <d v="2021-08-28T00:00:00"/>
    <s v="A"/>
    <x v="0"/>
    <s v="FO013"/>
    <s v="M2"/>
    <s v="L2"/>
    <s v="NIPPLE S TYPE L SIZE INJECTION"/>
    <s v="HEH28Na"/>
    <s v="Saurav"/>
    <n v="8"/>
    <n v="4815"/>
    <n v="601.875"/>
    <n v="5337"/>
    <n v="5200"/>
    <n v="0"/>
    <n v="54"/>
    <n v="0"/>
    <n v="0"/>
    <n v="75"/>
    <n v="8"/>
    <n v="1"/>
    <n v="5200"/>
    <n v="1.0799584631360333"/>
    <s v="Silicon"/>
    <n v="6.8"/>
    <n v="36.291599999999995"/>
    <n v="0.97433014802323414"/>
    <n v="1.4218009478672985E-2"/>
    <n v="1.001669449081803E-2"/>
    <n v="0.93606138107416881"/>
    <n v="0"/>
    <n v="8"/>
    <n v="1"/>
    <n v="650"/>
    <n v="5.25"/>
    <n v="5.5384615384615383"/>
    <n v="0.94791666666666674"/>
    <n v="0.88730818414322254"/>
    <s v="2834/2836"/>
    <m/>
    <n v="0"/>
    <n v="0"/>
    <n v="0"/>
    <n v="0"/>
    <n v="0"/>
    <n v="0"/>
    <n v="0"/>
    <n v="0"/>
    <n v="0"/>
    <n v="0"/>
    <n v="0"/>
    <n v="0"/>
    <n v="0"/>
    <n v="0"/>
    <n v="0"/>
    <n v="0"/>
    <n v="0"/>
    <n v="0"/>
    <n v="0"/>
    <n v="0"/>
    <n v="0"/>
    <n v="0"/>
    <n v="0"/>
    <n v="0"/>
    <n v="0"/>
    <n v="0"/>
    <n v="0"/>
    <n v="0"/>
    <n v="0"/>
    <n v="0"/>
  </r>
  <r>
    <d v="2021-08-28T00:00:00"/>
    <s v="A"/>
    <x v="3"/>
    <s v="FO021"/>
    <m/>
    <s v="P1"/>
    <s v="NIPPLE S TYPE L SIZE PUNCHED"/>
    <s v="HEH26NcH27Pa"/>
    <s v="Saurav"/>
    <n v="8"/>
    <n v="7000"/>
    <n v="875"/>
    <n v="7170"/>
    <n v="7170"/>
    <n v="0"/>
    <n v="0"/>
    <n v="0"/>
    <n v="0"/>
    <n v="0"/>
    <n v="0"/>
    <n v="1"/>
    <n v="7170"/>
    <n v="1.0242857142857142"/>
    <s v="FO017"/>
    <n v="0"/>
    <n v="0"/>
    <s v=" "/>
    <n v="0"/>
    <n v="0"/>
    <n v="1"/>
    <n v="0.6777777777777777"/>
    <n v="7.322222222222222"/>
    <n v="0.91527777777777775"/>
    <n v="896.25"/>
    <n v="3.5"/>
    <n v="3.6764295676429568"/>
    <n v="0.95201062215477994"/>
    <n v="0.87135416666666665"/>
    <s v="2837/2838/2839/2840"/>
    <m/>
    <n v="40"/>
    <n v="0"/>
    <n v="0"/>
    <n v="0"/>
    <n v="0"/>
    <n v="0"/>
    <n v="0"/>
    <n v="0"/>
    <n v="0"/>
    <n v="0"/>
    <n v="0"/>
    <n v="0"/>
    <n v="0"/>
    <n v="0"/>
    <n v="0"/>
    <n v="0"/>
    <n v="0"/>
    <n v="0"/>
    <n v="0"/>
    <n v="0"/>
    <n v="0"/>
    <n v="0"/>
    <n v="0"/>
    <n v="0"/>
    <n v="0"/>
    <n v="0"/>
    <n v="0"/>
    <n v="0"/>
    <n v="0.66666666666666663"/>
    <n v="0.6777777777777777"/>
  </r>
  <r>
    <d v="2021-08-28T00:00:00"/>
    <s v="A"/>
    <x v="9"/>
    <s v="FO130"/>
    <m/>
    <s v="INJ-1"/>
    <s v="HOOD S TYPE MOLDED"/>
    <s v="EH28Ha"/>
    <s v="Saurav"/>
    <n v="8"/>
    <n v="4137"/>
    <n v="517.125"/>
    <n v="5320"/>
    <n v="5300"/>
    <n v="0"/>
    <n v="0"/>
    <n v="0"/>
    <n v="0"/>
    <n v="12"/>
    <n v="8"/>
    <n v="1"/>
    <n v="5300"/>
    <n v="1.2811215856901137"/>
    <s v="HMC"/>
    <n v="8.6"/>
    <n v="45.752000000000002"/>
    <n v="0.99624060150375926"/>
    <n v="2.2590361445783132E-3"/>
    <n v="0"/>
    <n v="0.99832635983263596"/>
    <n v="0"/>
    <n v="8"/>
    <n v="1"/>
    <n v="662.5"/>
    <n v="6"/>
    <n v="5.4339622641509431"/>
    <n v="1.1041666666666667"/>
    <n v="1.102318688981869"/>
    <n v="2835"/>
    <m/>
    <n v="0"/>
    <n v="0"/>
    <n v="0"/>
    <n v="0"/>
    <n v="0"/>
    <n v="0"/>
    <n v="0"/>
    <n v="0"/>
    <n v="0"/>
    <n v="0"/>
    <n v="0"/>
    <n v="0"/>
    <n v="0"/>
    <n v="0"/>
    <n v="0"/>
    <n v="0"/>
    <n v="0"/>
    <n v="0"/>
    <n v="0"/>
    <n v="0"/>
    <n v="0"/>
    <n v="0"/>
    <n v="0"/>
    <n v="0"/>
    <n v="0"/>
    <n v="0"/>
    <n v="0"/>
    <n v="0"/>
    <n v="0"/>
    <n v="0"/>
  </r>
  <r>
    <d v="2021-08-28T00:00:00"/>
    <s v="A"/>
    <x v="8"/>
    <s v="FO106"/>
    <m/>
    <s v="LZ1"/>
    <s v="NIPPLE S TYPE L SIZE PUNCHED LASER MARKED"/>
    <s v="HEH26CG22"/>
    <s v="Saurav"/>
    <n v="8"/>
    <n v="7000"/>
    <n v="875"/>
    <n v="6470"/>
    <n v="6470"/>
    <n v="0"/>
    <n v="0"/>
    <n v="0"/>
    <n v="0"/>
    <n v="0"/>
    <n v="0"/>
    <n v="1"/>
    <n v="6470"/>
    <n v="0.92428571428571427"/>
    <s v="FO021"/>
    <n v="0"/>
    <n v="0"/>
    <s v=" "/>
    <n v="0"/>
    <n v="0"/>
    <n v="1"/>
    <n v="0.6777777777777777"/>
    <n v="7.322222222222222"/>
    <n v="0.91527777777777775"/>
    <n v="808.75"/>
    <n v="3.5"/>
    <n v="4.0741885625965999"/>
    <n v="0.85906676783004543"/>
    <n v="0.78628472222222212"/>
    <s v="2846/2847"/>
    <m/>
    <n v="40"/>
    <n v="0"/>
    <n v="0"/>
    <n v="0"/>
    <n v="0"/>
    <n v="0"/>
    <n v="0"/>
    <n v="0"/>
    <n v="0"/>
    <n v="0"/>
    <n v="0"/>
    <n v="0"/>
    <n v="0"/>
    <n v="0"/>
    <n v="0"/>
    <n v="0"/>
    <n v="0"/>
    <n v="0"/>
    <n v="0"/>
    <n v="0"/>
    <n v="0"/>
    <n v="0"/>
    <n v="0"/>
    <n v="0"/>
    <n v="0"/>
    <n v="0"/>
    <n v="0"/>
    <n v="0"/>
    <n v="0.66666666666666663"/>
    <n v="0.6777777777777777"/>
  </r>
  <r>
    <d v="2021-08-28T00:00:00"/>
    <s v="G"/>
    <x v="4"/>
    <s v="FO110"/>
    <m/>
    <m/>
    <s v="NIPPLE S TYPE L SIZE PUNCHED INSPECTED"/>
    <s v="HEH26BG22"/>
    <s v="Vivek"/>
    <n v="8.5"/>
    <n v="14072"/>
    <n v="1655.5294117647059"/>
    <n v="12470"/>
    <n v="12444"/>
    <n v="0"/>
    <n v="0"/>
    <n v="0"/>
    <n v="0"/>
    <n v="26"/>
    <n v="0"/>
    <n v="2"/>
    <n v="6222"/>
    <n v="0.8843092666287663"/>
    <s v="FO106"/>
    <n v="0"/>
    <n v="0"/>
    <s v=" "/>
    <n v="2.0850040096230954E-3"/>
    <n v="0"/>
    <n v="0.9959814528593508"/>
    <n v="0.84722222222222221"/>
    <n v="7.6527777777777777"/>
    <n v="0.90032679738562094"/>
    <n v="1464"/>
    <n v="4"/>
    <n v="4.4278367084538734"/>
    <n v="0.90337568058076223"/>
    <n v="0.81006491499227196"/>
    <n v="2860"/>
    <s v="Material short "/>
    <n v="50"/>
    <n v="0"/>
    <n v="0"/>
    <n v="0"/>
    <n v="0"/>
    <n v="0"/>
    <n v="0"/>
    <n v="0"/>
    <n v="0"/>
    <n v="0"/>
    <n v="0"/>
    <n v="0"/>
    <n v="0"/>
    <n v="0"/>
    <n v="0"/>
    <n v="0"/>
    <n v="0"/>
    <n v="0"/>
    <n v="0"/>
    <n v="0"/>
    <n v="0"/>
    <n v="0"/>
    <n v="0"/>
    <n v="0"/>
    <n v="0"/>
    <n v="0"/>
    <n v="0"/>
    <n v="0"/>
    <n v="0.83333333333333337"/>
    <n v="0.84722222222222221"/>
  </r>
  <r>
    <d v="2021-08-28T00:00:00"/>
    <s v="G"/>
    <x v="7"/>
    <s v="FO031"/>
    <m/>
    <s v="WR1"/>
    <s v="NIPPLE S TYPE L SIZE WITH PRINTED WRAP"/>
    <s v="HEH26BG22"/>
    <s v="Vivek"/>
    <n v="8.5"/>
    <n v="16032"/>
    <n v="1886.1176470588234"/>
    <n v="11426"/>
    <n v="11423"/>
    <n v="0"/>
    <n v="0"/>
    <n v="0"/>
    <n v="0"/>
    <n v="3"/>
    <n v="0"/>
    <n v="2"/>
    <n v="5711.5"/>
    <n v="0.71251247504990023"/>
    <s v="FO021"/>
    <n v="0"/>
    <n v="0"/>
    <s v=" "/>
    <n v="2.6255907579205323E-4"/>
    <n v="0"/>
    <n v="0.99975942261427431"/>
    <n v="0.84722222222222221"/>
    <n v="7.6527777777777777"/>
    <n v="0.90032679738562094"/>
    <n v="1343.8823529411766"/>
    <n v="2.5"/>
    <n v="4.8236015057340458"/>
    <n v="0.51828493647912877"/>
    <n v="0.46651355737429961"/>
    <n v="2861"/>
    <m/>
    <n v="50"/>
    <n v="0"/>
    <n v="0"/>
    <n v="0"/>
    <n v="0"/>
    <n v="0"/>
    <n v="0"/>
    <n v="0"/>
    <n v="0"/>
    <n v="0"/>
    <n v="0"/>
    <n v="0"/>
    <n v="0"/>
    <n v="0"/>
    <n v="0"/>
    <n v="0"/>
    <n v="0"/>
    <n v="0"/>
    <n v="0"/>
    <n v="0"/>
    <n v="0"/>
    <n v="0"/>
    <n v="0"/>
    <n v="0"/>
    <n v="0"/>
    <n v="0"/>
    <n v="0"/>
    <n v="0"/>
    <n v="0.83333333333333337"/>
    <n v="0.84722222222222221"/>
  </r>
  <r>
    <d v="2021-08-28T00:00:00"/>
    <s v="G"/>
    <x v="6"/>
    <s v="FO006"/>
    <m/>
    <s v="PR1"/>
    <s v="KPP 120 ML BOTTLE PRINTED"/>
    <s v="EH25BC1H28PA"/>
    <s v="Pintu"/>
    <n v="4.5"/>
    <n v="2000"/>
    <n v="444.44444444444446"/>
    <n v="1997"/>
    <n v="1986"/>
    <n v="0"/>
    <n v="0"/>
    <n v="26"/>
    <n v="0"/>
    <n v="11"/>
    <n v="0"/>
    <n v="6"/>
    <n v="331"/>
    <n v="0.99299999999999999"/>
    <s v="FO001"/>
    <n v="0"/>
    <n v="0"/>
    <s v=" "/>
    <n v="5.5082623935903859E-3"/>
    <n v="0"/>
    <n v="0.99903728338876252"/>
    <n v="0.84722222222222221"/>
    <n v="3.6527777777777777"/>
    <n v="0.81172839506172834"/>
    <n v="441.33333333333331"/>
    <n v="32.4"/>
    <n v="39.728096676737152"/>
    <n v="0.81554372623574156"/>
    <n v="0.66136268160336076"/>
    <n v="2841"/>
    <s v="Changeover FO006 TO FO087"/>
    <n v="30"/>
    <n v="20"/>
    <n v="0"/>
    <n v="0"/>
    <n v="0"/>
    <n v="0"/>
    <n v="0"/>
    <n v="0"/>
    <n v="0"/>
    <n v="0"/>
    <n v="0"/>
    <n v="0"/>
    <n v="0"/>
    <n v="0"/>
    <n v="0"/>
    <n v="0"/>
    <n v="0"/>
    <n v="0"/>
    <n v="0"/>
    <n v="0"/>
    <n v="0"/>
    <n v="0"/>
    <n v="0"/>
    <n v="0"/>
    <n v="0"/>
    <n v="0"/>
    <n v="0"/>
    <n v="0"/>
    <n v="0.83333333333333337"/>
    <n v="0.84722222222222221"/>
  </r>
  <r>
    <d v="2021-08-28T00:00:00"/>
    <s v="G"/>
    <x v="6"/>
    <s v="FO087"/>
    <m/>
    <s v="PR1"/>
    <s v="KPP 120 BOTTLE PRINTED (WMG3B) W/O OZ &amp; W/BIS LOGO"/>
    <s v="EH16BC1H28PA"/>
    <s v="Pintu"/>
    <n v="2"/>
    <n v="1000"/>
    <n v="500"/>
    <n v="1077"/>
    <n v="1063"/>
    <n v="0"/>
    <n v="0"/>
    <n v="7"/>
    <n v="0"/>
    <n v="14"/>
    <n v="0"/>
    <n v="6"/>
    <n v="177.16666666666666"/>
    <n v="1.0629999999999999"/>
    <s v="FO042"/>
    <n v="0"/>
    <n v="0"/>
    <s v=" "/>
    <n v="1.2999071494893221E-2"/>
    <n v="0"/>
    <n v="0.99298948422633948"/>
    <n v="0.5083333333333333"/>
    <n v="1.4916666666666667"/>
    <n v="0.74583333333333335"/>
    <n v="531.5"/>
    <n v="32.4"/>
    <n v="30.310442144872997"/>
    <n v="1.0689385474860336"/>
    <n v="0.79166086629944932"/>
    <s v="2852/2853"/>
    <m/>
    <n v="0"/>
    <n v="30"/>
    <n v="0"/>
    <n v="0"/>
    <n v="0"/>
    <n v="0"/>
    <n v="0"/>
    <n v="0"/>
    <n v="0"/>
    <n v="0"/>
    <n v="0"/>
    <n v="0"/>
    <n v="0"/>
    <n v="0"/>
    <n v="0"/>
    <n v="0"/>
    <n v="0"/>
    <n v="0"/>
    <n v="0"/>
    <n v="0"/>
    <n v="0"/>
    <n v="0"/>
    <n v="0"/>
    <n v="0"/>
    <n v="0"/>
    <n v="0"/>
    <n v="0"/>
    <n v="0"/>
    <n v="0.5"/>
    <n v="0.5083333333333333"/>
  </r>
  <r>
    <d v="2021-08-28T00:00:00"/>
    <s v="G"/>
    <x v="6"/>
    <s v="FO102"/>
    <m/>
    <s v="PR1"/>
    <s v="RPP 120ML FLORAL BLUE BOTLE PNTD WM3GB W/BIS LOGO"/>
    <s v="EF28Ba1H28PA"/>
    <s v="Pintu"/>
    <n v="2"/>
    <n v="1000"/>
    <n v="500"/>
    <n v="1011"/>
    <n v="1000"/>
    <n v="0"/>
    <n v="0"/>
    <n v="16"/>
    <n v="0"/>
    <n v="11"/>
    <n v="0"/>
    <n v="6"/>
    <n v="166.66666666666666"/>
    <n v="1"/>
    <s v="FO054"/>
    <n v="0"/>
    <n v="0"/>
    <s v=" "/>
    <n v="1.0880316518298714E-2"/>
    <n v="0"/>
    <n v="0.98978644382544101"/>
    <n v="0"/>
    <n v="2"/>
    <n v="1"/>
    <n v="500"/>
    <n v="32.4"/>
    <n v="43.2"/>
    <n v="0.74999999999999989"/>
    <n v="0.74233983286908067"/>
    <s v="2854,72"/>
    <s v="Changeover FO087 TO FO102"/>
    <n v="0"/>
    <n v="0"/>
    <n v="0"/>
    <n v="0"/>
    <n v="0"/>
    <n v="0"/>
    <n v="0"/>
    <n v="0"/>
    <n v="0"/>
    <n v="0"/>
    <n v="0"/>
    <n v="0"/>
    <n v="0"/>
    <n v="0"/>
    <n v="0"/>
    <n v="0"/>
    <n v="0"/>
    <n v="0"/>
    <n v="0"/>
    <n v="0"/>
    <n v="0"/>
    <n v="0"/>
    <n v="0"/>
    <n v="0"/>
    <n v="0"/>
    <n v="0"/>
    <n v="0"/>
    <n v="0"/>
    <n v="0"/>
    <n v="0"/>
  </r>
  <r>
    <d v="2021-08-28T00:00:00"/>
    <s v="B"/>
    <x v="8"/>
    <s v="FO106"/>
    <m/>
    <s v="LZ1"/>
    <s v="NIPPLE S TYPE L SIZE PUNCHED LASER MARKED"/>
    <s v="HEH27AG22"/>
    <s v="Nitin"/>
    <n v="8"/>
    <n v="7036"/>
    <n v="879.5"/>
    <n v="6300"/>
    <n v="6300"/>
    <n v="0"/>
    <n v="0"/>
    <n v="0"/>
    <n v="0"/>
    <n v="0"/>
    <n v="0"/>
    <n v="1"/>
    <n v="6300"/>
    <n v="0.89539511085844226"/>
    <s v="FO021"/>
    <n v="0"/>
    <n v="0"/>
    <s v=" "/>
    <n v="0"/>
    <n v="0"/>
    <n v="1"/>
    <n v="0.6777777777777777"/>
    <n v="7.322222222222222"/>
    <n v="0.91527777777777775"/>
    <n v="787.5"/>
    <n v="3.5"/>
    <n v="4.1841269841269844"/>
    <n v="0.83649468892260992"/>
    <n v="0.76562499999999989"/>
    <s v="2857/2865"/>
    <m/>
    <n v="40"/>
    <n v="0"/>
    <n v="0"/>
    <n v="0"/>
    <n v="0"/>
    <n v="0"/>
    <n v="0"/>
    <n v="0"/>
    <n v="0"/>
    <n v="0"/>
    <n v="0"/>
    <n v="0"/>
    <n v="0"/>
    <n v="0"/>
    <n v="0"/>
    <n v="0"/>
    <n v="0"/>
    <n v="0"/>
    <n v="0"/>
    <n v="0"/>
    <n v="0"/>
    <n v="0"/>
    <n v="0"/>
    <n v="0"/>
    <n v="0"/>
    <n v="0"/>
    <n v="0"/>
    <n v="0"/>
    <n v="0.66666666666666663"/>
    <n v="0.6777777777777777"/>
  </r>
  <r>
    <d v="2021-08-28T00:00:00"/>
    <s v="B"/>
    <x v="3"/>
    <s v="FO021"/>
    <m/>
    <s v="P1"/>
    <s v="NIPPLE S TYPE L SIZE PUNCHED"/>
    <s v="HEH27NbH27PbH28Pb"/>
    <s v="Nitin"/>
    <n v="8"/>
    <n v="7036"/>
    <n v="879.5"/>
    <n v="7300"/>
    <n v="7300"/>
    <n v="0"/>
    <n v="0"/>
    <n v="0"/>
    <n v="0"/>
    <n v="0"/>
    <n v="0"/>
    <n v="1"/>
    <n v="7300"/>
    <n v="1.0375213189312109"/>
    <s v="FO017"/>
    <n v="0"/>
    <n v="0"/>
    <s v=" "/>
    <n v="0"/>
    <n v="0"/>
    <n v="1"/>
    <n v="0.6777777777777777"/>
    <n v="7.322222222222222"/>
    <n v="0.91527777777777775"/>
    <n v="912.5"/>
    <n v="3.5"/>
    <n v="3.6109589041095891"/>
    <n v="0.96927162367223063"/>
    <n v="0.88715277777777768"/>
    <n v="2864"/>
    <m/>
    <n v="40"/>
    <n v="0"/>
    <n v="0"/>
    <n v="0"/>
    <n v="0"/>
    <n v="0"/>
    <n v="0"/>
    <n v="0"/>
    <n v="0"/>
    <n v="0"/>
    <n v="0"/>
    <n v="0"/>
    <n v="0"/>
    <n v="0"/>
    <n v="0"/>
    <n v="0"/>
    <n v="0"/>
    <n v="0"/>
    <n v="0"/>
    <n v="0"/>
    <n v="0"/>
    <n v="0"/>
    <n v="0"/>
    <n v="0"/>
    <n v="0"/>
    <n v="0"/>
    <n v="0"/>
    <n v="0"/>
    <n v="0.66666666666666663"/>
    <n v="0.6777777777777777"/>
  </r>
  <r>
    <d v="2021-08-28T00:00:00"/>
    <s v="B"/>
    <x v="2"/>
    <s v="FO017"/>
    <m/>
    <s v="P1"/>
    <s v="NIPPLE S TYPE L SIZE POSTCURED"/>
    <s v="HEH28NaH28Pb"/>
    <s v="Nitin"/>
    <n v="5"/>
    <n v="7036"/>
    <n v="1407.2"/>
    <n v="5200"/>
    <n v="5200"/>
    <n v="0"/>
    <n v="0"/>
    <n v="0"/>
    <n v="0"/>
    <n v="0"/>
    <n v="0"/>
    <n v="1"/>
    <n v="5200"/>
    <n v="0.73905628197839679"/>
    <s v="FO013"/>
    <n v="0"/>
    <n v="0"/>
    <s v=" "/>
    <n v="0"/>
    <n v="0"/>
    <n v="1"/>
    <n v="2.0333333333333332"/>
    <n v="2.9666666666666668"/>
    <n v="0.59333333333333338"/>
    <n v="1040"/>
    <n v="2.2999999999999998"/>
    <n v="2.0538461538461537"/>
    <n v="1.1198501872659177"/>
    <n v="0.6644444444444445"/>
    <s v="2863/2869"/>
    <s v="Man power going to pick up silicon drum inside ware house."/>
    <m/>
    <n v="0"/>
    <n v="0"/>
    <n v="0"/>
    <n v="120"/>
    <n v="0"/>
    <n v="0"/>
    <n v="0"/>
    <n v="0"/>
    <n v="0"/>
    <n v="0"/>
    <n v="0"/>
    <n v="0"/>
    <n v="0"/>
    <n v="0"/>
    <n v="0"/>
    <n v="0"/>
    <n v="0"/>
    <n v="0"/>
    <n v="0"/>
    <n v="0"/>
    <n v="0"/>
    <n v="0"/>
    <n v="0"/>
    <n v="0"/>
    <n v="0"/>
    <n v="0"/>
    <n v="0"/>
    <n v="2"/>
    <n v="2.0333333333333332"/>
  </r>
  <r>
    <d v="2021-08-28T00:00:00"/>
    <s v="B"/>
    <x v="0"/>
    <s v="FO013"/>
    <s v="M2"/>
    <s v="L2"/>
    <s v="NIPPLE S TYPE L SIZE INJECTION"/>
    <s v="HEH28Nb"/>
    <s v="Nitin"/>
    <n v="8"/>
    <n v="4815"/>
    <n v="601.875"/>
    <n v="5557"/>
    <n v="5500"/>
    <n v="0"/>
    <n v="0"/>
    <n v="0"/>
    <n v="0"/>
    <n v="57"/>
    <n v="0"/>
    <n v="1"/>
    <n v="5500"/>
    <n v="1.142263759086189"/>
    <s v="Silicon"/>
    <n v="6.8"/>
    <n v="37.787599999999998"/>
    <n v="0.98974266690660428"/>
    <n v="1.0257333093395717E-2"/>
    <n v="0"/>
    <n v="0.98903846153846153"/>
    <n v="0"/>
    <n v="8"/>
    <n v="1"/>
    <n v="687.5"/>
    <n v="5.25"/>
    <n v="5.2363636363636363"/>
    <n v="1.0026041666666667"/>
    <n v="0.9916140825320513"/>
    <n v="2867"/>
    <m/>
    <n v="0"/>
    <n v="0"/>
    <n v="0"/>
    <n v="0"/>
    <n v="0"/>
    <n v="0"/>
    <n v="0"/>
    <n v="0"/>
    <n v="0"/>
    <n v="0"/>
    <n v="0"/>
    <n v="0"/>
    <n v="0"/>
    <n v="0"/>
    <n v="0"/>
    <n v="0"/>
    <n v="0"/>
    <n v="0"/>
    <n v="0"/>
    <n v="0"/>
    <n v="0"/>
    <n v="0"/>
    <n v="0"/>
    <n v="0"/>
    <n v="0"/>
    <n v="0"/>
    <n v="0"/>
    <n v="0"/>
    <n v="0"/>
    <n v="0"/>
  </r>
  <r>
    <d v="2021-08-28T00:00:00"/>
    <s v="B"/>
    <x v="1"/>
    <s v="FO054"/>
    <s v="BM4"/>
    <s v="B1"/>
    <s v="RPP 120ML BLUE BOTTLE MOLDED (WM3GB)"/>
    <s v="EH28Bb1"/>
    <s v="Nitin"/>
    <n v="8"/>
    <n v="2503"/>
    <n v="312.875"/>
    <n v="2831"/>
    <n v="2700"/>
    <n v="0.3"/>
    <n v="57"/>
    <n v="0"/>
    <n v="0"/>
    <n v="74"/>
    <n v="0"/>
    <n v="1"/>
    <n v="2700"/>
    <n v="1.0787055533359968"/>
    <s v="WMG3B"/>
    <n v="22.7"/>
    <n v="64.563699999999997"/>
    <n v="0.94929503730424358"/>
    <n v="2.6676279740447006E-2"/>
    <n v="1.9736842105263157E-2"/>
    <n v="0.98668346229980208"/>
    <n v="0"/>
    <n v="8"/>
    <n v="1"/>
    <n v="337.5"/>
    <n v="9"/>
    <n v="10.666666666666666"/>
    <n v="0.84375"/>
    <n v="0.83251417131545802"/>
    <n v="2868"/>
    <s v="Scratch issue and flow mark major issue"/>
    <n v="0"/>
    <n v="0"/>
    <n v="0"/>
    <n v="0"/>
    <n v="0"/>
    <n v="0"/>
    <n v="0"/>
    <n v="0"/>
    <n v="0"/>
    <n v="0"/>
    <n v="0"/>
    <n v="0"/>
    <n v="0"/>
    <n v="0"/>
    <n v="0"/>
    <n v="0"/>
    <n v="0"/>
    <n v="0"/>
    <n v="0"/>
    <n v="0"/>
    <n v="0"/>
    <n v="0"/>
    <n v="0"/>
    <n v="0"/>
    <n v="0"/>
    <n v="0"/>
    <n v="0"/>
    <n v="0"/>
    <n v="0"/>
    <n v="0"/>
  </r>
  <r>
    <d v="2021-08-28T00:00:00"/>
    <s v="B"/>
    <x v="9"/>
    <s v="FO130"/>
    <m/>
    <s v="INJ1"/>
    <s v="HOOD S TYPE MOLDED"/>
    <s v="EH28Hb"/>
    <s v="Nitin"/>
    <n v="8"/>
    <n v="4137"/>
    <n v="517.125"/>
    <n v="5020"/>
    <n v="5000"/>
    <n v="0"/>
    <n v="0"/>
    <n v="0"/>
    <n v="0"/>
    <n v="20"/>
    <n v="0"/>
    <n v="1"/>
    <n v="5000"/>
    <n v="1.2086052695189751"/>
    <s v="HMC"/>
    <n v="8.6"/>
    <n v="43.171999999999997"/>
    <n v="0.99601593625498019"/>
    <n v="3.9840637450199202E-3"/>
    <n v="0"/>
    <n v="0.99293535853055459"/>
    <n v="0"/>
    <n v="8"/>
    <n v="1"/>
    <n v="625"/>
    <n v="6"/>
    <n v="5.76"/>
    <n v="1.0416666666666667"/>
    <n v="1.0343076651359944"/>
    <n v="2866"/>
    <m/>
    <n v="0"/>
    <n v="0"/>
    <n v="0"/>
    <n v="0"/>
    <n v="0"/>
    <n v="0"/>
    <n v="0"/>
    <n v="0"/>
    <n v="0"/>
    <n v="0"/>
    <n v="0"/>
    <n v="0"/>
    <n v="0"/>
    <n v="0"/>
    <n v="0"/>
    <n v="0"/>
    <n v="0"/>
    <n v="0"/>
    <n v="0"/>
    <n v="0"/>
    <n v="0"/>
    <n v="0"/>
    <n v="0"/>
    <n v="0"/>
    <n v="0"/>
    <n v="0"/>
    <n v="0"/>
    <n v="0"/>
    <n v="0"/>
    <n v="0"/>
  </r>
  <r>
    <d v="2021-08-28T00:00:00"/>
    <s v="C"/>
    <x v="1"/>
    <s v="FO054"/>
    <s v="BM4"/>
    <s v="B1"/>
    <s v="RPP 120ML BLUE BOTTLE MOLDED (WM3GB)"/>
    <s v="EH28Bc1"/>
    <s v="Himanshu"/>
    <n v="3.3"/>
    <n v="1200"/>
    <n v="363.63636363636368"/>
    <n v="1316"/>
    <n v="1260"/>
    <n v="0.28000000000000003"/>
    <n v="28"/>
    <n v="0"/>
    <n v="0"/>
    <n v="20"/>
    <n v="8"/>
    <n v="1"/>
    <n v="1260"/>
    <n v="1.05"/>
    <s v="WMG3B"/>
    <n v="22.7"/>
    <n v="30.153199999999998"/>
    <n v="0.94855604048658182"/>
    <n v="1.5625E-2"/>
    <n v="2.0833333333333332E-2"/>
    <n v="0.99601593625498008"/>
    <n v="0.1525"/>
    <n v="3.1475"/>
    <n v="0.95378787878787885"/>
    <n v="381.81818181818181"/>
    <n v="9"/>
    <n v="8.992857142857142"/>
    <n v="1.0007942811755361"/>
    <n v="0.95074248460702648"/>
    <s v="2870"/>
    <m/>
    <n v="0"/>
    <n v="0"/>
    <n v="0"/>
    <n v="0"/>
    <n v="0"/>
    <n v="0"/>
    <n v="0"/>
    <n v="9"/>
    <n v="0"/>
    <n v="0"/>
    <n v="0"/>
    <n v="0"/>
    <n v="0"/>
    <n v="0"/>
    <n v="0"/>
    <n v="0"/>
    <n v="0"/>
    <n v="0"/>
    <n v="0"/>
    <n v="0"/>
    <n v="0"/>
    <n v="0"/>
    <n v="0"/>
    <n v="0"/>
    <n v="0"/>
    <n v="0"/>
    <n v="0"/>
    <n v="0"/>
    <n v="0.15"/>
    <n v="0.1525"/>
  </r>
  <r>
    <d v="2021-08-28T00:00:00"/>
    <s v="C"/>
    <x v="0"/>
    <s v="FO013"/>
    <s v="M2"/>
    <s v="L2"/>
    <s v="NIPPLE S TYPE L SIZE INJECTION"/>
    <s v="HEH28Nc"/>
    <s v="Himanshu"/>
    <n v="8"/>
    <n v="4815"/>
    <n v="601.875"/>
    <n v="4313"/>
    <n v="4210"/>
    <n v="0.44800000000000001"/>
    <n v="41"/>
    <n v="0"/>
    <n v="0"/>
    <n v="54"/>
    <n v="8"/>
    <n v="1"/>
    <n v="4210"/>
    <n v="0.87435098650051923"/>
    <s v="Silicon"/>
    <n v="6.8"/>
    <n v="29.776399999999999"/>
    <n v="0.96143254389382204"/>
    <n v="1.2664165103189493E-2"/>
    <n v="9.416628387689481E-3"/>
    <n v="0.95896656534954405"/>
    <n v="1.7791666666666666"/>
    <n v="6.2208333333333332"/>
    <n v="0.77760416666666665"/>
    <n v="526.25"/>
    <n v="5.25"/>
    <n v="5.3194774346793352"/>
    <n v="0.98693904889484252"/>
    <n v="0.73595689273049636"/>
    <s v="2871"/>
    <m/>
    <n v="0"/>
    <n v="0"/>
    <n v="0"/>
    <n v="0"/>
    <n v="0"/>
    <n v="0"/>
    <n v="0"/>
    <n v="15"/>
    <n v="0"/>
    <n v="0"/>
    <n v="0"/>
    <n v="0"/>
    <n v="90"/>
    <n v="0"/>
    <n v="0"/>
    <n v="0"/>
    <n v="0"/>
    <n v="0"/>
    <n v="0"/>
    <n v="0"/>
    <n v="0"/>
    <n v="0"/>
    <n v="0"/>
    <n v="0"/>
    <n v="0"/>
    <n v="0"/>
    <n v="0"/>
    <n v="0"/>
    <n v="1.75"/>
    <n v="1.7791666666666666"/>
  </r>
  <r>
    <d v="2021-08-28T00:00:00"/>
    <s v="C"/>
    <x v="9"/>
    <s v="FO130"/>
    <m/>
    <s v="INJ1"/>
    <s v="HOOD S TYPE MOLDED"/>
    <s v="EH28Hc"/>
    <s v="Himanshu"/>
    <n v="8"/>
    <n v="4137"/>
    <n v="517.125"/>
    <n v="5512"/>
    <n v="5500"/>
    <n v="0"/>
    <n v="0"/>
    <n v="0"/>
    <n v="0"/>
    <n v="4"/>
    <n v="8"/>
    <n v="1"/>
    <n v="5500"/>
    <n v="1.3294657964708727"/>
    <s v="HMC"/>
    <n v="8.6"/>
    <n v="47.403199999999998"/>
    <n v="0.99782293178519588"/>
    <n v="7.2674418604651162E-4"/>
    <n v="0"/>
    <n v="0.99907257129608162"/>
    <n v="0"/>
    <n v="8"/>
    <n v="1"/>
    <n v="687.5"/>
    <n v="6"/>
    <n v="5.2363636363636363"/>
    <n v="1.1458333333333333"/>
    <n v="1.1447706546100935"/>
    <n v="2875"/>
    <m/>
    <n v="0"/>
    <n v="0"/>
    <n v="0"/>
    <n v="0"/>
    <n v="0"/>
    <n v="0"/>
    <n v="0"/>
    <n v="0"/>
    <n v="0"/>
    <n v="0"/>
    <n v="0"/>
    <n v="0"/>
    <n v="0"/>
    <n v="0"/>
    <n v="0"/>
    <n v="0"/>
    <n v="0"/>
    <n v="0"/>
    <n v="0"/>
    <n v="0"/>
    <n v="0"/>
    <n v="0"/>
    <n v="0"/>
    <n v="0"/>
    <n v="0"/>
    <n v="0"/>
    <n v="0"/>
    <n v="0"/>
    <n v="0"/>
    <n v="0"/>
  </r>
  <r>
    <d v="2021-08-31T00:00:00"/>
    <s v="A"/>
    <x v="2"/>
    <s v="FO017"/>
    <m/>
    <m/>
    <s v="NIPPLE S TYPE L SIZE POSTCURED"/>
    <s v="HEH28NCH31Pa"/>
    <s v="Nitin"/>
    <n v="8"/>
    <n v="7036"/>
    <n v="879.5"/>
    <n v="6710"/>
    <n v="6710"/>
    <n v="0"/>
    <n v="0"/>
    <n v="0"/>
    <n v="0"/>
    <n v="0"/>
    <n v="0"/>
    <n v="1"/>
    <n v="6710"/>
    <n v="0.9536668561682774"/>
    <s v="FO013"/>
    <n v="0"/>
    <n v="0"/>
    <s v=" "/>
    <n v="0"/>
    <n v="0"/>
    <n v="1"/>
    <n v="0.6777777777777777"/>
    <n v="7.322222222222222"/>
    <n v="0.91527777777777775"/>
    <n v="838.75"/>
    <n v="2.2999999999999998"/>
    <n v="3.9284649776453056"/>
    <n v="0.58547040971168429"/>
    <n v="0.5358680555555555"/>
    <s v="2873/2874"/>
    <m/>
    <n v="40"/>
    <n v="0"/>
    <n v="0"/>
    <n v="0"/>
    <n v="0"/>
    <n v="0"/>
    <n v="0"/>
    <n v="0"/>
    <n v="0"/>
    <n v="0"/>
    <n v="0"/>
    <n v="0"/>
    <n v="0"/>
    <n v="0"/>
    <n v="0"/>
    <n v="0"/>
    <n v="0"/>
    <n v="0"/>
    <n v="0"/>
    <n v="0"/>
    <n v="0"/>
    <n v="0"/>
    <n v="0"/>
    <n v="0"/>
    <n v="0"/>
    <n v="0"/>
    <n v="0"/>
    <n v="0"/>
    <n v="0.66666666666666663"/>
    <n v="0.6777777777777777"/>
  </r>
  <r>
    <d v="2021-08-31T00:00:00"/>
    <s v="A"/>
    <x v="0"/>
    <s v="FO013"/>
    <s v="M2"/>
    <s v="L2"/>
    <s v="NIPPLE S TYPE L SIZE INJECTION"/>
    <s v="HEH31Na"/>
    <s v="Nitin"/>
    <n v="8"/>
    <n v="4815"/>
    <n v="601.875"/>
    <n v="4160"/>
    <n v="4000"/>
    <n v="1.2"/>
    <n v="102"/>
    <n v="0"/>
    <n v="0"/>
    <n v="50"/>
    <n v="8"/>
    <n v="1"/>
    <n v="4000"/>
    <n v="0.83073727933541019"/>
    <s v="Silicon"/>
    <n v="6.8"/>
    <n v="29.487999999999996"/>
    <n v="0.92240911557243632"/>
    <n v="1.2345679012345678E-2"/>
    <n v="2.3932426091037073E-2"/>
    <n v="0.99254843517138602"/>
    <n v="2.0333333333333332"/>
    <n v="5.9666666666666668"/>
    <n v="0.74583333333333335"/>
    <n v="500"/>
    <n v="5.25"/>
    <n v="5.37"/>
    <n v="0.97765363128491622"/>
    <n v="0.72373323397913569"/>
    <n v="2887"/>
    <s v="machine startup and middle plate cleaning "/>
    <n v="0"/>
    <n v="0"/>
    <n v="0"/>
    <n v="0"/>
    <n v="0"/>
    <n v="0"/>
    <n v="0"/>
    <n v="30"/>
    <n v="0"/>
    <n v="0"/>
    <n v="0"/>
    <n v="0"/>
    <n v="90"/>
    <n v="0"/>
    <n v="0"/>
    <n v="0"/>
    <n v="0"/>
    <n v="0"/>
    <n v="0"/>
    <n v="0"/>
    <n v="0"/>
    <n v="0"/>
    <n v="0"/>
    <n v="0"/>
    <n v="0"/>
    <n v="0"/>
    <n v="0"/>
    <n v="0"/>
    <n v="2"/>
    <n v="2.0333333333333332"/>
  </r>
  <r>
    <d v="2021-08-31T00:00:00"/>
    <s v="A"/>
    <x v="3"/>
    <s v="FO021"/>
    <m/>
    <s v="P1"/>
    <s v="NIPPLE S TYPE L SIZE PUNCHED"/>
    <m/>
    <s v="Nitin"/>
    <n v="8"/>
    <n v="7036"/>
    <n v="879.5"/>
    <n v="6400"/>
    <n v="6400"/>
    <n v="0"/>
    <n v="0"/>
    <n v="0"/>
    <n v="0"/>
    <n v="0"/>
    <n v="0"/>
    <n v="1"/>
    <n v="6400"/>
    <n v="0.90960773166571918"/>
    <s v="FO017"/>
    <n v="0"/>
    <n v="0"/>
    <s v=" "/>
    <n v="0"/>
    <n v="0"/>
    <n v="1"/>
    <n v="0.6777777777777777"/>
    <n v="7.322222222222222"/>
    <n v="0.91527777777777775"/>
    <n v="800"/>
    <n v="3.5"/>
    <n v="4.1187500000000004"/>
    <n v="0.84977238239757202"/>
    <n v="0.77777777777777768"/>
    <s v="2881/2882"/>
    <m/>
    <n v="40"/>
    <n v="0"/>
    <n v="0"/>
    <n v="0"/>
    <n v="0"/>
    <n v="0"/>
    <n v="0"/>
    <n v="0"/>
    <n v="0"/>
    <n v="0"/>
    <n v="0"/>
    <n v="0"/>
    <n v="0"/>
    <n v="0"/>
    <n v="0"/>
    <n v="0"/>
    <n v="0"/>
    <n v="0"/>
    <n v="0"/>
    <n v="0"/>
    <n v="0"/>
    <n v="0"/>
    <n v="0"/>
    <n v="0"/>
    <n v="0"/>
    <n v="0"/>
    <n v="0"/>
    <n v="0"/>
    <n v="0.66666666666666663"/>
    <n v="0.6777777777777777"/>
  </r>
  <r>
    <d v="2021-08-31T00:00:00"/>
    <s v="A"/>
    <x v="8"/>
    <s v="FO106"/>
    <m/>
    <s v="LZ1"/>
    <s v="NIPPLE S TYPE L SIZE PUNCHED LASER MARKED"/>
    <s v="HEH27CG22"/>
    <s v="Nitin"/>
    <n v="8"/>
    <n v="7036"/>
    <n v="879.5"/>
    <n v="3000"/>
    <n v="3000"/>
    <n v="0"/>
    <n v="0"/>
    <n v="0"/>
    <n v="0"/>
    <n v="0"/>
    <n v="0"/>
    <n v="1"/>
    <n v="3000"/>
    <n v="0.42637862421830586"/>
    <s v="FO021"/>
    <n v="0"/>
    <n v="0"/>
    <s v=" "/>
    <n v="0"/>
    <n v="0"/>
    <n v="1"/>
    <n v="4.7444444444444445"/>
    <n v="3.2555555555555555"/>
    <n v="0.40694444444444444"/>
    <n v="375"/>
    <n v="3.5"/>
    <n v="3.9066666666666667"/>
    <n v="0.89590443686006827"/>
    <n v="0.36458333333333331"/>
    <n v="2878"/>
    <s v="Laser machine chuck open and closing issue machine under maintenance."/>
    <n v="40"/>
    <n v="0"/>
    <n v="0"/>
    <n v="0"/>
    <n v="0"/>
    <n v="0"/>
    <n v="0"/>
    <n v="0"/>
    <n v="0"/>
    <n v="0"/>
    <n v="0"/>
    <n v="0"/>
    <n v="0"/>
    <n v="0"/>
    <n v="0"/>
    <n v="0"/>
    <n v="0"/>
    <n v="0"/>
    <n v="0"/>
    <n v="0"/>
    <n v="0"/>
    <n v="240"/>
    <n v="0"/>
    <n v="0"/>
    <n v="0"/>
    <n v="0"/>
    <n v="0"/>
    <n v="0"/>
    <n v="4.666666666666667"/>
    <n v="4.7444444444444445"/>
  </r>
  <r>
    <d v="2021-08-31T00:00:00"/>
    <s v="A"/>
    <x v="9"/>
    <s v="FO130"/>
    <m/>
    <s v="INJ1"/>
    <s v="HOOD S TYPE MOLDED"/>
    <s v="EH31Ha"/>
    <s v="Nitin"/>
    <n v="8"/>
    <n v="4137"/>
    <n v="517.125"/>
    <n v="4545"/>
    <n v="4500"/>
    <n v="0.35"/>
    <n v="25"/>
    <n v="0"/>
    <n v="0"/>
    <n v="12"/>
    <n v="8"/>
    <n v="1"/>
    <n v="4500"/>
    <n v="1.0877447425670776"/>
    <s v="HMC"/>
    <n v="8.6"/>
    <n v="39.437000000000005"/>
    <n v="0.98131196592032854"/>
    <n v="2.6595744680851063E-3"/>
    <n v="5.4704595185995622E-3"/>
    <n v="0.996"/>
    <n v="0"/>
    <n v="8"/>
    <n v="1"/>
    <n v="562.5"/>
    <n v="6"/>
    <n v="6.4"/>
    <n v="0.9375"/>
    <n v="0.93374999999999997"/>
    <n v="2885"/>
    <m/>
    <n v="0"/>
    <n v="0"/>
    <n v="0"/>
    <n v="0"/>
    <n v="0"/>
    <n v="0"/>
    <n v="0"/>
    <n v="0"/>
    <n v="0"/>
    <n v="0"/>
    <n v="0"/>
    <n v="0"/>
    <n v="0"/>
    <n v="0"/>
    <n v="0"/>
    <n v="0"/>
    <n v="0"/>
    <n v="0"/>
    <n v="0"/>
    <n v="0"/>
    <n v="0"/>
    <n v="0"/>
    <n v="0"/>
    <n v="0"/>
    <n v="0"/>
    <n v="0"/>
    <n v="0"/>
    <n v="0"/>
    <n v="0"/>
    <n v="0"/>
  </r>
  <r>
    <d v="2021-08-31T00:00:00"/>
    <s v="G"/>
    <x v="7"/>
    <s v="FO029"/>
    <m/>
    <s v="WR1"/>
    <s v="NIPPLE S TYPE S SIZE WITH PRINTED WRAP"/>
    <s v="HEH11BG22"/>
    <s v="Vivek"/>
    <n v="8.5"/>
    <n v="16132"/>
    <n v="1897.8823529411766"/>
    <n v="18229"/>
    <n v="18229"/>
    <n v="0"/>
    <n v="0"/>
    <n v="0"/>
    <n v="0"/>
    <n v="0"/>
    <n v="0"/>
    <n v="1"/>
    <n v="18229"/>
    <n v="1.1299900818249442"/>
    <s v="FO108"/>
    <n v="0"/>
    <n v="0"/>
    <s v=" "/>
    <n v="0"/>
    <n v="0"/>
    <n v="1"/>
    <n v="0"/>
    <n v="8.5"/>
    <n v="1"/>
    <n v="2144.5882352941176"/>
    <n v="2.5"/>
    <n v="1.6786439190301168"/>
    <n v="1.4892973856209151"/>
    <n v="1.4892973856209151"/>
    <s v="2898/2899/2900/2901"/>
    <m/>
    <m/>
    <n v="0"/>
    <n v="0"/>
    <n v="0"/>
    <n v="0"/>
    <n v="0"/>
    <n v="0"/>
    <n v="0"/>
    <n v="0"/>
    <n v="0"/>
    <n v="0"/>
    <n v="0"/>
    <n v="0"/>
    <n v="0"/>
    <n v="0"/>
    <n v="0"/>
    <n v="0"/>
    <n v="0"/>
    <n v="0"/>
    <n v="0"/>
    <n v="0"/>
    <n v="0"/>
    <n v="0"/>
    <n v="0"/>
    <n v="0"/>
    <n v="0"/>
    <n v="0"/>
    <n v="0"/>
    <n v="0"/>
    <n v="0"/>
  </r>
  <r>
    <d v="2021-08-31T00:00:00"/>
    <s v="G"/>
    <x v="4"/>
    <s v="FO110"/>
    <m/>
    <m/>
    <s v="NIPPLE S TYPE L SIZE PUNCHED INSPECTED"/>
    <s v="HEH27NbH28PaH28Pb"/>
    <s v="Vivek"/>
    <n v="8.5"/>
    <n v="7036"/>
    <n v="827.76470588235293"/>
    <n v="7300"/>
    <n v="7222"/>
    <n v="0"/>
    <n v="0"/>
    <n v="0"/>
    <n v="0"/>
    <n v="78"/>
    <n v="0"/>
    <n v="1"/>
    <n v="7222"/>
    <n v="1.026435474701535"/>
    <s v="FO106"/>
    <n v="0"/>
    <n v="0"/>
    <s v=" "/>
    <n v="1.0684931506849316E-2"/>
    <n v="0"/>
    <n v="0.99572110373580558"/>
    <n v="0.84722222222222221"/>
    <n v="7.6527777777777777"/>
    <n v="0.90032679738562094"/>
    <n v="849.64705882352939"/>
    <n v="4"/>
    <n v="3.814732761008031"/>
    <n v="1.0485662431941924"/>
    <n v="0.94001278577516179"/>
    <s v="2902/2903"/>
    <m/>
    <n v="50"/>
    <n v="0"/>
    <n v="0"/>
    <n v="0"/>
    <n v="0"/>
    <n v="0"/>
    <n v="0"/>
    <n v="0"/>
    <n v="0"/>
    <n v="0"/>
    <n v="0"/>
    <n v="0"/>
    <n v="0"/>
    <n v="0"/>
    <n v="0"/>
    <n v="0"/>
    <n v="0"/>
    <n v="0"/>
    <n v="0"/>
    <n v="0"/>
    <n v="0"/>
    <n v="0"/>
    <n v="0"/>
    <n v="0"/>
    <n v="0"/>
    <n v="0"/>
    <n v="0"/>
    <n v="0"/>
    <n v="0.83333333333333337"/>
    <n v="0.84722222222222221"/>
  </r>
  <r>
    <d v="2021-08-31T00:00:00"/>
    <s v="B"/>
    <x v="0"/>
    <s v="FO013"/>
    <s v="M2"/>
    <s v="L2"/>
    <s v="NIPPLE S TYPE L SIZE INJECTION"/>
    <s v="HEH31Nb"/>
    <s v="Saurav"/>
    <n v="8"/>
    <n v="4815"/>
    <n v="601.875"/>
    <n v="4385"/>
    <n v="4300"/>
    <n v="0.4"/>
    <n v="30"/>
    <n v="0"/>
    <n v="0"/>
    <n v="55"/>
    <n v="0"/>
    <n v="1"/>
    <n v="4300"/>
    <n v="0.89304257528556596"/>
    <s v="Silicon"/>
    <n v="6.8"/>
    <n v="30.217999999999996"/>
    <n v="0.96763518432722229"/>
    <n v="1.2629161882893225E-2"/>
    <n v="6.7950169875424689E-3"/>
    <n v="0.99246575342465748"/>
    <n v="0"/>
    <n v="8"/>
    <n v="1"/>
    <n v="537.5"/>
    <n v="5.25"/>
    <n v="6.6976744186046515"/>
    <n v="0.78385416666666663"/>
    <n v="0.77794841609589038"/>
    <n v="2904"/>
    <m/>
    <n v="0"/>
    <n v="0"/>
    <n v="0"/>
    <n v="0"/>
    <n v="0"/>
    <n v="0"/>
    <n v="0"/>
    <n v="0"/>
    <n v="0"/>
    <n v="0"/>
    <n v="0"/>
    <n v="0"/>
    <n v="0"/>
    <n v="0"/>
    <n v="0"/>
    <n v="0"/>
    <n v="0"/>
    <n v="0"/>
    <n v="0"/>
    <n v="0"/>
    <n v="0"/>
    <n v="0"/>
    <n v="0"/>
    <n v="0"/>
    <n v="0"/>
    <n v="0"/>
    <n v="0"/>
    <n v="0"/>
    <n v="0"/>
    <n v="0"/>
  </r>
  <r>
    <d v="2021-08-31T00:00:00"/>
    <s v="B"/>
    <x v="3"/>
    <s v="FO021"/>
    <m/>
    <s v="P1"/>
    <s v="NIPPLE S TYPE L SIZE PUNCHED"/>
    <s v="HEH28NbH28PbH31Pb"/>
    <s v="Saurav"/>
    <n v="8"/>
    <n v="7000"/>
    <n v="875"/>
    <n v="7500"/>
    <n v="7500"/>
    <n v="0"/>
    <n v="0"/>
    <n v="0"/>
    <n v="0"/>
    <n v="0"/>
    <n v="0"/>
    <n v="1"/>
    <n v="7500"/>
    <n v="1.0714285714285714"/>
    <s v="FO017"/>
    <n v="0"/>
    <n v="0"/>
    <s v=" "/>
    <n v="0"/>
    <n v="0"/>
    <n v="1"/>
    <n v="0.6777777777777777"/>
    <n v="7.322222222222222"/>
    <n v="0.91527777777777775"/>
    <n v="937.5"/>
    <n v="3.5"/>
    <n v="3.5146666666666668"/>
    <n v="0.99582701062215473"/>
    <n v="0.91145833333333326"/>
    <s v="2905/2906"/>
    <m/>
    <n v="40"/>
    <n v="0"/>
    <n v="0"/>
    <n v="0"/>
    <n v="0"/>
    <n v="0"/>
    <n v="0"/>
    <n v="0"/>
    <n v="0"/>
    <n v="0"/>
    <n v="0"/>
    <n v="0"/>
    <n v="0"/>
    <n v="0"/>
    <n v="0"/>
    <n v="0"/>
    <n v="0"/>
    <n v="0"/>
    <n v="0"/>
    <n v="0"/>
    <n v="0"/>
    <n v="0"/>
    <n v="0"/>
    <n v="0"/>
    <n v="0"/>
    <n v="0"/>
    <n v="0"/>
    <n v="0"/>
    <n v="0.66666666666666663"/>
    <n v="0.6777777777777777"/>
  </r>
  <r>
    <d v="2021-08-31T00:00:00"/>
    <s v="B"/>
    <x v="9"/>
    <s v="FO130"/>
    <m/>
    <s v="INJ-1"/>
    <s v="HOOD S TYPE MOLDED"/>
    <s v="EH31Hb"/>
    <s v="Saurav"/>
    <n v="8"/>
    <n v="4137"/>
    <n v="517.125"/>
    <n v="4506"/>
    <n v="4500"/>
    <n v="0"/>
    <n v="0"/>
    <n v="0"/>
    <n v="0"/>
    <n v="6"/>
    <n v="0"/>
    <n v="1"/>
    <n v="4500"/>
    <n v="1.0877447425670776"/>
    <s v="HMC"/>
    <n v="8.6"/>
    <n v="38.751600000000003"/>
    <n v="0.99866844207723038"/>
    <n v="1.3315579227696406E-3"/>
    <n v="0"/>
    <n v="0.99919999999999998"/>
    <n v="0"/>
    <n v="8"/>
    <n v="1"/>
    <n v="562.5"/>
    <n v="6"/>
    <n v="6.4"/>
    <n v="0.9375"/>
    <n v="0.93674999999999997"/>
    <n v="2907"/>
    <m/>
    <n v="0"/>
    <n v="0"/>
    <n v="0"/>
    <n v="0"/>
    <n v="0"/>
    <n v="0"/>
    <n v="0"/>
    <n v="0"/>
    <n v="0"/>
    <n v="0"/>
    <n v="0"/>
    <n v="0"/>
    <n v="0"/>
    <n v="0"/>
    <n v="0"/>
    <n v="0"/>
    <n v="0"/>
    <n v="0"/>
    <n v="0"/>
    <n v="0"/>
    <n v="0"/>
    <n v="0"/>
    <n v="0"/>
    <n v="0"/>
    <n v="0"/>
    <n v="0"/>
    <n v="0"/>
    <n v="0"/>
    <n v="0"/>
    <n v="0"/>
  </r>
  <r>
    <d v="2021-08-31T00:00:00"/>
    <s v="B"/>
    <x v="2"/>
    <s v="FO017"/>
    <m/>
    <s v="PC1"/>
    <s v="NIPPLE S TYPE L SIZE POSTCURED"/>
    <s v="HEH31NaH31Pb"/>
    <s v="Saurav"/>
    <n v="2.5"/>
    <n v="4000"/>
    <n v="1600"/>
    <n v="4000"/>
    <n v="4000"/>
    <n v="0"/>
    <n v="0"/>
    <n v="0"/>
    <n v="0"/>
    <n v="0"/>
    <n v="0"/>
    <n v="1"/>
    <n v="4000"/>
    <n v="1"/>
    <s v="FO013"/>
    <n v="0"/>
    <n v="0"/>
    <s v=" "/>
    <n v="0"/>
    <n v="0"/>
    <n v="1"/>
    <n v="0"/>
    <n v="2.5"/>
    <n v="1"/>
    <n v="1600"/>
    <n v="2.2999999999999998"/>
    <n v="2.25"/>
    <n v="1.0222222222222221"/>
    <n v="1.0222222222222221"/>
    <n v="2908"/>
    <m/>
    <n v="0"/>
    <n v="0"/>
    <n v="0"/>
    <n v="0"/>
    <n v="0"/>
    <n v="0"/>
    <n v="0"/>
    <n v="0"/>
    <n v="0"/>
    <n v="0"/>
    <n v="0"/>
    <n v="0"/>
    <n v="0"/>
    <n v="0"/>
    <n v="0"/>
    <n v="0"/>
    <n v="0"/>
    <n v="0"/>
    <n v="0"/>
    <n v="0"/>
    <n v="0"/>
    <n v="0"/>
    <n v="0"/>
    <n v="0"/>
    <n v="0"/>
    <n v="0"/>
    <n v="0"/>
    <n v="0"/>
    <n v="0"/>
    <n v="0"/>
  </r>
  <r>
    <d v="2021-08-31T00:00:00"/>
    <s v="G"/>
    <x v="6"/>
    <s v="FO058"/>
    <m/>
    <m/>
    <s v="RPP 120ML BOY BLUE BOTTLE PRINTED (WM3GB)"/>
    <s v="EH28Ba1H31Pa"/>
    <s v="Pintu"/>
    <n v="3"/>
    <n v="650"/>
    <n v="216.66666666666666"/>
    <n v="682"/>
    <n v="670"/>
    <n v="0"/>
    <n v="0"/>
    <n v="7"/>
    <n v="0"/>
    <n v="12"/>
    <n v="0"/>
    <n v="6"/>
    <n v="111.66666666666667"/>
    <n v="1.0307692307692307"/>
    <s v="FO054"/>
    <n v="0"/>
    <n v="0"/>
    <s v=" "/>
    <n v="1.7595307917888565E-2"/>
    <n v="0"/>
    <n v="0.997"/>
    <n v="1.8638888888888887"/>
    <n v="1.1361111111111113"/>
    <n v="0.37870370370370376"/>
    <n v="223.33333333333334"/>
    <n v="32.4"/>
    <n v="36.626865671641802"/>
    <n v="0.88459657701711458"/>
    <n v="0.33399499999999993"/>
    <s v="2879,80"/>
    <s v="SKU change FO058 TO FO056"/>
    <n v="30"/>
    <n v="60"/>
    <n v="0"/>
    <n v="0"/>
    <n v="0"/>
    <n v="0"/>
    <n v="20"/>
    <n v="0"/>
    <n v="0"/>
    <n v="0"/>
    <n v="0"/>
    <n v="0"/>
    <n v="0"/>
    <n v="0"/>
    <n v="0"/>
    <n v="0"/>
    <n v="0"/>
    <n v="0"/>
    <n v="0"/>
    <n v="0"/>
    <n v="0"/>
    <n v="0"/>
    <n v="0"/>
    <n v="0"/>
    <n v="0"/>
    <n v="0"/>
    <n v="0"/>
    <n v="0"/>
    <n v="1.8333333333333333"/>
    <n v="1.8638888888888887"/>
  </r>
  <r>
    <d v="2021-08-31T00:00:00"/>
    <s v="G"/>
    <x v="6"/>
    <s v="FO056"/>
    <m/>
    <m/>
    <s v="RPP 120ML GIRL PINK BOTTLE PRINTED (WM3GB)"/>
    <s v="EH27Bb1H31Pa"/>
    <s v="Pintu"/>
    <n v="4"/>
    <n v="1100"/>
    <n v="275"/>
    <n v="1193"/>
    <n v="1171"/>
    <n v="0"/>
    <n v="0"/>
    <n v="18"/>
    <n v="0"/>
    <n v="22"/>
    <n v="0"/>
    <n v="6"/>
    <n v="195.16666666666666"/>
    <n v="1.0645454545454545"/>
    <s v="FO052"/>
    <n v="0"/>
    <n v="0"/>
    <s v=" "/>
    <n v="1.8440905280804692E-2"/>
    <n v="0"/>
    <n v="0.967741935483871"/>
    <n v="1.8638888888888887"/>
    <n v="2.1361111111111111"/>
    <n v="0.53402777777777777"/>
    <n v="292.75"/>
    <n v="32.4"/>
    <n v="39.402220324508967"/>
    <n v="0.82228868660598176"/>
    <n v="0.42495967741935481"/>
    <n v="2892"/>
    <m/>
    <n v="30"/>
    <n v="60"/>
    <n v="0"/>
    <n v="0"/>
    <n v="0"/>
    <n v="0"/>
    <n v="20"/>
    <n v="0"/>
    <n v="0"/>
    <n v="0"/>
    <n v="0"/>
    <n v="0"/>
    <n v="0"/>
    <n v="0"/>
    <n v="0"/>
    <n v="0"/>
    <n v="0"/>
    <n v="0"/>
    <n v="0"/>
    <n v="0"/>
    <n v="0"/>
    <n v="0"/>
    <n v="0"/>
    <n v="0"/>
    <n v="0"/>
    <n v="0"/>
    <n v="0"/>
    <n v="0"/>
    <n v="1.8333333333333333"/>
    <n v="1.8638888888888887"/>
  </r>
  <r>
    <d v="2021-08-31T00:00:00"/>
    <s v="G"/>
    <x v="6"/>
    <s v="FO092"/>
    <m/>
    <m/>
    <s v="RPP 120ML GRL PNK BOTLE PNTD WM3GB W/BIS LOGO"/>
    <s v="EH27Bb1H31Pa"/>
    <s v="Pintu"/>
    <n v="0.5"/>
    <n v="210"/>
    <n v="420"/>
    <n v="7"/>
    <n v="7"/>
    <n v="0"/>
    <n v="0"/>
    <n v="0"/>
    <n v="0"/>
    <n v="0"/>
    <n v="0"/>
    <n v="1"/>
    <n v="7"/>
    <n v="3.3333333333333333E-2"/>
    <s v="FO052"/>
    <n v="0"/>
    <n v="0"/>
    <s v=" "/>
    <n v="0"/>
    <n v="0"/>
    <n v="1"/>
    <n v="0.4236111111111111"/>
    <n v="7.6388888888888895E-2"/>
    <n v="0.15277777777777779"/>
    <n v="14"/>
    <n v="32.4"/>
    <n v="39.285714285714285"/>
    <n v="0.82472727272727275"/>
    <n v="0.126"/>
    <n v="2893"/>
    <m/>
    <n v="0"/>
    <n v="25"/>
    <n v="0"/>
    <n v="0"/>
    <n v="0"/>
    <n v="0"/>
    <n v="0"/>
    <n v="0"/>
    <n v="0"/>
    <n v="0"/>
    <n v="0"/>
    <n v="0"/>
    <n v="0"/>
    <n v="0"/>
    <n v="0"/>
    <n v="0"/>
    <n v="0"/>
    <n v="0"/>
    <n v="0"/>
    <n v="0"/>
    <n v="0"/>
    <n v="0"/>
    <n v="0"/>
    <n v="0"/>
    <n v="0"/>
    <n v="0"/>
    <n v="0"/>
    <n v="0"/>
    <n v="0.41666666666666669"/>
    <n v="0.4236111111111111"/>
  </r>
  <r>
    <d v="2021-08-31T00:00:00"/>
    <s v="G"/>
    <x v="6"/>
    <s v="FO094"/>
    <m/>
    <m/>
    <s v="RPP 120ML BOY BLUE BOTLE PNTD WM3GB W/BIS LOGO"/>
    <s v="EH28Bb1H31Pa"/>
    <s v="Pintu"/>
    <n v="1"/>
    <n v="215"/>
    <n v="215"/>
    <n v="51"/>
    <n v="51"/>
    <n v="0"/>
    <n v="0"/>
    <n v="0"/>
    <n v="0"/>
    <n v="0"/>
    <n v="0"/>
    <n v="1"/>
    <n v="51"/>
    <n v="0.23720930232558141"/>
    <s v="FO054"/>
    <n v="0"/>
    <n v="0"/>
    <s v=" "/>
    <n v="0"/>
    <n v="0"/>
    <n v="1"/>
    <n v="0.5083333333333333"/>
    <n v="0.4916666666666667"/>
    <n v="0.4916666666666667"/>
    <n v="51"/>
    <n v="32.4"/>
    <n v="34.705882352941174"/>
    <n v="0.93355932203389835"/>
    <n v="0.45900000000000007"/>
    <n v="2894"/>
    <m/>
    <n v="0"/>
    <n v="30"/>
    <n v="0"/>
    <n v="0"/>
    <n v="0"/>
    <n v="0"/>
    <n v="0"/>
    <n v="0"/>
    <n v="0"/>
    <n v="0"/>
    <n v="0"/>
    <n v="0"/>
    <n v="0"/>
    <n v="0"/>
    <n v="0"/>
    <n v="0"/>
    <n v="0"/>
    <n v="0"/>
    <n v="0"/>
    <n v="0"/>
    <n v="0"/>
    <n v="0"/>
    <n v="0"/>
    <n v="0"/>
    <n v="0"/>
    <n v="0"/>
    <n v="0"/>
    <n v="0"/>
    <n v="0.5"/>
    <n v="0.5083333333333333"/>
  </r>
  <r>
    <d v="2021-08-31T00:00:00"/>
    <s v="G"/>
    <x v="6"/>
    <s v="FO008"/>
    <m/>
    <m/>
    <s v="KPP 240 ML BOTTLE PRINTED"/>
    <s v="EH19Bb2H31Pa"/>
    <s v="Pintu"/>
    <n v="1.2999999999999998"/>
    <n v="630"/>
    <n v="484.6153846153847"/>
    <n v="630"/>
    <n v="595"/>
    <n v="0"/>
    <n v="0"/>
    <n v="0"/>
    <n v="0"/>
    <n v="35"/>
    <n v="0"/>
    <n v="6"/>
    <n v="99.166666666666671"/>
    <n v="0.94444444444444442"/>
    <s v="FO003"/>
    <n v="0"/>
    <n v="0"/>
    <s v=" "/>
    <n v="5.5555555555555552E-2"/>
    <n v="0"/>
    <n v="0.31372549019607843"/>
    <n v="0.5083333333333333"/>
    <n v="0.79166666666666652"/>
    <n v="0.60897435897435892"/>
    <n v="457.69230769230774"/>
    <n v="32.4"/>
    <n v="28.739495798319322"/>
    <n v="1.1273684210526318"/>
    <n v="0.21538461538461542"/>
    <n v="2895"/>
    <m/>
    <n v="0"/>
    <n v="30"/>
    <n v="0"/>
    <n v="0"/>
    <n v="0"/>
    <n v="0"/>
    <n v="0"/>
    <n v="0"/>
    <n v="0"/>
    <n v="0"/>
    <n v="0"/>
    <n v="0"/>
    <n v="0"/>
    <n v="0"/>
    <n v="0"/>
    <n v="0"/>
    <n v="0"/>
    <n v="0"/>
    <n v="0"/>
    <n v="0"/>
    <n v="0"/>
    <n v="0"/>
    <n v="0"/>
    <n v="0"/>
    <n v="0"/>
    <n v="0"/>
    <n v="0"/>
    <n v="0"/>
    <n v="0.5"/>
    <n v="0.5083333333333333"/>
  </r>
</pivotCacheRecords>
</file>

<file path=xl/pivotCache/pivotCacheRecords3.xml><?xml version="1.0" encoding="utf-8"?>
<pivotCacheRecords xmlns="http://schemas.openxmlformats.org/spreadsheetml/2006/main" xmlns:r="http://schemas.openxmlformats.org/officeDocument/2006/relationships" count="1509">
  <r>
    <x v="0"/>
    <d v="2021-08-02T00:00:00"/>
    <s v="B"/>
    <x v="0"/>
    <x v="0"/>
    <s v="M2"/>
    <s v="L2"/>
    <s v="NIPPLE S TYPE M SIZE INJECTION"/>
    <s v="HEH02Nb"/>
    <s v="Saurav"/>
    <n v="8"/>
    <n v="4815"/>
    <n v="601.875"/>
    <n v="6618"/>
    <n v="4330"/>
    <n v="0.8"/>
    <n v="2137"/>
    <n v="0"/>
    <n v="0"/>
    <n v="135"/>
    <n v="16"/>
    <n v="1"/>
    <n v="4330"/>
    <n v="0.89927310488058154"/>
    <x v="0"/>
    <n v="6.8"/>
    <n v="45.802399999999992"/>
    <n v="0.64284840969032198"/>
    <n v="3.0235162374020158E-2"/>
    <n v="0.24408909194745859"/>
    <n v="0.97960108794197642"/>
    <n v="1"/>
    <n v="7"/>
    <n v="0.875"/>
    <n v="541.25"/>
    <n v="5.25"/>
    <n v="5.8198614318706694"/>
    <n v="0.90208333333333335"/>
    <n v="0.7732215879042007"/>
  </r>
  <r>
    <x v="0"/>
    <d v="2021-08-02T00:00:00"/>
    <s v="B"/>
    <x v="1"/>
    <x v="1"/>
    <s v="BM1"/>
    <s v="B1"/>
    <s v="RPP 120 ML BOTTLE MOLDED"/>
    <s v="EH02Bb1"/>
    <s v="Saurav"/>
    <n v="8"/>
    <n v="2574"/>
    <n v="321.75"/>
    <n v="2381"/>
    <n v="2160"/>
    <n v="0.2"/>
    <n v="173"/>
    <n v="0"/>
    <n v="0"/>
    <n v="40"/>
    <n v="8"/>
    <n v="1"/>
    <n v="2160"/>
    <n v="0.83916083916083917"/>
    <x v="1"/>
    <n v="21.3"/>
    <n v="50.915300000000002"/>
    <n v="0.90361836226045988"/>
    <n v="1.8181818181818181E-2"/>
    <n v="6.773688332028191E-2"/>
    <n v="0.98320033599328016"/>
    <n v="2.5"/>
    <n v="5.5"/>
    <n v="0.6875"/>
    <n v="270"/>
    <n v="9"/>
    <n v="9.1666666666666661"/>
    <n v="0.98181818181818192"/>
    <n v="0.66366022679546421"/>
  </r>
  <r>
    <x v="0"/>
    <d v="2021-08-02T00:00:00"/>
    <s v="B"/>
    <x v="2"/>
    <x v="2"/>
    <m/>
    <s v="PC1"/>
    <s v="NIPPLE S TYPE M SIZE POSTCURED"/>
    <s v="HEH02NbH02Pb"/>
    <s v="Saurav"/>
    <n v="3"/>
    <n v="3000"/>
    <n v="1000"/>
    <n v="2830"/>
    <n v="2830"/>
    <n v="0"/>
    <n v="0"/>
    <n v="0"/>
    <n v="0"/>
    <n v="0"/>
    <n v="0"/>
    <n v="1"/>
    <n v="2830"/>
    <n v="0.94333333333333336"/>
    <x v="2"/>
    <n v="0"/>
    <n v="0"/>
    <s v=" "/>
    <n v="0"/>
    <n v="0"/>
    <n v="1"/>
    <n v="1"/>
    <n v="2"/>
    <n v="0.66666666666666663"/>
    <n v="943.33333333333337"/>
    <n v="2.2999999999999998"/>
    <n v="2.5441696113074204"/>
    <n v="0.90402777777777776"/>
    <n v="0.6026851851851851"/>
  </r>
  <r>
    <x v="0"/>
    <d v="2021-08-02T00:00:00"/>
    <s v="C"/>
    <x v="0"/>
    <x v="0"/>
    <s v="M2"/>
    <s v="L2"/>
    <s v="NIPPLE S TYPE M SIZE INJECTION"/>
    <s v="HEH02Nc"/>
    <s v="Himanshu"/>
    <n v="8"/>
    <n v="4815"/>
    <n v="601.875"/>
    <n v="4848"/>
    <n v="4700"/>
    <n v="7.2629999999999999"/>
    <n v="60"/>
    <n v="0"/>
    <n v="0"/>
    <n v="80"/>
    <n v="8"/>
    <n v="1"/>
    <n v="4700"/>
    <n v="0.97611630321910692"/>
    <x v="0"/>
    <n v="6.8"/>
    <n v="40.229399999999998"/>
    <n v="0.79444386443745119"/>
    <n v="1.6736401673640166E-2"/>
    <n v="1.2224938875305624E-2"/>
    <n v="0.98349834983498352"/>
    <n v="0.75"/>
    <n v="7.25"/>
    <n v="0.90625"/>
    <n v="587.5"/>
    <n v="5.25"/>
    <n v="5.5531914893617023"/>
    <n v="0.9454022988505747"/>
    <n v="0.84263270077007701"/>
  </r>
  <r>
    <x v="0"/>
    <d v="2021-08-02T00:00:00"/>
    <s v="C"/>
    <x v="1"/>
    <x v="1"/>
    <s v="BM1"/>
    <s v="B1"/>
    <s v="RPP 120 ML BOTTLE MOLDED"/>
    <s v="EH02BC1"/>
    <s v="Himanshu"/>
    <n v="8"/>
    <n v="2503"/>
    <n v="312.875"/>
    <n v="3304"/>
    <n v="3240"/>
    <n v="0"/>
    <n v="20"/>
    <n v="0"/>
    <n v="0"/>
    <n v="36"/>
    <n v="8"/>
    <n v="1"/>
    <n v="3240"/>
    <n v="1.2944466640031962"/>
    <x v="1"/>
    <n v="21.3"/>
    <n v="70.375199999999992"/>
    <n v="0.98062953995157398"/>
    <n v="1.098901098901099E-2"/>
    <n v="6.0168471720818293E-3"/>
    <n v="0.98910411622276029"/>
    <n v="0.33333333333333331"/>
    <n v="7.666666666666667"/>
    <n v="0.95833333333333337"/>
    <n v="405"/>
    <n v="9"/>
    <n v="8.518518518518519"/>
    <n v="1.0565217391304347"/>
    <n v="1.0014679176755448"/>
  </r>
  <r>
    <x v="0"/>
    <d v="2021-08-03T00:00:00"/>
    <s v="A"/>
    <x v="3"/>
    <x v="3"/>
    <m/>
    <s v="PC1"/>
    <s v="NIPPLE S TYPE M SIZE PUNCHED"/>
    <s v="HEH02NbH02PbH03Pa"/>
    <s v="Nitin"/>
    <n v="8"/>
    <n v="7036"/>
    <n v="879.5"/>
    <n v="2830"/>
    <n v="2827"/>
    <n v="0"/>
    <n v="0"/>
    <n v="0"/>
    <n v="0"/>
    <n v="3"/>
    <n v="0"/>
    <n v="1"/>
    <n v="2827"/>
    <n v="0.40179079022171688"/>
    <x v="3"/>
    <n v="0"/>
    <n v="0"/>
    <s v=" "/>
    <n v="1.0600706713780918E-3"/>
    <n v="0"/>
    <n v="0.99893992932862186"/>
    <n v="4.5"/>
    <n v="3.5"/>
    <n v="0.4375"/>
    <n v="353.375"/>
    <n v="3.5"/>
    <n v="4.457021577644146"/>
    <n v="0.78527777777777774"/>
    <n v="0.34319483092854336"/>
  </r>
  <r>
    <x v="0"/>
    <d v="2021-08-03T00:00:00"/>
    <s v="A"/>
    <x v="1"/>
    <x v="1"/>
    <s v="BM1"/>
    <s v="B1"/>
    <s v="RPP 120 ML BOTTLE MOLDED"/>
    <s v="EH03Ba1"/>
    <s v="Nitin"/>
    <n v="8"/>
    <n v="2574"/>
    <n v="321.75"/>
    <n v="3177"/>
    <n v="3060"/>
    <n v="0.28199999999999997"/>
    <n v="57"/>
    <n v="0"/>
    <n v="0"/>
    <n v="52"/>
    <n v="8"/>
    <n v="1"/>
    <n v="3060"/>
    <n v="1.1888111888111887"/>
    <x v="1"/>
    <n v="21.3"/>
    <n v="67.952100000000002"/>
    <n v="0.95917565461553056"/>
    <n v="1.6709511568123392E-2"/>
    <n v="1.7625231910946195E-2"/>
    <n v="0.98363235757003464"/>
    <n v="0"/>
    <n v="8"/>
    <n v="1"/>
    <n v="382.5"/>
    <n v="9"/>
    <n v="9.4117647058823533"/>
    <n v="0.95624999999999993"/>
    <n v="0.94059844192634556"/>
  </r>
  <r>
    <x v="0"/>
    <d v="2021-08-03T00:00:00"/>
    <s v="A"/>
    <x v="0"/>
    <x v="0"/>
    <s v="M2"/>
    <s v="L2"/>
    <s v="NIPPLE S TYPE M SIZE INJECTION"/>
    <s v="HEH02Nb"/>
    <s v="Nitin"/>
    <n v="8"/>
    <n v="4815"/>
    <n v="601.875"/>
    <n v="4660"/>
    <n v="4500"/>
    <n v="0"/>
    <n v="92"/>
    <n v="0"/>
    <n v="0"/>
    <n v="60"/>
    <n v="8"/>
    <n v="1"/>
    <n v="4500"/>
    <n v="0.93457943925233644"/>
    <x v="0"/>
    <n v="6.8"/>
    <n v="31.687999999999999"/>
    <n v="0.96566523605150212"/>
    <n v="1.3157894736842105E-2"/>
    <n v="1.9360269360269359E-2"/>
    <n v="0.98712446351931327"/>
    <n v="1"/>
    <n v="7"/>
    <n v="0.875"/>
    <n v="562.5"/>
    <n v="5.25"/>
    <n v="5.6"/>
    <n v="0.93750000000000011"/>
    <n v="0.80975053648068673"/>
  </r>
  <r>
    <x v="0"/>
    <d v="2021-08-03T00:00:00"/>
    <s v="B"/>
    <x v="2"/>
    <x v="2"/>
    <m/>
    <s v="PC1"/>
    <s v="NIPPLE S TYPE M SIZE POSTCURED"/>
    <s v="HEH03NaH03Pb"/>
    <s v="Saurav"/>
    <n v="8"/>
    <n v="12700"/>
    <n v="1587.5"/>
    <n v="12700"/>
    <n v="12700"/>
    <n v="0"/>
    <n v="0"/>
    <n v="0"/>
    <n v="0"/>
    <n v="0"/>
    <n v="0"/>
    <n v="1"/>
    <n v="12700"/>
    <n v="1"/>
    <x v="2"/>
    <n v="0"/>
    <n v="0"/>
    <s v=" "/>
    <n v="0"/>
    <n v="0"/>
    <n v="1"/>
    <n v="0.66666666666666663"/>
    <n v="7.333333333333333"/>
    <n v="0.91666666666666663"/>
    <n v="1587.5"/>
    <n v="2.2999999999999998"/>
    <n v="2.0787401574803148"/>
    <n v="1.1064393939393939"/>
    <n v="1.0142361111111111"/>
  </r>
  <r>
    <x v="0"/>
    <d v="2021-08-03T00:00:00"/>
    <s v="B"/>
    <x v="0"/>
    <x v="0"/>
    <s v="M2"/>
    <s v="L2"/>
    <s v="NIPPLE S TYPE M SIZE INJECTION"/>
    <s v="HEH03Nb"/>
    <s v="Saurav"/>
    <n v="8"/>
    <n v="4815"/>
    <n v="601.875"/>
    <n v="5119"/>
    <n v="5000"/>
    <n v="0.2"/>
    <n v="62"/>
    <n v="0"/>
    <n v="0"/>
    <n v="57"/>
    <n v="0"/>
    <n v="1"/>
    <n v="5000"/>
    <n v="1.0384215991692627"/>
    <x v="0"/>
    <n v="6.8"/>
    <n v="35.0092"/>
    <n v="0.97117329159192445"/>
    <n v="1.1271504844769626E-2"/>
    <n v="1.1966801775718973E-2"/>
    <n v="0.98886501269779259"/>
    <n v="0"/>
    <n v="8"/>
    <n v="1"/>
    <n v="625"/>
    <n v="5.25"/>
    <n v="5.76"/>
    <n v="0.91145833333333337"/>
    <n v="0.90130925636517556"/>
  </r>
  <r>
    <x v="0"/>
    <d v="2021-08-03T00:00:00"/>
    <s v="B"/>
    <x v="1"/>
    <x v="1"/>
    <s v="BM4"/>
    <s v="B1"/>
    <s v="RPP 120 ML BOTTLE MOLDED"/>
    <s v="EH03Bb1"/>
    <s v="Saurav"/>
    <n v="8"/>
    <n v="2574"/>
    <n v="321.75"/>
    <n v="2788"/>
    <n v="2700"/>
    <n v="0.25"/>
    <n v="37"/>
    <n v="0"/>
    <n v="0"/>
    <n v="51"/>
    <n v="0"/>
    <n v="1"/>
    <n v="2700"/>
    <n v="1.048951048951049"/>
    <x v="1"/>
    <n v="21.3"/>
    <n v="59.634399999999999"/>
    <n v="0.96437626604778448"/>
    <n v="1.8538713195201745E-2"/>
    <n v="1.3097345132743363E-2"/>
    <n v="0.98170731707317072"/>
    <n v="0"/>
    <n v="8"/>
    <n v="1"/>
    <n v="337.5"/>
    <n v="9"/>
    <n v="10.666666666666666"/>
    <n v="0.84375"/>
    <n v="0.82831554878048774"/>
  </r>
  <r>
    <x v="0"/>
    <d v="2021-08-03T00:00:00"/>
    <s v="B"/>
    <x v="3"/>
    <x v="3"/>
    <m/>
    <s v="P1"/>
    <s v="NIPPLE S TYPE M SIZE PUNCHED"/>
    <s v="HEH02NcH03PbH03Pb"/>
    <s v="Saurav"/>
    <n v="4"/>
    <n v="3518"/>
    <n v="879.5"/>
    <n v="3200"/>
    <n v="3200"/>
    <n v="0"/>
    <n v="0"/>
    <n v="0"/>
    <n v="0"/>
    <n v="0"/>
    <n v="0"/>
    <n v="1"/>
    <n v="3200"/>
    <n v="0.90960773166571918"/>
    <x v="3"/>
    <n v="0"/>
    <n v="0"/>
    <s v=" "/>
    <n v="0"/>
    <n v="0"/>
    <n v="1"/>
    <n v="0.66666666666666663"/>
    <n v="3.3333333333333335"/>
    <n v="0.83333333333333337"/>
    <n v="800"/>
    <n v="3.5"/>
    <n v="3.75"/>
    <n v="0.93333333333333335"/>
    <n v="0.77777777777777779"/>
  </r>
  <r>
    <x v="0"/>
    <d v="2021-08-03T00:00:00"/>
    <s v="C"/>
    <x v="1"/>
    <x v="1"/>
    <s v="BM4"/>
    <s v="B1"/>
    <s v="RPP 120 ML BOTTLE MOLDED"/>
    <s v="EH03Bc1"/>
    <s v="Himanshu"/>
    <n v="8"/>
    <n v="2574"/>
    <n v="321.75"/>
    <n v="3297"/>
    <n v="3240"/>
    <n v="0"/>
    <n v="20"/>
    <n v="0"/>
    <n v="0"/>
    <n v="29"/>
    <n v="8"/>
    <n v="1"/>
    <n v="3240"/>
    <n v="1.2587412587412588"/>
    <x v="1"/>
    <n v="21.3"/>
    <n v="70.226100000000002"/>
    <n v="0.98271155595996362"/>
    <n v="8.8712144386662584E-3"/>
    <n v="6.0295447693699128E-3"/>
    <n v="0.99120412496208676"/>
    <n v="0"/>
    <n v="8"/>
    <n v="1"/>
    <n v="405"/>
    <n v="9"/>
    <n v="8.8888888888888893"/>
    <n v="1.0125"/>
    <n v="1.0035941765241128"/>
  </r>
  <r>
    <x v="0"/>
    <d v="2021-08-03T00:00:00"/>
    <s v="C"/>
    <x v="0"/>
    <x v="0"/>
    <s v="M2"/>
    <s v="L2"/>
    <s v="NIPPLE S TYPE M SIZE INJECTION"/>
    <s v="HEH03Nc"/>
    <s v="Himanshu"/>
    <n v="8"/>
    <n v="4815"/>
    <n v="601.875"/>
    <n v="5482"/>
    <n v="5400"/>
    <n v="0"/>
    <n v="23"/>
    <n v="0"/>
    <n v="0"/>
    <n v="51"/>
    <n v="8"/>
    <n v="1"/>
    <n v="5400"/>
    <n v="1.1214953271028036"/>
    <x v="0"/>
    <n v="6.8"/>
    <n v="37.2776"/>
    <n v="0.98504195549069684"/>
    <n v="9.3560814529444133E-3"/>
    <n v="4.1780199818346958E-3"/>
    <n v="0.99069682597592124"/>
    <n v="0"/>
    <n v="8"/>
    <n v="1"/>
    <n v="675"/>
    <n v="5.25"/>
    <n v="5.333333333333333"/>
    <n v="0.984375"/>
    <n v="0.97521718807004742"/>
  </r>
  <r>
    <x v="0"/>
    <d v="2021-08-04T00:00:00"/>
    <s v="A"/>
    <x v="3"/>
    <x v="3"/>
    <m/>
    <s v="PC1"/>
    <s v="NIPPLE S TYPE M SIZE PUNCHED"/>
    <s v="HEH03NaH03PbH04Pa"/>
    <s v="Nitin"/>
    <n v="8"/>
    <n v="7036"/>
    <n v="879.5"/>
    <n v="6500"/>
    <n v="6496"/>
    <n v="0"/>
    <n v="0"/>
    <n v="0"/>
    <n v="0"/>
    <n v="4"/>
    <n v="0"/>
    <n v="1"/>
    <n v="6496"/>
    <n v="0.92325184764070489"/>
    <x v="3"/>
    <n v="0"/>
    <n v="0"/>
    <s v=" "/>
    <n v="6.1538461538461541E-4"/>
    <n v="0"/>
    <n v="0.99938461538461543"/>
    <n v="1.1666666666666667"/>
    <n v="6.833333333333333"/>
    <n v="0.85416666666666663"/>
    <n v="812"/>
    <n v="3.5"/>
    <n v="3.7869458128078817"/>
    <n v="0.92422764227642273"/>
    <n v="0.78895863247863252"/>
  </r>
  <r>
    <x v="0"/>
    <d v="2021-08-04T00:00:00"/>
    <s v="A"/>
    <x v="1"/>
    <x v="1"/>
    <s v="BM1"/>
    <s v="B1"/>
    <s v="RPP 120 ML BOTTLE MOLDED"/>
    <s v="EH04Ba1"/>
    <s v="Nitin"/>
    <n v="8"/>
    <n v="2574"/>
    <n v="321.75"/>
    <n v="2808"/>
    <n v="2700"/>
    <n v="0"/>
    <n v="42"/>
    <n v="0"/>
    <n v="0"/>
    <n v="58"/>
    <n v="8"/>
    <n v="1"/>
    <n v="2700"/>
    <n v="1.048951048951049"/>
    <x v="1"/>
    <n v="21.3"/>
    <n v="59.810400000000001"/>
    <n v="0.96153846153846145"/>
    <n v="2.1029731689630168E-2"/>
    <n v="1.4736842105263158E-2"/>
    <n v="0.97934472934472938"/>
    <n v="0.5"/>
    <n v="7.5"/>
    <n v="0.9375"/>
    <n v="337.5"/>
    <n v="9"/>
    <n v="10"/>
    <n v="0.9"/>
    <n v="0.82632211538461542"/>
  </r>
  <r>
    <x v="0"/>
    <d v="2021-08-04T00:00:00"/>
    <s v="A"/>
    <x v="0"/>
    <x v="0"/>
    <s v="M2"/>
    <s v="L2"/>
    <s v="NIPPLE S TYPE M SIZE INJECTION"/>
    <s v="HEH04Na"/>
    <s v="Nitin"/>
    <n v="8"/>
    <n v="4815"/>
    <n v="601.875"/>
    <n v="5680"/>
    <n v="5600"/>
    <n v="0"/>
    <n v="30"/>
    <n v="0"/>
    <n v="0"/>
    <n v="42"/>
    <n v="8"/>
    <n v="1"/>
    <n v="5600"/>
    <n v="1.1630321910695742"/>
    <x v="0"/>
    <n v="6.8"/>
    <n v="38.623999999999995"/>
    <n v="0.98591549295774661"/>
    <n v="7.4441687344913151E-3"/>
    <n v="5.2539404553415062E-3"/>
    <n v="0.99260563380281686"/>
    <n v="0"/>
    <n v="8"/>
    <n v="1"/>
    <n v="700"/>
    <n v="5.25"/>
    <n v="5.1428571428571432"/>
    <n v="1.0208333333333333"/>
    <n v="1.0132849178403756"/>
  </r>
  <r>
    <x v="0"/>
    <d v="2021-08-04T00:00:00"/>
    <s v="G"/>
    <x v="4"/>
    <x v="4"/>
    <m/>
    <m/>
    <s v="NIPPLE S TYPE M SIZE PUNCHED INSPECTED"/>
    <s v="HEH02NbH02PbH03Pa"/>
    <s v="Vivek"/>
    <n v="8.5"/>
    <n v="9000"/>
    <n v="1058.8235294117646"/>
    <n v="9027"/>
    <n v="8994"/>
    <n v="0"/>
    <n v="0"/>
    <n v="0"/>
    <n v="0"/>
    <n v="33"/>
    <n v="0"/>
    <n v="1"/>
    <n v="8994"/>
    <n v="0.9993333333333333"/>
    <x v="4"/>
    <n v="0"/>
    <n v="0"/>
    <s v=" "/>
    <n v="3.6556995679627785E-3"/>
    <n v="0"/>
    <n v="0.99634430043203726"/>
    <n v="1.8333333333333333"/>
    <n v="6.666666666666667"/>
    <n v="0.78431372549019607"/>
    <n v="1058.1176470588234"/>
    <n v="4"/>
    <n v="2.6684456304202802"/>
    <n v="1.4990000000000001"/>
    <n v="1.1713883187040188"/>
  </r>
  <r>
    <x v="0"/>
    <d v="2021-08-04T00:00:00"/>
    <s v="B"/>
    <x v="1"/>
    <x v="1"/>
    <s v="BM4"/>
    <s v="B1"/>
    <s v="RPP 120 ML BOTTLE MOLDED"/>
    <s v="EH04Bb1"/>
    <s v="Saurav"/>
    <n v="3"/>
    <n v="1600"/>
    <n v="533.33333333333337"/>
    <n v="1186"/>
    <n v="1080"/>
    <n v="0.3"/>
    <n v="72"/>
    <n v="0"/>
    <n v="0"/>
    <n v="34"/>
    <n v="0"/>
    <n v="1"/>
    <n v="1080"/>
    <n v="0.67500000000000004"/>
    <x v="1"/>
    <n v="21.3"/>
    <n v="25.561800000000002"/>
    <n v="0.89993662418139553"/>
    <n v="3.052064631956912E-2"/>
    <n v="5.7233704292527825E-2"/>
    <n v="0.97133220910623941"/>
    <n v="0"/>
    <n v="3"/>
    <n v="1"/>
    <n v="360"/>
    <n v="9"/>
    <n v="10"/>
    <n v="0.9"/>
    <n v="0.87419898819561548"/>
  </r>
  <r>
    <x v="0"/>
    <d v="2021-08-04T00:00:00"/>
    <s v="B"/>
    <x v="3"/>
    <x v="3"/>
    <m/>
    <s v="P1"/>
    <s v="NIPPLE S TYPE M SIZE PUNCHED"/>
    <s v="HEH03NbH04PbH04Pb"/>
    <s v="Saurav"/>
    <n v="8"/>
    <n v="7036"/>
    <n v="879.5"/>
    <n v="7420"/>
    <n v="7400"/>
    <n v="0"/>
    <n v="0"/>
    <n v="0"/>
    <n v="0"/>
    <n v="20"/>
    <n v="0"/>
    <n v="1"/>
    <n v="7400"/>
    <n v="1.0517339397384877"/>
    <x v="3"/>
    <n v="0"/>
    <n v="0"/>
    <s v=" "/>
    <n v="2.6954177897574125E-3"/>
    <n v="0"/>
    <n v="0.99730458221024254"/>
    <n v="0.66666666666666663"/>
    <n v="7.333333333333333"/>
    <n v="0.91666666666666663"/>
    <n v="925"/>
    <n v="3.5"/>
    <n v="3.5675675675675675"/>
    <n v="0.98106060606060608"/>
    <n v="0.89688155136268333"/>
  </r>
  <r>
    <x v="0"/>
    <d v="2021-08-04T00:00:00"/>
    <s v="B"/>
    <x v="2"/>
    <x v="2"/>
    <m/>
    <s v="PC1"/>
    <s v="NIPPLE S TYPE M SIZE POSTCURED"/>
    <s v="HEH03NbH04Pb"/>
    <s v="Saurav"/>
    <n v="8"/>
    <n v="14000"/>
    <n v="1750"/>
    <n v="14000"/>
    <n v="14000"/>
    <n v="0"/>
    <n v="0"/>
    <n v="0"/>
    <n v="0"/>
    <n v="0"/>
    <n v="0"/>
    <n v="1"/>
    <n v="14000"/>
    <n v="1"/>
    <x v="2"/>
    <n v="0"/>
    <n v="0"/>
    <s v=" "/>
    <n v="0"/>
    <n v="0"/>
    <n v="1"/>
    <n v="0"/>
    <n v="8"/>
    <n v="1"/>
    <n v="1750"/>
    <n v="2.2999999999999998"/>
    <n v="2.0571428571428569"/>
    <n v="1.1180555555555556"/>
    <n v="1.1180555555555556"/>
  </r>
  <r>
    <x v="0"/>
    <d v="2021-08-04T00:00:00"/>
    <s v="B"/>
    <x v="0"/>
    <x v="0"/>
    <s v="M2"/>
    <s v="L2"/>
    <s v="NIPPLE S TYPE M SIZE INJECTION"/>
    <s v="HEH04Nb"/>
    <s v="Saurav"/>
    <n v="8"/>
    <n v="4815"/>
    <n v="601.875"/>
    <n v="5790"/>
    <n v="5700"/>
    <n v="0"/>
    <n v="30"/>
    <n v="0"/>
    <n v="0"/>
    <n v="60"/>
    <n v="0"/>
    <n v="1"/>
    <n v="5700"/>
    <n v="1.1838006230529594"/>
    <x v="0"/>
    <n v="6.8"/>
    <n v="39.372"/>
    <n v="0.98445595854922274"/>
    <n v="1.0416666666666666E-2"/>
    <n v="5.1546391752577319E-3"/>
    <n v="0.98963730569948183"/>
    <n v="0"/>
    <n v="8"/>
    <n v="1"/>
    <n v="712.5"/>
    <n v="5.25"/>
    <n v="5.0526315789473681"/>
    <n v="1.0390625"/>
    <n v="1.0282950129533679"/>
  </r>
  <r>
    <x v="0"/>
    <d v="2021-08-04T00:00:00"/>
    <s v="C"/>
    <x v="1"/>
    <x v="1"/>
    <s v="BM4"/>
    <s v="B1"/>
    <s v="RPP 120 ML BOTTLE MOLDED"/>
    <s v="EH04Bc1"/>
    <s v="Himanshu"/>
    <n v="6"/>
    <n v="2000"/>
    <n v="333.33333333333331"/>
    <n v="2273"/>
    <n v="2160"/>
    <n v="0.38"/>
    <n v="63"/>
    <n v="0"/>
    <n v="0"/>
    <n v="42"/>
    <n v="8"/>
    <n v="1"/>
    <n v="2160"/>
    <n v="1.08"/>
    <x v="1"/>
    <n v="21.3"/>
    <n v="48.794899999999998"/>
    <n v="0.94288542450133106"/>
    <n v="1.9073569482288829E-2"/>
    <n v="2.6969178082191781E-2"/>
    <n v="0.98152221733391998"/>
    <n v="0.5"/>
    <n v="5.5"/>
    <n v="0.91666666666666663"/>
    <n v="360"/>
    <n v="9"/>
    <n v="9.1666666666666661"/>
    <n v="0.98181818181818192"/>
    <n v="0.88336999560052798"/>
  </r>
  <r>
    <x v="0"/>
    <d v="2021-08-04T00:00:00"/>
    <s v="C"/>
    <x v="0"/>
    <x v="0"/>
    <s v="M2"/>
    <s v="L2"/>
    <s v="NIPPLE S TYPE M SIZE INJECTION"/>
    <s v="HEH04Nc"/>
    <s v="Himanshu"/>
    <n v="8"/>
    <n v="4815"/>
    <n v="601.875"/>
    <n v="5882"/>
    <n v="5800"/>
    <n v="0"/>
    <n v="16"/>
    <n v="0"/>
    <n v="0"/>
    <n v="58"/>
    <n v="8"/>
    <n v="1"/>
    <n v="5800"/>
    <n v="1.2045690550363448"/>
    <x v="0"/>
    <n v="6.8"/>
    <n v="39.997599999999998"/>
    <n v="0.98605916354981293"/>
    <n v="9.9009900990099011E-3"/>
    <n v="2.7127839945744322E-3"/>
    <n v="0.99013940836450187"/>
    <n v="0"/>
    <n v="8"/>
    <n v="1"/>
    <n v="725"/>
    <n v="5.25"/>
    <n v="4.9655172413793105"/>
    <n v="1.0572916666666667"/>
    <n v="1.0468661453020516"/>
  </r>
  <r>
    <x v="0"/>
    <d v="2021-08-05T00:00:00"/>
    <s v="A"/>
    <x v="0"/>
    <x v="0"/>
    <s v="M2"/>
    <s v="L2"/>
    <s v="NIPPLE S TYPE M SIZE INJECTION"/>
    <s v="HEH05Na"/>
    <s v="Nitin"/>
    <n v="8"/>
    <n v="4815"/>
    <n v="601.875"/>
    <n v="5660"/>
    <n v="5600"/>
    <n v="0"/>
    <n v="0"/>
    <n v="0"/>
    <n v="0"/>
    <n v="52"/>
    <n v="8"/>
    <n v="1"/>
    <n v="5600"/>
    <n v="1.1630321910695742"/>
    <x v="0"/>
    <n v="6.8"/>
    <n v="38.488"/>
    <n v="0.98939929328621901"/>
    <n v="9.200283085633405E-3"/>
    <n v="0"/>
    <n v="0.99081272084805649"/>
    <n v="0"/>
    <n v="8"/>
    <n v="1"/>
    <n v="700"/>
    <n v="5.25"/>
    <n v="5.1428571428571432"/>
    <n v="1.0208333333333333"/>
    <n v="1.0114546525323909"/>
  </r>
  <r>
    <x v="0"/>
    <d v="2021-08-05T00:00:00"/>
    <s v="A"/>
    <x v="2"/>
    <x v="2"/>
    <m/>
    <s v="PC1"/>
    <s v="NIPPLE S TYPE M SIZE POSTCURED"/>
    <s v="HEH04NbH05Pa"/>
    <s v="Nitin"/>
    <n v="2.5"/>
    <n v="4000"/>
    <n v="1600"/>
    <n v="3700"/>
    <n v="3700"/>
    <n v="0"/>
    <n v="0"/>
    <n v="0"/>
    <n v="0"/>
    <n v="0"/>
    <n v="0"/>
    <n v="1"/>
    <n v="3700"/>
    <n v="0.92500000000000004"/>
    <x v="2"/>
    <n v="0"/>
    <n v="0"/>
    <s v=" "/>
    <n v="0"/>
    <n v="0"/>
    <n v="1"/>
    <n v="0"/>
    <n v="2.5"/>
    <n v="1"/>
    <n v="1480"/>
    <n v="2.2999999999999998"/>
    <n v="2.4324324324324325"/>
    <n v="0.94555555555555548"/>
    <n v="0.94555555555555548"/>
  </r>
  <r>
    <x v="0"/>
    <d v="2021-08-05T00:00:00"/>
    <s v="A"/>
    <x v="3"/>
    <x v="3"/>
    <m/>
    <s v="P1"/>
    <s v="NIPPLE S TYPE M SIZE PUNCHED"/>
    <s v="HEH04NaH04Pb"/>
    <s v="Nitin"/>
    <n v="8"/>
    <n v="7036"/>
    <n v="879.5"/>
    <n v="7000"/>
    <n v="6998"/>
    <n v="0"/>
    <n v="0"/>
    <n v="0"/>
    <n v="0"/>
    <n v="2"/>
    <n v="0"/>
    <n v="1"/>
    <n v="6998"/>
    <n v="0.99459920409323477"/>
    <x v="3"/>
    <n v="0"/>
    <n v="0"/>
    <s v=" "/>
    <n v="2.8571428571428574E-4"/>
    <n v="0"/>
    <n v="0.99971428571428567"/>
    <n v="0.66666666666666663"/>
    <n v="7.333333333333333"/>
    <n v="0.91666666666666663"/>
    <n v="874.75"/>
    <n v="3.5"/>
    <n v="3.7725064304086882"/>
    <n v="0.92776515151515149"/>
    <n v="0.85020840277777765"/>
  </r>
  <r>
    <x v="0"/>
    <d v="2021-08-05T00:00:00"/>
    <s v="A"/>
    <x v="5"/>
    <x v="5"/>
    <m/>
    <s v="INJ-1"/>
    <s v="CAP S TYPE MOLDED RED"/>
    <s v="EH05Ca"/>
    <s v="Nitin"/>
    <n v="2"/>
    <n v="1137"/>
    <n v="568.5"/>
    <n v="1165"/>
    <n v="1165"/>
    <n v="0"/>
    <n v="0"/>
    <n v="0"/>
    <n v="0"/>
    <n v="0"/>
    <n v="0"/>
    <n v="1"/>
    <n v="1165"/>
    <n v="1.0246262093227791"/>
    <x v="5"/>
    <n v="7.3"/>
    <n v="8.5045000000000002"/>
    <n v="1"/>
    <n v="0"/>
    <n v="0"/>
    <n v="1"/>
    <n v="0"/>
    <n v="2"/>
    <n v="1"/>
    <n v="582.5"/>
    <n v="6"/>
    <n v="6.1802575107296134"/>
    <n v="0.97083333333333344"/>
    <n v="0.97083333333333344"/>
  </r>
  <r>
    <x v="0"/>
    <d v="2021-08-05T00:00:00"/>
    <s v="A"/>
    <x v="5"/>
    <x v="5"/>
    <m/>
    <s v="INJ-1"/>
    <s v="CAP S TYPE MOLDED RED"/>
    <s v="EH05CRa"/>
    <s v="Nitin"/>
    <n v="6"/>
    <n v="4000"/>
    <n v="666.66666666666663"/>
    <n v="2524"/>
    <n v="2500"/>
    <n v="0.68100000000000005"/>
    <n v="10"/>
    <n v="0"/>
    <n v="0"/>
    <n v="6"/>
    <n v="8"/>
    <n v="1"/>
    <n v="2500"/>
    <n v="0.625"/>
    <x v="5"/>
    <n v="7.3"/>
    <n v="19.106200000000001"/>
    <n v="0.95518732139305562"/>
    <n v="2.3942537909018356E-3"/>
    <n v="3.9463299131807421E-3"/>
    <n v="0.99762282091917587"/>
    <n v="1"/>
    <n v="5"/>
    <n v="0.83333333333333337"/>
    <n v="416.66666666666669"/>
    <n v="6"/>
    <n v="7.2"/>
    <n v="0.83333333333333326"/>
    <n v="0.69279362563831648"/>
  </r>
  <r>
    <x v="0"/>
    <d v="2021-08-05T00:00:00"/>
    <s v="G"/>
    <x v="6"/>
    <x v="6"/>
    <m/>
    <s v="PR1"/>
    <s v="50 ML RPP BOTTLE PRINTED - BIRDS"/>
    <s v="DA30Ba2EG05Pa"/>
    <s v="Pintu"/>
    <n v="8.5"/>
    <n v="1800"/>
    <n v="211.76470588235293"/>
    <n v="1807"/>
    <n v="1654"/>
    <n v="0"/>
    <n v="0"/>
    <n v="232"/>
    <n v="0"/>
    <n v="153"/>
    <n v="0"/>
    <n v="6"/>
    <n v="275.66666666666669"/>
    <n v="0.91888888888888887"/>
    <x v="6"/>
    <n v="17.015000000000001"/>
    <n v="30.746104999999996"/>
    <n v="0.9153292750415053"/>
    <n v="8.4670724958494745E-2"/>
    <n v="0"/>
    <n v="0.9153292750415053"/>
    <n v="5"/>
    <n v="3.5"/>
    <n v="0.41176470588235292"/>
    <n v="194.58823529411765"/>
    <n v="32.4"/>
    <n v="45.707376058041113"/>
    <n v="0.70885714285714285"/>
    <n v="0.26716846251505583"/>
  </r>
  <r>
    <x v="0"/>
    <d v="2021-08-05T00:00:00"/>
    <s v="G"/>
    <x v="4"/>
    <x v="4"/>
    <m/>
    <m/>
    <s v="NIPPLE S TYPE M SIZE PUNCHED INSPECTED"/>
    <s v="HEH03NaH03PbH04Pa"/>
    <s v="Vivek"/>
    <n v="8.5"/>
    <n v="14182"/>
    <n v="1668.4705882352941"/>
    <n v="15874"/>
    <n v="15836"/>
    <n v="0"/>
    <n v="0"/>
    <n v="0"/>
    <n v="0"/>
    <n v="38"/>
    <n v="0"/>
    <n v="2"/>
    <n v="7918"/>
    <n v="1.1166267099139755"/>
    <x v="4"/>
    <n v="0"/>
    <n v="0"/>
    <s v=" "/>
    <n v="2.3938515812019657E-3"/>
    <n v="0"/>
    <n v="0.99760614841879802"/>
    <n v="0.66666666666666663"/>
    <n v="7.833333333333333"/>
    <n v="0.92156862745098034"/>
    <n v="1863.0588235294117"/>
    <n v="4"/>
    <n v="3.561505430664309"/>
    <n v="1.1231205673758866"/>
    <n v="1.0325549651215742"/>
  </r>
  <r>
    <x v="0"/>
    <d v="2021-08-05T00:00:00"/>
    <s v="B"/>
    <x v="0"/>
    <x v="0"/>
    <s v="M2"/>
    <s v="L2"/>
    <s v="NIPPLE S TYPE M SIZE INJECTION"/>
    <s v="HEH05Nb"/>
    <s v="Saurav"/>
    <n v="8"/>
    <n v="4815"/>
    <n v="601.875"/>
    <n v="4610"/>
    <n v="4500"/>
    <n v="0"/>
    <n v="45"/>
    <n v="0"/>
    <n v="0"/>
    <n v="65"/>
    <n v="0"/>
    <n v="1"/>
    <n v="4500"/>
    <n v="0.93457943925233644"/>
    <x v="0"/>
    <n v="6.8"/>
    <n v="31.347999999999999"/>
    <n v="0.97613882863340562"/>
    <n v="1.4238773274917854E-2"/>
    <n v="9.6670247046186895E-3"/>
    <n v="0.98590021691973972"/>
    <n v="0.83333333333333337"/>
    <n v="7.166666666666667"/>
    <n v="0.89583333333333337"/>
    <n v="562.5"/>
    <n v="5.25"/>
    <n v="5.7333333333333334"/>
    <n v="0.91569767441860461"/>
    <n v="0.80874627169197399"/>
  </r>
  <r>
    <x v="0"/>
    <d v="2021-08-05T00:00:00"/>
    <s v="B"/>
    <x v="5"/>
    <x v="5"/>
    <m/>
    <s v="INJ-1"/>
    <s v="CAP S TYPE MOLDED RED"/>
    <s v="EH05CRa"/>
    <s v="Saurav"/>
    <n v="8"/>
    <n v="4137"/>
    <n v="517.125"/>
    <n v="3805"/>
    <n v="3800"/>
    <n v="0.3"/>
    <n v="0"/>
    <n v="0"/>
    <n v="0"/>
    <n v="5"/>
    <n v="0"/>
    <n v="1"/>
    <n v="3800"/>
    <n v="0.91854000483442111"/>
    <x v="5"/>
    <n v="7.3"/>
    <n v="28.076499999999999"/>
    <n v="0.98801488789557113"/>
    <n v="1.3140604467805519E-3"/>
    <n v="0"/>
    <n v="0.99868593955321949"/>
    <n v="0"/>
    <n v="8"/>
    <n v="1"/>
    <n v="475"/>
    <n v="6"/>
    <n v="7.5789473684210522"/>
    <n v="0.79166666666666674"/>
    <n v="0.79062636881296555"/>
  </r>
  <r>
    <x v="0"/>
    <d v="2021-08-05T00:00:00"/>
    <s v="B"/>
    <x v="3"/>
    <x v="3"/>
    <m/>
    <s v="P1"/>
    <s v="NIPPLE S TYPE M SIZE PUNCHED"/>
    <s v="HEH04NbH05PaH05Pb"/>
    <s v="Saurav"/>
    <n v="8"/>
    <n v="7036"/>
    <n v="879.5"/>
    <n v="7300"/>
    <n v="7298"/>
    <n v="0"/>
    <n v="0"/>
    <n v="0"/>
    <n v="0"/>
    <n v="2"/>
    <n v="0"/>
    <n v="1"/>
    <n v="7298"/>
    <n v="1.0372370665150654"/>
    <x v="3"/>
    <n v="0"/>
    <n v="0"/>
    <s v=" "/>
    <n v="2.7397260273972601E-4"/>
    <n v="0"/>
    <n v="0.99972602739726024"/>
    <n v="0.66666666666666663"/>
    <n v="7.333333333333333"/>
    <n v="0.91666666666666663"/>
    <n v="912.25"/>
    <n v="3.5"/>
    <n v="3.6174294327212935"/>
    <n v="0.96753787878787878"/>
    <n v="0.88666673325722978"/>
  </r>
  <r>
    <x v="0"/>
    <d v="2021-08-05T00:00:00"/>
    <s v="B"/>
    <x v="2"/>
    <x v="2"/>
    <m/>
    <s v="PC1"/>
    <s v="NIPPLE S TYPE M SIZE POSTCURED"/>
    <s v="HEH04NbH05Pb"/>
    <s v="Saurav"/>
    <n v="8"/>
    <n v="10400"/>
    <n v="1300"/>
    <n v="10400"/>
    <n v="10400"/>
    <n v="0"/>
    <n v="0"/>
    <n v="0"/>
    <n v="0"/>
    <n v="0"/>
    <n v="0"/>
    <n v="1"/>
    <n v="10400"/>
    <n v="1"/>
    <x v="2"/>
    <n v="0"/>
    <n v="0"/>
    <s v=" "/>
    <n v="0"/>
    <n v="0"/>
    <n v="1"/>
    <n v="0.66666666666666663"/>
    <n v="7.333333333333333"/>
    <n v="0.91666666666666663"/>
    <n v="1300"/>
    <n v="2.2999999999999998"/>
    <n v="2.5384615384615383"/>
    <n v="0.90606060606060601"/>
    <n v="0.83055555555555549"/>
  </r>
  <r>
    <x v="0"/>
    <d v="2021-08-05T00:00:00"/>
    <s v="B"/>
    <x v="1"/>
    <x v="7"/>
    <s v="BM2"/>
    <s v="B2"/>
    <s v="KPP BOTTLE 200 ML MOULDED-WMG3B"/>
    <s v="EH05Bb2"/>
    <s v="Saurav"/>
    <n v="4"/>
    <n v="2503"/>
    <n v="625.75"/>
    <n v="1606"/>
    <n v="1512"/>
    <n v="0.7"/>
    <n v="30"/>
    <n v="0"/>
    <n v="0"/>
    <n v="56"/>
    <n v="8"/>
    <n v="1"/>
    <n v="1512"/>
    <n v="0.60407510986815816"/>
    <x v="7"/>
    <n v="28.6"/>
    <n v="46.631600000000006"/>
    <n v="0.92733682738743672"/>
    <n v="3.5714285714285712E-2"/>
    <n v="1.8337408312958436E-2"/>
    <n v="0.96513075965130757"/>
    <n v="0"/>
    <n v="4"/>
    <n v="1"/>
    <n v="378"/>
    <n v="9"/>
    <n v="9.5238095238095237"/>
    <n v="0.94500000000000006"/>
    <n v="0.91204856787048572"/>
  </r>
  <r>
    <x v="0"/>
    <d v="2021-08-05T00:00:00"/>
    <s v="C"/>
    <x v="0"/>
    <x v="0"/>
    <s v="M2"/>
    <s v="L2"/>
    <s v="NIPPLE S TYPE M SIZE INJECTION"/>
    <s v="HEH05Nc"/>
    <s v="Himanshu"/>
    <n v="8"/>
    <n v="4815"/>
    <n v="601.875"/>
    <n v="5126"/>
    <n v="5000"/>
    <n v="0"/>
    <n v="70"/>
    <n v="0"/>
    <n v="0"/>
    <n v="48"/>
    <n v="8"/>
    <n v="1"/>
    <n v="5000"/>
    <n v="1.0384215991692627"/>
    <x v="0"/>
    <n v="6.8"/>
    <n v="34.8568"/>
    <n v="0.97541943035505263"/>
    <n v="9.5087163232963554E-3"/>
    <n v="1.3471901462663588E-2"/>
    <n v="0.99063597346859145"/>
    <n v="0.75"/>
    <n v="7.25"/>
    <n v="0.90625"/>
    <n v="625"/>
    <n v="5.25"/>
    <n v="5.22"/>
    <n v="1.0057471264367817"/>
    <n v="0.90292341331772663"/>
  </r>
  <r>
    <x v="0"/>
    <d v="2021-08-05T00:00:00"/>
    <s v="C"/>
    <x v="1"/>
    <x v="7"/>
    <s v="BM3"/>
    <s v="B2"/>
    <s v="KPP BOTTLE 200 ML MOULDED-WMG3B"/>
    <s v="EH05Bc2"/>
    <s v="Himanshu"/>
    <n v="8"/>
    <n v="2503"/>
    <n v="312.875"/>
    <n v="2986"/>
    <n v="2916"/>
    <n v="0"/>
    <n v="25"/>
    <n v="0"/>
    <n v="0"/>
    <n v="45"/>
    <n v="0"/>
    <n v="1"/>
    <n v="2916"/>
    <n v="1.1650019976028765"/>
    <x v="7"/>
    <n v="28.6"/>
    <n v="85.399600000000007"/>
    <n v="0.9765572672471533"/>
    <n v="1.5197568389057751E-2"/>
    <n v="8.3028894055131187E-3"/>
    <n v="0.98492967180174151"/>
    <n v="0"/>
    <n v="8"/>
    <n v="1"/>
    <n v="364.5"/>
    <n v="9"/>
    <n v="9.8765432098765427"/>
    <n v="0.91125"/>
    <n v="0.89751716342933696"/>
  </r>
  <r>
    <x v="0"/>
    <d v="2021-08-05T00:00:00"/>
    <s v="C"/>
    <x v="5"/>
    <x v="5"/>
    <m/>
    <s v="INJ-1"/>
    <s v="CAP S TYPE MOLDED RED"/>
    <s v="EH05CRc"/>
    <s v="Himanshu"/>
    <n v="8"/>
    <n v="4137"/>
    <n v="517.125"/>
    <n v="4012"/>
    <n v="4000"/>
    <n v="0"/>
    <n v="0"/>
    <n v="0"/>
    <n v="0"/>
    <n v="4"/>
    <n v="8"/>
    <n v="1"/>
    <n v="4000"/>
    <n v="0.96688421561518012"/>
    <x v="5"/>
    <n v="7.3"/>
    <n v="29.287600000000001"/>
    <n v="0.99700897308075764"/>
    <n v="9.99000999000999E-4"/>
    <n v="0"/>
    <n v="0.99900299102691925"/>
    <n v="0"/>
    <n v="8"/>
    <n v="1"/>
    <n v="500"/>
    <n v="6"/>
    <n v="7.2"/>
    <n v="0.83333333333333326"/>
    <n v="0.83250249252243269"/>
  </r>
  <r>
    <x v="0"/>
    <d v="2021-08-06T00:00:00"/>
    <s v="A"/>
    <x v="0"/>
    <x v="0"/>
    <s v="M2"/>
    <s v="L2"/>
    <s v="NIPPLE S TYPE M SIZE INJECTION"/>
    <s v="HEH06Na"/>
    <s v="Nitin"/>
    <n v="8"/>
    <n v="4815"/>
    <n v="601.875"/>
    <n v="2788"/>
    <n v="2600"/>
    <n v="1.8"/>
    <n v="110"/>
    <n v="0"/>
    <n v="0"/>
    <n v="70"/>
    <n v="8"/>
    <n v="1"/>
    <n v="2600"/>
    <n v="0.53997923156801664"/>
    <x v="0"/>
    <n v="6.8"/>
    <n v="20.758399999999998"/>
    <n v="0.85170340681362733"/>
    <n v="2.6217228464419477E-2"/>
    <n v="3.7957211870255352E-2"/>
    <n v="0.97489239598278332"/>
    <n v="4"/>
    <n v="4"/>
    <n v="0.5"/>
    <n v="325"/>
    <n v="5.25"/>
    <n v="5.5384615384615383"/>
    <n v="0.94791666666666674"/>
    <n v="0.46205837517934006"/>
  </r>
  <r>
    <x v="0"/>
    <d v="2021-08-06T00:00:00"/>
    <s v="A"/>
    <x v="3"/>
    <x v="3"/>
    <m/>
    <s v="P1"/>
    <s v="NIPPLE S TYPE M SIZE PUNCHED"/>
    <s v="HEH04NbH05Pb"/>
    <s v="Nitin"/>
    <n v="8"/>
    <n v="7036"/>
    <n v="879.5"/>
    <n v="6800"/>
    <n v="6792"/>
    <n v="0"/>
    <n v="0"/>
    <n v="0"/>
    <n v="0"/>
    <n v="8"/>
    <n v="0"/>
    <n v="1"/>
    <n v="6792"/>
    <n v="0.96532120523024445"/>
    <x v="3"/>
    <n v="0"/>
    <n v="0"/>
    <s v=" "/>
    <n v="1.176470588235294E-3"/>
    <n v="0"/>
    <n v="0.99882352941176467"/>
    <n v="0.66666666666666663"/>
    <n v="7.333333333333333"/>
    <n v="0.91666666666666663"/>
    <n v="849"/>
    <n v="3.5"/>
    <n v="3.8869257950530036"/>
    <n v="0.9004545454545454"/>
    <n v="0.82444558823529401"/>
  </r>
  <r>
    <x v="0"/>
    <d v="2021-08-06T00:00:00"/>
    <s v="A"/>
    <x v="5"/>
    <x v="5"/>
    <m/>
    <s v="INJ-1"/>
    <s v="CAP S TYPE MOLDED RED"/>
    <s v="EH06CRa"/>
    <s v="Nitin"/>
    <n v="8"/>
    <n v="4137"/>
    <n v="517.125"/>
    <n v="4910"/>
    <n v="4900"/>
    <n v="0"/>
    <n v="0"/>
    <n v="0"/>
    <n v="0"/>
    <n v="10"/>
    <n v="0"/>
    <n v="1"/>
    <n v="4900"/>
    <n v="1.1844331641285957"/>
    <x v="5"/>
    <n v="7.3"/>
    <n v="35.843000000000004"/>
    <n v="0.99796334012219956"/>
    <n v="2.0366598778004071E-3"/>
    <n v="0"/>
    <n v="0.99796334012219956"/>
    <n v="0"/>
    <n v="8"/>
    <n v="1"/>
    <n v="612.5"/>
    <n v="6"/>
    <n v="5.8775510204081636"/>
    <n v="1.0208333333333333"/>
    <n v="1.018754243041412"/>
  </r>
  <r>
    <x v="0"/>
    <d v="2021-08-06T00:00:00"/>
    <s v="A"/>
    <x v="1"/>
    <x v="7"/>
    <s v="BM3"/>
    <s v="B2"/>
    <s v="KPP BOTTLE 200 ML MOULDED-WMG3B"/>
    <s v="EH06Ba1"/>
    <s v="Nitin"/>
    <n v="8"/>
    <n v="2574"/>
    <n v="321.75"/>
    <n v="2472"/>
    <n v="2376"/>
    <n v="0.12"/>
    <n v="36"/>
    <n v="0"/>
    <n v="0"/>
    <n v="52"/>
    <n v="8"/>
    <n v="1"/>
    <n v="2376"/>
    <n v="0.92307692307692313"/>
    <x v="7"/>
    <n v="28.6"/>
    <n v="70.819200000000009"/>
    <n v="0.95953639690931247"/>
    <n v="2.1416803953871501E-2"/>
    <n v="1.4354066985645933E-2"/>
    <n v="0.97896440129449835"/>
    <n v="1"/>
    <n v="7"/>
    <n v="0.875"/>
    <n v="297"/>
    <n v="9"/>
    <n v="10.606060606060606"/>
    <n v="0.84857142857142864"/>
    <n v="0.72688106796116503"/>
  </r>
  <r>
    <x v="0"/>
    <d v="2021-08-06T00:00:00"/>
    <s v="B"/>
    <x v="1"/>
    <x v="7"/>
    <s v="BM2"/>
    <s v="B2"/>
    <s v="KPP BOTTLE 200 ML MOULDED-WMG3B"/>
    <s v="EH06Bb2"/>
    <s v="Saurav"/>
    <n v="1.5"/>
    <n v="500"/>
    <n v="333.33333333333331"/>
    <n v="533"/>
    <n v="488"/>
    <n v="0.3"/>
    <n v="20"/>
    <n v="0"/>
    <n v="0"/>
    <n v="25"/>
    <n v="0"/>
    <n v="1"/>
    <n v="488"/>
    <n v="0.97599999999999998"/>
    <x v="7"/>
    <n v="28.6"/>
    <n v="15.543800000000001"/>
    <n v="0.89790141406863178"/>
    <n v="4.8732943469785572E-2"/>
    <n v="3.6166365280289332E-2"/>
    <n v="0.95309568480300189"/>
    <n v="0"/>
    <n v="1.5"/>
    <n v="1"/>
    <n v="325.33333333333331"/>
    <n v="9"/>
    <n v="11.065573770491802"/>
    <n v="0.81333333333333335"/>
    <n v="0.77518449030644154"/>
  </r>
  <r>
    <x v="0"/>
    <d v="2021-08-06T00:00:00"/>
    <s v="G"/>
    <x v="6"/>
    <x v="8"/>
    <m/>
    <s v="PR1"/>
    <s v="KPP BOTTLE 200 ML PRINTED-WMG3B"/>
    <s v="EH05Bc2H06Pa"/>
    <s v="Pintu"/>
    <n v="8.5"/>
    <n v="5100"/>
    <n v="600"/>
    <n v="4889"/>
    <n v="4752"/>
    <n v="0"/>
    <n v="0"/>
    <n v="43"/>
    <n v="0"/>
    <n v="137"/>
    <n v="0"/>
    <n v="6"/>
    <n v="792"/>
    <n v="0.93176470588235294"/>
    <x v="8"/>
    <n v="0"/>
    <n v="0"/>
    <s v=" "/>
    <n v="2.8022090407036203E-2"/>
    <n v="0"/>
    <n v="0.97197790959296382"/>
    <n v="2.1666666666666665"/>
    <n v="6.3333333333333339"/>
    <n v="0.74509803921568629"/>
    <n v="559.05882352941171"/>
    <n v="32.4"/>
    <n v="28.787878787878789"/>
    <n v="1.1254736842105262"/>
    <n v="0.81508923995042892"/>
  </r>
  <r>
    <x v="0"/>
    <d v="2021-08-06T00:00:00"/>
    <s v="G"/>
    <x v="4"/>
    <x v="4"/>
    <m/>
    <m/>
    <s v="NIPPLE S TYPE M SIZE PUNCHED INSPECTED"/>
    <s v="HEH04NaH04PbH05Pb"/>
    <s v="Vivek"/>
    <n v="8.5"/>
    <n v="14182"/>
    <n v="1668.4705882352941"/>
    <n v="16090"/>
    <n v="16038"/>
    <n v="0"/>
    <n v="0"/>
    <n v="0"/>
    <n v="0"/>
    <n v="52"/>
    <n v="0"/>
    <n v="2"/>
    <n v="8019"/>
    <n v="1.1308701170497815"/>
    <x v="4"/>
    <n v="0"/>
    <n v="0"/>
    <s v=" "/>
    <n v="3.2318210068365445E-3"/>
    <n v="0"/>
    <n v="0.9967681789931635"/>
    <n v="0.83333333333333337"/>
    <n v="7.666666666666667"/>
    <n v="0.90196078431372551"/>
    <n v="1886.8235294117646"/>
    <n v="4"/>
    <n v="3.4418256640478861"/>
    <n v="1.1621739130434783"/>
    <n v="1.0448475852740102"/>
  </r>
  <r>
    <x v="0"/>
    <d v="2021-08-06T00:00:00"/>
    <s v="B"/>
    <x v="1"/>
    <x v="9"/>
    <s v="BM2"/>
    <s v="B2"/>
    <s v="KPP 200 ML BOTTLE MOLDED"/>
    <s v="EH06Bb2"/>
    <s v="Saurav"/>
    <n v="6"/>
    <n v="2074"/>
    <n v="345.66666666666669"/>
    <n v="1386"/>
    <n v="1296"/>
    <n v="0.6"/>
    <n v="52"/>
    <n v="0"/>
    <n v="0"/>
    <n v="30"/>
    <n v="8"/>
    <n v="1"/>
    <n v="1296"/>
    <n v="0.62487945998071359"/>
    <x v="1"/>
    <n v="28.1"/>
    <n v="39.546599999999998"/>
    <n v="0.92087815387416372"/>
    <n v="2.2624434389140271E-2"/>
    <n v="3.6161335187760782E-2"/>
    <n v="0.97835497835497831"/>
    <n v="2.1666666666666665"/>
    <n v="3.8333333333333335"/>
    <n v="0.63888888888888895"/>
    <n v="216"/>
    <n v="9"/>
    <n v="10.648148148148149"/>
    <n v="0.84521739130434781"/>
    <n v="0.52831168831168829"/>
  </r>
  <r>
    <x v="0"/>
    <d v="2021-08-06T00:00:00"/>
    <s v="B"/>
    <x v="0"/>
    <x v="0"/>
    <s v="M2"/>
    <s v="L2"/>
    <s v="NIPPLE S TYPE M SIZE INJECTION"/>
    <s v="HEH06Nb"/>
    <s v="Saurav"/>
    <n v="8"/>
    <n v="4815"/>
    <n v="601.875"/>
    <n v="5099"/>
    <n v="5012"/>
    <n v="0"/>
    <n v="27"/>
    <n v="0"/>
    <n v="0"/>
    <n v="60"/>
    <n v="0"/>
    <n v="1"/>
    <n v="5012"/>
    <n v="1.0409138110072689"/>
    <x v="0"/>
    <n v="6.8"/>
    <n v="34.673200000000001"/>
    <n v="0.98293783094724441"/>
    <n v="1.1829652996845425E-2"/>
    <n v="5.2672649239172845E-3"/>
    <n v="0.98823298686016869"/>
    <n v="0.5"/>
    <n v="7.5"/>
    <n v="0.9375"/>
    <n v="626.5"/>
    <n v="5.25"/>
    <n v="5.38707102952913"/>
    <n v="0.97455555555555562"/>
    <n v="0.90289495080734794"/>
  </r>
  <r>
    <x v="0"/>
    <d v="2021-08-06T00:00:00"/>
    <s v="B"/>
    <x v="5"/>
    <x v="5"/>
    <m/>
    <s v="INJ-1"/>
    <s v="CAP S TYPE MOLDED RED"/>
    <s v="EH06CRb"/>
    <s v="Saurav"/>
    <n v="8"/>
    <n v="4137"/>
    <n v="517.125"/>
    <n v="4505"/>
    <n v="4500"/>
    <n v="0"/>
    <n v="0"/>
    <n v="0"/>
    <n v="0"/>
    <n v="5"/>
    <n v="0"/>
    <n v="1"/>
    <n v="4500"/>
    <n v="1.0877447425670776"/>
    <x v="5"/>
    <n v="7.3"/>
    <n v="32.886499999999998"/>
    <n v="0.99889012208657058"/>
    <n v="1.1098779134295228E-3"/>
    <n v="0"/>
    <n v="0.99889012208657046"/>
    <n v="0"/>
    <n v="8"/>
    <n v="1"/>
    <n v="562.5"/>
    <n v="6"/>
    <n v="6.4"/>
    <n v="0.9375"/>
    <n v="0.93645948945615975"/>
  </r>
  <r>
    <x v="0"/>
    <d v="2021-08-06T00:00:00"/>
    <s v="B"/>
    <x v="2"/>
    <x v="2"/>
    <m/>
    <s v="PC1"/>
    <s v="NIPPLE S TYPE M SIZE POSTCURED"/>
    <s v="HEH05NaH06Pb"/>
    <s v="Saurav"/>
    <n v="8"/>
    <n v="11500"/>
    <n v="1437.5"/>
    <n v="11500"/>
    <n v="11500"/>
    <n v="0"/>
    <n v="0"/>
    <n v="0"/>
    <n v="0"/>
    <n v="0"/>
    <n v="0"/>
    <n v="1"/>
    <n v="11500"/>
    <n v="1"/>
    <x v="2"/>
    <n v="0"/>
    <n v="0"/>
    <s v=" "/>
    <n v="0"/>
    <n v="0"/>
    <n v="1"/>
    <n v="0.66666666666666663"/>
    <n v="7.333333333333333"/>
    <n v="0.91666666666666663"/>
    <n v="1437.5"/>
    <n v="2.2999999999999998"/>
    <n v="2.2956521739130435"/>
    <n v="1.0018939393939392"/>
    <n v="0.91840277777777757"/>
  </r>
  <r>
    <x v="0"/>
    <d v="2021-08-06T00:00:00"/>
    <s v="B"/>
    <x v="3"/>
    <x v="3"/>
    <m/>
    <s v="P1"/>
    <s v="NIPPLE S TYPE M SIZE PUNCHED"/>
    <s v="HEH05NaH06PbH06Pb"/>
    <s v="Saurav"/>
    <n v="8"/>
    <n v="7036"/>
    <n v="879.5"/>
    <n v="6100"/>
    <n v="6095"/>
    <n v="0"/>
    <n v="0"/>
    <n v="0"/>
    <n v="0"/>
    <n v="5"/>
    <n v="0"/>
    <n v="1"/>
    <n v="6095"/>
    <n v="0.86625923820352468"/>
    <x v="3"/>
    <n v="0"/>
    <n v="0"/>
    <s v=" "/>
    <n v="8.1967213114754098E-4"/>
    <n v="0"/>
    <n v="0.99918032786885247"/>
    <n v="1.6666666666666667"/>
    <n v="6.333333333333333"/>
    <n v="0.79166666666666663"/>
    <n v="761.875"/>
    <n v="3.5"/>
    <n v="3.740771123872026"/>
    <n v="0.93563596491228074"/>
    <n v="0.74010466473132963"/>
  </r>
  <r>
    <x v="0"/>
    <d v="2021-08-06T00:00:00"/>
    <s v="C"/>
    <x v="0"/>
    <x v="10"/>
    <s v="M2"/>
    <s v="L2"/>
    <s v="NIPPLE S TYPE S SIZE INJECTION"/>
    <s v="HEH06Nc"/>
    <s v="Himanshu"/>
    <n v="8"/>
    <n v="4815"/>
    <n v="601.875"/>
    <n v="3962"/>
    <n v="3800"/>
    <n v="0"/>
    <n v="90"/>
    <n v="0"/>
    <n v="0"/>
    <n v="64"/>
    <n v="8"/>
    <n v="1"/>
    <n v="3800"/>
    <n v="0.78920041536863972"/>
    <x v="0"/>
    <n v="6.8"/>
    <n v="26.941599999999998"/>
    <n v="0.95911155981827367"/>
    <n v="1.6563146997929608E-2"/>
    <n v="2.2211253701875617E-2"/>
    <n v="0.9838465421504291"/>
    <n v="2"/>
    <n v="6"/>
    <n v="0.75"/>
    <n v="475"/>
    <n v="5.25"/>
    <n v="5.6842105263157894"/>
    <n v="0.92361111111111116"/>
    <n v="0.68151869846878688"/>
  </r>
  <r>
    <x v="0"/>
    <d v="2021-08-06T00:00:00"/>
    <s v="C"/>
    <x v="1"/>
    <x v="9"/>
    <s v="BM2"/>
    <s v="B2"/>
    <s v="KPP 200 ML BOTTLE MOLDED"/>
    <s v="EH06Bc2"/>
    <s v="Himanshu"/>
    <n v="8"/>
    <n v="2574"/>
    <n v="321.75"/>
    <n v="3202"/>
    <n v="3132"/>
    <n v="0"/>
    <n v="0"/>
    <n v="0"/>
    <n v="0"/>
    <n v="62"/>
    <n v="8"/>
    <n v="1"/>
    <n v="3132"/>
    <n v="1.2167832167832169"/>
    <x v="1"/>
    <n v="28.1"/>
    <n v="89.976200000000006"/>
    <n v="0.97813866333541533"/>
    <n v="1.9411396368190358E-2"/>
    <n v="0"/>
    <n v="0.98063710181136787"/>
    <n v="0"/>
    <n v="8"/>
    <n v="1"/>
    <n v="391.5"/>
    <n v="9"/>
    <n v="9.1954022988505741"/>
    <n v="0.97875000000000001"/>
    <n v="0.95979856339787628"/>
  </r>
  <r>
    <x v="0"/>
    <d v="2021-08-06T00:00:00"/>
    <s v="C"/>
    <x v="5"/>
    <x v="5"/>
    <m/>
    <s v="INJ-1"/>
    <s v="CAP S TYPE MOLDED RED"/>
    <s v="EH06CRc"/>
    <s v="Himanshu"/>
    <n v="8"/>
    <n v="4137"/>
    <n v="517.125"/>
    <n v="3906"/>
    <n v="3895"/>
    <n v="0"/>
    <n v="0"/>
    <n v="0"/>
    <n v="0"/>
    <n v="3"/>
    <n v="8"/>
    <n v="1"/>
    <n v="3895"/>
    <n v="0.94150350495528157"/>
    <x v="5"/>
    <n v="7.3"/>
    <n v="28.5138"/>
    <n v="0.99718381976446491"/>
    <n v="7.6962544894817856E-4"/>
    <n v="0"/>
    <n v="0.99923195084485406"/>
    <n v="1.1666666666666667"/>
    <n v="6.833333333333333"/>
    <n v="0.85416666666666663"/>
    <n v="486.875"/>
    <n v="6"/>
    <n v="6.3157894736842106"/>
    <n v="0.95"/>
    <n v="0.81083509344598048"/>
  </r>
  <r>
    <x v="0"/>
    <d v="2021-08-07T00:00:00"/>
    <s v="A"/>
    <x v="0"/>
    <x v="10"/>
    <s v="M2"/>
    <s v="L2"/>
    <s v="NIPPLE S TYPE S SIZE INJECTION"/>
    <s v="HEH07Na"/>
    <s v="Nitin"/>
    <n v="8"/>
    <n v="4815"/>
    <n v="601.875"/>
    <n v="5465"/>
    <n v="5400"/>
    <n v="0"/>
    <n v="0"/>
    <n v="0"/>
    <n v="0"/>
    <n v="57"/>
    <n v="8"/>
    <n v="1"/>
    <n v="5400"/>
    <n v="1.1214953271028036"/>
    <x v="0"/>
    <n v="6.8"/>
    <n v="37.161999999999999"/>
    <n v="0.98810612991765778"/>
    <n v="1.0445299615173173E-2"/>
    <n v="0"/>
    <n v="0.98956999085086916"/>
    <n v="0"/>
    <n v="8"/>
    <n v="1"/>
    <n v="675"/>
    <n v="5.25"/>
    <n v="5.333333333333333"/>
    <n v="0.984375"/>
    <n v="0.97410795974382436"/>
  </r>
  <r>
    <x v="0"/>
    <d v="2021-08-07T00:00:00"/>
    <s v="A"/>
    <x v="3"/>
    <x v="3"/>
    <m/>
    <s v="P1"/>
    <s v="NIPPLE S TYPE M SIZE PUNCHED"/>
    <s v="HEH05NbH06PbH07Pa"/>
    <s v="Nitin"/>
    <n v="8"/>
    <n v="7036"/>
    <n v="879.5"/>
    <n v="7000"/>
    <n v="6994"/>
    <n v="0"/>
    <n v="0"/>
    <n v="0"/>
    <n v="0"/>
    <n v="6"/>
    <n v="0"/>
    <n v="1"/>
    <n v="6994"/>
    <n v="0.99403069926094367"/>
    <x v="3"/>
    <n v="0"/>
    <n v="0"/>
    <s v=" "/>
    <n v="8.571428571428571E-4"/>
    <n v="0"/>
    <n v="0.99914285714285711"/>
    <n v="0.5"/>
    <n v="7.5"/>
    <n v="0.9375"/>
    <n v="874.25"/>
    <n v="3.5"/>
    <n v="3.8604518158421506"/>
    <n v="0.90662962962962956"/>
    <n v="0.84923673611111106"/>
  </r>
  <r>
    <x v="0"/>
    <d v="2021-08-07T00:00:00"/>
    <s v="A"/>
    <x v="2"/>
    <x v="2"/>
    <m/>
    <s v="PC1"/>
    <s v="NIPPLE S TYPE M SIZE POSTCURED"/>
    <s v="HEH06NbH07Pa"/>
    <s v="Nitin"/>
    <n v="5"/>
    <n v="5036"/>
    <n v="1007.2"/>
    <n v="8612"/>
    <n v="8612"/>
    <n v="0"/>
    <n v="0"/>
    <n v="0"/>
    <n v="0"/>
    <n v="0"/>
    <n v="0"/>
    <n v="1"/>
    <n v="8612"/>
    <n v="1.710087370929309"/>
    <x v="2"/>
    <n v="0"/>
    <n v="0"/>
    <s v=" "/>
    <n v="0"/>
    <n v="0"/>
    <n v="1"/>
    <n v="0"/>
    <n v="5"/>
    <n v="1"/>
    <n v="1722.4"/>
    <n v="2.2999999999999998"/>
    <n v="2.0901068276823036"/>
    <n v="1.1004222222222222"/>
    <n v="1.1004222222222222"/>
  </r>
  <r>
    <x v="0"/>
    <d v="2021-08-07T00:00:00"/>
    <s v="A"/>
    <x v="2"/>
    <x v="11"/>
    <m/>
    <s v="PC1"/>
    <s v="NIPPLE S TYPE S SIZE POSTCURED"/>
    <s v="HEH06NcH07Pa"/>
    <s v="Nitin"/>
    <n v="5"/>
    <n v="2000"/>
    <n v="400"/>
    <n v="6800"/>
    <n v="6800"/>
    <n v="0"/>
    <n v="0"/>
    <n v="0"/>
    <n v="0"/>
    <n v="0"/>
    <n v="0"/>
    <n v="1"/>
    <n v="6800"/>
    <n v="3.4"/>
    <x v="9"/>
    <n v="0"/>
    <n v="0"/>
    <s v=" "/>
    <n v="0"/>
    <n v="0"/>
    <n v="1"/>
    <n v="0"/>
    <n v="5"/>
    <n v="1"/>
    <n v="1360"/>
    <n v="2.2999999999999998"/>
    <n v="2.6470588235294117"/>
    <n v="0.86888888888888882"/>
    <n v="0.86888888888888882"/>
  </r>
  <r>
    <x v="0"/>
    <d v="2021-08-07T00:00:00"/>
    <s v="A"/>
    <x v="1"/>
    <x v="9"/>
    <s v="BM2"/>
    <s v="B2"/>
    <s v="KPP 200 ML BOTTLE MOLDED"/>
    <s v="EH07Ba2"/>
    <s v="Nitin"/>
    <n v="8"/>
    <n v="2574"/>
    <n v="321.75"/>
    <n v="3038"/>
    <n v="2916"/>
    <n v="0.2"/>
    <n v="50"/>
    <n v="0"/>
    <n v="0"/>
    <n v="64"/>
    <n v="8"/>
    <n v="1"/>
    <n v="2916"/>
    <n v="1.1328671328671329"/>
    <x v="1"/>
    <n v="28.1"/>
    <n v="85.567800000000005"/>
    <n v="0.95759853589784938"/>
    <n v="2.1476510067114093E-2"/>
    <n v="1.6191709844559584E-2"/>
    <n v="0.97893350888742592"/>
    <n v="0"/>
    <n v="8"/>
    <n v="1"/>
    <n v="364.5"/>
    <n v="9"/>
    <n v="9.8765432098765427"/>
    <n v="0.91125"/>
    <n v="0.89205315997366685"/>
  </r>
  <r>
    <x v="0"/>
    <d v="2021-08-07T00:00:00"/>
    <s v="A"/>
    <x v="5"/>
    <x v="12"/>
    <m/>
    <s v="INJ-1"/>
    <s v="CAP S TYPE MOLDED PINK"/>
    <s v="EH07Ca"/>
    <s v="Nitin"/>
    <n v="8"/>
    <n v="4137"/>
    <n v="517.125"/>
    <n v="4712"/>
    <n v="4700"/>
    <n v="0.38"/>
    <n v="0"/>
    <n v="0"/>
    <n v="0"/>
    <n v="4"/>
    <n v="8"/>
    <n v="1"/>
    <n v="4700"/>
    <n v="1.1360889533478367"/>
    <x v="10"/>
    <n v="7.3"/>
    <n v="34.7776"/>
    <n v="0.98655456385719553"/>
    <n v="8.5034013605442174E-4"/>
    <n v="0"/>
    <n v="0.99915110356536507"/>
    <n v="0"/>
    <n v="8"/>
    <n v="1"/>
    <n v="587.5"/>
    <n v="6"/>
    <n v="6.1276595744680851"/>
    <n v="0.97916666666666663"/>
    <n v="0.97833545557441992"/>
  </r>
  <r>
    <x v="0"/>
    <d v="2021-08-07T00:00:00"/>
    <s v="G"/>
    <x v="4"/>
    <x v="4"/>
    <m/>
    <m/>
    <s v="NIPPLE S TYPE M SIZE PUNCHED INSPECTED"/>
    <s v="HEH05NaH05PbH06Pb"/>
    <s v="Vivek"/>
    <n v="8.5"/>
    <n v="14182"/>
    <n v="1668.4705882352941"/>
    <n v="15089"/>
    <n v="14937"/>
    <n v="0"/>
    <n v="0"/>
    <n v="0"/>
    <n v="0"/>
    <n v="152"/>
    <n v="0"/>
    <n v="2"/>
    <n v="7468.5"/>
    <n v="1.0532364969679875"/>
    <x v="4"/>
    <n v="0"/>
    <n v="0"/>
    <s v=" "/>
    <n v="1.0073563523096296E-2"/>
    <n v="0"/>
    <n v="0.9899264364769037"/>
    <n v="0.83333333333333337"/>
    <n v="7.666666666666667"/>
    <n v="0.90196078431372551"/>
    <n v="1757.2941176470588"/>
    <n v="4"/>
    <n v="3.6955211889937738"/>
    <n v="1.0823913043478262"/>
    <n v="0.96643994651343224"/>
  </r>
  <r>
    <x v="0"/>
    <d v="2021-08-07T00:00:00"/>
    <s v="G"/>
    <x v="6"/>
    <x v="8"/>
    <m/>
    <s v="PR1"/>
    <s v="KPP BOTTLE 200 ML PRINTED-WMG3B"/>
    <s v="EH06Bb2H07Pa"/>
    <s v="Pintu"/>
    <n v="3.5"/>
    <n v="2125"/>
    <n v="607.14285714285711"/>
    <n v="2017"/>
    <n v="1989"/>
    <n v="0"/>
    <n v="0"/>
    <n v="12"/>
    <n v="0"/>
    <n v="28"/>
    <n v="0"/>
    <n v="6"/>
    <n v="331.5"/>
    <n v="0.93600000000000005"/>
    <x v="8"/>
    <n v="0"/>
    <n v="0"/>
    <s v=" "/>
    <n v="1.3882002974714923E-2"/>
    <n v="0"/>
    <n v="0.98611799702528513"/>
    <n v="0.33333333333333331"/>
    <n v="3.1666666666666665"/>
    <n v="0.90476190476190477"/>
    <n v="568.28571428571433"/>
    <n v="32.4"/>
    <n v="34.389140271493211"/>
    <n v="0.94215789473684208"/>
    <n v="0.84059515546426811"/>
  </r>
  <r>
    <x v="0"/>
    <d v="2021-08-07T00:00:00"/>
    <s v="G"/>
    <x v="6"/>
    <x v="13"/>
    <m/>
    <s v="PR1"/>
    <s v="KPP 200 BOTTLE PRINTED (WMG3B) W/O OZ &amp; W/BIS LOGO"/>
    <s v="EH05Bc2H07Pa"/>
    <s v="Pintu"/>
    <n v="0.8"/>
    <n v="638"/>
    <n v="797.5"/>
    <n v="487"/>
    <n v="467"/>
    <n v="0"/>
    <n v="0"/>
    <n v="0"/>
    <n v="0"/>
    <n v="20"/>
    <n v="0"/>
    <n v="6"/>
    <n v="77.833333333333329"/>
    <n v="0.73197492163009403"/>
    <x v="8"/>
    <n v="0"/>
    <n v="0"/>
    <s v=" "/>
    <n v="4.1067761806981518E-2"/>
    <n v="0"/>
    <n v="0.95893223819301843"/>
    <n v="0"/>
    <n v="0.8"/>
    <n v="1"/>
    <n v="583.75"/>
    <n v="32.4"/>
    <n v="37.002141327623136"/>
    <n v="0.87562499999999976"/>
    <n v="0.83966504106776152"/>
  </r>
  <r>
    <x v="0"/>
    <d v="2021-08-07T00:00:00"/>
    <s v="G"/>
    <x v="6"/>
    <x v="14"/>
    <m/>
    <s v="PR1"/>
    <s v="RPP 120 ML BOTTLE PRINTED"/>
    <s v="EG20Ba1H07Pa"/>
    <s v="Pintu"/>
    <n v="4"/>
    <n v="2550"/>
    <n v="637.5"/>
    <n v="2538"/>
    <n v="2520"/>
    <n v="0"/>
    <n v="0"/>
    <n v="11"/>
    <n v="0"/>
    <n v="18"/>
    <n v="0"/>
    <n v="6"/>
    <n v="420"/>
    <n v="0.9882352941176471"/>
    <x v="11"/>
    <n v="0"/>
    <n v="0"/>
    <s v=" "/>
    <n v="7.0921985815602835E-3"/>
    <n v="0"/>
    <n v="0.99290780141843971"/>
    <n v="0.5"/>
    <n v="3.5"/>
    <n v="0.875"/>
    <n v="630"/>
    <n v="32.4"/>
    <n v="30"/>
    <n v="1.0799999999999998"/>
    <n v="0.93829787234042539"/>
  </r>
  <r>
    <x v="0"/>
    <d v="2021-08-07T00:00:00"/>
    <s v="B"/>
    <x v="3"/>
    <x v="3"/>
    <m/>
    <s v="P1"/>
    <s v="NIPPLE S TYPE M SIZE PUNCHED"/>
    <s v="HEH05NcH07Pa"/>
    <s v="Saurav"/>
    <n v="8"/>
    <n v="7036"/>
    <n v="879.5"/>
    <n v="6600"/>
    <n v="6600"/>
    <n v="0"/>
    <n v="0"/>
    <n v="0"/>
    <n v="0"/>
    <n v="0"/>
    <n v="0"/>
    <n v="1"/>
    <n v="6600"/>
    <n v="0.93803297328027291"/>
    <x v="3"/>
    <n v="0"/>
    <n v="0"/>
    <s v=" "/>
    <n v="0"/>
    <n v="0"/>
    <n v="1"/>
    <n v="0.66666666666666663"/>
    <n v="7.333333333333333"/>
    <n v="0.91666666666666663"/>
    <n v="825"/>
    <n v="3.5"/>
    <n v="4"/>
    <n v="0.875"/>
    <n v="0.80208333333333326"/>
  </r>
  <r>
    <x v="0"/>
    <d v="2021-08-07T00:00:00"/>
    <s v="B"/>
    <x v="5"/>
    <x v="12"/>
    <m/>
    <s v="INJ-1"/>
    <s v="CAP S TYPE MOLDED PINK"/>
    <s v="EH07Ca"/>
    <s v="Saurav"/>
    <n v="3"/>
    <n v="1500"/>
    <n v="500"/>
    <n v="1500"/>
    <n v="1500"/>
    <n v="0"/>
    <n v="0"/>
    <n v="0"/>
    <n v="0"/>
    <n v="0"/>
    <n v="0"/>
    <n v="1"/>
    <n v="1500"/>
    <n v="1"/>
    <x v="10"/>
    <n v="7.3"/>
    <n v="10.95"/>
    <n v="1"/>
    <n v="0"/>
    <n v="0"/>
    <n v="1"/>
    <n v="0"/>
    <n v="3"/>
    <n v="1"/>
    <n v="500"/>
    <n v="6"/>
    <n v="7.2"/>
    <n v="0.83333333333333326"/>
    <n v="0.83333333333333326"/>
  </r>
  <r>
    <x v="0"/>
    <d v="2021-08-07T00:00:00"/>
    <s v="B"/>
    <x v="5"/>
    <x v="12"/>
    <m/>
    <s v="INJ-1"/>
    <s v="CAP S TYPE MOLDED PINK"/>
    <s v="EH07CRa"/>
    <s v="Saurav"/>
    <n v="5"/>
    <n v="2637"/>
    <n v="527.4"/>
    <n v="3000"/>
    <n v="3000"/>
    <n v="0"/>
    <n v="0"/>
    <n v="0"/>
    <n v="0"/>
    <n v="0"/>
    <n v="0"/>
    <n v="1"/>
    <n v="3000"/>
    <n v="1.1376564277588168"/>
    <x v="10"/>
    <n v="7.3"/>
    <n v="21.9"/>
    <n v="1"/>
    <n v="0"/>
    <n v="0"/>
    <n v="1"/>
    <n v="0"/>
    <n v="5"/>
    <n v="1"/>
    <n v="600"/>
    <n v="6"/>
    <n v="6"/>
    <n v="1"/>
    <n v="1"/>
  </r>
  <r>
    <x v="0"/>
    <d v="2021-08-07T00:00:00"/>
    <s v="B"/>
    <x v="0"/>
    <x v="10"/>
    <s v="M2"/>
    <s v="L2"/>
    <s v="NIPPLE S TYPE S SIZE INJECTION"/>
    <s v="HEH07Nb"/>
    <s v="Saurav"/>
    <n v="8"/>
    <n v="4815"/>
    <n v="601.875"/>
    <n v="5065"/>
    <n v="5000"/>
    <n v="0"/>
    <n v="21"/>
    <n v="0"/>
    <n v="0"/>
    <n v="44"/>
    <n v="0"/>
    <n v="1"/>
    <n v="5000"/>
    <n v="1.0384215991692627"/>
    <x v="0"/>
    <n v="6.8"/>
    <n v="34.442"/>
    <n v="0.98716683119447191"/>
    <n v="8.7232355273592389E-3"/>
    <n v="4.1289815178922528E-3"/>
    <n v="0.99131293188548864"/>
    <n v="0.5"/>
    <n v="7.5"/>
    <n v="0.9375"/>
    <n v="625"/>
    <n v="5.25"/>
    <n v="5.4"/>
    <n v="0.97222222222222221"/>
    <n v="0.90354043270812767"/>
  </r>
  <r>
    <x v="0"/>
    <d v="2021-08-07T00:00:00"/>
    <s v="B"/>
    <x v="1"/>
    <x v="9"/>
    <s v="BM2"/>
    <s v="B2"/>
    <s v="KPP 200 ML BOTTLE MOLDED"/>
    <s v="EH07Bb2"/>
    <s v="Saurav"/>
    <n v="8"/>
    <n v="2574"/>
    <n v="321.75"/>
    <n v="3114"/>
    <n v="3024"/>
    <n v="0"/>
    <n v="30"/>
    <n v="0"/>
    <n v="0"/>
    <n v="60"/>
    <n v="0"/>
    <n v="1"/>
    <n v="3024"/>
    <n v="1.1748251748251748"/>
    <x v="1"/>
    <n v="28.1"/>
    <n v="87.503399999999999"/>
    <n v="0.97109826589595383"/>
    <n v="1.9455252918287938E-2"/>
    <n v="9.5419847328244278E-3"/>
    <n v="0.98073217726396922"/>
    <n v="0"/>
    <n v="8"/>
    <n v="1"/>
    <n v="378"/>
    <n v="9"/>
    <n v="9.5238095238095237"/>
    <n v="0.94500000000000006"/>
    <n v="0.92679190751445095"/>
  </r>
  <r>
    <x v="0"/>
    <d v="2021-08-07T00:00:00"/>
    <s v="C"/>
    <x v="0"/>
    <x v="10"/>
    <s v="M2"/>
    <s v="L2"/>
    <s v="NIPPLE S TYPE S SIZE INJECTION"/>
    <s v="HEH07Nc"/>
    <s v="Himanshu"/>
    <n v="8"/>
    <n v="4815"/>
    <n v="601.875"/>
    <n v="4678"/>
    <n v="4600"/>
    <n v="0.57999999999999996"/>
    <n v="30"/>
    <n v="0"/>
    <n v="0"/>
    <n v="40"/>
    <n v="8"/>
    <n v="1"/>
    <n v="4600"/>
    <n v="0.95534787123572174"/>
    <x v="0"/>
    <n v="6.8"/>
    <n v="32.3904"/>
    <n v="0.96571823750246977"/>
    <n v="8.6206896551724137E-3"/>
    <n v="6.3721325403568391E-3"/>
    <n v="0.9914493373236426"/>
    <n v="1.5"/>
    <n v="6.5"/>
    <n v="0.8125"/>
    <n v="575"/>
    <n v="5.25"/>
    <n v="5.0869565217391308"/>
    <n v="1.0320512820512819"/>
    <n v="0.83137157973492948"/>
  </r>
  <r>
    <x v="0"/>
    <d v="2021-08-07T00:00:00"/>
    <s v="C"/>
    <x v="1"/>
    <x v="9"/>
    <s v="BM2"/>
    <s v="B2"/>
    <s v="KPP 200 ML BOTTLE MOLDED"/>
    <s v="EH07Bc2"/>
    <s v="Himanshu"/>
    <n v="8"/>
    <n v="2574"/>
    <n v="321.75"/>
    <n v="3012"/>
    <n v="2916"/>
    <n v="0"/>
    <n v="34"/>
    <n v="0"/>
    <n v="0"/>
    <n v="54"/>
    <n v="8"/>
    <n v="1"/>
    <n v="2916"/>
    <n v="1.1328671328671329"/>
    <x v="1"/>
    <n v="28.1"/>
    <n v="84.637199999999993"/>
    <n v="0.96812749003984067"/>
    <n v="1.8181818181818181E-2"/>
    <n v="1.1162179908076166E-2"/>
    <n v="0.98207171314741037"/>
    <n v="0.5"/>
    <n v="7.5"/>
    <n v="0.9375"/>
    <n v="364.5"/>
    <n v="9"/>
    <n v="9.2592592592592595"/>
    <n v="0.97199999999999998"/>
    <n v="0.89491284860557774"/>
  </r>
  <r>
    <x v="0"/>
    <d v="2021-08-07T00:00:00"/>
    <s v="C"/>
    <x v="5"/>
    <x v="12"/>
    <m/>
    <s v="INJ-1"/>
    <s v="CAP S TYPE MOLDED PINK"/>
    <s v="EH07CRc"/>
    <s v="Himanshu"/>
    <n v="3"/>
    <n v="1557"/>
    <n v="519"/>
    <n v="1572"/>
    <n v="1560"/>
    <n v="0"/>
    <n v="0"/>
    <n v="0"/>
    <n v="0"/>
    <n v="8"/>
    <n v="4"/>
    <n v="1"/>
    <n v="1560"/>
    <n v="1.0019267822736031"/>
    <x v="10"/>
    <n v="7.3"/>
    <n v="11.4756"/>
    <n v="0.99236641221374045"/>
    <n v="5.1020408163265302E-3"/>
    <n v="0"/>
    <n v="0.99491094147582693"/>
    <n v="0.33333333333333331"/>
    <n v="2.6666666666666665"/>
    <n v="0.88888888888888884"/>
    <n v="520"/>
    <n v="6"/>
    <n v="6.1538461538461542"/>
    <n v="0.97499999999999998"/>
    <n v="0.86225614927904992"/>
  </r>
  <r>
    <x v="0"/>
    <d v="2021-08-07T00:00:00"/>
    <s v="C"/>
    <x v="5"/>
    <x v="12"/>
    <m/>
    <s v="INJ-1"/>
    <s v="CAP S TYPE MOLDED PINK"/>
    <s v="EH07Cc"/>
    <s v="Himanshu"/>
    <n v="5"/>
    <n v="2580"/>
    <n v="516"/>
    <n v="2588"/>
    <n v="2580"/>
    <n v="0.09"/>
    <n v="0"/>
    <n v="0"/>
    <n v="0"/>
    <n v="4"/>
    <n v="4"/>
    <n v="1"/>
    <n v="2580"/>
    <n v="1"/>
    <x v="10"/>
    <n v="7.3"/>
    <n v="18.982399999999998"/>
    <n v="0.99218223196223876"/>
    <n v="1.5479876160990713E-3"/>
    <n v="0"/>
    <n v="0.99845440494590421"/>
    <n v="0.33333333333333331"/>
    <n v="4.666666666666667"/>
    <n v="0.93333333333333335"/>
    <n v="516"/>
    <n v="6"/>
    <n v="6.5116279069767442"/>
    <n v="0.92142857142857137"/>
    <n v="0.85867078825347753"/>
  </r>
  <r>
    <x v="0"/>
    <d v="2021-08-09T00:00:00"/>
    <s v="A"/>
    <x v="0"/>
    <x v="10"/>
    <s v="M2"/>
    <s v="L2"/>
    <s v="NIPPLE S TYPE S SIZE INJECTION"/>
    <s v="HEH09Na"/>
    <s v="Himanshu"/>
    <n v="8"/>
    <n v="3600"/>
    <n v="450"/>
    <n v="4605"/>
    <n v="4500"/>
    <n v="0.32"/>
    <n v="48"/>
    <n v="0"/>
    <n v="0"/>
    <n v="49"/>
    <n v="8"/>
    <n v="1"/>
    <n v="4500"/>
    <n v="1.25"/>
    <x v="0"/>
    <n v="6.8"/>
    <n v="31.633999999999997"/>
    <n v="0.9673136498703927"/>
    <n v="1.0771598153440316E-2"/>
    <n v="1.0315925209542231E-2"/>
    <n v="0.98935939196525513"/>
    <n v="1.5"/>
    <n v="6.5"/>
    <n v="0.8125"/>
    <n v="562.5"/>
    <n v="5.25"/>
    <n v="5.2"/>
    <n v="1.0096153846153846"/>
    <n v="0.8115838762214983"/>
  </r>
  <r>
    <x v="0"/>
    <d v="2021-08-09T00:00:00"/>
    <s v="A"/>
    <x v="1"/>
    <x v="9"/>
    <s v="BM2"/>
    <s v="B2"/>
    <s v="KPP 200 ML BOTTLE MOLDED"/>
    <s v="EH09Ba2"/>
    <s v="Himanshu"/>
    <n v="8"/>
    <n v="2574"/>
    <n v="321.75"/>
    <n v="2278"/>
    <n v="2160"/>
    <n v="0.185"/>
    <n v="60"/>
    <n v="0"/>
    <n v="0"/>
    <n v="50"/>
    <n v="8"/>
    <n v="1"/>
    <n v="2160"/>
    <n v="0.83916083916083917"/>
    <x v="1"/>
    <n v="28.1"/>
    <n v="64.196799999999996"/>
    <n v="0.94546768686289662"/>
    <n v="2.2624434389140271E-2"/>
    <n v="2.5662959794696322E-2"/>
    <n v="0.97805092186128184"/>
    <n v="2.5"/>
    <n v="5.5"/>
    <n v="0.6875"/>
    <n v="270"/>
    <n v="9"/>
    <n v="9.1666666666666661"/>
    <n v="0.98181818181818192"/>
    <n v="0.66018437225636528"/>
  </r>
  <r>
    <x v="0"/>
    <d v="2021-08-09T00:00:00"/>
    <s v="A"/>
    <x v="5"/>
    <x v="12"/>
    <m/>
    <s v="INJ-1"/>
    <s v="CAP S TYPE MOLDED PINK"/>
    <s v="EH09Ca"/>
    <s v="Himanshu"/>
    <n v="8"/>
    <n v="4137"/>
    <n v="517.125"/>
    <n v="3612"/>
    <n v="3600"/>
    <n v="0"/>
    <n v="0"/>
    <n v="0"/>
    <n v="0"/>
    <n v="4"/>
    <n v="8"/>
    <n v="1"/>
    <n v="3600"/>
    <n v="0.8701957940536621"/>
    <x v="10"/>
    <n v="7.3"/>
    <n v="26.367599999999999"/>
    <n v="0.99667774086378746"/>
    <n v="1.1098779134295228E-3"/>
    <n v="0"/>
    <n v="0.99889258028792915"/>
    <n v="1.5"/>
    <n v="6.5"/>
    <n v="0.8125"/>
    <n v="450"/>
    <n v="6"/>
    <n v="6.5"/>
    <n v="0.92307692307692313"/>
    <n v="0.74916943521594692"/>
  </r>
  <r>
    <x v="0"/>
    <d v="2021-08-09T00:00:00"/>
    <s v="A"/>
    <x v="2"/>
    <x v="11"/>
    <m/>
    <s v="PC1"/>
    <s v="NIPPLE S TYPE S SIZE POSTCURED"/>
    <s v="HEH07NaH09Pa"/>
    <s v="Himanshu"/>
    <n v="2.5"/>
    <n v="3400"/>
    <n v="1360"/>
    <n v="3400"/>
    <n v="3400"/>
    <n v="0"/>
    <n v="0"/>
    <n v="0"/>
    <n v="0"/>
    <n v="0"/>
    <n v="0"/>
    <n v="1"/>
    <n v="3400"/>
    <n v="1"/>
    <x v="9"/>
    <n v="0"/>
    <n v="0"/>
    <s v=" "/>
    <n v="0"/>
    <n v="0"/>
    <n v="1"/>
    <n v="0"/>
    <n v="2.5"/>
    <n v="1"/>
    <n v="1360"/>
    <n v="2.2999999999999998"/>
    <n v="2.6470588235294117"/>
    <n v="0.86888888888888882"/>
    <n v="0.86888888888888882"/>
  </r>
  <r>
    <x v="0"/>
    <d v="2021-08-09T00:00:00"/>
    <s v="A"/>
    <x v="3"/>
    <x v="3"/>
    <m/>
    <s v="P1"/>
    <s v="NIPPLE S TYPE M SIZE PUNCHED"/>
    <s v="HEH06NbH07PaH09Pa"/>
    <s v="Himanshu"/>
    <n v="4"/>
    <n v="3000"/>
    <n v="750"/>
    <n v="2992"/>
    <n v="2992"/>
    <n v="0"/>
    <n v="0"/>
    <n v="0"/>
    <n v="0"/>
    <n v="0"/>
    <n v="0"/>
    <n v="1"/>
    <n v="2992"/>
    <n v="0.99733333333333329"/>
    <x v="3"/>
    <n v="0"/>
    <n v="0"/>
    <s v=" "/>
    <n v="0"/>
    <n v="0"/>
    <n v="1"/>
    <n v="1"/>
    <n v="3"/>
    <n v="0.75"/>
    <n v="748"/>
    <n v="3.5"/>
    <n v="3.6096256684491981"/>
    <n v="0.96962962962962962"/>
    <n v="0.72722222222222221"/>
  </r>
  <r>
    <x v="0"/>
    <d v="2021-08-09T00:00:00"/>
    <s v="A"/>
    <x v="3"/>
    <x v="15"/>
    <m/>
    <s v="P1"/>
    <s v="NIPPLE S TYPE S SIZE PUNCHED"/>
    <s v="HEH06NcH07PaH09Pa"/>
    <s v="Himanshu"/>
    <n v="4"/>
    <n v="2036"/>
    <n v="509"/>
    <n v="3000"/>
    <n v="2992"/>
    <n v="0"/>
    <n v="0"/>
    <n v="0"/>
    <n v="0"/>
    <n v="0"/>
    <n v="8"/>
    <n v="1"/>
    <n v="2992"/>
    <n v="1.4695481335952849"/>
    <x v="12"/>
    <n v="0"/>
    <n v="0"/>
    <s v=" "/>
    <n v="0"/>
    <n v="0"/>
    <n v="1"/>
    <n v="1"/>
    <n v="3"/>
    <n v="0.75"/>
    <n v="748"/>
    <n v="3.5"/>
    <n v="3.6096256684491981"/>
    <n v="0.96962962962962962"/>
    <n v="0.72722222222222221"/>
  </r>
  <r>
    <x v="0"/>
    <d v="2021-08-09T00:00:00"/>
    <s v="G"/>
    <x v="6"/>
    <x v="14"/>
    <m/>
    <s v="PR1"/>
    <s v="RPP 120 ML BOTTLE PRINTED"/>
    <s v="EH02Bc1H09Pa"/>
    <s v="Pintu"/>
    <n v="8.5"/>
    <n v="5100"/>
    <n v="600"/>
    <n v="6353"/>
    <n v="6322"/>
    <n v="0"/>
    <n v="0"/>
    <n v="54"/>
    <n v="0"/>
    <n v="31"/>
    <n v="0"/>
    <n v="6"/>
    <n v="1053.6666666666667"/>
    <n v="1.2396078431372548"/>
    <x v="11"/>
    <n v="0"/>
    <n v="0"/>
    <s v=" "/>
    <n v="4.8795844482921458E-3"/>
    <n v="0"/>
    <n v="0.99512041555170783"/>
    <n v="0.83333333333333337"/>
    <n v="7.666666666666667"/>
    <n v="0.90196078431372551"/>
    <n v="743.76470588235293"/>
    <n v="32.4"/>
    <n v="26.194242328377097"/>
    <n v="1.2369130434782607"/>
    <n v="1.1102031647855111"/>
  </r>
  <r>
    <x v="0"/>
    <d v="2021-08-09T00:00:00"/>
    <s v="G"/>
    <x v="4"/>
    <x v="4"/>
    <m/>
    <m/>
    <s v="NIPPLE S TYPE M SIZE PUNCHED INSPECTED"/>
    <s v="HEH06NaH07PaH07Pb"/>
    <s v="Vivek"/>
    <n v="4.5"/>
    <n v="8091"/>
    <n v="1798"/>
    <n v="7612"/>
    <n v="7570"/>
    <n v="0"/>
    <n v="0"/>
    <n v="0"/>
    <n v="0"/>
    <n v="42"/>
    <n v="0"/>
    <n v="2"/>
    <n v="3785"/>
    <n v="0.93560746508466197"/>
    <x v="4"/>
    <n v="0"/>
    <n v="0"/>
    <s v=" "/>
    <n v="5.5176037834997376E-3"/>
    <n v="0"/>
    <n v="0.99448239621650025"/>
    <n v="0.66666666666666663"/>
    <n v="3.8333333333333335"/>
    <n v="0.85185185185185186"/>
    <n v="1682.2222222222222"/>
    <n v="4"/>
    <n v="3.6459709379128138"/>
    <n v="1.0971014492753624"/>
    <n v="0.92941132584677855"/>
  </r>
  <r>
    <x v="0"/>
    <d v="2021-08-09T00:00:00"/>
    <s v="G"/>
    <x v="4"/>
    <x v="16"/>
    <m/>
    <m/>
    <s v="NIPPLE S TYPE S SIZE PUNCHED INSPECTED"/>
    <s v="HEH06NcH07PaH09Pa"/>
    <s v="Vivek"/>
    <n v="4"/>
    <n v="6091"/>
    <n v="1522.75"/>
    <n v="4792"/>
    <n v="4772"/>
    <n v="0"/>
    <n v="0"/>
    <n v="0"/>
    <n v="0"/>
    <n v="20"/>
    <n v="0"/>
    <n v="2"/>
    <n v="2386"/>
    <n v="0.78345099326875722"/>
    <x v="13"/>
    <n v="0"/>
    <n v="0"/>
    <s v=" "/>
    <n v="4.1736227045075123E-3"/>
    <n v="0"/>
    <n v="0.9958263772954925"/>
    <n v="1.6666666666666667"/>
    <n v="2.333333333333333"/>
    <n v="0.58333333333333326"/>
    <n v="1193"/>
    <n v="4"/>
    <n v="3.5205364626990772"/>
    <n v="1.1361904761904764"/>
    <n v="0.66001159339640136"/>
  </r>
  <r>
    <x v="0"/>
    <d v="2021-08-09T00:00:00"/>
    <s v="B"/>
    <x v="3"/>
    <x v="15"/>
    <m/>
    <s v="P1"/>
    <s v="NIPPLE S TYPE S SIZE PUNCHED"/>
    <s v="HEH06NcH07PaH09Pb"/>
    <s v="Saurav"/>
    <n v="8"/>
    <n v="7036"/>
    <n v="879.5"/>
    <n v="6200"/>
    <n v="6200"/>
    <n v="0"/>
    <n v="0"/>
    <n v="0"/>
    <n v="0"/>
    <n v="0"/>
    <n v="0"/>
    <n v="1"/>
    <n v="6200"/>
    <n v="0.88118249005116545"/>
    <x v="12"/>
    <n v="0"/>
    <n v="0"/>
    <s v=" "/>
    <n v="0"/>
    <n v="0"/>
    <n v="1"/>
    <n v="0.66666666666666663"/>
    <n v="7.333333333333333"/>
    <n v="0.91666666666666663"/>
    <n v="775"/>
    <n v="3.5"/>
    <n v="4.258064516129032"/>
    <n v="0.82196969696969702"/>
    <n v="0.75347222222222221"/>
  </r>
  <r>
    <x v="0"/>
    <d v="2021-08-09T00:00:00"/>
    <s v="B"/>
    <x v="1"/>
    <x v="9"/>
    <s v="BM2"/>
    <s v="B2"/>
    <s v="KPP 200 ML BOTTLE MOLDED"/>
    <s v="EH09Bb2"/>
    <s v="Saurav"/>
    <n v="8"/>
    <n v="2574"/>
    <n v="321.75"/>
    <n v="3117"/>
    <n v="3024"/>
    <n v="0.15"/>
    <n v="35"/>
    <n v="0"/>
    <n v="0"/>
    <n v="58"/>
    <n v="0"/>
    <n v="1"/>
    <n v="3024"/>
    <n v="1.1748251748251748"/>
    <x v="1"/>
    <n v="28.1"/>
    <n v="87.737700000000004"/>
    <n v="0.96850498702382215"/>
    <n v="1.8818948734587931E-2"/>
    <n v="1.1104060913705584E-2"/>
    <n v="0.98139236445299971"/>
    <n v="0"/>
    <n v="8"/>
    <n v="1"/>
    <n v="378"/>
    <n v="9"/>
    <n v="9.5238095238095237"/>
    <n v="0.94500000000000006"/>
    <n v="0.92741578440808481"/>
  </r>
  <r>
    <x v="0"/>
    <d v="2021-08-09T00:00:00"/>
    <s v="B"/>
    <x v="0"/>
    <x v="10"/>
    <s v="M2"/>
    <s v="L2"/>
    <s v="NIPPLE S TYPE S SIZE INJECTION"/>
    <s v="HEH09Nb"/>
    <s v="Saurav"/>
    <n v="8"/>
    <n v="4815"/>
    <n v="601.875"/>
    <n v="3770"/>
    <n v="3700"/>
    <n v="0"/>
    <n v="30"/>
    <n v="0"/>
    <n v="0"/>
    <n v="40"/>
    <n v="0"/>
    <n v="1"/>
    <n v="3700"/>
    <n v="0.76843198338525442"/>
    <x v="0"/>
    <n v="6.8"/>
    <n v="25.635999999999999"/>
    <n v="0.98143236074270557"/>
    <n v="1.06951871657754E-2"/>
    <n v="7.8947368421052634E-3"/>
    <n v="0.98938992042440321"/>
    <n v="1.5"/>
    <n v="6.5"/>
    <n v="0.8125"/>
    <n v="462.5"/>
    <n v="5.25"/>
    <n v="6.3243243243243246"/>
    <n v="0.83012820512820507"/>
    <n v="0.66732288903625114"/>
  </r>
  <r>
    <x v="0"/>
    <d v="2021-08-09T00:00:00"/>
    <s v="B"/>
    <x v="5"/>
    <x v="12"/>
    <m/>
    <s v="INJ-1"/>
    <s v="CAP S TYPE MOLDED PINK"/>
    <s v="EH09CRb"/>
    <s v="Saurav"/>
    <n v="8"/>
    <n v="4137"/>
    <n v="517.125"/>
    <n v="3752"/>
    <n v="3750"/>
    <n v="0"/>
    <n v="0"/>
    <n v="0"/>
    <n v="0"/>
    <n v="2"/>
    <n v="0"/>
    <n v="1"/>
    <n v="3750"/>
    <n v="0.9064539521392313"/>
    <x v="10"/>
    <n v="7.3"/>
    <n v="27.389600000000002"/>
    <n v="0.99946695095948823"/>
    <n v="5.3304904051172707E-4"/>
    <n v="0"/>
    <n v="0.99946695095948823"/>
    <n v="0"/>
    <n v="8"/>
    <n v="1"/>
    <n v="468.75"/>
    <n v="6"/>
    <n v="7.68"/>
    <n v="0.78125"/>
    <n v="0.7808335554371002"/>
  </r>
  <r>
    <x v="0"/>
    <d v="2021-08-09T00:00:00"/>
    <s v="B"/>
    <x v="2"/>
    <x v="11"/>
    <m/>
    <s v="PC1"/>
    <s v="NIPPLE S TYPE S SIZE POSTCURED"/>
    <s v="HEH07NbH09Pb"/>
    <s v="Saurav"/>
    <n v="8"/>
    <n v="9000"/>
    <n v="1125"/>
    <n v="9600"/>
    <n v="9600"/>
    <n v="0"/>
    <n v="0"/>
    <n v="0"/>
    <n v="0"/>
    <n v="0"/>
    <n v="0"/>
    <n v="1"/>
    <n v="9600"/>
    <n v="1.0666666666666667"/>
    <x v="9"/>
    <n v="0"/>
    <n v="0"/>
    <s v=" "/>
    <n v="0"/>
    <n v="0"/>
    <n v="1"/>
    <n v="0.66666666666666663"/>
    <n v="7.333333333333333"/>
    <n v="0.91666666666666663"/>
    <n v="1200"/>
    <n v="2.2999999999999998"/>
    <n v="2.75"/>
    <n v="0.83636363636363631"/>
    <n v="0.76666666666666661"/>
  </r>
  <r>
    <x v="0"/>
    <d v="2021-08-09T00:00:00"/>
    <s v="C"/>
    <x v="1"/>
    <x v="9"/>
    <s v="BM2"/>
    <s v="B2"/>
    <s v="KPP 200 ML BOTTLE MOLDED"/>
    <s v="EH09Bc2"/>
    <s v="Nitin"/>
    <n v="8"/>
    <n v="2574"/>
    <n v="321.75"/>
    <n v="3498"/>
    <n v="3356"/>
    <n v="0"/>
    <n v="26"/>
    <n v="0"/>
    <n v="0"/>
    <n v="108"/>
    <n v="8"/>
    <n v="1"/>
    <n v="3356"/>
    <n v="1.3038073038073037"/>
    <x v="1"/>
    <n v="28.1"/>
    <n v="98.293800000000005"/>
    <n v="0.95940537449971408"/>
    <n v="3.117782909930716E-2"/>
    <n v="7.3779795686719635E-3"/>
    <n v="0.96912521440823329"/>
    <n v="0.5"/>
    <n v="7.5"/>
    <n v="0.9375"/>
    <n v="419.5"/>
    <n v="9"/>
    <n v="8.045292014302742"/>
    <n v="1.1186666666666665"/>
    <n v="1.0163700686106345"/>
  </r>
  <r>
    <x v="0"/>
    <d v="2021-08-09T00:00:00"/>
    <s v="C"/>
    <x v="0"/>
    <x v="10"/>
    <s v="M2"/>
    <s v="L2"/>
    <s v="NIPPLE S TYPE S SIZE INJECTION"/>
    <s v="HEH09Nc"/>
    <s v="Nitin"/>
    <n v="8"/>
    <n v="4815"/>
    <n v="601.875"/>
    <n v="5086"/>
    <n v="5000"/>
    <n v="0"/>
    <n v="34"/>
    <n v="0"/>
    <n v="0"/>
    <n v="52"/>
    <n v="0"/>
    <n v="1"/>
    <n v="5000"/>
    <n v="1.0384215991692627"/>
    <x v="0"/>
    <n v="6.8"/>
    <n v="34.584800000000001"/>
    <n v="0.98309083759339355"/>
    <n v="1.0292953285827395E-2"/>
    <n v="6.6406249999999998E-3"/>
    <n v="0.98977585528902867"/>
    <n v="0.5"/>
    <n v="7.5"/>
    <n v="0.9375"/>
    <n v="625"/>
    <n v="5.25"/>
    <n v="5.4"/>
    <n v="0.97222222222222221"/>
    <n v="0.90213945143531249"/>
  </r>
  <r>
    <x v="0"/>
    <d v="2021-08-09T00:00:00"/>
    <s v="C"/>
    <x v="5"/>
    <x v="12"/>
    <m/>
    <s v="INJ-1"/>
    <s v="CAP S TYPE MOLDED PINK"/>
    <s v="EH09CRc"/>
    <s v="Nitin"/>
    <n v="8"/>
    <n v="4137"/>
    <n v="517.125"/>
    <n v="4320"/>
    <n v="4300"/>
    <n v="0"/>
    <n v="0"/>
    <n v="0"/>
    <n v="0"/>
    <n v="4"/>
    <n v="16"/>
    <n v="1"/>
    <n v="4300"/>
    <n v="1.0394005317863186"/>
    <x v="10"/>
    <n v="7.3"/>
    <n v="31.536000000000001"/>
    <n v="0.99537037037037035"/>
    <n v="9.2936802973977691E-4"/>
    <n v="0"/>
    <n v="0.99907407407407411"/>
    <n v="0"/>
    <n v="8"/>
    <n v="1"/>
    <n v="537.5"/>
    <n v="6"/>
    <n v="6.6976744186046515"/>
    <n v="0.89583333333333326"/>
    <n v="0.89500385802469129"/>
  </r>
  <r>
    <x v="0"/>
    <d v="2021-08-09T00:00:00"/>
    <s v="C"/>
    <x v="2"/>
    <x v="11"/>
    <m/>
    <s v="PC1"/>
    <s v="NIPPLE S TYPE S SIZE POSTCURED"/>
    <s v="HEH09NaH09Pc"/>
    <s v="Nitin"/>
    <n v="8"/>
    <n v="7000"/>
    <n v="875"/>
    <n v="10200"/>
    <n v="10200"/>
    <n v="0"/>
    <n v="0"/>
    <n v="0"/>
    <n v="0"/>
    <n v="0"/>
    <n v="0"/>
    <n v="1"/>
    <n v="10200"/>
    <n v="1.4571428571428571"/>
    <x v="9"/>
    <n v="0"/>
    <n v="0"/>
    <s v=" "/>
    <n v="0"/>
    <n v="0"/>
    <n v="1"/>
    <n v="0.66666666666666663"/>
    <n v="7.333333333333333"/>
    <n v="0.91666666666666663"/>
    <n v="1275"/>
    <n v="2.2999999999999998"/>
    <n v="2.5882352941176472"/>
    <n v="0.88863636363636356"/>
    <n v="0.81458333333333321"/>
  </r>
  <r>
    <x v="0"/>
    <d v="2021-08-10T00:00:00"/>
    <s v="A"/>
    <x v="5"/>
    <x v="12"/>
    <m/>
    <s v="INJ-1"/>
    <s v="CAP S TYPE MOLDED PINK"/>
    <s v="EH10CRa"/>
    <s v="Himanshu"/>
    <n v="1"/>
    <n v="550"/>
    <n v="550"/>
    <n v="550"/>
    <n v="550"/>
    <n v="0"/>
    <n v="0"/>
    <n v="0"/>
    <n v="0"/>
    <n v="0"/>
    <n v="0"/>
    <n v="1"/>
    <n v="550"/>
    <n v="1"/>
    <x v="10"/>
    <n v="7.3"/>
    <n v="4.0149999999999997"/>
    <n v="1"/>
    <n v="0"/>
    <n v="0"/>
    <n v="1"/>
    <n v="0"/>
    <n v="1"/>
    <n v="1"/>
    <n v="550"/>
    <n v="6"/>
    <n v="6.5454545454545459"/>
    <n v="0.91666666666666663"/>
    <n v="0.91666666666666663"/>
  </r>
  <r>
    <x v="0"/>
    <d v="2021-08-10T00:00:00"/>
    <s v="A"/>
    <x v="5"/>
    <x v="12"/>
    <m/>
    <s v="INJ-1"/>
    <s v="CAP S TYPE MOLDED PINK"/>
    <s v="EH10Ca"/>
    <s v="Himanshu"/>
    <n v="7"/>
    <n v="3587"/>
    <n v="512.42857142857144"/>
    <n v="3402"/>
    <n v="3390"/>
    <n v="0"/>
    <n v="0"/>
    <n v="0"/>
    <n v="0"/>
    <n v="4"/>
    <n v="8"/>
    <n v="1"/>
    <n v="3390"/>
    <n v="0.94507945358238077"/>
    <x v="10"/>
    <n v="7.3"/>
    <n v="24.834600000000002"/>
    <n v="0.9964726631393297"/>
    <n v="1.1785503830288745E-3"/>
    <n v="0"/>
    <n v="0.99882422104644331"/>
    <n v="0.75"/>
    <n v="6.25"/>
    <n v="0.8928571428571429"/>
    <n v="484.28571428571428"/>
    <n v="6"/>
    <n v="6.6371681415929205"/>
    <n v="0.90400000000000003"/>
    <n v="0.806193835558915"/>
  </r>
  <r>
    <x v="0"/>
    <d v="2021-08-10T00:00:00"/>
    <s v="A"/>
    <x v="0"/>
    <x v="10"/>
    <s v="M2"/>
    <s v="L2"/>
    <s v="NIPPLE S TYPE S SIZE INJECTION"/>
    <s v="HEH10Na"/>
    <s v="Himanshu"/>
    <n v="8"/>
    <n v="4815"/>
    <n v="601.875"/>
    <n v="5405"/>
    <n v="5300"/>
    <n v="0"/>
    <n v="30"/>
    <n v="0"/>
    <m/>
    <n v="67"/>
    <n v="8"/>
    <n v="1"/>
    <n v="5300"/>
    <n v="1.1007268951194185"/>
    <x v="0"/>
    <n v="6.8"/>
    <n v="36.753999999999998"/>
    <n v="0.98057354301572619"/>
    <n v="1.2483696664803428E-2"/>
    <n v="5.5197792088316471E-3"/>
    <n v="0.98760407030527286"/>
    <n v="0"/>
    <n v="8"/>
    <n v="1"/>
    <n v="662.5"/>
    <n v="5.25"/>
    <n v="5.4339622641509431"/>
    <n v="0.96614583333333337"/>
    <n v="0.95416955750847976"/>
  </r>
  <r>
    <x v="0"/>
    <d v="2021-08-10T00:00:00"/>
    <s v="A"/>
    <x v="3"/>
    <x v="15"/>
    <m/>
    <s v="P1"/>
    <s v="NIPPLE S TYPE S SIZE PUNCHED"/>
    <s v="HEH07NbH09Pa"/>
    <s v="Himanshu"/>
    <n v="8"/>
    <n v="7036"/>
    <n v="879.5"/>
    <n v="7000"/>
    <n v="7000"/>
    <n v="0"/>
    <n v="0"/>
    <n v="0"/>
    <n v="0"/>
    <n v="0"/>
    <n v="0"/>
    <n v="1"/>
    <n v="7000"/>
    <n v="0.99488345650938037"/>
    <x v="12"/>
    <n v="0"/>
    <n v="0"/>
    <s v=" "/>
    <n v="0"/>
    <n v="0"/>
    <n v="1"/>
    <n v="0.66666666666666663"/>
    <n v="7.333333333333333"/>
    <n v="0.91666666666666663"/>
    <n v="875"/>
    <n v="3.5"/>
    <n v="3.7714285714285714"/>
    <n v="0.92803030303030309"/>
    <n v="0.85069444444444442"/>
  </r>
  <r>
    <x v="0"/>
    <d v="2021-08-10T00:00:00"/>
    <s v="G"/>
    <x v="6"/>
    <x v="17"/>
    <m/>
    <s v="PR1"/>
    <s v="KPP 200 ML BOTTLE PRINTED"/>
    <s v="EH06Bb2H10Pa"/>
    <s v="Pintu"/>
    <n v="8.5"/>
    <n v="5100"/>
    <n v="600"/>
    <n v="5324"/>
    <n v="5292"/>
    <n v="0"/>
    <n v="0"/>
    <n v="52"/>
    <n v="0"/>
    <n v="32"/>
    <n v="0"/>
    <n v="6"/>
    <n v="882"/>
    <n v="1.0376470588235294"/>
    <x v="14"/>
    <n v="0"/>
    <n v="0"/>
    <s v=" "/>
    <n v="6.0105184072126224E-3"/>
    <n v="0"/>
    <n v="0.99398948159278733"/>
    <n v="0.83333333333333337"/>
    <n v="7.666666666666667"/>
    <n v="0.90196078431372551"/>
    <n v="622.58823529411768"/>
    <n v="32.4"/>
    <n v="31.292517006802722"/>
    <n v="1.035391304347826"/>
    <n v="0.92826923586865229"/>
  </r>
  <r>
    <x v="0"/>
    <d v="2021-08-10T00:00:00"/>
    <s v="G"/>
    <x v="4"/>
    <x v="16"/>
    <m/>
    <m/>
    <s v="NIPPLE S TYPE S SIZE PUNCHED INSPECTED"/>
    <s v="HEH07NaH09PaH09Pb"/>
    <s v="Vivek"/>
    <n v="8.5"/>
    <n v="14182"/>
    <n v="1668.4705882352941"/>
    <n v="14000"/>
    <n v="13925"/>
    <n v="0"/>
    <n v="0"/>
    <n v="0"/>
    <n v="0"/>
    <n v="75"/>
    <n v="0"/>
    <n v="2"/>
    <n v="6962.5"/>
    <n v="0.98187843745593006"/>
    <x v="13"/>
    <n v="0"/>
    <n v="0"/>
    <s v=" "/>
    <n v="5.3571428571428572E-3"/>
    <n v="0"/>
    <n v="0.99464285714285716"/>
    <n v="0.83333333333333337"/>
    <n v="7.666666666666667"/>
    <n v="0.90196078431372551"/>
    <n v="1638.2352941176471"/>
    <n v="4"/>
    <n v="3.964093357271095"/>
    <n v="1.0090579710144927"/>
    <n v="0.90525501867413638"/>
  </r>
  <r>
    <x v="0"/>
    <d v="2021-08-10T00:00:00"/>
    <s v="B"/>
    <x v="3"/>
    <x v="15"/>
    <m/>
    <s v="P1"/>
    <s v="NIPPLE S TYPE S SIZE PUNCHED"/>
    <s v="HEH07NcH09PbH10Pb"/>
    <s v="Saurav"/>
    <n v="8"/>
    <n v="7036"/>
    <n v="879.5"/>
    <n v="7100"/>
    <n v="7100"/>
    <n v="0"/>
    <n v="0"/>
    <n v="0"/>
    <n v="0"/>
    <n v="0"/>
    <n v="0"/>
    <n v="1"/>
    <n v="7100"/>
    <n v="1.0090960773166573"/>
    <x v="12"/>
    <n v="0"/>
    <n v="0"/>
    <s v=" "/>
    <n v="0"/>
    <n v="0"/>
    <n v="1"/>
    <n v="0.66666666666666663"/>
    <n v="7.333333333333333"/>
    <n v="0.91666666666666663"/>
    <n v="887.5"/>
    <n v="3.5"/>
    <n v="3.7183098591549295"/>
    <n v="0.94128787878787878"/>
    <n v="0.86284722222222221"/>
  </r>
  <r>
    <x v="0"/>
    <d v="2021-08-10T00:00:00"/>
    <s v="B"/>
    <x v="0"/>
    <x v="10"/>
    <s v="M2"/>
    <s v="L2"/>
    <s v="NIPPLE S TYPE S SIZE INJECTION"/>
    <s v="HEH10Nb"/>
    <s v="Saurav"/>
    <n v="8"/>
    <n v="4815"/>
    <n v="601.875"/>
    <n v="5109"/>
    <n v="5000"/>
    <n v="0"/>
    <n v="40"/>
    <n v="0"/>
    <n v="0"/>
    <n v="69"/>
    <n v="0"/>
    <n v="1"/>
    <n v="5000"/>
    <n v="1.0384215991692627"/>
    <x v="0"/>
    <n v="6.8"/>
    <n v="34.741199999999999"/>
    <n v="0.97866510080250535"/>
    <n v="1.3612152298283685E-2"/>
    <n v="7.768498737618955E-3"/>
    <n v="0.98649442160892542"/>
    <n v="0"/>
    <n v="8"/>
    <n v="1"/>
    <n v="625"/>
    <n v="5.25"/>
    <n v="5.76"/>
    <n v="0.91145833333333337"/>
    <n v="0.89914856136230181"/>
  </r>
  <r>
    <x v="0"/>
    <d v="2021-08-10T00:00:00"/>
    <s v="B"/>
    <x v="2"/>
    <x v="11"/>
    <m/>
    <s v="PC1"/>
    <s v="NIPPLE S TYPE S SIZE POSTCURED"/>
    <s v="HEH09NcH10Pb"/>
    <s v="Saurav"/>
    <n v="8"/>
    <n v="11000"/>
    <n v="1375"/>
    <n v="11300"/>
    <n v="11300"/>
    <n v="0"/>
    <n v="0"/>
    <n v="0"/>
    <n v="0"/>
    <n v="0"/>
    <n v="0"/>
    <n v="1"/>
    <n v="11300"/>
    <n v="1.0272727272727273"/>
    <x v="9"/>
    <n v="0"/>
    <n v="0"/>
    <s v=" "/>
    <n v="0"/>
    <n v="0"/>
    <n v="1"/>
    <n v="0"/>
    <n v="8"/>
    <n v="1"/>
    <n v="1412.5"/>
    <n v="2.2999999999999998"/>
    <n v="2.5486725663716814"/>
    <n v="0.90243055555555551"/>
    <n v="0.90243055555555551"/>
  </r>
  <r>
    <x v="0"/>
    <d v="2021-08-10T00:00:00"/>
    <s v="B"/>
    <x v="5"/>
    <x v="12"/>
    <m/>
    <s v="INJ-1"/>
    <s v="CAP S TYPE MOLDED PINK"/>
    <s v="EH10CRb"/>
    <s v="Saurav"/>
    <n v="8"/>
    <n v="4137"/>
    <n v="517.125"/>
    <n v="4320"/>
    <n v="4320"/>
    <n v="0"/>
    <n v="0"/>
    <n v="0"/>
    <n v="0"/>
    <n v="0"/>
    <n v="0"/>
    <n v="1"/>
    <n v="4320"/>
    <n v="1.0442349528643944"/>
    <x v="10"/>
    <n v="7.3"/>
    <n v="31.536000000000001"/>
    <n v="1"/>
    <n v="0"/>
    <n v="0"/>
    <n v="1"/>
    <n v="0"/>
    <n v="8"/>
    <n v="1"/>
    <n v="540"/>
    <n v="6"/>
    <n v="6.666666666666667"/>
    <n v="0.89999999999999991"/>
    <n v="0.89999999999999991"/>
  </r>
  <r>
    <x v="0"/>
    <d v="2021-08-10T00:00:00"/>
    <s v="C"/>
    <x v="1"/>
    <x v="18"/>
    <s v="BM3"/>
    <s v="B2"/>
    <s v="KPP 240 ML BOTTLE MOLDED"/>
    <s v="EH10Bc2"/>
    <s v="Nitin"/>
    <n v="8"/>
    <n v="2574"/>
    <n v="321.75"/>
    <n v="1773"/>
    <n v="1620"/>
    <n v="0.23"/>
    <n v="107"/>
    <n v="0"/>
    <n v="0"/>
    <n v="38"/>
    <n v="8"/>
    <n v="1"/>
    <n v="1620"/>
    <n v="0.62937062937062938"/>
    <x v="1"/>
    <n v="32.1"/>
    <n v="57.143300000000004"/>
    <n v="0.91002794728340852"/>
    <n v="2.2919179734620022E-2"/>
    <n v="5.6914893617021275E-2"/>
    <n v="0.97856739988719688"/>
    <n v="3.3333333333333335"/>
    <n v="4.6666666666666661"/>
    <n v="0.58333333333333326"/>
    <n v="202.5"/>
    <n v="9"/>
    <n v="10.370370370370368"/>
    <n v="0.86785714285714299"/>
    <n v="0.49539974619289345"/>
  </r>
  <r>
    <x v="0"/>
    <d v="2021-08-10T00:00:00"/>
    <s v="C"/>
    <x v="0"/>
    <x v="10"/>
    <s v="M2"/>
    <s v="L2"/>
    <s v="NIPPLE S TYPE S SIZE INJECTION"/>
    <s v="HEH10Nc"/>
    <s v="Nitin"/>
    <n v="8"/>
    <n v="4815"/>
    <n v="601.875"/>
    <n v="5090"/>
    <n v="5000"/>
    <n v="0"/>
    <n v="32"/>
    <n v="0"/>
    <n v="0"/>
    <n v="50"/>
    <n v="8"/>
    <n v="1"/>
    <n v="5000"/>
    <n v="1.0384215991692627"/>
    <x v="0"/>
    <n v="6.8"/>
    <n v="34.611999999999995"/>
    <n v="0.98231827111984293"/>
    <n v="9.9009900990099011E-3"/>
    <n v="6.247559547051933E-3"/>
    <n v="0.99017681728880158"/>
    <n v="0"/>
    <n v="8"/>
    <n v="1"/>
    <n v="625"/>
    <n v="5.25"/>
    <n v="5.76"/>
    <n v="0.91145833333333337"/>
    <n v="0.9025049115913556"/>
  </r>
  <r>
    <x v="0"/>
    <d v="2021-08-10T00:00:00"/>
    <s v="C"/>
    <x v="5"/>
    <x v="12"/>
    <m/>
    <s v="INJ-1"/>
    <s v="CAP S TYPE MOLDED PINK"/>
    <s v="EH10Cc"/>
    <s v="Nitin"/>
    <n v="8"/>
    <n v="4137"/>
    <n v="517.125"/>
    <n v="3800"/>
    <n v="3788"/>
    <n v="0"/>
    <n v="0"/>
    <n v="0"/>
    <n v="0"/>
    <n v="4"/>
    <n v="8"/>
    <n v="1"/>
    <n v="3788"/>
    <n v="0.91563935218757553"/>
    <x v="10"/>
    <n v="7.3"/>
    <n v="27.740000000000002"/>
    <n v="0.99684210526315786"/>
    <n v="1.0548523206751054E-3"/>
    <n v="0"/>
    <n v="0.99894736842105258"/>
    <n v="1"/>
    <n v="7"/>
    <n v="0.875"/>
    <n v="473.5"/>
    <n v="6"/>
    <n v="6.6525871172122493"/>
    <n v="0.90190476190476188"/>
    <n v="0.78833596491228064"/>
  </r>
  <r>
    <x v="0"/>
    <d v="2021-08-10T00:00:00"/>
    <s v="C"/>
    <x v="2"/>
    <x v="11"/>
    <m/>
    <s v="PC1"/>
    <s v="NIPPLE S TYPE S SIZE POSTCURED"/>
    <s v="HEH10NbH10Pc"/>
    <s v="Nitin"/>
    <n v="4"/>
    <n v="7000"/>
    <n v="1750"/>
    <n v="5000"/>
    <n v="5000"/>
    <n v="0"/>
    <n v="0"/>
    <n v="0"/>
    <n v="0"/>
    <n v="0"/>
    <n v="0"/>
    <n v="1"/>
    <n v="5000"/>
    <n v="0.7142857142857143"/>
    <x v="9"/>
    <n v="0"/>
    <n v="0"/>
    <s v=" "/>
    <n v="0"/>
    <n v="0"/>
    <n v="1"/>
    <n v="0"/>
    <n v="4"/>
    <n v="1"/>
    <n v="1250"/>
    <n v="2.2999999999999998"/>
    <n v="2.88"/>
    <n v="0.79861111111111105"/>
    <n v="0.79861111111111105"/>
  </r>
  <r>
    <x v="0"/>
    <d v="2021-08-11T00:00:00"/>
    <s v="A"/>
    <x v="0"/>
    <x v="10"/>
    <s v="M2"/>
    <s v="L2"/>
    <s v="NIPPLE S TYPE S SIZE INJECTION"/>
    <s v="HEH11Na"/>
    <s v="Himanshu"/>
    <n v="8"/>
    <n v="4815"/>
    <n v="601.875"/>
    <n v="4959"/>
    <n v="4820"/>
    <n v="64.88"/>
    <n v="70"/>
    <n v="0"/>
    <n v="0"/>
    <n v="61"/>
    <n v="8"/>
    <n v="1"/>
    <n v="4820"/>
    <n v="1.0010384215991692"/>
    <x v="0"/>
    <n v="6.8"/>
    <n v="98.601199999999992"/>
    <n v="0.33240974754871139"/>
    <n v="1.2497439049375128E-2"/>
    <n v="1.3919268244183734E-2"/>
    <n v="0.98769913288969546"/>
    <n v="0.75"/>
    <n v="7.25"/>
    <n v="0.90625"/>
    <n v="602.5"/>
    <n v="5.25"/>
    <n v="5.4149377593360999"/>
    <n v="0.96954022988505739"/>
    <n v="0.86783772770047718"/>
  </r>
  <r>
    <x v="0"/>
    <d v="2021-08-11T00:00:00"/>
    <s v="A"/>
    <x v="3"/>
    <x v="15"/>
    <m/>
    <s v="P1"/>
    <s v="NIPPLE S TYPE S SIZE PUNCHED"/>
    <s v="HEH09NbH09Pc"/>
    <s v="Himanshu"/>
    <n v="8"/>
    <n v="7036"/>
    <n v="879.5"/>
    <n v="6700"/>
    <n v="6700"/>
    <n v="0"/>
    <n v="0"/>
    <n v="0"/>
    <n v="0"/>
    <n v="0"/>
    <n v="0"/>
    <n v="1"/>
    <n v="6700"/>
    <n v="0.95224559408754972"/>
    <x v="12"/>
    <n v="0"/>
    <n v="0"/>
    <s v=" "/>
    <n v="0"/>
    <n v="0"/>
    <n v="1"/>
    <n v="0.66666666666666663"/>
    <n v="7.333333333333333"/>
    <n v="0.91666666666666663"/>
    <n v="837.5"/>
    <n v="3.5"/>
    <n v="3.9402985074626864"/>
    <n v="0.8882575757575758"/>
    <n v="0.81423611111111116"/>
  </r>
  <r>
    <x v="0"/>
    <d v="2021-08-11T00:00:00"/>
    <s v="A"/>
    <x v="5"/>
    <x v="19"/>
    <m/>
    <s v="INJ-1"/>
    <s v="CAP S TYPE MOLDED BLUE"/>
    <s v="EH11Ca"/>
    <s v="Himanshu"/>
    <n v="8"/>
    <n v="4137"/>
    <n v="517.125"/>
    <n v="4372"/>
    <n v="4300"/>
    <n v="0"/>
    <n v="41"/>
    <n v="0"/>
    <n v="0"/>
    <n v="23"/>
    <n v="8"/>
    <n v="1"/>
    <n v="4300"/>
    <n v="1.0394005317863186"/>
    <x v="15"/>
    <n v="7.3"/>
    <n v="31.915600000000001"/>
    <n v="0.98353156450137236"/>
    <n v="5.320379366180893E-3"/>
    <n v="9.290731928393383E-3"/>
    <n v="0.99473924977127171"/>
    <n v="0.5"/>
    <n v="7.5"/>
    <n v="0.9375"/>
    <n v="537.5"/>
    <n v="6"/>
    <n v="6.2790697674418601"/>
    <n v="0.9555555555555556"/>
    <n v="0.89112057792009769"/>
  </r>
  <r>
    <x v="0"/>
    <d v="2021-08-11T00:00:00"/>
    <s v="A"/>
    <x v="2"/>
    <x v="11"/>
    <m/>
    <s v="PC1"/>
    <s v="NIPPLE S TYPE S SIZE POSTCURED"/>
    <s v="HEH10NcH11Pa"/>
    <s v="Himanshu"/>
    <n v="2"/>
    <n v="3000"/>
    <n v="1500"/>
    <n v="3000"/>
    <n v="3000"/>
    <n v="0"/>
    <n v="0"/>
    <n v="0"/>
    <n v="0"/>
    <n v="0"/>
    <n v="0"/>
    <n v="1"/>
    <n v="3000"/>
    <n v="1"/>
    <x v="9"/>
    <n v="0"/>
    <n v="0"/>
    <s v=" "/>
    <n v="0"/>
    <n v="0"/>
    <n v="1"/>
    <n v="0"/>
    <n v="2"/>
    <n v="1"/>
    <n v="1500"/>
    <n v="2.2999999999999998"/>
    <n v="2.4"/>
    <n v="0.95833333333333326"/>
    <n v="0.95833333333333326"/>
  </r>
  <r>
    <x v="0"/>
    <d v="2021-08-11T00:00:00"/>
    <s v="G"/>
    <x v="6"/>
    <x v="17"/>
    <m/>
    <s v="PR1"/>
    <s v="KPP 200 ML BOTTLE PRINTED"/>
    <s v="EH07Ba1H11Pa"/>
    <s v="Pintu"/>
    <n v="8.5"/>
    <n v="5100"/>
    <n v="600"/>
    <n v="5928"/>
    <n v="5899"/>
    <n v="0"/>
    <n v="0"/>
    <n v="56"/>
    <n v="0"/>
    <n v="29"/>
    <n v="0"/>
    <n v="6"/>
    <n v="983.16666666666663"/>
    <n v="1.1566666666666667"/>
    <x v="14"/>
    <n v="0"/>
    <n v="0"/>
    <s v=" "/>
    <n v="4.8920377867746291E-3"/>
    <n v="0"/>
    <n v="0.99510796221322539"/>
    <n v="0.83333333333333337"/>
    <n v="7.666666666666667"/>
    <n v="0.90196078431372551"/>
    <n v="694"/>
    <n v="32.4"/>
    <n v="28.0725546702831"/>
    <n v="1.1541521739130434"/>
    <n v="1.0359073886639676"/>
  </r>
  <r>
    <x v="0"/>
    <d v="2021-08-11T00:00:00"/>
    <s v="G"/>
    <x v="4"/>
    <x v="16"/>
    <m/>
    <m/>
    <s v="NIPPLE S TYPE S SIZE PUNCHED INSPECTED"/>
    <s v="HEH09NaH09PaH10Pb"/>
    <s v="Vivek"/>
    <n v="8.5"/>
    <n v="14182"/>
    <n v="1668.4705882352941"/>
    <n v="13200"/>
    <n v="13116"/>
    <n v="0"/>
    <n v="0"/>
    <n v="0"/>
    <n v="0"/>
    <n v="84"/>
    <n v="0"/>
    <n v="2"/>
    <n v="6558"/>
    <n v="0.92483429699619235"/>
    <x v="13"/>
    <n v="0"/>
    <n v="0"/>
    <s v=" "/>
    <n v="6.3636363636363638E-3"/>
    <n v="0"/>
    <n v="0.99363636363636365"/>
    <n v="1.5"/>
    <n v="7"/>
    <n v="0.82352941176470584"/>
    <n v="1543.0588235294117"/>
    <n v="4"/>
    <n v="3.8426349496797805"/>
    <n v="1.0409523809523809"/>
    <n v="0.85179964349376103"/>
  </r>
  <r>
    <x v="0"/>
    <d v="2021-08-11T00:00:00"/>
    <s v="B"/>
    <x v="3"/>
    <x v="15"/>
    <m/>
    <s v="P1"/>
    <s v="NIPPLE S TYPE S SIZE PUNCHED"/>
    <s v="HEH09NcH10Pb"/>
    <s v="Saurav"/>
    <n v="8"/>
    <n v="7036"/>
    <n v="879.5"/>
    <n v="7300"/>
    <n v="7300"/>
    <n v="0"/>
    <n v="0"/>
    <n v="0"/>
    <n v="0"/>
    <n v="0"/>
    <n v="0"/>
    <n v="1"/>
    <n v="7300"/>
    <n v="1.0375213189312109"/>
    <x v="12"/>
    <n v="0"/>
    <n v="0"/>
    <s v=" "/>
    <n v="0"/>
    <n v="0"/>
    <n v="1"/>
    <n v="0.66666666666666663"/>
    <n v="7.333333333333333"/>
    <n v="0.91666666666666663"/>
    <n v="912.5"/>
    <n v="3.5"/>
    <n v="3.6164383561643834"/>
    <n v="0.96780303030303039"/>
    <n v="0.88715277777777779"/>
  </r>
  <r>
    <x v="0"/>
    <d v="2021-08-11T00:00:00"/>
    <s v="B"/>
    <x v="2"/>
    <x v="11"/>
    <m/>
    <s v="PC1"/>
    <s v="NIPPLE S TYPE S SIZE POSTCURED"/>
    <s v="HEH11NaH11Pb"/>
    <s v="Saurav"/>
    <n v="8"/>
    <n v="7091"/>
    <n v="886.375"/>
    <n v="6820"/>
    <n v="6820"/>
    <n v="0"/>
    <n v="0"/>
    <n v="0"/>
    <n v="0"/>
    <n v="0"/>
    <n v="0"/>
    <n v="1"/>
    <n v="6820"/>
    <n v="0.96178254124947116"/>
    <x v="9"/>
    <n v="0"/>
    <n v="0"/>
    <s v=" "/>
    <n v="0"/>
    <n v="0"/>
    <n v="1"/>
    <n v="2.6666666666666665"/>
    <n v="5.3333333333333339"/>
    <n v="0.66666666666666674"/>
    <n v="852.5"/>
    <n v="2.2999999999999998"/>
    <n v="2.8152492668621707"/>
    <n v="0.81697916666666648"/>
    <n v="0.54465277777777776"/>
  </r>
  <r>
    <x v="0"/>
    <d v="2021-08-11T00:00:00"/>
    <s v="B"/>
    <x v="0"/>
    <x v="10"/>
    <s v="M2"/>
    <s v="L2"/>
    <s v="NIPPLE S TYPE S SIZE INJECTION"/>
    <s v="HEH11Nb"/>
    <s v="Saurav"/>
    <n v="8"/>
    <n v="4815"/>
    <n v="601.875"/>
    <n v="4586"/>
    <n v="4500"/>
    <n v="0"/>
    <n v="35"/>
    <n v="0"/>
    <n v="0"/>
    <n v="51"/>
    <n v="0"/>
    <n v="1"/>
    <n v="4500"/>
    <n v="0.93457943925233644"/>
    <x v="0"/>
    <n v="6.8"/>
    <n v="31.184799999999999"/>
    <n v="0.98124727431312686"/>
    <n v="1.1206328279499011E-2"/>
    <n v="7.5741181562432374E-3"/>
    <n v="0.98887919755778453"/>
    <n v="0"/>
    <n v="8"/>
    <n v="1"/>
    <n v="562.5"/>
    <n v="5.25"/>
    <n v="6.4"/>
    <n v="0.8203125"/>
    <n v="0.81118996674662014"/>
  </r>
  <r>
    <x v="0"/>
    <d v="2021-08-11T00:00:00"/>
    <s v="B"/>
    <x v="5"/>
    <x v="19"/>
    <m/>
    <s v="INJ-1"/>
    <s v="CAP S TYPE MOLDED BLUE"/>
    <s v="EH11Cb"/>
    <s v="Saurav"/>
    <n v="2"/>
    <n v="1040"/>
    <n v="520"/>
    <n v="1040"/>
    <n v="1040"/>
    <n v="0"/>
    <n v="0"/>
    <n v="0"/>
    <n v="0"/>
    <n v="0"/>
    <n v="0"/>
    <n v="1"/>
    <n v="1040"/>
    <n v="1"/>
    <x v="15"/>
    <n v="7.3"/>
    <n v="7.5919999999999996"/>
    <n v="1"/>
    <n v="0"/>
    <n v="0"/>
    <n v="1"/>
    <n v="0"/>
    <n v="2"/>
    <n v="1"/>
    <n v="520"/>
    <n v="6"/>
    <n v="6.9230769230769234"/>
    <n v="0.86666666666666659"/>
    <n v="0.86666666666666659"/>
  </r>
  <r>
    <x v="0"/>
    <d v="2021-08-11T00:00:00"/>
    <s v="B"/>
    <x v="5"/>
    <x v="19"/>
    <m/>
    <s v="INJ-1"/>
    <s v="CAP S TYPE MOLDED BLUE"/>
    <s v="EH11CRb"/>
    <s v="Saurav"/>
    <n v="6"/>
    <n v="3097"/>
    <n v="516.16666666666663"/>
    <n v="3505"/>
    <n v="3500"/>
    <n v="0"/>
    <n v="0"/>
    <n v="0"/>
    <n v="0"/>
    <n v="5"/>
    <n v="0"/>
    <n v="1"/>
    <n v="3500"/>
    <n v="1.1301259283177267"/>
    <x v="15"/>
    <n v="7.3"/>
    <n v="25.586500000000001"/>
    <n v="0.99857346647646217"/>
    <n v="1.4265335235378032E-3"/>
    <n v="0"/>
    <n v="0.99857346647646217"/>
    <n v="0"/>
    <n v="6"/>
    <n v="1"/>
    <n v="583.33333333333337"/>
    <n v="6"/>
    <n v="6.1714285714285717"/>
    <n v="0.97222222222222221"/>
    <n v="0.97083531462989381"/>
  </r>
  <r>
    <x v="0"/>
    <d v="2021-08-11T00:00:00"/>
    <s v="C"/>
    <x v="1"/>
    <x v="20"/>
    <s v="BM4"/>
    <s v="B1"/>
    <s v="KPP 120 ML BOTTLE MOLDED"/>
    <s v="EH11Bc1"/>
    <s v="Nitin"/>
    <n v="1.2"/>
    <n v="500"/>
    <n v="416.66666666666669"/>
    <n v="489"/>
    <n v="453"/>
    <n v="0.25"/>
    <n v="18"/>
    <n v="0"/>
    <n v="0"/>
    <n v="10"/>
    <n v="8"/>
    <n v="1"/>
    <n v="453"/>
    <n v="0.90600000000000003"/>
    <x v="1"/>
    <n v="21.3"/>
    <n v="10.665699999999999"/>
    <n v="0.90466636038891024"/>
    <n v="2.159827213822894E-2"/>
    <n v="3.5502958579881658E-2"/>
    <n v="0.9795501022494888"/>
    <n v="0"/>
    <n v="1.2"/>
    <n v="1"/>
    <n v="377.5"/>
    <n v="9"/>
    <n v="9.5364238410596034"/>
    <n v="0.94374999999999998"/>
    <n v="0.92445040899795505"/>
  </r>
  <r>
    <x v="0"/>
    <d v="2021-08-11T00:00:00"/>
    <s v="C"/>
    <x v="0"/>
    <x v="10"/>
    <s v="M2"/>
    <s v="L2"/>
    <s v="NIPPLE S TYPE S SIZE INJECTION"/>
    <s v="HEH11Nc"/>
    <s v="Nitin"/>
    <n v="8"/>
    <n v="4815"/>
    <n v="601.875"/>
    <n v="5373"/>
    <n v="5300"/>
    <n v="0"/>
    <n v="0"/>
    <n v="0"/>
    <n v="0"/>
    <n v="65"/>
    <n v="8"/>
    <n v="1"/>
    <n v="5300"/>
    <n v="1.1007268951194185"/>
    <x v="0"/>
    <n v="6.8"/>
    <n v="36.5364"/>
    <n v="0.98641354922761959"/>
    <n v="1.2115563839701771E-2"/>
    <n v="0"/>
    <n v="0.98790247533966125"/>
    <n v="0"/>
    <n v="8"/>
    <n v="1"/>
    <n v="662.5"/>
    <n v="5.25"/>
    <n v="5.4339622641509431"/>
    <n v="0.96614583333333337"/>
    <n v="0.95445786028909985"/>
  </r>
  <r>
    <x v="0"/>
    <d v="2021-08-11T00:00:00"/>
    <s v="C"/>
    <x v="2"/>
    <x v="11"/>
    <m/>
    <s v="PC1"/>
    <s v="NIPPLE S TYPE S SIZE POSTCURED"/>
    <s v="HEH11NCH11PC"/>
    <s v="Nitin"/>
    <n v="4"/>
    <n v="7000"/>
    <n v="1750"/>
    <n v="5500"/>
    <n v="5500"/>
    <n v="0"/>
    <n v="0"/>
    <n v="0"/>
    <n v="0"/>
    <n v="0"/>
    <n v="0"/>
    <n v="1"/>
    <n v="5500"/>
    <n v="0.7857142857142857"/>
    <x v="9"/>
    <n v="0"/>
    <n v="0"/>
    <s v=" "/>
    <n v="0"/>
    <n v="0"/>
    <n v="1"/>
    <n v="0"/>
    <n v="4"/>
    <n v="1"/>
    <n v="1375"/>
    <n v="2.2999999999999998"/>
    <n v="2.6181818181818182"/>
    <n v="0.87847222222222221"/>
    <n v="0.87847222222222221"/>
  </r>
  <r>
    <x v="0"/>
    <d v="2021-08-11T00:00:00"/>
    <s v="C"/>
    <x v="5"/>
    <x v="19"/>
    <m/>
    <s v="INJ-1"/>
    <s v="CAP S TYPE MOLDED BLUE"/>
    <s v="EH11CRc"/>
    <s v="Nitin"/>
    <n v="8"/>
    <n v="7091"/>
    <n v="886.375"/>
    <n v="4223"/>
    <n v="4200"/>
    <n v="0.15"/>
    <n v="0"/>
    <n v="0"/>
    <n v="0"/>
    <n v="15"/>
    <n v="8"/>
    <n v="1"/>
    <n v="4200"/>
    <n v="0.5923000987166831"/>
    <x v="15"/>
    <n v="7.3"/>
    <n v="30.977899999999998"/>
    <n v="0.98973784536718123"/>
    <n v="3.5587188612099642E-3"/>
    <n v="0"/>
    <n v="0.99644802273265454"/>
    <n v="0"/>
    <n v="8"/>
    <n v="1"/>
    <n v="525"/>
    <n v="6"/>
    <n v="6.8571428571428568"/>
    <n v="0.875"/>
    <n v="0.87189201989107268"/>
  </r>
  <r>
    <x v="0"/>
    <d v="2021-08-12T00:00:00"/>
    <s v="A"/>
    <x v="0"/>
    <x v="10"/>
    <s v="M2"/>
    <s v="L2"/>
    <s v="NIPPLE S TYPE S SIZE INJECTION"/>
    <s v="HEH12Na"/>
    <s v="Himanshu"/>
    <n v="8"/>
    <n v="4815"/>
    <n v="601.875"/>
    <n v="5096"/>
    <n v="5000"/>
    <n v="0"/>
    <n v="30"/>
    <n v="0"/>
    <n v="0"/>
    <n v="58"/>
    <n v="8"/>
    <n v="1"/>
    <n v="5000"/>
    <n v="1.0384215991692627"/>
    <x v="0"/>
    <n v="6.8"/>
    <n v="34.652799999999999"/>
    <n v="0.98116169544740972"/>
    <n v="1.1466982997232108E-2"/>
    <n v="5.8525165821303156E-3"/>
    <n v="0.98861852433281006"/>
    <n v="0.75"/>
    <n v="7.25"/>
    <n v="0.90625"/>
    <n v="625"/>
    <n v="5.25"/>
    <n v="5.22"/>
    <n v="1.0057471264367817"/>
    <n v="0.90108459249084261"/>
  </r>
  <r>
    <x v="0"/>
    <d v="2021-08-12T00:00:00"/>
    <s v="A"/>
    <x v="3"/>
    <x v="15"/>
    <m/>
    <s v="P1"/>
    <s v="NIPPLE S TYPE S SIZE PUNCHED"/>
    <s v="HEH10NcH10PcH12Pa"/>
    <s v="Himanshu"/>
    <n v="8"/>
    <n v="7091"/>
    <n v="886.375"/>
    <n v="7000"/>
    <n v="7000"/>
    <n v="0"/>
    <n v="0"/>
    <n v="0"/>
    <n v="0"/>
    <n v="0"/>
    <n v="0"/>
    <n v="1"/>
    <n v="7000"/>
    <n v="0.98716683119447191"/>
    <x v="12"/>
    <n v="0"/>
    <n v="0"/>
    <s v=" "/>
    <n v="0"/>
    <n v="0"/>
    <n v="1"/>
    <n v="0.66666666666666663"/>
    <n v="7.333333333333333"/>
    <n v="0.91666666666666663"/>
    <n v="875"/>
    <n v="3.5"/>
    <n v="3.7714285714285714"/>
    <n v="0.92803030303030309"/>
    <n v="0.85069444444444442"/>
  </r>
  <r>
    <x v="0"/>
    <d v="2021-08-12T00:00:00"/>
    <s v="A"/>
    <x v="1"/>
    <x v="18"/>
    <s v="BM3"/>
    <s v="B2"/>
    <s v="KPP 240 ML BOTTLE MOLDED"/>
    <s v="EH12Ba2"/>
    <s v="Himanshu"/>
    <n v="8"/>
    <n v="2574"/>
    <n v="321.75"/>
    <n v="2787"/>
    <n v="2700"/>
    <n v="0.12"/>
    <n v="30"/>
    <n v="0"/>
    <n v="0"/>
    <n v="49"/>
    <n v="8"/>
    <n v="1"/>
    <n v="2700"/>
    <n v="1.048951048951049"/>
    <x v="1"/>
    <n v="32.1"/>
    <n v="89.582700000000017"/>
    <n v="0.96748590966782644"/>
    <n v="1.7824663514005093E-2"/>
    <n v="1.0649627263045794E-2"/>
    <n v="0.98241837100825258"/>
    <n v="1.25"/>
    <n v="6.75"/>
    <n v="0.84375"/>
    <n v="337.5"/>
    <n v="9"/>
    <n v="9"/>
    <n v="1"/>
    <n v="0.82891550053821317"/>
  </r>
  <r>
    <x v="0"/>
    <d v="2021-08-12T00:00:00"/>
    <s v="A"/>
    <x v="5"/>
    <x v="19"/>
    <m/>
    <s v="INJ-1"/>
    <s v="CAP S TYPE MOLDED BLUE"/>
    <s v="EH12Ca"/>
    <s v="Himanshu"/>
    <n v="5"/>
    <n v="2887"/>
    <n v="577.4"/>
    <n v="3034"/>
    <n v="3000"/>
    <n v="0"/>
    <n v="20"/>
    <n v="0"/>
    <n v="0"/>
    <n v="10"/>
    <n v="4"/>
    <n v="1"/>
    <n v="3000"/>
    <n v="1.0391409767925182"/>
    <x v="15"/>
    <n v="7.3"/>
    <n v="22.148199999999999"/>
    <n v="0.98879367172050092"/>
    <n v="3.3222591362126247E-3"/>
    <n v="6.5487884741322853E-3"/>
    <n v="0.99670402109426504"/>
    <n v="0"/>
    <n v="5"/>
    <n v="1"/>
    <n v="600"/>
    <n v="6"/>
    <n v="6"/>
    <n v="1"/>
    <n v="0.99670402109426504"/>
  </r>
  <r>
    <x v="0"/>
    <d v="2021-08-12T00:00:00"/>
    <s v="A"/>
    <x v="5"/>
    <x v="19"/>
    <m/>
    <s v="INJ-1"/>
    <s v="CAP S TYPE MOLDED BLUE"/>
    <s v="EH12CRa"/>
    <s v="Himanshu"/>
    <n v="3"/>
    <n v="1250"/>
    <n v="416.66666666666669"/>
    <n v="1269"/>
    <n v="1250"/>
    <n v="0"/>
    <n v="10"/>
    <n v="0"/>
    <n v="0"/>
    <n v="5"/>
    <n v="4"/>
    <n v="1"/>
    <n v="1250"/>
    <n v="1"/>
    <x v="15"/>
    <n v="7.3"/>
    <n v="9.2637"/>
    <n v="0.9850275807722616"/>
    <n v="3.9840637450199202E-3"/>
    <n v="7.8186082877247844E-3"/>
    <n v="0.99605988967691095"/>
    <n v="0.75"/>
    <n v="2.25"/>
    <n v="0.75"/>
    <n v="416.66666666666669"/>
    <n v="6"/>
    <n v="6.48"/>
    <n v="0.92592592592592582"/>
    <n v="0.69170825672007696"/>
  </r>
  <r>
    <x v="0"/>
    <d v="2021-08-12T00:00:00"/>
    <s v="G"/>
    <x v="6"/>
    <x v="21"/>
    <m/>
    <s v="PR1"/>
    <s v="KPP 240 ML BOTTLE PRINTED"/>
    <s v="EH10Bc2"/>
    <s v="Pintu"/>
    <n v="7.5"/>
    <n v="4250"/>
    <n v="566.66666666666663"/>
    <n v="4303"/>
    <n v="4273"/>
    <n v="0"/>
    <n v="0"/>
    <n v="28"/>
    <n v="0"/>
    <n v="30"/>
    <n v="0"/>
    <n v="6"/>
    <n v="712.16666666666663"/>
    <n v="1.0054117647058824"/>
    <x v="16"/>
    <n v="0"/>
    <n v="0"/>
    <s v=" "/>
    <n v="6.971880083662561E-3"/>
    <n v="0"/>
    <n v="0.99302811991633744"/>
    <n v="1.3333333333333333"/>
    <n v="6.166666666666667"/>
    <n v="0.8222222222222223"/>
    <n v="569.73333333333335"/>
    <n v="32.4"/>
    <n v="31.172478352445587"/>
    <n v="1.0393783783783783"/>
    <n v="0.84864183128050208"/>
  </r>
  <r>
    <x v="0"/>
    <d v="2021-08-12T00:00:00"/>
    <s v="G"/>
    <x v="4"/>
    <x v="16"/>
    <m/>
    <m/>
    <s v="NIPPLE S TYPE S SIZE PUNCHED INSPECTED"/>
    <s v="HEH10NaH10PbH11Pb"/>
    <s v="Vivek"/>
    <n v="8.5"/>
    <n v="14182"/>
    <n v="1668.4705882352941"/>
    <n v="15300"/>
    <n v="15251"/>
    <n v="0"/>
    <n v="0"/>
    <n v="0"/>
    <n v="0"/>
    <n v="49"/>
    <n v="0"/>
    <n v="2"/>
    <n v="7625.5"/>
    <n v="1.0753772387533493"/>
    <x v="13"/>
    <n v="0"/>
    <n v="0"/>
    <s v=" "/>
    <n v="3.2026143790849673E-3"/>
    <n v="0"/>
    <n v="0.99679738562091502"/>
    <n v="0.83333333333333337"/>
    <n v="7.666666666666667"/>
    <n v="0.90196078431372551"/>
    <n v="1794.2352941176471"/>
    <n v="4"/>
    <n v="3.6194347911612352"/>
    <n v="1.1051449275362319"/>
    <n v="0.99360502798069117"/>
  </r>
  <r>
    <x v="0"/>
    <d v="2021-08-12T00:00:00"/>
    <s v="B"/>
    <x v="1"/>
    <x v="18"/>
    <s v="BM3"/>
    <s v="B2"/>
    <s v="KPP 240 ML BOTTLE MOLDED"/>
    <s v="EH12Bb2"/>
    <s v="Saurav"/>
    <n v="8"/>
    <n v="2574"/>
    <n v="321.75"/>
    <n v="3347"/>
    <n v="3132"/>
    <n v="0.2"/>
    <n v="155"/>
    <n v="0"/>
    <n v="0"/>
    <n v="60"/>
    <n v="0"/>
    <n v="1"/>
    <n v="3132"/>
    <n v="1.2167832167832169"/>
    <x v="1"/>
    <n v="32.1"/>
    <n v="107.63870000000001"/>
    <n v="0.93402465841746507"/>
    <n v="1.8796992481203006E-2"/>
    <n v="4.42604226156482E-2"/>
    <n v="0.98207349865551241"/>
    <n v="0"/>
    <n v="8"/>
    <n v="1"/>
    <n v="391.5"/>
    <n v="9"/>
    <n v="9.1954022988505741"/>
    <n v="0.97875000000000001"/>
    <n v="0.96120443680908274"/>
  </r>
  <r>
    <x v="0"/>
    <d v="2021-08-12T00:00:00"/>
    <s v="B"/>
    <x v="3"/>
    <x v="15"/>
    <m/>
    <s v="P1"/>
    <s v="NIPPLE S TYPE S SIZE PUNCHED"/>
    <s v="HEH10NcH10PcH12Pb"/>
    <s v="Saurav"/>
    <n v="8"/>
    <n v="7036"/>
    <n v="879.5"/>
    <n v="7000"/>
    <n v="7000"/>
    <n v="0"/>
    <n v="0"/>
    <n v="0"/>
    <n v="0"/>
    <n v="0"/>
    <n v="0"/>
    <n v="1"/>
    <n v="7000"/>
    <n v="0.99488345650938037"/>
    <x v="12"/>
    <n v="0"/>
    <n v="0"/>
    <s v=" "/>
    <n v="0"/>
    <n v="0"/>
    <n v="1"/>
    <n v="0.66666666666666663"/>
    <n v="7.333333333333333"/>
    <n v="0.91666666666666663"/>
    <n v="875"/>
    <n v="3.5"/>
    <n v="3.7714285714285714"/>
    <n v="0.92803030303030309"/>
    <n v="0.85069444444444442"/>
  </r>
  <r>
    <x v="0"/>
    <d v="2021-08-12T00:00:00"/>
    <s v="B"/>
    <x v="0"/>
    <x v="10"/>
    <s v="M2"/>
    <s v="L2"/>
    <s v="NIPPLE S TYPE S SIZE INJECTION"/>
    <s v="HEH12Nb"/>
    <s v="Saurav"/>
    <n v="8"/>
    <n v="4815"/>
    <n v="601.875"/>
    <n v="5099"/>
    <n v="5000"/>
    <n v="0"/>
    <n v="35"/>
    <n v="0"/>
    <n v="0"/>
    <n v="64"/>
    <n v="0"/>
    <n v="1"/>
    <n v="5000"/>
    <n v="1.0384215991692627"/>
    <x v="0"/>
    <n v="6.8"/>
    <n v="34.673200000000001"/>
    <n v="0.98058442831927828"/>
    <n v="1.2638230647709321E-2"/>
    <n v="6.8172964550058434E-3"/>
    <n v="0.98744851931751321"/>
    <n v="0"/>
    <n v="8"/>
    <n v="1"/>
    <n v="625"/>
    <n v="5.25"/>
    <n v="5.76"/>
    <n v="0.91145833333333337"/>
    <n v="0.90001818166960845"/>
  </r>
  <r>
    <x v="0"/>
    <d v="2021-08-12T00:00:00"/>
    <s v="B"/>
    <x v="5"/>
    <x v="19"/>
    <m/>
    <s v="INJ-1"/>
    <s v="CAP S TYPE MOLDED BLUE"/>
    <s v="EH12Cb"/>
    <s v="Saurav"/>
    <n v="8"/>
    <n v="4137"/>
    <n v="517.125"/>
    <n v="4002"/>
    <n v="4000"/>
    <n v="0"/>
    <n v="0"/>
    <n v="0"/>
    <n v="0"/>
    <n v="2"/>
    <n v="0"/>
    <n v="1"/>
    <n v="4000"/>
    <n v="0.96688421561518012"/>
    <x v="15"/>
    <n v="7.3"/>
    <n v="29.214600000000001"/>
    <n v="0.99950024987506236"/>
    <n v="4.9975012493753122E-4"/>
    <n v="0"/>
    <n v="0.99950024987506247"/>
    <n v="0"/>
    <n v="8"/>
    <n v="1"/>
    <n v="500"/>
    <n v="6"/>
    <n v="7.2"/>
    <n v="0.83333333333333326"/>
    <n v="0.83291687489588528"/>
  </r>
  <r>
    <x v="0"/>
    <d v="2021-08-12T00:00:00"/>
    <s v="C"/>
    <x v="1"/>
    <x v="18"/>
    <s v="BM3"/>
    <s v="B2"/>
    <s v="KPP 240 ML BOTTLE MOLDED"/>
    <s v="EH12Bc2"/>
    <s v="Nitin"/>
    <n v="8"/>
    <n v="2574"/>
    <n v="321.75"/>
    <n v="3277"/>
    <n v="3132"/>
    <n v="0.23"/>
    <n v="70"/>
    <n v="0"/>
    <n v="0"/>
    <n v="67"/>
    <n v="8"/>
    <n v="1"/>
    <n v="3132"/>
    <n v="1.2167832167832169"/>
    <x v="1"/>
    <n v="32.1"/>
    <n v="105.42170000000002"/>
    <n v="0.9536670343961442"/>
    <n v="2.0944045014066895E-2"/>
    <n v="2.0914251568568867E-2"/>
    <n v="0.97955447055233447"/>
    <n v="0"/>
    <n v="8"/>
    <n v="1"/>
    <n v="391.5"/>
    <n v="9"/>
    <n v="9.1954022988505741"/>
    <n v="0.97875000000000001"/>
    <n v="0.9587389380530974"/>
  </r>
  <r>
    <x v="0"/>
    <d v="2021-08-12T00:00:00"/>
    <s v="C"/>
    <x v="0"/>
    <x v="10"/>
    <s v="M2"/>
    <s v="L2"/>
    <s v="NIPPLE S TYPE S SIZE INJECTION"/>
    <s v="HEH12Nc"/>
    <s v="Nitin"/>
    <n v="8"/>
    <n v="4815"/>
    <n v="601.875"/>
    <n v="5368"/>
    <n v="5300"/>
    <n v="0"/>
    <n v="0"/>
    <n v="0"/>
    <n v="0"/>
    <n v="60"/>
    <n v="8"/>
    <n v="1"/>
    <n v="5300"/>
    <n v="1.1007268951194185"/>
    <x v="0"/>
    <n v="6.8"/>
    <n v="36.502400000000002"/>
    <n v="0.98733233979135615"/>
    <n v="1.1194029850746268E-2"/>
    <n v="0"/>
    <n v="0.98882265275707903"/>
    <n v="0.58333333333333337"/>
    <n v="7.416666666666667"/>
    <n v="0.92708333333333337"/>
    <n v="662.5"/>
    <n v="5.25"/>
    <n v="5.0377358490566042"/>
    <n v="1.042134831460674"/>
    <n v="0.95534688586686534"/>
  </r>
  <r>
    <x v="0"/>
    <d v="2021-08-12T00:00:00"/>
    <s v="C"/>
    <x v="2"/>
    <x v="11"/>
    <m/>
    <s v="PC1"/>
    <s v="NIPPLE S TYPE S SIZE POSTCURED"/>
    <s v="HEH11NcH12Pc"/>
    <s v="Nitin"/>
    <n v="8"/>
    <n v="7000"/>
    <n v="875"/>
    <n v="10300"/>
    <n v="10300"/>
    <n v="0"/>
    <n v="0"/>
    <n v="0"/>
    <n v="0"/>
    <n v="0"/>
    <n v="0"/>
    <n v="1"/>
    <n v="10300"/>
    <n v="1.4714285714285715"/>
    <x v="9"/>
    <n v="0"/>
    <n v="0"/>
    <s v=" "/>
    <n v="0"/>
    <n v="0"/>
    <n v="1"/>
    <n v="0.66666666666666663"/>
    <n v="7.333333333333333"/>
    <n v="0.91666666666666663"/>
    <n v="1287.5"/>
    <n v="2.2999999999999998"/>
    <n v="2.563106796116505"/>
    <n v="0.89734848484848473"/>
    <n v="0.82256944444444435"/>
  </r>
  <r>
    <x v="0"/>
    <d v="2021-08-12T00:00:00"/>
    <s v="C"/>
    <x v="5"/>
    <x v="19"/>
    <m/>
    <s v="INJ-1"/>
    <s v="CAP S TYPE MOLDED BLUE"/>
    <s v="EH12CRc"/>
    <s v="Nitin"/>
    <n v="8"/>
    <n v="4137"/>
    <n v="517.125"/>
    <n v="4033"/>
    <n v="4000"/>
    <n v="0"/>
    <n v="0"/>
    <n v="0"/>
    <n v="0"/>
    <n v="25"/>
    <n v="8"/>
    <n v="1"/>
    <n v="4000"/>
    <n v="0.96688421561518012"/>
    <x v="15"/>
    <n v="7.3"/>
    <n v="29.440899999999999"/>
    <n v="0.99181750557897352"/>
    <n v="6.2111801242236021E-3"/>
    <n v="0"/>
    <n v="0.99380114059013147"/>
    <n v="0"/>
    <n v="8"/>
    <n v="1"/>
    <n v="500"/>
    <n v="6"/>
    <n v="7.2"/>
    <n v="0.83333333333333326"/>
    <n v="0.82816761715844278"/>
  </r>
  <r>
    <x v="0"/>
    <d v="2021-08-13T00:00:00"/>
    <s v="G"/>
    <x v="6"/>
    <x v="22"/>
    <m/>
    <m/>
    <s v="KPP 240 BOTTLE PRINTED (WMG3B) W/O OZ &amp; W/BIS LOGO"/>
    <s v="EG21Bc2H12Pa"/>
    <s v="Pintu"/>
    <n v="1"/>
    <n v="600"/>
    <n v="600"/>
    <n v="328"/>
    <n v="324"/>
    <n v="0"/>
    <n v="0"/>
    <n v="4"/>
    <n v="0"/>
    <n v="4"/>
    <n v="0"/>
    <n v="6"/>
    <n v="54"/>
    <n v="0.54"/>
    <x v="17"/>
    <n v="0"/>
    <n v="0"/>
    <s v=" "/>
    <n v="1.2195121951219513E-2"/>
    <n v="0"/>
    <n v="0.98780487804878048"/>
    <n v="0.5"/>
    <n v="0.5"/>
    <n v="0.5"/>
    <n v="324"/>
    <n v="32.4"/>
    <n v="33.333333333333336"/>
    <n v="0.97199999999999986"/>
    <n v="0.48007317073170724"/>
  </r>
  <r>
    <x v="0"/>
    <d v="2021-08-13T00:00:00"/>
    <s v="A"/>
    <x v="2"/>
    <x v="11"/>
    <m/>
    <s v="PC1"/>
    <s v="NIPPLE S TYPE S SIZE POSTCURED"/>
    <s v="HEH12NcH13Pa"/>
    <s v="Himanshu"/>
    <n v="8"/>
    <n v="7000"/>
    <n v="875"/>
    <n v="9300"/>
    <n v="9300"/>
    <n v="0"/>
    <n v="0"/>
    <n v="0"/>
    <n v="0"/>
    <n v="0"/>
    <n v="0"/>
    <n v="1"/>
    <n v="9300"/>
    <n v="1.3285714285714285"/>
    <x v="9"/>
    <n v="0"/>
    <n v="0"/>
    <s v=" "/>
    <n v="0"/>
    <n v="0"/>
    <n v="1"/>
    <n v="0.66666666666666663"/>
    <n v="7.333333333333333"/>
    <n v="0.91666666666666663"/>
    <n v="1162.5"/>
    <n v="2.2999999999999998"/>
    <n v="2.838709677419355"/>
    <n v="0.81022727272727257"/>
    <n v="0.74270833333333319"/>
  </r>
  <r>
    <x v="0"/>
    <d v="2021-08-13T00:00:00"/>
    <s v="A"/>
    <x v="5"/>
    <x v="19"/>
    <m/>
    <s v="INJ-1"/>
    <s v="CAP S TYPE MOLDED BLUE"/>
    <s v="EH13CRc"/>
    <s v="Himanshu"/>
    <n v="6"/>
    <n v="3000"/>
    <n v="500"/>
    <n v="3414"/>
    <n v="3400"/>
    <n v="0.2"/>
    <n v="0"/>
    <n v="0"/>
    <n v="0"/>
    <n v="6"/>
    <n v="8"/>
    <n v="1"/>
    <n v="3400"/>
    <n v="1.1333333333333333"/>
    <x v="15"/>
    <n v="7.3"/>
    <n v="25.122199999999999"/>
    <n v="0.98797079873577953"/>
    <n v="1.7615971814445098E-3"/>
    <n v="0"/>
    <n v="0.99824253075571179"/>
    <n v="0"/>
    <n v="6"/>
    <n v="1"/>
    <n v="566.66666666666663"/>
    <n v="6"/>
    <n v="6.3529411764705879"/>
    <n v="0.94444444444444453"/>
    <n v="0.94278461238039457"/>
  </r>
  <r>
    <x v="0"/>
    <d v="2021-08-13T00:00:00"/>
    <s v="A"/>
    <x v="5"/>
    <x v="19"/>
    <m/>
    <s v="INJ-1"/>
    <s v="CAP S TYPE MOLDED BLUE"/>
    <s v="EH13Cc"/>
    <s v="Himanshu"/>
    <n v="2"/>
    <n v="1037"/>
    <n v="518.5"/>
    <n v="1012"/>
    <n v="1000"/>
    <n v="0"/>
    <n v="0"/>
    <n v="0"/>
    <n v="0"/>
    <n v="12"/>
    <n v="0"/>
    <n v="1"/>
    <n v="1000"/>
    <n v="0.96432015429122464"/>
    <x v="15"/>
    <n v="7.3"/>
    <n v="7.3875999999999999"/>
    <n v="0.98814229249011853"/>
    <n v="1.1857707509881422E-2"/>
    <n v="0"/>
    <n v="0.98814229249011853"/>
    <n v="0"/>
    <n v="2"/>
    <n v="1"/>
    <n v="500"/>
    <n v="6"/>
    <n v="7.2"/>
    <n v="0.83333333333333326"/>
    <n v="0.82345191040843202"/>
  </r>
  <r>
    <x v="0"/>
    <d v="2021-08-13T00:00:00"/>
    <s v="A"/>
    <x v="1"/>
    <x v="18"/>
    <s v="BM3"/>
    <s v="B2"/>
    <s v="KPP 240 ML BOTTLE MOLDED"/>
    <s v="EH13Ba2"/>
    <s v="Himanshu"/>
    <n v="8"/>
    <n v="2574"/>
    <n v="321.75"/>
    <n v="3202"/>
    <n v="2916"/>
    <n v="0.12"/>
    <n v="200"/>
    <n v="0"/>
    <n v="0"/>
    <n v="78"/>
    <n v="8"/>
    <n v="1"/>
    <n v="2916"/>
    <n v="1.1328671328671329"/>
    <x v="1"/>
    <n v="32.1"/>
    <n v="102.90420000000002"/>
    <n v="0.90961884937641024"/>
    <n v="2.6052104208416832E-2"/>
    <n v="5.8788947677836566E-2"/>
    <n v="0.97564022485946289"/>
    <n v="0"/>
    <n v="8"/>
    <n v="1"/>
    <n v="364.5"/>
    <n v="9"/>
    <n v="9.8765432098765427"/>
    <n v="0.91125"/>
    <n v="0.88905215490318557"/>
  </r>
  <r>
    <x v="0"/>
    <d v="2021-08-13T00:00:00"/>
    <s v="A"/>
    <x v="0"/>
    <x v="10"/>
    <s v="M2"/>
    <s v="L2"/>
    <s v="NIPPLE S TYPE S SIZE INJECTION"/>
    <s v="HEH13Na"/>
    <s v="Himanshu"/>
    <n v="8"/>
    <n v="4815"/>
    <n v="601.875"/>
    <n v="5080"/>
    <n v="5000"/>
    <n v="0"/>
    <n v="0"/>
    <n v="0"/>
    <n v="0"/>
    <n v="72"/>
    <n v="8"/>
    <n v="1"/>
    <n v="5000"/>
    <n v="1.0384215991692627"/>
    <x v="0"/>
    <n v="6.8"/>
    <n v="34.543999999999997"/>
    <n v="0.98425196850393715"/>
    <n v="1.4195583596214511E-2"/>
    <n v="0"/>
    <n v="0.98582677165354327"/>
    <n v="1"/>
    <n v="7"/>
    <n v="0.875"/>
    <n v="625"/>
    <n v="5.25"/>
    <n v="5.04"/>
    <n v="1.0416666666666667"/>
    <n v="0.89854002624671925"/>
  </r>
  <r>
    <x v="0"/>
    <d v="2021-08-13T00:00:00"/>
    <s v="A"/>
    <x v="3"/>
    <x v="15"/>
    <m/>
    <s v="PC1"/>
    <s v="NIPPLE S TYPE S SIZE PUNCHED"/>
    <s v="HEH11NaH11PbH13Pa"/>
    <s v="Himanshu"/>
    <n v="8"/>
    <n v="7036"/>
    <n v="879.5"/>
    <n v="7320"/>
    <n v="7320"/>
    <n v="0"/>
    <n v="0"/>
    <n v="0"/>
    <n v="0"/>
    <n v="0"/>
    <n v="0"/>
    <n v="1"/>
    <n v="7320"/>
    <n v="1.0403638430926663"/>
    <x v="12"/>
    <n v="0"/>
    <n v="0"/>
    <s v=" "/>
    <n v="0"/>
    <n v="0"/>
    <n v="1"/>
    <n v="0"/>
    <n v="8"/>
    <n v="1"/>
    <n v="915"/>
    <n v="3.5"/>
    <n v="3.9344262295081966"/>
    <n v="0.88958333333333339"/>
    <n v="0.88958333333333339"/>
  </r>
  <r>
    <x v="0"/>
    <d v="2021-08-13T00:00:00"/>
    <s v="G"/>
    <x v="4"/>
    <x v="16"/>
    <m/>
    <m/>
    <s v="NIPPLE S TYPE S SIZE PUNCHED INSPECTED"/>
    <s v="HEH11NaH11PbH12Pb"/>
    <s v="Vivek"/>
    <n v="8.5"/>
    <n v="7091"/>
    <n v="834.23529411764707"/>
    <n v="9320"/>
    <n v="9263"/>
    <n v="0"/>
    <n v="0"/>
    <n v="0"/>
    <n v="0"/>
    <n v="57"/>
    <n v="0"/>
    <n v="1"/>
    <n v="9263"/>
    <n v="1.3063037653363418"/>
    <x v="13"/>
    <n v="0"/>
    <n v="0"/>
    <s v=" "/>
    <n v="6.1158798283261805E-3"/>
    <n v="0"/>
    <n v="0.99388412017167382"/>
    <n v="0.83333333333333337"/>
    <n v="7.666666666666667"/>
    <n v="0.90196078431372551"/>
    <n v="1089.7647058823529"/>
    <n v="4"/>
    <n v="2.9795962431177805"/>
    <n v="1.3424637681159419"/>
    <n v="1.2034442621111392"/>
  </r>
  <r>
    <x v="0"/>
    <d v="2021-08-13T00:00:00"/>
    <s v="G"/>
    <x v="6"/>
    <x v="22"/>
    <m/>
    <s v="PR1"/>
    <s v="KPP 240 BOTTLE PRINTED (WMG3B) W/O OZ &amp; W/BIS LOGO"/>
    <s v="EG21Bc2H13Pa"/>
    <s v="Pintu"/>
    <n v="4"/>
    <n v="2100"/>
    <n v="525"/>
    <n v="1863"/>
    <n v="1836"/>
    <n v="0"/>
    <n v="0"/>
    <n v="27"/>
    <n v="0"/>
    <n v="27"/>
    <n v="0"/>
    <n v="6"/>
    <n v="306"/>
    <n v="0.87428571428571433"/>
    <x v="17"/>
    <n v="0"/>
    <n v="0"/>
    <s v=" "/>
    <n v="1.4492753623188406E-2"/>
    <n v="0"/>
    <n v="0.98550724637681164"/>
    <n v="1.3333333333333333"/>
    <n v="2.666666666666667"/>
    <n v="0.66666666666666674"/>
    <n v="459"/>
    <n v="32.4"/>
    <n v="31.372549019607842"/>
    <n v="1.0327500000000001"/>
    <n v="0.6785217391304349"/>
  </r>
  <r>
    <x v="0"/>
    <d v="2021-08-13T00:00:00"/>
    <s v="G"/>
    <x v="6"/>
    <x v="21"/>
    <m/>
    <s v="PR1"/>
    <s v="KPP 240 ML BOTTLE PRINTED"/>
    <s v="EH12Bb2H13Pa"/>
    <s v="Pintu"/>
    <n v="4.5"/>
    <n v="3000"/>
    <n v="666.66666666666663"/>
    <n v="1739"/>
    <n v="1728"/>
    <n v="0"/>
    <n v="0"/>
    <n v="16"/>
    <n v="0"/>
    <n v="11"/>
    <n v="0"/>
    <n v="6"/>
    <n v="288"/>
    <n v="0.57599999999999996"/>
    <x v="16"/>
    <n v="0"/>
    <n v="0"/>
    <s v=" "/>
    <n v="6.3254744105807935E-3"/>
    <n v="0"/>
    <n v="0.99367452558941916"/>
    <n v="1.8333333333333333"/>
    <n v="2.666666666666667"/>
    <n v="0.59259259259259267"/>
    <n v="384"/>
    <n v="32.4"/>
    <n v="33.333333333333336"/>
    <n v="0.97199999999999986"/>
    <n v="0.57235652673950543"/>
  </r>
  <r>
    <x v="0"/>
    <d v="2021-08-13T00:00:00"/>
    <s v="B"/>
    <x v="5"/>
    <x v="19"/>
    <m/>
    <s v="INJ-1"/>
    <s v="CAP S TYPE MOLDED BLUE"/>
    <s v="EH13Cb"/>
    <s v="Saurav"/>
    <n v="8"/>
    <n v="4137"/>
    <n v="517.125"/>
    <n v="3450"/>
    <n v="3445"/>
    <n v="0"/>
    <n v="0"/>
    <n v="0"/>
    <n v="0"/>
    <n v="5"/>
    <n v="0"/>
    <n v="1"/>
    <n v="3445"/>
    <n v="0.83272903069857385"/>
    <x v="15"/>
    <n v="7.3"/>
    <n v="25.184999999999999"/>
    <n v="0.99855072463768113"/>
    <n v="1.4492753623188406E-3"/>
    <n v="0"/>
    <n v="0.99855072463768113"/>
    <n v="1.1666666666666667"/>
    <n v="6.833333333333333"/>
    <n v="0.85416666666666663"/>
    <n v="430.625"/>
    <n v="6"/>
    <n v="7.1407837445573294"/>
    <n v="0.84024390243902436"/>
    <n v="0.71666817632850233"/>
  </r>
  <r>
    <x v="0"/>
    <d v="2021-08-13T00:00:00"/>
    <s v="B"/>
    <x v="1"/>
    <x v="18"/>
    <s v="BM3"/>
    <s v="B2"/>
    <s v="KPP 240 ML BOTTLE MOLDED"/>
    <s v="EH13Bb2"/>
    <s v="Saurav"/>
    <n v="8"/>
    <n v="2574"/>
    <n v="321.75"/>
    <n v="3023"/>
    <n v="2916"/>
    <n v="0"/>
    <n v="42"/>
    <n v="0"/>
    <n v="0"/>
    <n v="65"/>
    <n v="0"/>
    <n v="1"/>
    <n v="2916"/>
    <n v="1.1328671328671329"/>
    <x v="1"/>
    <n v="32.1"/>
    <n v="97.038300000000007"/>
    <n v="0.96460469732054255"/>
    <n v="2.1804763502180476E-2"/>
    <n v="1.3703099510603589E-2"/>
    <n v="0.97849818061528282"/>
    <n v="0"/>
    <n v="8"/>
    <n v="1"/>
    <n v="364.5"/>
    <n v="9"/>
    <n v="9.8765432098765427"/>
    <n v="0.91125"/>
    <n v="0.89165646708567647"/>
  </r>
  <r>
    <x v="0"/>
    <d v="2021-08-13T00:00:00"/>
    <s v="B"/>
    <x v="0"/>
    <x v="10"/>
    <s v="M2"/>
    <s v="L2"/>
    <s v="NIPPLE S TYPE S SIZE INJECTION"/>
    <s v="HEH13Nb"/>
    <s v="Saurav"/>
    <n v="8"/>
    <n v="4815"/>
    <n v="601.875"/>
    <n v="5612"/>
    <n v="5500"/>
    <n v="0"/>
    <n v="44"/>
    <n v="0"/>
    <n v="0"/>
    <n v="68"/>
    <n v="0"/>
    <n v="1"/>
    <n v="5500"/>
    <n v="1.142263759086189"/>
    <x v="0"/>
    <n v="6.8"/>
    <n v="38.1616"/>
    <n v="0.98004276550249458"/>
    <n v="1.221264367816092E-2"/>
    <n v="7.7793493635077791E-3"/>
    <n v="0.98788310762651466"/>
    <n v="0"/>
    <n v="8"/>
    <n v="1"/>
    <n v="687.5"/>
    <n v="5.25"/>
    <n v="5.2363636363636363"/>
    <n v="1.0026041666666667"/>
    <n v="0.99045571988595882"/>
  </r>
  <r>
    <x v="0"/>
    <d v="2021-08-13T00:00:00"/>
    <s v="B"/>
    <x v="3"/>
    <x v="15"/>
    <m/>
    <s v="P1"/>
    <s v="NIPPLE S TYPE S SIZE PUNCHED"/>
    <s v="HEH12NaH12PcH13Pb"/>
    <s v="Saurav"/>
    <n v="8"/>
    <n v="7036"/>
    <n v="879.5"/>
    <n v="7300"/>
    <n v="7300"/>
    <n v="0"/>
    <n v="0"/>
    <n v="0"/>
    <n v="0"/>
    <n v="0"/>
    <n v="0"/>
    <n v="1"/>
    <n v="7300"/>
    <n v="1.0375213189312109"/>
    <x v="12"/>
    <n v="0"/>
    <n v="0"/>
    <s v=" "/>
    <n v="0"/>
    <n v="0"/>
    <n v="1"/>
    <n v="0"/>
    <n v="8"/>
    <n v="1"/>
    <n v="912.5"/>
    <n v="3.5"/>
    <n v="3.9452054794520546"/>
    <n v="0.88715277777777779"/>
    <n v="0.88715277777777779"/>
  </r>
  <r>
    <x v="0"/>
    <d v="2021-08-13T00:00:00"/>
    <s v="C"/>
    <x v="0"/>
    <x v="10"/>
    <s v="BM3"/>
    <s v="B2"/>
    <s v="NIPPLE S TYPE S SIZE INJECTION"/>
    <s v="HEH13Nc"/>
    <s v="Nitin"/>
    <n v="8"/>
    <n v="4815"/>
    <n v="601.875"/>
    <n v="4564"/>
    <n v="4500"/>
    <n v="0.39"/>
    <n v="16"/>
    <n v="0"/>
    <n v="0"/>
    <n v="40"/>
    <n v="8"/>
    <n v="1"/>
    <n v="4500"/>
    <n v="0.93457943925233644"/>
    <x v="0"/>
    <n v="6.8"/>
    <n v="31.4252"/>
    <n v="0.97374081946972491"/>
    <n v="8.8105726872246704E-3"/>
    <n v="3.4934497816593887E-3"/>
    <n v="0.99123575810692377"/>
    <n v="1.3333333333333333"/>
    <n v="6.666666666666667"/>
    <n v="0.83333333333333337"/>
    <n v="562.5"/>
    <n v="5.25"/>
    <n v="5.333333333333333"/>
    <n v="0.984375"/>
    <n v="0.8131230828220859"/>
  </r>
  <r>
    <x v="0"/>
    <d v="2021-08-13T00:00:00"/>
    <s v="C"/>
    <x v="2"/>
    <x v="11"/>
    <m/>
    <s v="PC1"/>
    <s v="NIPPLE S TYPE S SIZE POSTCURED"/>
    <s v="HEH13NaH13Pc"/>
    <s v="Nitin"/>
    <n v="8"/>
    <n v="11000"/>
    <n v="1375"/>
    <n v="11000"/>
    <n v="11000"/>
    <n v="0"/>
    <n v="0"/>
    <n v="0"/>
    <n v="0"/>
    <n v="0"/>
    <n v="0"/>
    <n v="1"/>
    <n v="11000"/>
    <n v="1"/>
    <x v="9"/>
    <n v="0"/>
    <n v="0"/>
    <s v=" "/>
    <n v="0"/>
    <n v="0"/>
    <n v="1"/>
    <n v="0.66666666666666663"/>
    <n v="7.333333333333333"/>
    <n v="0.91666666666666663"/>
    <n v="1375"/>
    <n v="2.2999999999999998"/>
    <n v="2.4"/>
    <n v="0.95833333333333326"/>
    <n v="0.8784722222222221"/>
  </r>
  <r>
    <x v="0"/>
    <d v="2021-08-13T00:00:00"/>
    <s v="C"/>
    <x v="1"/>
    <x v="18"/>
    <s v="BM3"/>
    <s v="B2"/>
    <s v="KPP 240 ML BOTTLE MOLDED"/>
    <s v="EH13Bc2"/>
    <s v="Nitin"/>
    <n v="8"/>
    <n v="2574"/>
    <n v="321.75"/>
    <n v="3036"/>
    <n v="2916"/>
    <n v="0"/>
    <n v="40"/>
    <n v="0"/>
    <n v="0"/>
    <n v="72"/>
    <n v="8"/>
    <n v="1"/>
    <n v="2916"/>
    <n v="1.1328671328671329"/>
    <x v="1"/>
    <n v="32.1"/>
    <n v="97.455600000000004"/>
    <n v="0.96047430830039537"/>
    <n v="2.4096385542168676E-2"/>
    <n v="1.3003901170351105E-2"/>
    <n v="0.97628458498023718"/>
    <n v="0.66666666666666663"/>
    <n v="7.333333333333333"/>
    <n v="0.91666666666666663"/>
    <n v="364.5"/>
    <n v="9"/>
    <n v="9.0534979423868318"/>
    <n v="0.99409090909090903"/>
    <n v="0.88963932806324098"/>
  </r>
  <r>
    <x v="0"/>
    <d v="2021-08-13T00:00:00"/>
    <s v="C"/>
    <x v="5"/>
    <x v="23"/>
    <m/>
    <s v="INJ-1"/>
    <s v="CAP S TYPE MOLDED PALE BLUE"/>
    <s v="EH13Cc"/>
    <s v="Nitin"/>
    <n v="8"/>
    <n v="4137"/>
    <n v="517.125"/>
    <n v="4014"/>
    <n v="4000"/>
    <n v="0.57999999999999996"/>
    <n v="0"/>
    <n v="0"/>
    <n v="0"/>
    <n v="6"/>
    <n v="8"/>
    <n v="1"/>
    <n v="4000"/>
    <n v="0.96688421561518012"/>
    <x v="18"/>
    <n v="7.3"/>
    <n v="29.882199999999997"/>
    <n v="0.97717035559630827"/>
    <n v="1.4977533699450823E-3"/>
    <n v="0"/>
    <n v="0.99850523168908822"/>
    <n v="1.25"/>
    <n v="6.75"/>
    <n v="0.84375"/>
    <n v="500"/>
    <n v="6"/>
    <n v="6.0750000000000002"/>
    <n v="0.98765432098765427"/>
    <n v="0.83208769307424013"/>
  </r>
  <r>
    <x v="0"/>
    <d v="2021-08-17T00:00:00"/>
    <s v="A"/>
    <x v="0"/>
    <x v="10"/>
    <s v="M2"/>
    <s v="L2"/>
    <s v="NIPPLE S TYPE S SIZE INJECTION"/>
    <s v="HEH17Na"/>
    <s v="Himanshu"/>
    <n v="6"/>
    <n v="3600"/>
    <n v="600"/>
    <n v="4160"/>
    <n v="4000"/>
    <n v="1.147"/>
    <n v="90"/>
    <n v="0"/>
    <n v="0"/>
    <n v="62"/>
    <n v="8"/>
    <n v="1"/>
    <n v="4000"/>
    <n v="1.1111111111111112"/>
    <x v="0"/>
    <n v="6.8"/>
    <n v="29.434999999999995"/>
    <n v="0.92406998471207757"/>
    <n v="1.5263417035942885E-2"/>
    <n v="2.1176470588235293E-2"/>
    <n v="0.9850961538461539"/>
    <n v="0"/>
    <n v="6"/>
    <n v="1"/>
    <n v="666.66666666666663"/>
    <n v="5.25"/>
    <n v="5.4"/>
    <n v="0.97222222222222221"/>
    <n v="0.95773237179487181"/>
  </r>
  <r>
    <x v="0"/>
    <d v="2021-08-17T00:00:00"/>
    <s v="A"/>
    <x v="2"/>
    <x v="11"/>
    <m/>
    <s v="PC1"/>
    <s v="NIPPLE S TYPE S SIZE POSTCURED"/>
    <s v="HEH17NaH17Pa"/>
    <s v="Himanshu"/>
    <n v="3"/>
    <n v="4000"/>
    <n v="1333.3333333333333"/>
    <n v="4000"/>
    <n v="4000"/>
    <n v="0"/>
    <n v="0"/>
    <n v="0"/>
    <n v="0"/>
    <n v="0"/>
    <n v="0"/>
    <n v="1"/>
    <n v="4000"/>
    <n v="1"/>
    <x v="9"/>
    <n v="0"/>
    <n v="0"/>
    <s v=" "/>
    <n v="0"/>
    <n v="0"/>
    <n v="1"/>
    <n v="0"/>
    <n v="3"/>
    <n v="1"/>
    <n v="1333.3333333333333"/>
    <n v="2.2999999999999998"/>
    <n v="2.7"/>
    <n v="0.85185185185185175"/>
    <n v="0.85185185185185175"/>
  </r>
  <r>
    <x v="0"/>
    <d v="2021-08-17T00:00:00"/>
    <s v="A"/>
    <x v="3"/>
    <x v="15"/>
    <m/>
    <s v="P1"/>
    <s v="NIPPLE S TYPE S SIZE PUNCHED"/>
    <s v="HEH12NaH12PcH17Pa"/>
    <s v="Himanshu"/>
    <n v="8"/>
    <n v="7000"/>
    <n v="875"/>
    <n v="4000"/>
    <n v="4000"/>
    <n v="0"/>
    <n v="0"/>
    <n v="0"/>
    <n v="0"/>
    <n v="0"/>
    <n v="0"/>
    <n v="1"/>
    <n v="4000"/>
    <n v="0.5714285714285714"/>
    <x v="12"/>
    <n v="0"/>
    <n v="0"/>
    <s v=" "/>
    <n v="0"/>
    <n v="0"/>
    <n v="1"/>
    <n v="4.083333333333333"/>
    <n v="3.916666666666667"/>
    <n v="0.48958333333333337"/>
    <n v="500"/>
    <n v="3.5"/>
    <n v="3.5250000000000004"/>
    <n v="0.9929078014184396"/>
    <n v="0.4861111111111111"/>
  </r>
  <r>
    <x v="0"/>
    <d v="2021-08-17T00:00:00"/>
    <s v="A"/>
    <x v="1"/>
    <x v="18"/>
    <s v="BM3"/>
    <s v="B2"/>
    <s v="KPP 240 ML BOTTLE MOLDED"/>
    <s v="EH17Ba2"/>
    <s v="Himanshu"/>
    <n v="8"/>
    <n v="2574"/>
    <n v="321.75"/>
    <n v="1141"/>
    <n v="1080"/>
    <n v="0.124"/>
    <n v="21"/>
    <n v="0"/>
    <n v="0"/>
    <n v="32"/>
    <n v="8"/>
    <n v="1"/>
    <n v="1080"/>
    <n v="0.41958041958041958"/>
    <x v="1"/>
    <n v="32.1"/>
    <n v="36.750100000000003"/>
    <n v="0.94334437185204945"/>
    <n v="2.8776978417266189E-2"/>
    <n v="1.8072289156626505E-2"/>
    <n v="0.97195442594215598"/>
    <n v="5.166666666666667"/>
    <n v="2.833333333333333"/>
    <n v="0.35416666666666663"/>
    <n v="135"/>
    <n v="9"/>
    <n v="9.4444444444444429"/>
    <n v="0.9529411764705884"/>
    <n v="0.32803461875547768"/>
  </r>
  <r>
    <x v="0"/>
    <d v="2021-08-17T00:00:00"/>
    <s v="A"/>
    <x v="5"/>
    <x v="23"/>
    <m/>
    <s v="INJ-1"/>
    <s v="CAP S TYPE MOLDED PALE BLUE"/>
    <s v="EH17Ca"/>
    <s v="Himanshu"/>
    <n v="8"/>
    <n v="4137"/>
    <n v="517.125"/>
    <n v="4012"/>
    <n v="4000"/>
    <n v="0"/>
    <n v="2"/>
    <n v="0"/>
    <n v="0"/>
    <n v="2"/>
    <n v="8"/>
    <n v="1"/>
    <n v="4000"/>
    <n v="0.96688421561518012"/>
    <x v="18"/>
    <n v="7.3"/>
    <n v="29.287600000000001"/>
    <n v="0.99700897308075764"/>
    <n v="4.9975012493753122E-4"/>
    <n v="4.9825610363726954E-4"/>
    <n v="0.99950149551345957"/>
    <n v="1"/>
    <n v="7"/>
    <n v="0.875"/>
    <n v="500"/>
    <n v="6"/>
    <n v="6.3"/>
    <n v="0.95238095238095244"/>
    <n v="0.83291791292788309"/>
  </r>
  <r>
    <x v="0"/>
    <d v="2021-08-17T00:00:00"/>
    <s v="G"/>
    <x v="6"/>
    <x v="21"/>
    <m/>
    <s v="PR1"/>
    <s v="KPP 240 ML BOTTLE PRINTED"/>
    <s v="EH12Bc2H17Pa"/>
    <s v="Pintu"/>
    <n v="8.5"/>
    <n v="5100"/>
    <n v="600"/>
    <n v="5205"/>
    <n v="5184"/>
    <n v="0"/>
    <n v="0"/>
    <n v="61"/>
    <n v="0"/>
    <n v="21"/>
    <n v="0"/>
    <n v="6"/>
    <n v="864"/>
    <n v="1.016470588235294"/>
    <x v="16"/>
    <n v="0"/>
    <n v="0"/>
    <s v=" "/>
    <n v="4.0345821325648411E-3"/>
    <n v="0"/>
    <n v="0.9959654178674352"/>
    <n v="0.83333333333333337"/>
    <n v="7.666666666666667"/>
    <n v="0.90196078431372551"/>
    <n v="609.88235294117646"/>
    <n v="32.4"/>
    <n v="31.944444444444443"/>
    <n v="1.0142608695652173"/>
    <n v="0.91113259874555008"/>
  </r>
  <r>
    <x v="0"/>
    <d v="2021-08-17T00:00:00"/>
    <s v="G"/>
    <x v="7"/>
    <x v="24"/>
    <m/>
    <s v="WR1"/>
    <s v="NIPPLE S TYPE M SIZE WITH PRINTED WRAP"/>
    <s v="HEG14CG22"/>
    <s v="Vivek"/>
    <n v="8.5"/>
    <n v="16132"/>
    <n v="1897.8823529411766"/>
    <n v="11557"/>
    <n v="11507"/>
    <n v="0"/>
    <n v="0"/>
    <n v="0"/>
    <n v="0"/>
    <n v="50"/>
    <n v="0"/>
    <n v="2"/>
    <n v="5753.5"/>
    <n v="0.71330275229357798"/>
    <x v="19"/>
    <n v="0"/>
    <n v="0"/>
    <s v=" "/>
    <n v="4.3263822791381849E-3"/>
    <n v="0"/>
    <n v="0.99567361772086183"/>
    <n v="2.1666666666666665"/>
    <n v="6.3333333333333339"/>
    <n v="0.74509803921568629"/>
    <n v="1353.7647058823529"/>
    <n v="2.5"/>
    <n v="3.9628052489788832"/>
    <n v="0.63086622807017534"/>
    <n v="0.46802354244746547"/>
  </r>
  <r>
    <x v="0"/>
    <d v="2021-08-17T00:00:00"/>
    <s v="G"/>
    <x v="4"/>
    <x v="16"/>
    <m/>
    <m/>
    <s v="NIPPLE S TYPE S SIZE PUNCHED INSPECTED"/>
    <s v="HEH11NcH11PcH13Pa"/>
    <s v="Vivek"/>
    <n v="8.5"/>
    <n v="14182"/>
    <n v="1668.4705882352941"/>
    <n v="12300"/>
    <n v="12216"/>
    <n v="0"/>
    <n v="0"/>
    <n v="0"/>
    <n v="0"/>
    <n v="84"/>
    <n v="0"/>
    <n v="1"/>
    <n v="12216"/>
    <n v="0.86137357213369059"/>
    <x v="13"/>
    <n v="0"/>
    <n v="0"/>
    <s v=" "/>
    <n v="6.8292682926829268E-3"/>
    <n v="0"/>
    <n v="0.99317073170731707"/>
    <n v="0.83333333333333337"/>
    <n v="7.666666666666667"/>
    <n v="0.90196078431372551"/>
    <n v="1437.1764705882354"/>
    <n v="4"/>
    <n v="2.2593320235756384"/>
    <n v="1.7704347826086957"/>
    <n v="1.5859573409851746"/>
  </r>
  <r>
    <x v="0"/>
    <d v="2021-08-17T00:00:00"/>
    <s v="B"/>
    <x v="2"/>
    <x v="11"/>
    <m/>
    <s v="PC1"/>
    <s v="NIPPLE S TYPE S SIZE POSTCURED"/>
    <s v="HEH17NbH17Pb"/>
    <s v="Saurav"/>
    <n v="1.5"/>
    <n v="2000"/>
    <n v="1333.3333333333333"/>
    <n v="2000"/>
    <n v="2000"/>
    <n v="0"/>
    <n v="0"/>
    <n v="0"/>
    <n v="0"/>
    <n v="0"/>
    <n v="0"/>
    <n v="1"/>
    <n v="2000"/>
    <n v="1"/>
    <x v="9"/>
    <n v="0"/>
    <n v="0"/>
    <s v=" "/>
    <n v="0"/>
    <n v="0"/>
    <n v="1"/>
    <n v="0"/>
    <n v="1.5"/>
    <n v="1"/>
    <n v="1333.3333333333333"/>
    <n v="2.2999999999999998"/>
    <n v="2.7"/>
    <n v="0.85185185185185175"/>
    <n v="0.85185185185185175"/>
  </r>
  <r>
    <x v="0"/>
    <d v="2021-08-17T00:00:00"/>
    <s v="B"/>
    <x v="0"/>
    <x v="10"/>
    <s v="M2"/>
    <s v="L2"/>
    <s v="NIPPLE S TYPE S SIZE INJECTION"/>
    <s v="HEH17Nb"/>
    <s v="Saurav"/>
    <n v="8"/>
    <n v="4815"/>
    <n v="601.875"/>
    <n v="5417"/>
    <n v="5300"/>
    <n v="0"/>
    <n v="45"/>
    <n v="0"/>
    <n v="0"/>
    <n v="72"/>
    <n v="0"/>
    <n v="1"/>
    <n v="5300"/>
    <n v="1.1007268951194185"/>
    <x v="0"/>
    <n v="6.8"/>
    <n v="36.835599999999999"/>
    <n v="0.97840132914897548"/>
    <n v="1.3402829486224869E-2"/>
    <n v="8.2387403881362137E-3"/>
    <n v="0.98670851024552331"/>
    <n v="0"/>
    <n v="8"/>
    <n v="1"/>
    <n v="662.5"/>
    <n v="5.25"/>
    <n v="5.4339622641509431"/>
    <n v="0.96614583333333337"/>
    <n v="0.95330431588825304"/>
  </r>
  <r>
    <x v="0"/>
    <d v="2021-08-17T00:00:00"/>
    <s v="B"/>
    <x v="1"/>
    <x v="18"/>
    <s v="BM3"/>
    <s v="B2"/>
    <s v="KPP 240 ML BOTTLE MOLDED"/>
    <s v="EH17Bb2"/>
    <s v="Saurav"/>
    <n v="8"/>
    <n v="2574"/>
    <n v="321.75"/>
    <n v="3180"/>
    <n v="3132"/>
    <n v="0.1"/>
    <n v="0"/>
    <n v="0"/>
    <n v="0"/>
    <n v="48"/>
    <n v="0"/>
    <n v="1"/>
    <n v="3132"/>
    <n v="1.2167832167832169"/>
    <x v="1"/>
    <n v="32.1"/>
    <n v="102.17800000000001"/>
    <n v="0.9839417487130302"/>
    <n v="1.509433962264151E-2"/>
    <n v="0"/>
    <n v="0.98490566037735849"/>
    <n v="0"/>
    <n v="8"/>
    <n v="1"/>
    <n v="391.5"/>
    <n v="9"/>
    <n v="9.1954022988505741"/>
    <n v="0.97875000000000001"/>
    <n v="0.96397641509433962"/>
  </r>
  <r>
    <x v="0"/>
    <d v="2021-08-17T00:00:00"/>
    <s v="B"/>
    <x v="3"/>
    <x v="15"/>
    <m/>
    <s v="P1"/>
    <s v="NIPPLE S TYPE S SIZE PUNCHED"/>
    <s v="HEH12NcH13PaH17Pb"/>
    <s v="Saurav"/>
    <n v="8"/>
    <n v="7036"/>
    <n v="879.5"/>
    <n v="7300"/>
    <n v="7300"/>
    <n v="0"/>
    <n v="0"/>
    <n v="0"/>
    <n v="0"/>
    <n v="0"/>
    <n v="0"/>
    <n v="1"/>
    <n v="7300"/>
    <n v="1.0375213189312109"/>
    <x v="12"/>
    <n v="0"/>
    <n v="0"/>
    <s v=" "/>
    <n v="0"/>
    <n v="0"/>
    <n v="1"/>
    <n v="0.66666666666666663"/>
    <n v="7.333333333333333"/>
    <n v="0.91666666666666663"/>
    <n v="912.5"/>
    <n v="3.5"/>
    <n v="3.6164383561643834"/>
    <n v="0.96780303030303039"/>
    <n v="0.88715277777777779"/>
  </r>
  <r>
    <x v="0"/>
    <d v="2021-08-17T00:00:00"/>
    <s v="B"/>
    <x v="8"/>
    <x v="25"/>
    <m/>
    <s v="LZR"/>
    <s v="NIPPLE S TYPE S SIZE PUNCHED LASER MARKED"/>
    <s v="HEH12BG22"/>
    <s v="Saurav"/>
    <n v="8"/>
    <n v="7036"/>
    <n v="879.5"/>
    <n v="6000"/>
    <n v="6000"/>
    <n v="0"/>
    <n v="0"/>
    <n v="0"/>
    <n v="0"/>
    <n v="0"/>
    <n v="0"/>
    <n v="1"/>
    <n v="6000"/>
    <n v="0.85275724843661171"/>
    <x v="20"/>
    <n v="0"/>
    <n v="0"/>
    <s v=" "/>
    <n v="0"/>
    <n v="0"/>
    <n v="1"/>
    <n v="1.6666666666666667"/>
    <n v="6.333333333333333"/>
    <n v="0.79166666666666663"/>
    <n v="750"/>
    <n v="3.5"/>
    <n v="3.8"/>
    <n v="0.92105263157894746"/>
    <n v="0.72916666666666674"/>
  </r>
  <r>
    <x v="0"/>
    <d v="2021-08-17T00:00:00"/>
    <s v="B"/>
    <x v="5"/>
    <x v="23"/>
    <m/>
    <s v="INJ-1"/>
    <s v="CAP S TYPE MOLDED PALE BLUE"/>
    <s v="EH17Cb"/>
    <s v="Saurav"/>
    <n v="2.5"/>
    <n v="1290"/>
    <n v="516"/>
    <n v="1350"/>
    <n v="1350"/>
    <n v="0"/>
    <n v="0"/>
    <n v="0"/>
    <n v="0"/>
    <n v="0"/>
    <n v="0"/>
    <n v="1"/>
    <n v="1350"/>
    <n v="1.0465116279069768"/>
    <x v="18"/>
    <n v="7.3"/>
    <n v="9.8550000000000004"/>
    <n v="1"/>
    <n v="0"/>
    <n v="0"/>
    <n v="1"/>
    <n v="0"/>
    <n v="2.5"/>
    <n v="1"/>
    <n v="540"/>
    <n v="6"/>
    <n v="6.666666666666667"/>
    <n v="0.89999999999999991"/>
    <n v="0.89999999999999991"/>
  </r>
  <r>
    <x v="0"/>
    <d v="2021-08-17T00:00:00"/>
    <s v="B"/>
    <x v="5"/>
    <x v="23"/>
    <m/>
    <s v="INJ-1"/>
    <s v="CAP S TYPE MOLDED PALE BLUE"/>
    <s v="EH17CRb"/>
    <s v="Saurav"/>
    <n v="5.5"/>
    <n v="2847"/>
    <n v="517.63636363636363"/>
    <n v="3008"/>
    <n v="3000"/>
    <n v="0"/>
    <n v="0"/>
    <n v="0"/>
    <n v="0"/>
    <n v="8"/>
    <n v="0"/>
    <n v="1"/>
    <n v="3000"/>
    <n v="1.053740779768177"/>
    <x v="18"/>
    <n v="7.3"/>
    <n v="21.958400000000001"/>
    <n v="0.99734042553191482"/>
    <n v="2.6595744680851063E-3"/>
    <n v="0"/>
    <n v="0.99734042553191493"/>
    <n v="0"/>
    <n v="5.5"/>
    <n v="1"/>
    <n v="545.4545454545455"/>
    <n v="6"/>
    <n v="6.6"/>
    <n v="0.90909090909090917"/>
    <n v="0.9066731141199228"/>
  </r>
  <r>
    <x v="0"/>
    <d v="2021-08-17T00:00:00"/>
    <s v="C"/>
    <x v="5"/>
    <x v="23"/>
    <m/>
    <s v="INJ-1"/>
    <s v="CAP S TYPE MOLDED PALE BLUE"/>
    <s v="EH17CRc"/>
    <s v="Nitin"/>
    <n v="3"/>
    <n v="1537"/>
    <n v="512.33333333333337"/>
    <n v="1578"/>
    <n v="1570"/>
    <n v="0.19"/>
    <n v="0"/>
    <n v="0"/>
    <n v="0"/>
    <n v="0"/>
    <n v="8"/>
    <n v="1"/>
    <n v="1570"/>
    <n v="1.0214703968770331"/>
    <x v="18"/>
    <n v="7.3"/>
    <n v="11.7094"/>
    <n v="0.97878627427536846"/>
    <n v="0"/>
    <n v="0"/>
    <n v="1"/>
    <n v="0.5"/>
    <n v="2.5"/>
    <n v="0.83333333333333337"/>
    <n v="523.33333333333337"/>
    <n v="6"/>
    <n v="5.7324840764331206"/>
    <n v="1.0466666666666666"/>
    <n v="0.87222222222222223"/>
  </r>
  <r>
    <x v="0"/>
    <d v="2021-08-17T00:00:00"/>
    <s v="C"/>
    <x v="5"/>
    <x v="26"/>
    <m/>
    <s v="INJ-1"/>
    <s v="CAP S TYPE MOLDED WHITE"/>
    <s v="EH17Cc"/>
    <s v="Nitin"/>
    <n v="5"/>
    <n v="2600"/>
    <n v="520"/>
    <n v="3012"/>
    <n v="3000"/>
    <n v="0"/>
    <n v="0"/>
    <n v="0"/>
    <n v="0"/>
    <n v="4"/>
    <n v="8"/>
    <n v="1"/>
    <n v="3000"/>
    <n v="1.1538461538461537"/>
    <x v="21"/>
    <n v="7.3"/>
    <n v="21.9876"/>
    <n v="0.99601593625497997"/>
    <n v="1.3315579227696406E-3"/>
    <n v="0"/>
    <n v="0.99867197875166003"/>
    <n v="0"/>
    <n v="5"/>
    <n v="1"/>
    <n v="600"/>
    <n v="6"/>
    <n v="6"/>
    <n v="1"/>
    <n v="0.99867197875166003"/>
  </r>
  <r>
    <x v="0"/>
    <d v="2021-08-17T00:00:00"/>
    <s v="C"/>
    <x v="0"/>
    <x v="10"/>
    <s v="M2"/>
    <s v="L2"/>
    <s v="NIPPLE S TYPE S SIZE INJECTION"/>
    <s v="HEH17Nc"/>
    <s v="Nitin"/>
    <n v="8"/>
    <n v="4815"/>
    <n v="601.875"/>
    <n v="5326"/>
    <n v="5200"/>
    <n v="5.94"/>
    <n v="64"/>
    <n v="0"/>
    <n v="0"/>
    <n v="54"/>
    <n v="8"/>
    <n v="1"/>
    <n v="5200"/>
    <n v="1.0799584631360333"/>
    <x v="0"/>
    <n v="6.8"/>
    <n v="42.156799999999997"/>
    <n v="0.83877334143008964"/>
    <n v="1.0277883517320136E-2"/>
    <n v="1.1873840445269016E-2"/>
    <n v="0.98986105895606458"/>
    <n v="0.75"/>
    <n v="7.25"/>
    <n v="0.90625"/>
    <n v="650"/>
    <n v="5.25"/>
    <n v="5.0192307692307692"/>
    <n v="1.0459770114942528"/>
    <n v="0.93830579546876958"/>
  </r>
  <r>
    <x v="0"/>
    <d v="2021-08-17T00:00:00"/>
    <s v="C"/>
    <x v="1"/>
    <x v="18"/>
    <s v="BM3"/>
    <s v="B2"/>
    <s v="KPP 240 ML BOTTLE MOLDED"/>
    <s v="EH17Bc2"/>
    <s v="Nitin"/>
    <n v="8"/>
    <n v="2574"/>
    <n v="321.75"/>
    <n v="3305"/>
    <n v="3240"/>
    <n v="0"/>
    <n v="20"/>
    <n v="0"/>
    <n v="0"/>
    <n v="37"/>
    <n v="8"/>
    <n v="1"/>
    <n v="3240"/>
    <n v="1.2587412587412588"/>
    <x v="1"/>
    <n v="32.1"/>
    <n v="106.09050000000001"/>
    <n v="0.98033282904689867"/>
    <n v="1.1290814769606347E-2"/>
    <n v="6.0150375939849628E-3"/>
    <n v="0.98880484114977307"/>
    <n v="0.33333333333333331"/>
    <n v="7.666666666666667"/>
    <n v="0.95833333333333337"/>
    <n v="405"/>
    <n v="9"/>
    <n v="8.518518518518519"/>
    <n v="1.0565217391304347"/>
    <n v="1.0011649016641453"/>
  </r>
  <r>
    <x v="0"/>
    <d v="2021-08-18T00:00:00"/>
    <s v="A"/>
    <x v="0"/>
    <x v="10"/>
    <m/>
    <m/>
    <s v="NIPPLE S TYPE S SIZE INJECTION"/>
    <s v="HEH18Na"/>
    <s v="Himanshu"/>
    <n v="8"/>
    <n v="4815"/>
    <n v="601.875"/>
    <n v="5138"/>
    <n v="5000"/>
    <n v="0"/>
    <n v="90"/>
    <n v="0"/>
    <n v="0"/>
    <n v="40"/>
    <n v="8"/>
    <n v="1"/>
    <n v="5000"/>
    <n v="1.0384215991692627"/>
    <x v="0"/>
    <n v="6.8"/>
    <n v="34.938400000000001"/>
    <n v="0.97314130011677691"/>
    <n v="7.9365079365079361E-3"/>
    <n v="1.7214996174445295E-2"/>
    <n v="0.9922148695990658"/>
    <n v="0"/>
    <n v="8"/>
    <n v="1"/>
    <n v="625"/>
    <n v="5.25"/>
    <n v="5.76"/>
    <n v="0.91145833333333337"/>
    <n v="0.90436251135331525"/>
  </r>
  <r>
    <x v="0"/>
    <d v="2021-08-18T00:00:00"/>
    <s v="A"/>
    <x v="1"/>
    <x v="18"/>
    <s v="BM3"/>
    <s v="B2"/>
    <s v="KPP 240 ML BOTTLE MOLDED"/>
    <s v="EH18Ba2"/>
    <s v="Himanshu"/>
    <n v="8"/>
    <n v="2574"/>
    <n v="321.75"/>
    <n v="3270"/>
    <n v="3132"/>
    <n v="0.18"/>
    <n v="58"/>
    <n v="0"/>
    <n v="0"/>
    <n v="72"/>
    <n v="8"/>
    <n v="1"/>
    <n v="3132"/>
    <n v="1.2167832167832169"/>
    <x v="1"/>
    <n v="32.1"/>
    <n v="105.14700000000002"/>
    <n v="0.95615852092784381"/>
    <n v="2.247191011235955E-2"/>
    <n v="1.7427884615384616E-2"/>
    <n v="0.97798165137614679"/>
    <n v="0"/>
    <n v="8"/>
    <n v="1"/>
    <n v="391.5"/>
    <n v="9"/>
    <n v="9.1954022988505741"/>
    <n v="0.97875000000000001"/>
    <n v="0.95719954128440365"/>
  </r>
  <r>
    <x v="0"/>
    <d v="2021-08-18T00:00:00"/>
    <s v="A"/>
    <x v="3"/>
    <x v="15"/>
    <m/>
    <m/>
    <s v="NIPPLE S TYPE S SIZE PUNCHED"/>
    <s v="HEH13NbH13PcH17Pa"/>
    <s v="Himanshu"/>
    <n v="8"/>
    <n v="7000"/>
    <n v="875"/>
    <n v="7000"/>
    <n v="7000"/>
    <n v="0"/>
    <n v="0"/>
    <n v="0"/>
    <n v="0"/>
    <n v="0"/>
    <n v="0"/>
    <n v="1"/>
    <n v="7000"/>
    <n v="1"/>
    <x v="12"/>
    <n v="0"/>
    <n v="0"/>
    <s v=" "/>
    <n v="0"/>
    <n v="0"/>
    <n v="1"/>
    <n v="0.66666666666666663"/>
    <n v="7.333333333333333"/>
    <n v="0.91666666666666663"/>
    <n v="875"/>
    <n v="3.5"/>
    <n v="3.7714285714285714"/>
    <n v="0.92803030303030309"/>
    <n v="0.85069444444444442"/>
  </r>
  <r>
    <x v="0"/>
    <d v="2021-08-18T00:00:00"/>
    <s v="A"/>
    <x v="2"/>
    <x v="11"/>
    <m/>
    <m/>
    <s v="NIPPLE S TYPE S SIZE POSTCURED"/>
    <s v="HEH17NbH18PC"/>
    <s v="Himanshu"/>
    <n v="2"/>
    <n v="3000"/>
    <n v="1500"/>
    <n v="3300"/>
    <n v="3300"/>
    <n v="0"/>
    <n v="0"/>
    <n v="0"/>
    <n v="0"/>
    <n v="0"/>
    <n v="0"/>
    <n v="1"/>
    <n v="3300"/>
    <n v="1.1000000000000001"/>
    <x v="9"/>
    <n v="0"/>
    <n v="0"/>
    <s v=" "/>
    <n v="0"/>
    <n v="0"/>
    <n v="1"/>
    <n v="0"/>
    <n v="2"/>
    <n v="1"/>
    <n v="1650"/>
    <n v="2.2999999999999998"/>
    <n v="2.1818181818181817"/>
    <n v="1.0541666666666667"/>
    <n v="1.0541666666666667"/>
  </r>
  <r>
    <x v="0"/>
    <d v="2021-08-18T00:00:00"/>
    <s v="A"/>
    <x v="8"/>
    <x v="25"/>
    <m/>
    <m/>
    <s v="NIPPLE S TYPE S SIZE PUNCHED LASER MARKED"/>
    <s v="HEH12CG22"/>
    <s v="Himanshu"/>
    <n v="5"/>
    <n v="4375"/>
    <n v="875"/>
    <n v="4300"/>
    <n v="4300"/>
    <n v="0"/>
    <n v="0"/>
    <n v="0"/>
    <n v="0"/>
    <n v="0"/>
    <n v="0"/>
    <n v="1"/>
    <n v="4300"/>
    <n v="0.98285714285714287"/>
    <x v="20"/>
    <n v="0"/>
    <n v="0"/>
    <s v=" "/>
    <n v="0"/>
    <n v="0"/>
    <n v="1"/>
    <n v="0.66666666666666663"/>
    <n v="4.333333333333333"/>
    <n v="0.86666666666666659"/>
    <n v="860"/>
    <n v="3.5"/>
    <n v="3.6279069767441858"/>
    <n v="0.96474358974358976"/>
    <n v="0.83611111111111103"/>
  </r>
  <r>
    <x v="0"/>
    <d v="2021-08-18T00:00:00"/>
    <s v="A"/>
    <x v="5"/>
    <x v="26"/>
    <m/>
    <s v="INJ-1"/>
    <s v="CAP S TYPE MOLDED WHITE"/>
    <s v="EH18Ca"/>
    <s v="Himanshu"/>
    <n v="8"/>
    <n v="4137"/>
    <n v="517.125"/>
    <n v="4012"/>
    <n v="4000"/>
    <n v="0"/>
    <n v="0"/>
    <n v="0"/>
    <n v="0"/>
    <n v="4"/>
    <n v="8"/>
    <n v="1"/>
    <n v="4000"/>
    <n v="0.96688421561518012"/>
    <x v="21"/>
    <n v="7.3"/>
    <n v="29.287600000000001"/>
    <n v="0.99700897308075764"/>
    <n v="9.99000999000999E-4"/>
    <n v="0"/>
    <n v="0.99900299102691925"/>
    <n v="0.75"/>
    <n v="7.25"/>
    <n v="0.90625"/>
    <n v="500"/>
    <n v="6"/>
    <n v="6.5250000000000004"/>
    <n v="0.91954022988505746"/>
    <n v="0.83250249252243269"/>
  </r>
  <r>
    <x v="0"/>
    <d v="2021-08-18T00:00:00"/>
    <s v="G"/>
    <x v="4"/>
    <x v="16"/>
    <m/>
    <m/>
    <s v="NIPPLE S TYPE S SIZE PUNCHED INSPECTED"/>
    <s v="HEH12NbH12PcH17Pb"/>
    <s v="Vivek"/>
    <n v="8.5"/>
    <n v="14182"/>
    <n v="1668.4705882352941"/>
    <n v="12300"/>
    <n v="12239"/>
    <n v="0"/>
    <n v="0"/>
    <n v="0"/>
    <n v="0"/>
    <n v="61"/>
    <n v="0"/>
    <n v="2"/>
    <n v="6119.5"/>
    <n v="0.86299534621351004"/>
    <x v="13"/>
    <n v="0"/>
    <n v="0"/>
    <s v=" "/>
    <n v="4.9593495934959347E-3"/>
    <n v="0"/>
    <n v="0.99504065040650402"/>
    <n v="1.8333333333333333"/>
    <n v="6.666666666666667"/>
    <n v="0.78431372549019607"/>
    <n v="1439.8823529411766"/>
    <n v="4"/>
    <n v="3.9218890432224853"/>
    <n v="1.0199166666666668"/>
    <n v="0.7959674849885755"/>
  </r>
  <r>
    <x v="0"/>
    <d v="2021-08-18T00:00:00"/>
    <s v="G"/>
    <x v="7"/>
    <x v="27"/>
    <m/>
    <m/>
    <s v="NIPPLE S TYPE L SIZE WITH PRINTED WRAP"/>
    <s v="HEG22AG22"/>
    <s v="Vivek"/>
    <n v="8.5"/>
    <n v="16132"/>
    <n v="1897.8823529411766"/>
    <n v="15285"/>
    <n v="15244"/>
    <n v="0"/>
    <n v="0"/>
    <n v="0"/>
    <n v="0"/>
    <n v="41"/>
    <n v="0"/>
    <n v="2"/>
    <n v="7622"/>
    <n v="0.94495412844036697"/>
    <x v="22"/>
    <n v="0"/>
    <n v="0"/>
    <s v=" "/>
    <n v="2.6823683349689238E-3"/>
    <n v="0"/>
    <n v="0.99731763166503107"/>
    <n v="0.83333333333333337"/>
    <n v="7.666666666666667"/>
    <n v="0.90196078431372551"/>
    <n v="1793.4117647058824"/>
    <n v="2.5"/>
    <n v="3.6210968249803202"/>
    <n v="0.69039855072463763"/>
    <n v="0.62104207422801194"/>
  </r>
  <r>
    <x v="0"/>
    <d v="2021-08-18T00:00:00"/>
    <s v="G"/>
    <x v="6"/>
    <x v="21"/>
    <m/>
    <m/>
    <s v="KPP 240 ML BOTTLE PRINTED"/>
    <s v="EH13Ba2H18Pa"/>
    <s v="Pintu"/>
    <n v="8.5"/>
    <n v="5100"/>
    <n v="600"/>
    <n v="3812"/>
    <n v="3780"/>
    <n v="0"/>
    <n v="0"/>
    <n v="36"/>
    <n v="0"/>
    <n v="32"/>
    <n v="0"/>
    <n v="6"/>
    <n v="630"/>
    <n v="0.74117647058823533"/>
    <x v="16"/>
    <n v="0"/>
    <n v="0"/>
    <s v=" "/>
    <n v="8.3945435466946487E-3"/>
    <n v="0"/>
    <n v="0.99160545645330533"/>
    <n v="2.8333333333333335"/>
    <n v="5.6666666666666661"/>
    <n v="0.66666666666666663"/>
    <n v="444.70588235294116"/>
    <n v="32.4"/>
    <n v="32.38095238095238"/>
    <n v="1.0005882352941176"/>
    <n v="0.66145916918708714"/>
  </r>
  <r>
    <x v="0"/>
    <d v="2021-08-18T00:00:00"/>
    <s v="B"/>
    <x v="3"/>
    <x v="15"/>
    <m/>
    <m/>
    <s v="NIPPLE S TYPE S SIZE PUNCHED"/>
    <s v="HEH13NbH13PcH18Pb"/>
    <s v="Saurav"/>
    <n v="8"/>
    <n v="7000"/>
    <n v="875"/>
    <n v="7000"/>
    <n v="7000"/>
    <n v="0"/>
    <n v="0"/>
    <n v="0"/>
    <n v="0"/>
    <n v="0"/>
    <n v="0"/>
    <n v="1"/>
    <n v="7000"/>
    <n v="1"/>
    <x v="12"/>
    <n v="0"/>
    <n v="0"/>
    <s v=" "/>
    <n v="0"/>
    <n v="0"/>
    <n v="1"/>
    <n v="0.66666666666666663"/>
    <n v="7.333333333333333"/>
    <n v="0.91666666666666663"/>
    <n v="875"/>
    <n v="3.5"/>
    <n v="3.7714285714285714"/>
    <n v="0.92803030303030309"/>
    <n v="0.85069444444444442"/>
  </r>
  <r>
    <x v="0"/>
    <d v="2021-08-18T00:00:00"/>
    <s v="B"/>
    <x v="8"/>
    <x v="25"/>
    <m/>
    <m/>
    <s v="NIPPLE S TYPE S SIZE PUNCHED LASER MARKED"/>
    <s v="HEH13BG22"/>
    <s v="Saurav"/>
    <n v="8"/>
    <n v="7000"/>
    <n v="875"/>
    <n v="7000"/>
    <n v="7000"/>
    <n v="0"/>
    <n v="0"/>
    <n v="0"/>
    <n v="0"/>
    <n v="0"/>
    <n v="0"/>
    <n v="1"/>
    <n v="7000"/>
    <n v="1"/>
    <x v="20"/>
    <n v="0"/>
    <n v="0"/>
    <s v=" "/>
    <n v="0"/>
    <n v="0"/>
    <n v="1"/>
    <n v="0.66666666666666663"/>
    <n v="7.333333333333333"/>
    <n v="0.91666666666666663"/>
    <n v="875"/>
    <n v="3.5"/>
    <n v="3.7714285714285714"/>
    <n v="0.92803030303030309"/>
    <n v="0.85069444444444442"/>
  </r>
  <r>
    <x v="0"/>
    <d v="2021-08-18T00:00:00"/>
    <s v="B"/>
    <x v="2"/>
    <x v="11"/>
    <m/>
    <m/>
    <s v="NIPPLE S TYPE S SIZE POSTCURED"/>
    <s v="HEH17NcH187Pb"/>
    <s v="Saurav"/>
    <n v="8"/>
    <n v="7000"/>
    <n v="875"/>
    <n v="8200"/>
    <n v="8200"/>
    <n v="0"/>
    <n v="0"/>
    <n v="0"/>
    <n v="0"/>
    <n v="0"/>
    <n v="0"/>
    <n v="1"/>
    <n v="8200"/>
    <n v="1.1714285714285715"/>
    <x v="9"/>
    <n v="0"/>
    <n v="0"/>
    <s v=" "/>
    <n v="0"/>
    <n v="0"/>
    <n v="1"/>
    <n v="0.66666666666666663"/>
    <n v="7.333333333333333"/>
    <n v="0.91666666666666663"/>
    <n v="1025"/>
    <n v="2.2999999999999998"/>
    <n v="3.2195121951219514"/>
    <n v="0.71439393939393925"/>
    <n v="0.65486111111111101"/>
  </r>
  <r>
    <x v="0"/>
    <d v="2021-08-18T00:00:00"/>
    <s v="B"/>
    <x v="0"/>
    <x v="10"/>
    <m/>
    <m/>
    <s v="NIPPLE S TYPE S SIZE INJECTION"/>
    <s v="HEH18Nb"/>
    <s v="Saurav"/>
    <n v="8"/>
    <n v="4815"/>
    <n v="601.875"/>
    <n v="5046"/>
    <n v="4950"/>
    <n v="0"/>
    <n v="33"/>
    <n v="0"/>
    <n v="0"/>
    <n v="63"/>
    <n v="0"/>
    <n v="1"/>
    <n v="4950"/>
    <n v="1.02803738317757"/>
    <x v="0"/>
    <n v="6.8"/>
    <n v="34.312799999999996"/>
    <n v="0.98097502972651607"/>
    <n v="1.2567324955116697E-2"/>
    <n v="6.4973419964559952E-3"/>
    <n v="0.98751486325802618"/>
    <n v="0"/>
    <n v="8"/>
    <n v="1"/>
    <n v="618.75"/>
    <n v="5.25"/>
    <n v="5.8181818181818183"/>
    <n v="0.90234375"/>
    <n v="0.89107786489298457"/>
  </r>
  <r>
    <x v="0"/>
    <d v="2021-08-18T00:00:00"/>
    <s v="B"/>
    <x v="1"/>
    <x v="18"/>
    <s v="BM3"/>
    <s v="B2"/>
    <s v="KPP 240 ML BOTTLE MOLDED"/>
    <s v="EH18Bb2"/>
    <s v="Saurav"/>
    <n v="8"/>
    <n v="2574"/>
    <n v="321.75"/>
    <n v="3201"/>
    <n v="3132"/>
    <n v="0.15"/>
    <n v="18"/>
    <n v="0"/>
    <n v="0"/>
    <n v="51"/>
    <n v="0"/>
    <n v="1"/>
    <n v="3132"/>
    <n v="1.2167832167832169"/>
    <x v="1"/>
    <n v="32.1"/>
    <n v="102.90210000000002"/>
    <n v="0.97701796173255939"/>
    <n v="1.6022620169651274E-2"/>
    <n v="5.5917986952469714E-3"/>
    <n v="0.98406747891283974"/>
    <n v="0"/>
    <n v="8"/>
    <n v="1"/>
    <n v="391.5"/>
    <n v="9"/>
    <n v="9.1954022988505741"/>
    <n v="0.97875000000000001"/>
    <n v="0.96315604498594187"/>
  </r>
  <r>
    <x v="0"/>
    <d v="2021-08-18T00:00:00"/>
    <s v="B"/>
    <x v="5"/>
    <x v="26"/>
    <m/>
    <s v="INJ-1"/>
    <s v="CAP S TYPE MOLDED WHITE"/>
    <s v="EH18Cb"/>
    <s v="Saurav"/>
    <n v="5.4"/>
    <n v="2800"/>
    <n v="518.51851851851848"/>
    <n v="2880"/>
    <n v="2880"/>
    <n v="0"/>
    <n v="0"/>
    <n v="0"/>
    <n v="0"/>
    <n v="0"/>
    <n v="0"/>
    <n v="1"/>
    <n v="2880"/>
    <n v="1.0285714285714285"/>
    <x v="21"/>
    <n v="7.3"/>
    <n v="21.024000000000001"/>
    <n v="1"/>
    <n v="0"/>
    <n v="0"/>
    <n v="1"/>
    <n v="0.33333333333333331"/>
    <n v="5.0666666666666673"/>
    <n v="0.93827160493827166"/>
    <n v="533.33333333333326"/>
    <n v="6"/>
    <n v="6.3333333333333348"/>
    <n v="0.9473684210526313"/>
    <n v="0.88888888888888873"/>
  </r>
  <r>
    <x v="0"/>
    <d v="2021-08-18T00:00:00"/>
    <s v="B"/>
    <x v="5"/>
    <x v="26"/>
    <m/>
    <s v="INJ-1"/>
    <s v="CAP S TYPE MOLDED WHITE"/>
    <s v="EH18CRb"/>
    <s v="Saurav"/>
    <n v="3.5"/>
    <n v="1337"/>
    <n v="382"/>
    <n v="2008"/>
    <n v="2000"/>
    <n v="0"/>
    <n v="0"/>
    <n v="0"/>
    <n v="0"/>
    <n v="8"/>
    <n v="0"/>
    <n v="1"/>
    <n v="2000"/>
    <n v="1.4958863126402393"/>
    <x v="21"/>
    <n v="7.3"/>
    <n v="14.6584"/>
    <n v="0.99601593625498008"/>
    <n v="3.9840637450199202E-3"/>
    <n v="0"/>
    <n v="0.99601593625498008"/>
    <n v="0"/>
    <n v="3.5"/>
    <n v="1"/>
    <n v="571.42857142857144"/>
    <n v="6"/>
    <n v="6.3"/>
    <n v="0.95238095238095244"/>
    <n v="0.94858660595712396"/>
  </r>
  <r>
    <x v="0"/>
    <d v="2021-08-18T00:00:00"/>
    <s v="C"/>
    <x v="5"/>
    <x v="26"/>
    <m/>
    <s v="INJ-1"/>
    <s v="CAP S TYPE MOLDED WHITE"/>
    <s v="EH18CRc"/>
    <s v="Nitin"/>
    <n v="8"/>
    <n v="4137"/>
    <n v="517.125"/>
    <n v="4015"/>
    <n v="4000"/>
    <n v="0"/>
    <n v="0"/>
    <n v="0"/>
    <n v="0"/>
    <n v="7"/>
    <n v="8"/>
    <n v="1"/>
    <n v="4000"/>
    <n v="0.96688421561518012"/>
    <x v="21"/>
    <n v="7.3"/>
    <n v="29.3095"/>
    <n v="0.99626400996264008"/>
    <n v="1.7469428500124782E-3"/>
    <n v="0"/>
    <n v="0.99825653798256542"/>
    <n v="0.5"/>
    <n v="7.5"/>
    <n v="0.9375"/>
    <n v="500"/>
    <n v="6"/>
    <n v="6.75"/>
    <n v="0.88888888888888884"/>
    <n v="0.83188044831880448"/>
  </r>
  <r>
    <x v="0"/>
    <d v="2021-08-18T00:00:00"/>
    <s v="C"/>
    <x v="0"/>
    <x v="28"/>
    <s v="M2"/>
    <s v="L2"/>
    <s v="NIPPLE S TYPE LL SIZE INJECTION"/>
    <s v="HEH18Nc"/>
    <s v="Nitin"/>
    <n v="8"/>
    <n v="4815"/>
    <n v="601.875"/>
    <n v="3702"/>
    <n v="3600"/>
    <n v="0"/>
    <n v="53"/>
    <n v="0"/>
    <n v="0"/>
    <n v="41"/>
    <n v="8"/>
    <n v="1"/>
    <n v="3600"/>
    <n v="0.74766355140186913"/>
    <x v="23"/>
    <n v="6.8"/>
    <n v="25.173599999999997"/>
    <n v="0.97244732576985415"/>
    <n v="1.1260642680582258E-2"/>
    <n v="1.411451398135819E-2"/>
    <n v="0.98892490545651002"/>
    <n v="2"/>
    <n v="6"/>
    <n v="0.75"/>
    <n v="450"/>
    <n v="5.25"/>
    <n v="6"/>
    <n v="0.875"/>
    <n v="0.64898196920583473"/>
  </r>
  <r>
    <x v="0"/>
    <d v="2021-08-18T00:00:00"/>
    <s v="C"/>
    <x v="1"/>
    <x v="18"/>
    <s v="BM3"/>
    <s v="B2"/>
    <s v="KPP 240 ML BOTTLE MOLDED"/>
    <s v="EH18Bc2"/>
    <s v="Nitin"/>
    <n v="8"/>
    <n v="2574"/>
    <n v="321.75"/>
    <n v="3287"/>
    <n v="3132"/>
    <n v="0"/>
    <n v="69"/>
    <n v="0"/>
    <n v="0"/>
    <n v="78"/>
    <n v="8"/>
    <n v="1"/>
    <n v="3132"/>
    <n v="1.2167832167832169"/>
    <x v="1"/>
    <n v="32.1"/>
    <n v="105.51270000000001"/>
    <n v="0.95284453909339828"/>
    <n v="2.4299065420560748E-2"/>
    <n v="2.0560190703218118E-2"/>
    <n v="0.97627015515667781"/>
    <n v="0.33333333333333331"/>
    <n v="7.666666666666667"/>
    <n v="0.95833333333333337"/>
    <n v="391.5"/>
    <n v="9"/>
    <n v="8.8122605363984672"/>
    <n v="1.021304347826087"/>
    <n v="0.95552441435959845"/>
  </r>
  <r>
    <x v="0"/>
    <d v="2021-08-18T00:00:00"/>
    <s v="C"/>
    <x v="2"/>
    <x v="11"/>
    <m/>
    <s v="PC1"/>
    <s v="NIPPLE S TYPE S SIZE POSTCURED"/>
    <s v="HEH18NbH18Pc"/>
    <s v="Nitin"/>
    <n v="4"/>
    <n v="7036"/>
    <n v="1759"/>
    <n v="6950"/>
    <n v="6950"/>
    <n v="0"/>
    <n v="0"/>
    <n v="0"/>
    <n v="0"/>
    <n v="0"/>
    <n v="0"/>
    <n v="1"/>
    <n v="6950"/>
    <n v="0.98777714610574185"/>
    <x v="9"/>
    <n v="0"/>
    <n v="0"/>
    <s v=" "/>
    <n v="0"/>
    <n v="0"/>
    <n v="1"/>
    <n v="0"/>
    <n v="4"/>
    <n v="1"/>
    <n v="1737.5"/>
    <n v="2.2999999999999998"/>
    <n v="2.0719424460431655"/>
    <n v="1.1100694444444443"/>
    <n v="1.1100694444444443"/>
  </r>
  <r>
    <x v="0"/>
    <d v="2021-08-19T00:00:00"/>
    <s v="A"/>
    <x v="1"/>
    <x v="18"/>
    <s v="B2"/>
    <m/>
    <s v="KPP 240 ML BOTTLE MOLDED"/>
    <s v="EH19Ba2"/>
    <s v="Himanshu"/>
    <n v="8"/>
    <n v="2574"/>
    <n v="321.75"/>
    <n v="3286"/>
    <n v="3132"/>
    <n v="0"/>
    <n v="76"/>
    <n v="0"/>
    <n v="0"/>
    <n v="70"/>
    <n v="8"/>
    <n v="1"/>
    <n v="3132"/>
    <n v="1.2167832167832169"/>
    <x v="1"/>
    <n v="32.1"/>
    <n v="105.48060000000001"/>
    <n v="0.95313451004260508"/>
    <n v="2.1861336664584636E-2"/>
    <n v="2.2605591909577633E-2"/>
    <n v="0.97869750456482041"/>
    <n v="0"/>
    <n v="8"/>
    <n v="1"/>
    <n v="391.5"/>
    <n v="9"/>
    <n v="9.1954022988505741"/>
    <n v="0.97875000000000001"/>
    <n v="0.95790018259281795"/>
  </r>
  <r>
    <x v="0"/>
    <d v="2021-08-19T00:00:00"/>
    <s v="A"/>
    <x v="0"/>
    <x v="28"/>
    <m/>
    <m/>
    <s v="NIPPLE S TYPE LL SIZE INJECTION"/>
    <s v="HEH19Na"/>
    <s v="Himanshu"/>
    <n v="8"/>
    <n v="4815"/>
    <n v="601.875"/>
    <n v="5634"/>
    <n v="5500"/>
    <n v="0"/>
    <n v="48"/>
    <n v="0"/>
    <n v="0"/>
    <n v="78"/>
    <n v="8"/>
    <n v="1"/>
    <n v="5500"/>
    <n v="1.142263759086189"/>
    <x v="23"/>
    <n v="6.8"/>
    <n v="38.311199999999999"/>
    <n v="0.97621583244586441"/>
    <n v="1.3983506633201864E-2"/>
    <n v="8.4477296726504746E-3"/>
    <n v="0.98615548455804047"/>
    <n v="0"/>
    <n v="8"/>
    <n v="1"/>
    <n v="687.5"/>
    <n v="5.25"/>
    <n v="5.2363636363636363"/>
    <n v="1.0026041666666667"/>
    <n v="0.98872359779907715"/>
  </r>
  <r>
    <x v="0"/>
    <d v="2021-08-19T00:00:00"/>
    <s v="A"/>
    <x v="3"/>
    <x v="15"/>
    <m/>
    <m/>
    <s v="NIPPLE S TYPE S SIZE PUNCHED"/>
    <s v="HEH17NbH17PbH19Pa"/>
    <s v="Himanshu"/>
    <n v="8"/>
    <n v="7000"/>
    <n v="875"/>
    <n v="7000"/>
    <n v="7000"/>
    <n v="0"/>
    <n v="0"/>
    <n v="0"/>
    <n v="0"/>
    <n v="0"/>
    <n v="0"/>
    <n v="1"/>
    <n v="7000"/>
    <n v="1"/>
    <x v="12"/>
    <n v="0"/>
    <n v="0"/>
    <s v=" "/>
    <n v="0"/>
    <n v="0"/>
    <n v="1"/>
    <n v="0.66666666666666663"/>
    <n v="7.333333333333333"/>
    <n v="0.91666666666666663"/>
    <n v="875"/>
    <n v="3.5"/>
    <n v="3.7714285714285714"/>
    <n v="0.92803030303030309"/>
    <n v="0.85069444444444442"/>
  </r>
  <r>
    <x v="0"/>
    <d v="2021-08-19T00:00:00"/>
    <s v="A"/>
    <x v="8"/>
    <x v="25"/>
    <m/>
    <m/>
    <s v="NIPPLE S TYPE S SIZE PUNCHED LASER MARKED"/>
    <s v="HEH13CG22"/>
    <s v="Himanshu"/>
    <n v="8"/>
    <n v="5000"/>
    <n v="625"/>
    <n v="5000"/>
    <n v="5000"/>
    <n v="0"/>
    <n v="0"/>
    <n v="0"/>
    <n v="0"/>
    <n v="0"/>
    <n v="0"/>
    <n v="1"/>
    <n v="5000"/>
    <n v="1"/>
    <x v="20"/>
    <n v="0"/>
    <n v="0"/>
    <s v=" "/>
    <n v="0"/>
    <n v="0"/>
    <n v="1"/>
    <n v="0.66666666666666663"/>
    <n v="7.333333333333333"/>
    <n v="0.91666666666666663"/>
    <n v="625"/>
    <n v="3.5"/>
    <n v="5.28"/>
    <n v="0.66287878787878785"/>
    <n v="0.60763888888888884"/>
  </r>
  <r>
    <x v="0"/>
    <d v="2021-08-19T00:00:00"/>
    <s v="G"/>
    <x v="7"/>
    <x v="29"/>
    <m/>
    <s v="WR1"/>
    <s v="NIPPLE S TYPE LL SIZE WRAPPED"/>
    <s v="HED23G22"/>
    <s v="Vivek"/>
    <n v="8.5"/>
    <n v="16132"/>
    <n v="1897.8823529411766"/>
    <n v="17412"/>
    <n v="17390"/>
    <n v="0"/>
    <n v="0"/>
    <n v="0"/>
    <n v="0"/>
    <n v="22"/>
    <n v="0"/>
    <n v="2"/>
    <n v="8695"/>
    <n v="1.0779816513761469"/>
    <x v="24"/>
    <n v="0"/>
    <n v="0"/>
    <s v=" "/>
    <n v="1.2634964392373076E-3"/>
    <n v="0"/>
    <n v="0.99873650356076271"/>
    <n v="0.83333333333333337"/>
    <n v="7.666666666666667"/>
    <n v="0.90196078431372551"/>
    <n v="2045.8823529411766"/>
    <n v="2.5"/>
    <n v="3.174238067855089"/>
    <n v="0.78759057971014501"/>
    <n v="0.70947825967817257"/>
  </r>
  <r>
    <x v="0"/>
    <d v="2021-08-19T00:00:00"/>
    <s v="G"/>
    <x v="4"/>
    <x v="16"/>
    <m/>
    <m/>
    <s v="NIPPLE S TYPE S SIZE PUNCHED INSPECTED"/>
    <s v="HEH13NaH13PcH17Pa"/>
    <s v="Vivek"/>
    <n v="8.5"/>
    <n v="14182"/>
    <n v="1668.4705882352941"/>
    <n v="13000"/>
    <n v="12953"/>
    <n v="0"/>
    <n v="0"/>
    <n v="0"/>
    <n v="0"/>
    <n v="47"/>
    <n v="0"/>
    <n v="2"/>
    <n v="6476.5"/>
    <n v="0.91334085460442815"/>
    <x v="13"/>
    <n v="0"/>
    <n v="0"/>
    <s v=" "/>
    <n v="3.6153846153846154E-3"/>
    <n v="0"/>
    <n v="0.99638461538461542"/>
    <n v="1.8333333333333333"/>
    <n v="6.666666666666667"/>
    <n v="0.78431372549019607"/>
    <n v="1523.8823529411766"/>
    <n v="4"/>
    <n v="3.7057052420288734"/>
    <n v="1.0794166666666667"/>
    <n v="0.84354051784816486"/>
  </r>
  <r>
    <x v="0"/>
    <d v="2021-08-19T00:00:00"/>
    <s v="G"/>
    <x v="6"/>
    <x v="21"/>
    <m/>
    <s v="PR1"/>
    <s v="KPP 240 ML BOTTLE PRINTED"/>
    <s v="HEH13Bc2H19Pa"/>
    <s v="Pintu"/>
    <n v="8.5"/>
    <n v="5100"/>
    <n v="600"/>
    <n v="5309"/>
    <n v="5268"/>
    <n v="0"/>
    <n v="0"/>
    <n v="45"/>
    <n v="0"/>
    <n v="41"/>
    <n v="0"/>
    <n v="6"/>
    <n v="878"/>
    <n v="1.0329411764705883"/>
    <x v="16"/>
    <n v="0"/>
    <n v="0"/>
    <s v=" "/>
    <n v="7.7227349783386698E-3"/>
    <n v="0"/>
    <n v="0.99227726502166136"/>
    <n v="0.83333333333333337"/>
    <n v="7.666666666666667"/>
    <n v="0.90196078431372551"/>
    <n v="619.76470588235293"/>
    <n v="32.4"/>
    <n v="31.43507972665148"/>
    <n v="1.030695652173913"/>
    <n v="0.92246764096484324"/>
  </r>
  <r>
    <x v="0"/>
    <d v="2021-08-19T00:00:00"/>
    <s v="B"/>
    <x v="1"/>
    <x v="18"/>
    <s v="BM3"/>
    <s v="B2"/>
    <s v="KPP 240 ML BOTTLE MOLDED"/>
    <s v="EH19Bb2"/>
    <s v="Saurav"/>
    <n v="2"/>
    <n v="600"/>
    <n v="300"/>
    <n v="630"/>
    <n v="630"/>
    <n v="0"/>
    <n v="0"/>
    <n v="0"/>
    <n v="0"/>
    <n v="0"/>
    <n v="0"/>
    <n v="1"/>
    <n v="630"/>
    <n v="1.05"/>
    <x v="1"/>
    <n v="32.1"/>
    <n v="20.223000000000003"/>
    <n v="1"/>
    <n v="0"/>
    <n v="0"/>
    <n v="1"/>
    <n v="0"/>
    <n v="2"/>
    <n v="1"/>
    <n v="315"/>
    <n v="9"/>
    <n v="11.428571428571429"/>
    <n v="0.78749999999999998"/>
    <n v="0.78749999999999998"/>
  </r>
  <r>
    <x v="0"/>
    <d v="2021-08-19T00:00:00"/>
    <s v="B"/>
    <x v="1"/>
    <x v="18"/>
    <s v="BM3"/>
    <s v="B2"/>
    <s v="KPP 240 ML BOTTLE MOLDED"/>
    <s v="EH19Bb2"/>
    <s v="Saurav"/>
    <n v="6"/>
    <n v="1974"/>
    <n v="329"/>
    <n v="2609"/>
    <n v="2484"/>
    <n v="0.18"/>
    <n v="55"/>
    <n v="0"/>
    <n v="0"/>
    <n v="70"/>
    <n v="0"/>
    <n v="1"/>
    <n v="2484"/>
    <n v="1.2583586626139818"/>
    <x v="1"/>
    <n v="32.1"/>
    <n v="83.928900000000013"/>
    <n v="0.95004700407130305"/>
    <n v="2.7407987470634301E-2"/>
    <n v="2.0645645645645645E-2"/>
    <n v="0.97316979685703331"/>
    <n v="0"/>
    <n v="6"/>
    <n v="1"/>
    <n v="414"/>
    <n v="9"/>
    <n v="8.695652173913043"/>
    <n v="1.0350000000000001"/>
    <n v="1.0072307397470297"/>
  </r>
  <r>
    <x v="0"/>
    <d v="2021-08-19T00:00:00"/>
    <s v="B"/>
    <x v="3"/>
    <x v="15"/>
    <m/>
    <s v="P1"/>
    <s v="NIPPLE S TYPE S SIZE PUNCHED"/>
    <s v="HEH17NbH18PaH19Pb"/>
    <s v="Saurav"/>
    <n v="8"/>
    <n v="7000"/>
    <n v="875"/>
    <n v="7300"/>
    <n v="7300"/>
    <n v="0"/>
    <n v="0"/>
    <n v="0"/>
    <n v="0"/>
    <n v="0"/>
    <n v="0"/>
    <n v="1"/>
    <n v="7300"/>
    <n v="1.0428571428571429"/>
    <x v="12"/>
    <n v="0"/>
    <n v="0"/>
    <s v=" "/>
    <n v="0"/>
    <n v="0"/>
    <n v="1"/>
    <n v="0.66666666666666663"/>
    <n v="7.333333333333333"/>
    <n v="0.91666666666666663"/>
    <n v="912.5"/>
    <n v="3.5"/>
    <n v="3.6164383561643834"/>
    <n v="0.96780303030303039"/>
    <n v="0.88715277777777779"/>
  </r>
  <r>
    <x v="0"/>
    <d v="2021-08-19T00:00:00"/>
    <s v="B"/>
    <x v="8"/>
    <x v="25"/>
    <m/>
    <s v="LZ1"/>
    <s v="NIPPLE S TYPE S SIZE PUNCHED LASER MARKED"/>
    <s v="HEH13CG22"/>
    <s v="Saurav"/>
    <n v="8"/>
    <n v="7000"/>
    <n v="875"/>
    <n v="7300"/>
    <n v="7300"/>
    <n v="0"/>
    <n v="0"/>
    <n v="0"/>
    <n v="0"/>
    <n v="0"/>
    <n v="0"/>
    <n v="1"/>
    <n v="7300"/>
    <n v="1.0428571428571429"/>
    <x v="20"/>
    <n v="0"/>
    <n v="0"/>
    <s v=" "/>
    <n v="0"/>
    <n v="0"/>
    <n v="1"/>
    <n v="0.66666666666666663"/>
    <n v="7.333333333333333"/>
    <n v="0.91666666666666663"/>
    <n v="912.5"/>
    <n v="3.5"/>
    <n v="3.6164383561643834"/>
    <n v="0.96780303030303039"/>
    <n v="0.88715277777777779"/>
  </r>
  <r>
    <x v="0"/>
    <d v="2021-08-19T00:00:00"/>
    <s v="B"/>
    <x v="2"/>
    <x v="30"/>
    <m/>
    <m/>
    <s v="NIPPLE S TYPE LL SIZE POSTCURED"/>
    <s v="HEH18NcH19Pb"/>
    <s v="Saurav"/>
    <n v="8"/>
    <n v="7036"/>
    <n v="879.5"/>
    <n v="9100"/>
    <n v="9100"/>
    <n v="0"/>
    <n v="0"/>
    <n v="0"/>
    <n v="0"/>
    <n v="0"/>
    <n v="0"/>
    <n v="1"/>
    <n v="9100"/>
    <n v="1.2933484934621944"/>
    <x v="25"/>
    <n v="0"/>
    <n v="0"/>
    <s v=" "/>
    <n v="0"/>
    <n v="0"/>
    <n v="1"/>
    <n v="0.66666666666666663"/>
    <n v="7.333333333333333"/>
    <n v="0.91666666666666663"/>
    <n v="1137.5"/>
    <n v="2.2999999999999998"/>
    <n v="2.901098901098901"/>
    <n v="0.79280303030303023"/>
    <n v="0.72673611111111103"/>
  </r>
  <r>
    <x v="0"/>
    <d v="2021-08-19T00:00:00"/>
    <s v="B"/>
    <x v="0"/>
    <x v="28"/>
    <s v="M2"/>
    <s v="L2"/>
    <s v="NIPPLE S TYPE LL SIZE INJECTION"/>
    <s v="HEH19Nb"/>
    <s v="Saurav"/>
    <n v="8"/>
    <n v="4815"/>
    <n v="601.875"/>
    <n v="5365"/>
    <n v="5300"/>
    <n v="0"/>
    <n v="0"/>
    <n v="0"/>
    <n v="0"/>
    <n v="65"/>
    <n v="0"/>
    <n v="1"/>
    <n v="5300"/>
    <n v="1.1007268951194185"/>
    <x v="23"/>
    <n v="6.8"/>
    <n v="36.481999999999999"/>
    <n v="0.9878844361602982"/>
    <n v="1.2115563839701771E-2"/>
    <n v="0"/>
    <n v="0.9878844361602982"/>
    <n v="0"/>
    <n v="8"/>
    <n v="1"/>
    <n v="662.5"/>
    <n v="5.25"/>
    <n v="5.4339622641509431"/>
    <n v="0.96614583333333337"/>
    <n v="0.95444043181112148"/>
  </r>
  <r>
    <x v="0"/>
    <d v="2021-08-19T00:00:00"/>
    <s v="C"/>
    <x v="0"/>
    <x v="28"/>
    <s v="M2"/>
    <s v="L2"/>
    <s v="NIPPLE S TYPE LL SIZE INJECTION"/>
    <s v="HEH19Nc"/>
    <s v="Nitin"/>
    <n v="8"/>
    <n v="4815"/>
    <n v="601.875"/>
    <n v="5130"/>
    <n v="5000"/>
    <n v="0"/>
    <n v="70"/>
    <n v="0"/>
    <n v="0"/>
    <n v="52"/>
    <n v="8"/>
    <n v="1"/>
    <n v="5000"/>
    <n v="1.0384215991692627"/>
    <x v="23"/>
    <n v="6.8"/>
    <n v="34.884"/>
    <n v="0.97465886939571145"/>
    <n v="1.0292953285827395E-2"/>
    <n v="1.3461538461538462E-2"/>
    <n v="0.98986354775828456"/>
    <n v="0.5"/>
    <n v="7.5"/>
    <n v="0.9375"/>
    <n v="625"/>
    <n v="5.25"/>
    <n v="5.4"/>
    <n v="0.97222222222222221"/>
    <n v="0.90221937946718644"/>
  </r>
  <r>
    <x v="0"/>
    <d v="2021-08-19T00:00:00"/>
    <s v="C"/>
    <x v="1"/>
    <x v="18"/>
    <s v="BM3"/>
    <s v="B2"/>
    <s v="KPP 240 ML BOTTLE MOLDED"/>
    <s v="EH19Bc2"/>
    <s v="Nitin"/>
    <n v="8"/>
    <n v="2574"/>
    <n v="321.75"/>
    <n v="3252"/>
    <n v="3132"/>
    <n v="0"/>
    <n v="57"/>
    <n v="0"/>
    <n v="0"/>
    <n v="55"/>
    <n v="8"/>
    <n v="1"/>
    <n v="3132"/>
    <n v="1.2167832167832169"/>
    <x v="1"/>
    <n v="32.1"/>
    <n v="104.38920000000002"/>
    <n v="0.96309963099630991"/>
    <n v="1.7257609036711641E-2"/>
    <n v="1.7225747960108794E-2"/>
    <n v="0.98308733087330868"/>
    <n v="0"/>
    <n v="8"/>
    <n v="1"/>
    <n v="391.5"/>
    <n v="9"/>
    <n v="9.1954022988505741"/>
    <n v="0.97875000000000001"/>
    <n v="0.96219672509225085"/>
  </r>
  <r>
    <x v="0"/>
    <d v="2021-08-19T00:00:00"/>
    <s v="C"/>
    <x v="9"/>
    <x v="31"/>
    <m/>
    <s v="INJ-1"/>
    <s v="HOOD S TYPE MOLDED"/>
    <s v="EH19Hc"/>
    <s v="Nitin"/>
    <n v="8"/>
    <n v="4137"/>
    <n v="517.125"/>
    <n v="5466"/>
    <n v="5000"/>
    <n v="1.8"/>
    <n v="403"/>
    <n v="0"/>
    <n v="0"/>
    <n v="55"/>
    <n v="8"/>
    <n v="1"/>
    <n v="5000"/>
    <n v="1.2086052695189751"/>
    <x v="1"/>
    <n v="8.6"/>
    <n v="48.807599999999994"/>
    <n v="0.88101033445610943"/>
    <n v="1.0880316518298714E-2"/>
    <n v="6.8665871528369393E-2"/>
    <n v="0.98993779729235276"/>
    <n v="0"/>
    <n v="8"/>
    <n v="1"/>
    <n v="625"/>
    <n v="6"/>
    <n v="5.76"/>
    <n v="1.0416666666666667"/>
    <n v="1.0311852055128676"/>
  </r>
  <r>
    <x v="0"/>
    <d v="2021-08-19T00:00:00"/>
    <s v="C"/>
    <x v="2"/>
    <x v="30"/>
    <m/>
    <s v="PC1"/>
    <s v="NIPPLE S TYPE LL SIZE POSTCURED"/>
    <s v="HEH19NbH19Pc"/>
    <s v="Nitin"/>
    <n v="6"/>
    <n v="7036"/>
    <n v="1172.6666666666667"/>
    <n v="7300"/>
    <n v="7300"/>
    <n v="0"/>
    <n v="0"/>
    <n v="0"/>
    <n v="0"/>
    <n v="0"/>
    <n v="0"/>
    <n v="1"/>
    <n v="7300"/>
    <n v="1.0375213189312109"/>
    <x v="25"/>
    <n v="0"/>
    <n v="0"/>
    <s v=" "/>
    <n v="0"/>
    <n v="0"/>
    <n v="1"/>
    <n v="0.66666666666666663"/>
    <n v="5.333333333333333"/>
    <n v="0.88888888888888884"/>
    <n v="1216.6666666666667"/>
    <n v="2.2999999999999998"/>
    <n v="2.6301369863013697"/>
    <n v="0.8744791666666667"/>
    <n v="0.77731481481481479"/>
  </r>
  <r>
    <x v="0"/>
    <d v="2021-08-20T00:00:00"/>
    <s v="A"/>
    <x v="1"/>
    <x v="18"/>
    <s v="BM3"/>
    <s v="B2"/>
    <s v="KPP 240 ML BOTTLE MOLDED"/>
    <s v="EH20Ba2"/>
    <s v="Vivek"/>
    <n v="8"/>
    <n v="2574"/>
    <n v="321.75"/>
    <n v="2943"/>
    <n v="2808"/>
    <n v="0"/>
    <n v="60"/>
    <n v="0"/>
    <n v="0"/>
    <n v="67"/>
    <n v="8"/>
    <n v="1"/>
    <n v="2808"/>
    <n v="1.0909090909090908"/>
    <x v="1"/>
    <n v="32.1"/>
    <n v="94.470300000000009"/>
    <n v="0.95412844036697242"/>
    <n v="2.3304347826086955E-2"/>
    <n v="1.998001998001998E-2"/>
    <n v="0.97723411484879374"/>
    <n v="0"/>
    <n v="8"/>
    <n v="1"/>
    <n v="351"/>
    <n v="9"/>
    <n v="10.256410256410257"/>
    <n v="0.87749999999999995"/>
    <n v="0.85752293577981642"/>
  </r>
  <r>
    <x v="0"/>
    <d v="2021-08-20T00:00:00"/>
    <s v="A"/>
    <x v="0"/>
    <x v="28"/>
    <s v="M2"/>
    <s v="L2"/>
    <s v="NIPPLE S TYPE LL SIZE INJECTION"/>
    <s v="HEH20Na"/>
    <s v="Vivek"/>
    <n v="8"/>
    <n v="4815"/>
    <n v="601.875"/>
    <n v="3973"/>
    <n v="3600"/>
    <n v="0"/>
    <n v="265"/>
    <n v="0"/>
    <n v="0"/>
    <n v="100"/>
    <n v="8"/>
    <n v="1"/>
    <n v="3600"/>
    <n v="0.74766355140186913"/>
    <x v="23"/>
    <n v="6.8"/>
    <n v="27.016399999999997"/>
    <n v="0.90611628492323182"/>
    <n v="2.7027027027027029E-2"/>
    <n v="6.2529495044832462E-2"/>
    <n v="0.97483010319657692"/>
    <n v="2.1666666666666665"/>
    <n v="5.8333333333333339"/>
    <n v="0.72916666666666674"/>
    <n v="450"/>
    <n v="5.25"/>
    <n v="5.8333333333333339"/>
    <n v="0.89999999999999991"/>
    <n v="0.63973225522275357"/>
  </r>
  <r>
    <x v="0"/>
    <d v="2021-08-20T00:00:00"/>
    <s v="A"/>
    <x v="3"/>
    <x v="15"/>
    <m/>
    <m/>
    <s v="NIPPLE S TYPE S SIZE PUNCHED"/>
    <s v="HEH18NaH18PbH20Pa"/>
    <s v="Vivek"/>
    <n v="8"/>
    <n v="7000"/>
    <n v="875"/>
    <n v="7200"/>
    <n v="7200"/>
    <n v="0"/>
    <n v="0"/>
    <n v="0"/>
    <n v="0"/>
    <n v="0"/>
    <n v="0"/>
    <n v="1"/>
    <n v="7200"/>
    <n v="1.0285714285714285"/>
    <x v="12"/>
    <n v="0"/>
    <n v="0"/>
    <s v=" "/>
    <n v="0"/>
    <n v="0"/>
    <n v="1"/>
    <n v="0.66666666666666663"/>
    <n v="7.333333333333333"/>
    <n v="0.91666666666666663"/>
    <n v="900"/>
    <n v="3.5"/>
    <n v="3.6666666666666665"/>
    <n v="0.95454545454545459"/>
    <n v="0.875"/>
  </r>
  <r>
    <x v="0"/>
    <d v="2021-08-20T00:00:00"/>
    <s v="A"/>
    <x v="8"/>
    <x v="25"/>
    <m/>
    <s v="LZ1"/>
    <s v="NIPPLE S TYPE S SIZE PUNCHED LASER MARKED"/>
    <s v="HEH17BG"/>
    <s v="Vivek"/>
    <n v="8"/>
    <n v="7000"/>
    <n v="875"/>
    <n v="6000"/>
    <n v="6000"/>
    <n v="0"/>
    <n v="0"/>
    <n v="0"/>
    <n v="0"/>
    <n v="0"/>
    <n v="0"/>
    <n v="1"/>
    <n v="6000"/>
    <n v="0.8571428571428571"/>
    <x v="20"/>
    <n v="0"/>
    <n v="0"/>
    <s v=" "/>
    <n v="0"/>
    <n v="0"/>
    <n v="1"/>
    <n v="0.66666666666666663"/>
    <n v="7.333333333333333"/>
    <n v="0.91666666666666663"/>
    <n v="750"/>
    <n v="3.5"/>
    <n v="4.4000000000000004"/>
    <n v="0.79545454545454541"/>
    <n v="0.72916666666666663"/>
  </r>
  <r>
    <x v="0"/>
    <d v="2021-08-20T00:00:00"/>
    <s v="A"/>
    <x v="9"/>
    <x v="31"/>
    <m/>
    <m/>
    <s v="HOOD S TYPE MOLDED"/>
    <s v="EH20Ha"/>
    <s v="Vivek"/>
    <n v="8"/>
    <n v="4137"/>
    <n v="517.125"/>
    <n v="4044"/>
    <n v="4000"/>
    <n v="0"/>
    <n v="0"/>
    <n v="0"/>
    <n v="0"/>
    <n v="44"/>
    <n v="0"/>
    <n v="1"/>
    <n v="4000"/>
    <n v="0.96688421561518012"/>
    <x v="1"/>
    <n v="8.6"/>
    <n v="34.778399999999998"/>
    <n v="0.98911968348170132"/>
    <n v="1.0880316518298714E-2"/>
    <n v="0"/>
    <n v="0.98911968348170132"/>
    <n v="0.5"/>
    <n v="7.5"/>
    <n v="0.9375"/>
    <n v="500"/>
    <n v="6"/>
    <n v="6.75"/>
    <n v="0.88888888888888884"/>
    <n v="0.82426640290141773"/>
  </r>
  <r>
    <x v="0"/>
    <d v="2021-08-20T00:00:00"/>
    <s v="G"/>
    <x v="6"/>
    <x v="13"/>
    <m/>
    <s v="PR1"/>
    <s v="KPP 200 BOTTLE PRINTED (WMG3B) W/O OZ &amp; W/BIS LOGO"/>
    <s v="EG05Ba1H20Pa"/>
    <s v="Pintu"/>
    <n v="2"/>
    <n v="1200"/>
    <n v="600"/>
    <n v="1168"/>
    <n v="1156"/>
    <n v="0"/>
    <n v="0"/>
    <n v="13"/>
    <n v="0"/>
    <n v="12"/>
    <n v="0"/>
    <n v="5"/>
    <n v="231.2"/>
    <n v="0.96333333333333337"/>
    <x v="8"/>
    <n v="0"/>
    <n v="0"/>
    <s v=" "/>
    <n v="1.0273972602739725E-2"/>
    <n v="0"/>
    <n v="0.98972602739726023"/>
    <n v="0"/>
    <n v="2"/>
    <n v="1"/>
    <n v="578"/>
    <n v="32.4"/>
    <n v="31.141868512110726"/>
    <n v="1.0404"/>
    <n v="1.0297109589041096"/>
  </r>
  <r>
    <x v="0"/>
    <d v="2021-08-20T00:00:00"/>
    <s v="G"/>
    <x v="6"/>
    <x v="32"/>
    <m/>
    <s v="PR1"/>
    <s v="RPP 240 ML RPP PRINTED ELEPHANT"/>
    <s v="EH22Bb2H20Pa"/>
    <s v="Pintu"/>
    <n v="5.5"/>
    <n v="1800"/>
    <n v="327.27272727272725"/>
    <n v="1495"/>
    <n v="1484"/>
    <n v="0"/>
    <n v="0"/>
    <n v="36"/>
    <n v="0"/>
    <n v="11"/>
    <n v="0"/>
    <n v="6"/>
    <n v="247.33333333333334"/>
    <n v="0.82444444444444442"/>
    <x v="26"/>
    <n v="32"/>
    <n v="47.84"/>
    <n v="0.9926421404682273"/>
    <n v="7.3578595317725752E-3"/>
    <n v="0"/>
    <n v="0.99264214046822741"/>
    <n v="3"/>
    <n v="2.5"/>
    <n v="0.45454545454545453"/>
    <n v="269.81818181818181"/>
    <n v="32.4"/>
    <n v="36.388140161725069"/>
    <n v="0.89039999999999997"/>
    <n v="0.401749346305868"/>
  </r>
  <r>
    <x v="0"/>
    <d v="2021-08-20T00:00:00"/>
    <s v="G"/>
    <x v="7"/>
    <x v="33"/>
    <m/>
    <s v="WR1"/>
    <s v="NIPPLE S TYPE S SIZE WITH PRINTED WRAP"/>
    <s v="HEG09CG22"/>
    <s v="Vivek"/>
    <n v="2.2999999999999998"/>
    <n v="3800"/>
    <n v="1652.1739130434785"/>
    <n v="4200"/>
    <n v="4200"/>
    <n v="0"/>
    <n v="0"/>
    <n v="0"/>
    <n v="0"/>
    <n v="0"/>
    <n v="0"/>
    <n v="2"/>
    <n v="2100"/>
    <n v="1.1052631578947369"/>
    <x v="27"/>
    <n v="0"/>
    <n v="0"/>
    <s v=" "/>
    <n v="0"/>
    <n v="0"/>
    <n v="1"/>
    <n v="0"/>
    <n v="2.2999999999999998"/>
    <n v="1"/>
    <n v="1826.0869565217392"/>
    <n v="2.5"/>
    <n v="3.9428571428571431"/>
    <n v="0.63405797101449268"/>
    <n v="0.63405797101449268"/>
  </r>
  <r>
    <x v="0"/>
    <d v="2021-08-20T00:00:00"/>
    <s v="G"/>
    <x v="7"/>
    <x v="24"/>
    <m/>
    <s v="WR1"/>
    <s v="NIPPLE S TYPE M SIZE WITH PRINTED WRAP"/>
    <s v="HEG22CG22"/>
    <s v="Vivek"/>
    <n v="2"/>
    <n v="3700"/>
    <n v="1850"/>
    <n v="4000"/>
    <n v="4000"/>
    <n v="0"/>
    <n v="0"/>
    <n v="0"/>
    <n v="0"/>
    <n v="0"/>
    <n v="0"/>
    <n v="2"/>
    <n v="2000"/>
    <n v="1.0810810810810811"/>
    <x v="19"/>
    <n v="0"/>
    <n v="0"/>
    <s v=" "/>
    <n v="0"/>
    <n v="0"/>
    <n v="1"/>
    <n v="0"/>
    <n v="2"/>
    <n v="1"/>
    <n v="2000"/>
    <n v="2.5"/>
    <n v="3.6"/>
    <n v="0.69444444444444442"/>
    <n v="0.69444444444444442"/>
  </r>
  <r>
    <x v="0"/>
    <d v="2021-08-20T00:00:00"/>
    <s v="G"/>
    <x v="7"/>
    <x v="27"/>
    <m/>
    <s v="WR1"/>
    <s v="NIPPLE S TYPE L SIZE WITH PRINTED WRAP"/>
    <s v="HEG22BG22"/>
    <s v="Vivek"/>
    <n v="2"/>
    <n v="3500"/>
    <n v="1750"/>
    <n v="3752"/>
    <n v="3752"/>
    <n v="0"/>
    <n v="0"/>
    <n v="0"/>
    <n v="0"/>
    <n v="0"/>
    <n v="0"/>
    <n v="2"/>
    <n v="1876"/>
    <n v="1.0720000000000001"/>
    <x v="22"/>
    <n v="0"/>
    <n v="0"/>
    <s v=" "/>
    <n v="0"/>
    <n v="0"/>
    <n v="1"/>
    <n v="0"/>
    <n v="2"/>
    <n v="1"/>
    <n v="1876"/>
    <n v="2.5"/>
    <n v="3.8379530916844349"/>
    <n v="0.65138888888888891"/>
    <n v="0.65138888888888891"/>
  </r>
  <r>
    <x v="0"/>
    <d v="2021-08-20T00:00:00"/>
    <s v="G"/>
    <x v="7"/>
    <x v="29"/>
    <m/>
    <s v="WR1"/>
    <s v="NIPPLE S TYPE LL SIZE WRAPPED"/>
    <s v="HED24GG22"/>
    <s v="Vivek"/>
    <n v="3"/>
    <n v="5132"/>
    <n v="1710.6666666666667"/>
    <n v="6103"/>
    <n v="6090"/>
    <n v="0"/>
    <n v="0"/>
    <n v="0"/>
    <n v="0"/>
    <n v="13"/>
    <n v="0"/>
    <n v="2"/>
    <n v="3045"/>
    <n v="1.186671862821512"/>
    <x v="24"/>
    <n v="0"/>
    <n v="0"/>
    <s v=" "/>
    <n v="2.1300999508438471E-3"/>
    <n v="0"/>
    <n v="0.9978699000491561"/>
    <n v="0"/>
    <n v="3"/>
    <n v="1"/>
    <n v="2030"/>
    <n v="2.5"/>
    <n v="3.5467980295566504"/>
    <n v="0.70486111111111105"/>
    <n v="0.70335968649298153"/>
  </r>
  <r>
    <x v="0"/>
    <d v="2021-08-20T00:00:00"/>
    <s v="G"/>
    <x v="4"/>
    <x v="16"/>
    <m/>
    <m/>
    <s v="NIPPLE S TYPE S SIZE PUNCHED INSPECTED"/>
    <s v="HEH17NbH18PaH19Pb"/>
    <s v="Vivek"/>
    <n v="8.5"/>
    <n v="7036"/>
    <n v="827.76470588235293"/>
    <n v="7300"/>
    <n v="7262"/>
    <n v="0"/>
    <n v="0"/>
    <n v="0"/>
    <n v="0"/>
    <n v="38"/>
    <n v="0"/>
    <n v="1"/>
    <n v="7262"/>
    <n v="1.0321205230244457"/>
    <x v="13"/>
    <n v="0"/>
    <n v="0"/>
    <s v=" "/>
    <n v="5.2054794520547945E-3"/>
    <n v="0"/>
    <n v="0.99479452054794526"/>
    <n v="0.83333333333333337"/>
    <n v="7.666666666666667"/>
    <n v="0.90196078431372551"/>
    <n v="854.35294117647061"/>
    <n v="4"/>
    <n v="3.8006058936931977"/>
    <n v="1.0524637681159419"/>
    <n v="0.94433958277374863"/>
  </r>
  <r>
    <x v="0"/>
    <d v="2021-08-20T00:00:00"/>
    <s v="B"/>
    <x v="1"/>
    <x v="18"/>
    <s v="BM3"/>
    <s v="B2"/>
    <s v="KPP 240 ML BOTTLE MOLDED"/>
    <s v="EH20Bb2"/>
    <s v="Saurav"/>
    <n v="8"/>
    <n v="2574"/>
    <n v="321.75"/>
    <n v="3227"/>
    <n v="3132"/>
    <n v="0.35"/>
    <n v="24"/>
    <n v="0"/>
    <n v="0"/>
    <n v="71"/>
    <n v="0"/>
    <n v="1"/>
    <n v="3132"/>
    <n v="1.2167832167832169"/>
    <x v="1"/>
    <n v="32.1"/>
    <n v="103.9367"/>
    <n v="0.96729259251063393"/>
    <n v="2.216671870121761E-2"/>
    <n v="7.3823438941864042E-3"/>
    <n v="0.97799814068794544"/>
    <n v="0"/>
    <n v="8"/>
    <n v="1"/>
    <n v="391.5"/>
    <n v="9"/>
    <n v="9.1954022988505741"/>
    <n v="0.97875000000000001"/>
    <n v="0.95721568019832659"/>
  </r>
  <r>
    <x v="0"/>
    <d v="2021-08-20T00:00:00"/>
    <s v="B"/>
    <x v="3"/>
    <x v="15"/>
    <m/>
    <s v="P1"/>
    <s v="NIPPLE S TYPE S SIZE PUNCHED"/>
    <s v="HEH18NbH18PcH20Pb"/>
    <s v="Saurav"/>
    <n v="5"/>
    <n v="4500"/>
    <n v="900"/>
    <n v="3950"/>
    <n v="3950"/>
    <n v="0"/>
    <n v="0"/>
    <n v="0"/>
    <n v="0"/>
    <n v="0"/>
    <n v="0"/>
    <n v="1"/>
    <n v="3950"/>
    <n v="0.87777777777777777"/>
    <x v="12"/>
    <n v="0"/>
    <n v="0"/>
    <s v=" "/>
    <n v="0"/>
    <n v="0"/>
    <n v="1"/>
    <n v="0"/>
    <n v="5"/>
    <n v="1"/>
    <n v="790"/>
    <n v="3.5"/>
    <n v="4.556962025316456"/>
    <n v="0.76805555555555549"/>
    <n v="0.76805555555555549"/>
  </r>
  <r>
    <x v="0"/>
    <d v="2021-08-20T00:00:00"/>
    <s v="B"/>
    <x v="3"/>
    <x v="34"/>
    <m/>
    <s v="P1"/>
    <s v="NIPPLE S TYPE LL SIZE PUNCHED"/>
    <s v="HEH18NcH19Pb"/>
    <s v="Saurav"/>
    <n v="3"/>
    <n v="2500"/>
    <n v="833.33333333333337"/>
    <n v="2000"/>
    <n v="2000"/>
    <n v="0"/>
    <n v="0"/>
    <n v="0"/>
    <n v="0"/>
    <n v="0"/>
    <n v="0"/>
    <n v="1"/>
    <n v="2000"/>
    <n v="0.8"/>
    <x v="28"/>
    <n v="0"/>
    <n v="0"/>
    <s v=" "/>
    <n v="0"/>
    <n v="0"/>
    <n v="1"/>
    <n v="1.1666666666666667"/>
    <n v="1.8333333333333333"/>
    <n v="0.61111111111111105"/>
    <n v="666.66666666666663"/>
    <n v="3.5"/>
    <n v="3.3"/>
    <n v="1.0606060606060606"/>
    <n v="0.64814814814814803"/>
  </r>
  <r>
    <x v="0"/>
    <d v="2021-08-20T00:00:00"/>
    <s v="B"/>
    <x v="8"/>
    <x v="25"/>
    <m/>
    <s v="LZ1"/>
    <s v="NIPPLE S TYPE S SIZE PUNCHED LASER MARKED"/>
    <s v="HEH18AG22"/>
    <s v="Saurav"/>
    <n v="8"/>
    <n v="7000"/>
    <n v="875"/>
    <n v="7200"/>
    <n v="7200"/>
    <n v="0"/>
    <n v="0"/>
    <n v="0"/>
    <n v="0"/>
    <n v="0"/>
    <n v="0"/>
    <n v="1"/>
    <n v="7200"/>
    <n v="1.0285714285714285"/>
    <x v="20"/>
    <n v="0"/>
    <n v="0"/>
    <s v=" "/>
    <n v="0"/>
    <n v="0"/>
    <n v="1"/>
    <n v="0.66666666666666663"/>
    <n v="7.333333333333333"/>
    <n v="0.91666666666666663"/>
    <n v="900"/>
    <n v="3.5"/>
    <n v="3.6666666666666665"/>
    <n v="0.95454545454545459"/>
    <n v="0.875"/>
  </r>
  <r>
    <x v="0"/>
    <d v="2021-08-20T00:00:00"/>
    <s v="B"/>
    <x v="9"/>
    <x v="31"/>
    <m/>
    <s v="INJ-1"/>
    <s v="HOOD S TYPE MOLDED"/>
    <s v="EH20Hb"/>
    <s v="Saurav"/>
    <n v="4"/>
    <n v="4137"/>
    <n v="1034.25"/>
    <n v="2402"/>
    <n v="2330"/>
    <n v="0"/>
    <n v="50"/>
    <n v="0"/>
    <n v="0"/>
    <n v="22"/>
    <n v="0"/>
    <n v="1"/>
    <n v="2330"/>
    <n v="0.56321005559584236"/>
    <x v="1"/>
    <n v="8.6"/>
    <n v="20.6572"/>
    <n v="0.97002497918401331"/>
    <n v="9.3537414965986394E-3"/>
    <n v="2.0391517128874388E-2"/>
    <n v="0.99084096586178183"/>
    <n v="0"/>
    <n v="4"/>
    <n v="1"/>
    <n v="582.5"/>
    <n v="6"/>
    <n v="6.1802575107296134"/>
    <n v="0.97083333333333344"/>
    <n v="0.96194143769081331"/>
  </r>
  <r>
    <x v="0"/>
    <d v="2021-08-20T00:00:00"/>
    <s v="B"/>
    <x v="2"/>
    <x v="30"/>
    <m/>
    <s v="PC1"/>
    <s v="NIPPLE S TYPE LL SIZE POSTCURED"/>
    <s v="HEH19NcH20Pb"/>
    <s v="Saurav"/>
    <n v="5"/>
    <n v="7096"/>
    <n v="1419.2"/>
    <n v="6600"/>
    <n v="6600"/>
    <n v="0"/>
    <n v="0"/>
    <n v="0"/>
    <n v="0"/>
    <n v="0"/>
    <n v="0"/>
    <n v="1"/>
    <n v="6600"/>
    <n v="0.93010146561443063"/>
    <x v="25"/>
    <n v="0"/>
    <n v="0"/>
    <s v=" "/>
    <n v="0"/>
    <n v="0"/>
    <n v="1"/>
    <n v="0.66666666666666663"/>
    <n v="4.333333333333333"/>
    <n v="0.86666666666666659"/>
    <n v="1320"/>
    <n v="2.2999999999999998"/>
    <n v="2.3636363636363633"/>
    <n v="0.97307692307692317"/>
    <n v="0.84333333333333338"/>
  </r>
  <r>
    <x v="0"/>
    <d v="2021-08-20T00:00:00"/>
    <s v="B"/>
    <x v="0"/>
    <x v="28"/>
    <s v="M2"/>
    <s v="L2"/>
    <s v="NIPPLE S TYPE LL SIZE INJECTION"/>
    <s v="HEH20Nb"/>
    <s v="Saurav"/>
    <n v="8"/>
    <n v="4815"/>
    <n v="601.875"/>
    <n v="3450"/>
    <n v="3300"/>
    <n v="0"/>
    <n v="100"/>
    <n v="0"/>
    <n v="0"/>
    <n v="50"/>
    <n v="0"/>
    <n v="1"/>
    <n v="3300"/>
    <n v="0.68535825545171336"/>
    <x v="23"/>
    <n v="6.8"/>
    <n v="23.459999999999997"/>
    <n v="0.95652173913043481"/>
    <n v="1.4925373134328358E-2"/>
    <n v="2.8169014084507043E-2"/>
    <n v="0.98550724637681164"/>
    <n v="1.8333333333333333"/>
    <n v="6.166666666666667"/>
    <n v="0.77083333333333337"/>
    <n v="412.5"/>
    <n v="5.25"/>
    <n v="6.7272727272727275"/>
    <n v="0.78040540540540537"/>
    <n v="0.59284420289855067"/>
  </r>
  <r>
    <x v="0"/>
    <d v="2021-08-20T00:00:00"/>
    <s v="C"/>
    <x v="1"/>
    <x v="18"/>
    <s v="BM3"/>
    <s v="B2"/>
    <s v="KPP 240 ML BOTTLE MOLDED"/>
    <s v="EH20Bc2"/>
    <s v="Nitin"/>
    <n v="0.6"/>
    <n v="324"/>
    <n v="540"/>
    <n v="224"/>
    <n v="222"/>
    <n v="0.24"/>
    <n v="0"/>
    <n v="0"/>
    <n v="0"/>
    <n v="2"/>
    <n v="0"/>
    <n v="1"/>
    <n v="222"/>
    <n v="0.68518518518518523"/>
    <x v="1"/>
    <n v="32.1"/>
    <n v="7.4304000000000006"/>
    <n v="0.95906007751937983"/>
    <n v="8.9285714285714281E-3"/>
    <n v="0"/>
    <n v="0.9910714285714286"/>
    <n v="0"/>
    <n v="0.6"/>
    <n v="1"/>
    <n v="370"/>
    <n v="9"/>
    <n v="9.7297297297297298"/>
    <n v="0.92500000000000004"/>
    <n v="0.91674107142857153"/>
  </r>
  <r>
    <x v="0"/>
    <d v="2021-08-20T00:00:00"/>
    <s v="C"/>
    <x v="1"/>
    <x v="35"/>
    <s v="BM4"/>
    <s v="B2"/>
    <s v="RPP 240 ML BOTTLE MOLDED"/>
    <s v="EH20Bc2"/>
    <s v="Nitin"/>
    <n v="7"/>
    <n v="2250"/>
    <n v="321.42857142857144"/>
    <n v="921"/>
    <n v="840"/>
    <n v="0"/>
    <n v="40"/>
    <n v="0"/>
    <n v="0"/>
    <n v="33"/>
    <n v="8"/>
    <n v="1"/>
    <n v="840"/>
    <n v="0.37333333333333335"/>
    <x v="1"/>
    <n v="32.1"/>
    <n v="29.564100000000003"/>
    <n v="0.91205211726384361"/>
    <n v="3.7800687285223365E-2"/>
    <n v="4.1623309053069719E-2"/>
    <n v="0.96416938110749184"/>
    <n v="4.666666666666667"/>
    <n v="2.333333333333333"/>
    <n v="0.33333333333333331"/>
    <n v="120"/>
    <n v="9"/>
    <n v="9.9999999999999982"/>
    <n v="0.90000000000000013"/>
    <n v="0.28925081433224759"/>
  </r>
  <r>
    <x v="0"/>
    <d v="2021-08-20T00:00:00"/>
    <s v="C"/>
    <x v="0"/>
    <x v="28"/>
    <s v="M2"/>
    <s v="L2"/>
    <s v="NIPPLE S TYPE LL SIZE INJECTION"/>
    <s v="HEH20Nc"/>
    <s v="Nitin"/>
    <n v="8"/>
    <n v="4815"/>
    <n v="601.875"/>
    <n v="4708"/>
    <n v="4500"/>
    <n v="0"/>
    <n v="110"/>
    <n v="0"/>
    <n v="0"/>
    <n v="90"/>
    <n v="8"/>
    <n v="1"/>
    <n v="4500"/>
    <n v="0.93457943925233644"/>
    <x v="23"/>
    <n v="6.8"/>
    <n v="32.014399999999995"/>
    <n v="0.955819881053526"/>
    <n v="1.9607843137254902E-2"/>
    <n v="2.2831050228310501E-2"/>
    <n v="0.98088360237892946"/>
    <n v="0"/>
    <n v="8"/>
    <n v="1"/>
    <n v="562.5"/>
    <n v="5.25"/>
    <n v="6.4"/>
    <n v="0.8203125"/>
    <n v="0.80463108007646555"/>
  </r>
  <r>
    <x v="0"/>
    <d v="2021-08-20T00:00:00"/>
    <s v="C"/>
    <x v="2"/>
    <x v="30"/>
    <m/>
    <s v="PC1"/>
    <s v="NIPPLE S TYPE LL SIZE POSTCURED"/>
    <s v="HEH20NbH20Pc"/>
    <s v="Nitin"/>
    <n v="5"/>
    <n v="7036"/>
    <n v="1407.2"/>
    <n v="6300"/>
    <n v="6300"/>
    <n v="0"/>
    <n v="0"/>
    <n v="0"/>
    <n v="0"/>
    <n v="0"/>
    <n v="0"/>
    <n v="1"/>
    <n v="6300"/>
    <n v="0.89539511085844226"/>
    <x v="25"/>
    <n v="0"/>
    <n v="0"/>
    <s v=" "/>
    <n v="0"/>
    <n v="0"/>
    <n v="1"/>
    <n v="0.66666666666666663"/>
    <n v="4.333333333333333"/>
    <n v="0.86666666666666659"/>
    <n v="1260"/>
    <n v="2.2999999999999998"/>
    <n v="2.4761904761904758"/>
    <n v="0.92884615384615388"/>
    <n v="0.80499999999999994"/>
  </r>
  <r>
    <x v="0"/>
    <d v="2021-08-21T00:00:00"/>
    <s v="A"/>
    <x v="0"/>
    <x v="28"/>
    <s v="M2"/>
    <s v="L2"/>
    <s v="NIPPLE S TYPE LL SIZE INJECTION"/>
    <s v="HEH21Na"/>
    <s v="Nitin"/>
    <n v="3"/>
    <n v="3600"/>
    <n v="1200"/>
    <n v="1873"/>
    <n v="1750"/>
    <n v="0"/>
    <n v="70"/>
    <n v="0"/>
    <n v="0"/>
    <n v="45"/>
    <n v="8"/>
    <n v="1"/>
    <n v="1750"/>
    <n v="0.4861111111111111"/>
    <x v="23"/>
    <n v="6.8"/>
    <n v="12.7364"/>
    <n v="0.93432995194874524"/>
    <n v="2.5069637883008356E-2"/>
    <n v="3.6026762738033971E-2"/>
    <n v="0.97597437266417508"/>
    <n v="0"/>
    <n v="3"/>
    <n v="1"/>
    <n v="583.33333333333337"/>
    <n v="5.25"/>
    <n v="6.1714285714285717"/>
    <n v="0.85069444444444442"/>
    <n v="0.83025597674556562"/>
  </r>
  <r>
    <x v="0"/>
    <d v="2021-08-21T00:00:00"/>
    <s v="A"/>
    <x v="2"/>
    <x v="30"/>
    <m/>
    <s v="PC1"/>
    <s v="NIPPLE S TYPE LL SIZE POSTCURED"/>
    <s v="HEH20NcH21Pa"/>
    <s v="Nitin"/>
    <n v="2.5"/>
    <n v="3500"/>
    <n v="1400"/>
    <n v="3250"/>
    <n v="3250"/>
    <n v="0"/>
    <n v="0"/>
    <n v="0"/>
    <n v="0"/>
    <n v="0"/>
    <n v="0"/>
    <n v="1"/>
    <n v="3250"/>
    <n v="0.9285714285714286"/>
    <x v="25"/>
    <n v="0"/>
    <n v="0"/>
    <s v=" "/>
    <n v="0"/>
    <n v="0"/>
    <n v="1"/>
    <n v="0"/>
    <n v="2.5"/>
    <n v="1"/>
    <n v="1300"/>
    <n v="2.2999999999999998"/>
    <n v="2.7692307692307692"/>
    <n v="0.83055555555555549"/>
    <n v="0.83055555555555549"/>
  </r>
  <r>
    <x v="0"/>
    <d v="2021-08-21T00:00:00"/>
    <s v="A"/>
    <x v="3"/>
    <x v="34"/>
    <m/>
    <s v="P1"/>
    <s v="NIPPLE S TYPE LL SIZE PUNCHED"/>
    <s v="HEH18NcH19PbH21Pa"/>
    <s v="Nitin"/>
    <n v="6"/>
    <n v="5000"/>
    <n v="833.33333333333337"/>
    <n v="5600"/>
    <n v="5600"/>
    <n v="0"/>
    <n v="0"/>
    <n v="0"/>
    <n v="0"/>
    <n v="0"/>
    <n v="0"/>
    <n v="1"/>
    <n v="5600"/>
    <n v="1.1200000000000001"/>
    <x v="28"/>
    <n v="0"/>
    <n v="0"/>
    <s v=" "/>
    <n v="0"/>
    <n v="0"/>
    <n v="1"/>
    <n v="0.66666666666666663"/>
    <n v="5.333333333333333"/>
    <n v="0.88888888888888884"/>
    <n v="933.33333333333337"/>
    <n v="3.5"/>
    <n v="3.4285714285714284"/>
    <n v="1.0208333333333335"/>
    <n v="0.90740740740740744"/>
  </r>
  <r>
    <x v="0"/>
    <d v="2021-08-21T00:00:00"/>
    <s v="A"/>
    <x v="8"/>
    <x v="25"/>
    <m/>
    <m/>
    <s v="NIPPLE S TYPE S SIZE PUNCHED LASER MARKED"/>
    <s v="HEH18BG22"/>
    <s v="Nitin"/>
    <n v="5"/>
    <n v="5000"/>
    <n v="1000"/>
    <n v="4950"/>
    <n v="4950"/>
    <n v="0"/>
    <n v="0"/>
    <n v="0"/>
    <n v="0"/>
    <n v="0"/>
    <n v="0"/>
    <n v="1"/>
    <n v="4950"/>
    <n v="0.99"/>
    <x v="20"/>
    <n v="0"/>
    <n v="0"/>
    <s v=" "/>
    <n v="0"/>
    <n v="0"/>
    <n v="1"/>
    <n v="0"/>
    <n v="5"/>
    <n v="1"/>
    <n v="990"/>
    <n v="3.5"/>
    <n v="3.6363636363636362"/>
    <n v="0.96250000000000002"/>
    <n v="0.96250000000000002"/>
  </r>
  <r>
    <x v="0"/>
    <d v="2021-08-21T00:00:00"/>
    <s v="G"/>
    <x v="4"/>
    <x v="16"/>
    <m/>
    <m/>
    <s v="NIPPLE S TYPE S SIZE PUNCHED INSPECTED"/>
    <s v="HEH17NcH18PbH19Pb"/>
    <s v="Vivek"/>
    <n v="5"/>
    <n v="5000"/>
    <n v="1000"/>
    <n v="7224"/>
    <n v="7200"/>
    <n v="0"/>
    <n v="0"/>
    <n v="0"/>
    <n v="0"/>
    <n v="24"/>
    <n v="0"/>
    <n v="1"/>
    <n v="7200"/>
    <n v="1.44"/>
    <x v="13"/>
    <n v="0"/>
    <n v="0"/>
    <s v=" "/>
    <n v="3.3222591362126247E-3"/>
    <n v="0"/>
    <n v="0.99667774086378735"/>
    <n v="0"/>
    <n v="5"/>
    <n v="1"/>
    <n v="1440"/>
    <n v="4"/>
    <n v="2.5"/>
    <n v="1.6"/>
    <n v="1.5946843853820598"/>
  </r>
  <r>
    <x v="0"/>
    <d v="2021-08-21T00:00:00"/>
    <s v="G"/>
    <x v="7"/>
    <x v="24"/>
    <m/>
    <s v="WR1"/>
    <s v="NIPPLE S TYPE M SIZE WITH PRINTED WRAP"/>
    <s v="HEH02CG22"/>
    <s v="Vivek"/>
    <n v="5"/>
    <n v="6000"/>
    <n v="1200"/>
    <n v="8705"/>
    <n v="8701"/>
    <n v="0"/>
    <n v="0"/>
    <n v="0"/>
    <n v="0"/>
    <n v="4"/>
    <n v="0"/>
    <n v="1"/>
    <n v="8701"/>
    <n v="1.4501666666666666"/>
    <x v="19"/>
    <n v="0"/>
    <n v="0"/>
    <s v=" "/>
    <n v="4.5950603101665711E-4"/>
    <n v="0"/>
    <n v="0.99954049396898337"/>
    <n v="0"/>
    <n v="5"/>
    <n v="1"/>
    <n v="1740.2"/>
    <n v="2.5"/>
    <n v="2.0687277324445468"/>
    <n v="1.2084722222222222"/>
    <n v="1.207916921947795"/>
  </r>
  <r>
    <x v="0"/>
    <d v="2021-08-21T00:00:00"/>
    <s v="A"/>
    <x v="1"/>
    <x v="35"/>
    <s v="BM5"/>
    <s v="B2"/>
    <s v="RPP 240 ML BOTTLE MOLDED"/>
    <s v="EH21Ba2"/>
    <s v="Nitin"/>
    <n v="8"/>
    <n v="2574"/>
    <n v="321.75"/>
    <n v="2640"/>
    <n v="2520"/>
    <n v="0.2"/>
    <n v="80"/>
    <n v="0"/>
    <n v="0"/>
    <n v="40"/>
    <n v="0"/>
    <n v="1"/>
    <n v="2520"/>
    <n v="0.97902097902097907"/>
    <x v="1"/>
    <n v="32.1"/>
    <n v="84.944000000000017"/>
    <n v="0.95229798455452996"/>
    <n v="1.5625E-2"/>
    <n v="2.9411764705882353E-2"/>
    <n v="0.98484848484848486"/>
    <n v="0"/>
    <n v="8"/>
    <n v="1"/>
    <n v="315"/>
    <n v="9"/>
    <n v="11.428571428571429"/>
    <n v="0.78749999999999998"/>
    <n v="0.77556818181818177"/>
  </r>
  <r>
    <x v="0"/>
    <d v="2021-08-21T00:00:00"/>
    <s v="G"/>
    <x v="6"/>
    <x v="36"/>
    <m/>
    <m/>
    <s v="RPP 240 ML BOTTLE PRINTED"/>
    <s v="EG23Ba2H21Pa"/>
    <s v="Pintu"/>
    <n v="2"/>
    <n v="1200"/>
    <n v="600"/>
    <n v="1257"/>
    <n v="1246"/>
    <n v="0"/>
    <n v="0"/>
    <n v="8"/>
    <n v="0"/>
    <n v="11"/>
    <n v="0"/>
    <n v="6"/>
    <n v="207.66666666666666"/>
    <n v="1.0383333333333333"/>
    <x v="26"/>
    <n v="0"/>
    <n v="0"/>
    <s v=" "/>
    <n v="8.7509944311853615E-3"/>
    <n v="0"/>
    <n v="0.99124900556881468"/>
    <n v="0.16666666666666666"/>
    <n v="1.8333333333333333"/>
    <n v="0.91666666666666663"/>
    <n v="623"/>
    <n v="32.4"/>
    <n v="31.781701444622794"/>
    <n v="1.0194545454545454"/>
    <n v="0.92632219570405716"/>
  </r>
  <r>
    <x v="0"/>
    <d v="2021-08-21T00:00:00"/>
    <s v="G"/>
    <x v="6"/>
    <x v="37"/>
    <m/>
    <m/>
    <s v="RPP 120 ML RPP PRINTED ELEPHANT"/>
    <s v="EH02Ba1H21Pa"/>
    <s v="Pintu"/>
    <n v="2.5"/>
    <n v="1062"/>
    <n v="424.8"/>
    <n v="283"/>
    <n v="275"/>
    <n v="0"/>
    <n v="0"/>
    <n v="12"/>
    <n v="0"/>
    <n v="8"/>
    <n v="0"/>
    <n v="6"/>
    <n v="45.833333333333336"/>
    <n v="0.25894538606403011"/>
    <x v="11"/>
    <n v="0"/>
    <n v="0"/>
    <s v=" "/>
    <n v="2.8268551236749116E-2"/>
    <n v="0"/>
    <n v="0.9717314487632509"/>
    <n v="2"/>
    <n v="0.5"/>
    <n v="0.2"/>
    <n v="110"/>
    <n v="32.4"/>
    <n v="39.272727272727273"/>
    <n v="0.82499999999999996"/>
    <n v="0.1603356890459364"/>
  </r>
  <r>
    <x v="0"/>
    <d v="2021-08-24T00:00:00"/>
    <s v="A"/>
    <x v="3"/>
    <x v="34"/>
    <m/>
    <m/>
    <s v="NIPPLE S TYPE LL SIZE PUNCHED"/>
    <s v="HEH19NaH19PbH24Pa"/>
    <s v="Saurav"/>
    <n v="8"/>
    <n v="7000"/>
    <n v="875"/>
    <n v="6500"/>
    <n v="6500"/>
    <n v="0"/>
    <n v="0"/>
    <n v="0"/>
    <n v="0"/>
    <n v="0"/>
    <n v="0"/>
    <n v="1"/>
    <n v="6500"/>
    <n v="0.9285714285714286"/>
    <x v="28"/>
    <n v="0"/>
    <n v="0"/>
    <s v=" "/>
    <n v="0"/>
    <n v="0"/>
    <n v="1"/>
    <n v="0.66666666666666663"/>
    <n v="7.333333333333333"/>
    <n v="0.91666666666666663"/>
    <n v="812.5"/>
    <n v="3.5"/>
    <n v="4.0615384615384613"/>
    <n v="0.86174242424242431"/>
    <n v="0.78993055555555558"/>
  </r>
  <r>
    <x v="0"/>
    <d v="2021-08-24T00:00:00"/>
    <s v="A"/>
    <x v="8"/>
    <x v="38"/>
    <m/>
    <m/>
    <s v="NIPPLE S TYPE LL SIZE LASER MARKED"/>
    <s v="HEH18CG22"/>
    <s v="Saurav"/>
    <n v="8"/>
    <n v="7000"/>
    <n v="875"/>
    <n v="7100"/>
    <n v="7100"/>
    <n v="0"/>
    <n v="0"/>
    <n v="0"/>
    <n v="0"/>
    <n v="0"/>
    <n v="0"/>
    <n v="1"/>
    <n v="7100"/>
    <n v="1.0142857142857142"/>
    <x v="29"/>
    <n v="0"/>
    <n v="0"/>
    <s v=" "/>
    <n v="0"/>
    <n v="0"/>
    <n v="1"/>
    <n v="0.66666666666666663"/>
    <n v="7.333333333333333"/>
    <n v="0.91666666666666663"/>
    <n v="887.5"/>
    <n v="3.5"/>
    <n v="3.7183098591549295"/>
    <n v="0.94128787878787878"/>
    <n v="0.86284722222222221"/>
  </r>
  <r>
    <x v="0"/>
    <d v="2021-08-24T00:00:00"/>
    <s v="A"/>
    <x v="9"/>
    <x v="31"/>
    <m/>
    <m/>
    <s v="HOOD S TYPE MOLDED"/>
    <s v="EH24HA"/>
    <s v="Saurav"/>
    <n v="2"/>
    <n v="4137"/>
    <n v="2068.5"/>
    <n v="1795"/>
    <n v="1100"/>
    <n v="0"/>
    <n v="600"/>
    <n v="0"/>
    <n v="0"/>
    <n v="95"/>
    <n v="0"/>
    <n v="1"/>
    <n v="1100"/>
    <n v="0.26589315929417451"/>
    <x v="1"/>
    <n v="8.6"/>
    <n v="15.436999999999999"/>
    <n v="0.61281337047353768"/>
    <n v="7.9497907949790794E-2"/>
    <n v="0.25052192066805845"/>
    <n v="0.94707520891364905"/>
    <n v="0"/>
    <n v="2"/>
    <n v="1"/>
    <n v="550"/>
    <n v="6"/>
    <n v="6.5454545454545459"/>
    <n v="0.91666666666666663"/>
    <n v="0.86815227483751156"/>
  </r>
  <r>
    <x v="0"/>
    <d v="2021-08-24T00:00:00"/>
    <s v="G"/>
    <x v="6"/>
    <x v="37"/>
    <m/>
    <s v="PR1"/>
    <s v="RPP 120 ML RPP PRINTED ELEPHANT"/>
    <s v="EH03Ba1H24Pa"/>
    <s v="Pintu"/>
    <n v="2"/>
    <n v="600"/>
    <n v="300"/>
    <n v="140"/>
    <n v="137"/>
    <n v="0"/>
    <n v="0"/>
    <n v="5"/>
    <n v="0"/>
    <n v="3"/>
    <n v="0"/>
    <n v="5"/>
    <n v="27.4"/>
    <n v="0.22833333333333333"/>
    <x v="11"/>
    <n v="0"/>
    <n v="0"/>
    <s v=" "/>
    <n v="2.1428571428571429E-2"/>
    <n v="0"/>
    <n v="0.97857142857142854"/>
    <n v="1.6666666666666667"/>
    <n v="0.33333333333333326"/>
    <n v="0.16666666666666663"/>
    <n v="68.5"/>
    <n v="32.4"/>
    <n v="43.795620437956195"/>
    <n v="0.73980000000000012"/>
    <n v="0.12065785714285712"/>
  </r>
  <r>
    <x v="0"/>
    <d v="2021-08-24T00:00:00"/>
    <s v="G"/>
    <x v="6"/>
    <x v="39"/>
    <m/>
    <s v="PR1"/>
    <s v="RPP 120ML BOY BLUE BOTLE PNTD WM3GB W/BIS LOGO"/>
    <s v="EF22Ba1H24Pa"/>
    <s v="Pintu"/>
    <n v="2"/>
    <n v="600"/>
    <n v="300"/>
    <n v="407"/>
    <n v="396"/>
    <n v="0"/>
    <n v="0"/>
    <n v="9"/>
    <n v="0"/>
    <n v="11"/>
    <n v="0"/>
    <n v="5"/>
    <n v="79.2"/>
    <n v="0.66"/>
    <x v="30"/>
    <n v="0"/>
    <n v="0"/>
    <s v=" "/>
    <n v="2.7027027027027029E-2"/>
    <n v="0"/>
    <n v="0.97297297297297303"/>
    <n v="1.1666666666666667"/>
    <n v="0.83333333333333326"/>
    <n v="0.41666666666666663"/>
    <n v="198"/>
    <n v="32.4"/>
    <n v="37.878787878787875"/>
    <n v="0.85536000000000001"/>
    <n v="0.34676756756756755"/>
  </r>
  <r>
    <x v="0"/>
    <d v="2021-08-24T00:00:00"/>
    <s v="G"/>
    <x v="6"/>
    <x v="40"/>
    <m/>
    <s v="PR1"/>
    <s v="RPP 240 ML RPP PRINTED BEE"/>
    <s v="EG23Ba2H24Pa"/>
    <s v="Pintu"/>
    <n v="2"/>
    <n v="600"/>
    <n v="300"/>
    <n v="1051"/>
    <n v="1038"/>
    <n v="0"/>
    <n v="0"/>
    <n v="6"/>
    <n v="0"/>
    <n v="13"/>
    <n v="0"/>
    <n v="5"/>
    <n v="207.6"/>
    <n v="1.73"/>
    <x v="26"/>
    <n v="0"/>
    <n v="0"/>
    <s v=" "/>
    <n v="1.2369172216936251E-2"/>
    <n v="0"/>
    <n v="0.98763082778306377"/>
    <n v="0"/>
    <n v="2"/>
    <n v="1"/>
    <n v="519"/>
    <n v="32.4"/>
    <n v="34.682080924855491"/>
    <n v="0.93419999999999992"/>
    <n v="0.92264471931493808"/>
  </r>
  <r>
    <x v="0"/>
    <d v="2021-08-24T00:00:00"/>
    <s v="G"/>
    <x v="6"/>
    <x v="41"/>
    <m/>
    <s v="PR1"/>
    <s v="RPP 240ML GRL PNK BOTLE PNTD WM3GB W/BIS LOGO"/>
    <s v="ED14Ba1H24Pa"/>
    <s v="Pintu"/>
    <n v="2"/>
    <n v="600"/>
    <n v="300"/>
    <n v="468"/>
    <n v="457"/>
    <n v="0"/>
    <n v="0"/>
    <n v="9"/>
    <n v="0"/>
    <n v="11"/>
    <n v="0"/>
    <n v="5"/>
    <n v="91.4"/>
    <n v="0.76166666666666671"/>
    <x v="31"/>
    <n v="0"/>
    <n v="0"/>
    <s v=" "/>
    <n v="2.3504273504273504E-2"/>
    <n v="0"/>
    <n v="0.97649572649572647"/>
    <n v="1"/>
    <n v="1"/>
    <n v="0.5"/>
    <n v="228.5"/>
    <n v="32.4"/>
    <n v="39.387308533916851"/>
    <n v="0.82259999999999989"/>
    <n v="0.40163269230769222"/>
  </r>
  <r>
    <x v="0"/>
    <d v="2021-08-24T00:00:00"/>
    <s v="G"/>
    <x v="4"/>
    <x v="16"/>
    <m/>
    <m/>
    <s v="NIPPLE S TYPE S SIZE PUNCHED INSPECTED"/>
    <s v="HEH18NaH18PcH20Pb"/>
    <s v="Vivek"/>
    <n v="4"/>
    <n v="7000"/>
    <n v="1750"/>
    <n v="7926"/>
    <n v="7905"/>
    <n v="0"/>
    <n v="0"/>
    <n v="0"/>
    <n v="0"/>
    <n v="21"/>
    <n v="0"/>
    <n v="2"/>
    <n v="3952.5"/>
    <n v="1.1292857142857142"/>
    <x v="13"/>
    <n v="0"/>
    <n v="0"/>
    <s v=" "/>
    <n v="2.6495079485238456E-3"/>
    <n v="0"/>
    <n v="0.99735049205147619"/>
    <n v="0"/>
    <n v="4"/>
    <n v="1"/>
    <n v="1976.25"/>
    <n v="4"/>
    <n v="3.6432637571157493"/>
    <n v="1.0979166666666667"/>
    <n v="1.0950077277315164"/>
  </r>
  <r>
    <x v="0"/>
    <d v="2021-08-24T00:00:00"/>
    <s v="G"/>
    <x v="4"/>
    <x v="42"/>
    <m/>
    <m/>
    <s v="NIPPLE S TYPE LL SIZE INSPECTED"/>
    <s v="HEH18NcH19PbH20Pb"/>
    <s v="Vivek"/>
    <n v="4"/>
    <n v="7072"/>
    <n v="1768"/>
    <n v="9100"/>
    <n v="9086"/>
    <n v="0"/>
    <n v="0"/>
    <n v="0"/>
    <n v="0"/>
    <n v="14"/>
    <n v="0"/>
    <n v="1"/>
    <n v="9086"/>
    <n v="1.2847850678733033"/>
    <x v="32"/>
    <n v="0"/>
    <n v="0"/>
    <s v=" "/>
    <n v="1.5384615384615385E-3"/>
    <n v="0"/>
    <n v="0.99846153846153851"/>
    <n v="0"/>
    <n v="4"/>
    <n v="1"/>
    <n v="2271.5"/>
    <n v="4"/>
    <n v="1.5848558221439577"/>
    <n v="2.5238888888888891"/>
    <n v="2.5200059829059831"/>
  </r>
  <r>
    <x v="0"/>
    <d v="2021-08-24T00:00:00"/>
    <s v="G"/>
    <x v="7"/>
    <x v="24"/>
    <m/>
    <s v="WR1"/>
    <s v="NIPPLE S TYPE M SIZE WITH PRINTED WRAP"/>
    <s v="HEH04AG22"/>
    <s v="Vivek"/>
    <n v="8"/>
    <n v="16132"/>
    <n v="2016.5"/>
    <n v="18065"/>
    <n v="18065"/>
    <n v="0"/>
    <n v="0"/>
    <n v="0"/>
    <n v="0"/>
    <n v="0"/>
    <n v="0"/>
    <n v="2"/>
    <n v="9032.5"/>
    <n v="1.1198239523927598"/>
    <x v="19"/>
    <n v="0"/>
    <n v="0"/>
    <s v=" "/>
    <n v="0"/>
    <n v="0"/>
    <n v="1"/>
    <n v="0"/>
    <n v="8"/>
    <n v="1"/>
    <n v="2258.125"/>
    <n v="2.5"/>
    <n v="3.1884860226958205"/>
    <n v="0.78407118055555558"/>
    <n v="0.78407118055555558"/>
  </r>
  <r>
    <x v="0"/>
    <d v="2021-08-24T00:00:00"/>
    <s v="B"/>
    <x v="1"/>
    <x v="43"/>
    <s v="BM5"/>
    <s v="B2"/>
    <s v="RPP 240ML PINK BOTTLE MOLDED (WM3GB)"/>
    <s v="EH24Bb2"/>
    <s v="Nitin"/>
    <n v="8"/>
    <n v="1600"/>
    <n v="200"/>
    <n v="1648"/>
    <n v="1440"/>
    <n v="1.85"/>
    <n v="120"/>
    <n v="0"/>
    <n v="0"/>
    <n v="80"/>
    <n v="8"/>
    <n v="1"/>
    <n v="1440"/>
    <n v="0.9"/>
    <x v="7"/>
    <n v="33.130000000000003"/>
    <n v="56.448239999999998"/>
    <n v="0.84514946790192225"/>
    <n v="5.2631578947368418E-2"/>
    <n v="6.7873303167420809E-2"/>
    <n v="0.95145631067961167"/>
    <n v="3.8333333333333335"/>
    <n v="4.1666666666666661"/>
    <n v="0.52083333333333326"/>
    <n v="180"/>
    <n v="9"/>
    <n v="10.416666666666666"/>
    <n v="0.8640000000000001"/>
    <n v="0.42815533980582521"/>
  </r>
  <r>
    <x v="0"/>
    <d v="2021-08-24T00:00:00"/>
    <s v="B"/>
    <x v="1"/>
    <x v="20"/>
    <s v="BM4"/>
    <s v="B1"/>
    <s v="KPP 120 ML BOTTLE MOLDED"/>
    <s v="EH24Bb1"/>
    <s v="Nitin"/>
    <n v="8"/>
    <n v="2574"/>
    <n v="321.75"/>
    <n v="2852"/>
    <n v="2520"/>
    <n v="0.84"/>
    <n v="220"/>
    <n v="0"/>
    <n v="0"/>
    <n v="84"/>
    <n v="28"/>
    <n v="1"/>
    <n v="2520"/>
    <n v="0.97902097902097907"/>
    <x v="1"/>
    <n v="21.3"/>
    <n v="61.587600000000002"/>
    <n v="0.87153907604777581"/>
    <n v="3.2258064516129031E-2"/>
    <n v="7.1614583333333329E-2"/>
    <n v="0.97054698457222999"/>
    <n v="0"/>
    <n v="8"/>
    <n v="1"/>
    <n v="315"/>
    <n v="9"/>
    <n v="11.428571428571429"/>
    <n v="0.78749999999999998"/>
    <n v="0.76430575035063109"/>
  </r>
  <r>
    <x v="0"/>
    <d v="2021-08-24T00:00:00"/>
    <s v="B"/>
    <x v="3"/>
    <x v="34"/>
    <m/>
    <s v="P1"/>
    <s v="NIPPLE S TYPE LL SIZE PUNCHED"/>
    <s v="HEH19NcH19Pc"/>
    <s v="Nitin"/>
    <n v="8"/>
    <n v="7036"/>
    <n v="879.5"/>
    <n v="6900"/>
    <n v="6900"/>
    <n v="0"/>
    <n v="0"/>
    <n v="0"/>
    <n v="0"/>
    <n v="0"/>
    <n v="0"/>
    <n v="1"/>
    <n v="6900"/>
    <n v="0.98067083570210345"/>
    <x v="28"/>
    <n v="0"/>
    <n v="0"/>
    <s v=" "/>
    <n v="0"/>
    <n v="0"/>
    <n v="1"/>
    <n v="0.66666666666666663"/>
    <n v="7.333333333333333"/>
    <n v="0.91666666666666663"/>
    <n v="862.5"/>
    <n v="3.5"/>
    <n v="3.8260869565217392"/>
    <n v="0.91477272727272729"/>
    <n v="0.83854166666666663"/>
  </r>
  <r>
    <x v="0"/>
    <d v="2021-08-24T00:00:00"/>
    <s v="B"/>
    <x v="8"/>
    <x v="38"/>
    <m/>
    <s v="LZ1"/>
    <s v="NIPPLE S TYPE LL SIZE LASER MARKED"/>
    <s v="HEH19HAH19PbH24Pb"/>
    <s v="Nitin"/>
    <n v="8"/>
    <n v="7036"/>
    <n v="879.5"/>
    <n v="6000"/>
    <n v="6000"/>
    <n v="0"/>
    <n v="0"/>
    <n v="0"/>
    <n v="0"/>
    <n v="0"/>
    <n v="0"/>
    <n v="1"/>
    <n v="6000"/>
    <n v="0.85275724843661171"/>
    <x v="29"/>
    <n v="0"/>
    <n v="0"/>
    <s v=" "/>
    <n v="0"/>
    <n v="0"/>
    <n v="1"/>
    <n v="0.66666666666666663"/>
    <n v="7.333333333333333"/>
    <n v="0.91666666666666663"/>
    <n v="750"/>
    <n v="3.5"/>
    <n v="4.4000000000000004"/>
    <n v="0.79545454545454541"/>
    <n v="0.72916666666666663"/>
  </r>
  <r>
    <x v="0"/>
    <d v="2021-08-24T00:00:00"/>
    <s v="C"/>
    <x v="1"/>
    <x v="20"/>
    <s v="BM4"/>
    <s v="B1"/>
    <s v="KPP 120 ML BOTTLE MOLDED"/>
    <s v="EH24Bc1"/>
    <m/>
    <n v="8"/>
    <n v="2574"/>
    <n v="321.75"/>
    <n v="3182"/>
    <n v="3060"/>
    <n v="0"/>
    <n v="57"/>
    <n v="0"/>
    <n v="0"/>
    <n v="65"/>
    <n v="0"/>
    <n v="1"/>
    <n v="3060"/>
    <n v="1.1888111888111887"/>
    <x v="1"/>
    <n v="21.3"/>
    <n v="67.776600000000002"/>
    <n v="0.9616593337523569"/>
    <n v="2.0799999999999999E-2"/>
    <n v="1.7598024081506639E-2"/>
    <n v="0.97957259585166567"/>
    <n v="0.33333333333333331"/>
    <n v="7.666666666666667"/>
    <n v="0.95833333333333337"/>
    <n v="382.5"/>
    <n v="9"/>
    <n v="9.0196078431372548"/>
    <n v="0.99782608695652175"/>
    <n v="0.93671629478315532"/>
  </r>
  <r>
    <x v="0"/>
    <d v="2021-08-24T00:00:00"/>
    <s v="C"/>
    <x v="9"/>
    <x v="31"/>
    <m/>
    <s v="INJ-1"/>
    <s v="HOOD S TYPE MOLDED"/>
    <s v="EH24Hc"/>
    <s v="Himanshu"/>
    <n v="8"/>
    <n v="4137"/>
    <n v="517.125"/>
    <n v="4116"/>
    <n v="4000"/>
    <n v="0.12"/>
    <n v="80"/>
    <n v="0"/>
    <n v="0"/>
    <n v="28"/>
    <n v="8"/>
    <n v="1"/>
    <n v="4000"/>
    <n v="0.96688421561518012"/>
    <x v="1"/>
    <n v="8.6"/>
    <n v="35.517599999999995"/>
    <n v="0.96853390994887056"/>
    <n v="6.9513406156901684E-3"/>
    <n v="1.9065776930409915E-2"/>
    <n v="0.99319727891156462"/>
    <n v="1.2833333333333334"/>
    <n v="6.7166666666666668"/>
    <n v="0.83958333333333335"/>
    <n v="500"/>
    <n v="6"/>
    <n v="6.0449999999999999"/>
    <n v="0.99255583126550873"/>
    <n v="0.82766439909297063"/>
  </r>
  <r>
    <x v="0"/>
    <d v="2021-08-25T00:00:00"/>
    <s v="A"/>
    <x v="3"/>
    <x v="34"/>
    <m/>
    <m/>
    <s v="NIPPLE S TYPE LL SIZE PUNCHED"/>
    <s v="HEH20NaH20PbH25Pa"/>
    <s v="Saurav"/>
    <n v="8"/>
    <n v="7000"/>
    <n v="875"/>
    <n v="7300"/>
    <n v="7300"/>
    <n v="0"/>
    <n v="0"/>
    <n v="0"/>
    <n v="0"/>
    <n v="0"/>
    <n v="0"/>
    <n v="1"/>
    <n v="7300"/>
    <n v="1.0428571428571429"/>
    <x v="28"/>
    <n v="0"/>
    <n v="0"/>
    <s v=" "/>
    <n v="0"/>
    <n v="0"/>
    <n v="1"/>
    <n v="0.66666666666666663"/>
    <n v="7.333333333333333"/>
    <n v="0.91666666666666663"/>
    <n v="912.5"/>
    <n v="3.5"/>
    <n v="3.6164383561643834"/>
    <n v="0.96780303030303039"/>
    <n v="0.88715277777777779"/>
  </r>
  <r>
    <x v="0"/>
    <d v="2021-08-25T00:00:00"/>
    <s v="A"/>
    <x v="8"/>
    <x v="38"/>
    <m/>
    <m/>
    <s v="NIPPLE S TYPE LL SIZE LASER MARKED"/>
    <s v="HEH19BG22"/>
    <s v="Saurav"/>
    <n v="8"/>
    <n v="7000"/>
    <n v="875"/>
    <n v="6900"/>
    <n v="6900"/>
    <n v="0"/>
    <n v="0"/>
    <n v="0"/>
    <n v="0"/>
    <n v="0"/>
    <n v="0"/>
    <n v="1"/>
    <n v="6900"/>
    <n v="0.98571428571428577"/>
    <x v="29"/>
    <n v="0"/>
    <n v="0"/>
    <s v=" "/>
    <n v="0"/>
    <n v="0"/>
    <n v="1"/>
    <n v="0.66666666666666663"/>
    <n v="7.333333333333333"/>
    <n v="0.91666666666666663"/>
    <n v="862.5"/>
    <n v="3.5"/>
    <n v="3.8260869565217392"/>
    <n v="0.91477272727272729"/>
    <n v="0.83854166666666663"/>
  </r>
  <r>
    <x v="0"/>
    <d v="2021-08-25T00:00:00"/>
    <s v="A"/>
    <x v="9"/>
    <x v="31"/>
    <m/>
    <s v="INJ-1"/>
    <s v="HOOD S TYPE MOLDED"/>
    <s v="EH25Ha"/>
    <s v="Saurav"/>
    <n v="7"/>
    <n v="4137"/>
    <n v="591"/>
    <n v="4148"/>
    <n v="4000"/>
    <n v="0"/>
    <n v="100"/>
    <n v="0"/>
    <n v="0"/>
    <n v="40"/>
    <n v="8"/>
    <n v="1"/>
    <n v="4000"/>
    <n v="0.96688421561518012"/>
    <x v="1"/>
    <n v="8.6"/>
    <n v="35.672800000000002"/>
    <n v="0.96432015429122464"/>
    <n v="9.9009900990099011E-3"/>
    <n v="2.3540489642184557E-2"/>
    <n v="0.99035679845708779"/>
    <n v="0"/>
    <n v="7"/>
    <n v="1"/>
    <n v="571.42857142857144"/>
    <n v="6"/>
    <n v="6.3"/>
    <n v="0.95238095238095244"/>
    <n v="0.94319695091151223"/>
  </r>
  <r>
    <x v="0"/>
    <d v="2021-08-25T00:00:00"/>
    <s v="G"/>
    <x v="4"/>
    <x v="42"/>
    <m/>
    <m/>
    <s v="NIPPLE S TYPE LL SIZE INSPECTED"/>
    <s v="HEH19BG22,HEH19CG22"/>
    <s v="Vivek"/>
    <n v="8.5"/>
    <n v="14072"/>
    <n v="1655.5294117647059"/>
    <n v="12900"/>
    <n v="12752"/>
    <n v="0"/>
    <n v="0"/>
    <n v="0"/>
    <n v="0"/>
    <n v="148"/>
    <n v="0"/>
    <n v="2"/>
    <n v="6376"/>
    <n v="0.90619670267197272"/>
    <x v="32"/>
    <n v="0"/>
    <n v="0"/>
    <s v=" "/>
    <n v="1.1472868217054264E-2"/>
    <n v="0"/>
    <n v="0.98852713178294571"/>
    <n v="0.83333333333333337"/>
    <n v="7.666666666666667"/>
    <n v="0.90196078431372551"/>
    <n v="1500.2352941176471"/>
    <n v="4"/>
    <n v="4.3287327478042661"/>
    <n v="0.92405797101449272"/>
    <n v="0.82390182905203424"/>
  </r>
  <r>
    <x v="0"/>
    <d v="2021-08-25T00:00:00"/>
    <s v="G"/>
    <x v="7"/>
    <x v="33"/>
    <m/>
    <m/>
    <s v="NIPPLE S TYPE S SIZE WITH PRINTED WRAP"/>
    <s v="HEH09AG22"/>
    <s v="Vivek"/>
    <n v="8.5"/>
    <n v="16132"/>
    <n v="1897.8823529411766"/>
    <n v="17547"/>
    <n v="17545"/>
    <n v="0"/>
    <n v="0"/>
    <n v="0"/>
    <n v="0"/>
    <n v="2"/>
    <n v="0"/>
    <n v="1"/>
    <n v="17545"/>
    <n v="1.087589883461443"/>
    <x v="27"/>
    <n v="0"/>
    <n v="0"/>
    <s v=" "/>
    <n v="1.1397959765202029E-4"/>
    <n v="0"/>
    <n v="0.99988602040234797"/>
    <n v="0"/>
    <n v="8.5"/>
    <n v="1"/>
    <n v="2064.1176470588234"/>
    <n v="2.5"/>
    <n v="1.744086634368766"/>
    <n v="1.4334150326797386"/>
    <n v="1.4332516526110455"/>
  </r>
  <r>
    <x v="0"/>
    <d v="2021-08-25T00:00:00"/>
    <s v="G"/>
    <x v="6"/>
    <x v="44"/>
    <m/>
    <s v="PR1"/>
    <s v="RPP 240ML FLORAL PNK BOTLE PNTD WM3GB W/BIS LOGO"/>
    <s v="EH24Bb2H25Pa"/>
    <s v="Pintu"/>
    <n v="2"/>
    <n v="400"/>
    <n v="200"/>
    <n v="393"/>
    <n v="385"/>
    <n v="0"/>
    <n v="0"/>
    <n v="5"/>
    <n v="0"/>
    <n v="8"/>
    <n v="0"/>
    <n v="6"/>
    <n v="64.166666666666671"/>
    <n v="0.96250000000000002"/>
    <x v="33"/>
    <n v="0"/>
    <n v="0"/>
    <s v=" "/>
    <n v="2.0356234096692113E-2"/>
    <n v="0"/>
    <n v="0.97964376590330793"/>
    <n v="1.3333333333333333"/>
    <n v="0.66666666666666674"/>
    <n v="0.33333333333333337"/>
    <n v="192.5"/>
    <n v="32.4"/>
    <n v="37.402597402597401"/>
    <n v="0.86624999999999996"/>
    <n v="0.28287213740458023"/>
  </r>
  <r>
    <x v="0"/>
    <d v="2021-08-25T00:00:00"/>
    <s v="G"/>
    <x v="6"/>
    <x v="45"/>
    <m/>
    <s v="PR1"/>
    <s v="RPP 120ML FLORAL PNK BOTLE PNTD WM3GB W/BIS LOGO"/>
    <s v="EH21Bb1H25Pa"/>
    <s v="Pintu"/>
    <n v="4"/>
    <n v="1600"/>
    <n v="400"/>
    <n v="1624"/>
    <n v="1609"/>
    <n v="0"/>
    <n v="0"/>
    <n v="13"/>
    <n v="0"/>
    <n v="15"/>
    <n v="0"/>
    <n v="6"/>
    <n v="268.16666666666669"/>
    <n v="1.005625"/>
    <x v="34"/>
    <n v="0"/>
    <n v="0"/>
    <s v=" "/>
    <n v="9.2364532019704442E-3"/>
    <n v="0"/>
    <n v="0.99076354679802958"/>
    <n v="0.83333333333333337"/>
    <n v="3.1666666666666665"/>
    <n v="0.79166666666666663"/>
    <n v="402.25"/>
    <n v="32.4"/>
    <n v="42.510876320696084"/>
    <n v="0.76215789473684203"/>
    <n v="0.59780195504926104"/>
  </r>
  <r>
    <x v="0"/>
    <d v="2021-08-25T00:00:00"/>
    <s v="G"/>
    <x v="6"/>
    <x v="46"/>
    <m/>
    <s v="PR1"/>
    <s v="RPP 120ML ABSTRCT PNK BOTLE PNTD WM3GB W/BIS LOGO"/>
    <s v="EH21Bb1H25Pa"/>
    <s v="Pintu"/>
    <n v="2"/>
    <n v="800"/>
    <n v="400"/>
    <n v="652"/>
    <n v="642"/>
    <n v="0"/>
    <n v="0"/>
    <n v="8"/>
    <n v="0"/>
    <n v="10"/>
    <n v="0"/>
    <n v="6"/>
    <n v="107"/>
    <n v="0.80249999999999999"/>
    <x v="34"/>
    <n v="0"/>
    <n v="0"/>
    <s v=" "/>
    <n v="1.5337423312883436E-2"/>
    <n v="0"/>
    <n v="0.98466257668711654"/>
    <n v="0.83333333333333337"/>
    <n v="1.1666666666666665"/>
    <n v="0.58333333333333326"/>
    <n v="321"/>
    <n v="32.4"/>
    <n v="39.252336448598122"/>
    <n v="0.82542857142857162"/>
    <n v="0.47411503067484667"/>
  </r>
  <r>
    <x v="0"/>
    <d v="2021-08-25T00:00:00"/>
    <s v="B"/>
    <x v="8"/>
    <x v="38"/>
    <m/>
    <s v="LZ1"/>
    <s v="NIPPLE S TYPE LL SIZE LASER MARKED"/>
    <s v="HEH20AG22,HEH20BG22"/>
    <s v="Nitin"/>
    <n v="8"/>
    <n v="7036"/>
    <n v="879.5"/>
    <n v="6300"/>
    <n v="6300"/>
    <n v="0"/>
    <n v="0"/>
    <n v="0"/>
    <n v="0"/>
    <n v="0"/>
    <n v="0"/>
    <n v="1"/>
    <n v="6300"/>
    <n v="0.89539511085844226"/>
    <x v="29"/>
    <n v="0"/>
    <n v="0"/>
    <s v=" "/>
    <n v="0"/>
    <n v="0"/>
    <n v="1"/>
    <n v="0.66666666666666663"/>
    <n v="7.333333333333333"/>
    <n v="0.91666666666666663"/>
    <n v="787.5"/>
    <n v="3.5"/>
    <n v="4.1904761904761907"/>
    <n v="0.83522727272727271"/>
    <n v="0.765625"/>
  </r>
  <r>
    <x v="0"/>
    <d v="2021-08-25T00:00:00"/>
    <s v="B"/>
    <x v="3"/>
    <x v="34"/>
    <m/>
    <s v="P1"/>
    <s v="NIPPLE S TYPE LL SIZE PUNCHED"/>
    <s v="HEH20NcH20PcH25Pb"/>
    <s v="Nitin"/>
    <n v="5.5"/>
    <n v="5000"/>
    <n v="909.09090909090912"/>
    <n v="4250"/>
    <n v="4250"/>
    <n v="0"/>
    <n v="0"/>
    <n v="0"/>
    <n v="0"/>
    <n v="0"/>
    <n v="0"/>
    <n v="1"/>
    <n v="4250"/>
    <n v="0.85"/>
    <x v="28"/>
    <n v="0"/>
    <n v="0"/>
    <s v=" "/>
    <n v="0"/>
    <n v="0"/>
    <n v="1"/>
    <n v="0.91666666666666663"/>
    <n v="4.583333333333333"/>
    <n v="0.83333333333333326"/>
    <n v="772.72727272727275"/>
    <n v="3.5"/>
    <n v="3.8823529411764706"/>
    <n v="0.90151515151515149"/>
    <n v="0.75126262626262619"/>
  </r>
  <r>
    <x v="0"/>
    <d v="2021-08-25T00:00:00"/>
    <s v="B"/>
    <x v="0"/>
    <x v="47"/>
    <s v="M2"/>
    <s v="L2"/>
    <s v="NIPPLE S TYPE L SIZE INJECTION"/>
    <s v="HEH25Nb"/>
    <s v="Nitin"/>
    <n v="8"/>
    <n v="4815"/>
    <n v="601.875"/>
    <n v="6048"/>
    <n v="5700"/>
    <n v="1.2"/>
    <n v="230"/>
    <n v="0"/>
    <n v="0"/>
    <n v="110"/>
    <n v="8"/>
    <n v="1"/>
    <n v="5700"/>
    <n v="1.1838006230529594"/>
    <x v="0"/>
    <n v="6.8"/>
    <n v="42.3264"/>
    <n v="0.91574053073259243"/>
    <n v="1.8932874354561102E-2"/>
    <n v="3.6635871296591273E-2"/>
    <n v="0.9818121693121693"/>
    <n v="0"/>
    <n v="8"/>
    <n v="1"/>
    <n v="712.5"/>
    <n v="5.25"/>
    <n v="5.0526315789473681"/>
    <n v="1.0390625"/>
    <n v="1.0201642071759258"/>
  </r>
  <r>
    <x v="0"/>
    <d v="2021-08-25T00:00:00"/>
    <s v="B"/>
    <x v="2"/>
    <x v="48"/>
    <m/>
    <s v="PC1"/>
    <s v="NIPPLE S TYPE L SIZE POSTCURED"/>
    <s v="HEH25NbH25Pb"/>
    <s v="Nitin"/>
    <n v="5"/>
    <n v="7036"/>
    <n v="1407.2"/>
    <n v="5000"/>
    <n v="5000"/>
    <n v="0"/>
    <n v="0"/>
    <n v="0"/>
    <n v="0"/>
    <n v="0"/>
    <n v="0"/>
    <n v="1"/>
    <n v="5000"/>
    <n v="0.71063104036384306"/>
    <x v="35"/>
    <n v="0"/>
    <n v="0"/>
    <s v=" "/>
    <n v="0"/>
    <n v="0"/>
    <n v="1"/>
    <n v="0.66666666666666663"/>
    <n v="4.333333333333333"/>
    <n v="0.86666666666666659"/>
    <n v="1000"/>
    <n v="2.2999999999999998"/>
    <n v="3.1199999999999997"/>
    <n v="0.73717948717948723"/>
    <n v="0.63888888888888884"/>
  </r>
  <r>
    <x v="0"/>
    <d v="2021-08-25T00:00:00"/>
    <s v="B"/>
    <x v="3"/>
    <x v="49"/>
    <m/>
    <s v="P1"/>
    <s v="NIPPLE S TYPE L SIZE PUNCHED"/>
    <s v="HEH25NbH25PbH25Pb"/>
    <s v="Nitin"/>
    <n v="2.5"/>
    <n v="2036"/>
    <n v="814.4"/>
    <n v="2000"/>
    <n v="2000"/>
    <n v="0"/>
    <n v="0"/>
    <n v="0"/>
    <n v="0"/>
    <n v="0"/>
    <n v="0"/>
    <n v="1"/>
    <n v="2000"/>
    <n v="0.98231827111984282"/>
    <x v="36"/>
    <n v="0"/>
    <n v="0"/>
    <s v=" "/>
    <n v="0"/>
    <n v="0"/>
    <n v="1"/>
    <n v="0.33333333333333331"/>
    <n v="2.1666666666666665"/>
    <n v="0.86666666666666659"/>
    <n v="800"/>
    <n v="3.5"/>
    <n v="3.8999999999999995"/>
    <n v="0.89743589743589758"/>
    <n v="0.77777777777777779"/>
  </r>
  <r>
    <x v="0"/>
    <d v="2021-08-25T00:00:00"/>
    <s v="B"/>
    <x v="1"/>
    <x v="20"/>
    <s v="BM4"/>
    <s v="B1"/>
    <s v="KPP 120 ML BOTTLE MOLDED"/>
    <s v="EH25Bb2"/>
    <s v="Nitin"/>
    <n v="10.5"/>
    <n v="2574"/>
    <n v="245.14285714285714"/>
    <n v="4718"/>
    <n v="4500"/>
    <n v="1.5"/>
    <n v="118"/>
    <n v="0"/>
    <n v="0"/>
    <n v="92"/>
    <n v="8"/>
    <n v="1"/>
    <n v="4500"/>
    <n v="1.7482517482517483"/>
    <x v="1"/>
    <n v="21.3"/>
    <n v="101.99339999999999"/>
    <n v="0.93976669078587438"/>
    <n v="2.0034843205574911E-2"/>
    <n v="2.4400330851943756E-2"/>
    <n v="0.98050021195421788"/>
    <n v="0"/>
    <n v="10.5"/>
    <n v="1"/>
    <n v="428.57142857142856"/>
    <n v="9"/>
    <n v="8.4"/>
    <n v="1.0714285714285714"/>
    <n v="1.0505359413795192"/>
  </r>
  <r>
    <x v="0"/>
    <d v="2021-08-25T00:00:00"/>
    <s v="B"/>
    <x v="9"/>
    <x v="31"/>
    <m/>
    <s v="INJ-1"/>
    <s v="HOOD S TYPE MOLDED"/>
    <s v="EH25Hb"/>
    <s v="Nitin"/>
    <n v="8"/>
    <n v="4137"/>
    <n v="517.125"/>
    <n v="3615"/>
    <n v="3408"/>
    <n v="0"/>
    <n v="115"/>
    <n v="0"/>
    <n v="0"/>
    <n v="92"/>
    <n v="0"/>
    <n v="1"/>
    <n v="3408"/>
    <n v="0.82378535170413347"/>
    <x v="1"/>
    <n v="8.6"/>
    <n v="31.088999999999999"/>
    <n v="0.94273858921161835"/>
    <n v="2.6285714285714287E-2"/>
    <n v="3.0831099195710455E-2"/>
    <n v="0.97455048409405254"/>
    <n v="2"/>
    <n v="6"/>
    <n v="0.75"/>
    <n v="426"/>
    <n v="6"/>
    <n v="6.3380281690140849"/>
    <n v="0.94666666666666666"/>
    <n v="0.69193084370677727"/>
  </r>
  <r>
    <x v="0"/>
    <d v="2021-08-25T00:00:00"/>
    <s v="C"/>
    <x v="1"/>
    <x v="20"/>
    <s v="BM4"/>
    <s v="B1"/>
    <s v="KPP 120 ML BOTTLE MOLDED"/>
    <s v="EH25Bc1"/>
    <s v="Himanshu"/>
    <n v="8"/>
    <n v="2574"/>
    <n v="321.75"/>
    <n v="3382"/>
    <n v="3240"/>
    <n v="0"/>
    <n v="53"/>
    <n v="0"/>
    <n v="0"/>
    <n v="81"/>
    <n v="8"/>
    <n v="1"/>
    <n v="3240"/>
    <n v="1.2587412587412588"/>
    <x v="1"/>
    <n v="21.3"/>
    <n v="72.036599999999993"/>
    <n v="0.95801301005322304"/>
    <n v="2.4390243902439025E-2"/>
    <n v="1.5429403202328967E-2"/>
    <n v="0.97604967474866944"/>
    <n v="0"/>
    <n v="8"/>
    <n v="1"/>
    <n v="405"/>
    <n v="9"/>
    <n v="8.8888888888888893"/>
    <n v="1.0125"/>
    <n v="0.9882502956830278"/>
  </r>
  <r>
    <x v="0"/>
    <d v="2021-08-25T00:00:00"/>
    <s v="C"/>
    <x v="0"/>
    <x v="47"/>
    <s v="M2"/>
    <s v="L2"/>
    <s v="NIPPLE S TYPE L SIZE INJECTION"/>
    <s v="HEH25Nc"/>
    <s v="Himanshu"/>
    <n v="8"/>
    <n v="4815"/>
    <n v="601.875"/>
    <n v="5010"/>
    <n v="4888"/>
    <n v="0"/>
    <n v="52"/>
    <n v="0"/>
    <n v="0"/>
    <n v="70"/>
    <n v="0"/>
    <n v="1"/>
    <n v="4888"/>
    <n v="1.0151609553478713"/>
    <x v="0"/>
    <n v="6.8"/>
    <n v="34.067999999999998"/>
    <n v="0.9756487025948104"/>
    <n v="1.4118596208148447E-2"/>
    <n v="1.0272619517977083E-2"/>
    <n v="0.98602794411177641"/>
    <n v="0"/>
    <n v="8"/>
    <n v="1"/>
    <n v="611"/>
    <n v="5.25"/>
    <n v="5.8919803600654665"/>
    <n v="0.89104166666666662"/>
    <n v="0.87859198270126404"/>
  </r>
  <r>
    <x v="0"/>
    <d v="2021-08-25T00:00:00"/>
    <s v="C"/>
    <x v="9"/>
    <x v="31"/>
    <m/>
    <s v="INJ-1"/>
    <s v="HOOD S TYPE MOLDED"/>
    <s v="EH25Hc"/>
    <s v="Himanshu"/>
    <n v="8"/>
    <n v="4137"/>
    <n v="517.125"/>
    <n v="5510"/>
    <n v="5500"/>
    <n v="0"/>
    <n v="0"/>
    <n v="0"/>
    <n v="0"/>
    <n v="2"/>
    <n v="8"/>
    <n v="1"/>
    <n v="5500"/>
    <n v="1.3294657964708727"/>
    <x v="1"/>
    <n v="8.6"/>
    <n v="47.386000000000003"/>
    <n v="0.998185117967332"/>
    <n v="3.6350418029807341E-4"/>
    <n v="0"/>
    <n v="0.9996370235934664"/>
    <n v="0"/>
    <n v="8"/>
    <n v="1"/>
    <n v="687.5"/>
    <n v="6"/>
    <n v="5.2363636363636363"/>
    <n v="1.1458333333333333"/>
    <n v="1.1454174228675136"/>
  </r>
  <r>
    <x v="0"/>
    <d v="2021-08-26T00:00:00"/>
    <s v="A"/>
    <x v="0"/>
    <x v="47"/>
    <s v="M2"/>
    <s v="L2"/>
    <s v="NIPPLE S TYPE L SIZE INJECTION"/>
    <s v="HEH26Na"/>
    <s v="Saurav"/>
    <n v="8"/>
    <n v="4815"/>
    <n v="601.875"/>
    <n v="3358"/>
    <n v="3000"/>
    <n v="9.9499999999999993"/>
    <n v="280"/>
    <n v="0"/>
    <n v="0"/>
    <n v="70"/>
    <n v="8"/>
    <n v="1"/>
    <n v="3000"/>
    <n v="0.62305295950155759"/>
    <x v="0"/>
    <n v="6.8"/>
    <n v="32.784399999999998"/>
    <n v="0.62224716633520816"/>
    <n v="2.2801302931596091E-2"/>
    <n v="7.6965365585486528E-2"/>
    <n v="0.97915425848719473"/>
    <n v="2.1666666666666665"/>
    <n v="5.8333333333333339"/>
    <n v="0.72916666666666674"/>
    <n v="375"/>
    <n v="5.25"/>
    <n v="7.0000000000000009"/>
    <n v="0.74999999999999989"/>
    <n v="0.53547498511018465"/>
  </r>
  <r>
    <x v="0"/>
    <d v="2021-08-26T00:00:00"/>
    <s v="A"/>
    <x v="9"/>
    <x v="31"/>
    <m/>
    <s v="INJ-1"/>
    <s v="HOOD S TYPE MOLDED"/>
    <s v="EH26Ha"/>
    <s v="Saurav"/>
    <n v="8"/>
    <n v="4137"/>
    <n v="517.125"/>
    <n v="5020"/>
    <n v="5000"/>
    <n v="0.2"/>
    <n v="0"/>
    <n v="0"/>
    <n v="0"/>
    <n v="12"/>
    <n v="8"/>
    <n v="1"/>
    <n v="5000"/>
    <n v="1.2086052695189751"/>
    <x v="1"/>
    <n v="8.6"/>
    <n v="43.372"/>
    <n v="0.99142303790463893"/>
    <n v="2.3942537909018356E-3"/>
    <n v="0"/>
    <n v="0.99760956175298809"/>
    <n v="0"/>
    <n v="8"/>
    <n v="1"/>
    <n v="625"/>
    <n v="6"/>
    <n v="5.76"/>
    <n v="1.0416666666666667"/>
    <n v="1.0391766268260294"/>
  </r>
  <r>
    <x v="0"/>
    <d v="2021-08-26T00:00:00"/>
    <s v="A"/>
    <x v="8"/>
    <x v="38"/>
    <m/>
    <s v="LZ1"/>
    <s v="NIPPLE S TYPE LL SIZE LASER MARKED"/>
    <s v="HEH20CG22"/>
    <s v="Saurav"/>
    <n v="4.5"/>
    <n v="4000"/>
    <n v="888.88888888888891"/>
    <n v="4000"/>
    <n v="4000"/>
    <n v="0"/>
    <n v="0"/>
    <n v="0"/>
    <n v="0"/>
    <n v="0"/>
    <n v="0"/>
    <n v="1"/>
    <n v="4000"/>
    <n v="1"/>
    <x v="29"/>
    <n v="0"/>
    <n v="0"/>
    <s v=" "/>
    <n v="0"/>
    <n v="0"/>
    <n v="1"/>
    <n v="0.5"/>
    <n v="4"/>
    <n v="0.88888888888888884"/>
    <n v="888.88888888888891"/>
    <n v="3.5"/>
    <n v="3.6"/>
    <n v="0.97222222222222221"/>
    <n v="0.86419753086419748"/>
  </r>
  <r>
    <x v="0"/>
    <d v="2021-08-26T00:00:00"/>
    <s v="A"/>
    <x v="8"/>
    <x v="50"/>
    <m/>
    <s v="LZ1"/>
    <s v="NIPPLE S TYPE L SIZE PUNCHED LASER MARKED"/>
    <s v="HEH25BG22"/>
    <s v="Saurav"/>
    <n v="3"/>
    <n v="3000"/>
    <n v="1000"/>
    <n v="3000"/>
    <n v="2982"/>
    <n v="0"/>
    <n v="0"/>
    <n v="0"/>
    <n v="0"/>
    <n v="18"/>
    <n v="0"/>
    <n v="1"/>
    <n v="2982"/>
    <n v="0.99399999999999999"/>
    <x v="22"/>
    <n v="0"/>
    <n v="0"/>
    <s v=" "/>
    <n v="6.0000000000000001E-3"/>
    <n v="0"/>
    <n v="0.99399999999999999"/>
    <n v="0"/>
    <n v="3"/>
    <n v="1"/>
    <n v="994"/>
    <n v="3.5"/>
    <n v="3.6217303822937628"/>
    <n v="0.96638888888888885"/>
    <n v="0.9605905555555555"/>
  </r>
  <r>
    <x v="0"/>
    <d v="2021-08-26T00:00:00"/>
    <s v="A"/>
    <x v="2"/>
    <x v="48"/>
    <m/>
    <s v="PC1"/>
    <s v="NIPPLE S TYPE L SIZE POSTCURED"/>
    <s v="HEH25NbH26Pa"/>
    <s v="Saurav"/>
    <n v="5"/>
    <n v="7036"/>
    <n v="1407.2"/>
    <n v="5588"/>
    <n v="5588"/>
    <n v="0"/>
    <n v="0"/>
    <n v="0"/>
    <n v="0"/>
    <n v="0"/>
    <n v="0"/>
    <n v="1"/>
    <n v="5588"/>
    <n v="0.79420125071063108"/>
    <x v="35"/>
    <n v="0"/>
    <n v="0"/>
    <s v=" "/>
    <n v="0"/>
    <n v="0"/>
    <n v="1"/>
    <n v="0.66666666666666663"/>
    <n v="4.333333333333333"/>
    <n v="0.86666666666666659"/>
    <n v="1117.5999999999999"/>
    <n v="2.2999999999999998"/>
    <n v="2.7916964924838936"/>
    <n v="0.82387179487179496"/>
    <n v="0.71402222222222222"/>
  </r>
  <r>
    <x v="0"/>
    <d v="2021-08-26T00:00:00"/>
    <s v="A"/>
    <x v="3"/>
    <x v="49"/>
    <m/>
    <s v="P1"/>
    <s v="NIPPLE S TYPE L SIZE PUNCHED"/>
    <s v="HEH25NbH26PaH26Pa"/>
    <s v="Saurav"/>
    <n v="8"/>
    <n v="7000"/>
    <n v="875"/>
    <n v="6000"/>
    <n v="6000"/>
    <n v="0"/>
    <n v="0"/>
    <n v="0"/>
    <n v="0"/>
    <n v="0"/>
    <n v="0"/>
    <n v="1"/>
    <n v="6000"/>
    <n v="0.8571428571428571"/>
    <x v="36"/>
    <n v="0"/>
    <n v="0"/>
    <s v=" "/>
    <n v="0"/>
    <n v="0"/>
    <n v="1"/>
    <n v="0.66666666666666663"/>
    <n v="7.333333333333333"/>
    <n v="0.91666666666666663"/>
    <n v="750"/>
    <n v="3.5"/>
    <n v="4.4000000000000004"/>
    <n v="0.79545454545454541"/>
    <n v="0.72916666666666663"/>
  </r>
  <r>
    <x v="0"/>
    <d v="2021-08-26T00:00:00"/>
    <s v="G"/>
    <x v="4"/>
    <x v="42"/>
    <m/>
    <m/>
    <s v="NIPPLE S TYPE LL SIZE INSPECTED"/>
    <s v="HEH20AG22,HEH20BG22"/>
    <s v="Vivek"/>
    <n v="5.5"/>
    <n v="10072"/>
    <n v="1831.2727272727273"/>
    <n v="8058"/>
    <n v="7978"/>
    <n v="0"/>
    <n v="0"/>
    <n v="0"/>
    <n v="0"/>
    <n v="80"/>
    <n v="0"/>
    <n v="2"/>
    <n v="3989"/>
    <n v="0.79209690230341545"/>
    <x v="32"/>
    <n v="0"/>
    <n v="0"/>
    <s v=" "/>
    <n v="9.928021841648052E-3"/>
    <n v="0"/>
    <n v="0.99007197815835191"/>
    <n v="0.5"/>
    <n v="5"/>
    <n v="0.90909090909090906"/>
    <n v="1450.5454545454545"/>
    <n v="4"/>
    <n v="4.5124091250940088"/>
    <n v="0.88644444444444437"/>
    <n v="0.79785800421690201"/>
  </r>
  <r>
    <x v="0"/>
    <d v="2021-08-26T00:00:00"/>
    <s v="G"/>
    <x v="4"/>
    <x v="51"/>
    <m/>
    <m/>
    <s v="NIPPLE S TYPE L SIZE PUNCHED INSPECTED"/>
    <s v="HEH25BG22"/>
    <s v="Vivek"/>
    <n v="3"/>
    <n v="4000"/>
    <n v="1333.3333333333333"/>
    <n v="3982"/>
    <n v="3942"/>
    <n v="0"/>
    <n v="0"/>
    <n v="0"/>
    <n v="0"/>
    <n v="40"/>
    <n v="0"/>
    <n v="2"/>
    <n v="1971"/>
    <n v="0.98550000000000004"/>
    <x v="37"/>
    <n v="0"/>
    <n v="0"/>
    <s v=" "/>
    <n v="1.0045203415369162E-2"/>
    <n v="0"/>
    <n v="0.98995479658463081"/>
    <n v="0.33333333333333331"/>
    <n v="2.6666666666666665"/>
    <n v="0.88888888888888884"/>
    <n v="1314"/>
    <n v="4"/>
    <n v="4.8706240487062402"/>
    <n v="0.82125000000000004"/>
    <n v="0.72266700150678054"/>
  </r>
  <r>
    <x v="0"/>
    <d v="2021-08-26T00:00:00"/>
    <s v="G"/>
    <x v="7"/>
    <x v="24"/>
    <m/>
    <s v="WR1"/>
    <s v="NIPPLE S TYPE M SIZE WITH PRINTED WRAP"/>
    <s v="HEH05AG22"/>
    <s v="Vivek"/>
    <n v="8.5"/>
    <n v="16132"/>
    <n v="1897.8823529411766"/>
    <n v="17945"/>
    <n v="17935"/>
    <n v="0"/>
    <n v="0"/>
    <n v="0"/>
    <n v="0"/>
    <n v="10"/>
    <n v="0"/>
    <n v="2"/>
    <n v="8967.5"/>
    <n v="1.1117654351599306"/>
    <x v="19"/>
    <n v="0"/>
    <n v="0"/>
    <s v=" "/>
    <n v="5.5725828921705215E-4"/>
    <n v="0"/>
    <n v="0.99944274171078296"/>
    <n v="0.83333333333333337"/>
    <n v="7.666666666666667"/>
    <n v="0.90196078431372551"/>
    <n v="2110"/>
    <n v="2.5"/>
    <n v="3.0777808753833287"/>
    <n v="0.81227355072463769"/>
    <n v="0.73223061979505277"/>
  </r>
  <r>
    <x v="0"/>
    <d v="2021-08-26T00:00:00"/>
    <s v="G"/>
    <x v="6"/>
    <x v="52"/>
    <m/>
    <s v="PR1"/>
    <s v="KPP 120 ML BOTTLE PRINTED"/>
    <s v="EH24Bb2H26Pa"/>
    <s v="Pintu"/>
    <n v="8.5"/>
    <n v="5100"/>
    <n v="600"/>
    <n v="6529"/>
    <n v="6480"/>
    <n v="0"/>
    <n v="0"/>
    <n v="0"/>
    <n v="0"/>
    <n v="49"/>
    <n v="0"/>
    <n v="6"/>
    <n v="1080"/>
    <n v="1.2705882352941176"/>
    <x v="38"/>
    <n v="0"/>
    <n v="0"/>
    <s v=" "/>
    <n v="7.5049777913922498E-3"/>
    <n v="0"/>
    <n v="0.99249502220860775"/>
    <n v="0.83333333333333337"/>
    <n v="7.666666666666667"/>
    <n v="0.90196078431372551"/>
    <n v="762.35294117647061"/>
    <n v="32.4"/>
    <n v="25.555555555555557"/>
    <n v="1.2678260869565217"/>
    <n v="1.1349472489256078"/>
  </r>
  <r>
    <x v="0"/>
    <d v="2021-08-26T00:00:00"/>
    <s v="B"/>
    <x v="3"/>
    <x v="49"/>
    <m/>
    <s v="P1"/>
    <s v="NIPPLE S TYPE L SIZE PUNCHED"/>
    <s v="HEH25NcH26Pa"/>
    <s v="Nitin"/>
    <n v="1"/>
    <n v="1000"/>
    <n v="1000"/>
    <n v="1000"/>
    <n v="1000"/>
    <n v="0"/>
    <n v="0"/>
    <n v="0"/>
    <n v="0"/>
    <n v="0"/>
    <n v="0"/>
    <n v="1"/>
    <n v="1000"/>
    <n v="1"/>
    <x v="36"/>
    <n v="0"/>
    <n v="0"/>
    <s v=" "/>
    <n v="0"/>
    <n v="0"/>
    <n v="1"/>
    <n v="0"/>
    <n v="1"/>
    <n v="1"/>
    <n v="1000"/>
    <n v="3.5"/>
    <n v="3.6"/>
    <n v="0.97222222222222221"/>
    <n v="0.97222222222222221"/>
  </r>
  <r>
    <x v="0"/>
    <d v="2021-08-26T00:00:00"/>
    <s v="B"/>
    <x v="8"/>
    <x v="50"/>
    <m/>
    <s v="LZ1"/>
    <s v="NIPPLE S TYPE L SIZE PUNCHED LASER MARKED"/>
    <s v="HEH25BG22"/>
    <s v="Nitin"/>
    <n v="6.5"/>
    <n v="7036"/>
    <n v="1082.4615384615386"/>
    <n v="6000"/>
    <n v="6000"/>
    <n v="0"/>
    <n v="0"/>
    <n v="0"/>
    <n v="0"/>
    <n v="0"/>
    <n v="0"/>
    <n v="1"/>
    <n v="6000"/>
    <n v="0.85275724843661171"/>
    <x v="22"/>
    <n v="0"/>
    <n v="0"/>
    <s v=" "/>
    <n v="0"/>
    <n v="0"/>
    <n v="1"/>
    <n v="0.83333333333333337"/>
    <n v="5.666666666666667"/>
    <n v="0.87179487179487181"/>
    <n v="923.07692307692309"/>
    <n v="3.5"/>
    <n v="3.4"/>
    <n v="1.0294117647058825"/>
    <n v="0.89743589743589758"/>
  </r>
  <r>
    <x v="0"/>
    <d v="2021-08-26T00:00:00"/>
    <s v="B"/>
    <x v="0"/>
    <x v="47"/>
    <s v="M2"/>
    <s v="L2"/>
    <s v="NIPPLE S TYPE L SIZE INJECTION"/>
    <s v="HEH26Nb"/>
    <s v="Nitin"/>
    <n v="8"/>
    <n v="4815"/>
    <n v="601.875"/>
    <n v="5090"/>
    <n v="5000"/>
    <n v="0"/>
    <n v="40"/>
    <n v="0"/>
    <n v="0"/>
    <n v="50"/>
    <n v="0"/>
    <n v="1"/>
    <n v="5000"/>
    <n v="1.0384215991692627"/>
    <x v="0"/>
    <n v="6.8"/>
    <n v="34.611999999999995"/>
    <n v="0.98231827111984293"/>
    <n v="9.9009900990099011E-3"/>
    <n v="7.7972709551656916E-3"/>
    <n v="0.99017681728880158"/>
    <n v="0"/>
    <n v="8"/>
    <n v="1"/>
    <n v="625"/>
    <n v="5.25"/>
    <n v="5.76"/>
    <n v="0.91145833333333337"/>
    <n v="0.9025049115913556"/>
  </r>
  <r>
    <x v="0"/>
    <d v="2021-08-26T00:00:00"/>
    <s v="B"/>
    <x v="2"/>
    <x v="48"/>
    <m/>
    <s v="PC1"/>
    <s v="NIPPLE S TYPE L SIZE POSTCURED"/>
    <s v="HEH26NaH26Pb"/>
    <s v="Nitin"/>
    <n v="6"/>
    <n v="7036"/>
    <n v="1172.6666666666667"/>
    <n v="7000"/>
    <n v="7000"/>
    <n v="0"/>
    <n v="0"/>
    <n v="0"/>
    <n v="0"/>
    <n v="0"/>
    <n v="0"/>
    <n v="1"/>
    <n v="7000"/>
    <n v="0.99488345650938037"/>
    <x v="35"/>
    <n v="0"/>
    <n v="0"/>
    <s v=" "/>
    <n v="0"/>
    <n v="0"/>
    <n v="1"/>
    <n v="0.5"/>
    <n v="5.5"/>
    <n v="0.91666666666666663"/>
    <n v="1166.6666666666667"/>
    <n v="2.2999999999999998"/>
    <n v="2.8285714285714287"/>
    <n v="0.81313131313131304"/>
    <n v="0.74537037037037024"/>
  </r>
  <r>
    <x v="0"/>
    <d v="2021-08-26T00:00:00"/>
    <s v="B"/>
    <x v="1"/>
    <x v="20"/>
    <s v="BM4"/>
    <s v="B1"/>
    <s v="KPP 120 ML BOTTLE MOLDED"/>
    <s v="EH26Bb1"/>
    <s v="Nitin"/>
    <n v="8"/>
    <n v="2574"/>
    <n v="321.75"/>
    <n v="3271"/>
    <n v="3060"/>
    <n v="0"/>
    <n v="90"/>
    <n v="0"/>
    <n v="0"/>
    <n v="88"/>
    <n v="33"/>
    <n v="1"/>
    <n v="3060"/>
    <n v="1.1888111888111887"/>
    <x v="1"/>
    <n v="21.3"/>
    <n v="69.672299999999993"/>
    <n v="0.93549373280342407"/>
    <n v="2.795425667090216E-2"/>
    <n v="2.6777744718833679E-2"/>
    <n v="0.97309691225924788"/>
    <n v="0"/>
    <n v="8"/>
    <n v="1"/>
    <n v="382.5"/>
    <n v="9"/>
    <n v="9.4117647058823533"/>
    <n v="0.95624999999999993"/>
    <n v="0.93052392234790571"/>
  </r>
  <r>
    <x v="0"/>
    <d v="2021-08-26T00:00:00"/>
    <s v="B"/>
    <x v="9"/>
    <x v="31"/>
    <m/>
    <s v="INJ-1"/>
    <s v="HOOD S TYPE MOLDED"/>
    <s v="EH26Hb"/>
    <s v="Nitin"/>
    <n v="8"/>
    <n v="4137"/>
    <n v="517.125"/>
    <n v="5520"/>
    <n v="5500"/>
    <n v="0"/>
    <n v="0"/>
    <n v="0"/>
    <n v="0"/>
    <n v="20"/>
    <n v="0"/>
    <n v="1"/>
    <n v="5500"/>
    <n v="1.3294657964708727"/>
    <x v="1"/>
    <n v="8.6"/>
    <n v="47.472000000000001"/>
    <n v="0.99637681159420277"/>
    <n v="3.6231884057971015E-3"/>
    <n v="0"/>
    <n v="0.99637681159420288"/>
    <n v="0"/>
    <n v="8"/>
    <n v="1"/>
    <n v="687.5"/>
    <n v="6"/>
    <n v="5.2363636363636363"/>
    <n v="1.1458333333333333"/>
    <n v="1.141681763285024"/>
  </r>
  <r>
    <x v="0"/>
    <d v="2021-08-26T00:00:00"/>
    <s v="C"/>
    <x v="1"/>
    <x v="20"/>
    <s v="BM4"/>
    <s v="B1"/>
    <s v="KPP 120 ML BOTTLE MOLDED"/>
    <s v="EH26Bc1"/>
    <s v="Himanshu"/>
    <n v="8"/>
    <n v="2574"/>
    <n v="321.75"/>
    <n v="3390"/>
    <n v="3210"/>
    <n v="0"/>
    <n v="80"/>
    <n v="0"/>
    <n v="0"/>
    <n v="70"/>
    <n v="30"/>
    <n v="1"/>
    <n v="3210"/>
    <n v="1.2470862470862472"/>
    <x v="1"/>
    <n v="21.3"/>
    <n v="72.206999999999994"/>
    <n v="0.94690265486725678"/>
    <n v="2.1341463414634148E-2"/>
    <n v="2.3054755043227664E-2"/>
    <n v="0.97935103244837762"/>
    <n v="0"/>
    <n v="8"/>
    <n v="1"/>
    <n v="401.25"/>
    <n v="9"/>
    <n v="8.9719626168224291"/>
    <n v="1.003125"/>
    <n v="0.98241150442477887"/>
  </r>
  <r>
    <x v="0"/>
    <d v="2021-08-26T00:00:00"/>
    <s v="C"/>
    <x v="0"/>
    <x v="47"/>
    <s v="M2"/>
    <s v="L2"/>
    <s v="NIPPLE S TYPE L SIZE INJECTION"/>
    <s v="HEH26Nc"/>
    <s v="Himanshu"/>
    <n v="8"/>
    <n v="4815"/>
    <n v="601.875"/>
    <n v="5411"/>
    <n v="5300"/>
    <n v="0"/>
    <n v="43"/>
    <n v="0"/>
    <n v="0"/>
    <n v="60"/>
    <n v="8"/>
    <n v="1"/>
    <n v="5300"/>
    <n v="1.1007268951194185"/>
    <x v="0"/>
    <n v="6.8"/>
    <n v="36.794799999999995"/>
    <n v="0.97948623175013871"/>
    <n v="1.1194029850746268E-2"/>
    <n v="7.8841217455078837E-3"/>
    <n v="0.98891147662169654"/>
    <n v="0"/>
    <n v="8"/>
    <n v="1"/>
    <n v="662.5"/>
    <n v="5.25"/>
    <n v="5.4339622641509431"/>
    <n v="0.96614583333333337"/>
    <n v="0.95543270267356617"/>
  </r>
  <r>
    <x v="0"/>
    <d v="2021-08-26T00:00:00"/>
    <s v="C"/>
    <x v="9"/>
    <x v="31"/>
    <m/>
    <s v="INJ-1"/>
    <s v="HOOD S TYPE MOLDED"/>
    <s v="EH26Hc"/>
    <s v="Himanshu"/>
    <n v="8"/>
    <n v="4137"/>
    <n v="517.125"/>
    <n v="5012"/>
    <n v="5000"/>
    <n v="0"/>
    <n v="0"/>
    <n v="0"/>
    <n v="0"/>
    <n v="4"/>
    <n v="8"/>
    <n v="1"/>
    <n v="5000"/>
    <n v="1.2086052695189751"/>
    <x v="1"/>
    <n v="8.6"/>
    <n v="43.103200000000001"/>
    <n v="0.99760574620909814"/>
    <n v="7.993605115907274E-4"/>
    <n v="0"/>
    <n v="0.99920191540303271"/>
    <n v="0"/>
    <n v="8"/>
    <n v="1"/>
    <n v="625"/>
    <n v="6"/>
    <n v="5.76"/>
    <n v="1.0416666666666667"/>
    <n v="1.0408353285448257"/>
  </r>
  <r>
    <x v="0"/>
    <d v="2021-08-27T00:00:00"/>
    <s v="A"/>
    <x v="2"/>
    <x v="48"/>
    <m/>
    <s v="PC1"/>
    <s v="NIPPLE S TYPE L SIZE POSTCURED"/>
    <s v="HEH26NcH27Pa"/>
    <s v="Saurav"/>
    <n v="8"/>
    <n v="7036"/>
    <n v="879.5"/>
    <n v="10300"/>
    <n v="10300"/>
    <n v="0"/>
    <n v="0"/>
    <n v="0"/>
    <n v="0"/>
    <n v="0"/>
    <n v="0"/>
    <n v="1"/>
    <n v="10300"/>
    <n v="1.4638999431495168"/>
    <x v="35"/>
    <n v="0"/>
    <n v="0"/>
    <s v=" "/>
    <n v="0"/>
    <n v="0"/>
    <n v="1"/>
    <n v="0.66666666666666663"/>
    <n v="7.333333333333333"/>
    <n v="0.91666666666666663"/>
    <n v="1287.5"/>
    <n v="2.2999999999999998"/>
    <n v="2.563106796116505"/>
    <n v="0.89734848484848473"/>
    <n v="0.82256944444444435"/>
  </r>
  <r>
    <x v="0"/>
    <d v="2021-08-27T00:00:00"/>
    <s v="A"/>
    <x v="0"/>
    <x v="47"/>
    <m/>
    <s v="L2"/>
    <s v="NIPPLE S TYPE L SIZE INJECTION"/>
    <s v="HEH27NA"/>
    <s v="Saurav"/>
    <n v="8"/>
    <n v="4815"/>
    <n v="601.875"/>
    <n v="4340"/>
    <n v="4170"/>
    <n v="0"/>
    <n v="111"/>
    <n v="0"/>
    <n v="0"/>
    <n v="51"/>
    <n v="8"/>
    <n v="1"/>
    <n v="4170"/>
    <n v="0.86604361370716509"/>
    <x v="0"/>
    <n v="6.8"/>
    <n v="29.511999999999997"/>
    <n v="0.96082949308755761"/>
    <n v="1.2082444918265814E-2"/>
    <n v="2.4938216131206472E-2"/>
    <n v="0.98824884792626733"/>
    <n v="1"/>
    <n v="7"/>
    <n v="0.875"/>
    <n v="521.25"/>
    <n v="5.25"/>
    <n v="6.043165467625899"/>
    <n v="0.86875000000000002"/>
    <n v="0.75122353830645172"/>
  </r>
  <r>
    <x v="0"/>
    <d v="2021-08-27T00:00:00"/>
    <s v="A"/>
    <x v="9"/>
    <x v="31"/>
    <m/>
    <s v="INJ-1"/>
    <s v="HOOD S TYPE MOLDED"/>
    <s v="EH27HA"/>
    <s v="Saurav"/>
    <n v="8"/>
    <n v="4137"/>
    <n v="517.125"/>
    <n v="5526"/>
    <n v="5500"/>
    <n v="0"/>
    <n v="0"/>
    <n v="0"/>
    <n v="0"/>
    <n v="18"/>
    <n v="8"/>
    <n v="1"/>
    <n v="5500"/>
    <n v="1.3294657964708727"/>
    <x v="1"/>
    <n v="8.6"/>
    <n v="47.523600000000002"/>
    <n v="0.9952949692363372"/>
    <n v="3.2620514679231605E-3"/>
    <n v="0"/>
    <n v="0.99674267100977199"/>
    <n v="0"/>
    <n v="8"/>
    <n v="1"/>
    <n v="687.5"/>
    <n v="6"/>
    <n v="5.2363636363636363"/>
    <n v="1.1458333333333333"/>
    <n v="1.142100977198697"/>
  </r>
  <r>
    <x v="0"/>
    <d v="2021-08-27T00:00:00"/>
    <s v="A"/>
    <x v="3"/>
    <x v="49"/>
    <m/>
    <s v="L2"/>
    <s v="NIPPLE S TYPE L SIZE PUNCHED"/>
    <s v="HEH26NBH26Pa"/>
    <s v="Saurav"/>
    <n v="8"/>
    <n v="7036"/>
    <n v="879.5"/>
    <n v="6588"/>
    <n v="6588"/>
    <n v="0"/>
    <n v="0"/>
    <n v="0"/>
    <n v="0"/>
    <n v="0"/>
    <n v="0"/>
    <n v="1"/>
    <n v="6588"/>
    <n v="0.93632745878339962"/>
    <x v="36"/>
    <n v="0"/>
    <n v="0"/>
    <s v=" "/>
    <n v="0"/>
    <n v="0"/>
    <n v="1"/>
    <n v="0.66666666666666663"/>
    <n v="7.333333333333333"/>
    <n v="0.91666666666666663"/>
    <n v="823.5"/>
    <n v="3.5"/>
    <n v="4.007285974499089"/>
    <n v="0.87340909090909102"/>
    <n v="0.80062500000000003"/>
  </r>
  <r>
    <x v="0"/>
    <d v="2021-08-27T00:00:00"/>
    <s v="A"/>
    <x v="8"/>
    <x v="38"/>
    <m/>
    <s v="LZ1"/>
    <s v="NIPPLE S TYPE LL SIZE LASER MARKED"/>
    <s v="HEH20CG22"/>
    <s v="Saurav"/>
    <n v="2.2999999999999998"/>
    <n v="2250"/>
    <n v="978.26086956521749"/>
    <n v="2250"/>
    <n v="2250"/>
    <n v="0"/>
    <n v="0"/>
    <n v="0"/>
    <n v="0"/>
    <n v="0"/>
    <n v="0"/>
    <n v="1"/>
    <n v="2250"/>
    <n v="1"/>
    <x v="29"/>
    <n v="0"/>
    <n v="0"/>
    <s v=" "/>
    <n v="0"/>
    <n v="0"/>
    <n v="1"/>
    <n v="0"/>
    <n v="2.2999999999999998"/>
    <n v="1"/>
    <n v="978.26086956521749"/>
    <n v="3.5"/>
    <n v="3.68"/>
    <n v="0.95108695652173914"/>
    <n v="0.95108695652173914"/>
  </r>
  <r>
    <x v="0"/>
    <d v="2021-08-27T00:00:00"/>
    <s v="A"/>
    <x v="8"/>
    <x v="50"/>
    <m/>
    <s v="LZ1"/>
    <s v="NIPPLE S TYPE L SIZE PUNCHED LASER MARKED"/>
    <s v="HEH25Bg22"/>
    <s v="Saurav"/>
    <n v="5"/>
    <n v="4750"/>
    <n v="950"/>
    <n v="3588"/>
    <n v="3588"/>
    <n v="0"/>
    <n v="0"/>
    <n v="0"/>
    <n v="0"/>
    <n v="0"/>
    <n v="0"/>
    <n v="1"/>
    <n v="3588"/>
    <n v="0.75536842105263158"/>
    <x v="22"/>
    <n v="0"/>
    <n v="0"/>
    <s v=" "/>
    <n v="0"/>
    <n v="0"/>
    <n v="1"/>
    <n v="0.5"/>
    <n v="4.5"/>
    <n v="0.9"/>
    <n v="717.6"/>
    <n v="3.5"/>
    <n v="4.5150501672240804"/>
    <n v="0.7751851851851852"/>
    <n v="0.69766666666666666"/>
  </r>
  <r>
    <x v="0"/>
    <d v="2021-08-27T00:00:00"/>
    <s v="G"/>
    <x v="6"/>
    <x v="52"/>
    <m/>
    <s v="PR1"/>
    <s v="KPP 120 ML BOTTLE PRINTED"/>
    <s v="EC25BC1H27Pa"/>
    <s v="Pintu"/>
    <n v="8.5"/>
    <n v="5100"/>
    <n v="600"/>
    <n v="6347"/>
    <n v="6300"/>
    <n v="0"/>
    <n v="0"/>
    <n v="0"/>
    <n v="0"/>
    <n v="47"/>
    <n v="0"/>
    <n v="6"/>
    <n v="1050"/>
    <n v="1.2352941176470589"/>
    <x v="38"/>
    <n v="0"/>
    <n v="0"/>
    <s v=" "/>
    <n v="7.4050732629588785E-3"/>
    <n v="0"/>
    <n v="0.99259492673704108"/>
    <n v="0.83333333333333337"/>
    <n v="7.666666666666667"/>
    <n v="0.90196078431372551"/>
    <n v="741.17647058823525"/>
    <n v="32.4"/>
    <n v="26.285714285714285"/>
    <n v="1.232608695652174"/>
    <n v="1.1035320067841223"/>
  </r>
  <r>
    <x v="0"/>
    <d v="2021-08-27T00:00:00"/>
    <s v="G"/>
    <x v="4"/>
    <x v="51"/>
    <m/>
    <m/>
    <s v="NIPPLE S TYPE L SIZE PUNCHED INSPECTED"/>
    <s v="HEH25BG22"/>
    <s v="Vivek"/>
    <n v="6.5"/>
    <n v="12000"/>
    <n v="1846.1538461538462"/>
    <n v="11588"/>
    <n v="11344"/>
    <n v="0"/>
    <n v="0"/>
    <n v="0"/>
    <n v="0"/>
    <n v="244"/>
    <n v="0"/>
    <n v="2"/>
    <n v="5672"/>
    <n v="0.94533333333333336"/>
    <x v="37"/>
    <n v="0"/>
    <n v="0"/>
    <s v=" "/>
    <n v="2.105626510182948E-2"/>
    <n v="0"/>
    <n v="0.97894373489817055"/>
    <n v="0.83333333333333337"/>
    <n v="5.666666666666667"/>
    <n v="0.87179487179487181"/>
    <n v="1745.2307692307693"/>
    <n v="4"/>
    <n v="3.5966149506346969"/>
    <n v="1.112156862745098"/>
    <n v="0.94915707082776457"/>
  </r>
  <r>
    <x v="0"/>
    <d v="2021-08-27T00:00:00"/>
    <s v="G"/>
    <x v="4"/>
    <x v="42"/>
    <m/>
    <m/>
    <s v="NIPPLE S TYPE LL SIZE INSPECTED"/>
    <s v="HEH20CG22"/>
    <s v="Vivek"/>
    <n v="2"/>
    <n v="2072"/>
    <n v="1036"/>
    <n v="2492"/>
    <n v="2382"/>
    <n v="0"/>
    <n v="0"/>
    <n v="0"/>
    <n v="0"/>
    <n v="110"/>
    <n v="0"/>
    <n v="2"/>
    <n v="1191"/>
    <n v="1.1496138996138996"/>
    <x v="32"/>
    <n v="0"/>
    <n v="0"/>
    <s v=" "/>
    <n v="4.4141252006420544E-2"/>
    <n v="0"/>
    <n v="0.95585874799357951"/>
    <n v="0.5"/>
    <n v="1.5"/>
    <n v="0.75"/>
    <n v="1191"/>
    <n v="4"/>
    <n v="4.5340050377833752"/>
    <n v="0.88222222222222224"/>
    <n v="0.63245987158908512"/>
  </r>
  <r>
    <x v="0"/>
    <d v="2021-08-27T00:00:00"/>
    <s v="G"/>
    <x v="7"/>
    <x v="27"/>
    <m/>
    <s v="WR1"/>
    <s v="NIPPLE S TYPE L SIZE WITH PRINTED WRAP"/>
    <s v="HEH26AG22"/>
    <s v="Vivek"/>
    <n v="4"/>
    <n v="8016"/>
    <n v="2004"/>
    <n v="7668"/>
    <n v="7668"/>
    <n v="0"/>
    <n v="0"/>
    <n v="0"/>
    <n v="0"/>
    <n v="0"/>
    <n v="0"/>
    <n v="2"/>
    <n v="3834"/>
    <n v="0.95658682634730541"/>
    <x v="22"/>
    <n v="0"/>
    <n v="0"/>
    <s v=" "/>
    <n v="0"/>
    <n v="0"/>
    <n v="1"/>
    <n v="0.16666666666666666"/>
    <n v="3.8333333333333335"/>
    <n v="0.95833333333333337"/>
    <n v="1917"/>
    <n v="2.5"/>
    <n v="3.5993740219092332"/>
    <n v="0.69456521739130439"/>
    <n v="0.66562500000000002"/>
  </r>
  <r>
    <x v="0"/>
    <d v="2021-08-27T00:00:00"/>
    <s v="B"/>
    <x v="8"/>
    <x v="50"/>
    <m/>
    <s v="LZ1"/>
    <s v="NIPPLE S TYPE L SIZE PUNCHED LASER MARKED"/>
    <s v="HEH26BG22"/>
    <s v="Nitin"/>
    <n v="8"/>
    <n v="7036"/>
    <n v="879.5"/>
    <n v="7000"/>
    <n v="7000"/>
    <n v="0"/>
    <n v="0"/>
    <n v="0"/>
    <n v="0"/>
    <n v="0"/>
    <n v="0"/>
    <n v="1"/>
    <n v="7000"/>
    <n v="0.99488345650938037"/>
    <x v="22"/>
    <n v="0"/>
    <n v="0"/>
    <s v=" "/>
    <n v="0"/>
    <n v="0"/>
    <n v="1"/>
    <n v="0.66666666666666663"/>
    <n v="7.333333333333333"/>
    <n v="0.91666666666666663"/>
    <n v="875"/>
    <n v="3.5"/>
    <n v="3.7714285714285714"/>
    <n v="0.92803030303030309"/>
    <n v="0.85069444444444442"/>
  </r>
  <r>
    <x v="0"/>
    <d v="2021-08-27T00:00:00"/>
    <s v="B"/>
    <x v="3"/>
    <x v="49"/>
    <m/>
    <s v="P1"/>
    <s v="NIPPLE S TYPE L SIZE PUNCHED"/>
    <s v="HEH26NcH27PaH27Pb"/>
    <s v="Nitin"/>
    <n v="8"/>
    <n v="7036"/>
    <n v="879.5"/>
    <n v="7300"/>
    <n v="7300"/>
    <n v="0"/>
    <n v="0"/>
    <n v="0"/>
    <n v="0"/>
    <n v="0"/>
    <n v="0"/>
    <n v="1"/>
    <n v="7300"/>
    <n v="1.0375213189312109"/>
    <x v="36"/>
    <n v="0"/>
    <n v="0"/>
    <s v=" "/>
    <n v="0"/>
    <n v="0"/>
    <n v="1"/>
    <n v="0.66666666666666663"/>
    <n v="7.333333333333333"/>
    <n v="0.91666666666666663"/>
    <n v="912.5"/>
    <n v="3.5"/>
    <n v="3.6164383561643834"/>
    <n v="0.96780303030303039"/>
    <n v="0.88715277777777779"/>
  </r>
  <r>
    <x v="0"/>
    <d v="2021-08-27T00:00:00"/>
    <s v="B"/>
    <x v="0"/>
    <x v="47"/>
    <m/>
    <m/>
    <s v="NIPPLE S TYPE L SIZE INJECTION"/>
    <s v="HEH27Nb"/>
    <s v="Nitin"/>
    <n v="8"/>
    <n v="4815"/>
    <n v="601.875"/>
    <n v="5470"/>
    <n v="5300"/>
    <n v="0"/>
    <n v="90"/>
    <n v="0"/>
    <n v="0"/>
    <n v="80"/>
    <n v="0"/>
    <n v="1"/>
    <n v="5300"/>
    <n v="1.1007268951194185"/>
    <x v="0"/>
    <n v="6.8"/>
    <n v="37.195999999999998"/>
    <n v="0.96892138939670935"/>
    <n v="1.4869888475836431E-2"/>
    <n v="1.618705035971223E-2"/>
    <n v="0.98537477148080443"/>
    <n v="0"/>
    <n v="8"/>
    <n v="1"/>
    <n v="662.5"/>
    <n v="5.25"/>
    <n v="5.4339622641509431"/>
    <n v="0.96614583333333337"/>
    <n v="0.95201572973796478"/>
  </r>
  <r>
    <x v="0"/>
    <d v="2021-08-27T00:00:00"/>
    <s v="B"/>
    <x v="2"/>
    <x v="48"/>
    <m/>
    <m/>
    <s v="NIPPLE S TYPE L SIZE POSTCURED"/>
    <s v="HEH27NaH27Pb"/>
    <s v="Nitin"/>
    <n v="5"/>
    <n v="7036"/>
    <n v="1407.2"/>
    <n v="4170"/>
    <n v="4170"/>
    <n v="0"/>
    <n v="0"/>
    <n v="0"/>
    <n v="0"/>
    <n v="0"/>
    <n v="0"/>
    <n v="1"/>
    <n v="4170"/>
    <n v="0.59266628766344509"/>
    <x v="35"/>
    <n v="0"/>
    <n v="0"/>
    <s v=" "/>
    <n v="0"/>
    <n v="0"/>
    <n v="1"/>
    <n v="0.66666666666666663"/>
    <n v="4.333333333333333"/>
    <n v="0.86666666666666659"/>
    <n v="834"/>
    <n v="2.2999999999999998"/>
    <n v="3.7410071942446037"/>
    <n v="0.61480769230769239"/>
    <n v="0.53283333333333338"/>
  </r>
  <r>
    <x v="0"/>
    <d v="2021-08-27T00:00:00"/>
    <s v="B"/>
    <x v="1"/>
    <x v="53"/>
    <s v="BM5"/>
    <s v="B1"/>
    <s v="RPP 120ML PINK BOTTLE MOLDED (WM3GB)"/>
    <s v="EH27Bb2"/>
    <s v="Nitin"/>
    <n v="4"/>
    <n v="1251.5"/>
    <n v="312.875"/>
    <n v="1180"/>
    <n v="1080"/>
    <n v="2.1"/>
    <n v="47"/>
    <n v="0"/>
    <n v="0"/>
    <n v="45"/>
    <n v="8"/>
    <n v="1"/>
    <n v="1080"/>
    <n v="0.86296444266879746"/>
    <x v="7"/>
    <n v="22.7"/>
    <n v="28.885999999999999"/>
    <n v="0.84871564079484862"/>
    <n v="0.04"/>
    <n v="3.8304808475957623E-2"/>
    <n v="0.96186440677966101"/>
    <n v="0.75"/>
    <n v="3.25"/>
    <n v="0.8125"/>
    <n v="270"/>
    <n v="9"/>
    <n v="10.833333333333334"/>
    <n v="0.8307692307692307"/>
    <n v="0.64925847457627117"/>
  </r>
  <r>
    <x v="0"/>
    <d v="2021-08-27T00:00:00"/>
    <s v="B"/>
    <x v="9"/>
    <x v="31"/>
    <m/>
    <s v="INJ"/>
    <s v="HOOD S TYPE MOLDED"/>
    <s v="EH27Hb"/>
    <s v="Nitin"/>
    <n v="8"/>
    <n v="4137"/>
    <n v="517.125"/>
    <n v="4573"/>
    <n v="4500"/>
    <n v="0"/>
    <n v="45"/>
    <n v="0"/>
    <n v="0"/>
    <n v="28"/>
    <n v="0"/>
    <n v="1"/>
    <n v="4500"/>
    <n v="1.0877447425670776"/>
    <x v="1"/>
    <n v="8.6"/>
    <n v="39.327800000000003"/>
    <n v="0.98403673737152852"/>
    <n v="6.183745583038869E-3"/>
    <n v="9.7444781290601992E-3"/>
    <n v="0.99387710474524382"/>
    <n v="0"/>
    <n v="8"/>
    <n v="1"/>
    <n v="562.5"/>
    <n v="6"/>
    <n v="6.4"/>
    <n v="0.9375"/>
    <n v="0.93175978569866613"/>
  </r>
  <r>
    <x v="0"/>
    <d v="2021-08-27T00:00:00"/>
    <s v="C"/>
    <x v="0"/>
    <x v="47"/>
    <s v="M2"/>
    <s v="L2"/>
    <s v="NIPPLE S TYPE L SIZE INJECTION"/>
    <s v="HEH27Nc"/>
    <s v="Himanshu"/>
    <n v="8"/>
    <n v="4815"/>
    <n v="601.875"/>
    <n v="5331"/>
    <n v="5200"/>
    <n v="0"/>
    <n v="75"/>
    <n v="0"/>
    <n v="0"/>
    <n v="48"/>
    <n v="8"/>
    <n v="1"/>
    <n v="5200"/>
    <n v="1.0799584631360333"/>
    <x v="0"/>
    <n v="6.8"/>
    <n v="36.250799999999998"/>
    <n v="0.97542674920277628"/>
    <n v="9.1463414634146336E-3"/>
    <n v="1.3873473917869035E-2"/>
    <n v="0.99099606077658975"/>
    <n v="0"/>
    <n v="8"/>
    <n v="1"/>
    <n v="650"/>
    <n v="5.25"/>
    <n v="5.5384615384615383"/>
    <n v="0.94791666666666674"/>
    <n v="0.93938168261114241"/>
  </r>
  <r>
    <x v="0"/>
    <d v="2021-08-27T00:00:00"/>
    <s v="C"/>
    <x v="1"/>
    <x v="53"/>
    <s v="BM5"/>
    <s v="B1"/>
    <s v="RPP 120ML PINK BOTTLE MOLDED (WM3GB)"/>
    <s v="EH27Bc1"/>
    <s v="Himanshu"/>
    <n v="8"/>
    <n v="2574"/>
    <n v="321.75"/>
    <n v="3102"/>
    <n v="2880"/>
    <n v="0.12"/>
    <n v="127"/>
    <n v="0"/>
    <n v="0"/>
    <n v="87"/>
    <n v="8"/>
    <n v="1"/>
    <n v="2880"/>
    <n v="1.118881118881119"/>
    <x v="7"/>
    <n v="22.7"/>
    <n v="70.535399999999996"/>
    <n v="0.92685375003189885"/>
    <n v="2.9322548028311426E-2"/>
    <n v="3.9331062248374113E-2"/>
    <n v="0.97195357833655704"/>
    <n v="0.75"/>
    <n v="7.25"/>
    <n v="0.90625"/>
    <n v="360"/>
    <n v="9"/>
    <n v="9.0625"/>
    <n v="0.99310344827586206"/>
    <n v="0.87475822050290131"/>
  </r>
  <r>
    <x v="0"/>
    <d v="2021-08-27T00:00:00"/>
    <s v="C"/>
    <x v="9"/>
    <x v="31"/>
    <m/>
    <s v="INJ1"/>
    <s v="HOOD S TYPE MOLDED"/>
    <s v="EH27Hc"/>
    <s v="Himanshu"/>
    <n v="8"/>
    <n v="4137"/>
    <n v="517.125"/>
    <n v="5520"/>
    <n v="5500"/>
    <n v="0"/>
    <n v="0"/>
    <n v="0"/>
    <n v="0"/>
    <n v="12"/>
    <n v="8"/>
    <n v="1"/>
    <n v="5500"/>
    <n v="1.3294657964708727"/>
    <x v="1"/>
    <n v="8.6"/>
    <n v="47.472000000000001"/>
    <n v="0.99637681159420277"/>
    <n v="2.1770682148040637E-3"/>
    <n v="0"/>
    <n v="0.99782608695652175"/>
    <n v="0"/>
    <n v="8"/>
    <n v="1"/>
    <n v="687.5"/>
    <n v="6"/>
    <n v="5.2363636363636363"/>
    <n v="1.1458333333333333"/>
    <n v="1.1433423913043477"/>
  </r>
  <r>
    <x v="0"/>
    <d v="2021-08-28T00:00:00"/>
    <s v="A"/>
    <x v="1"/>
    <x v="53"/>
    <s v="BM4"/>
    <s v="B1"/>
    <s v="RPP 120ML PINK BOTTLE MOLDED (WM3GB)"/>
    <s v="EH28Ba1"/>
    <s v="Saurav"/>
    <n v="3"/>
    <n v="1200"/>
    <n v="400"/>
    <n v="1132"/>
    <n v="1080"/>
    <n v="0.9"/>
    <n v="27"/>
    <n v="0"/>
    <n v="0"/>
    <n v="17"/>
    <n v="8"/>
    <n v="1"/>
    <n v="1080"/>
    <n v="0.9"/>
    <x v="7"/>
    <n v="22.7"/>
    <n v="26.596399999999996"/>
    <n v="0.92177888736821534"/>
    <n v="1.5496809480401094E-2"/>
    <n v="2.3295944779982744E-2"/>
    <n v="0.98498233215547704"/>
    <n v="0"/>
    <n v="3"/>
    <n v="1"/>
    <n v="360"/>
    <n v="9"/>
    <n v="10"/>
    <n v="0.9"/>
    <n v="0.8864840989399293"/>
  </r>
  <r>
    <x v="0"/>
    <d v="2021-08-28T00:00:00"/>
    <s v="A"/>
    <x v="2"/>
    <x v="48"/>
    <m/>
    <s v="PC1"/>
    <s v="NIPPLE S TYPE L SIZE POSTCURED"/>
    <s v="HEH27NbH28Pa"/>
    <s v="Saurav"/>
    <n v="8"/>
    <n v="7036"/>
    <n v="879.5"/>
    <n v="9500"/>
    <n v="9500"/>
    <n v="0"/>
    <n v="0"/>
    <n v="0"/>
    <n v="0"/>
    <n v="0"/>
    <n v="0"/>
    <n v="1"/>
    <n v="9500"/>
    <n v="1.3501989766913018"/>
    <x v="35"/>
    <n v="0"/>
    <n v="0"/>
    <s v=" "/>
    <n v="0"/>
    <n v="0"/>
    <n v="1"/>
    <n v="0.66666666666666663"/>
    <n v="7.333333333333333"/>
    <n v="0.91666666666666663"/>
    <n v="1187.5"/>
    <n v="2.2999999999999998"/>
    <n v="2.7789473684210528"/>
    <n v="0.82765151515151503"/>
    <n v="0.75868055555555536"/>
  </r>
  <r>
    <x v="0"/>
    <d v="2021-08-28T00:00:00"/>
    <s v="A"/>
    <x v="1"/>
    <x v="54"/>
    <s v="BM4"/>
    <s v="B1"/>
    <s v="RPP 120ML BLUE BOTTLE MOLDED (WM3GB)"/>
    <s v="EH28Ba1"/>
    <s v="Saurav"/>
    <n v="4.3"/>
    <n v="1374"/>
    <n v="319.53488372093022"/>
    <n v="1173"/>
    <n v="1080"/>
    <n v="1.1000000000000001"/>
    <n v="57"/>
    <n v="0"/>
    <n v="0"/>
    <n v="20"/>
    <n v="16"/>
    <n v="1"/>
    <n v="1080"/>
    <n v="0.78602620087336239"/>
    <x v="7"/>
    <n v="22.7"/>
    <n v="27.7271"/>
    <n v="0.88418911462071392"/>
    <n v="1.8181818181818181E-2"/>
    <n v="4.6341463414634146E-2"/>
    <n v="0.98294970161977835"/>
    <n v="1.3333333333333333"/>
    <n v="2.9666666666666668"/>
    <n v="0.68992248062015504"/>
    <n v="251.16279069767444"/>
    <n v="9"/>
    <n v="9.8888888888888893"/>
    <n v="0.9101123595505618"/>
    <n v="0.61720097543567476"/>
  </r>
  <r>
    <x v="0"/>
    <d v="2021-08-28T00:00:00"/>
    <s v="A"/>
    <x v="0"/>
    <x v="47"/>
    <s v="M2"/>
    <s v="L2"/>
    <s v="NIPPLE S TYPE L SIZE INJECTION"/>
    <s v="HEH28Na"/>
    <s v="Saurav"/>
    <n v="8"/>
    <n v="4815"/>
    <n v="601.875"/>
    <n v="5337"/>
    <n v="5200"/>
    <n v="0"/>
    <n v="54"/>
    <n v="0"/>
    <n v="0"/>
    <n v="75"/>
    <n v="8"/>
    <n v="1"/>
    <n v="5200"/>
    <n v="1.0799584631360333"/>
    <x v="0"/>
    <n v="6.8"/>
    <n v="36.291599999999995"/>
    <n v="0.97433014802323414"/>
    <n v="1.4218009478672985E-2"/>
    <n v="1.001669449081803E-2"/>
    <n v="0.985947161326588"/>
    <n v="0"/>
    <n v="8"/>
    <n v="1"/>
    <n v="650"/>
    <n v="5.25"/>
    <n v="5.5384615384615383"/>
    <n v="0.94791666666666674"/>
    <n v="0.93459574667416156"/>
  </r>
  <r>
    <x v="0"/>
    <d v="2021-08-28T00:00:00"/>
    <s v="A"/>
    <x v="3"/>
    <x v="49"/>
    <m/>
    <s v="P1"/>
    <s v="NIPPLE S TYPE L SIZE PUNCHED"/>
    <s v="HEH26NcH27Pa"/>
    <s v="Saurav"/>
    <n v="8"/>
    <n v="7000"/>
    <n v="875"/>
    <n v="7170"/>
    <n v="7170"/>
    <n v="0"/>
    <n v="0"/>
    <n v="0"/>
    <n v="0"/>
    <n v="0"/>
    <n v="0"/>
    <n v="1"/>
    <n v="7170"/>
    <n v="1.0242857142857142"/>
    <x v="36"/>
    <n v="0"/>
    <n v="0"/>
    <s v=" "/>
    <n v="0"/>
    <n v="0"/>
    <n v="1"/>
    <n v="0.66666666666666663"/>
    <n v="7.333333333333333"/>
    <n v="0.91666666666666663"/>
    <n v="896.25"/>
    <n v="3.5"/>
    <n v="3.6820083682008367"/>
    <n v="0.95056818181818181"/>
    <n v="0.87135416666666665"/>
  </r>
  <r>
    <x v="0"/>
    <d v="2021-08-28T00:00:00"/>
    <s v="A"/>
    <x v="9"/>
    <x v="31"/>
    <m/>
    <s v="INJ-1"/>
    <s v="HOOD S TYPE MOLDED"/>
    <s v="EH28Ha"/>
    <s v="Saurav"/>
    <n v="8"/>
    <n v="4137"/>
    <n v="517.125"/>
    <n v="5320"/>
    <n v="5300"/>
    <n v="0"/>
    <n v="0"/>
    <n v="0"/>
    <n v="0"/>
    <n v="12"/>
    <n v="8"/>
    <n v="1"/>
    <n v="5300"/>
    <n v="1.2811215856901137"/>
    <x v="1"/>
    <n v="8.6"/>
    <n v="45.752000000000002"/>
    <n v="0.99624060150375926"/>
    <n v="2.2590361445783132E-3"/>
    <n v="0"/>
    <n v="0.9977443609022556"/>
    <n v="0"/>
    <n v="8"/>
    <n v="1"/>
    <n v="662.5"/>
    <n v="6"/>
    <n v="5.4339622641509431"/>
    <n v="1.1041666666666667"/>
    <n v="1.1016760651629074"/>
  </r>
  <r>
    <x v="0"/>
    <d v="2021-08-28T00:00:00"/>
    <s v="A"/>
    <x v="8"/>
    <x v="50"/>
    <m/>
    <s v="LZ1"/>
    <s v="NIPPLE S TYPE L SIZE PUNCHED LASER MARKED"/>
    <s v="HEH26CG22"/>
    <s v="Saurav"/>
    <n v="8"/>
    <n v="7000"/>
    <n v="875"/>
    <n v="6470"/>
    <n v="6470"/>
    <n v="0"/>
    <n v="0"/>
    <n v="0"/>
    <n v="0"/>
    <n v="0"/>
    <n v="0"/>
    <n v="1"/>
    <n v="6470"/>
    <n v="0.92428571428571427"/>
    <x v="22"/>
    <n v="0"/>
    <n v="0"/>
    <s v=" "/>
    <n v="0"/>
    <n v="0"/>
    <n v="1"/>
    <n v="0.66666666666666663"/>
    <n v="7.333333333333333"/>
    <n v="0.91666666666666663"/>
    <n v="808.75"/>
    <n v="3.5"/>
    <n v="4.0803709428129826"/>
    <n v="0.85776515151515165"/>
    <n v="0.78628472222222234"/>
  </r>
  <r>
    <x v="0"/>
    <d v="2021-08-28T00:00:00"/>
    <s v="G"/>
    <x v="4"/>
    <x v="51"/>
    <m/>
    <m/>
    <s v="NIPPLE S TYPE L SIZE PUNCHED INSPECTED"/>
    <s v="HEH26BG22"/>
    <s v="Vivek"/>
    <n v="8.5"/>
    <n v="14072"/>
    <n v="1655.5294117647059"/>
    <n v="12470"/>
    <n v="12444"/>
    <n v="0"/>
    <n v="0"/>
    <n v="0"/>
    <n v="0"/>
    <n v="26"/>
    <n v="0"/>
    <n v="2"/>
    <n v="6222"/>
    <n v="0.8843092666287663"/>
    <x v="37"/>
    <n v="0"/>
    <n v="0"/>
    <s v=" "/>
    <n v="2.0850040096230954E-3"/>
    <n v="0"/>
    <n v="0.99791499599037692"/>
    <n v="0.83333333333333337"/>
    <n v="7.666666666666667"/>
    <n v="0.90196078431372551"/>
    <n v="1464"/>
    <n v="4"/>
    <n v="4.435872709739634"/>
    <n v="0.90173913043478249"/>
    <n v="0.8116375300721731"/>
  </r>
  <r>
    <x v="0"/>
    <d v="2021-08-28T00:00:00"/>
    <s v="G"/>
    <x v="7"/>
    <x v="27"/>
    <m/>
    <s v="WR1"/>
    <s v="NIPPLE S TYPE L SIZE WITH PRINTED WRAP"/>
    <s v="HEH26BG22"/>
    <s v="Vivek"/>
    <n v="8.5"/>
    <n v="16032"/>
    <n v="1886.1176470588234"/>
    <n v="11426"/>
    <n v="11423"/>
    <n v="0"/>
    <n v="0"/>
    <n v="0"/>
    <n v="0"/>
    <n v="3"/>
    <n v="0"/>
    <n v="2"/>
    <n v="5711.5"/>
    <n v="0.71251247504990023"/>
    <x v="22"/>
    <n v="0"/>
    <n v="0"/>
    <s v=" "/>
    <n v="2.6255907579205323E-4"/>
    <n v="0"/>
    <n v="0.99973744092420791"/>
    <n v="0.83333333333333337"/>
    <n v="7.666666666666667"/>
    <n v="0.90196078431372551"/>
    <n v="1343.8823529411766"/>
    <n v="2.5"/>
    <n v="4.8323557734395521"/>
    <n v="0.51734601449275364"/>
    <n v="0.46650330015021357"/>
  </r>
  <r>
    <x v="0"/>
    <d v="2021-08-28T00:00:00"/>
    <s v="G"/>
    <x v="6"/>
    <x v="52"/>
    <m/>
    <s v="PR1"/>
    <s v="KPP 120 ML BOTTLE PRINTED"/>
    <s v="EH25BC1H28PA"/>
    <s v="Pintu"/>
    <n v="4.5"/>
    <n v="2000"/>
    <n v="444.44444444444446"/>
    <n v="1997"/>
    <n v="1986"/>
    <n v="0"/>
    <n v="0"/>
    <n v="26"/>
    <n v="0"/>
    <n v="11"/>
    <n v="0"/>
    <n v="6"/>
    <n v="331"/>
    <n v="0.99299999999999999"/>
    <x v="38"/>
    <n v="0"/>
    <n v="0"/>
    <s v=" "/>
    <n v="5.5082623935903859E-3"/>
    <n v="0"/>
    <n v="0.99449173760640963"/>
    <n v="0.83333333333333337"/>
    <n v="3.6666666666666665"/>
    <n v="0.81481481481481477"/>
    <n v="441.33333333333331"/>
    <n v="32.4"/>
    <n v="39.879154078549846"/>
    <n v="0.81245454545454554"/>
    <n v="0.65835353029544319"/>
  </r>
  <r>
    <x v="0"/>
    <d v="2021-08-28T00:00:00"/>
    <s v="G"/>
    <x v="6"/>
    <x v="55"/>
    <m/>
    <s v="PR1"/>
    <s v="KPP 120 BOTTLE PRINTED (WMG3B) W/O OZ &amp; W/BIS LOGO"/>
    <s v="EH16BC1H28PA"/>
    <s v="Pintu"/>
    <n v="2"/>
    <n v="1000"/>
    <n v="500"/>
    <n v="1077"/>
    <n v="1063"/>
    <n v="0"/>
    <n v="0"/>
    <n v="7"/>
    <n v="0"/>
    <n v="14"/>
    <n v="0"/>
    <n v="6"/>
    <n v="177.16666666666666"/>
    <n v="1.0629999999999999"/>
    <x v="39"/>
    <n v="0"/>
    <n v="0"/>
    <s v=" "/>
    <n v="1.2999071494893221E-2"/>
    <n v="0"/>
    <n v="0.98700092850510679"/>
    <n v="0.5"/>
    <n v="1.5"/>
    <n v="0.75"/>
    <n v="531.5"/>
    <n v="32.4"/>
    <n v="30.479774223894637"/>
    <n v="1.0629999999999999"/>
    <n v="0.78688649025069635"/>
  </r>
  <r>
    <x v="0"/>
    <d v="2021-08-28T00:00:00"/>
    <s v="G"/>
    <x v="6"/>
    <x v="56"/>
    <m/>
    <s v="PR1"/>
    <s v="RPP 120ML FLORAL BLUE BOTLE PNTD WM3GB W/BIS LOGO"/>
    <s v="EF28Ba1H28PA"/>
    <s v="Pintu"/>
    <n v="2"/>
    <n v="1000"/>
    <n v="500"/>
    <n v="1011"/>
    <n v="1000"/>
    <n v="0"/>
    <n v="0"/>
    <n v="16"/>
    <n v="0"/>
    <n v="11"/>
    <n v="0"/>
    <n v="6"/>
    <n v="166.66666666666666"/>
    <n v="1"/>
    <x v="30"/>
    <n v="0"/>
    <n v="0"/>
    <s v=" "/>
    <n v="1.0880316518298714E-2"/>
    <n v="0"/>
    <n v="0.98911968348170132"/>
    <n v="0"/>
    <n v="2"/>
    <n v="1"/>
    <n v="500"/>
    <n v="32.4"/>
    <n v="43.2"/>
    <n v="0.74999999999999989"/>
    <n v="0.74183976261127593"/>
  </r>
  <r>
    <x v="0"/>
    <d v="2021-08-28T00:00:00"/>
    <s v="B"/>
    <x v="8"/>
    <x v="50"/>
    <m/>
    <s v="LZ1"/>
    <s v="NIPPLE S TYPE L SIZE PUNCHED LASER MARKED"/>
    <s v="HEH27AG22"/>
    <s v="Nitin"/>
    <n v="8"/>
    <n v="7036"/>
    <n v="879.5"/>
    <n v="6300"/>
    <n v="6300"/>
    <n v="0"/>
    <n v="0"/>
    <n v="0"/>
    <n v="0"/>
    <n v="0"/>
    <n v="0"/>
    <n v="1"/>
    <n v="6300"/>
    <n v="0.89539511085844226"/>
    <x v="22"/>
    <n v="0"/>
    <n v="0"/>
    <s v=" "/>
    <n v="0"/>
    <n v="0"/>
    <n v="1"/>
    <n v="0.66666666666666663"/>
    <n v="7.333333333333333"/>
    <n v="0.91666666666666663"/>
    <n v="787.5"/>
    <n v="3.5"/>
    <n v="4.1904761904761907"/>
    <n v="0.83522727272727271"/>
    <n v="0.765625"/>
  </r>
  <r>
    <x v="0"/>
    <d v="2021-08-28T00:00:00"/>
    <s v="B"/>
    <x v="3"/>
    <x v="49"/>
    <m/>
    <s v="P1"/>
    <s v="NIPPLE S TYPE L SIZE PUNCHED"/>
    <s v="HEH27NbH27PbH28Pb"/>
    <s v="Nitin"/>
    <n v="8"/>
    <n v="7036"/>
    <n v="879.5"/>
    <n v="7300"/>
    <n v="7300"/>
    <n v="0"/>
    <n v="0"/>
    <n v="0"/>
    <n v="0"/>
    <n v="0"/>
    <n v="0"/>
    <n v="1"/>
    <n v="7300"/>
    <n v="1.0375213189312109"/>
    <x v="36"/>
    <n v="0"/>
    <n v="0"/>
    <s v=" "/>
    <n v="0"/>
    <n v="0"/>
    <n v="1"/>
    <n v="0.66666666666666663"/>
    <n v="7.333333333333333"/>
    <n v="0.91666666666666663"/>
    <n v="912.5"/>
    <n v="3.5"/>
    <n v="3.6164383561643834"/>
    <n v="0.96780303030303039"/>
    <n v="0.88715277777777779"/>
  </r>
  <r>
    <x v="0"/>
    <d v="2021-08-28T00:00:00"/>
    <s v="B"/>
    <x v="2"/>
    <x v="48"/>
    <m/>
    <s v="P1"/>
    <s v="NIPPLE S TYPE L SIZE POSTCURED"/>
    <s v="HEH28NaH28Pb"/>
    <s v="Nitin"/>
    <n v="5"/>
    <n v="7036"/>
    <n v="1407.2"/>
    <n v="5200"/>
    <n v="5200"/>
    <n v="0"/>
    <n v="0"/>
    <n v="0"/>
    <n v="0"/>
    <n v="0"/>
    <n v="0"/>
    <n v="1"/>
    <n v="5200"/>
    <n v="0.73905628197839679"/>
    <x v="35"/>
    <n v="0"/>
    <n v="0"/>
    <s v=" "/>
    <n v="0"/>
    <n v="0"/>
    <n v="1"/>
    <n v="2"/>
    <n v="3"/>
    <n v="0.6"/>
    <n v="1040"/>
    <n v="2.2999999999999998"/>
    <n v="2.0769230769230771"/>
    <n v="1.1074074074074072"/>
    <n v="0.66444444444444428"/>
  </r>
  <r>
    <x v="0"/>
    <d v="2021-08-28T00:00:00"/>
    <s v="B"/>
    <x v="0"/>
    <x v="47"/>
    <s v="M2"/>
    <s v="L2"/>
    <s v="NIPPLE S TYPE L SIZE INJECTION"/>
    <s v="HEH28Nb"/>
    <s v="Nitin"/>
    <n v="8"/>
    <n v="4815"/>
    <n v="601.875"/>
    <n v="5557"/>
    <n v="5500"/>
    <n v="0"/>
    <n v="0"/>
    <n v="0"/>
    <n v="0"/>
    <n v="57"/>
    <n v="0"/>
    <n v="1"/>
    <n v="5500"/>
    <n v="1.142263759086189"/>
    <x v="0"/>
    <n v="6.8"/>
    <n v="37.787599999999998"/>
    <n v="0.98974266690660428"/>
    <n v="1.0257333093395717E-2"/>
    <n v="0"/>
    <n v="0.98974266690660428"/>
    <n v="0"/>
    <n v="8"/>
    <n v="1"/>
    <n v="687.5"/>
    <n v="5.25"/>
    <n v="5.2363636363636363"/>
    <n v="1.0026041666666667"/>
    <n v="0.99232012176834028"/>
  </r>
  <r>
    <x v="0"/>
    <d v="2021-08-28T00:00:00"/>
    <s v="B"/>
    <x v="1"/>
    <x v="54"/>
    <s v="BM4"/>
    <s v="B1"/>
    <s v="RPP 120ML BLUE BOTTLE MOLDED (WM3GB)"/>
    <s v="EH28Bb1"/>
    <s v="Nitin"/>
    <n v="8"/>
    <n v="2503"/>
    <n v="312.875"/>
    <n v="2831"/>
    <n v="2700"/>
    <n v="0.3"/>
    <n v="57"/>
    <n v="0"/>
    <n v="0"/>
    <n v="74"/>
    <n v="0"/>
    <n v="1"/>
    <n v="2700"/>
    <n v="1.0787055533359968"/>
    <x v="7"/>
    <n v="22.7"/>
    <n v="64.563699999999997"/>
    <n v="0.94929503730424358"/>
    <n v="2.6676279740447006E-2"/>
    <n v="1.9736842105263157E-2"/>
    <n v="0.97386082656305195"/>
    <n v="0"/>
    <n v="8"/>
    <n v="1"/>
    <n v="337.5"/>
    <n v="9"/>
    <n v="10.666666666666666"/>
    <n v="0.84375"/>
    <n v="0.82169507241257511"/>
  </r>
  <r>
    <x v="0"/>
    <d v="2021-08-28T00:00:00"/>
    <s v="B"/>
    <x v="9"/>
    <x v="31"/>
    <m/>
    <s v="INJ1"/>
    <s v="HOOD S TYPE MOLDED"/>
    <s v="EH28Hb"/>
    <s v="Nitin"/>
    <n v="8"/>
    <n v="4137"/>
    <n v="517.125"/>
    <n v="5020"/>
    <n v="5000"/>
    <n v="0"/>
    <n v="0"/>
    <n v="0"/>
    <n v="0"/>
    <n v="20"/>
    <n v="0"/>
    <n v="1"/>
    <n v="5000"/>
    <n v="1.2086052695189751"/>
    <x v="1"/>
    <n v="8.6"/>
    <n v="43.171999999999997"/>
    <n v="0.99601593625498019"/>
    <n v="3.9840637450199202E-3"/>
    <n v="0"/>
    <n v="0.99601593625498008"/>
    <n v="0"/>
    <n v="8"/>
    <n v="1"/>
    <n v="625"/>
    <n v="6"/>
    <n v="5.76"/>
    <n v="1.0416666666666667"/>
    <n v="1.0375166002656042"/>
  </r>
  <r>
    <x v="0"/>
    <d v="2021-08-28T00:00:00"/>
    <s v="C"/>
    <x v="1"/>
    <x v="54"/>
    <s v="BM4"/>
    <s v="B1"/>
    <s v="RPP 120ML BLUE BOTTLE MOLDED (WM3GB)"/>
    <s v="EH28Bc1"/>
    <s v="Himanshu"/>
    <n v="3.3"/>
    <n v="1200"/>
    <n v="363.63636363636368"/>
    <n v="1316"/>
    <n v="1260"/>
    <n v="0.28000000000000003"/>
    <n v="28"/>
    <n v="0"/>
    <n v="0"/>
    <n v="20"/>
    <n v="8"/>
    <n v="1"/>
    <n v="1260"/>
    <n v="1.05"/>
    <x v="7"/>
    <n v="22.7"/>
    <n v="30.153199999999998"/>
    <n v="0.94855604048658182"/>
    <n v="1.5625E-2"/>
    <n v="2.0833333333333332E-2"/>
    <n v="0.98480243161094227"/>
    <n v="0.15"/>
    <n v="3.15"/>
    <n v="0.95454545454545459"/>
    <n v="381.81818181818181"/>
    <n v="9"/>
    <n v="9"/>
    <n v="1"/>
    <n v="0.94003868471953589"/>
  </r>
  <r>
    <x v="0"/>
    <d v="2021-08-28T00:00:00"/>
    <s v="C"/>
    <x v="0"/>
    <x v="47"/>
    <s v="M2"/>
    <s v="L2"/>
    <s v="NIPPLE S TYPE L SIZE INJECTION"/>
    <s v="HEH28Nc"/>
    <s v="Himanshu"/>
    <n v="8"/>
    <n v="4815"/>
    <n v="601.875"/>
    <n v="4313"/>
    <n v="4210"/>
    <n v="0.44800000000000001"/>
    <n v="41"/>
    <n v="0"/>
    <n v="0"/>
    <n v="54"/>
    <n v="8"/>
    <n v="1"/>
    <n v="4210"/>
    <n v="0.87435098650051923"/>
    <x v="0"/>
    <n v="6.8"/>
    <n v="29.776399999999999"/>
    <n v="0.96143254389382204"/>
    <n v="1.2664165103189493E-2"/>
    <n v="9.416628387689481E-3"/>
    <n v="0.98747971249710176"/>
    <n v="1.75"/>
    <n v="6.25"/>
    <n v="0.78125"/>
    <n v="526.25"/>
    <n v="5.25"/>
    <n v="5.3444180522565317"/>
    <n v="0.98233333333333339"/>
    <n v="0.75783924810649972"/>
  </r>
  <r>
    <x v="0"/>
    <d v="2021-08-28T00:00:00"/>
    <s v="C"/>
    <x v="9"/>
    <x v="31"/>
    <m/>
    <s v="INJ1"/>
    <s v="HOOD S TYPE MOLDED"/>
    <s v="EH28Hc"/>
    <s v="Himanshu"/>
    <n v="8"/>
    <n v="4137"/>
    <n v="517.125"/>
    <n v="5512"/>
    <n v="5500"/>
    <n v="0"/>
    <n v="0"/>
    <n v="0"/>
    <n v="0"/>
    <n v="4"/>
    <n v="8"/>
    <n v="1"/>
    <n v="5500"/>
    <n v="1.3294657964708727"/>
    <x v="1"/>
    <n v="8.6"/>
    <n v="47.403199999999998"/>
    <n v="0.99782293178519588"/>
    <n v="7.2674418604651162E-4"/>
    <n v="0"/>
    <n v="0.99927431059506533"/>
    <n v="0"/>
    <n v="8"/>
    <n v="1"/>
    <n v="687.5"/>
    <n v="6"/>
    <n v="5.2363636363636363"/>
    <n v="1.1458333333333333"/>
    <n v="1.1450018142235123"/>
  </r>
  <r>
    <x v="0"/>
    <d v="2021-08-31T00:00:00"/>
    <s v="A"/>
    <x v="2"/>
    <x v="48"/>
    <m/>
    <m/>
    <s v="NIPPLE S TYPE L SIZE POSTCURED"/>
    <s v="HEH28NCH31Pa"/>
    <s v="Nitin"/>
    <n v="8"/>
    <n v="7036"/>
    <n v="879.5"/>
    <n v="6710"/>
    <n v="6710"/>
    <n v="0"/>
    <n v="0"/>
    <n v="0"/>
    <n v="0"/>
    <n v="0"/>
    <n v="0"/>
    <n v="1"/>
    <n v="6710"/>
    <n v="0.9536668561682774"/>
    <x v="35"/>
    <n v="0"/>
    <n v="0"/>
    <s v=" "/>
    <n v="0"/>
    <n v="0"/>
    <n v="1"/>
    <n v="0.66666666666666663"/>
    <n v="7.333333333333333"/>
    <n v="0.91666666666666663"/>
    <n v="838.75"/>
    <n v="2.2999999999999998"/>
    <n v="3.9344262295081966"/>
    <n v="0.58458333333333334"/>
    <n v="0.5358680555555555"/>
  </r>
  <r>
    <x v="0"/>
    <d v="2021-08-31T00:00:00"/>
    <s v="A"/>
    <x v="0"/>
    <x v="47"/>
    <s v="M2"/>
    <s v="L2"/>
    <s v="NIPPLE S TYPE L SIZE INJECTION"/>
    <s v="HEH31Na"/>
    <s v="Nitin"/>
    <n v="8"/>
    <n v="4815"/>
    <n v="601.875"/>
    <n v="4160"/>
    <n v="4000"/>
    <n v="1.2"/>
    <n v="102"/>
    <n v="0"/>
    <n v="0"/>
    <n v="50"/>
    <n v="8"/>
    <n v="1"/>
    <n v="4000"/>
    <n v="0.83073727933541019"/>
    <x v="0"/>
    <n v="6.8"/>
    <n v="29.487999999999996"/>
    <n v="0.92240911557243632"/>
    <n v="1.2345679012345678E-2"/>
    <n v="2.3932426091037073E-2"/>
    <n v="0.98798076923076927"/>
    <n v="2"/>
    <n v="6"/>
    <n v="0.75"/>
    <n v="500"/>
    <n v="5.25"/>
    <n v="5.4"/>
    <n v="0.97222222222222221"/>
    <n v="0.72040264423076927"/>
  </r>
  <r>
    <x v="0"/>
    <d v="2021-08-31T00:00:00"/>
    <s v="A"/>
    <x v="3"/>
    <x v="49"/>
    <m/>
    <s v="P1"/>
    <s v="NIPPLE S TYPE L SIZE PUNCHED"/>
    <m/>
    <s v="Nitin"/>
    <n v="8"/>
    <n v="7036"/>
    <n v="879.5"/>
    <n v="6400"/>
    <n v="6400"/>
    <n v="0"/>
    <n v="0"/>
    <n v="0"/>
    <n v="0"/>
    <n v="0"/>
    <n v="0"/>
    <n v="1"/>
    <n v="6400"/>
    <n v="0.90960773166571918"/>
    <x v="36"/>
    <n v="0"/>
    <n v="0"/>
    <s v=" "/>
    <n v="0"/>
    <n v="0"/>
    <n v="1"/>
    <n v="0.66666666666666663"/>
    <n v="7.333333333333333"/>
    <n v="0.91666666666666663"/>
    <n v="800"/>
    <n v="3.5"/>
    <n v="4.125"/>
    <n v="0.84848484848484851"/>
    <n v="0.77777777777777779"/>
  </r>
  <r>
    <x v="0"/>
    <d v="2021-08-31T00:00:00"/>
    <s v="A"/>
    <x v="8"/>
    <x v="50"/>
    <m/>
    <s v="LZ1"/>
    <s v="NIPPLE S TYPE L SIZE PUNCHED LASER MARKED"/>
    <s v="HEH27CG22"/>
    <s v="Nitin"/>
    <n v="8"/>
    <n v="7036"/>
    <n v="879.5"/>
    <n v="3000"/>
    <n v="3000"/>
    <n v="0"/>
    <n v="0"/>
    <n v="0"/>
    <n v="0"/>
    <n v="0"/>
    <n v="0"/>
    <n v="1"/>
    <n v="3000"/>
    <n v="0.42637862421830586"/>
    <x v="22"/>
    <n v="0"/>
    <n v="0"/>
    <s v=" "/>
    <n v="0"/>
    <n v="0"/>
    <n v="1"/>
    <n v="4.666666666666667"/>
    <n v="3.333333333333333"/>
    <n v="0.41666666666666663"/>
    <n v="375"/>
    <n v="3.5"/>
    <n v="3.9999999999999996"/>
    <n v="0.87500000000000011"/>
    <n v="0.36458333333333337"/>
  </r>
  <r>
    <x v="0"/>
    <d v="2021-08-31T00:00:00"/>
    <s v="A"/>
    <x v="9"/>
    <x v="31"/>
    <m/>
    <s v="INJ1"/>
    <s v="HOOD S TYPE MOLDED"/>
    <s v="EH31Ha"/>
    <s v="Nitin"/>
    <n v="8"/>
    <n v="4137"/>
    <n v="517.125"/>
    <n v="4545"/>
    <n v="4500"/>
    <n v="0.35"/>
    <n v="25"/>
    <n v="0"/>
    <n v="0"/>
    <n v="12"/>
    <n v="8"/>
    <n v="1"/>
    <n v="4500"/>
    <n v="1.0877447425670776"/>
    <x v="1"/>
    <n v="8.6"/>
    <n v="39.437000000000005"/>
    <n v="0.98131196592032854"/>
    <n v="2.6595744680851063E-3"/>
    <n v="5.4704595185995622E-3"/>
    <n v="0.99735973597359739"/>
    <n v="0"/>
    <n v="8"/>
    <n v="1"/>
    <n v="562.5"/>
    <n v="6"/>
    <n v="6.4"/>
    <n v="0.9375"/>
    <n v="0.93502475247524752"/>
  </r>
  <r>
    <x v="0"/>
    <d v="2021-08-31T00:00:00"/>
    <s v="G"/>
    <x v="7"/>
    <x v="33"/>
    <m/>
    <s v="WR1"/>
    <s v="NIPPLE S TYPE S SIZE WITH PRINTED WRAP"/>
    <s v="HEH11BG22"/>
    <s v="Vivek"/>
    <n v="8.5"/>
    <n v="16132"/>
    <n v="1897.8823529411766"/>
    <n v="18229"/>
    <n v="18229"/>
    <n v="0"/>
    <n v="0"/>
    <n v="0"/>
    <n v="0"/>
    <n v="0"/>
    <n v="0"/>
    <n v="1"/>
    <n v="18229"/>
    <n v="1.1299900818249442"/>
    <x v="27"/>
    <n v="0"/>
    <n v="0"/>
    <s v=" "/>
    <n v="0"/>
    <n v="0"/>
    <n v="1"/>
    <n v="0"/>
    <n v="8.5"/>
    <n v="1"/>
    <n v="2144.5882352941176"/>
    <n v="2.5"/>
    <n v="1.6786439190301168"/>
    <n v="1.4892973856209151"/>
    <n v="1.4892973856209151"/>
  </r>
  <r>
    <x v="0"/>
    <d v="2021-08-31T00:00:00"/>
    <s v="G"/>
    <x v="4"/>
    <x v="51"/>
    <m/>
    <m/>
    <s v="NIPPLE S TYPE L SIZE PUNCHED INSPECTED"/>
    <s v="HEH27NbH28PaH28Pb"/>
    <s v="Vivek"/>
    <n v="8.5"/>
    <n v="7036"/>
    <n v="827.76470588235293"/>
    <n v="7300"/>
    <n v="7222"/>
    <n v="0"/>
    <n v="0"/>
    <n v="0"/>
    <n v="0"/>
    <n v="78"/>
    <n v="0"/>
    <n v="1"/>
    <n v="7222"/>
    <n v="1.026435474701535"/>
    <x v="37"/>
    <n v="0"/>
    <n v="0"/>
    <s v=" "/>
    <n v="1.0684931506849316E-2"/>
    <n v="0"/>
    <n v="0.98931506849315065"/>
    <n v="0.83333333333333337"/>
    <n v="7.666666666666667"/>
    <n v="0.90196078431372551"/>
    <n v="849.64705882352939"/>
    <n v="4"/>
    <n v="3.8216560509554141"/>
    <n v="1.0466666666666666"/>
    <n v="0.93396515355000442"/>
  </r>
  <r>
    <x v="0"/>
    <d v="2021-08-31T00:00:00"/>
    <s v="B"/>
    <x v="0"/>
    <x v="47"/>
    <s v="M2"/>
    <s v="L2"/>
    <s v="NIPPLE S TYPE L SIZE INJECTION"/>
    <s v="HEH31Nb"/>
    <s v="Saurav"/>
    <n v="8"/>
    <n v="4815"/>
    <n v="601.875"/>
    <n v="4385"/>
    <n v="4300"/>
    <n v="0.4"/>
    <n v="30"/>
    <n v="0"/>
    <n v="0"/>
    <n v="55"/>
    <n v="0"/>
    <n v="1"/>
    <n v="4300"/>
    <n v="0.89304257528556596"/>
    <x v="0"/>
    <n v="6.8"/>
    <n v="30.217999999999996"/>
    <n v="0.96763518432722229"/>
    <n v="1.2629161882893225E-2"/>
    <n v="6.7950169875424689E-3"/>
    <n v="0.9874572405929305"/>
    <n v="0"/>
    <n v="8"/>
    <n v="1"/>
    <n v="537.5"/>
    <n v="5.25"/>
    <n v="6.6976744186046515"/>
    <n v="0.78385416666666663"/>
    <n v="0.77402247244393763"/>
  </r>
  <r>
    <x v="0"/>
    <d v="2021-08-31T00:00:00"/>
    <s v="B"/>
    <x v="3"/>
    <x v="49"/>
    <m/>
    <s v="P1"/>
    <s v="NIPPLE S TYPE L SIZE PUNCHED"/>
    <s v="HEH28NbH28PbH31Pb"/>
    <s v="Saurav"/>
    <n v="8"/>
    <n v="7000"/>
    <n v="875"/>
    <n v="7500"/>
    <n v="7500"/>
    <n v="0"/>
    <n v="0"/>
    <n v="0"/>
    <n v="0"/>
    <n v="0"/>
    <n v="0"/>
    <n v="1"/>
    <n v="7500"/>
    <n v="1.0714285714285714"/>
    <x v="36"/>
    <n v="0"/>
    <n v="0"/>
    <s v=" "/>
    <n v="0"/>
    <n v="0"/>
    <n v="1"/>
    <n v="0.66666666666666663"/>
    <n v="7.333333333333333"/>
    <n v="0.91666666666666663"/>
    <n v="937.5"/>
    <n v="3.5"/>
    <n v="3.52"/>
    <n v="0.99431818181818177"/>
    <n v="0.91145833333333326"/>
  </r>
  <r>
    <x v="0"/>
    <d v="2021-08-31T00:00:00"/>
    <s v="B"/>
    <x v="9"/>
    <x v="31"/>
    <m/>
    <s v="INJ-1"/>
    <s v="HOOD S TYPE MOLDED"/>
    <s v="EH31Hb"/>
    <s v="Saurav"/>
    <n v="8"/>
    <n v="4137"/>
    <n v="517.125"/>
    <n v="4506"/>
    <n v="4500"/>
    <n v="0"/>
    <n v="0"/>
    <n v="0"/>
    <n v="0"/>
    <n v="6"/>
    <n v="0"/>
    <n v="1"/>
    <n v="4500"/>
    <n v="1.0877447425670776"/>
    <x v="1"/>
    <n v="8.6"/>
    <n v="38.751600000000003"/>
    <n v="0.99866844207723038"/>
    <n v="1.3315579227696406E-3"/>
    <n v="0"/>
    <n v="0.99866844207723038"/>
    <n v="0"/>
    <n v="8"/>
    <n v="1"/>
    <n v="562.5"/>
    <n v="6"/>
    <n v="6.4"/>
    <n v="0.9375"/>
    <n v="0.93625166444740349"/>
  </r>
  <r>
    <x v="0"/>
    <d v="2021-08-31T00:00:00"/>
    <s v="B"/>
    <x v="2"/>
    <x v="48"/>
    <m/>
    <s v="PC1"/>
    <s v="NIPPLE S TYPE L SIZE POSTCURED"/>
    <s v="HEH31NaH31Pb"/>
    <s v="Saurav"/>
    <n v="2.5"/>
    <n v="4000"/>
    <n v="1600"/>
    <n v="4000"/>
    <n v="4000"/>
    <n v="0"/>
    <n v="0"/>
    <n v="0"/>
    <n v="0"/>
    <n v="0"/>
    <n v="0"/>
    <n v="1"/>
    <n v="4000"/>
    <n v="1"/>
    <x v="35"/>
    <n v="0"/>
    <n v="0"/>
    <s v=" "/>
    <n v="0"/>
    <n v="0"/>
    <n v="1"/>
    <n v="0"/>
    <n v="2.5"/>
    <n v="1"/>
    <n v="1600"/>
    <n v="2.2999999999999998"/>
    <n v="2.25"/>
    <n v="1.0222222222222221"/>
    <n v="1.0222222222222221"/>
  </r>
  <r>
    <x v="0"/>
    <d v="2021-08-31T00:00:00"/>
    <s v="G"/>
    <x v="6"/>
    <x v="57"/>
    <m/>
    <m/>
    <s v="RPP 120ML BOY BLUE BOTTLE PRINTED (WM3GB)"/>
    <s v="EH28Ba1H31Pa"/>
    <s v="Pintu"/>
    <n v="3"/>
    <n v="650"/>
    <n v="216.66666666666666"/>
    <n v="682"/>
    <n v="670"/>
    <n v="0"/>
    <n v="0"/>
    <n v="7"/>
    <n v="0"/>
    <n v="12"/>
    <n v="0"/>
    <n v="6"/>
    <n v="111.66666666666667"/>
    <n v="1.0307692307692307"/>
    <x v="30"/>
    <n v="0"/>
    <n v="0"/>
    <s v=" "/>
    <n v="1.7595307917888565E-2"/>
    <n v="0"/>
    <n v="0.98240469208211145"/>
    <n v="1.8333333333333333"/>
    <n v="1.1666666666666667"/>
    <n v="0.3888888888888889"/>
    <n v="223.33333333333334"/>
    <n v="32.4"/>
    <n v="37.611940298507463"/>
    <n v="0.86142857142857143"/>
    <n v="0.32910557184750733"/>
  </r>
  <r>
    <x v="0"/>
    <d v="2021-08-31T00:00:00"/>
    <s v="G"/>
    <x v="6"/>
    <x v="58"/>
    <m/>
    <m/>
    <s v="RPP 120ML GIRL PINK BOTTLE PRINTED (WM3GB)"/>
    <s v="EH27Bb1H31Pa"/>
    <s v="Pintu"/>
    <n v="4"/>
    <n v="1100"/>
    <n v="275"/>
    <n v="1193"/>
    <n v="1171"/>
    <n v="0"/>
    <n v="0"/>
    <n v="18"/>
    <n v="0"/>
    <n v="22"/>
    <n v="0"/>
    <n v="6"/>
    <n v="195.16666666666666"/>
    <n v="1.0645454545454545"/>
    <x v="34"/>
    <n v="0"/>
    <n v="0"/>
    <s v=" "/>
    <n v="1.8440905280804692E-2"/>
    <n v="0"/>
    <n v="0.98155909471919534"/>
    <n v="1.8333333333333333"/>
    <n v="2.166666666666667"/>
    <n v="0.54166666666666674"/>
    <n v="292.75"/>
    <n v="32.4"/>
    <n v="39.965841161400519"/>
    <n v="0.81069230769230749"/>
    <n v="0.43102713746856663"/>
  </r>
  <r>
    <x v="0"/>
    <d v="2021-08-31T00:00:00"/>
    <s v="G"/>
    <x v="6"/>
    <x v="59"/>
    <m/>
    <m/>
    <s v="RPP 120ML GRL PNK BOTLE PNTD WM3GB W/BIS LOGO"/>
    <s v="EH27Bb1H31Pa"/>
    <s v="Pintu"/>
    <n v="0.5"/>
    <n v="210"/>
    <n v="420"/>
    <n v="7"/>
    <n v="7"/>
    <n v="0"/>
    <n v="0"/>
    <n v="0"/>
    <n v="0"/>
    <n v="0"/>
    <n v="0"/>
    <n v="1"/>
    <n v="7"/>
    <n v="3.3333333333333333E-2"/>
    <x v="34"/>
    <n v="0"/>
    <n v="0"/>
    <s v=" "/>
    <n v="0"/>
    <n v="0"/>
    <n v="1"/>
    <n v="0.41666666666666669"/>
    <n v="8.3333333333333315E-2"/>
    <n v="0.16666666666666663"/>
    <n v="14"/>
    <n v="32.4"/>
    <n v="42.857142857142847"/>
    <n v="0.75600000000000012"/>
    <n v="0.126"/>
  </r>
  <r>
    <x v="0"/>
    <d v="2021-08-31T00:00:00"/>
    <s v="G"/>
    <x v="6"/>
    <x v="39"/>
    <m/>
    <m/>
    <s v="RPP 120ML BOY BLUE BOTLE PNTD WM3GB W/BIS LOGO"/>
    <s v="EH28Bb1H31Pa"/>
    <s v="Pintu"/>
    <n v="1"/>
    <n v="215"/>
    <n v="215"/>
    <n v="51"/>
    <n v="51"/>
    <n v="0"/>
    <n v="0"/>
    <n v="0"/>
    <n v="0"/>
    <n v="0"/>
    <n v="0"/>
    <n v="1"/>
    <n v="51"/>
    <n v="0.23720930232558141"/>
    <x v="30"/>
    <n v="0"/>
    <n v="0"/>
    <s v=" "/>
    <n v="0"/>
    <n v="0"/>
    <n v="1"/>
    <n v="0.5"/>
    <n v="0.5"/>
    <n v="0.5"/>
    <n v="51"/>
    <n v="32.4"/>
    <n v="35.294117647058826"/>
    <n v="0.91799999999999993"/>
    <n v="0.45899999999999996"/>
  </r>
  <r>
    <x v="0"/>
    <d v="2021-08-31T00:00:00"/>
    <s v="G"/>
    <x v="6"/>
    <x v="21"/>
    <m/>
    <m/>
    <s v="KPP 240 ML BOTTLE PRINTED"/>
    <s v="EH19Bb2H31Pa"/>
    <s v="Pintu"/>
    <n v="1.2999999999999998"/>
    <n v="630"/>
    <n v="484.6153846153847"/>
    <n v="630"/>
    <n v="595"/>
    <n v="0"/>
    <n v="0"/>
    <n v="0"/>
    <n v="0"/>
    <n v="35"/>
    <n v="0"/>
    <n v="6"/>
    <n v="99.166666666666671"/>
    <n v="0.94444444444444442"/>
    <x v="16"/>
    <n v="0"/>
    <n v="0"/>
    <s v=" "/>
    <n v="5.5555555555555552E-2"/>
    <n v="0"/>
    <n v="0.94444444444444442"/>
    <n v="0.5"/>
    <n v="0.79999999999999982"/>
    <n v="0.61538461538461531"/>
    <n v="457.69230769230774"/>
    <n v="32.4"/>
    <n v="29.042016806722682"/>
    <n v="1.1156250000000003"/>
    <n v="0.64839743589743604"/>
  </r>
  <r>
    <x v="1"/>
    <d v="2021-09-02T00:00:00"/>
    <s v="A"/>
    <x v="8"/>
    <x v="50"/>
    <m/>
    <s v="LZ1"/>
    <s v="NIPPLE S TYPE L SIZE PUNCHED LASER MARKED"/>
    <s v="HEH28AG22"/>
    <s v="Himanshu"/>
    <n v="8"/>
    <n v="7036"/>
    <n v="879.5"/>
    <n v="6200"/>
    <n v="6200"/>
    <n v="0"/>
    <n v="0"/>
    <n v="0"/>
    <n v="0"/>
    <n v="0"/>
    <n v="0"/>
    <n v="1"/>
    <n v="6200"/>
    <n v="0.88118249005116545"/>
    <x v="22"/>
    <n v="0"/>
    <n v="0"/>
    <s v=" "/>
    <n v="0"/>
    <n v="0"/>
    <n v="1"/>
    <n v="1.6666666666666667"/>
    <n v="6.333333333333333"/>
    <n v="0.79166666666666663"/>
    <n v="775"/>
    <n v="3.5"/>
    <n v="3.6774193548387095"/>
    <n v="0.95175438596491235"/>
    <n v="0.75347222222222221"/>
  </r>
  <r>
    <x v="1"/>
    <d v="2021-09-02T00:00:00"/>
    <s v="A"/>
    <x v="0"/>
    <x v="60"/>
    <s v="M2"/>
    <s v="L2"/>
    <s v="NIPPLE S TYPE Y SIZE INJECTION"/>
    <s v="EI02Na"/>
    <s v="Himanshu"/>
    <n v="8"/>
    <n v="4815"/>
    <n v="601.875"/>
    <n v="4136"/>
    <n v="4000"/>
    <n v="0.3"/>
    <n v="79"/>
    <n v="0"/>
    <n v="0"/>
    <n v="49"/>
    <n v="8"/>
    <n v="1"/>
    <n v="4000"/>
    <n v="0.83073727933541019"/>
    <x v="0"/>
    <n v="6.8"/>
    <n v="28.424799999999998"/>
    <n v="0.95691086656722302"/>
    <n v="1.2101753519387503E-2"/>
    <n v="1.8742586002372479E-2"/>
    <n v="0.98815280464216637"/>
    <n v="2"/>
    <n v="6"/>
    <n v="0.75"/>
    <n v="500"/>
    <n v="5.25"/>
    <n v="5.4"/>
    <n v="0.97222222222222221"/>
    <n v="0.72052808671824631"/>
  </r>
  <r>
    <x v="1"/>
    <d v="2021-09-02T00:00:00"/>
    <s v="A"/>
    <x v="3"/>
    <x v="49"/>
    <m/>
    <s v="P1"/>
    <s v="NIPPLE S TYPE L SIZE PUNCHED"/>
    <s v="HEH31NaH31PbI02Pa"/>
    <s v="Himanshu"/>
    <n v="8"/>
    <n v="7036"/>
    <n v="879.5"/>
    <n v="6210"/>
    <n v="6185"/>
    <n v="0"/>
    <n v="0"/>
    <n v="0"/>
    <n v="0"/>
    <n v="25"/>
    <n v="0"/>
    <n v="1"/>
    <n v="6185"/>
    <n v="0.87905059693007392"/>
    <x v="36"/>
    <n v="0"/>
    <n v="0"/>
    <s v=" "/>
    <n v="4.0257648953301124E-3"/>
    <n v="0"/>
    <n v="0.99597423510466987"/>
    <n v="0.66666666666666663"/>
    <n v="7.333333333333333"/>
    <n v="0.91666666666666663"/>
    <n v="773.125"/>
    <n v="3.5"/>
    <n v="4.268391269199677"/>
    <n v="0.81998106060606057"/>
    <n v="0.7486233421676507"/>
  </r>
  <r>
    <x v="1"/>
    <d v="2021-09-02T00:00:00"/>
    <s v="A"/>
    <x v="1"/>
    <x v="43"/>
    <s v="BM5"/>
    <s v="B2"/>
    <s v="RPP 240ML PINK BOTTLE MOLDED (WM3GB)"/>
    <s v="EI02BA2"/>
    <s v="Himanshu"/>
    <n v="8"/>
    <n v="2574"/>
    <n v="321.75"/>
    <n v="1092"/>
    <n v="960"/>
    <n v="0.37"/>
    <n v="70"/>
    <n v="0"/>
    <n v="0"/>
    <n v="54"/>
    <n v="8"/>
    <n v="1"/>
    <n v="960"/>
    <n v="0.37296037296037299"/>
    <x v="7"/>
    <n v="33.130000000000003"/>
    <n v="36.547959999999996"/>
    <n v="0.87022093709197457"/>
    <n v="5.3254437869822487E-2"/>
    <n v="6.0240963855421686E-2"/>
    <n v="0.9505494505494505"/>
    <n v="5.5"/>
    <n v="2.5"/>
    <n v="0.3125"/>
    <n v="120"/>
    <n v="9"/>
    <n v="9.375"/>
    <n v="0.96"/>
    <n v="0.28516483516483515"/>
  </r>
  <r>
    <x v="1"/>
    <d v="2021-09-02T00:00:00"/>
    <s v="A"/>
    <x v="9"/>
    <x v="31"/>
    <m/>
    <s v="INJ1"/>
    <s v="HOOD S TYPE MOLDED"/>
    <s v="EI02Ha"/>
    <s v="Himanshu"/>
    <n v="8"/>
    <n v="4137"/>
    <n v="517.125"/>
    <n v="5005"/>
    <n v="5000"/>
    <n v="0.1"/>
    <n v="5"/>
    <n v="0"/>
    <n v="0"/>
    <n v="0"/>
    <n v="0"/>
    <n v="1"/>
    <n v="5000"/>
    <n v="1.2086052695189751"/>
    <x v="1"/>
    <n v="8.6"/>
    <n v="43.143000000000001"/>
    <n v="0.99668544143893567"/>
    <n v="0"/>
    <n v="9.9800399201596798E-4"/>
    <n v="1"/>
    <n v="0"/>
    <n v="8"/>
    <n v="1"/>
    <n v="625"/>
    <n v="6"/>
    <n v="5.76"/>
    <n v="1.0416666666666667"/>
    <n v="1.0416666666666667"/>
  </r>
  <r>
    <x v="1"/>
    <d v="2021-09-02T00:00:00"/>
    <s v="A"/>
    <x v="2"/>
    <x v="48"/>
    <m/>
    <s v="PC1"/>
    <s v="NIPPLE S TYPE L SIZE POSTCURED"/>
    <s v="HEH31NbI02"/>
    <s v="Himanshu"/>
    <n v="8"/>
    <n v="7000"/>
    <n v="875"/>
    <n v="4300"/>
    <n v="4300"/>
    <n v="0"/>
    <n v="0"/>
    <n v="0"/>
    <n v="0"/>
    <n v="0"/>
    <n v="0"/>
    <n v="1"/>
    <n v="4300"/>
    <n v="0.61428571428571432"/>
    <x v="35"/>
    <n v="0"/>
    <n v="0"/>
    <s v=" "/>
    <n v="0"/>
    <n v="0"/>
    <n v="1"/>
    <n v="4.666666666666667"/>
    <n v="3.333333333333333"/>
    <n v="0.41666666666666663"/>
    <n v="537.5"/>
    <n v="2.2999999999999998"/>
    <n v="2.7906976744186043"/>
    <n v="0.82416666666666671"/>
    <n v="0.34340277777777778"/>
  </r>
  <r>
    <x v="1"/>
    <d v="2021-09-02T00:00:00"/>
    <s v="G"/>
    <x v="4"/>
    <x v="51"/>
    <m/>
    <m/>
    <s v="NIPPLE S TYPE L SIZE PUNCHED INSPECTED"/>
    <s v="HEH27CG22,"/>
    <s v="Nitin"/>
    <n v="8"/>
    <n v="14000"/>
    <n v="1750"/>
    <n v="8400"/>
    <n v="8309"/>
    <n v="0"/>
    <n v="0"/>
    <n v="0"/>
    <n v="0"/>
    <n v="91"/>
    <n v="0"/>
    <n v="2"/>
    <n v="4154.5"/>
    <n v="0.59350000000000003"/>
    <x v="37"/>
    <n v="0"/>
    <n v="0"/>
    <s v=" "/>
    <n v="1.0833333333333334E-2"/>
    <n v="0"/>
    <n v="0.98916666666666664"/>
    <n v="2.5"/>
    <n v="5.5"/>
    <n v="0.6875"/>
    <n v="1038.625"/>
    <n v="4"/>
    <n v="4.7659164761102417"/>
    <n v="0.83929292929292931"/>
    <n v="0.57076290509259264"/>
  </r>
  <r>
    <x v="1"/>
    <d v="2021-09-02T00:00:00"/>
    <s v="G"/>
    <x v="6"/>
    <x v="61"/>
    <m/>
    <s v="PR1"/>
    <s v="KPP 240 BOTTLE PRINTED-WMG3B (OZ SCALE)"/>
    <s v="EG22BA2I02PA"/>
    <s v="Nitin"/>
    <n v="6.5"/>
    <n v="4400"/>
    <n v="676.92307692307691"/>
    <n v="4199"/>
    <n v="4144"/>
    <n v="0"/>
    <n v="0"/>
    <n v="24"/>
    <n v="0"/>
    <n v="55"/>
    <n v="0"/>
    <n v="6"/>
    <n v="690.66666666666663"/>
    <n v="0.94181818181818178"/>
    <x v="17"/>
    <n v="0"/>
    <n v="0"/>
    <s v=" "/>
    <n v="1.3098356751607526E-2"/>
    <n v="0"/>
    <n v="0.98690164324839247"/>
    <n v="0.83333333333333337"/>
    <n v="5.666666666666667"/>
    <n v="0.87179487179487181"/>
    <n v="637.53846153846155"/>
    <n v="32.4"/>
    <n v="29.536679536679536"/>
    <n v="1.0969411764705883"/>
    <n v="0.94378163298953976"/>
  </r>
  <r>
    <x v="1"/>
    <d v="2021-09-02T00:00:00"/>
    <s v="G"/>
    <x v="6"/>
    <x v="62"/>
    <m/>
    <s v="PR1"/>
    <s v="KPP 120 BOTTLE PRINTED-WMG3B (OZ SCALE)"/>
    <s v="EF17BA1I02PA"/>
    <s v="Nitin"/>
    <n v="2"/>
    <n v="500"/>
    <n v="250"/>
    <n v="545"/>
    <n v="540"/>
    <n v="0"/>
    <n v="0"/>
    <n v="4"/>
    <n v="0"/>
    <n v="5"/>
    <n v="0"/>
    <n v="6"/>
    <n v="90"/>
    <n v="1.08"/>
    <x v="39"/>
    <n v="0"/>
    <n v="0"/>
    <s v=" "/>
    <n v="9.1743119266055051E-3"/>
    <n v="0"/>
    <n v="0.99082568807339455"/>
    <n v="1.1666666666666667"/>
    <n v="0.83333333333333326"/>
    <n v="0.41666666666666663"/>
    <n v="270"/>
    <n v="32.4"/>
    <n v="33.333333333333336"/>
    <n v="0.97199999999999986"/>
    <n v="0.40128440366972468"/>
  </r>
  <r>
    <x v="1"/>
    <d v="2021-09-02T00:00:00"/>
    <s v="B"/>
    <x v="8"/>
    <x v="50"/>
    <m/>
    <s v="LZ1"/>
    <s v="NIPPLE S TYPE L SIZE PUNCHED LASER MARKED"/>
    <s v="HEH28AG22"/>
    <s v="Nitin"/>
    <n v="8"/>
    <n v="7036"/>
    <n v="879.5"/>
    <n v="7200"/>
    <n v="7200"/>
    <n v="0"/>
    <n v="0"/>
    <n v="0"/>
    <n v="0"/>
    <n v="0"/>
    <n v="0"/>
    <n v="1"/>
    <n v="7200"/>
    <n v="1.0233086981239341"/>
    <x v="22"/>
    <n v="0"/>
    <n v="0"/>
    <s v=" "/>
    <n v="0"/>
    <n v="0"/>
    <n v="1"/>
    <n v="0.66666666666666663"/>
    <n v="7.333333333333333"/>
    <n v="0.91666666666666663"/>
    <n v="900"/>
    <n v="3.5"/>
    <n v="3.6666666666666665"/>
    <n v="0.95454545454545459"/>
    <n v="0.875"/>
  </r>
  <r>
    <x v="1"/>
    <d v="2021-09-02T00:00:00"/>
    <s v="B"/>
    <x v="3"/>
    <x v="49"/>
    <m/>
    <s v="P1"/>
    <s v="NIPPLE S TYPE L SIZE PUNCHED"/>
    <s v="HEH28NbH31PaI02Pb"/>
    <s v="Nitin"/>
    <n v="4.5"/>
    <n v="4036"/>
    <n v="896.88888888888891"/>
    <n v="4300"/>
    <n v="4300"/>
    <n v="0"/>
    <n v="0"/>
    <n v="0"/>
    <n v="0"/>
    <n v="0"/>
    <n v="0"/>
    <n v="1"/>
    <n v="4300"/>
    <n v="1.0654112983151636"/>
    <x v="36"/>
    <n v="0"/>
    <n v="0"/>
    <s v=" "/>
    <n v="0"/>
    <n v="0"/>
    <n v="1"/>
    <n v="0.66666666666666663"/>
    <n v="3.8333333333333335"/>
    <n v="0.85185185185185186"/>
    <n v="955.55555555555554"/>
    <n v="3.5"/>
    <n v="3.2093023255813953"/>
    <n v="1.0905797101449275"/>
    <n v="0.92901234567901236"/>
  </r>
  <r>
    <x v="1"/>
    <d v="2021-09-02T00:00:00"/>
    <s v="B"/>
    <x v="3"/>
    <x v="63"/>
    <m/>
    <s v="P1"/>
    <s v="NIPPLE S TYPE Y SIZE PUNCHED"/>
    <s v="HEI02NaI02PBI02PB"/>
    <s v="Nitin"/>
    <n v="3.5"/>
    <n v="3000"/>
    <n v="857.14285714285711"/>
    <n v="2000"/>
    <n v="2000"/>
    <n v="0"/>
    <n v="0"/>
    <n v="0"/>
    <n v="0"/>
    <n v="0"/>
    <n v="0"/>
    <n v="1"/>
    <n v="2000"/>
    <n v="0.66666666666666663"/>
    <x v="40"/>
    <n v="0"/>
    <n v="0"/>
    <s v=" "/>
    <n v="0"/>
    <n v="0"/>
    <n v="1"/>
    <n v="1.1666666666666667"/>
    <n v="2.333333333333333"/>
    <n v="0.66666666666666663"/>
    <n v="571.42857142857144"/>
    <n v="3.5"/>
    <n v="4.1999999999999993"/>
    <n v="0.83333333333333348"/>
    <n v="0.55555555555555558"/>
  </r>
  <r>
    <x v="1"/>
    <d v="2021-09-02T00:00:00"/>
    <s v="B"/>
    <x v="0"/>
    <x v="60"/>
    <s v="M2"/>
    <s v="L2"/>
    <s v="NIPPLE S TYPE Y SIZE INJECTION"/>
    <s v="HEI02Nb"/>
    <s v="Nitin"/>
    <n v="8"/>
    <n v="4815"/>
    <n v="601.875"/>
    <n v="2300"/>
    <n v="2220"/>
    <n v="0.62"/>
    <n v="42"/>
    <n v="0"/>
    <n v="0"/>
    <n v="30"/>
    <n v="8"/>
    <n v="1"/>
    <n v="2220"/>
    <n v="0.46105919003115264"/>
    <x v="0"/>
    <n v="6.8"/>
    <n v="16.259999999999998"/>
    <n v="0.9284132841328413"/>
    <n v="1.3333333333333334E-2"/>
    <n v="1.7933390264730998E-2"/>
    <n v="0.9869565217391304"/>
    <n v="4"/>
    <n v="4"/>
    <n v="0.5"/>
    <n v="277.5"/>
    <n v="5.25"/>
    <n v="6.4864864864864868"/>
    <n v="0.80937499999999996"/>
    <n v="0.39940896739130433"/>
  </r>
  <r>
    <x v="1"/>
    <d v="2021-09-02T00:00:00"/>
    <s v="B"/>
    <x v="1"/>
    <x v="43"/>
    <s v="BM5"/>
    <s v="B2"/>
    <s v="RPP 240ML PINK BOTTLE MOLDED (WM3GB)"/>
    <s v="EI02BB2"/>
    <s v="Nitin"/>
    <n v="8"/>
    <n v="2503"/>
    <n v="312.875"/>
    <n v="2673"/>
    <n v="2520"/>
    <n v="1.4"/>
    <n v="70"/>
    <n v="0"/>
    <n v="0"/>
    <n v="83"/>
    <n v="0"/>
    <n v="1"/>
    <n v="2520"/>
    <n v="1.0067918497802637"/>
    <x v="7"/>
    <n v="33.130000000000003"/>
    <n v="89.956490000000002"/>
    <n v="0.92808867931596706"/>
    <n v="3.1886285055704955E-2"/>
    <n v="2.5519504192489974E-2"/>
    <n v="0.96894874672652453"/>
    <n v="0.5"/>
    <n v="7.5"/>
    <n v="0.9375"/>
    <n v="315"/>
    <n v="9"/>
    <n v="10.714285714285714"/>
    <n v="0.84000000000000008"/>
    <n v="0.76304713804713808"/>
  </r>
  <r>
    <x v="1"/>
    <d v="2021-09-02T00:00:00"/>
    <s v="B"/>
    <x v="2"/>
    <x v="64"/>
    <m/>
    <s v="PC1"/>
    <s v="NIPPLE S TYPE Y SIZE POSTCURED"/>
    <s v="HEI02NaI02Pb"/>
    <s v="Nitin"/>
    <n v="8"/>
    <n v="7000"/>
    <n v="875"/>
    <n v="6220"/>
    <n v="6220"/>
    <n v="0"/>
    <n v="0"/>
    <n v="0"/>
    <n v="0"/>
    <n v="0"/>
    <n v="0"/>
    <n v="1"/>
    <n v="6220"/>
    <n v="0.88857142857142857"/>
    <x v="41"/>
    <n v="0"/>
    <n v="0"/>
    <s v=" "/>
    <n v="0"/>
    <n v="0"/>
    <n v="1"/>
    <n v="3.1666666666666665"/>
    <n v="4.8333333333333339"/>
    <n v="0.60416666666666674"/>
    <n v="777.5"/>
    <n v="2.2999999999999998"/>
    <n v="2.7974276527331194"/>
    <n v="0.82218390804597685"/>
    <n v="0.4967361111111111"/>
  </r>
  <r>
    <x v="1"/>
    <d v="2021-09-02T00:00:00"/>
    <s v="B"/>
    <x v="9"/>
    <x v="31"/>
    <m/>
    <s v="INJ1"/>
    <s v="HOOD S TYPE MOLDED"/>
    <s v="EI02Hb"/>
    <s v="Nitin"/>
    <n v="8"/>
    <n v="4137"/>
    <n v="517.125"/>
    <n v="5012"/>
    <n v="5000"/>
    <n v="0"/>
    <n v="0"/>
    <n v="0"/>
    <n v="0"/>
    <n v="12"/>
    <n v="0"/>
    <n v="1"/>
    <n v="5000"/>
    <n v="1.2086052695189751"/>
    <x v="1"/>
    <n v="8.6"/>
    <n v="43.103200000000001"/>
    <n v="0.99760574620909814"/>
    <n v="2.3942537909018356E-3"/>
    <n v="0"/>
    <n v="0.99760574620909814"/>
    <n v="0"/>
    <n v="8"/>
    <n v="1"/>
    <n v="625"/>
    <n v="6"/>
    <n v="5.76"/>
    <n v="1.0416666666666667"/>
    <n v="1.039172652301144"/>
  </r>
  <r>
    <x v="1"/>
    <d v="2021-09-02T00:00:00"/>
    <s v="C"/>
    <x v="1"/>
    <x v="43"/>
    <s v="BM5"/>
    <s v="B2"/>
    <s v="RPP 240ML PINK BOTTLE MOLDED (WM3GB)"/>
    <s v="EI02Bc2"/>
    <s v="Saurabh"/>
    <n v="8"/>
    <n v="2503"/>
    <n v="312.875"/>
    <n v="1795"/>
    <n v="1680"/>
    <n v="1.6"/>
    <n v="66"/>
    <n v="0"/>
    <n v="0"/>
    <n v="41"/>
    <n v="8"/>
    <n v="1"/>
    <n v="1680"/>
    <n v="0.67119456652017584"/>
    <x v="7"/>
    <n v="33.130000000000003"/>
    <n v="61.068350000000002"/>
    <n v="0.91141155770542348"/>
    <n v="2.3823358512492735E-2"/>
    <n v="3.5464803868887694E-2"/>
    <n v="0.97715877437325904"/>
    <n v="3.8333333333333335"/>
    <n v="4.1666666666666661"/>
    <n v="0.52083333333333326"/>
    <n v="210"/>
    <n v="9"/>
    <n v="8.928571428571427"/>
    <n v="1.0080000000000002"/>
    <n v="0.51300835654596111"/>
  </r>
  <r>
    <x v="1"/>
    <d v="2021-09-02T00:00:00"/>
    <s v="C"/>
    <x v="9"/>
    <x v="31"/>
    <m/>
    <s v="INJ1"/>
    <s v="HOOD S TYPE MOLDED"/>
    <s v="EI02Hc"/>
    <s v="Saurabh"/>
    <n v="8"/>
    <n v="4137"/>
    <n v="517.125"/>
    <n v="5619"/>
    <n v="5600"/>
    <n v="0"/>
    <n v="0"/>
    <n v="0"/>
    <n v="0"/>
    <n v="11"/>
    <n v="8"/>
    <n v="1"/>
    <n v="5600"/>
    <n v="1.3536379018612521"/>
    <x v="1"/>
    <n v="8.6"/>
    <n v="48.323399999999999"/>
    <n v="0.99661861541199492"/>
    <n v="1.9604348600962395E-3"/>
    <n v="0"/>
    <n v="0.99804235629115501"/>
    <n v="0"/>
    <n v="8"/>
    <n v="1"/>
    <n v="700"/>
    <n v="6"/>
    <n v="5.1428571428571432"/>
    <n v="1.1666666666666665"/>
    <n v="1.1643827490063474"/>
  </r>
  <r>
    <x v="1"/>
    <d v="2021-09-03T00:00:00"/>
    <s v="A"/>
    <x v="1"/>
    <x v="43"/>
    <s v="BM5"/>
    <s v="B2"/>
    <s v="RPP 240ML PINK BOTTLE MOLDED (WM3GB)"/>
    <s v="EI03Ba2"/>
    <s v="Himanshu"/>
    <n v="8"/>
    <n v="2574"/>
    <n v="321.75"/>
    <n v="2190"/>
    <n v="2040"/>
    <n v="1.2"/>
    <n v="76"/>
    <n v="0"/>
    <n v="0"/>
    <n v="66"/>
    <n v="8"/>
    <n v="1"/>
    <n v="2040"/>
    <n v="0.79254079254079257"/>
    <x v="7"/>
    <n v="33.130000000000003"/>
    <n v="73.7547"/>
    <n v="0.9163510935574275"/>
    <n v="3.1339031339031341E-2"/>
    <n v="3.3539276257722857E-2"/>
    <n v="0.96986301369863015"/>
    <n v="2"/>
    <n v="6"/>
    <n v="0.75"/>
    <n v="255"/>
    <n v="9"/>
    <n v="10.588235294117647"/>
    <n v="0.85"/>
    <n v="0.61828767123287676"/>
  </r>
  <r>
    <x v="1"/>
    <d v="2021-09-03T00:00:00"/>
    <s v="A"/>
    <x v="0"/>
    <x v="0"/>
    <s v="M2"/>
    <s v="L1"/>
    <s v="NIPPLE S TYPE M SIZE INJECTION"/>
    <s v="HEI03Na"/>
    <s v="Himanshu"/>
    <n v="8"/>
    <n v="4815"/>
    <n v="601.875"/>
    <n v="3358"/>
    <n v="3200"/>
    <n v="1"/>
    <n v="90"/>
    <n v="0"/>
    <n v="0"/>
    <n v="60"/>
    <n v="8"/>
    <n v="1"/>
    <n v="3200"/>
    <n v="0.66458982346832818"/>
    <x v="0"/>
    <n v="6.8"/>
    <n v="23.834399999999999"/>
    <n v="0.91296613298425799"/>
    <n v="1.8404907975460124E-2"/>
    <n v="2.6102088167053363E-2"/>
    <n v="0.98213222156045266"/>
    <n v="2.5"/>
    <n v="5.5"/>
    <n v="0.6875"/>
    <n v="400"/>
    <n v="5.25"/>
    <n v="6.1875"/>
    <n v="0.84848484848484851"/>
    <n v="0.57291046257693068"/>
  </r>
  <r>
    <x v="1"/>
    <d v="2021-09-03T00:00:00"/>
    <s v="A"/>
    <x v="9"/>
    <x v="31"/>
    <m/>
    <s v="INJ1"/>
    <s v="HOOD S TYPE MOLDED"/>
    <s v="EI03Ha"/>
    <s v="Himanshu"/>
    <n v="8"/>
    <n v="4137"/>
    <n v="517.125"/>
    <n v="5512"/>
    <n v="5500"/>
    <n v="0"/>
    <n v="0"/>
    <n v="0"/>
    <n v="0"/>
    <n v="4"/>
    <n v="8"/>
    <n v="1"/>
    <n v="5500"/>
    <n v="1.3294657964708727"/>
    <x v="1"/>
    <n v="8.6"/>
    <n v="47.403199999999998"/>
    <n v="0.99782293178519588"/>
    <n v="7.2674418604651162E-4"/>
    <n v="0"/>
    <n v="0.99927431059506533"/>
    <n v="0"/>
    <n v="8"/>
    <n v="1"/>
    <n v="687.5"/>
    <n v="6"/>
    <n v="5.2363636363636363"/>
    <n v="1.1458333333333333"/>
    <n v="1.1450018142235123"/>
  </r>
  <r>
    <x v="1"/>
    <d v="2021-09-03T00:00:00"/>
    <s v="A"/>
    <x v="8"/>
    <x v="50"/>
    <m/>
    <s v="LZ1"/>
    <s v="NIPPLE S TYPE L SIZE PUNCHED LASER MARKED"/>
    <s v="HEH31AG22"/>
    <s v="Himanshu"/>
    <n v="8"/>
    <n v="7000"/>
    <n v="875"/>
    <n v="6710"/>
    <n v="6710"/>
    <n v="0"/>
    <n v="0"/>
    <n v="0"/>
    <n v="0"/>
    <n v="0"/>
    <n v="0"/>
    <n v="1"/>
    <n v="6710"/>
    <n v="0.95857142857142852"/>
    <x v="22"/>
    <n v="0"/>
    <n v="0"/>
    <s v=" "/>
    <n v="0"/>
    <n v="0"/>
    <n v="1"/>
    <n v="1.6666666666666667"/>
    <n v="6.333333333333333"/>
    <n v="0.79166666666666663"/>
    <n v="838.75"/>
    <n v="3.5"/>
    <n v="3.3979135618479881"/>
    <n v="1.0300438596491228"/>
    <n v="0.81545138888888891"/>
  </r>
  <r>
    <x v="1"/>
    <d v="2021-09-03T00:00:00"/>
    <s v="A"/>
    <x v="3"/>
    <x v="63"/>
    <m/>
    <s v="P1"/>
    <s v="NIPPLE S TYPE Y SIZE PUNCHED"/>
    <s v="HEI02NbI02PbI03Pa"/>
    <s v="Himanshu"/>
    <n v="8"/>
    <n v="7000"/>
    <n v="875"/>
    <n v="4210"/>
    <n v="4210"/>
    <n v="0"/>
    <n v="0"/>
    <n v="0"/>
    <n v="0"/>
    <n v="0"/>
    <n v="0"/>
    <n v="1"/>
    <n v="4210"/>
    <n v="0.60142857142857142"/>
    <x v="40"/>
    <n v="0"/>
    <n v="0"/>
    <s v=" "/>
    <n v="0"/>
    <n v="0"/>
    <n v="1"/>
    <n v="3.6666666666666665"/>
    <n v="4.3333333333333339"/>
    <n v="0.54166666666666674"/>
    <n v="526.25"/>
    <n v="3.5"/>
    <n v="3.7054631828978626"/>
    <n v="0.94455128205128192"/>
    <n v="0.51163194444444449"/>
  </r>
  <r>
    <x v="1"/>
    <d v="2021-09-03T00:00:00"/>
    <s v="G"/>
    <x v="4"/>
    <x v="51"/>
    <m/>
    <m/>
    <s v="NIPPLE S TYPE L SIZE PUNCHED INSPECTED"/>
    <s v="HEH28BG22,HEH28CG22"/>
    <s v="Nitin"/>
    <n v="8.5"/>
    <n v="14000"/>
    <n v="1647.0588235294117"/>
    <n v="11710"/>
    <n v="11650"/>
    <n v="0"/>
    <n v="0"/>
    <n v="0"/>
    <n v="0"/>
    <n v="60"/>
    <n v="0"/>
    <n v="1"/>
    <n v="11650"/>
    <n v="0.83214285714285718"/>
    <x v="37"/>
    <n v="0"/>
    <n v="0"/>
    <s v=" "/>
    <n v="5.1238257899231428E-3"/>
    <n v="0"/>
    <n v="0.9948761742100769"/>
    <n v="0.83333333333333337"/>
    <n v="7.666666666666667"/>
    <n v="0.90196078431372551"/>
    <n v="1370.5882352941176"/>
    <n v="4"/>
    <n v="2.3690987124463518"/>
    <n v="1.6884057971014494"/>
    <n v="1.5150728666075028"/>
  </r>
  <r>
    <x v="1"/>
    <d v="2021-09-03T00:00:00"/>
    <s v="G"/>
    <x v="7"/>
    <x v="33"/>
    <m/>
    <s v="WR1"/>
    <s v="NIPPLE S TYPE S SIZE WITH PRINTED WRAP"/>
    <s v="HEH13AG22"/>
    <s v="Nitin"/>
    <n v="8.5"/>
    <n v="16132"/>
    <n v="1897.8823529411766"/>
    <n v="16171"/>
    <n v="16171"/>
    <n v="0"/>
    <n v="0"/>
    <n v="0"/>
    <n v="0"/>
    <n v="0"/>
    <n v="0"/>
    <n v="2"/>
    <n v="8085.5"/>
    <n v="1.0024175551698487"/>
    <x v="27"/>
    <n v="0"/>
    <n v="0"/>
    <s v=" "/>
    <n v="0"/>
    <n v="0"/>
    <n v="1"/>
    <n v="0.83333333333333337"/>
    <n v="7.666666666666667"/>
    <n v="0.90196078431372551"/>
    <n v="1902.4705882352941"/>
    <n v="2.5"/>
    <n v="3.413518026096098"/>
    <n v="0.7323822463768116"/>
    <n v="0.66058006535947711"/>
  </r>
  <r>
    <x v="1"/>
    <d v="2021-09-03T00:00:00"/>
    <s v="G"/>
    <x v="6"/>
    <x v="62"/>
    <m/>
    <s v="PR1"/>
    <s v="KPP 120 BOTTLE PRINTED-WMG3B (OZ SCALE)"/>
    <s v="EF17BA1I03PA"/>
    <s v="Nitin"/>
    <n v="3"/>
    <n v="1800"/>
    <n v="600"/>
    <n v="1779"/>
    <n v="1755"/>
    <n v="0"/>
    <n v="0"/>
    <n v="12"/>
    <n v="0"/>
    <n v="24"/>
    <n v="0"/>
    <n v="6"/>
    <n v="292.5"/>
    <n v="0.97499999999999998"/>
    <x v="39"/>
    <n v="0"/>
    <n v="0"/>
    <s v=" "/>
    <n v="1.3490725126475547E-2"/>
    <n v="0"/>
    <n v="0.98650927487352447"/>
    <n v="0"/>
    <n v="3"/>
    <n v="1"/>
    <n v="585"/>
    <n v="32.4"/>
    <n v="36.92307692307692"/>
    <n v="0.87750000000000006"/>
    <n v="0.86566188870151772"/>
  </r>
  <r>
    <x v="1"/>
    <d v="2021-09-03T00:00:00"/>
    <s v="G"/>
    <x v="6"/>
    <x v="55"/>
    <m/>
    <s v="PR1"/>
    <s v="KPP 120 BOTTLE PRINTED (WMG3B) W/O OZ &amp; W/BIS LOGO"/>
    <s v="EF17BA1I03PA"/>
    <s v="Nitin"/>
    <n v="0.7"/>
    <n v="200"/>
    <n v="285.71428571428572"/>
    <n v="196"/>
    <n v="196"/>
    <n v="0"/>
    <n v="0"/>
    <n v="0"/>
    <n v="0"/>
    <n v="0"/>
    <n v="0"/>
    <n v="6"/>
    <n v="32.666666666666664"/>
    <n v="0.98"/>
    <x v="39"/>
    <n v="0"/>
    <n v="0"/>
    <s v=" "/>
    <n v="0"/>
    <n v="0"/>
    <n v="1"/>
    <n v="0.41666666666666669"/>
    <n v="0.28333333333333327"/>
    <n v="0.40476190476190471"/>
    <n v="280"/>
    <n v="32.4"/>
    <n v="31.224489795918362"/>
    <n v="1.0376470588235296"/>
    <n v="0.42000000000000004"/>
  </r>
  <r>
    <x v="1"/>
    <d v="2021-09-03T00:00:00"/>
    <s v="G"/>
    <x v="6"/>
    <x v="22"/>
    <m/>
    <s v="PR1"/>
    <s v="KPP 240 BOTTLE PRINTED (WMG3B) W/O OZ &amp; W/BIS LOGO"/>
    <s v="EG22BA2I03PA"/>
    <s v="Nitin"/>
    <n v="0.3"/>
    <n v="5"/>
    <n v="16.666666666666668"/>
    <n v="5"/>
    <n v="5"/>
    <n v="0"/>
    <n v="0"/>
    <n v="0"/>
    <n v="0"/>
    <n v="0"/>
    <n v="0"/>
    <n v="6"/>
    <n v="0.83333333333333337"/>
    <n v="1"/>
    <x v="17"/>
    <n v="0"/>
    <n v="0"/>
    <s v=" "/>
    <n v="0"/>
    <n v="0"/>
    <n v="1"/>
    <n v="0"/>
    <n v="0.3"/>
    <n v="1"/>
    <n v="16.666666666666668"/>
    <n v="32.4"/>
    <n v="1295.9999999999998"/>
    <n v="2.5000000000000005E-2"/>
    <n v="2.5000000000000005E-2"/>
  </r>
  <r>
    <x v="1"/>
    <d v="2021-09-03T00:00:00"/>
    <s v="G"/>
    <x v="6"/>
    <x v="65"/>
    <m/>
    <s v="PR1"/>
    <s v="RPP 240ML GIRL PINK BOTTLE PRINTED (WM3GB)"/>
    <s v="EI02BA2I03PA"/>
    <s v="Nitin"/>
    <n v="2.5"/>
    <n v="1200"/>
    <n v="480"/>
    <n v="1133"/>
    <n v="1116"/>
    <n v="0"/>
    <n v="0"/>
    <n v="0"/>
    <n v="0"/>
    <n v="17"/>
    <n v="0"/>
    <n v="6"/>
    <n v="186"/>
    <n v="0.93"/>
    <x v="33"/>
    <n v="0"/>
    <n v="0"/>
    <s v=" "/>
    <n v="1.500441306266549E-2"/>
    <n v="0"/>
    <n v="0.98499558693733447"/>
    <n v="0.5"/>
    <n v="2"/>
    <n v="0.8"/>
    <n v="446.4"/>
    <n v="32.4"/>
    <n v="38.70967741935484"/>
    <n v="0.83699999999999997"/>
    <n v="0.65955304501323919"/>
  </r>
  <r>
    <x v="1"/>
    <d v="2021-09-03T00:00:00"/>
    <s v="G"/>
    <x v="6"/>
    <x v="41"/>
    <m/>
    <s v="PR1"/>
    <s v="RPP 240ML GRL PNK BOTLE PNTD WM3GB W/BIS LOGO"/>
    <s v="EI02BA2I03PA"/>
    <s v="Nitin"/>
    <n v="0.3"/>
    <n v="57"/>
    <n v="190"/>
    <n v="57"/>
    <n v="57"/>
    <n v="0"/>
    <n v="0"/>
    <n v="0"/>
    <n v="0"/>
    <n v="0"/>
    <n v="0"/>
    <n v="6"/>
    <n v="9.5"/>
    <n v="1"/>
    <x v="31"/>
    <n v="0"/>
    <n v="0"/>
    <s v=" "/>
    <n v="0"/>
    <n v="0"/>
    <n v="1"/>
    <n v="0.21666666666666667"/>
    <n v="8.3333333333333315E-2"/>
    <n v="0.27777777777777773"/>
    <n v="190"/>
    <n v="32.4"/>
    <n v="31.578947368421044"/>
    <n v="1.0260000000000002"/>
    <n v="0.28500000000000003"/>
  </r>
  <r>
    <x v="1"/>
    <d v="2021-09-03T00:00:00"/>
    <s v="G"/>
    <x v="6"/>
    <x v="66"/>
    <m/>
    <s v="PR1"/>
    <s v="RPP 240ML BOY BLUE BOTTLE PRINTED (WM3GB)"/>
    <s v="EC09BA2I03PA"/>
    <s v="Nitin"/>
    <n v="1.7"/>
    <n v="600"/>
    <n v="352.94117647058823"/>
    <n v="605"/>
    <n v="600"/>
    <n v="0"/>
    <n v="0"/>
    <n v="9"/>
    <n v="0"/>
    <n v="5"/>
    <n v="0"/>
    <n v="6"/>
    <n v="100"/>
    <n v="1"/>
    <x v="42"/>
    <n v="0"/>
    <n v="0"/>
    <s v=" "/>
    <n v="8.2644628099173556E-3"/>
    <n v="0"/>
    <n v="0.99173553719008267"/>
    <n v="0.75"/>
    <n v="0.95"/>
    <n v="0.55882352941176472"/>
    <n v="352.94117647058823"/>
    <n v="32.4"/>
    <n v="34.199999999999996"/>
    <n v="0.94736842105263164"/>
    <n v="0.52503646086533795"/>
  </r>
  <r>
    <x v="1"/>
    <d v="2021-09-03T00:00:00"/>
    <s v="B"/>
    <x v="2"/>
    <x v="2"/>
    <m/>
    <s v="PC1"/>
    <s v="NIPPLE S TYPE M SIZE POSTCURED"/>
    <s v="HEI03NaI03Pb"/>
    <s v="Nitin"/>
    <n v="8"/>
    <n v="7036"/>
    <n v="879.5"/>
    <n v="6200"/>
    <n v="6200"/>
    <n v="0"/>
    <n v="0"/>
    <n v="0"/>
    <n v="0"/>
    <n v="0"/>
    <n v="0"/>
    <n v="1"/>
    <n v="6200"/>
    <n v="0.88118249005116545"/>
    <x v="2"/>
    <n v="0"/>
    <n v="0"/>
    <s v=" "/>
    <n v="0"/>
    <n v="0"/>
    <n v="1"/>
    <n v="2.5"/>
    <n v="5.5"/>
    <n v="0.6875"/>
    <n v="775"/>
    <n v="2.2999999999999998"/>
    <n v="3.193548387096774"/>
    <n v="0.72020202020202018"/>
    <n v="0.49513888888888885"/>
  </r>
  <r>
    <x v="1"/>
    <d v="2021-09-03T00:00:00"/>
    <s v="B"/>
    <x v="3"/>
    <x v="3"/>
    <m/>
    <s v="P1"/>
    <s v="NIPPLE S TYPE M SIZE PUNCHED"/>
    <s v="HEI03NaI03Pb03Pb"/>
    <s v="Nitin"/>
    <n v="8"/>
    <n v="7036"/>
    <n v="879.5"/>
    <n v="3200"/>
    <n v="3200"/>
    <n v="0"/>
    <n v="0"/>
    <n v="0"/>
    <n v="0"/>
    <n v="0"/>
    <n v="0"/>
    <n v="1"/>
    <n v="3200"/>
    <n v="0.45480386583285959"/>
    <x v="3"/>
    <n v="0"/>
    <n v="0"/>
    <s v=" "/>
    <n v="0"/>
    <n v="0"/>
    <n v="1"/>
    <n v="4.666666666666667"/>
    <n v="3.333333333333333"/>
    <n v="0.41666666666666663"/>
    <n v="400"/>
    <n v="3.5"/>
    <n v="3.7499999999999996"/>
    <n v="0.93333333333333346"/>
    <n v="0.3888888888888889"/>
  </r>
  <r>
    <x v="1"/>
    <d v="2021-09-03T00:00:00"/>
    <s v="B"/>
    <x v="0"/>
    <x v="0"/>
    <s v="M2"/>
    <s v="L1"/>
    <s v="NIPPLE S TYPE M SIZE INJECTION"/>
    <s v="HEI03Nb"/>
    <s v="Nitin"/>
    <n v="8"/>
    <n v="4815"/>
    <n v="601.875"/>
    <n v="4520"/>
    <n v="4400"/>
    <n v="0"/>
    <n v="58"/>
    <n v="0"/>
    <n v="0"/>
    <n v="62"/>
    <n v="0"/>
    <n v="1"/>
    <n v="4400"/>
    <n v="0.91381100726895115"/>
    <x v="0"/>
    <n v="6.8"/>
    <n v="30.735999999999997"/>
    <n v="0.97345132743362839"/>
    <n v="1.3895114298520844E-2"/>
    <n v="1.2669287898645697E-2"/>
    <n v="0.98628318584070795"/>
    <n v="0"/>
    <n v="8"/>
    <n v="1"/>
    <n v="550"/>
    <n v="5.25"/>
    <n v="6.5454545454545459"/>
    <n v="0.80208333333333326"/>
    <n v="0.79108130530973442"/>
  </r>
  <r>
    <x v="1"/>
    <d v="2021-09-03T00:00:00"/>
    <s v="B"/>
    <x v="1"/>
    <x v="67"/>
    <s v="BM5"/>
    <s v="B2"/>
    <s v="RPP 240ML BLUE BOTTLE MOLDED (WM3GB)"/>
    <s v="EI03Nb"/>
    <s v="Nitin"/>
    <n v="8"/>
    <n v="2503"/>
    <n v="312.875"/>
    <n v="2650"/>
    <n v="2520"/>
    <n v="0.92800000000000005"/>
    <n v="74"/>
    <n v="0"/>
    <n v="0"/>
    <n v="56"/>
    <n v="0"/>
    <n v="1"/>
    <n v="2520"/>
    <n v="1.0067918497802637"/>
    <x v="7"/>
    <n v="33.130000000000003"/>
    <n v="88.722499999999997"/>
    <n v="0.94099692862577144"/>
    <n v="2.1739130434782608E-2"/>
    <n v="2.7165932452276064E-2"/>
    <n v="0.97886792452830185"/>
    <n v="1.1666666666666667"/>
    <n v="6.833333333333333"/>
    <n v="0.85416666666666663"/>
    <n v="315"/>
    <n v="9"/>
    <n v="9.7619047619047628"/>
    <n v="0.92195121951219505"/>
    <n v="0.77085849056603761"/>
  </r>
  <r>
    <x v="1"/>
    <d v="2021-09-03T00:00:00"/>
    <s v="B"/>
    <x v="9"/>
    <x v="31"/>
    <m/>
    <s v="INJ1"/>
    <s v="HOOD S TYPE MOLDED"/>
    <s v="EI03Hb"/>
    <s v="Nitin"/>
    <n v="8"/>
    <n v="4137"/>
    <n v="517.125"/>
    <n v="5322"/>
    <n v="5300"/>
    <n v="0"/>
    <n v="0"/>
    <n v="0"/>
    <n v="0"/>
    <n v="22"/>
    <n v="0"/>
    <n v="1"/>
    <n v="5300"/>
    <n v="1.2811215856901137"/>
    <x v="1"/>
    <n v="8.6"/>
    <n v="45.769199999999998"/>
    <n v="0.9958662157083803"/>
    <n v="4.1337842916196917E-3"/>
    <n v="0"/>
    <n v="0.9958662157083803"/>
    <n v="0"/>
    <n v="8"/>
    <n v="1"/>
    <n v="662.5"/>
    <n v="6"/>
    <n v="5.4339622641509431"/>
    <n v="1.1041666666666667"/>
    <n v="1.0996022798446701"/>
  </r>
  <r>
    <x v="1"/>
    <d v="2021-09-03T00:00:00"/>
    <s v="B"/>
    <x v="8"/>
    <x v="50"/>
    <m/>
    <s v="LZ1"/>
    <s v="NIPPLE S TYPE L SIZE PUNCHED LASER MARKED"/>
    <s v="HEH31BG22"/>
    <s v="Nitin"/>
    <n v="7"/>
    <n v="6036"/>
    <n v="862.28571428571433"/>
    <n v="6275"/>
    <n v="6275"/>
    <n v="0"/>
    <n v="0"/>
    <n v="0"/>
    <n v="0"/>
    <n v="0"/>
    <n v="0"/>
    <n v="1"/>
    <n v="6275"/>
    <n v="1.0395957587806495"/>
    <x v="22"/>
    <n v="0"/>
    <n v="0"/>
    <s v=" "/>
    <n v="0"/>
    <n v="0"/>
    <n v="1"/>
    <n v="0"/>
    <n v="7"/>
    <n v="1"/>
    <n v="896.42857142857144"/>
    <n v="3.5"/>
    <n v="4.0159362549800797"/>
    <n v="0.87152777777777779"/>
    <n v="0.87152777777777779"/>
  </r>
  <r>
    <x v="1"/>
    <d v="2021-09-03T00:00:00"/>
    <s v="B"/>
    <x v="8"/>
    <x v="68"/>
    <m/>
    <s v="LZ1"/>
    <s v="NIPPLE S TYPE Y SIZE PUNCHED LASER MARKED"/>
    <s v="HEI02AG22"/>
    <s v="Nitin"/>
    <n v="1"/>
    <n v="1000"/>
    <n v="1000"/>
    <n v="1000"/>
    <n v="1000"/>
    <n v="0"/>
    <n v="0"/>
    <n v="0"/>
    <n v="0"/>
    <n v="0"/>
    <n v="0"/>
    <n v="1"/>
    <n v="1000"/>
    <n v="1"/>
    <x v="43"/>
    <n v="0"/>
    <n v="0"/>
    <s v=" "/>
    <n v="0"/>
    <n v="0"/>
    <n v="1"/>
    <n v="0"/>
    <n v="1"/>
    <n v="1"/>
    <n v="1000"/>
    <n v="3.5"/>
    <n v="3.6"/>
    <n v="0.97222222222222221"/>
    <n v="0.97222222222222221"/>
  </r>
  <r>
    <x v="1"/>
    <d v="2021-09-03T00:00:00"/>
    <s v="C"/>
    <x v="1"/>
    <x v="67"/>
    <s v="BM5"/>
    <s v="B2"/>
    <s v="RPP 240ML BLUE BOTTLE MOLDED (WM3GB)"/>
    <s v="EI03Bc2"/>
    <s v="Saurabh"/>
    <n v="8"/>
    <n v="2503"/>
    <n v="312.875"/>
    <n v="3143"/>
    <n v="3000"/>
    <n v="0.12"/>
    <n v="71"/>
    <n v="0"/>
    <n v="0"/>
    <n v="64"/>
    <n v="8"/>
    <n v="1"/>
    <n v="3000"/>
    <n v="1.1985617259288854"/>
    <x v="7"/>
    <n v="33.130000000000003"/>
    <n v="104.24759"/>
    <n v="0.9534033352713478"/>
    <n v="2.0887728459530026E-2"/>
    <n v="2.2090852520224021E-2"/>
    <n v="0.97963728921412663"/>
    <n v="0"/>
    <n v="8"/>
    <n v="1"/>
    <n v="375"/>
    <n v="9"/>
    <n v="9.6"/>
    <n v="0.9375"/>
    <n v="0.91840995863824371"/>
  </r>
  <r>
    <x v="1"/>
    <d v="2021-09-03T00:00:00"/>
    <s v="C"/>
    <x v="9"/>
    <x v="31"/>
    <m/>
    <s v="INJ1"/>
    <s v="HOOD S TYPE MOLDED"/>
    <s v="EI03Hc"/>
    <s v="Saurabh"/>
    <n v="8"/>
    <n v="4137"/>
    <n v="517.125"/>
    <n v="5512"/>
    <n v="5500"/>
    <n v="0"/>
    <n v="0"/>
    <n v="0"/>
    <n v="0"/>
    <n v="4"/>
    <n v="8"/>
    <n v="1"/>
    <n v="5500"/>
    <n v="1.3294657964708727"/>
    <x v="1"/>
    <n v="8.6"/>
    <n v="47.403199999999998"/>
    <n v="0.99782293178519588"/>
    <n v="7.2674418604651162E-4"/>
    <n v="0"/>
    <n v="0.99927431059506533"/>
    <n v="0"/>
    <n v="8"/>
    <n v="1"/>
    <n v="687.5"/>
    <n v="6"/>
    <n v="5.2363636363636363"/>
    <n v="1.1458333333333333"/>
    <n v="1.1450018142235123"/>
  </r>
  <r>
    <x v="1"/>
    <d v="2021-09-03T00:00:00"/>
    <s v="C"/>
    <x v="0"/>
    <x v="0"/>
    <s v="M2"/>
    <s v="L1"/>
    <s v="NIPPLE S TYPE M SIZE INJECTION"/>
    <s v="HEI03Nc"/>
    <s v="Saurabh"/>
    <n v="8"/>
    <n v="4815"/>
    <n v="601.875"/>
    <n v="5122"/>
    <n v="5000"/>
    <n v="0"/>
    <n v="48"/>
    <n v="0"/>
    <n v="0"/>
    <n v="66"/>
    <n v="8"/>
    <n v="1"/>
    <n v="5000"/>
    <n v="1.0384215991692627"/>
    <x v="0"/>
    <n v="6.8"/>
    <n v="34.829599999999999"/>
    <n v="0.97618117922686454"/>
    <n v="1.3028030003947888E-2"/>
    <n v="9.2843326885880071E-3"/>
    <n v="0.98711440843420539"/>
    <n v="0"/>
    <n v="8"/>
    <n v="1"/>
    <n v="625"/>
    <n v="5.25"/>
    <n v="5.76"/>
    <n v="0.91145833333333337"/>
    <n v="0.89971365352076016"/>
  </r>
  <r>
    <x v="1"/>
    <d v="2021-09-04T00:00:00"/>
    <s v="A"/>
    <x v="1"/>
    <x v="67"/>
    <s v="BM5"/>
    <s v="B2"/>
    <s v="RPP 240ML BLUE BOTTLE MOLDED (WM3GB)"/>
    <s v="EI04Ba2"/>
    <s v="Himanshu"/>
    <n v="2"/>
    <n v="626"/>
    <n v="313"/>
    <n v="628"/>
    <n v="600"/>
    <n v="0.1"/>
    <n v="14"/>
    <n v="0"/>
    <n v="0"/>
    <n v="6"/>
    <n v="8"/>
    <n v="1"/>
    <n v="600"/>
    <n v="0.95846645367412142"/>
    <x v="7"/>
    <n v="33.130000000000003"/>
    <n v="20.905640000000002"/>
    <n v="0.9508438871041498"/>
    <n v="9.9009900990099011E-3"/>
    <n v="2.1806853582554516E-2"/>
    <n v="0.99044585987261147"/>
    <n v="0.66666666666666663"/>
    <n v="1.3333333333333335"/>
    <n v="0.66666666666666674"/>
    <n v="300"/>
    <n v="9"/>
    <n v="8.0000000000000018"/>
    <n v="1.1249999999999998"/>
    <n v="0.74283439490445846"/>
  </r>
  <r>
    <x v="1"/>
    <d v="2021-09-04T00:00:00"/>
    <s v="A"/>
    <x v="2"/>
    <x v="2"/>
    <m/>
    <s v="PC1"/>
    <s v="NIPPLE S TYPE M SIZE POSTCURED"/>
    <s v="HEI03NcI04Pa"/>
    <s v="Himanshu"/>
    <n v="8"/>
    <n v="7036"/>
    <n v="879.5"/>
    <n v="6400"/>
    <n v="6400"/>
    <n v="0"/>
    <n v="0"/>
    <n v="0"/>
    <n v="0"/>
    <n v="0"/>
    <n v="0"/>
    <n v="1"/>
    <n v="6400"/>
    <n v="0.90960773166571918"/>
    <x v="2"/>
    <n v="0"/>
    <n v="0"/>
    <s v=" "/>
    <n v="0"/>
    <n v="0"/>
    <n v="1"/>
    <n v="4"/>
    <n v="4"/>
    <n v="0.5"/>
    <n v="800"/>
    <n v="2.2999999999999998"/>
    <n v="2.25"/>
    <n v="1.0222222222222221"/>
    <n v="0.51111111111111107"/>
  </r>
  <r>
    <x v="1"/>
    <d v="2021-09-04T00:00:00"/>
    <s v="A"/>
    <x v="3"/>
    <x v="3"/>
    <m/>
    <m/>
    <s v="NIPPLE S TYPE M SIZE PUNCHED"/>
    <s v="HEI03NbI03PbI04Pa"/>
    <s v="Himanshu"/>
    <n v="8"/>
    <n v="7036"/>
    <n v="879.5"/>
    <n v="4000"/>
    <n v="4000"/>
    <n v="0"/>
    <n v="0"/>
    <n v="0"/>
    <n v="0"/>
    <n v="0"/>
    <n v="0"/>
    <n v="1"/>
    <n v="4000"/>
    <n v="0.56850483229107451"/>
    <x v="3"/>
    <n v="0"/>
    <n v="0"/>
    <s v=" "/>
    <n v="0"/>
    <n v="0"/>
    <n v="1"/>
    <n v="4"/>
    <n v="4"/>
    <n v="0.5"/>
    <n v="500"/>
    <n v="3.5"/>
    <n v="3.6"/>
    <n v="0.97222222222222221"/>
    <n v="0.4861111111111111"/>
  </r>
  <r>
    <x v="1"/>
    <d v="2021-09-04T00:00:00"/>
    <s v="A"/>
    <x v="8"/>
    <x v="68"/>
    <m/>
    <m/>
    <s v="NIPPLE S TYPE Y SIZE PUNCHED LASER MARKED"/>
    <s v="HEI02AG22"/>
    <s v="Himanshu"/>
    <n v="8"/>
    <n v="7036"/>
    <n v="879.5"/>
    <n v="4202"/>
    <n v="4202"/>
    <n v="0"/>
    <n v="0"/>
    <n v="0"/>
    <n v="0"/>
    <n v="0"/>
    <n v="0"/>
    <n v="1"/>
    <n v="4202"/>
    <n v="0.59721432632177374"/>
    <x v="43"/>
    <n v="0"/>
    <n v="0"/>
    <s v=" "/>
    <n v="0"/>
    <n v="0"/>
    <n v="1"/>
    <n v="4"/>
    <n v="4"/>
    <n v="0.5"/>
    <n v="525.25"/>
    <n v="3.5"/>
    <n v="3.426939552594003"/>
    <n v="1.0213194444444444"/>
    <n v="0.51065972222222222"/>
  </r>
  <r>
    <x v="1"/>
    <d v="2021-09-04T00:00:00"/>
    <s v="A"/>
    <x v="0"/>
    <x v="0"/>
    <s v="M2"/>
    <s v="L1"/>
    <s v="NIPPLE S TYPE M SIZE INJECTION"/>
    <s v="HEI04NA"/>
    <s v="Himanshu"/>
    <n v="8"/>
    <n v="4815"/>
    <n v="601.875"/>
    <n v="5370"/>
    <n v="5300"/>
    <n v="0"/>
    <n v="20"/>
    <n v="0"/>
    <n v="0"/>
    <n v="42"/>
    <n v="8"/>
    <n v="1"/>
    <n v="5300"/>
    <n v="1.1007268951194185"/>
    <x v="0"/>
    <n v="6.8"/>
    <n v="36.515999999999998"/>
    <n v="0.98696461824953452"/>
    <n v="7.8622238861849499E-3"/>
    <n v="3.7105751391465678E-3"/>
    <n v="0.99217877094972062"/>
    <n v="0"/>
    <n v="8"/>
    <n v="1"/>
    <n v="662.5"/>
    <n v="5.25"/>
    <n v="5.4339622641509431"/>
    <n v="0.96614583333333337"/>
    <n v="0.95858938547486028"/>
  </r>
  <r>
    <x v="1"/>
    <d v="2021-09-04T00:00:00"/>
    <s v="A"/>
    <x v="9"/>
    <x v="31"/>
    <m/>
    <m/>
    <s v="HOOD S TYPE MOLDED"/>
    <s v="EI04Ha"/>
    <s v="Himanshu"/>
    <n v="8"/>
    <n v="4137"/>
    <n v="517.125"/>
    <n v="5316"/>
    <n v="5300"/>
    <n v="0"/>
    <n v="8"/>
    <n v="0"/>
    <n v="0"/>
    <n v="0"/>
    <n v="8"/>
    <n v="1"/>
    <n v="5300"/>
    <n v="1.2811215856901137"/>
    <x v="1"/>
    <n v="8.6"/>
    <n v="45.717599999999997"/>
    <n v="0.99699021820917988"/>
    <n v="0"/>
    <n v="1.5026296018031556E-3"/>
    <n v="1"/>
    <n v="0"/>
    <n v="8"/>
    <n v="1"/>
    <n v="662.5"/>
    <n v="6"/>
    <n v="5.4339622641509431"/>
    <n v="1.1041666666666667"/>
    <n v="1.1041666666666667"/>
  </r>
  <r>
    <x v="1"/>
    <d v="2021-09-04T00:00:00"/>
    <s v="A"/>
    <x v="4"/>
    <x v="51"/>
    <m/>
    <m/>
    <s v="NIPPLE S TYPE L SIZE PUNCHED INSPECTED"/>
    <s v="HEH31AG22"/>
    <s v="Himanshu"/>
    <n v="7"/>
    <n v="13000"/>
    <n v="1857.1428571428571"/>
    <n v="6275"/>
    <n v="6225"/>
    <n v="0"/>
    <n v="0"/>
    <n v="0"/>
    <n v="0"/>
    <n v="50"/>
    <n v="0"/>
    <n v="1"/>
    <n v="6225"/>
    <n v="0.47884615384615387"/>
    <x v="37"/>
    <n v="0"/>
    <n v="0"/>
    <s v=" "/>
    <n v="7.9681274900398405E-3"/>
    <n v="0"/>
    <n v="0.99203187250996017"/>
    <n v="0.83333333333333337"/>
    <n v="6.166666666666667"/>
    <n v="0.88095238095238104"/>
    <n v="889.28571428571433"/>
    <n v="4"/>
    <n v="3.5662650602409638"/>
    <n v="1.1216216216216217"/>
    <n v="0.98022196926579419"/>
  </r>
  <r>
    <x v="1"/>
    <d v="2021-09-04T00:00:00"/>
    <s v="G"/>
    <x v="4"/>
    <x v="69"/>
    <m/>
    <m/>
    <s v="NIPPLE S TYPE Y SIZE PUNCHED INSPECTED"/>
    <s v="HEI02AG22"/>
    <s v="Nitin"/>
    <n v="1"/>
    <n v="1000"/>
    <n v="1000"/>
    <n v="1000"/>
    <n v="997"/>
    <n v="0"/>
    <n v="0"/>
    <n v="0"/>
    <n v="0"/>
    <n v="3"/>
    <n v="0"/>
    <n v="1"/>
    <n v="997"/>
    <n v="0.997"/>
    <x v="44"/>
    <n v="0"/>
    <n v="0"/>
    <s v=" "/>
    <n v="3.0000000000000001E-3"/>
    <n v="0"/>
    <n v="0.997"/>
    <n v="0"/>
    <n v="1"/>
    <n v="1"/>
    <n v="997"/>
    <n v="4"/>
    <n v="3.6108324974924773"/>
    <n v="1.1077777777777778"/>
    <n v="1.1044544444444444"/>
  </r>
  <r>
    <x v="1"/>
    <d v="2021-09-04T00:00:00"/>
    <s v="G"/>
    <x v="6"/>
    <x v="66"/>
    <m/>
    <s v="PR1"/>
    <s v="RPP 240ML BOY BLUE BOTTLE PRINTED (WM3GB)"/>
    <s v="EI03BB2I04PA"/>
    <s v="Nitin"/>
    <n v="3"/>
    <n v="1200"/>
    <n v="400"/>
    <n v="925"/>
    <n v="911"/>
    <n v="0"/>
    <n v="0"/>
    <n v="8"/>
    <n v="0"/>
    <n v="14"/>
    <n v="0"/>
    <n v="6"/>
    <n v="151.83333333333334"/>
    <n v="0.75916666666666666"/>
    <x v="42"/>
    <n v="0"/>
    <n v="0"/>
    <s v=" "/>
    <n v="1.5135135135135135E-2"/>
    <n v="0"/>
    <n v="0.98486486486486491"/>
    <n v="1.5"/>
    <n v="1.5"/>
    <n v="0.5"/>
    <n v="303.66666666666669"/>
    <n v="32.4"/>
    <n v="35.565312843029638"/>
    <n v="0.91099999999999992"/>
    <n v="0.44860594594594594"/>
  </r>
  <r>
    <x v="1"/>
    <d v="2021-09-04T00:00:00"/>
    <s v="G"/>
    <x v="6"/>
    <x v="21"/>
    <m/>
    <s v="PR1"/>
    <s v="KPP 240 ML BOTTLE PRINTED"/>
    <s v="EH17BB2I04PA"/>
    <s v="Nitin"/>
    <n v="5.5"/>
    <n v="2400"/>
    <n v="436.36363636363637"/>
    <n v="2174"/>
    <n v="2160"/>
    <n v="0"/>
    <n v="0"/>
    <n v="8"/>
    <n v="0"/>
    <n v="14"/>
    <n v="0"/>
    <n v="6"/>
    <n v="360"/>
    <n v="0.9"/>
    <x v="16"/>
    <n v="0"/>
    <n v="0"/>
    <s v=" "/>
    <n v="6.439742410303588E-3"/>
    <n v="0"/>
    <n v="0.99356025758969646"/>
    <n v="2"/>
    <n v="3.5"/>
    <n v="0.63636363636363635"/>
    <n v="392.72727272727275"/>
    <n v="32.4"/>
    <n v="35"/>
    <n v="0.92571428571428571"/>
    <n v="0.58529731538011209"/>
  </r>
  <r>
    <x v="1"/>
    <d v="2021-09-04T00:00:00"/>
    <s v="B"/>
    <x v="0"/>
    <x v="0"/>
    <s v="M2"/>
    <s v="L1"/>
    <s v="NIPPLE S TYPE M SIZE INJECTION"/>
    <s v="HEI04Nb"/>
    <s v="Nitin"/>
    <n v="8"/>
    <n v="4815"/>
    <n v="601.875"/>
    <n v="5206"/>
    <n v="5100"/>
    <n v="0"/>
    <n v="45"/>
    <n v="0"/>
    <n v="0"/>
    <n v="61"/>
    <n v="0"/>
    <n v="1"/>
    <n v="5100"/>
    <n v="1.0591900311526479"/>
    <x v="0"/>
    <n v="6.8"/>
    <n v="35.400799999999997"/>
    <n v="0.97963887821744144"/>
    <n v="1.1819414842084867E-2"/>
    <n v="8.5697962292896595E-3"/>
    <n v="0.9882827506723012"/>
    <n v="0"/>
    <n v="8"/>
    <n v="1"/>
    <n v="637.5"/>
    <n v="5.25"/>
    <n v="5.6470588235294121"/>
    <n v="0.92968749999999989"/>
    <n v="0.91879411976565495"/>
  </r>
  <r>
    <x v="1"/>
    <d v="2021-09-04T00:00:00"/>
    <s v="B"/>
    <x v="2"/>
    <x v="2"/>
    <m/>
    <s v="PC1"/>
    <s v="NIPPLE S TYPE M SIZE POSTCURED"/>
    <s v="HEI04NaI04Pb"/>
    <s v="Nitin"/>
    <n v="8"/>
    <n v="7000"/>
    <n v="875"/>
    <n v="7900"/>
    <n v="7900"/>
    <n v="0"/>
    <n v="0"/>
    <n v="0"/>
    <n v="0"/>
    <n v="0"/>
    <n v="0"/>
    <n v="1"/>
    <n v="7900"/>
    <n v="1.1285714285714286"/>
    <x v="2"/>
    <n v="0"/>
    <n v="0"/>
    <s v=" "/>
    <n v="0"/>
    <n v="0"/>
    <n v="1"/>
    <n v="2.6666666666666665"/>
    <n v="5.3333333333333339"/>
    <n v="0.66666666666666674"/>
    <n v="987.5"/>
    <n v="2.2999999999999998"/>
    <n v="2.4303797468354436"/>
    <n v="0.94635416666666639"/>
    <n v="0.6309027777777777"/>
  </r>
  <r>
    <x v="1"/>
    <d v="2021-09-04T00:00:00"/>
    <s v="B"/>
    <x v="3"/>
    <x v="3"/>
    <m/>
    <s v="P1"/>
    <s v="NIPPLE S TYPE M SIZE PUNCHED"/>
    <s v="HEI03NcI04PaI04Pb"/>
    <s v="Nitin"/>
    <n v="8"/>
    <n v="7036"/>
    <n v="879.5"/>
    <n v="4400"/>
    <n v="4392"/>
    <n v="0"/>
    <n v="0"/>
    <n v="0"/>
    <n v="0"/>
    <n v="8"/>
    <n v="0"/>
    <n v="1"/>
    <n v="4392"/>
    <n v="0.62421830585559979"/>
    <x v="3"/>
    <n v="0"/>
    <n v="0"/>
    <s v=" "/>
    <n v="1.8181818181818182E-3"/>
    <n v="0"/>
    <n v="0.99818181818181817"/>
    <n v="2.6666666666666665"/>
    <n v="5.3333333333333339"/>
    <n v="0.66666666666666674"/>
    <n v="549"/>
    <n v="3.5"/>
    <n v="4.3715846994535523"/>
    <n v="0.80062499999999992"/>
    <n v="0.53277954545454553"/>
  </r>
  <r>
    <x v="1"/>
    <d v="2021-09-04T00:00:00"/>
    <s v="B"/>
    <x v="9"/>
    <x v="31"/>
    <m/>
    <s v="INJ1"/>
    <s v="HOOD S TYPE MOLDED"/>
    <s v="EI04Hb"/>
    <s v="Nitin"/>
    <n v="8"/>
    <n v="4137"/>
    <n v="517.125"/>
    <n v="5321"/>
    <n v="5300"/>
    <n v="0"/>
    <n v="0"/>
    <n v="0"/>
    <n v="0"/>
    <n v="21"/>
    <n v="0"/>
    <n v="1"/>
    <n v="5300"/>
    <n v="1.2811215856901137"/>
    <x v="1"/>
    <n v="8.6"/>
    <n v="45.760599999999997"/>
    <n v="0.99605337342604772"/>
    <n v="3.946626573952265E-3"/>
    <n v="0"/>
    <n v="0.99605337342604772"/>
    <n v="0"/>
    <n v="8"/>
    <n v="1"/>
    <n v="662.5"/>
    <n v="6"/>
    <n v="5.4339622641509431"/>
    <n v="1.1041666666666667"/>
    <n v="1.0998089331579277"/>
  </r>
  <r>
    <x v="1"/>
    <d v="2021-09-04T00:00:00"/>
    <s v="B"/>
    <x v="1"/>
    <x v="7"/>
    <s v="BM2"/>
    <s v="B1"/>
    <s v="KPP BOTTLE 200 ML MOULDED-WMG3B"/>
    <s v="EI04Bb1"/>
    <s v="Nitin"/>
    <n v="8"/>
    <n v="2503"/>
    <n v="312.875"/>
    <n v="1306"/>
    <n v="1188"/>
    <n v="0.45"/>
    <n v="74"/>
    <n v="0"/>
    <n v="0"/>
    <n v="36"/>
    <n v="8"/>
    <n v="1"/>
    <n v="1188"/>
    <n v="0.47463044346783861"/>
    <x v="7"/>
    <n v="28.6"/>
    <n v="37.801600000000001"/>
    <n v="0.89881909760433409"/>
    <n v="2.9411764705882353E-2"/>
    <n v="5.3623188405797099E-2"/>
    <n v="0.97243491577335373"/>
    <n v="4.5"/>
    <n v="3.5"/>
    <n v="0.4375"/>
    <n v="148.5"/>
    <n v="9"/>
    <n v="10.606060606060606"/>
    <n v="0.84857142857142864"/>
    <n v="0.36101646248085761"/>
  </r>
  <r>
    <x v="1"/>
    <d v="2021-09-04T00:00:00"/>
    <s v="C"/>
    <x v="1"/>
    <x v="7"/>
    <s v="BM2"/>
    <s v="B1"/>
    <s v="KPP BOTTLE 200 ML MOULDED-WMG3B"/>
    <s v="EI04Bc1"/>
    <s v="Saurabh"/>
    <n v="8"/>
    <n v="2503"/>
    <n v="312.875"/>
    <n v="2854"/>
    <n v="2700"/>
    <n v="0.2"/>
    <n v="80"/>
    <n v="0"/>
    <n v="0"/>
    <n v="66"/>
    <n v="8"/>
    <n v="1"/>
    <n v="2700"/>
    <n v="1.0787055533359968"/>
    <x v="7"/>
    <n v="28.6"/>
    <n v="81.824399999999997"/>
    <n v="0.94372827665097458"/>
    <n v="2.3861171366594359E-2"/>
    <n v="2.7266530334014997E-2"/>
    <n v="0.97687456201822009"/>
    <n v="0"/>
    <n v="8"/>
    <n v="1"/>
    <n v="337.5"/>
    <n v="9"/>
    <n v="10.666666666666666"/>
    <n v="0.84375"/>
    <n v="0.82423791170287319"/>
  </r>
  <r>
    <x v="1"/>
    <d v="2021-09-04T00:00:00"/>
    <s v="C"/>
    <x v="9"/>
    <x v="31"/>
    <m/>
    <s v="INJ1"/>
    <s v="HOOD S TYPE MOLDED"/>
    <s v="EI04Hc"/>
    <s v="Saurabh"/>
    <n v="8"/>
    <n v="4137"/>
    <n v="517.125"/>
    <n v="5216"/>
    <n v="5200"/>
    <n v="0"/>
    <n v="0"/>
    <n v="0"/>
    <n v="0"/>
    <n v="8"/>
    <n v="8"/>
    <n v="1"/>
    <n v="5200"/>
    <n v="1.2569494802997341"/>
    <x v="1"/>
    <n v="8.6"/>
    <n v="44.857599999999998"/>
    <n v="0.99693251533742333"/>
    <n v="1.5360983102918587E-3"/>
    <n v="0"/>
    <n v="0.99846625766871167"/>
    <n v="0"/>
    <n v="8"/>
    <n v="1"/>
    <n v="650"/>
    <n v="6"/>
    <n v="5.5384615384615383"/>
    <n v="1.0833333333333333"/>
    <n v="1.0816717791411041"/>
  </r>
  <r>
    <x v="1"/>
    <d v="2021-09-04T00:00:00"/>
    <s v="C"/>
    <x v="0"/>
    <x v="0"/>
    <s v="M2"/>
    <s v="L1"/>
    <s v="NIPPLE S TYPE M SIZE INJECTION"/>
    <s v="HEIO4Nc"/>
    <s v="Saurabh"/>
    <n v="8"/>
    <n v="4815"/>
    <n v="601.875"/>
    <n v="4294"/>
    <n v="4200"/>
    <n v="0.4"/>
    <n v="35"/>
    <n v="0"/>
    <n v="0"/>
    <n v="51"/>
    <n v="8"/>
    <n v="1"/>
    <n v="4200"/>
    <n v="0.87227414330218067"/>
    <x v="0"/>
    <n v="6.8"/>
    <n v="29.599199999999996"/>
    <n v="0.96489094299845946"/>
    <n v="1.1997177134791814E-2"/>
    <n v="8.0850080850080851E-3"/>
    <n v="0.98812296227293894"/>
    <n v="0"/>
    <n v="8"/>
    <n v="1"/>
    <n v="525"/>
    <n v="5.25"/>
    <n v="6.8571428571428568"/>
    <n v="0.765625"/>
    <n v="0.75653164299021891"/>
  </r>
  <r>
    <x v="1"/>
    <d v="2021-09-06T00:00:00"/>
    <s v="A"/>
    <x v="1"/>
    <x v="7"/>
    <s v="BM2"/>
    <s v="B1"/>
    <s v="KPP BOTTLE 200 ML MOULDED-WMG3B"/>
    <s v="EI06Ba1"/>
    <s v="Himanshu"/>
    <n v="8"/>
    <n v="2503"/>
    <n v="312.875"/>
    <n v="1705"/>
    <n v="1620"/>
    <n v="0.12"/>
    <n v="40"/>
    <n v="0"/>
    <n v="0"/>
    <n v="37"/>
    <n v="8"/>
    <n v="1"/>
    <n v="1620"/>
    <n v="0.6472233320015981"/>
    <x v="7"/>
    <n v="28.6"/>
    <n v="48.882999999999996"/>
    <n v="0.94781416852484512"/>
    <n v="2.2329511164755584E-2"/>
    <n v="2.2922636103151862E-2"/>
    <n v="0.97829912023460408"/>
    <n v="3.5"/>
    <n v="4.5"/>
    <n v="0.5625"/>
    <n v="202.5"/>
    <n v="9"/>
    <n v="10"/>
    <n v="0.9"/>
    <n v="0.49526392961876836"/>
  </r>
  <r>
    <x v="1"/>
    <d v="2021-09-06T00:00:00"/>
    <s v="A"/>
    <x v="0"/>
    <x v="0"/>
    <s v="M2"/>
    <s v="L1"/>
    <s v="NIPPLE S TYPE M SIZE INJECTION"/>
    <s v="HEI06Na"/>
    <s v="Himanshu"/>
    <n v="6.5"/>
    <n v="3600"/>
    <n v="553.84615384615381"/>
    <n v="4155"/>
    <n v="4000"/>
    <n v="0.63"/>
    <n v="95"/>
    <n v="0"/>
    <n v="0"/>
    <n v="52"/>
    <n v="8"/>
    <n v="1"/>
    <n v="4000"/>
    <n v="1.1111111111111112"/>
    <x v="0"/>
    <n v="6.8"/>
    <n v="28.883999999999997"/>
    <n v="0.94169782578590233"/>
    <n v="1.2833168805528134E-2"/>
    <n v="2.2352941176470589E-2"/>
    <n v="0.9874849578820698"/>
    <n v="0"/>
    <n v="6.5"/>
    <n v="1"/>
    <n v="615.38461538461536"/>
    <n v="5.25"/>
    <n v="5.85"/>
    <n v="0.89743589743589747"/>
    <n v="0.88620444938134468"/>
  </r>
  <r>
    <x v="1"/>
    <d v="2021-09-06T00:00:00"/>
    <s v="A"/>
    <x v="9"/>
    <x v="31"/>
    <m/>
    <s v="INJ1"/>
    <s v="HOOD S TYPE MOLDED"/>
    <s v="EI06Ha"/>
    <s v="Himanshu"/>
    <n v="8"/>
    <n v="4137"/>
    <n v="517.125"/>
    <n v="4522"/>
    <n v="4500"/>
    <n v="0.15"/>
    <n v="12"/>
    <n v="0"/>
    <n v="0"/>
    <n v="2"/>
    <n v="8"/>
    <n v="1"/>
    <n v="4500"/>
    <n v="1.0877447425670776"/>
    <x v="1"/>
    <n v="8.6"/>
    <n v="39.039200000000001"/>
    <n v="0.99131129736265089"/>
    <n v="4.4424700133274098E-4"/>
    <n v="2.6466696074106751E-3"/>
    <n v="0.99955771782397174"/>
    <n v="0"/>
    <n v="8"/>
    <n v="1"/>
    <n v="562.5"/>
    <n v="6"/>
    <n v="6.4"/>
    <n v="0.9375"/>
    <n v="0.93708536045997348"/>
  </r>
  <r>
    <x v="1"/>
    <d v="2021-09-06T00:00:00"/>
    <s v="A"/>
    <x v="2"/>
    <x v="2"/>
    <m/>
    <m/>
    <s v="NIPPLE S TYPE M SIZE POSTCURED"/>
    <s v="HEI03NcI04PaI06Pa"/>
    <s v="Himanshu"/>
    <n v="6"/>
    <n v="7500"/>
    <n v="1250"/>
    <n v="7700"/>
    <n v="7700"/>
    <n v="0"/>
    <n v="0"/>
    <n v="0"/>
    <n v="0"/>
    <n v="0"/>
    <n v="0"/>
    <n v="1"/>
    <n v="7700"/>
    <n v="1.0266666666666666"/>
    <x v="2"/>
    <n v="0"/>
    <n v="0"/>
    <s v=" "/>
    <n v="0"/>
    <n v="0"/>
    <n v="1"/>
    <n v="1"/>
    <n v="5"/>
    <n v="0.83333333333333337"/>
    <n v="1283.3333333333333"/>
    <n v="2.2999999999999998"/>
    <n v="2.3376623376623376"/>
    <n v="0.98388888888888881"/>
    <n v="0.81990740740740742"/>
  </r>
  <r>
    <x v="1"/>
    <d v="2021-09-06T00:00:00"/>
    <s v="A"/>
    <x v="3"/>
    <x v="3"/>
    <m/>
    <s v="P1"/>
    <s v="NIPPLE S TYPE M SIZE PUNCHED"/>
    <s v="HEI04NbI04PbI06Pa"/>
    <s v="Himanshu"/>
    <n v="8"/>
    <n v="7000"/>
    <n v="875"/>
    <n v="7300"/>
    <n v="7300"/>
    <n v="0"/>
    <n v="0"/>
    <n v="0"/>
    <n v="0"/>
    <n v="0"/>
    <n v="0"/>
    <n v="1"/>
    <n v="7300"/>
    <n v="1.0428571428571429"/>
    <x v="3"/>
    <n v="0"/>
    <n v="0"/>
    <s v=" "/>
    <n v="0"/>
    <n v="0"/>
    <n v="1"/>
    <n v="0"/>
    <n v="8"/>
    <n v="1"/>
    <n v="912.5"/>
    <n v="3.5"/>
    <n v="3.9452054794520546"/>
    <n v="0.88715277777777779"/>
    <n v="0.88715277777777779"/>
  </r>
  <r>
    <x v="1"/>
    <d v="2021-09-06T00:00:00"/>
    <s v="A"/>
    <x v="8"/>
    <x v="70"/>
    <m/>
    <s v="LZ1"/>
    <s v="NIPPLE S TYPE M SIZE PUNCHED LASER MARKED"/>
    <s v="HEI03AG12"/>
    <s v="Himanshu"/>
    <n v="1"/>
    <n v="1000"/>
    <n v="1000"/>
    <n v="1000"/>
    <n v="1000"/>
    <n v="0"/>
    <n v="0"/>
    <n v="0"/>
    <n v="0"/>
    <n v="0"/>
    <n v="0"/>
    <n v="1"/>
    <n v="1000"/>
    <n v="1"/>
    <x v="19"/>
    <n v="0"/>
    <n v="0"/>
    <s v=" "/>
    <n v="0"/>
    <n v="0"/>
    <n v="1"/>
    <n v="0"/>
    <n v="1"/>
    <n v="1"/>
    <n v="1000"/>
    <n v="3.5"/>
    <n v="3.6"/>
    <n v="0.97222222222222221"/>
    <n v="0.97222222222222221"/>
  </r>
  <r>
    <x v="1"/>
    <d v="2021-09-06T00:00:00"/>
    <s v="A"/>
    <x v="8"/>
    <x v="68"/>
    <m/>
    <s v="LZ1"/>
    <s v="NIPPLE S TYPE Y SIZE PUNCHED LASER MARKED"/>
    <s v="HEI02BG22"/>
    <s v="Himanshu"/>
    <n v="1"/>
    <n v="1000"/>
    <n v="1000"/>
    <n v="1000"/>
    <n v="1000"/>
    <n v="0"/>
    <n v="0"/>
    <n v="0"/>
    <n v="0"/>
    <n v="0"/>
    <n v="0"/>
    <n v="1"/>
    <n v="1000"/>
    <n v="1"/>
    <x v="43"/>
    <n v="0"/>
    <n v="0"/>
    <s v=" "/>
    <n v="0"/>
    <n v="0"/>
    <n v="1"/>
    <n v="0"/>
    <n v="1"/>
    <n v="1"/>
    <n v="1000"/>
    <n v="3.5"/>
    <n v="3.6"/>
    <n v="0.97222222222222221"/>
    <n v="0.97222222222222221"/>
  </r>
  <r>
    <x v="1"/>
    <d v="2021-09-06T00:00:00"/>
    <s v="G"/>
    <x v="7"/>
    <x v="71"/>
    <m/>
    <s v="WR1"/>
    <s v="NIPPLE S TYPE Y SIZE WITH PRINTED WRAP"/>
    <s v="HEI02AG22"/>
    <s v="Nitin"/>
    <n v="1"/>
    <n v="1000"/>
    <n v="1000"/>
    <n v="997"/>
    <n v="997"/>
    <n v="0"/>
    <n v="0"/>
    <n v="0"/>
    <n v="0"/>
    <n v="0"/>
    <n v="0"/>
    <n v="2"/>
    <n v="498.5"/>
    <n v="0.997"/>
    <x v="43"/>
    <n v="0"/>
    <n v="0"/>
    <s v=" "/>
    <n v="0"/>
    <n v="0"/>
    <n v="1"/>
    <n v="0.5"/>
    <n v="0.5"/>
    <n v="0.5"/>
    <n v="997"/>
    <n v="2.5"/>
    <n v="3.6108324974924773"/>
    <n v="0.69236111111111109"/>
    <n v="0.34618055555555555"/>
  </r>
  <r>
    <x v="1"/>
    <d v="2021-09-06T00:00:00"/>
    <s v="G"/>
    <x v="4"/>
    <x v="4"/>
    <m/>
    <m/>
    <s v="NIPPLE S TYPE M SIZE PUNCHED INSPECTED"/>
    <s v="HEI03AG22"/>
    <s v="Nitin"/>
    <n v="3.5"/>
    <n v="7000"/>
    <n v="2000"/>
    <n v="3200"/>
    <n v="3200"/>
    <n v="0"/>
    <n v="0"/>
    <n v="0"/>
    <n v="0"/>
    <n v="0"/>
    <n v="0"/>
    <n v="2"/>
    <n v="1600"/>
    <n v="0.45714285714285713"/>
    <x v="4"/>
    <n v="0"/>
    <n v="0"/>
    <s v=" "/>
    <n v="0"/>
    <n v="0"/>
    <n v="1"/>
    <n v="1.8333333333333333"/>
    <n v="1.6666666666666667"/>
    <n v="0.47619047619047622"/>
    <n v="914.28571428571433"/>
    <n v="4"/>
    <n v="3.75"/>
    <n v="1.0666666666666667"/>
    <n v="0.50793650793650791"/>
  </r>
  <r>
    <x v="1"/>
    <d v="2021-09-06T00:00:00"/>
    <s v="G"/>
    <x v="4"/>
    <x v="69"/>
    <m/>
    <m/>
    <s v="NIPPLE S TYPE Y SIZE PUNCHED INSPECTED"/>
    <s v="HEI02AG22"/>
    <s v="Nitin"/>
    <n v="5"/>
    <n v="7000"/>
    <n v="1400"/>
    <n v="5202"/>
    <n v="5181"/>
    <n v="0"/>
    <n v="0"/>
    <n v="0"/>
    <n v="0"/>
    <n v="21"/>
    <n v="0"/>
    <n v="2"/>
    <n v="2590.5"/>
    <n v="0.7401428571428571"/>
    <x v="44"/>
    <n v="0"/>
    <n v="0"/>
    <s v=" "/>
    <n v="4.0369088811995383E-3"/>
    <n v="0"/>
    <n v="0.99596309111880044"/>
    <n v="1.8333333333333333"/>
    <n v="3.166666666666667"/>
    <n v="0.63333333333333341"/>
    <n v="1036.2"/>
    <n v="4"/>
    <n v="4.4006948465547202"/>
    <n v="0.90894736842105239"/>
    <n v="0.57334275278738933"/>
  </r>
  <r>
    <x v="1"/>
    <d v="2021-09-06T00:00:00"/>
    <s v="G"/>
    <x v="6"/>
    <x v="21"/>
    <m/>
    <s v="PR1"/>
    <s v="KPP 240 ML BOTTLE PRINTED"/>
    <s v="EHI07BB2I06PA"/>
    <s v="Nitin"/>
    <n v="5.5"/>
    <n v="3226"/>
    <n v="586.5454545454545"/>
    <n v="3226"/>
    <n v="3210"/>
    <n v="0"/>
    <n v="0"/>
    <n v="23"/>
    <n v="0"/>
    <n v="16"/>
    <n v="0"/>
    <n v="6"/>
    <n v="535"/>
    <n v="0.99504029758214507"/>
    <x v="16"/>
    <n v="0"/>
    <n v="0"/>
    <s v=" "/>
    <n v="4.9597024178549285E-3"/>
    <n v="0"/>
    <n v="0.99504029758214507"/>
    <n v="0.83333333333333337"/>
    <n v="4.666666666666667"/>
    <n v="0.84848484848484851"/>
    <n v="583.63636363636363"/>
    <n v="32.4"/>
    <n v="31.401869158878505"/>
    <n v="1.0317857142857143"/>
    <n v="0.87111255142873245"/>
  </r>
  <r>
    <x v="1"/>
    <d v="2021-09-06T00:00:00"/>
    <s v="G"/>
    <x v="6"/>
    <x v="8"/>
    <m/>
    <s v="PR1"/>
    <s v="KPP BOTTLE 200 ML PRINTED-WMG3B"/>
    <s v="EI04BB1I06PA"/>
    <s v="Nitin"/>
    <n v="3"/>
    <n v="1200"/>
    <n v="400"/>
    <n v="1312"/>
    <n v="1296"/>
    <n v="0"/>
    <n v="0"/>
    <n v="14"/>
    <n v="0"/>
    <n v="16"/>
    <n v="0"/>
    <n v="6"/>
    <n v="216"/>
    <n v="1.08"/>
    <x v="8"/>
    <n v="0"/>
    <n v="0"/>
    <s v=" "/>
    <n v="1.2195121951219513E-2"/>
    <n v="0"/>
    <n v="0.98780487804878048"/>
    <n v="1.1666666666666667"/>
    <n v="1.8333333333333333"/>
    <n v="0.61111111111111105"/>
    <n v="432"/>
    <n v="32.4"/>
    <n v="30.555555555555557"/>
    <n v="1.0603636363636362"/>
    <n v="0.64009756097560955"/>
  </r>
  <r>
    <x v="1"/>
    <d v="2021-09-06T00:00:00"/>
    <s v="B"/>
    <x v="8"/>
    <x v="70"/>
    <m/>
    <s v="LZ1"/>
    <s v="NIPPLE S TYPE M SIZE PUNCHED LASER MARKED"/>
    <s v="HEI03AG22"/>
    <s v="Nitin"/>
    <n v="8"/>
    <n v="7000"/>
    <n v="875"/>
    <n v="6592"/>
    <n v="6592"/>
    <n v="0"/>
    <n v="0"/>
    <n v="0"/>
    <n v="0"/>
    <n v="0"/>
    <n v="0"/>
    <n v="1"/>
    <n v="6592"/>
    <n v="0.94171428571428573"/>
    <x v="19"/>
    <n v="0"/>
    <n v="0"/>
    <s v=" "/>
    <n v="0"/>
    <n v="0"/>
    <n v="1"/>
    <n v="0.66666666666666663"/>
    <n v="7.333333333333333"/>
    <n v="0.91666666666666663"/>
    <n v="824"/>
    <n v="3.5"/>
    <n v="4.0048543689320386"/>
    <n v="0.87393939393939402"/>
    <n v="0.80111111111111111"/>
  </r>
  <r>
    <x v="1"/>
    <d v="2021-09-06T00:00:00"/>
    <s v="B"/>
    <x v="3"/>
    <x v="3"/>
    <m/>
    <s v="P1"/>
    <s v="NIPPLE S TYPE M SIZE PUNCHED"/>
    <s v="HEI04NbI04PbI06Pb"/>
    <s v="Nitin"/>
    <n v="8"/>
    <n v="7000"/>
    <n v="875"/>
    <n v="6300"/>
    <n v="6300"/>
    <n v="0"/>
    <n v="0"/>
    <n v="0"/>
    <n v="0"/>
    <n v="0"/>
    <n v="0"/>
    <n v="1"/>
    <n v="6300"/>
    <n v="0.9"/>
    <x v="3"/>
    <n v="0"/>
    <n v="0"/>
    <s v=" "/>
    <n v="0"/>
    <n v="0"/>
    <n v="1"/>
    <n v="0.66666666666666663"/>
    <n v="7.333333333333333"/>
    <n v="0.91666666666666663"/>
    <n v="787.5"/>
    <n v="3.5"/>
    <n v="4.1904761904761907"/>
    <n v="0.83522727272727271"/>
    <n v="0.765625"/>
  </r>
  <r>
    <x v="1"/>
    <d v="2021-09-06T00:00:00"/>
    <s v="B"/>
    <x v="1"/>
    <x v="7"/>
    <s v="BM2"/>
    <s v="B1"/>
    <s v="KPP BOTTLE 200 ML MOULDED-WMG3B"/>
    <s v="EI06Bb1"/>
    <s v="Nitin"/>
    <n v="4"/>
    <n v="1200"/>
    <n v="300"/>
    <n v="1150"/>
    <n v="1104"/>
    <n v="0.2"/>
    <n v="26"/>
    <n v="0"/>
    <n v="0"/>
    <n v="20"/>
    <n v="0"/>
    <n v="1"/>
    <n v="1104"/>
    <n v="0.92"/>
    <x v="7"/>
    <n v="28.6"/>
    <n v="33.090000000000003"/>
    <n v="0.95419764279238428"/>
    <n v="1.7793594306049824E-2"/>
    <n v="2.2108843537414966E-2"/>
    <n v="0.9826086956521739"/>
    <n v="1.3333333333333333"/>
    <n v="2.666666666666667"/>
    <n v="0.66666666666666674"/>
    <n v="276"/>
    <n v="9"/>
    <n v="8.6956521739130448"/>
    <n v="1.0349999999999999"/>
    <n v="0.67800000000000005"/>
  </r>
  <r>
    <x v="1"/>
    <d v="2021-09-06T00:00:00"/>
    <s v="B"/>
    <x v="1"/>
    <x v="72"/>
    <s v="BM3"/>
    <s v="B2"/>
    <s v="KPP BOTTLE 240 ML MOULDED-WMG3B"/>
    <s v="EI06Bb1"/>
    <s v="Nitin"/>
    <n v="4"/>
    <n v="1303"/>
    <n v="325.75"/>
    <n v="1940"/>
    <n v="1836"/>
    <n v="0.43"/>
    <n v="44"/>
    <n v="0"/>
    <n v="0"/>
    <n v="52"/>
    <n v="8"/>
    <n v="1"/>
    <n v="1836"/>
    <n v="1.4090560245587107"/>
    <x v="7"/>
    <n v="33.1"/>
    <n v="64.64400000000002"/>
    <n v="0.9400965286801557"/>
    <n v="2.7542372881355932E-2"/>
    <n v="2.2177419354838711E-2"/>
    <n v="0.97319587628865978"/>
    <n v="0"/>
    <n v="4"/>
    <n v="1"/>
    <n v="459"/>
    <n v="9"/>
    <n v="7.8431372549019605"/>
    <n v="1.1475"/>
    <n v="1.1167422680412371"/>
  </r>
  <r>
    <x v="1"/>
    <d v="2021-09-06T00:00:00"/>
    <s v="B"/>
    <x v="0"/>
    <x v="0"/>
    <s v="M2"/>
    <s v="L1"/>
    <s v="NIPPLE S TYPE M SIZE INJECTION"/>
    <s v="HEI06Nb"/>
    <s v="Nitin"/>
    <n v="8"/>
    <n v="4814"/>
    <n v="601.75"/>
    <n v="5100"/>
    <n v="5000"/>
    <n v="0"/>
    <n v="40"/>
    <n v="0"/>
    <n v="0"/>
    <n v="60"/>
    <n v="0"/>
    <n v="1"/>
    <n v="5000"/>
    <n v="1.0386373078520981"/>
    <x v="0"/>
    <n v="6.8"/>
    <n v="34.68"/>
    <n v="0.98039215686274506"/>
    <n v="1.1857707509881422E-2"/>
    <n v="7.7821011673151752E-3"/>
    <n v="0.9882352941176471"/>
    <n v="0.5"/>
    <n v="7.5"/>
    <n v="0.9375"/>
    <n v="625"/>
    <n v="5.25"/>
    <n v="5.4"/>
    <n v="0.97222222222222221"/>
    <n v="0.90073529411764708"/>
  </r>
  <r>
    <x v="1"/>
    <d v="2021-09-06T00:00:00"/>
    <s v="B"/>
    <x v="2"/>
    <x v="2"/>
    <m/>
    <s v="PC1"/>
    <s v="NIPPLE S TYPE M SIZE POSTCURED"/>
    <s v="HEI06NaI06Pb"/>
    <s v="Nitin"/>
    <n v="8"/>
    <n v="7000"/>
    <n v="875"/>
    <n v="7000"/>
    <n v="7000"/>
    <n v="0"/>
    <n v="0"/>
    <n v="0"/>
    <n v="0"/>
    <n v="0"/>
    <n v="0"/>
    <n v="1"/>
    <n v="7000"/>
    <n v="1"/>
    <x v="2"/>
    <n v="0"/>
    <n v="0"/>
    <s v=" "/>
    <n v="0"/>
    <n v="0"/>
    <n v="1"/>
    <n v="3.1666666666666665"/>
    <n v="4.8333333333333339"/>
    <n v="0.60416666666666674"/>
    <n v="875"/>
    <n v="2.2999999999999998"/>
    <n v="2.4857142857142862"/>
    <n v="0.92528735632183878"/>
    <n v="0.55902777777777768"/>
  </r>
  <r>
    <x v="1"/>
    <d v="2021-09-06T00:00:00"/>
    <s v="B"/>
    <x v="9"/>
    <x v="31"/>
    <m/>
    <s v="INJ1"/>
    <s v="HOOD S TYPE MOLDED"/>
    <s v="EI06Hb"/>
    <s v="Nitin"/>
    <n v="8"/>
    <n v="4137"/>
    <n v="517.125"/>
    <n v="5047"/>
    <n v="5000"/>
    <n v="0.1"/>
    <n v="27"/>
    <n v="0"/>
    <n v="0"/>
    <n v="20"/>
    <n v="0"/>
    <n v="1"/>
    <n v="5000"/>
    <n v="1.2086052695189751"/>
    <x v="1"/>
    <n v="8.6"/>
    <n v="43.504200000000004"/>
    <n v="0.98841031440642502"/>
    <n v="3.9840637450199202E-3"/>
    <n v="5.3212455656286954E-3"/>
    <n v="0.99603724985139686"/>
    <n v="0"/>
    <n v="8"/>
    <n v="1"/>
    <n v="625"/>
    <n v="6"/>
    <n v="5.76"/>
    <n v="1.0416666666666667"/>
    <n v="1.0375388019285385"/>
  </r>
  <r>
    <x v="1"/>
    <d v="2021-09-06T00:00:00"/>
    <s v="C"/>
    <x v="1"/>
    <x v="72"/>
    <s v="BM3"/>
    <s v="B2"/>
    <s v="KPP BOTTLE 240 ML MOULDED-WMG3B"/>
    <s v="EI06Bc2"/>
    <s v="Saurabh"/>
    <n v="8"/>
    <n v="2503"/>
    <n v="312.875"/>
    <n v="2946"/>
    <n v="2808"/>
    <n v="0.18"/>
    <n v="63"/>
    <n v="0"/>
    <n v="0"/>
    <n v="67"/>
    <n v="8"/>
    <n v="1"/>
    <n v="2808"/>
    <n v="1.1218537754694367"/>
    <x v="7"/>
    <n v="33.1"/>
    <n v="97.692600000000013"/>
    <n v="0.95140061785641905"/>
    <n v="2.3304347826086955E-2"/>
    <n v="2.0937188434695914E-2"/>
    <n v="0.97725729803122874"/>
    <n v="0"/>
    <n v="8"/>
    <n v="1"/>
    <n v="351"/>
    <n v="9"/>
    <n v="10.256410256410257"/>
    <n v="0.87749999999999995"/>
    <n v="0.85754327902240313"/>
  </r>
  <r>
    <x v="1"/>
    <d v="2021-09-06T00:00:00"/>
    <s v="C"/>
    <x v="0"/>
    <x v="0"/>
    <s v="M2"/>
    <s v="L1"/>
    <s v="NIPPLE S TYPE M SIZE INJECTION"/>
    <s v="HEI06Nc"/>
    <s v="Saurabh"/>
    <n v="8"/>
    <n v="4815"/>
    <n v="601.875"/>
    <n v="4963"/>
    <n v="4840"/>
    <n v="0"/>
    <n v="47"/>
    <n v="0"/>
    <n v="0"/>
    <n v="76"/>
    <n v="0"/>
    <n v="1"/>
    <n v="4840"/>
    <n v="1.0051921079958464"/>
    <x v="0"/>
    <n v="6.8"/>
    <n v="33.748399999999997"/>
    <n v="0.97521660286117273"/>
    <n v="1.5459723352318959E-2"/>
    <n v="9.3812375249500996E-3"/>
    <n v="0.98468668144267579"/>
    <n v="0"/>
    <n v="8"/>
    <n v="1"/>
    <n v="605"/>
    <n v="5.25"/>
    <n v="5.9504132231404956"/>
    <n v="0.8822916666666667"/>
    <n v="0.86878085331452748"/>
  </r>
  <r>
    <x v="1"/>
    <d v="2021-09-06T00:00:00"/>
    <s v="C"/>
    <x v="9"/>
    <x v="31"/>
    <m/>
    <s v="INJ1"/>
    <s v="HOOD S TYPE MOLDED"/>
    <s v="EI06Hc"/>
    <s v="Saurabh"/>
    <n v="8"/>
    <n v="4137"/>
    <n v="517.125"/>
    <n v="5523"/>
    <n v="5500"/>
    <n v="0"/>
    <n v="0"/>
    <n v="0"/>
    <n v="0"/>
    <n v="15"/>
    <n v="8"/>
    <n v="1"/>
    <n v="5500"/>
    <n v="1.3294657964708727"/>
    <x v="1"/>
    <n v="8.6"/>
    <n v="47.497799999999998"/>
    <n v="0.99583559659605281"/>
    <n v="2.7198549410698096E-3"/>
    <n v="0"/>
    <n v="0.99728408473655616"/>
    <n v="0"/>
    <n v="8"/>
    <n v="1"/>
    <n v="687.5"/>
    <n v="6"/>
    <n v="5.2363636363636363"/>
    <n v="1.1458333333333333"/>
    <n v="1.1427213470939706"/>
  </r>
  <r>
    <x v="1"/>
    <d v="2021-09-06T00:00:00"/>
    <s v="C"/>
    <x v="2"/>
    <x v="2"/>
    <m/>
    <s v="PC1"/>
    <s v="NIPPLE S TYPE M SIZE POSTCURED"/>
    <s v="HEI06NcI06Pa"/>
    <s v="Saurabh"/>
    <n v="8"/>
    <n v="7036"/>
    <n v="879.5"/>
    <n v="4000"/>
    <n v="4000"/>
    <n v="0"/>
    <n v="0"/>
    <n v="0"/>
    <n v="0"/>
    <n v="0"/>
    <n v="0"/>
    <n v="1"/>
    <n v="4000"/>
    <n v="0.56850483229107451"/>
    <x v="2"/>
    <n v="0"/>
    <n v="0"/>
    <s v=" "/>
    <n v="0"/>
    <n v="0"/>
    <n v="1"/>
    <n v="5.5"/>
    <n v="2.5"/>
    <n v="0.3125"/>
    <n v="500"/>
    <n v="2.2999999999999998"/>
    <n v="2.25"/>
    <n v="1.0222222222222221"/>
    <n v="0.31944444444444442"/>
  </r>
  <r>
    <x v="1"/>
    <d v="2021-09-07T00:00:00"/>
    <s v="A"/>
    <x v="1"/>
    <x v="72"/>
    <s v="BM3"/>
    <s v="B2"/>
    <s v="KPP BOTTLE 240 ML MOULDED-WMG3B"/>
    <s v="EI07Ba2"/>
    <s v="Himanshu"/>
    <n v="3"/>
    <n v="1439"/>
    <n v="479.66666666666669"/>
    <n v="1507"/>
    <n v="1439"/>
    <n v="0.26"/>
    <n v="40"/>
    <n v="0"/>
    <n v="0"/>
    <n v="20"/>
    <n v="8"/>
    <n v="1"/>
    <n v="1439"/>
    <n v="1"/>
    <x v="7"/>
    <n v="33.1"/>
    <n v="50.141700000000007"/>
    <n v="0.94992590997114168"/>
    <n v="1.3708019191226868E-2"/>
    <n v="2.5856496444731737E-2"/>
    <n v="0.986728599867286"/>
    <n v="0"/>
    <n v="3"/>
    <n v="1"/>
    <n v="479.66666666666669"/>
    <n v="9"/>
    <n v="7.5052119527449621"/>
    <n v="1.1991666666666667"/>
    <n v="1.1832520460075204"/>
  </r>
  <r>
    <x v="1"/>
    <d v="2021-09-07T00:00:00"/>
    <s v="A"/>
    <x v="8"/>
    <x v="70"/>
    <m/>
    <s v="LZ1"/>
    <s v="NIPPLE S TYPE M SIZE PUNCHED LASER MARKED"/>
    <s v="HEI03AG22"/>
    <s v="Himanshu"/>
    <n v="8"/>
    <n v="7000"/>
    <n v="875"/>
    <n v="7000"/>
    <n v="7000"/>
    <n v="0"/>
    <n v="0"/>
    <n v="0"/>
    <n v="0"/>
    <n v="0"/>
    <n v="0"/>
    <n v="1"/>
    <n v="7000"/>
    <n v="1"/>
    <x v="19"/>
    <n v="0"/>
    <n v="0"/>
    <s v=" "/>
    <n v="0"/>
    <n v="0"/>
    <n v="1"/>
    <n v="1"/>
    <n v="7"/>
    <n v="0.875"/>
    <n v="875"/>
    <n v="3.5"/>
    <n v="3.6"/>
    <n v="0.97222222222222221"/>
    <n v="0.85069444444444442"/>
  </r>
  <r>
    <x v="1"/>
    <d v="2021-09-07T00:00:00"/>
    <s v="A"/>
    <x v="3"/>
    <x v="3"/>
    <m/>
    <s v="P1"/>
    <s v="NIPPLE S TYPE M SIZE PUNCHED"/>
    <s v="HEI06NaI06PbI07Pa"/>
    <s v="Himanshu"/>
    <n v="8"/>
    <n v="7000"/>
    <n v="875"/>
    <n v="7000"/>
    <n v="7000"/>
    <n v="0"/>
    <n v="0"/>
    <n v="0"/>
    <n v="0"/>
    <n v="0"/>
    <n v="0"/>
    <n v="1"/>
    <n v="7000"/>
    <n v="1"/>
    <x v="3"/>
    <n v="0"/>
    <n v="0"/>
    <s v=" "/>
    <n v="0"/>
    <n v="0"/>
    <n v="1"/>
    <n v="0"/>
    <n v="8"/>
    <n v="1"/>
    <n v="875"/>
    <n v="3.5"/>
    <n v="4.1142857142857139"/>
    <n v="0.85069444444444453"/>
    <n v="0.85069444444444453"/>
  </r>
  <r>
    <x v="1"/>
    <d v="2021-09-07T00:00:00"/>
    <s v="A"/>
    <x v="9"/>
    <x v="31"/>
    <m/>
    <s v="INJ1"/>
    <s v="HOOD S TYPE MOLDED"/>
    <s v="EI07Ha"/>
    <s v="Himanshu"/>
    <n v="8"/>
    <n v="4137"/>
    <n v="517.125"/>
    <n v="5512"/>
    <n v="5500"/>
    <n v="0"/>
    <n v="0"/>
    <n v="0"/>
    <n v="0"/>
    <n v="4"/>
    <n v="8"/>
    <n v="1"/>
    <n v="5500"/>
    <n v="1.3294657964708727"/>
    <x v="1"/>
    <n v="8.6"/>
    <n v="47.403199999999998"/>
    <n v="0.99782293178519588"/>
    <n v="7.2674418604651162E-4"/>
    <n v="0"/>
    <n v="0.99927431059506533"/>
    <n v="0"/>
    <n v="8"/>
    <n v="1"/>
    <n v="687.5"/>
    <n v="6"/>
    <n v="5.2363636363636363"/>
    <n v="1.1458333333333333"/>
    <n v="1.1450018142235123"/>
  </r>
  <r>
    <x v="1"/>
    <d v="2021-09-07T00:00:00"/>
    <s v="A"/>
    <x v="6"/>
    <x v="8"/>
    <m/>
    <s v="PR1"/>
    <s v="KPP BOTTLE 200 ML PRINTED-WMG3B"/>
    <s v="EI04BC1I07PA"/>
    <s v="Nitin"/>
    <n v="8"/>
    <n v="5100"/>
    <n v="637.5"/>
    <n v="1556"/>
    <n v="1545"/>
    <n v="0"/>
    <n v="0"/>
    <n v="20"/>
    <n v="0"/>
    <n v="11"/>
    <n v="0"/>
    <n v="6"/>
    <n v="257.5"/>
    <n v="0.30294117647058821"/>
    <x v="8"/>
    <n v="0"/>
    <n v="0"/>
    <s v=" "/>
    <n v="7.0694087403598968E-3"/>
    <n v="0"/>
    <n v="0.99293059125964012"/>
    <n v="5.666666666666667"/>
    <n v="2.333333333333333"/>
    <n v="0.29166666666666663"/>
    <n v="193.125"/>
    <n v="32.4"/>
    <n v="32.621359223300963"/>
    <n v="0.99321428571428594"/>
    <n v="0.28763958065552703"/>
  </r>
  <r>
    <x v="1"/>
    <d v="2021-09-07T00:00:00"/>
    <s v="G"/>
    <x v="4"/>
    <x v="4"/>
    <m/>
    <m/>
    <s v="NIPPLE S TYPE M SIZE PUNCHED INSPECTED"/>
    <s v="HEI03BG12,HEI03CG22"/>
    <s v="Nitin"/>
    <n v="8.5"/>
    <n v="14000"/>
    <n v="1647.0588235294117"/>
    <n v="13390"/>
    <n v="13390"/>
    <n v="0"/>
    <n v="0"/>
    <n v="0"/>
    <n v="0"/>
    <n v="0"/>
    <n v="0"/>
    <n v="2"/>
    <n v="6695"/>
    <n v="0.95642857142857141"/>
    <x v="4"/>
    <n v="0"/>
    <n v="0"/>
    <s v=" "/>
    <n v="0"/>
    <n v="0"/>
    <n v="1"/>
    <n v="0.83333333333333337"/>
    <n v="7.666666666666667"/>
    <n v="0.90196078431372551"/>
    <n v="1575.2941176470588"/>
    <n v="4"/>
    <n v="4.1224794622852876"/>
    <n v="0.97028985507246379"/>
    <n v="0.87516339869281046"/>
  </r>
  <r>
    <x v="1"/>
    <d v="2021-09-07T00:00:00"/>
    <s v="B"/>
    <x v="1"/>
    <x v="18"/>
    <s v="BM3"/>
    <s v="B2"/>
    <s v="KPP 240 ML BOTTLE MOLDED"/>
    <s v="EI07Bb2"/>
    <s v="Nitin"/>
    <n v="8"/>
    <n v="2574"/>
    <n v="321.75"/>
    <n v="2808"/>
    <n v="2808"/>
    <n v="0"/>
    <n v="0"/>
    <n v="0"/>
    <n v="0"/>
    <n v="0"/>
    <n v="0"/>
    <n v="1"/>
    <n v="2808"/>
    <n v="1.0909090909090908"/>
    <x v="1"/>
    <n v="32.1"/>
    <n v="90.136800000000008"/>
    <n v="1"/>
    <n v="0"/>
    <n v="0"/>
    <n v="1"/>
    <n v="1"/>
    <n v="7"/>
    <n v="0.875"/>
    <n v="351"/>
    <n v="9"/>
    <n v="8.9743589743589745"/>
    <n v="1.0028571428571429"/>
    <n v="0.87750000000000006"/>
  </r>
  <r>
    <x v="1"/>
    <d v="2021-09-07T00:00:00"/>
    <s v="B"/>
    <x v="3"/>
    <x v="3"/>
    <m/>
    <s v="P1"/>
    <s v="NIPPLE S TYPE M SIZE PUNCHED"/>
    <s v="HEI04NbI04PbI07Pb"/>
    <s v="Nitin"/>
    <n v="8"/>
    <n v="7000"/>
    <n v="875"/>
    <n v="7000"/>
    <n v="7000"/>
    <n v="0"/>
    <n v="0"/>
    <n v="0"/>
    <n v="0"/>
    <n v="0"/>
    <n v="0"/>
    <n v="1"/>
    <n v="7000"/>
    <n v="1"/>
    <x v="3"/>
    <n v="0"/>
    <n v="0"/>
    <s v=" "/>
    <n v="0"/>
    <n v="0"/>
    <n v="1"/>
    <n v="0"/>
    <n v="8"/>
    <n v="1"/>
    <n v="875"/>
    <n v="3.5"/>
    <n v="4.1142857142857139"/>
    <n v="0.85069444444444453"/>
    <n v="0.85069444444444453"/>
  </r>
  <r>
    <x v="1"/>
    <d v="2021-09-07T00:00:00"/>
    <s v="B"/>
    <x v="8"/>
    <x v="70"/>
    <m/>
    <s v="LZ1"/>
    <s v="NIPPLE S TYPE M SIZE PUNCHED LASER MARKED"/>
    <s v="HEI04AG12"/>
    <s v="Nitin"/>
    <n v="8"/>
    <n v="7000"/>
    <n v="875"/>
    <n v="6900"/>
    <n v="6900"/>
    <n v="0"/>
    <n v="0"/>
    <n v="0"/>
    <n v="0"/>
    <n v="0"/>
    <n v="0"/>
    <n v="1"/>
    <n v="6900"/>
    <n v="0.98571428571428577"/>
    <x v="19"/>
    <n v="0"/>
    <n v="0"/>
    <s v=" "/>
    <n v="0"/>
    <n v="0"/>
    <n v="1"/>
    <n v="0.66666666666666663"/>
    <n v="7.333333333333333"/>
    <n v="0.91666666666666663"/>
    <n v="862.5"/>
    <n v="3.5"/>
    <n v="3.8260869565217392"/>
    <n v="0.91477272727272729"/>
    <n v="0.83854166666666663"/>
  </r>
  <r>
    <x v="1"/>
    <d v="2021-09-07T00:00:00"/>
    <s v="B"/>
    <x v="0"/>
    <x v="0"/>
    <s v="M2"/>
    <s v="L1"/>
    <s v="NIPPLE S TYPE M SIZE INJECTION"/>
    <s v="HEI07Nb"/>
    <s v="Nitin"/>
    <n v="8"/>
    <n v="4815"/>
    <n v="601.875"/>
    <n v="4878"/>
    <n v="4500"/>
    <n v="3.2"/>
    <n v="292"/>
    <n v="0"/>
    <n v="0"/>
    <n v="78"/>
    <n v="8"/>
    <n v="1"/>
    <n v="4500"/>
    <n v="0.93457943925233644"/>
    <x v="0"/>
    <n v="6.8"/>
    <n v="36.370400000000004"/>
    <n v="0.84134351010711994"/>
    <n v="1.7038007863695939E-2"/>
    <n v="5.6479690522243713E-2"/>
    <n v="0.98400984009840098"/>
    <n v="1"/>
    <n v="7"/>
    <n v="0.875"/>
    <n v="562.5"/>
    <n v="5.25"/>
    <n v="5.6"/>
    <n v="0.93750000000000011"/>
    <n v="0.80719557195571956"/>
  </r>
  <r>
    <x v="1"/>
    <d v="2021-09-07T00:00:00"/>
    <s v="B"/>
    <x v="2"/>
    <x v="2"/>
    <m/>
    <s v="PC1"/>
    <s v="NIPPLE S TYPE M SIZE POSTCURED"/>
    <s v="HEI04NcI07Pb"/>
    <s v="Nitin"/>
    <n v="2"/>
    <n v="2000"/>
    <n v="1000"/>
    <n v="1840"/>
    <n v="1840"/>
    <n v="0"/>
    <n v="0"/>
    <n v="0"/>
    <n v="0"/>
    <n v="0"/>
    <n v="0"/>
    <n v="1"/>
    <n v="1840"/>
    <n v="0.92"/>
    <x v="2"/>
    <n v="0"/>
    <n v="0"/>
    <s v=" "/>
    <n v="0"/>
    <n v="0"/>
    <n v="1"/>
    <n v="0.83333333333333337"/>
    <n v="1.1666666666666665"/>
    <n v="0.58333333333333326"/>
    <n v="920"/>
    <n v="2.2999999999999998"/>
    <n v="2.2826086956521734"/>
    <n v="1.0076190476190479"/>
    <n v="0.58777777777777784"/>
  </r>
  <r>
    <x v="1"/>
    <d v="2021-09-07T00:00:00"/>
    <s v="B"/>
    <x v="9"/>
    <x v="31"/>
    <m/>
    <s v="INJ1"/>
    <s v="HOOD S TYPE MOLDED"/>
    <s v="EI07Hb"/>
    <s v="Nitin"/>
    <n v="8"/>
    <n v="4137"/>
    <n v="517.125"/>
    <n v="5315"/>
    <n v="5300"/>
    <n v="0"/>
    <n v="0"/>
    <n v="0"/>
    <n v="0"/>
    <n v="15"/>
    <n v="0"/>
    <n v="1"/>
    <n v="5300"/>
    <n v="1.2811215856901137"/>
    <x v="1"/>
    <n v="8.6"/>
    <n v="45.709000000000003"/>
    <n v="0.99717779868297263"/>
    <n v="2.8222013170272815E-3"/>
    <n v="0"/>
    <n v="0.99717779868297274"/>
    <n v="0"/>
    <n v="8"/>
    <n v="1"/>
    <n v="662.5"/>
    <n v="6"/>
    <n v="5.4339622641509431"/>
    <n v="1.1041666666666667"/>
    <n v="1.1010504860457824"/>
  </r>
  <r>
    <x v="1"/>
    <d v="2021-09-07T00:00:00"/>
    <s v="B"/>
    <x v="6"/>
    <x v="73"/>
    <m/>
    <s v="PR1"/>
    <s v="KPP BOTTLE 240 ML PRINTED-WMG3B"/>
    <s v="EI06Bb2I07Pa"/>
    <s v="Nitin"/>
    <n v="8"/>
    <n v="5100"/>
    <n v="637.5"/>
    <n v="3694"/>
    <n v="3639"/>
    <n v="0"/>
    <n v="0"/>
    <n v="35"/>
    <n v="0"/>
    <n v="55"/>
    <n v="0"/>
    <n v="5"/>
    <n v="727.8"/>
    <n v="0.71352941176470586"/>
    <x v="17"/>
    <n v="0"/>
    <n v="0"/>
    <s v=" "/>
    <n v="1.4889009204114781E-2"/>
    <n v="0"/>
    <n v="0.98511099079588527"/>
    <n v="1.6666666666666667"/>
    <n v="6.333333333333333"/>
    <n v="0.79166666666666663"/>
    <n v="454.875"/>
    <n v="32.4"/>
    <n v="31.327287716405603"/>
    <n v="1.0342421052631579"/>
    <n v="0.80658425148890089"/>
  </r>
  <r>
    <x v="1"/>
    <d v="2021-09-07T00:00:00"/>
    <s v="C"/>
    <x v="0"/>
    <x v="0"/>
    <s v="M2"/>
    <s v="L1"/>
    <s v="NIPPLE S TYPE M SIZE INJECTION"/>
    <s v="HEI07Nc"/>
    <s v="Saurabh"/>
    <n v="8"/>
    <n v="4815"/>
    <n v="601.875"/>
    <n v="5322"/>
    <n v="5200"/>
    <n v="0"/>
    <n v="38"/>
    <n v="0"/>
    <n v="0"/>
    <n v="76"/>
    <n v="8"/>
    <n v="1"/>
    <n v="5200"/>
    <n v="1.0799584631360333"/>
    <x v="0"/>
    <n v="6.8"/>
    <n v="36.189599999999999"/>
    <n v="0.97707628711010897"/>
    <n v="1.4404852160727824E-2"/>
    <n v="7.0895522388059705E-3"/>
    <n v="0.98571965426531383"/>
    <n v="0"/>
    <n v="8"/>
    <n v="1"/>
    <n v="650"/>
    <n v="5.25"/>
    <n v="5.5384615384615383"/>
    <n v="0.94791666666666674"/>
    <n v="0.93438008893899549"/>
  </r>
  <r>
    <x v="1"/>
    <d v="2021-09-07T00:00:00"/>
    <s v="C"/>
    <x v="9"/>
    <x v="31"/>
    <m/>
    <s v="INJ1"/>
    <s v="HOOD S TYPE MOLDED"/>
    <s v="EI07Hc"/>
    <s v="Saurabh"/>
    <n v="8"/>
    <n v="4137"/>
    <n v="517.125"/>
    <n v="5512"/>
    <n v="5500"/>
    <n v="0"/>
    <n v="0"/>
    <n v="0"/>
    <n v="0"/>
    <n v="4"/>
    <n v="8"/>
    <n v="1"/>
    <n v="5500"/>
    <n v="1.3294657964708727"/>
    <x v="1"/>
    <n v="8.6"/>
    <n v="47.403199999999998"/>
    <n v="0.99782293178519588"/>
    <n v="7.2674418604651162E-4"/>
    <n v="0"/>
    <n v="0.99927431059506533"/>
    <n v="0"/>
    <n v="8"/>
    <n v="1"/>
    <n v="687.5"/>
    <n v="6"/>
    <n v="5.2363636363636363"/>
    <n v="1.1458333333333333"/>
    <n v="1.1450018142235123"/>
  </r>
  <r>
    <x v="1"/>
    <d v="2021-09-08T00:00:00"/>
    <s v="A"/>
    <x v="9"/>
    <x v="31"/>
    <m/>
    <s v="INJ1"/>
    <s v="HOOD S TYPE MOLDED"/>
    <s v="EI08Ha"/>
    <s v="Himanshu"/>
    <n v="8"/>
    <n v="2574"/>
    <n v="321.75"/>
    <n v="5514"/>
    <n v="5500"/>
    <n v="0"/>
    <n v="4"/>
    <n v="0"/>
    <n v="0"/>
    <n v="2"/>
    <n v="8"/>
    <n v="1"/>
    <n v="5500"/>
    <n v="2.1367521367521367"/>
    <x v="1"/>
    <n v="8.6"/>
    <n v="47.420400000000001"/>
    <n v="0.99746100834240103"/>
    <n v="3.6350418029807341E-4"/>
    <n v="7.2490032620514677E-4"/>
    <n v="0.99963728690605735"/>
    <n v="0.66666666666666663"/>
    <n v="7.333333333333333"/>
    <n v="0.91666666666666663"/>
    <n v="687.5"/>
    <n v="6"/>
    <n v="4.8"/>
    <n v="1.25"/>
    <n v="1.1454177245798574"/>
  </r>
  <r>
    <x v="1"/>
    <d v="2021-09-08T00:00:00"/>
    <s v="A"/>
    <x v="0"/>
    <x v="0"/>
    <s v="M2"/>
    <s v="L1"/>
    <s v="NIPPLE S TYPE M SIZE INJECTION"/>
    <s v="HEI08Na"/>
    <s v="Himanshu"/>
    <n v="8"/>
    <n v="4815"/>
    <n v="601.875"/>
    <n v="5370"/>
    <n v="5200"/>
    <n v="0.36"/>
    <n v="90"/>
    <n v="0"/>
    <n v="0"/>
    <n v="72"/>
    <n v="8"/>
    <n v="1"/>
    <n v="5200"/>
    <n v="1.0799584631360333"/>
    <x v="0"/>
    <n v="6.8"/>
    <n v="36.875999999999998"/>
    <n v="0.95888925046100448"/>
    <n v="1.3657056145675266E-2"/>
    <n v="1.6483516483516484E-2"/>
    <n v="0.98659217877094973"/>
    <n v="0"/>
    <n v="8"/>
    <n v="1"/>
    <n v="650"/>
    <n v="5.25"/>
    <n v="5.5384615384615383"/>
    <n v="0.94791666666666674"/>
    <n v="0.93520716945996285"/>
  </r>
  <r>
    <x v="1"/>
    <d v="2021-09-08T00:00:00"/>
    <s v="A"/>
    <x v="3"/>
    <x v="3"/>
    <m/>
    <m/>
    <s v="NIPPLE S TYPE M SIZE PUNCHED"/>
    <s v="HEI06NcI07PaI08Pa"/>
    <s v="Himanshu"/>
    <n v="2"/>
    <n v="1840"/>
    <n v="920"/>
    <n v="1840"/>
    <n v="1840"/>
    <n v="0"/>
    <n v="0"/>
    <n v="0"/>
    <n v="0"/>
    <n v="0"/>
    <n v="0"/>
    <n v="1"/>
    <n v="1840"/>
    <n v="1"/>
    <x v="3"/>
    <n v="0"/>
    <n v="0"/>
    <s v=" "/>
    <n v="0"/>
    <n v="0"/>
    <n v="1"/>
    <n v="0.66666666666666663"/>
    <n v="1.3333333333333335"/>
    <n v="0.66666666666666674"/>
    <n v="920"/>
    <n v="3.5"/>
    <n v="2.6086956521739135"/>
    <n v="1.3416666666666663"/>
    <n v="0.89444444444444438"/>
  </r>
  <r>
    <x v="1"/>
    <d v="2021-09-08T00:00:00"/>
    <s v="A"/>
    <x v="8"/>
    <x v="70"/>
    <m/>
    <m/>
    <s v="NIPPLE S TYPE M SIZE PUNCHED LASER MARKED"/>
    <s v="HEI04CG12"/>
    <s v="Himanshu"/>
    <n v="8"/>
    <n v="7036"/>
    <n v="879.5"/>
    <n v="5700"/>
    <n v="5700"/>
    <n v="0"/>
    <n v="0"/>
    <n v="0"/>
    <n v="0"/>
    <n v="0"/>
    <n v="0"/>
    <n v="1"/>
    <n v="5700"/>
    <n v="0.81011938601478117"/>
    <x v="19"/>
    <n v="0"/>
    <n v="0"/>
    <s v=" "/>
    <n v="0"/>
    <n v="0"/>
    <n v="1"/>
    <n v="2"/>
    <n v="6"/>
    <n v="0.75"/>
    <n v="712.5"/>
    <n v="3.5"/>
    <n v="3.7894736842105261"/>
    <n v="0.92361111111111116"/>
    <n v="0.69270833333333337"/>
  </r>
  <r>
    <x v="1"/>
    <d v="2021-09-08T00:00:00"/>
    <s v="A"/>
    <x v="3"/>
    <x v="3"/>
    <m/>
    <m/>
    <s v="NIPPLE S TYPE M SIZE PUNCHED"/>
    <s v="HEI07NbI08PaI08Pa"/>
    <s v="Himanshu"/>
    <n v="6"/>
    <n v="5000"/>
    <n v="833.33333333333337"/>
    <n v="3500"/>
    <n v="3500"/>
    <n v="0"/>
    <n v="0"/>
    <n v="0"/>
    <n v="0"/>
    <n v="0"/>
    <n v="0"/>
    <n v="1"/>
    <n v="3500"/>
    <n v="0.7"/>
    <x v="3"/>
    <n v="0"/>
    <n v="0"/>
    <s v=" "/>
    <n v="0"/>
    <n v="0"/>
    <n v="1"/>
    <n v="2.5"/>
    <n v="3.5"/>
    <n v="0.58333333333333337"/>
    <n v="583.33333333333337"/>
    <n v="3.5"/>
    <n v="3.6"/>
    <n v="0.97222222222222221"/>
    <n v="0.56712962962962965"/>
  </r>
  <r>
    <x v="1"/>
    <d v="2021-09-08T00:00:00"/>
    <s v="A"/>
    <x v="6"/>
    <x v="22"/>
    <m/>
    <s v="PR1"/>
    <s v="KPP 240 BOTTLE PRINTED (WMG3B) W/O OZ &amp; W/BIS LOGO"/>
    <s v="EI06BC2I08Pa"/>
    <s v="Nitin"/>
    <n v="4"/>
    <n v="2000"/>
    <n v="500"/>
    <n v="864"/>
    <n v="836"/>
    <n v="0"/>
    <n v="0"/>
    <n v="9"/>
    <n v="9"/>
    <n v="28"/>
    <n v="0"/>
    <n v="5"/>
    <n v="167.2"/>
    <n v="0.41799999999999998"/>
    <x v="17"/>
    <n v="0"/>
    <n v="0"/>
    <s v=" "/>
    <n v="3.2407407407407406E-2"/>
    <n v="0"/>
    <n v="0.96759259259259256"/>
    <n v="2.6666666666666665"/>
    <n v="1.3333333333333335"/>
    <n v="0.33333333333333337"/>
    <n v="209"/>
    <n v="32.4"/>
    <n v="28.708133971291872"/>
    <n v="1.1285999999999998"/>
    <n v="0.36400833333333332"/>
  </r>
  <r>
    <x v="1"/>
    <d v="2021-09-08T00:00:00"/>
    <s v="A"/>
    <x v="6"/>
    <x v="73"/>
    <m/>
    <s v="PR1"/>
    <s v="KPP BOTTLE 240 ML PRINTED-WMG3B"/>
    <s v="EI06BC2I08Pa"/>
    <s v="Nitin"/>
    <n v="4"/>
    <n v="2000"/>
    <n v="500"/>
    <n v="426"/>
    <n v="420"/>
    <n v="0"/>
    <n v="0"/>
    <n v="12"/>
    <n v="0"/>
    <n v="6"/>
    <n v="0"/>
    <n v="5"/>
    <n v="84"/>
    <n v="0.21"/>
    <x v="17"/>
    <n v="0"/>
    <n v="0"/>
    <s v=" "/>
    <n v="1.4084507042253521E-2"/>
    <n v="0"/>
    <n v="0.9859154929577465"/>
    <n v="3.1666666666666665"/>
    <n v="0.83333333333333348"/>
    <n v="0.20833333333333337"/>
    <n v="105"/>
    <n v="32.4"/>
    <n v="35.714285714285722"/>
    <n v="0.90719999999999978"/>
    <n v="0.18633802816901407"/>
  </r>
  <r>
    <x v="1"/>
    <d v="2021-09-08T00:00:00"/>
    <s v="G"/>
    <x v="7"/>
    <x v="24"/>
    <m/>
    <s v="WR1"/>
    <s v="NIPPLE S TYPE M SIZE WITH PRINTED WRAP"/>
    <s v="HEI04AG22"/>
    <s v="Nitin"/>
    <n v="8"/>
    <n v="16132"/>
    <n v="2016.5"/>
    <n v="10851"/>
    <n v="10849"/>
    <n v="0"/>
    <n v="0"/>
    <n v="0"/>
    <n v="0"/>
    <n v="2"/>
    <n v="0"/>
    <n v="2"/>
    <n v="5424.5"/>
    <n v="0.67251425737664272"/>
    <x v="19"/>
    <n v="0"/>
    <n v="0"/>
    <s v=" "/>
    <n v="1.8431480969495899E-4"/>
    <n v="0"/>
    <n v="0.99981568519030506"/>
    <n v="2.8333333333333335"/>
    <n v="5.1666666666666661"/>
    <n v="0.64583333333333326"/>
    <n v="1356.125"/>
    <n v="2.5"/>
    <n v="3.4288874550649822"/>
    <n v="0.72909946236559153"/>
    <n v="0.47078994655510503"/>
  </r>
  <r>
    <x v="1"/>
    <d v="2021-09-08T00:00:00"/>
    <s v="G"/>
    <x v="4"/>
    <x v="4"/>
    <m/>
    <m/>
    <s v="NIPPLE S TYPE M SIZE PUNCHED INSPECTED"/>
    <s v="HEI04AG12"/>
    <s v="Nitin"/>
    <n v="8"/>
    <n v="14000"/>
    <n v="1750"/>
    <n v="12600"/>
    <n v="12543"/>
    <n v="0"/>
    <n v="0"/>
    <n v="0"/>
    <n v="0"/>
    <n v="57"/>
    <n v="0"/>
    <n v="2"/>
    <n v="6271.5"/>
    <n v="0.89592857142857141"/>
    <x v="4"/>
    <n v="0"/>
    <n v="0"/>
    <s v=" "/>
    <n v="4.5238095238095237E-3"/>
    <n v="0"/>
    <n v="0.99547619047619051"/>
    <n v="0.83333333333333337"/>
    <n v="7.166666666666667"/>
    <n v="0.89583333333333337"/>
    <n v="1567.875"/>
    <n v="4"/>
    <n v="4.1138483616359727"/>
    <n v="0.97232558139534875"/>
    <n v="0.86710124007936507"/>
  </r>
  <r>
    <x v="1"/>
    <d v="2021-09-08T00:00:00"/>
    <s v="B"/>
    <x v="8"/>
    <x v="70"/>
    <m/>
    <s v="LZ1"/>
    <s v="NIPPLE S TYPE M SIZE PUNCHED LASER MARKED"/>
    <s v="HEI06AG12"/>
    <s v="Nitin"/>
    <n v="8"/>
    <n v="7000"/>
    <n v="875"/>
    <n v="6000"/>
    <n v="6000"/>
    <n v="0"/>
    <n v="0"/>
    <n v="0"/>
    <n v="0"/>
    <n v="0"/>
    <n v="0"/>
    <n v="1"/>
    <n v="6000"/>
    <n v="0.8571428571428571"/>
    <x v="19"/>
    <n v="0"/>
    <n v="0"/>
    <s v=" "/>
    <n v="0"/>
    <n v="0"/>
    <n v="1"/>
    <n v="0.66666666666666663"/>
    <n v="7.333333333333333"/>
    <n v="0.91666666666666663"/>
    <n v="750"/>
    <n v="3.5"/>
    <n v="4.4000000000000004"/>
    <n v="0.79545454545454541"/>
    <n v="0.72916666666666663"/>
  </r>
  <r>
    <x v="1"/>
    <d v="2021-09-08T00:00:00"/>
    <s v="B"/>
    <x v="3"/>
    <x v="3"/>
    <m/>
    <s v="P1"/>
    <s v="NIPPLE S TYPE M SIZE PUNCHED"/>
    <s v="HEI07NcI08Pa"/>
    <s v="Nitin"/>
    <n v="8"/>
    <n v="7000"/>
    <n v="875"/>
    <n v="7200"/>
    <n v="7200"/>
    <n v="0"/>
    <n v="0"/>
    <n v="0"/>
    <n v="0"/>
    <n v="0"/>
    <n v="0"/>
    <n v="1"/>
    <n v="7200"/>
    <n v="1.0285714285714285"/>
    <x v="3"/>
    <n v="0"/>
    <n v="0"/>
    <s v=" "/>
    <n v="0"/>
    <n v="0"/>
    <n v="1"/>
    <n v="0.66666666666666663"/>
    <n v="7.333333333333333"/>
    <n v="0.91666666666666663"/>
    <n v="900"/>
    <n v="3.5"/>
    <n v="3.6666666666666665"/>
    <n v="0.95454545454545459"/>
    <n v="0.875"/>
  </r>
  <r>
    <x v="1"/>
    <d v="2021-09-08T00:00:00"/>
    <s v="B"/>
    <x v="9"/>
    <x v="31"/>
    <m/>
    <s v="INJ1"/>
    <s v="HOOD S TYPE MOLDED"/>
    <s v="EI08Hb"/>
    <s v="Nitin"/>
    <n v="8"/>
    <n v="4137"/>
    <n v="517.125"/>
    <n v="5218"/>
    <n v="5200"/>
    <n v="0"/>
    <n v="0"/>
    <n v="0"/>
    <n v="0"/>
    <n v="18"/>
    <n v="0"/>
    <n v="1"/>
    <n v="5200"/>
    <n v="1.2569494802997341"/>
    <x v="1"/>
    <n v="8.6"/>
    <n v="44.8748"/>
    <n v="0.99655040245304716"/>
    <n v="3.4495975469528554E-3"/>
    <n v="0"/>
    <n v="0.99655040245304716"/>
    <n v="0"/>
    <n v="8"/>
    <n v="1"/>
    <n v="650"/>
    <n v="6"/>
    <n v="5.5384615384615383"/>
    <n v="1.0833333333333333"/>
    <n v="1.0795962693241343"/>
  </r>
  <r>
    <x v="1"/>
    <d v="2021-09-08T00:00:00"/>
    <s v="B"/>
    <x v="6"/>
    <x v="21"/>
    <m/>
    <s v="PR1"/>
    <s v="KPP 240 ML BOTTLE PRINTED"/>
    <s v="EG22Ba2I08Pb"/>
    <s v="Nitin"/>
    <n v="8"/>
    <n v="5100"/>
    <n v="637.5"/>
    <n v="2174"/>
    <n v="2160"/>
    <n v="0"/>
    <n v="0"/>
    <n v="31"/>
    <n v="0"/>
    <n v="14"/>
    <n v="0"/>
    <n v="6"/>
    <n v="360"/>
    <n v="0.42352941176470588"/>
    <x v="16"/>
    <n v="0"/>
    <n v="0"/>
    <s v=" "/>
    <n v="6.439742410303588E-3"/>
    <n v="0"/>
    <n v="0.99356025758969646"/>
    <n v="4.666666666666667"/>
    <n v="3.333333333333333"/>
    <n v="0.41666666666666663"/>
    <n v="270"/>
    <n v="32.4"/>
    <n v="33.333333333333336"/>
    <n v="0.97199999999999986"/>
    <n v="0.40239190432382699"/>
  </r>
  <r>
    <x v="1"/>
    <d v="2021-09-08T00:00:00"/>
    <s v="B"/>
    <x v="0"/>
    <x v="0"/>
    <s v="M2"/>
    <s v="L1"/>
    <s v="NIPPLE S TYPE M SIZE INJECTION"/>
    <s v="HEI08Nb"/>
    <s v="Nitin"/>
    <n v="8"/>
    <n v="4815"/>
    <n v="601.875"/>
    <n v="5360"/>
    <n v="5300"/>
    <n v="0"/>
    <n v="0"/>
    <n v="0"/>
    <n v="0"/>
    <n v="60"/>
    <n v="0"/>
    <n v="1"/>
    <n v="5300"/>
    <n v="1.1007268951194185"/>
    <x v="0"/>
    <n v="6.8"/>
    <n v="36.448"/>
    <n v="0.98880597014925364"/>
    <n v="1.1194029850746268E-2"/>
    <n v="0"/>
    <n v="0.98880597014925375"/>
    <n v="0"/>
    <n v="8"/>
    <n v="1"/>
    <n v="662.5"/>
    <n v="5.25"/>
    <n v="5.4339622641509431"/>
    <n v="0.96614583333333337"/>
    <n v="0.95533076803482597"/>
  </r>
  <r>
    <x v="1"/>
    <d v="2021-09-08T00:00:00"/>
    <s v="C"/>
    <x v="0"/>
    <x v="0"/>
    <s v="M2"/>
    <s v="L1"/>
    <s v="NIPPLE S TYPE M SIZE INJECTION"/>
    <s v="HEI08Nc"/>
    <s v="Saurabh"/>
    <n v="8"/>
    <n v="4815"/>
    <n v="601.875"/>
    <n v="5686"/>
    <n v="5600"/>
    <n v="0"/>
    <n v="24"/>
    <n v="0"/>
    <n v="0"/>
    <n v="54"/>
    <n v="8"/>
    <n v="1"/>
    <n v="5600"/>
    <n v="1.1630321910695742"/>
    <x v="0"/>
    <n v="6.8"/>
    <n v="38.6648"/>
    <n v="0.98487513190291942"/>
    <n v="9.5507605235231694E-3"/>
    <n v="4.2031523642732053E-3"/>
    <n v="0.99050298979950757"/>
    <n v="0"/>
    <n v="8"/>
    <n v="1"/>
    <n v="700"/>
    <n v="5.25"/>
    <n v="5.1428571428571432"/>
    <n v="1.0208333333333333"/>
    <n v="1.011138468753664"/>
  </r>
  <r>
    <x v="1"/>
    <d v="2021-09-08T00:00:00"/>
    <s v="C"/>
    <x v="9"/>
    <x v="31"/>
    <m/>
    <s v="INJ1"/>
    <s v="HOOD S TYPE MOLDED"/>
    <s v="EI08Hc"/>
    <s v="Saurabh"/>
    <n v="8"/>
    <n v="4137"/>
    <n v="517.125"/>
    <n v="5512"/>
    <n v="5500"/>
    <n v="0"/>
    <n v="0"/>
    <n v="0"/>
    <n v="0"/>
    <n v="4"/>
    <n v="8"/>
    <n v="1"/>
    <n v="5500"/>
    <n v="1.3294657964708727"/>
    <x v="1"/>
    <n v="8.6"/>
    <n v="47.403199999999998"/>
    <n v="0.99782293178519588"/>
    <n v="7.2674418604651162E-4"/>
    <n v="0"/>
    <n v="0.99927431059506533"/>
    <n v="0"/>
    <n v="8"/>
    <n v="1"/>
    <n v="687.5"/>
    <n v="6"/>
    <n v="5.2363636363636363"/>
    <n v="1.1458333333333333"/>
    <n v="1.1450018142235123"/>
  </r>
  <r>
    <x v="1"/>
    <d v="2021-09-09T00:00:00"/>
    <s v="A"/>
    <x v="0"/>
    <x v="0"/>
    <s v="M2"/>
    <s v="L1"/>
    <s v="NIPPLE S TYPE M SIZE INJECTION"/>
    <s v="HEI09Na"/>
    <s v="Nitin"/>
    <n v="8"/>
    <n v="4815"/>
    <n v="601.875"/>
    <n v="5748"/>
    <n v="5700"/>
    <n v="0"/>
    <n v="16"/>
    <n v="0"/>
    <n v="0"/>
    <n v="24"/>
    <n v="8"/>
    <n v="1"/>
    <n v="5700"/>
    <n v="1.1838006230529594"/>
    <x v="0"/>
    <n v="6.8"/>
    <n v="39.086399999999998"/>
    <n v="0.99164926931106467"/>
    <n v="4.1928721174004195E-3"/>
    <n v="2.7758501040943788E-3"/>
    <n v="0.99582463465553239"/>
    <n v="0"/>
    <n v="8"/>
    <n v="1"/>
    <n v="712.5"/>
    <n v="5.25"/>
    <n v="5.0526315789473681"/>
    <n v="1.0390625"/>
    <n v="1.0347240344467641"/>
  </r>
  <r>
    <x v="1"/>
    <d v="2021-09-09T00:00:00"/>
    <s v="A"/>
    <x v="3"/>
    <x v="3"/>
    <m/>
    <s v="P1"/>
    <s v="NIPPLE S TYPE M SIZE PUNCHED"/>
    <s v="HEI08NaI09Pa"/>
    <s v="Nitin"/>
    <n v="8"/>
    <n v="7000"/>
    <n v="875"/>
    <n v="6500"/>
    <n v="6500"/>
    <n v="0"/>
    <n v="0"/>
    <n v="0"/>
    <n v="0"/>
    <n v="0"/>
    <n v="0"/>
    <n v="1"/>
    <n v="6500"/>
    <n v="0.9285714285714286"/>
    <x v="3"/>
    <n v="0"/>
    <n v="0"/>
    <s v=" "/>
    <n v="0"/>
    <n v="0"/>
    <n v="1"/>
    <n v="1.1666666666666667"/>
    <n v="6.833333333333333"/>
    <n v="0.85416666666666663"/>
    <n v="812.5"/>
    <n v="3.5"/>
    <n v="3.7846153846153845"/>
    <n v="0.92479674796747968"/>
    <n v="0.78993055555555558"/>
  </r>
  <r>
    <x v="1"/>
    <d v="2021-09-09T00:00:00"/>
    <s v="A"/>
    <x v="8"/>
    <x v="70"/>
    <m/>
    <s v="LZ1"/>
    <s v="NIPPLE S TYPE M SIZE PUNCHED LASER MARKED"/>
    <s v="HEI06BG12"/>
    <s v="Nitin"/>
    <n v="8"/>
    <n v="7000"/>
    <n v="875"/>
    <n v="7000"/>
    <n v="7000"/>
    <n v="0"/>
    <n v="0"/>
    <n v="0"/>
    <n v="0"/>
    <n v="0"/>
    <n v="0"/>
    <n v="1"/>
    <n v="7000"/>
    <n v="1"/>
    <x v="19"/>
    <n v="0"/>
    <n v="0"/>
    <s v=" "/>
    <n v="0"/>
    <n v="0"/>
    <n v="1"/>
    <n v="0.66666666666666663"/>
    <n v="7.333333333333333"/>
    <n v="0.91666666666666663"/>
    <n v="875"/>
    <n v="3.5"/>
    <n v="3.7714285714285714"/>
    <n v="0.92803030303030309"/>
    <n v="0.85069444444444442"/>
  </r>
  <r>
    <x v="1"/>
    <d v="2021-09-09T00:00:00"/>
    <s v="A"/>
    <x v="6"/>
    <x v="21"/>
    <m/>
    <s v="PR1"/>
    <s v="KPP 240 ML BOTTLE PRINTED"/>
    <s v="EH18Ba2I09Pa"/>
    <s v="Nitin"/>
    <n v="8"/>
    <n v="5100"/>
    <n v="637.5"/>
    <n v="3802"/>
    <n v="3780"/>
    <n v="0"/>
    <n v="0"/>
    <n v="30"/>
    <n v="0"/>
    <n v="22"/>
    <n v="0"/>
    <n v="5"/>
    <n v="756"/>
    <n v="0.74117647058823533"/>
    <x v="16"/>
    <n v="0"/>
    <n v="0"/>
    <s v=" "/>
    <n v="5.7864281956864806E-3"/>
    <n v="0"/>
    <n v="0.99421357180431347"/>
    <n v="0"/>
    <n v="8"/>
    <n v="1"/>
    <n v="472.5"/>
    <n v="32.4"/>
    <n v="38.095238095238095"/>
    <n v="0.85049999999999992"/>
    <n v="0.84557864281956852"/>
  </r>
  <r>
    <x v="1"/>
    <d v="2021-09-09T00:00:00"/>
    <s v="A"/>
    <x v="9"/>
    <x v="31"/>
    <m/>
    <s v="INJ1"/>
    <s v="HOOD S TYPE MOLDED"/>
    <s v="EI09Ha"/>
    <s v="Nitin"/>
    <n v="8"/>
    <n v="4137"/>
    <n v="517.125"/>
    <n v="5303"/>
    <n v="5300"/>
    <n v="0"/>
    <n v="0"/>
    <n v="0"/>
    <n v="0"/>
    <n v="3"/>
    <n v="0"/>
    <n v="1"/>
    <n v="5300"/>
    <n v="1.2811215856901137"/>
    <x v="1"/>
    <n v="8.6"/>
    <n v="45.605800000000002"/>
    <n v="0.99943428248161414"/>
    <n v="5.6571751838581938E-4"/>
    <n v="0"/>
    <n v="0.99943428248161414"/>
    <n v="0"/>
    <n v="8"/>
    <n v="1"/>
    <n v="662.5"/>
    <n v="6"/>
    <n v="5.4339622641509431"/>
    <n v="1.1041666666666667"/>
    <n v="1.1035420202401156"/>
  </r>
  <r>
    <x v="1"/>
    <d v="2021-09-09T00:00:00"/>
    <s v="G"/>
    <x v="4"/>
    <x v="4"/>
    <m/>
    <m/>
    <s v="NIPPLE S TYPE M SIZE PUNCHED INSPECTED"/>
    <s v="HEI06AG12"/>
    <s v="Himanshu"/>
    <n v="8"/>
    <n v="14000"/>
    <n v="1750"/>
    <n v="11840"/>
    <n v="11670"/>
    <n v="0"/>
    <n v="0"/>
    <n v="0"/>
    <n v="0"/>
    <n v="170"/>
    <n v="0"/>
    <n v="2"/>
    <n v="5835"/>
    <n v="0.83357142857142852"/>
    <x v="4"/>
    <n v="0"/>
    <n v="0"/>
    <s v=" "/>
    <n v="1.4358108108108109E-2"/>
    <n v="0"/>
    <n v="0.98564189189189189"/>
    <n v="0.83333333333333337"/>
    <n v="7.166666666666667"/>
    <n v="0.89583333333333337"/>
    <n v="1458.75"/>
    <n v="4"/>
    <n v="4.4215938303341904"/>
    <n v="0.90465116279069768"/>
    <n v="0.79878061655405408"/>
  </r>
  <r>
    <x v="1"/>
    <d v="2021-09-09T00:00:00"/>
    <s v="B"/>
    <x v="0"/>
    <x v="0"/>
    <s v="M2"/>
    <s v="L1"/>
    <s v="NIPPLE S TYPE M SIZE INJECTION"/>
    <s v="HEI09Nb"/>
    <s v="Himanshu"/>
    <n v="8"/>
    <n v="4815"/>
    <n v="601.875"/>
    <n v="5740"/>
    <n v="5700"/>
    <n v="0"/>
    <n v="0"/>
    <n v="0"/>
    <n v="0"/>
    <n v="40"/>
    <n v="0"/>
    <n v="1"/>
    <n v="5700"/>
    <n v="1.1838006230529594"/>
    <x v="0"/>
    <n v="6.8"/>
    <n v="39.031999999999996"/>
    <n v="0.99303135888501748"/>
    <n v="6.9686411149825784E-3"/>
    <n v="0"/>
    <n v="0.99303135888501737"/>
    <n v="0"/>
    <n v="8"/>
    <n v="1"/>
    <n v="712.5"/>
    <n v="5.25"/>
    <n v="5.0526315789473681"/>
    <n v="1.0390625"/>
    <n v="1.0318216463414633"/>
  </r>
  <r>
    <x v="1"/>
    <d v="2021-09-09T00:00:00"/>
    <s v="B"/>
    <x v="9"/>
    <x v="31"/>
    <m/>
    <s v="INJ1"/>
    <s v="HOOD S TYPE MOLDED"/>
    <s v="EI09Hb"/>
    <s v="Himanshu"/>
    <n v="8"/>
    <n v="4137"/>
    <n v="517.125"/>
    <n v="5413"/>
    <n v="5400"/>
    <n v="0"/>
    <n v="0"/>
    <n v="0"/>
    <n v="0"/>
    <n v="13"/>
    <n v="0"/>
    <n v="1"/>
    <n v="5400"/>
    <n v="1.3052936910804931"/>
    <x v="1"/>
    <n v="8.6"/>
    <n v="46.5518"/>
    <n v="0.99759837428413078"/>
    <n v="2.4016257158692039E-3"/>
    <n v="0"/>
    <n v="0.99759837428413078"/>
    <n v="0"/>
    <n v="8"/>
    <n v="1"/>
    <n v="675"/>
    <n v="6"/>
    <n v="5.333333333333333"/>
    <n v="1.125"/>
    <n v="1.1222981710696471"/>
  </r>
  <r>
    <x v="1"/>
    <d v="2021-09-09T00:00:00"/>
    <s v="B"/>
    <x v="6"/>
    <x v="21"/>
    <m/>
    <s v="PR1"/>
    <s v="KPP 240 ML BOTTLE PRINTED"/>
    <s v="EH18Bc2I09Pb"/>
    <s v="Himanshu"/>
    <n v="8"/>
    <n v="5100"/>
    <n v="637.5"/>
    <n v="3371"/>
    <n v="3348"/>
    <n v="0"/>
    <n v="0"/>
    <n v="42"/>
    <n v="0"/>
    <n v="23"/>
    <n v="0"/>
    <n v="6"/>
    <n v="558"/>
    <n v="0.65647058823529414"/>
    <x v="16"/>
    <n v="0"/>
    <n v="0"/>
    <s v=" "/>
    <n v="6.8229012162563038E-3"/>
    <n v="0"/>
    <n v="0.99317709878374372"/>
    <n v="2.9166666666666665"/>
    <n v="5.0833333333333339"/>
    <n v="0.63541666666666674"/>
    <n v="418.5"/>
    <n v="32.4"/>
    <n v="32.795698924731184"/>
    <n v="0.98793442622950811"/>
    <n v="0.62346692376149515"/>
  </r>
  <r>
    <x v="1"/>
    <d v="2021-09-09T00:00:00"/>
    <s v="B"/>
    <x v="8"/>
    <x v="70"/>
    <m/>
    <s v="LZ1"/>
    <s v="NIPPLE S TYPE M SIZE PUNCHED LASER MARKED"/>
    <s v="HEI07BH12"/>
    <s v="Himanshu"/>
    <n v="8"/>
    <n v="7000"/>
    <n v="875"/>
    <n v="6340"/>
    <n v="6340"/>
    <n v="0"/>
    <n v="0"/>
    <n v="0"/>
    <n v="0"/>
    <n v="0"/>
    <n v="0"/>
    <n v="1"/>
    <n v="6340"/>
    <n v="0.90571428571428569"/>
    <x v="19"/>
    <n v="0"/>
    <n v="0"/>
    <s v=" "/>
    <n v="0"/>
    <n v="0"/>
    <n v="1"/>
    <n v="0.66666666666666663"/>
    <n v="7.333333333333333"/>
    <n v="0.91666666666666663"/>
    <n v="792.5"/>
    <n v="3.5"/>
    <n v="4.1640378548895898"/>
    <n v="0.84053030303030307"/>
    <n v="0.77048611111111109"/>
  </r>
  <r>
    <x v="1"/>
    <d v="2021-09-09T00:00:00"/>
    <s v="B"/>
    <x v="3"/>
    <x v="3"/>
    <m/>
    <s v="P1"/>
    <s v="NIPPLE S TYPE M SIZE PUNCHED"/>
    <s v="HEI08NbI09Pb"/>
    <s v="Himanshu"/>
    <n v="8"/>
    <n v="7000"/>
    <n v="875"/>
    <n v="7000"/>
    <n v="7000"/>
    <n v="0"/>
    <n v="0"/>
    <n v="0"/>
    <n v="0"/>
    <n v="0"/>
    <n v="0"/>
    <n v="1"/>
    <n v="7000"/>
    <n v="1"/>
    <x v="3"/>
    <n v="0"/>
    <n v="0"/>
    <s v=" "/>
    <n v="0"/>
    <n v="0"/>
    <n v="1"/>
    <n v="0.66666666666666663"/>
    <n v="7.333333333333333"/>
    <n v="0.91666666666666663"/>
    <n v="875"/>
    <n v="3.5"/>
    <n v="3.7714285714285714"/>
    <n v="0.92803030303030309"/>
    <n v="0.85069444444444442"/>
  </r>
  <r>
    <x v="1"/>
    <d v="2021-09-09T00:00:00"/>
    <s v="C"/>
    <x v="9"/>
    <x v="31"/>
    <m/>
    <s v="INJ1"/>
    <s v="HOOD S TYPE MOLDED"/>
    <s v="EI09Hc"/>
    <s v="Saurabh"/>
    <n v="8"/>
    <n v="4137"/>
    <n v="517.125"/>
    <n v="5513"/>
    <n v="5500"/>
    <n v="0"/>
    <n v="0"/>
    <n v="0"/>
    <n v="0"/>
    <n v="5"/>
    <n v="8"/>
    <n v="1"/>
    <n v="5500"/>
    <n v="1.3294657964708727"/>
    <x v="1"/>
    <n v="8.6"/>
    <n v="47.411799999999999"/>
    <n v="0.99764193723925265"/>
    <n v="9.0826521344232513E-4"/>
    <n v="0"/>
    <n v="0.99909305278432792"/>
    <n v="0"/>
    <n v="8"/>
    <n v="1"/>
    <n v="687.5"/>
    <n v="6"/>
    <n v="5.2363636363636363"/>
    <n v="1.1458333333333333"/>
    <n v="1.1447941229820424"/>
  </r>
  <r>
    <x v="1"/>
    <d v="2021-09-09T00:00:00"/>
    <s v="C"/>
    <x v="0"/>
    <x v="0"/>
    <s v="M2"/>
    <s v="L1"/>
    <s v="NIPPLE S TYPE M SIZE INJECTION"/>
    <s v="HEI09Nc"/>
    <s v="Saurabh"/>
    <n v="8"/>
    <n v="4815"/>
    <n v="601.875"/>
    <n v="5753"/>
    <n v="5700"/>
    <n v="0"/>
    <n v="0"/>
    <n v="0"/>
    <n v="0"/>
    <n v="45"/>
    <n v="8"/>
    <n v="1"/>
    <n v="5700"/>
    <n v="1.1838006230529594"/>
    <x v="0"/>
    <n v="6.8"/>
    <n v="39.120399999999997"/>
    <n v="0.99078741526160263"/>
    <n v="7.832898172323759E-3"/>
    <n v="0"/>
    <n v="0.99217799409003993"/>
    <n v="0"/>
    <n v="8"/>
    <n v="1"/>
    <n v="712.5"/>
    <n v="5.25"/>
    <n v="5.0526315789473681"/>
    <n v="1.0390625"/>
    <n v="1.0309349469841822"/>
  </r>
  <r>
    <x v="1"/>
    <d v="2021-09-10T00:00:00"/>
    <s v="A"/>
    <x v="3"/>
    <x v="3"/>
    <m/>
    <m/>
    <s v="NIPPLE S TYPE M SIZE PUNCHED"/>
    <s v="HEI08NcI10Pa"/>
    <s v="Himanshu"/>
    <n v="8"/>
    <n v="7000"/>
    <n v="875"/>
    <n v="6600"/>
    <n v="6600"/>
    <n v="0"/>
    <n v="0"/>
    <n v="0"/>
    <n v="0"/>
    <n v="0"/>
    <n v="0"/>
    <n v="1"/>
    <n v="6600"/>
    <n v="0.94285714285714284"/>
    <x v="3"/>
    <n v="0"/>
    <n v="0"/>
    <s v=" "/>
    <n v="0"/>
    <n v="0"/>
    <n v="1"/>
    <n v="1.1666666666666667"/>
    <n v="6.833333333333333"/>
    <n v="0.85416666666666663"/>
    <n v="825"/>
    <n v="3.5"/>
    <n v="3.7272727272727271"/>
    <n v="0.9390243902439025"/>
    <n v="0.80208333333333337"/>
  </r>
  <r>
    <x v="1"/>
    <d v="2021-09-10T00:00:00"/>
    <s v="A"/>
    <x v="8"/>
    <x v="70"/>
    <m/>
    <m/>
    <s v="NIPPLE S TYPE M SIZE PUNCHED LASER MARKED"/>
    <s v="HEI08AH12"/>
    <s v="Himanshu"/>
    <n v="8"/>
    <n v="7000"/>
    <n v="875"/>
    <n v="6400"/>
    <n v="6400"/>
    <n v="0"/>
    <n v="0"/>
    <n v="0"/>
    <n v="0"/>
    <n v="0"/>
    <n v="0"/>
    <n v="1"/>
    <n v="6400"/>
    <n v="0.91428571428571426"/>
    <x v="19"/>
    <n v="0"/>
    <n v="0"/>
    <s v=" "/>
    <n v="0"/>
    <n v="0"/>
    <n v="1"/>
    <n v="1.1666666666666667"/>
    <n v="6.833333333333333"/>
    <n v="0.85416666666666663"/>
    <n v="800"/>
    <n v="3.5"/>
    <n v="3.84375"/>
    <n v="0.91056910569105687"/>
    <n v="0.77777777777777768"/>
  </r>
  <r>
    <x v="1"/>
    <d v="2021-09-10T00:00:00"/>
    <s v="A"/>
    <x v="0"/>
    <x v="0"/>
    <s v="M2"/>
    <s v="L1"/>
    <s v="NIPPLE S TYPE M SIZE INJECTION"/>
    <s v="HEI10Na"/>
    <s v="Himanshu"/>
    <n v="8"/>
    <n v="4815"/>
    <n v="601.875"/>
    <n v="5550"/>
    <n v="5500"/>
    <n v="0"/>
    <n v="20"/>
    <n v="0"/>
    <n v="0"/>
    <n v="22"/>
    <n v="8"/>
    <n v="1"/>
    <n v="5500"/>
    <n v="1.142263759086189"/>
    <x v="0"/>
    <n v="6.8"/>
    <n v="37.739999999999995"/>
    <n v="0.99099099099099108"/>
    <n v="3.9840637450199202E-3"/>
    <n v="3.5906642728904849E-3"/>
    <n v="0.99603603603603608"/>
    <n v="0.66666666666666663"/>
    <n v="7.333333333333333"/>
    <n v="0.91666666666666663"/>
    <n v="687.5"/>
    <n v="5.25"/>
    <n v="4.8"/>
    <n v="1.09375"/>
    <n v="0.99862987987987983"/>
  </r>
  <r>
    <x v="1"/>
    <d v="2021-09-10T00:00:00"/>
    <s v="A"/>
    <x v="9"/>
    <x v="31"/>
    <m/>
    <m/>
    <s v="HOOD S TYPE MOLDED"/>
    <s v="HI10HA"/>
    <s v="Himanshu"/>
    <n v="8"/>
    <n v="4137"/>
    <n v="517.125"/>
    <n v="5020"/>
    <n v="5000"/>
    <n v="0"/>
    <n v="10"/>
    <n v="0"/>
    <n v="0"/>
    <n v="2"/>
    <n v="8"/>
    <n v="1"/>
    <n v="5000"/>
    <n v="1.2086052695189751"/>
    <x v="1"/>
    <n v="8.6"/>
    <n v="43.171999999999997"/>
    <n v="0.99601593625498019"/>
    <n v="3.9984006397441024E-4"/>
    <n v="1.9880715705765406E-3"/>
    <n v="0.99960159362549805"/>
    <n v="0"/>
    <n v="8"/>
    <n v="1"/>
    <n v="625"/>
    <n v="6"/>
    <n v="5.76"/>
    <n v="1.0416666666666667"/>
    <n v="1.0412516600265604"/>
  </r>
  <r>
    <x v="1"/>
    <d v="2021-09-10T00:00:00"/>
    <s v="A"/>
    <x v="6"/>
    <x v="21"/>
    <m/>
    <m/>
    <s v="KPP 240 ML BOTTLE PRINTED"/>
    <s v="EH18BC2I10Pa"/>
    <s v="Himanshu"/>
    <n v="8"/>
    <n v="5100"/>
    <n v="637.5"/>
    <n v="3923"/>
    <n v="3888"/>
    <n v="0"/>
    <n v="0"/>
    <n v="26"/>
    <n v="0"/>
    <n v="35"/>
    <n v="0"/>
    <n v="6"/>
    <n v="648"/>
    <n v="0.76235294117647057"/>
    <x v="16"/>
    <n v="0"/>
    <n v="0"/>
    <s v=" "/>
    <n v="8.9217435635992864E-3"/>
    <n v="0"/>
    <n v="0.99107825643640068"/>
    <n v="2.0833333333333335"/>
    <n v="5.9166666666666661"/>
    <n v="0.73958333333333326"/>
    <n v="486"/>
    <n v="32.4"/>
    <n v="32.870370370370374"/>
    <n v="0.98569014084507023"/>
    <n v="0.72249604894213593"/>
  </r>
  <r>
    <x v="1"/>
    <d v="2021-09-10T00:00:00"/>
    <s v="G"/>
    <x v="4"/>
    <x v="4"/>
    <m/>
    <m/>
    <s v="NIPPLE S TYPE M SIZE PUNCHED INSPECTED"/>
    <s v="HEI07BG12"/>
    <s v="Himanshu"/>
    <n v="8"/>
    <n v="14000"/>
    <n v="1750"/>
    <n v="13900"/>
    <n v="13741"/>
    <n v="0"/>
    <n v="0"/>
    <n v="0"/>
    <n v="0"/>
    <n v="159"/>
    <n v="0"/>
    <n v="2"/>
    <n v="6870.5"/>
    <n v="0.98150000000000004"/>
    <x v="4"/>
    <n v="0"/>
    <n v="0"/>
    <s v=" "/>
    <n v="1.1438848920863309E-2"/>
    <n v="0"/>
    <n v="0.98856115107913667"/>
    <n v="0"/>
    <n v="8"/>
    <n v="1"/>
    <n v="1717.625"/>
    <n v="4"/>
    <n v="4.1918346554108146"/>
    <n v="0.95423611111111106"/>
    <n v="0.94332074840127889"/>
  </r>
  <r>
    <x v="1"/>
    <d v="2021-09-10T00:00:00"/>
    <s v="B"/>
    <x v="3"/>
    <x v="3"/>
    <m/>
    <m/>
    <s v="NIPPLE S TYPE M SIZE PUNCHED"/>
    <s v="HEI09NaI10Pb"/>
    <s v="Himanshu"/>
    <n v="8"/>
    <n v="7000"/>
    <n v="875"/>
    <n v="6400"/>
    <n v="6400"/>
    <n v="0"/>
    <n v="0"/>
    <n v="0"/>
    <n v="0"/>
    <n v="0"/>
    <n v="0"/>
    <n v="1"/>
    <n v="6400"/>
    <n v="0.91428571428571426"/>
    <x v="3"/>
    <n v="0"/>
    <n v="0"/>
    <s v=" "/>
    <n v="0"/>
    <n v="0"/>
    <n v="1"/>
    <n v="0"/>
    <n v="8"/>
    <n v="1"/>
    <n v="800"/>
    <n v="3.5"/>
    <n v="4.5"/>
    <n v="0.77777777777777779"/>
    <n v="0.77777777777777779"/>
  </r>
  <r>
    <x v="1"/>
    <d v="2021-09-10T00:00:00"/>
    <s v="B"/>
    <x v="8"/>
    <x v="70"/>
    <m/>
    <m/>
    <s v="NIPPLE S TYPE M SIZE PUNCHED LASER MARKED"/>
    <s v="HEI08AH12"/>
    <s v="Himanshu"/>
    <n v="8"/>
    <n v="7000"/>
    <n v="875"/>
    <n v="6300"/>
    <n v="6300"/>
    <n v="0"/>
    <n v="0"/>
    <n v="0"/>
    <n v="0"/>
    <n v="0"/>
    <n v="0"/>
    <n v="1"/>
    <n v="6300"/>
    <n v="0.9"/>
    <x v="19"/>
    <n v="0"/>
    <n v="0"/>
    <s v=" "/>
    <n v="0"/>
    <n v="0"/>
    <n v="1"/>
    <n v="0.66666666666666663"/>
    <n v="7.333333333333333"/>
    <n v="0.91666666666666663"/>
    <n v="787.5"/>
    <n v="3.5"/>
    <n v="4.1904761904761907"/>
    <n v="0.83522727272727271"/>
    <n v="0.765625"/>
  </r>
  <r>
    <x v="1"/>
    <d v="2021-09-10T00:00:00"/>
    <s v="B"/>
    <x v="0"/>
    <x v="0"/>
    <s v="M2"/>
    <s v="L1"/>
    <s v="NIPPLE S TYPE M SIZE INJECTION"/>
    <s v="HEI10Nb"/>
    <s v="Himanshu"/>
    <n v="8"/>
    <n v="4815"/>
    <n v="601.875"/>
    <n v="5455"/>
    <n v="5400"/>
    <n v="0"/>
    <n v="0"/>
    <n v="0"/>
    <n v="0"/>
    <n v="55"/>
    <n v="0"/>
    <n v="1"/>
    <n v="5400"/>
    <n v="1.1214953271028036"/>
    <x v="0"/>
    <n v="6.8"/>
    <n v="37.094000000000001"/>
    <n v="0.98991750687442703"/>
    <n v="1.0082493125572869E-2"/>
    <n v="0"/>
    <n v="0.98991750687442714"/>
    <n v="0"/>
    <n v="8"/>
    <n v="1"/>
    <n v="675"/>
    <n v="5.25"/>
    <n v="5.333333333333333"/>
    <n v="0.984375"/>
    <n v="0.97445004582951422"/>
  </r>
  <r>
    <x v="1"/>
    <d v="2021-09-10T00:00:00"/>
    <s v="B"/>
    <x v="9"/>
    <x v="31"/>
    <m/>
    <m/>
    <s v="HOOD S TYPE MOLDED"/>
    <s v="HEI10Hb"/>
    <s v="Himanshu"/>
    <n v="8"/>
    <n v="4137"/>
    <n v="517.125"/>
    <n v="5012"/>
    <n v="5000"/>
    <n v="0"/>
    <n v="0"/>
    <n v="0"/>
    <n v="0"/>
    <n v="12"/>
    <n v="0"/>
    <n v="1"/>
    <n v="5000"/>
    <n v="1.2086052695189751"/>
    <x v="1"/>
    <n v="8.6"/>
    <n v="43.103200000000001"/>
    <n v="0.99760574620909814"/>
    <n v="2.3942537909018356E-3"/>
    <n v="0"/>
    <n v="0.99760574620909814"/>
    <n v="0"/>
    <n v="8"/>
    <n v="1"/>
    <n v="625"/>
    <n v="6"/>
    <n v="5.76"/>
    <n v="1.0416666666666667"/>
    <n v="1.039172652301144"/>
  </r>
  <r>
    <x v="1"/>
    <d v="2021-09-10T00:00:00"/>
    <s v="B"/>
    <x v="6"/>
    <x v="21"/>
    <m/>
    <s v="PR1"/>
    <s v="KPP 240 ML BOTTLE PRINTED"/>
    <s v="EH19Bb2I02Pb"/>
    <s v="Himanshu"/>
    <n v="8"/>
    <n v="5100"/>
    <n v="637.5"/>
    <n v="2392"/>
    <n v="2376"/>
    <n v="0"/>
    <n v="0"/>
    <n v="18"/>
    <n v="0"/>
    <n v="16"/>
    <n v="0"/>
    <n v="6"/>
    <n v="396"/>
    <n v="0.46588235294117647"/>
    <x v="16"/>
    <n v="0"/>
    <n v="0"/>
    <s v=" "/>
    <n v="6.688963210702341E-3"/>
    <n v="0"/>
    <n v="0.99331103678929766"/>
    <n v="4.5"/>
    <n v="3.5"/>
    <n v="0.4375"/>
    <n v="297"/>
    <n v="32.4"/>
    <n v="31.818181818181817"/>
    <n v="1.0182857142857142"/>
    <n v="0.44252006688963208"/>
  </r>
  <r>
    <x v="1"/>
    <d v="2021-09-10T00:00:00"/>
    <s v="C"/>
    <x v="0"/>
    <x v="0"/>
    <s v="M2"/>
    <s v="L1"/>
    <s v="NIPPLE S TYPE M SIZE INJECTION"/>
    <s v="HEI10Nc"/>
    <s v="Saurabh"/>
    <n v="8"/>
    <n v="3600"/>
    <n v="450"/>
    <n v="2326"/>
    <n v="2280"/>
    <n v="15.690000000000001"/>
    <n v="21"/>
    <n v="0"/>
    <n v="0"/>
    <n v="17"/>
    <n v="8"/>
    <n v="1"/>
    <n v="2280"/>
    <n v="0.6333333333333333"/>
    <x v="0"/>
    <n v="6.8"/>
    <n v="31.506799999999998"/>
    <n v="0.49208424847969329"/>
    <n v="7.4009577710056592E-3"/>
    <n v="8.9475926714955266E-3"/>
    <n v="0.99269131556319867"/>
    <n v="4"/>
    <n v="4"/>
    <n v="0.5"/>
    <n v="285"/>
    <n v="5.25"/>
    <n v="6.3157894736842106"/>
    <n v="0.83124999999999993"/>
    <n v="0.41258732803095444"/>
  </r>
  <r>
    <x v="1"/>
    <d v="2021-09-10T00:00:00"/>
    <s v="C"/>
    <x v="9"/>
    <x v="31"/>
    <m/>
    <s v="INJ1"/>
    <s v="HOOD S TYPE MOLDED"/>
    <s v="EI10Hc"/>
    <s v="Saurabh"/>
    <n v="8"/>
    <n v="4137"/>
    <n v="517.125"/>
    <n v="5517"/>
    <n v="5500"/>
    <n v="0"/>
    <n v="0"/>
    <n v="0"/>
    <n v="0"/>
    <n v="9"/>
    <n v="8"/>
    <n v="1"/>
    <n v="5500"/>
    <n v="1.3294657964708727"/>
    <x v="1"/>
    <n v="8.6"/>
    <n v="47.446199999999997"/>
    <n v="0.99691861518941449"/>
    <n v="1.6336903249228535E-3"/>
    <n v="0"/>
    <n v="0.99836867862969003"/>
    <n v="0"/>
    <n v="8"/>
    <n v="1"/>
    <n v="687.5"/>
    <n v="6"/>
    <n v="5.2363636363636363"/>
    <n v="1.1458333333333333"/>
    <n v="1.1439641109298531"/>
  </r>
  <r>
    <x v="1"/>
    <d v="2021-09-13T00:00:00"/>
    <s v="A"/>
    <x v="1"/>
    <x v="9"/>
    <s v="BM2"/>
    <s v="B1"/>
    <s v="KPP 200 ML BOTTLE MOLDED"/>
    <s v="EI13Ba1"/>
    <s v="Himanshu"/>
    <n v="8"/>
    <n v="2574"/>
    <n v="321.75"/>
    <n v="2164"/>
    <n v="2052"/>
    <n v="0.18"/>
    <n v="42"/>
    <n v="0"/>
    <n v="0"/>
    <n v="62"/>
    <n v="8"/>
    <n v="1"/>
    <n v="2052"/>
    <n v="0.79720279720279719"/>
    <x v="1"/>
    <n v="28.1"/>
    <n v="60.988399999999999"/>
    <n v="0.94544536338057727"/>
    <n v="2.9328287606433301E-2"/>
    <n v="1.9038984587488667E-2"/>
    <n v="0.97134935304990755"/>
    <n v="2.6666666666666665"/>
    <n v="5.3333333333333339"/>
    <n v="0.66666666666666674"/>
    <n v="256.5"/>
    <n v="9"/>
    <n v="9.3567251461988317"/>
    <n v="0.96187499999999992"/>
    <n v="0.62287777264325317"/>
  </r>
  <r>
    <x v="1"/>
    <d v="2021-09-13T00:00:00"/>
    <s v="A"/>
    <x v="9"/>
    <x v="31"/>
    <m/>
    <s v="INJ1"/>
    <s v="HOOD S TYPE MOLDED"/>
    <s v="EI13Ha"/>
    <s v="Himanshu"/>
    <n v="8"/>
    <n v="4137"/>
    <n v="517.125"/>
    <n v="4514"/>
    <n v="4500"/>
    <n v="0.11"/>
    <n v="0"/>
    <n v="0"/>
    <n v="0"/>
    <n v="6"/>
    <n v="8"/>
    <n v="1"/>
    <n v="4500"/>
    <n v="1.0877447425670776"/>
    <x v="1"/>
    <n v="8.6"/>
    <n v="38.930399999999999"/>
    <n v="0.99408174588496401"/>
    <n v="1.3315579227696406E-3"/>
    <n v="0"/>
    <n v="0.99867080194949043"/>
    <n v="0.5"/>
    <n v="7.5"/>
    <n v="0.9375"/>
    <n v="562.5"/>
    <n v="6"/>
    <n v="6"/>
    <n v="1"/>
    <n v="0.93625387682764727"/>
  </r>
  <r>
    <x v="1"/>
    <d v="2021-09-13T00:00:00"/>
    <s v="A"/>
    <x v="3"/>
    <x v="3"/>
    <m/>
    <s v="P1"/>
    <s v="NIPPLE S TYPE M SIZE PUNCHED"/>
    <s v="HEI10NaI13Pa"/>
    <s v="Himanshu"/>
    <n v="8"/>
    <n v="7000"/>
    <n v="875"/>
    <n v="7200"/>
    <n v="7200"/>
    <n v="0"/>
    <n v="0"/>
    <n v="0"/>
    <n v="0"/>
    <n v="0"/>
    <n v="0"/>
    <n v="1"/>
    <n v="7200"/>
    <n v="1.0285714285714285"/>
    <x v="3"/>
    <n v="0"/>
    <n v="0"/>
    <s v=" "/>
    <n v="0"/>
    <n v="0"/>
    <n v="1"/>
    <n v="0.66666666666666663"/>
    <n v="7.333333333333333"/>
    <n v="0.91666666666666663"/>
    <n v="900"/>
    <n v="3.5"/>
    <n v="3.6666666666666665"/>
    <n v="0.95454545454545459"/>
    <n v="0.875"/>
  </r>
  <r>
    <x v="1"/>
    <d v="2021-09-13T00:00:00"/>
    <s v="A"/>
    <x v="8"/>
    <x v="70"/>
    <m/>
    <s v="LZ1"/>
    <s v="NIPPLE S TYPE M SIZE PUNCHED LASER MARKED"/>
    <s v="HEI08CH12"/>
    <s v="Himanshu"/>
    <n v="8"/>
    <n v="7000"/>
    <n v="875"/>
    <n v="6600"/>
    <n v="6600"/>
    <n v="0"/>
    <n v="0"/>
    <n v="0"/>
    <n v="0"/>
    <n v="0"/>
    <n v="0"/>
    <n v="1"/>
    <n v="6600"/>
    <n v="0.94285714285714284"/>
    <x v="19"/>
    <n v="0"/>
    <n v="0"/>
    <s v=" "/>
    <n v="0"/>
    <n v="0"/>
    <n v="1"/>
    <n v="1.0833333333333333"/>
    <n v="6.916666666666667"/>
    <n v="0.86458333333333337"/>
    <n v="825"/>
    <n v="3.5"/>
    <n v="3.7727272727272729"/>
    <n v="0.92771084337349397"/>
    <n v="0.80208333333333337"/>
  </r>
  <r>
    <x v="1"/>
    <d v="2021-09-13T00:00:00"/>
    <s v="A"/>
    <x v="6"/>
    <x v="21"/>
    <m/>
    <m/>
    <s v="KPP 240 ML BOTTLE PRINTED"/>
    <s v="EH19Ba2I13PA"/>
    <s v="Pintu"/>
    <n v="8"/>
    <n v="5100"/>
    <n v="637.5"/>
    <n v="4047"/>
    <n v="3996"/>
    <n v="0"/>
    <n v="0"/>
    <n v="31"/>
    <n v="0"/>
    <n v="51"/>
    <n v="0"/>
    <n v="6"/>
    <n v="666"/>
    <n v="0.78352941176470592"/>
    <x v="16"/>
    <n v="0"/>
    <n v="0"/>
    <s v=" "/>
    <n v="1.2601927353595256E-2"/>
    <n v="0"/>
    <n v="0.98739807264640478"/>
    <n v="2.3333333333333335"/>
    <n v="5.6666666666666661"/>
    <n v="0.70833333333333326"/>
    <n v="499.5"/>
    <n v="32.4"/>
    <n v="30.63063063063063"/>
    <n v="1.0577647058823529"/>
    <n v="0.7398080059303187"/>
  </r>
  <r>
    <x v="1"/>
    <d v="2021-09-13T00:00:00"/>
    <s v="B"/>
    <x v="3"/>
    <x v="3"/>
    <m/>
    <m/>
    <s v="NIPPLE S TYPE M SIZE PUNCHED"/>
    <s v="HEI10NbI13PA"/>
    <s v="Badelal"/>
    <n v="8"/>
    <n v="7000"/>
    <n v="875"/>
    <n v="7000"/>
    <n v="7000"/>
    <n v="0"/>
    <n v="0"/>
    <n v="0"/>
    <n v="0"/>
    <n v="0"/>
    <n v="0"/>
    <n v="1"/>
    <n v="7000"/>
    <n v="1"/>
    <x v="3"/>
    <n v="0"/>
    <n v="0"/>
    <s v=" "/>
    <n v="0"/>
    <n v="0"/>
    <n v="1"/>
    <n v="0.66666666666666663"/>
    <n v="7.333333333333333"/>
    <n v="0.91666666666666663"/>
    <n v="875"/>
    <n v="3.5"/>
    <n v="3.7714285714285714"/>
    <n v="0.92803030303030309"/>
    <n v="0.85069444444444442"/>
  </r>
  <r>
    <x v="1"/>
    <d v="2021-09-13T00:00:00"/>
    <s v="B"/>
    <x v="9"/>
    <x v="31"/>
    <m/>
    <s v="INJ1"/>
    <s v="HOOD S TYPE MOLDED"/>
    <s v="EI13Hb"/>
    <s v="Badelal"/>
    <n v="8"/>
    <n v="4137"/>
    <n v="517.125"/>
    <n v="5208"/>
    <n v="5200"/>
    <n v="0"/>
    <n v="0"/>
    <n v="0"/>
    <n v="0"/>
    <n v="8"/>
    <n v="0"/>
    <n v="1"/>
    <n v="5200"/>
    <n v="1.2569494802997341"/>
    <x v="1"/>
    <n v="8.6"/>
    <n v="44.788800000000002"/>
    <n v="0.99846390168970811"/>
    <n v="1.5360983102918587E-3"/>
    <n v="0"/>
    <n v="0.99846390168970811"/>
    <n v="0"/>
    <n v="8"/>
    <n v="1"/>
    <n v="650"/>
    <n v="6"/>
    <n v="5.5384615384615383"/>
    <n v="1.0833333333333333"/>
    <n v="1.081669226830517"/>
  </r>
  <r>
    <x v="1"/>
    <d v="2021-09-13T00:00:00"/>
    <s v="B"/>
    <x v="0"/>
    <x v="47"/>
    <s v="M2"/>
    <s v="L2"/>
    <s v="NIPPLE S TYPE L SIZE INJECTION"/>
    <s v="HEI13NB"/>
    <s v="Badelal"/>
    <n v="8"/>
    <n v="4815"/>
    <n v="601.875"/>
    <n v="4220"/>
    <n v="4000"/>
    <n v="1.56"/>
    <n v="142"/>
    <n v="0"/>
    <n v="0"/>
    <n v="70"/>
    <n v="8"/>
    <n v="1"/>
    <n v="4000"/>
    <n v="0.83073727933541019"/>
    <x v="0"/>
    <n v="6.8"/>
    <n v="30.255999999999997"/>
    <n v="0.89899524061343217"/>
    <n v="1.7199017199017199E-2"/>
    <n v="3.2553874369555251E-2"/>
    <n v="0.98341232227488151"/>
    <n v="1.1666666666666667"/>
    <n v="6.833333333333333"/>
    <n v="0.85416666666666663"/>
    <n v="500"/>
    <n v="5.25"/>
    <n v="6.15"/>
    <n v="0.85365853658536583"/>
    <n v="0.71707148499210105"/>
  </r>
  <r>
    <x v="1"/>
    <d v="2021-09-13T00:00:00"/>
    <s v="B"/>
    <x v="8"/>
    <x v="70"/>
    <m/>
    <s v="B1"/>
    <s v="NIPPLE S TYPE M SIZE PUNCHED LASER MARKED"/>
    <s v="HEI09AH12"/>
    <s v="Badelal"/>
    <n v="8"/>
    <n v="7000"/>
    <n v="875"/>
    <n v="6700"/>
    <n v="6700"/>
    <n v="0"/>
    <n v="0"/>
    <n v="0"/>
    <n v="0"/>
    <n v="0"/>
    <n v="0"/>
    <n v="1"/>
    <n v="6700"/>
    <n v="0.95714285714285718"/>
    <x v="19"/>
    <n v="0"/>
    <n v="0"/>
    <s v=" "/>
    <n v="0"/>
    <n v="0"/>
    <n v="1"/>
    <n v="0.66666666666666663"/>
    <n v="7.333333333333333"/>
    <n v="0.91666666666666663"/>
    <n v="837.5"/>
    <n v="3.5"/>
    <n v="3.9402985074626864"/>
    <n v="0.8882575757575758"/>
    <n v="0.81423611111111116"/>
  </r>
  <r>
    <x v="1"/>
    <d v="2021-09-13T00:00:00"/>
    <s v="B"/>
    <x v="1"/>
    <x v="9"/>
    <m/>
    <s v="B1"/>
    <s v="KPP 200 ML BOTTLE MOLDED"/>
    <s v="EI13Bb1"/>
    <s v="Badelal"/>
    <n v="8"/>
    <n v="2574"/>
    <n v="321.75"/>
    <n v="2906"/>
    <n v="2808"/>
    <n v="0"/>
    <n v="42"/>
    <n v="0"/>
    <n v="0"/>
    <n v="56"/>
    <n v="0"/>
    <n v="1"/>
    <n v="2808"/>
    <n v="1.0909090909090908"/>
    <x v="1"/>
    <n v="28.1"/>
    <n v="81.658600000000007"/>
    <n v="0.96627666896077069"/>
    <n v="1.9553072625698324E-2"/>
    <n v="1.4246947082767978E-2"/>
    <n v="0.98072952512044043"/>
    <n v="0"/>
    <n v="8"/>
    <n v="1"/>
    <n v="351"/>
    <n v="9"/>
    <n v="10.256410256410257"/>
    <n v="0.87749999999999995"/>
    <n v="0.86059015829318641"/>
  </r>
  <r>
    <x v="1"/>
    <d v="2021-09-13T00:00:00"/>
    <s v="B"/>
    <x v="6"/>
    <x v="21"/>
    <m/>
    <m/>
    <s v="KPP 240 ML BOTTLE PRINTED"/>
    <s v="EH20Ba2I13Pb"/>
    <s v="Badelal"/>
    <n v="8"/>
    <n v="5100"/>
    <n v="637.5"/>
    <n v="5033"/>
    <n v="4968"/>
    <n v="0"/>
    <n v="0"/>
    <n v="41"/>
    <n v="0"/>
    <n v="65"/>
    <n v="0"/>
    <n v="6"/>
    <n v="828"/>
    <n v="0.97411764705882353"/>
    <x v="16"/>
    <n v="0"/>
    <n v="0"/>
    <s v=" "/>
    <n v="1.2914762567057422E-2"/>
    <n v="0"/>
    <n v="0.98708523743294263"/>
    <n v="0.66666666666666663"/>
    <n v="7.333333333333333"/>
    <n v="0.91666666666666663"/>
    <n v="621"/>
    <n v="32.4"/>
    <n v="31.884057971014492"/>
    <n v="1.0161818181818181"/>
    <n v="0.91946989866878592"/>
  </r>
  <r>
    <x v="1"/>
    <d v="2021-09-13T00:00:00"/>
    <s v="G"/>
    <x v="4"/>
    <x v="4"/>
    <m/>
    <m/>
    <s v="NIPPLE S TYPE M SIZE PUNCHED INSPECTED"/>
    <s v="HEI08NbI09Pa"/>
    <s v="Badelal"/>
    <n v="8.5"/>
    <n v="10091"/>
    <n v="1187.1764705882354"/>
    <n v="11900"/>
    <n v="11867"/>
    <n v="0"/>
    <n v="0"/>
    <n v="0"/>
    <n v="0"/>
    <n v="33"/>
    <n v="0"/>
    <n v="1"/>
    <n v="11867"/>
    <n v="1.1759984144286988"/>
    <x v="4"/>
    <n v="0"/>
    <n v="0"/>
    <s v=" "/>
    <n v="2.773109243697479E-3"/>
    <n v="0"/>
    <n v="0.99722689075630255"/>
    <n v="0.83333333333333337"/>
    <n v="7.666666666666667"/>
    <n v="0.90196078431372551"/>
    <n v="1396.1176470588234"/>
    <n v="4"/>
    <n v="2.3257773658043313"/>
    <n v="1.7198550724637682"/>
    <n v="1.5469400670071951"/>
  </r>
  <r>
    <x v="1"/>
    <d v="2021-09-13T00:00:00"/>
    <s v="G"/>
    <x v="7"/>
    <x v="29"/>
    <m/>
    <s v="WR1"/>
    <s v="NIPPLE S TYPE LL SIZE WRAPPED"/>
    <s v="HEH20AG22"/>
    <s v="Badelal"/>
    <n v="8.5"/>
    <n v="16132"/>
    <n v="1897.8823529411766"/>
    <n v="16305"/>
    <n v="16287"/>
    <n v="0"/>
    <n v="0"/>
    <n v="0"/>
    <n v="0"/>
    <n v="18"/>
    <n v="0"/>
    <n v="2"/>
    <n v="8143.5"/>
    <n v="1.0096082320852964"/>
    <x v="24"/>
    <n v="0"/>
    <n v="0"/>
    <s v=" "/>
    <n v="1.1039558417663294E-3"/>
    <n v="0"/>
    <n v="0.99889604415823363"/>
    <n v="0.83333333333333337"/>
    <n v="7.666666666666667"/>
    <n v="0.90196078431372551"/>
    <n v="1916.1176470588234"/>
    <n v="2.5"/>
    <n v="3.3892061153066861"/>
    <n v="0.73763586956521743"/>
    <n v="0.66458414506556995"/>
  </r>
  <r>
    <x v="1"/>
    <d v="2021-09-13T00:00:00"/>
    <s v="C"/>
    <x v="0"/>
    <x v="47"/>
    <s v="M2"/>
    <s v="L2"/>
    <s v="NIPPLE S TYPE L SIZE INJECTION"/>
    <s v="HEI13Nc"/>
    <s v="Saurabh"/>
    <n v="8"/>
    <n v="4815"/>
    <n v="601.875"/>
    <n v="5383"/>
    <n v="5300"/>
    <n v="0"/>
    <n v="27"/>
    <n v="0"/>
    <n v="0"/>
    <n v="48"/>
    <n v="8"/>
    <n v="1"/>
    <n v="5300"/>
    <n v="1.1007268951194185"/>
    <x v="0"/>
    <n v="6.8"/>
    <n v="36.604399999999998"/>
    <n v="0.98458108861229798"/>
    <n v="8.9753178758414359E-3"/>
    <n v="4.990757855822551E-3"/>
    <n v="0.99108303919747354"/>
    <n v="0"/>
    <n v="8"/>
    <n v="1"/>
    <n v="662.5"/>
    <n v="5.25"/>
    <n v="5.4339622641509431"/>
    <n v="0.96614583333333337"/>
    <n v="0.95753074880797573"/>
  </r>
  <r>
    <x v="1"/>
    <d v="2021-09-13T00:00:00"/>
    <s v="C"/>
    <x v="1"/>
    <x v="9"/>
    <s v="BM2"/>
    <s v="B1"/>
    <s v="KPP 200 ML BOTTLE MOLDED"/>
    <s v="EI13Bc1"/>
    <s v="Saurabh"/>
    <n v="8"/>
    <n v="2574"/>
    <n v="321.75"/>
    <n v="3174"/>
    <n v="3132"/>
    <n v="0"/>
    <n v="0"/>
    <n v="0"/>
    <n v="0"/>
    <n v="34"/>
    <n v="8"/>
    <n v="1"/>
    <n v="3132"/>
    <n v="1.2167832167832169"/>
    <x v="1"/>
    <n v="28.1"/>
    <n v="89.189400000000006"/>
    <n v="0.98676748582230622"/>
    <n v="1.0739102969046115E-2"/>
    <n v="0"/>
    <n v="0.9892879647132955"/>
    <n v="0"/>
    <n v="8"/>
    <n v="1"/>
    <n v="391.5"/>
    <n v="9"/>
    <n v="9.1954022988505741"/>
    <n v="0.97875000000000001"/>
    <n v="0.96826559546313795"/>
  </r>
  <r>
    <x v="1"/>
    <d v="2021-09-13T00:00:00"/>
    <s v="C"/>
    <x v="9"/>
    <x v="31"/>
    <m/>
    <s v="INJ1"/>
    <s v="HOOD S TYPE MOLDED"/>
    <s v="EI13Hc"/>
    <s v="Saurabh"/>
    <n v="8"/>
    <n v="4137"/>
    <n v="517.125"/>
    <n v="4821"/>
    <n v="4800"/>
    <n v="0"/>
    <n v="0"/>
    <n v="0"/>
    <n v="0"/>
    <n v="13"/>
    <n v="8"/>
    <n v="1"/>
    <n v="4800"/>
    <n v="1.1602610587382161"/>
    <x v="1"/>
    <n v="8.6"/>
    <n v="41.460599999999999"/>
    <n v="0.99564405724953331"/>
    <n v="2.7010180760440473E-3"/>
    <n v="0"/>
    <n v="0.99730346401161585"/>
    <n v="0"/>
    <n v="8"/>
    <n v="1"/>
    <n v="600"/>
    <n v="6"/>
    <n v="6"/>
    <n v="1"/>
    <n v="0.99730346401161585"/>
  </r>
  <r>
    <x v="1"/>
    <d v="2021-09-14T00:00:00"/>
    <s v="A"/>
    <x v="1"/>
    <x v="9"/>
    <s v="BM2"/>
    <s v="B1"/>
    <s v="KPP 200 ML BOTTLE MOLDED"/>
    <s v="HI14Ba1"/>
    <s v="Himanshu"/>
    <n v="8"/>
    <n v="2574"/>
    <n v="321.75"/>
    <n v="2560"/>
    <n v="2496"/>
    <n v="0"/>
    <n v="18"/>
    <n v="0"/>
    <n v="0"/>
    <n v="38"/>
    <n v="8"/>
    <n v="1"/>
    <n v="2496"/>
    <n v="0.96969696969696972"/>
    <x v="1"/>
    <n v="28.1"/>
    <n v="71.936000000000007"/>
    <n v="0.97499999999999998"/>
    <n v="1.499605367008682E-2"/>
    <n v="6.9821567106283944E-3"/>
    <n v="0.98515624999999996"/>
    <n v="0"/>
    <n v="8"/>
    <n v="1"/>
    <n v="312"/>
    <n v="9"/>
    <n v="11.538461538461538"/>
    <n v="0.78"/>
    <n v="0.76842187500000003"/>
  </r>
  <r>
    <x v="1"/>
    <d v="2021-09-14T00:00:00"/>
    <s v="A"/>
    <x v="9"/>
    <x v="31"/>
    <m/>
    <m/>
    <s v="HOOD S TYPE MOLDED"/>
    <s v="EI14Ha"/>
    <s v="Himanshu"/>
    <n v="8"/>
    <n v="4137"/>
    <n v="517.125"/>
    <n v="5316"/>
    <n v="5300"/>
    <n v="0"/>
    <n v="0"/>
    <n v="0"/>
    <n v="0"/>
    <n v="8"/>
    <n v="8"/>
    <n v="1"/>
    <n v="5300"/>
    <n v="1.2811215856901137"/>
    <x v="1"/>
    <n v="8.6"/>
    <n v="45.717599999999997"/>
    <n v="0.99699021820917988"/>
    <n v="1.5071590052750565E-3"/>
    <n v="0"/>
    <n v="0.99849510910458994"/>
    <n v="0"/>
    <n v="8"/>
    <n v="1"/>
    <n v="662.5"/>
    <n v="6"/>
    <n v="5.4339622641509431"/>
    <n v="1.1041666666666667"/>
    <n v="1.1025050163029848"/>
  </r>
  <r>
    <x v="1"/>
    <d v="2021-09-14T00:00:00"/>
    <s v="A"/>
    <x v="0"/>
    <x v="47"/>
    <s v="M2"/>
    <s v="L2"/>
    <s v="NIPPLE S TYPE L SIZE INJECTION"/>
    <s v="HEI14Na"/>
    <s v="Himanshu"/>
    <n v="8"/>
    <n v="4815"/>
    <n v="601.875"/>
    <n v="5370"/>
    <n v="5300"/>
    <n v="0"/>
    <n v="20"/>
    <n v="0"/>
    <n v="0"/>
    <n v="42"/>
    <n v="8"/>
    <n v="1"/>
    <n v="5300"/>
    <n v="1.1007268951194185"/>
    <x v="0"/>
    <n v="6.8"/>
    <n v="36.515999999999998"/>
    <n v="0.98696461824953452"/>
    <n v="7.8622238861849499E-3"/>
    <n v="3.7105751391465678E-3"/>
    <n v="0.99217877094972062"/>
    <n v="0"/>
    <n v="8"/>
    <n v="1"/>
    <n v="662.5"/>
    <n v="5.25"/>
    <n v="5.4339622641509431"/>
    <n v="0.96614583333333337"/>
    <n v="0.95858938547486028"/>
  </r>
  <r>
    <x v="1"/>
    <d v="2021-09-14T00:00:00"/>
    <s v="A"/>
    <x v="3"/>
    <x v="3"/>
    <m/>
    <m/>
    <s v="NIPPLE S TYPE M SIZE PUNCHED"/>
    <s v="HEI10NbI14Pa"/>
    <s v="Himanshu"/>
    <n v="8"/>
    <n v="7000"/>
    <n v="875"/>
    <n v="4630"/>
    <n v="4626"/>
    <n v="0"/>
    <n v="0"/>
    <n v="0"/>
    <n v="0"/>
    <n v="4"/>
    <n v="0"/>
    <n v="1"/>
    <n v="4626"/>
    <n v="0.66085714285714281"/>
    <x v="3"/>
    <n v="0"/>
    <n v="0"/>
    <s v=" "/>
    <n v="8.6393088552915766E-4"/>
    <n v="0"/>
    <n v="0.99913606911447084"/>
    <n v="3.3333333333333335"/>
    <n v="4.6666666666666661"/>
    <n v="0.58333333333333326"/>
    <n v="578.25"/>
    <n v="3.5"/>
    <n v="3.6316472114137475"/>
    <n v="0.96375000000000022"/>
    <n v="0.56170180885529164"/>
  </r>
  <r>
    <x v="1"/>
    <d v="2021-09-14T00:00:00"/>
    <s v="A"/>
    <x v="8"/>
    <x v="70"/>
    <m/>
    <m/>
    <s v="NIPPLE S TYPE M SIZE PUNCHED LASER MARKED"/>
    <s v="HEI09BH12"/>
    <s v="Himanshu"/>
    <n v="8"/>
    <n v="7000"/>
    <n v="875"/>
    <n v="6700"/>
    <n v="6700"/>
    <n v="0"/>
    <n v="0"/>
    <n v="0"/>
    <n v="0"/>
    <n v="0"/>
    <n v="0"/>
    <n v="1"/>
    <n v="6700"/>
    <n v="0.95714285714285718"/>
    <x v="19"/>
    <n v="0"/>
    <n v="0"/>
    <s v=" "/>
    <n v="0"/>
    <n v="0"/>
    <n v="1"/>
    <n v="1.4166666666666667"/>
    <n v="6.583333333333333"/>
    <n v="0.82291666666666663"/>
    <n v="837.5"/>
    <n v="3.5"/>
    <n v="3.5373134328358211"/>
    <n v="0.98945147679324885"/>
    <n v="0.81423611111111105"/>
  </r>
  <r>
    <x v="1"/>
    <d v="2021-09-14T00:00:00"/>
    <s v="A"/>
    <x v="6"/>
    <x v="21"/>
    <m/>
    <s v="P1"/>
    <s v="KPP 240 ML BOTTLE PRINTED"/>
    <s v="EH20Ba2I14Pa"/>
    <s v="Pintu"/>
    <n v="8"/>
    <n v="5100"/>
    <n v="637.5"/>
    <n v="3380"/>
    <n v="3348"/>
    <n v="0"/>
    <n v="0"/>
    <n v="30"/>
    <n v="0"/>
    <n v="32"/>
    <n v="0"/>
    <n v="5"/>
    <n v="669.6"/>
    <n v="0.65647058823529414"/>
    <x v="16"/>
    <n v="0"/>
    <n v="0"/>
    <s v=" "/>
    <n v="9.4674556213017753E-3"/>
    <n v="0"/>
    <n v="0.9905325443786982"/>
    <n v="2.3333333333333335"/>
    <n v="5.6666666666666661"/>
    <n v="0.70833333333333326"/>
    <n v="418.5"/>
    <n v="32.4"/>
    <n v="30.465949820788527"/>
    <n v="1.0634823529411765"/>
    <n v="0.74616816568047328"/>
  </r>
  <r>
    <x v="1"/>
    <d v="2021-09-14T00:00:00"/>
    <s v="G"/>
    <x v="4"/>
    <x v="4"/>
    <m/>
    <m/>
    <s v="NIPPLE S TYPE M SIZE PUNCHED INSPECTED"/>
    <s v="HEI09NaI10Pa"/>
    <s v="Badelal"/>
    <n v="8"/>
    <n v="14182"/>
    <n v="1772.75"/>
    <n v="15100"/>
    <n v="14960"/>
    <n v="0"/>
    <n v="0"/>
    <n v="0"/>
    <n v="0"/>
    <n v="140"/>
    <n v="0"/>
    <n v="1"/>
    <n v="14960"/>
    <n v="1.0548582710478072"/>
    <x v="4"/>
    <n v="0"/>
    <n v="0"/>
    <s v=" "/>
    <n v="9.2715231788079479E-3"/>
    <n v="0"/>
    <n v="0.99072847682119203"/>
    <n v="0"/>
    <n v="8"/>
    <n v="1"/>
    <n v="1870"/>
    <n v="4"/>
    <n v="1.9251336898395721"/>
    <n v="2.0777777777777779"/>
    <n v="2.0585136129506991"/>
  </r>
  <r>
    <x v="1"/>
    <d v="2021-09-14T00:00:00"/>
    <s v="B"/>
    <x v="3"/>
    <x v="49"/>
    <m/>
    <m/>
    <s v="NIPPLE S TYPE L SIZE PUNCHED"/>
    <s v="HEI13NBI14Pb"/>
    <s v="Badelal"/>
    <n v="8"/>
    <n v="7000"/>
    <n v="875"/>
    <n v="5000"/>
    <n v="5000"/>
    <n v="0"/>
    <n v="0"/>
    <n v="0"/>
    <n v="0"/>
    <n v="0"/>
    <n v="0"/>
    <n v="1"/>
    <n v="5000"/>
    <n v="0.7142857142857143"/>
    <x v="36"/>
    <n v="0"/>
    <n v="0"/>
    <s v=" "/>
    <n v="0"/>
    <n v="0"/>
    <n v="1"/>
    <n v="2.6666666666666665"/>
    <n v="5.3333333333333339"/>
    <n v="0.66666666666666674"/>
    <n v="625"/>
    <n v="3.5"/>
    <n v="3.8400000000000007"/>
    <n v="0.91145833333333315"/>
    <n v="0.60763888888888884"/>
  </r>
  <r>
    <x v="1"/>
    <d v="2021-09-14T00:00:00"/>
    <s v="B"/>
    <x v="8"/>
    <x v="70"/>
    <m/>
    <m/>
    <s v="NIPPLE S TYPE M SIZE PUNCHED LASER MARKED"/>
    <s v="HEI09CH12"/>
    <s v="Badelal"/>
    <n v="8"/>
    <n v="7000"/>
    <n v="875"/>
    <n v="7200"/>
    <n v="7200"/>
    <n v="0"/>
    <n v="0"/>
    <n v="0"/>
    <n v="0"/>
    <n v="0"/>
    <n v="0"/>
    <n v="1"/>
    <n v="7200"/>
    <n v="1.0285714285714285"/>
    <x v="19"/>
    <n v="0"/>
    <n v="0"/>
    <s v=" "/>
    <n v="0"/>
    <n v="0"/>
    <n v="1"/>
    <n v="0.66666666666666663"/>
    <n v="7.333333333333333"/>
    <n v="0.91666666666666663"/>
    <n v="900"/>
    <n v="3.5"/>
    <n v="3.6666666666666665"/>
    <n v="0.95454545454545459"/>
    <n v="0.875"/>
  </r>
  <r>
    <x v="1"/>
    <d v="2021-09-14T00:00:00"/>
    <s v="B"/>
    <x v="9"/>
    <x v="31"/>
    <m/>
    <s v="INJ1"/>
    <s v="HOOD S TYPE MOLDED"/>
    <s v="EI14Hb"/>
    <s v="Badelal"/>
    <n v="8"/>
    <n v="4137"/>
    <n v="517.125"/>
    <n v="5204"/>
    <n v="5200"/>
    <n v="0"/>
    <n v="0"/>
    <n v="0"/>
    <n v="0"/>
    <n v="4"/>
    <n v="0"/>
    <n v="1"/>
    <n v="5200"/>
    <n v="1.2569494802997341"/>
    <x v="1"/>
    <n v="8.6"/>
    <n v="44.754399999999997"/>
    <n v="0.99923136049192929"/>
    <n v="7.6863950807071484E-4"/>
    <n v="0"/>
    <n v="0.99923136049192929"/>
    <n v="0.66666666666666663"/>
    <n v="7.333333333333333"/>
    <n v="0.91666666666666663"/>
    <n v="650"/>
    <n v="6"/>
    <n v="5.0769230769230766"/>
    <n v="1.1818181818181819"/>
    <n v="1.0825006405329234"/>
  </r>
  <r>
    <x v="1"/>
    <d v="2021-09-14T00:00:00"/>
    <s v="B"/>
    <x v="0"/>
    <x v="47"/>
    <s v="M2"/>
    <s v="L2"/>
    <s v="NIPPLE S TYPE L SIZE INJECTION"/>
    <s v="HEI14Nb"/>
    <s v="Badelal"/>
    <n v="8"/>
    <n v="4815"/>
    <n v="601.875"/>
    <n v="5440"/>
    <n v="5350"/>
    <n v="0"/>
    <n v="40"/>
    <n v="0"/>
    <n v="0"/>
    <n v="50"/>
    <n v="0"/>
    <n v="1"/>
    <n v="5350"/>
    <n v="1.1111111111111112"/>
    <x v="0"/>
    <n v="6.8"/>
    <n v="36.991999999999997"/>
    <n v="0.98345588235294112"/>
    <n v="9.2592592592592587E-3"/>
    <n v="7.2992700729927005E-3"/>
    <n v="0.9908088235294118"/>
    <n v="0"/>
    <n v="8"/>
    <n v="1"/>
    <n v="668.75"/>
    <n v="5.25"/>
    <n v="5.3831775700934577"/>
    <n v="0.97526041666666674"/>
    <n v="0.96629662607230404"/>
  </r>
  <r>
    <x v="1"/>
    <d v="2021-09-14T00:00:00"/>
    <s v="B"/>
    <x v="1"/>
    <x v="9"/>
    <s v="BM2"/>
    <s v="B1"/>
    <s v="KPP 200 ML BOTTLE MOLDED"/>
    <s v="EI14Bb1"/>
    <s v="Badelal"/>
    <n v="8"/>
    <n v="2574"/>
    <n v="321.75"/>
    <n v="2686"/>
    <n v="2592"/>
    <n v="0"/>
    <n v="40"/>
    <n v="0"/>
    <n v="0"/>
    <n v="54"/>
    <n v="0"/>
    <n v="1"/>
    <n v="2592"/>
    <n v="1.0069930069930071"/>
    <x v="1"/>
    <n v="28.1"/>
    <n v="75.476600000000005"/>
    <n v="0.96500372300819059"/>
    <n v="2.0408163265306121E-2"/>
    <n v="1.4673514306676448E-2"/>
    <n v="0.97989575577066268"/>
    <n v="0"/>
    <n v="8"/>
    <n v="1"/>
    <n v="324"/>
    <n v="9"/>
    <n v="11.111111111111111"/>
    <n v="0.81"/>
    <n v="0.79371556217423678"/>
  </r>
  <r>
    <x v="1"/>
    <d v="2021-09-14T00:00:00"/>
    <s v="B"/>
    <x v="6"/>
    <x v="17"/>
    <m/>
    <m/>
    <s v="KPP 200 ML BOTTLE PRINTED"/>
    <s v="EH07BC2I14Pa"/>
    <s v="Badelal"/>
    <n v="8"/>
    <n v="5100"/>
    <n v="637.5"/>
    <n v="4024"/>
    <n v="3996"/>
    <n v="0"/>
    <n v="0"/>
    <n v="32"/>
    <n v="0"/>
    <n v="28"/>
    <n v="0"/>
    <n v="5"/>
    <n v="799.2"/>
    <n v="0.78352941176470592"/>
    <x v="14"/>
    <n v="0"/>
    <n v="0"/>
    <s v=" "/>
    <n v="6.958250497017893E-3"/>
    <n v="0"/>
    <n v="0.99304174950298207"/>
    <n v="0.66666666666666663"/>
    <n v="7.333333333333333"/>
    <n v="0.91666666666666663"/>
    <n v="499.5"/>
    <n v="32.4"/>
    <n v="33.033033033033036"/>
    <n v="0.98083636363636351"/>
    <n v="0.89284383697813108"/>
  </r>
  <r>
    <x v="1"/>
    <d v="2021-09-14T00:00:00"/>
    <s v="C"/>
    <x v="1"/>
    <x v="9"/>
    <s v="BM2"/>
    <s v="B1"/>
    <s v="KPP 200 ML BOTTLE MOLDED"/>
    <s v="EI14Bc1"/>
    <s v="Saurabh"/>
    <n v="8"/>
    <n v="2574"/>
    <n v="321.75"/>
    <n v="2762"/>
    <n v="2700"/>
    <n v="0.18"/>
    <n v="18"/>
    <n v="0"/>
    <n v="0"/>
    <n v="36"/>
    <n v="8"/>
    <n v="1"/>
    <n v="2700"/>
    <n v="1.048951048951049"/>
    <x v="1"/>
    <n v="28.1"/>
    <n v="77.792200000000008"/>
    <n v="0.9752905818321117"/>
    <n v="1.3157894736842105E-2"/>
    <n v="6.4748201438848919E-3"/>
    <n v="0.98696596669080372"/>
    <n v="0"/>
    <n v="8"/>
    <n v="1"/>
    <n v="337.5"/>
    <n v="9"/>
    <n v="10.666666666666666"/>
    <n v="0.84375"/>
    <n v="0.83275253439536567"/>
  </r>
  <r>
    <x v="1"/>
    <d v="2021-09-14T00:00:00"/>
    <s v="C"/>
    <x v="9"/>
    <x v="31"/>
    <m/>
    <s v="INJ1"/>
    <s v="HOOD S TYPE MOLDED"/>
    <s v="EI14Hc"/>
    <s v="Saurabh"/>
    <n v="8"/>
    <n v="4137"/>
    <n v="517.125"/>
    <n v="5312"/>
    <n v="5300"/>
    <n v="0"/>
    <n v="0"/>
    <n v="0"/>
    <n v="0"/>
    <n v="4"/>
    <n v="8"/>
    <n v="1"/>
    <n v="5300"/>
    <n v="1.2811215856901137"/>
    <x v="1"/>
    <n v="8.6"/>
    <n v="45.683199999999999"/>
    <n v="0.99774096385542166"/>
    <n v="7.5414781297134241E-4"/>
    <n v="0"/>
    <n v="0.99924698795180722"/>
    <n v="0"/>
    <n v="8"/>
    <n v="1"/>
    <n v="662.5"/>
    <n v="6"/>
    <n v="5.4339622641509431"/>
    <n v="1.1041666666666667"/>
    <n v="1.103335215863454"/>
  </r>
  <r>
    <x v="1"/>
    <d v="2021-09-14T00:00:00"/>
    <s v="C"/>
    <x v="0"/>
    <x v="47"/>
    <s v="M2"/>
    <s v="L2"/>
    <s v="NIPPLE S TYPE L SIZE INJECTION"/>
    <s v="HEI14Nc"/>
    <s v="Saurabh"/>
    <n v="8"/>
    <n v="4815"/>
    <n v="601.875"/>
    <n v="5402"/>
    <n v="5300"/>
    <n v="0"/>
    <n v="38"/>
    <n v="0"/>
    <n v="0"/>
    <n v="56"/>
    <n v="8"/>
    <n v="1"/>
    <n v="5300"/>
    <n v="1.1007268951194185"/>
    <x v="0"/>
    <n v="6.8"/>
    <n v="36.733599999999996"/>
    <n v="0.98111810440577574"/>
    <n v="1.0455563853622106E-2"/>
    <n v="6.9852941176470592E-3"/>
    <n v="0.98963346908552385"/>
    <n v="0"/>
    <n v="8"/>
    <n v="1"/>
    <n v="662.5"/>
    <n v="5.25"/>
    <n v="5.4339622641509431"/>
    <n v="0.96614583333333337"/>
    <n v="0.95613025268419105"/>
  </r>
  <r>
    <x v="1"/>
    <d v="2021-09-15T00:00:00"/>
    <s v="A"/>
    <x v="0"/>
    <x v="47"/>
    <s v="M2"/>
    <s v="L2"/>
    <s v="NIPPLE S TYPE L SIZE INJECTION"/>
    <s v="HEI15Na"/>
    <s v="Himanshu"/>
    <n v="8"/>
    <n v="4815"/>
    <n v="601.875"/>
    <n v="5296"/>
    <n v="5200"/>
    <n v="0"/>
    <n v="40"/>
    <n v="0"/>
    <n v="0"/>
    <n v="48"/>
    <n v="8"/>
    <n v="1"/>
    <n v="5200"/>
    <n v="1.0799584631360333"/>
    <x v="0"/>
    <n v="6.8"/>
    <n v="36.012799999999999"/>
    <n v="0.98187311178247738"/>
    <n v="9.1463414634146336E-3"/>
    <n v="7.4962518740629685E-3"/>
    <n v="0.99093655589123864"/>
    <n v="0"/>
    <n v="8"/>
    <n v="1"/>
    <n v="650"/>
    <n v="5.25"/>
    <n v="5.5384615384615383"/>
    <n v="0.94791666666666674"/>
    <n v="0.93932527693857004"/>
  </r>
  <r>
    <x v="1"/>
    <d v="2021-09-15T00:00:00"/>
    <s v="A"/>
    <x v="9"/>
    <x v="31"/>
    <m/>
    <s v="INJ1"/>
    <s v="HOOD S TYPE MOLDED"/>
    <s v="EI15Ha"/>
    <s v="Himanshu"/>
    <n v="8"/>
    <n v="4137"/>
    <n v="517.125"/>
    <n v="5312"/>
    <n v="5300"/>
    <n v="0"/>
    <n v="0"/>
    <n v="0"/>
    <n v="0"/>
    <n v="4"/>
    <n v="8"/>
    <n v="1"/>
    <n v="5300"/>
    <n v="1.2811215856901137"/>
    <x v="1"/>
    <n v="8.6"/>
    <n v="45.683199999999999"/>
    <n v="0.99774096385542166"/>
    <n v="7.5414781297134241E-4"/>
    <n v="0"/>
    <n v="0.99924698795180722"/>
    <n v="0"/>
    <n v="8"/>
    <n v="1"/>
    <n v="662.5"/>
    <n v="6"/>
    <n v="5.4339622641509431"/>
    <n v="1.1041666666666667"/>
    <n v="1.103335215863454"/>
  </r>
  <r>
    <x v="1"/>
    <d v="2021-09-15T00:00:00"/>
    <s v="A"/>
    <x v="6"/>
    <x v="17"/>
    <m/>
    <s v="PR1"/>
    <s v="KPP 200 ML BOTTLE PRINTED"/>
    <s v="EH09Bb2I15Pa"/>
    <s v="Himanshu"/>
    <n v="8"/>
    <n v="5100"/>
    <n v="637.5"/>
    <n v="4664"/>
    <n v="4644"/>
    <n v="0"/>
    <n v="0"/>
    <n v="49"/>
    <n v="0"/>
    <n v="20"/>
    <n v="0"/>
    <n v="6"/>
    <n v="774"/>
    <n v="0.9105882352941177"/>
    <x v="14"/>
    <n v="0"/>
    <n v="0"/>
    <s v=" "/>
    <n v="4.2881646655231562E-3"/>
    <n v="0"/>
    <n v="0.99571183533447682"/>
    <n v="0"/>
    <n v="8"/>
    <n v="1"/>
    <n v="580.5"/>
    <n v="32.4"/>
    <n v="37.209302325581397"/>
    <n v="0.87074999999999991"/>
    <n v="0.86701608061749558"/>
  </r>
  <r>
    <x v="1"/>
    <d v="2021-09-15T00:00:00"/>
    <s v="A"/>
    <x v="3"/>
    <x v="49"/>
    <m/>
    <s v="P1"/>
    <s v="NIPPLE S TYPE L SIZE PUNCHED"/>
    <s v="HEI13NcI15Pa"/>
    <s v="Himanshu"/>
    <n v="8"/>
    <n v="7000"/>
    <n v="875"/>
    <n v="6600"/>
    <n v="6600"/>
    <n v="0"/>
    <n v="0"/>
    <n v="0"/>
    <n v="0"/>
    <n v="0"/>
    <n v="0"/>
    <n v="1"/>
    <n v="6600"/>
    <n v="0.94285714285714284"/>
    <x v="36"/>
    <n v="0"/>
    <n v="0"/>
    <s v=" "/>
    <n v="0"/>
    <n v="0"/>
    <n v="1"/>
    <n v="1.4166666666666667"/>
    <n v="6.583333333333333"/>
    <n v="0.82291666666666663"/>
    <n v="825"/>
    <n v="3.5"/>
    <n v="3.5909090909090908"/>
    <n v="0.97468354430379744"/>
    <n v="0.80208333333333326"/>
  </r>
  <r>
    <x v="1"/>
    <d v="2021-09-15T00:00:00"/>
    <s v="A"/>
    <x v="8"/>
    <x v="70"/>
    <m/>
    <s v="LZ1"/>
    <s v="NIPPLE S TYPE M SIZE PUNCHED LASER MARKED"/>
    <s v="HEI10N15AH12"/>
    <s v="Himanshu"/>
    <n v="8"/>
    <n v="7000"/>
    <n v="875"/>
    <n v="7000"/>
    <n v="7000"/>
    <n v="0"/>
    <n v="0"/>
    <n v="0"/>
    <n v="0"/>
    <n v="0"/>
    <n v="0"/>
    <n v="1"/>
    <n v="7000"/>
    <n v="1"/>
    <x v="19"/>
    <n v="0"/>
    <n v="0"/>
    <s v=" "/>
    <n v="0"/>
    <n v="0"/>
    <n v="1"/>
    <n v="0.91666666666666663"/>
    <n v="7.083333333333333"/>
    <n v="0.88541666666666663"/>
    <n v="875"/>
    <n v="3.5"/>
    <n v="3.6428571428571428"/>
    <n v="0.96078431372549022"/>
    <n v="0.85069444444444442"/>
  </r>
  <r>
    <x v="1"/>
    <d v="2021-09-15T00:00:00"/>
    <s v="B"/>
    <x v="3"/>
    <x v="49"/>
    <m/>
    <m/>
    <s v="NIPPLE S TYPE L SIZE PUNCHED"/>
    <s v="HEI14NAI15Pb"/>
    <s v="Badelal"/>
    <n v="8"/>
    <n v="7000"/>
    <n v="875"/>
    <n v="7350"/>
    <n v="7350"/>
    <n v="0"/>
    <n v="0"/>
    <n v="0"/>
    <n v="0"/>
    <n v="0"/>
    <n v="0"/>
    <n v="1"/>
    <n v="7350"/>
    <n v="1.05"/>
    <x v="36"/>
    <n v="0"/>
    <n v="0"/>
    <s v=" "/>
    <n v="0"/>
    <n v="0"/>
    <n v="1"/>
    <n v="0.66666666666666663"/>
    <n v="7.333333333333333"/>
    <n v="0.91666666666666663"/>
    <n v="918.75"/>
    <n v="3.5"/>
    <n v="3.5918367346938775"/>
    <n v="0.97443181818181823"/>
    <n v="0.89322916666666663"/>
  </r>
  <r>
    <x v="1"/>
    <d v="2021-09-15T00:00:00"/>
    <s v="B"/>
    <x v="9"/>
    <x v="31"/>
    <m/>
    <m/>
    <s v="HOOD S TYPE MOLDED"/>
    <s v="EI15Hb"/>
    <s v="Badelal"/>
    <n v="8"/>
    <n v="4137"/>
    <n v="517.125"/>
    <n v="5203"/>
    <n v="5200"/>
    <n v="0"/>
    <n v="0"/>
    <n v="0"/>
    <n v="0"/>
    <n v="3"/>
    <n v="0"/>
    <n v="1"/>
    <n v="5200"/>
    <n v="1.2569494802997341"/>
    <x v="1"/>
    <n v="8.6"/>
    <n v="44.745800000000003"/>
    <n v="0.99942340957140108"/>
    <n v="5.7659042859888531E-4"/>
    <n v="0"/>
    <n v="0.99942340957140108"/>
    <n v="0"/>
    <n v="8"/>
    <n v="1"/>
    <n v="650"/>
    <n v="6"/>
    <n v="5.5384615384615383"/>
    <n v="1.0833333333333333"/>
    <n v="1.0827086937023511"/>
  </r>
  <r>
    <x v="1"/>
    <d v="2021-09-15T00:00:00"/>
    <s v="B"/>
    <x v="0"/>
    <x v="47"/>
    <s v="M2"/>
    <s v="L2"/>
    <s v="NIPPLE S TYPE L SIZE INJECTION"/>
    <s v="HEI15NB"/>
    <s v="Badelal"/>
    <n v="8"/>
    <n v="4815"/>
    <n v="601.875"/>
    <n v="5090"/>
    <n v="5000"/>
    <n v="0"/>
    <n v="40"/>
    <n v="0"/>
    <n v="0"/>
    <n v="50"/>
    <n v="0"/>
    <n v="1"/>
    <n v="5000"/>
    <n v="1.0384215991692627"/>
    <x v="0"/>
    <n v="6.8"/>
    <n v="34.611999999999995"/>
    <n v="0.98231827111984293"/>
    <n v="9.9009900990099011E-3"/>
    <n v="7.7972709551656916E-3"/>
    <n v="0.99017681728880158"/>
    <n v="0"/>
    <n v="8"/>
    <n v="1"/>
    <n v="625"/>
    <n v="5.25"/>
    <n v="5.76"/>
    <n v="0.91145833333333337"/>
    <n v="0.9025049115913556"/>
  </r>
  <r>
    <x v="1"/>
    <d v="2021-09-15T00:00:00"/>
    <s v="B"/>
    <x v="8"/>
    <x v="70"/>
    <m/>
    <m/>
    <s v="NIPPLE S TYPE M SIZE PUNCHED LASER MARKED"/>
    <s v="HEI10CH12"/>
    <s v="Badelal"/>
    <n v="4"/>
    <n v="3626"/>
    <n v="906.5"/>
    <n v="3626"/>
    <n v="3626"/>
    <n v="0"/>
    <n v="0"/>
    <n v="0"/>
    <n v="0"/>
    <n v="0"/>
    <n v="0"/>
    <n v="1"/>
    <n v="3626"/>
    <n v="1"/>
    <x v="19"/>
    <n v="0"/>
    <n v="0"/>
    <s v=" "/>
    <n v="0"/>
    <n v="0"/>
    <n v="1"/>
    <n v="0.66666666666666663"/>
    <n v="3.3333333333333335"/>
    <n v="0.83333333333333337"/>
    <n v="906.5"/>
    <n v="3.5"/>
    <n v="3.3094318808604521"/>
    <n v="1.0575833333333333"/>
    <n v="0.88131944444444443"/>
  </r>
  <r>
    <x v="1"/>
    <d v="2021-09-15T00:00:00"/>
    <s v="B"/>
    <x v="8"/>
    <x v="50"/>
    <m/>
    <m/>
    <s v="NIPPLE S TYPE L SIZE PUNCHED LASER MARKED"/>
    <s v="HEI13BH22"/>
    <s v="Badelal"/>
    <n v="4"/>
    <n v="3374"/>
    <n v="843.5"/>
    <n v="3000"/>
    <n v="3000"/>
    <n v="0"/>
    <n v="0"/>
    <n v="0"/>
    <n v="0"/>
    <n v="0"/>
    <n v="0"/>
    <n v="1"/>
    <n v="3000"/>
    <n v="0.88915234143449906"/>
    <x v="22"/>
    <n v="0"/>
    <n v="0"/>
    <s v=" "/>
    <n v="0"/>
    <n v="0"/>
    <n v="1"/>
    <n v="0.66666666666666663"/>
    <n v="3.3333333333333335"/>
    <n v="0.83333333333333337"/>
    <n v="750"/>
    <n v="3.5"/>
    <n v="4"/>
    <n v="0.875"/>
    <n v="0.72916666666666674"/>
  </r>
  <r>
    <x v="1"/>
    <d v="2021-09-15T00:00:00"/>
    <s v="G"/>
    <x v="4"/>
    <x v="4"/>
    <m/>
    <m/>
    <s v="NIPPLE S TYPE M SIZE PUNCHED INSPECTED"/>
    <s v="HEI09CH12"/>
    <s v="Badelal"/>
    <n v="8"/>
    <n v="14182"/>
    <n v="1772.75"/>
    <n v="12900"/>
    <n v="12856"/>
    <n v="0"/>
    <n v="0"/>
    <n v="0"/>
    <n v="0"/>
    <n v="44"/>
    <n v="0"/>
    <n v="1"/>
    <n v="12856"/>
    <n v="0.90650119870258072"/>
    <x v="4"/>
    <n v="0"/>
    <n v="0"/>
    <s v=" "/>
    <n v="3.4108527131782944E-3"/>
    <n v="0"/>
    <n v="0.99658914728682169"/>
    <n v="0.66666666666666663"/>
    <n v="7.333333333333333"/>
    <n v="0.91666666666666663"/>
    <n v="1607"/>
    <n v="4"/>
    <n v="2.0535158680771626"/>
    <n v="1.9478787878787878"/>
    <n v="1.7794652885443583"/>
  </r>
  <r>
    <x v="1"/>
    <d v="2021-09-15T00:00:00"/>
    <s v="B"/>
    <x v="6"/>
    <x v="17"/>
    <m/>
    <m/>
    <s v="KPP 200 ML BOTTLE PRINTED"/>
    <s v="EH09Bc2I15PB"/>
    <s v="Badelal"/>
    <n v="8"/>
    <n v="5100"/>
    <n v="637.5"/>
    <n v="4765"/>
    <n v="4752"/>
    <n v="0"/>
    <n v="0"/>
    <n v="20"/>
    <n v="0"/>
    <n v="13"/>
    <n v="0"/>
    <n v="5"/>
    <n v="950.4"/>
    <n v="0.93176470588235294"/>
    <x v="14"/>
    <n v="0"/>
    <n v="0"/>
    <s v=" "/>
    <n v="2.7282266526757609E-3"/>
    <n v="0"/>
    <n v="0.9972717733473242"/>
    <n v="0.66666666666666663"/>
    <n v="7.333333333333333"/>
    <n v="0.91666666666666663"/>
    <n v="594"/>
    <n v="32.4"/>
    <n v="27.777777777777779"/>
    <n v="1.1663999999999999"/>
    <n v="1.066282980062959"/>
  </r>
  <r>
    <x v="1"/>
    <d v="2021-09-15T00:00:00"/>
    <s v="C"/>
    <x v="0"/>
    <x v="47"/>
    <s v="M2"/>
    <s v="L2"/>
    <s v="NIPPLE S TYPE L SIZE INJECTION"/>
    <s v="HEI15Nc"/>
    <s v="Saurabh"/>
    <n v="8"/>
    <n v="4815"/>
    <n v="601.875"/>
    <n v="5353"/>
    <n v="5300"/>
    <n v="0"/>
    <n v="0"/>
    <n v="0"/>
    <n v="0"/>
    <n v="45"/>
    <n v="8"/>
    <n v="1"/>
    <n v="5300"/>
    <n v="1.1007268951194185"/>
    <x v="0"/>
    <n v="6.8"/>
    <n v="36.400399999999998"/>
    <n v="0.99009900990099009"/>
    <n v="8.4190832553788595E-3"/>
    <n v="0"/>
    <n v="0.99159349897253879"/>
    <n v="0"/>
    <n v="8"/>
    <n v="1"/>
    <n v="662.5"/>
    <n v="5.25"/>
    <n v="5.4339622641509431"/>
    <n v="0.96614583333333337"/>
    <n v="0.95802392739273934"/>
  </r>
  <r>
    <x v="1"/>
    <d v="2021-09-15T00:00:00"/>
    <s v="C"/>
    <x v="9"/>
    <x v="31"/>
    <m/>
    <s v="INJ1"/>
    <s v="HOOD S TYPE MOLDED"/>
    <s v="EI15Hc"/>
    <s v="Saurabh"/>
    <n v="8"/>
    <n v="4137"/>
    <n v="517.125"/>
    <n v="5513"/>
    <n v="5500"/>
    <n v="0"/>
    <n v="0"/>
    <n v="0"/>
    <n v="0"/>
    <n v="5"/>
    <n v="8"/>
    <n v="1"/>
    <n v="5500"/>
    <n v="1.3294657964708727"/>
    <x v="1"/>
    <n v="8.6"/>
    <n v="47.411799999999999"/>
    <n v="0.99764193723925265"/>
    <n v="9.0826521344232513E-4"/>
    <n v="0"/>
    <n v="0.99909305278432792"/>
    <n v="0"/>
    <n v="8"/>
    <n v="1"/>
    <n v="687.5"/>
    <n v="6"/>
    <n v="5.2363636363636363"/>
    <n v="1.1458333333333333"/>
    <n v="1.1447941229820424"/>
  </r>
  <r>
    <x v="1"/>
    <d v="2021-09-16T00:00:00"/>
    <s v="A"/>
    <x v="8"/>
    <x v="50"/>
    <m/>
    <s v="LZ1"/>
    <s v="NIPPLE S TYPE L SIZE PUNCHED LASER MARKED"/>
    <s v="HEI13BH22"/>
    <s v="Himanshu"/>
    <n v="8"/>
    <n v="7000"/>
    <n v="875"/>
    <n v="7300"/>
    <n v="7300"/>
    <n v="0"/>
    <n v="0"/>
    <n v="0"/>
    <n v="0"/>
    <n v="0"/>
    <n v="0"/>
    <n v="1"/>
    <n v="7300"/>
    <n v="1.0428571428571429"/>
    <x v="22"/>
    <n v="0"/>
    <n v="0"/>
    <s v=" "/>
    <n v="0"/>
    <n v="0"/>
    <n v="1"/>
    <n v="0.66666666666666663"/>
    <n v="7.333333333333333"/>
    <n v="0.91666666666666663"/>
    <n v="912.5"/>
    <n v="3.5"/>
    <n v="3.6164383561643834"/>
    <n v="0.96780303030303039"/>
    <n v="0.88715277777777779"/>
  </r>
  <r>
    <x v="1"/>
    <d v="2021-09-16T00:00:00"/>
    <s v="A"/>
    <x v="3"/>
    <x v="49"/>
    <m/>
    <s v="P1"/>
    <s v="NIPPLE S TYPE L SIZE PUNCHED"/>
    <s v="HEI14NbH16Pa"/>
    <s v="Himanshu"/>
    <n v="8"/>
    <n v="7000"/>
    <n v="875"/>
    <n v="7300"/>
    <n v="7300"/>
    <n v="0"/>
    <n v="0"/>
    <n v="0"/>
    <n v="0"/>
    <n v="0"/>
    <n v="0"/>
    <n v="1"/>
    <n v="7300"/>
    <n v="1.0428571428571429"/>
    <x v="36"/>
    <n v="0"/>
    <n v="0"/>
    <s v=" "/>
    <n v="0"/>
    <n v="0"/>
    <n v="1"/>
    <n v="0.66666666666666663"/>
    <n v="7.333333333333333"/>
    <n v="0.91666666666666663"/>
    <n v="912.5"/>
    <n v="3.5"/>
    <n v="3.6164383561643834"/>
    <n v="0.96780303030303039"/>
    <n v="0.88715277777777779"/>
  </r>
  <r>
    <x v="1"/>
    <d v="2021-09-16T00:00:00"/>
    <s v="A"/>
    <x v="0"/>
    <x v="47"/>
    <s v="M2"/>
    <s v="L2"/>
    <s v="NIPPLE S TYPE L SIZE INJECTION"/>
    <s v="HEI16Na"/>
    <s v="Himanshu"/>
    <n v="8"/>
    <n v="4815"/>
    <n v="601.875"/>
    <n v="5404"/>
    <n v="5300"/>
    <n v="0"/>
    <n v="51"/>
    <n v="0"/>
    <n v="0"/>
    <n v="45"/>
    <n v="8"/>
    <n v="1"/>
    <n v="5300"/>
    <n v="1.1007268951194185"/>
    <x v="0"/>
    <n v="6.8"/>
    <n v="36.747199999999999"/>
    <n v="0.98075499629903773"/>
    <n v="8.4190832553788595E-3"/>
    <n v="9.3492208982584781E-3"/>
    <n v="0.99167283493708369"/>
    <n v="0"/>
    <n v="8"/>
    <n v="1"/>
    <n v="662.5"/>
    <n v="5.25"/>
    <n v="5.4339622641509431"/>
    <n v="0.96614583333333337"/>
    <n v="0.95810057750431787"/>
  </r>
  <r>
    <x v="1"/>
    <d v="2021-09-16T00:00:00"/>
    <s v="A"/>
    <x v="9"/>
    <x v="31"/>
    <m/>
    <s v="INJ1"/>
    <s v="HOOD S TYPE MOLDED"/>
    <s v="HEI16Ha"/>
    <s v="Himanshu"/>
    <n v="8"/>
    <n v="4137"/>
    <n v="517.125"/>
    <n v="2485"/>
    <n v="2475"/>
    <n v="0"/>
    <n v="0"/>
    <n v="0"/>
    <n v="0"/>
    <n v="2"/>
    <n v="8"/>
    <n v="1"/>
    <n v="2475"/>
    <n v="0.59825960841189263"/>
    <x v="1"/>
    <n v="8.6"/>
    <n v="21.370999999999999"/>
    <n v="0.99597585513078479"/>
    <n v="8.0742834073475975E-4"/>
    <n v="0"/>
    <n v="0.99919517102615696"/>
    <n v="3.8333333333333335"/>
    <n v="4.1666666666666661"/>
    <n v="0.52083333333333326"/>
    <n v="309.375"/>
    <n v="6"/>
    <n v="6.0606060606060597"/>
    <n v="0.9900000000000001"/>
    <n v="0.51521001006036216"/>
  </r>
  <r>
    <x v="1"/>
    <d v="2021-09-16T00:00:00"/>
    <s v="A"/>
    <x v="6"/>
    <x v="8"/>
    <m/>
    <m/>
    <s v="KPP BOTTLE 200 ML PRINTED-WMG3B"/>
    <s v="EI06BC2I08Pa"/>
    <s v="Pintu"/>
    <n v="0.1"/>
    <n v="5"/>
    <n v="50"/>
    <n v="5"/>
    <n v="5"/>
    <n v="0"/>
    <n v="0"/>
    <n v="0"/>
    <n v="0"/>
    <n v="0"/>
    <n v="0"/>
    <n v="5"/>
    <n v="1"/>
    <n v="1"/>
    <x v="8"/>
    <n v="0"/>
    <n v="0"/>
    <s v=" "/>
    <n v="0"/>
    <n v="0"/>
    <n v="1"/>
    <n v="0"/>
    <n v="0.1"/>
    <n v="1"/>
    <n v="50"/>
    <n v="32.4"/>
    <n v="360"/>
    <n v="0.09"/>
    <n v="0.09"/>
  </r>
  <r>
    <x v="1"/>
    <d v="2021-09-16T00:00:00"/>
    <s v="A"/>
    <x v="6"/>
    <x v="73"/>
    <m/>
    <m/>
    <s v="KPP BOTTLE 240 ML PRINTED-WMG3B"/>
    <s v="EI04BC1I07PA"/>
    <s v="Pintu"/>
    <n v="0.1"/>
    <n v="10"/>
    <n v="100"/>
    <n v="10"/>
    <n v="10"/>
    <n v="0"/>
    <n v="0"/>
    <n v="0"/>
    <n v="0"/>
    <n v="0"/>
    <n v="0"/>
    <n v="5"/>
    <n v="2"/>
    <n v="1"/>
    <x v="17"/>
    <n v="0"/>
    <n v="0"/>
    <s v=" "/>
    <n v="0"/>
    <n v="0"/>
    <n v="1"/>
    <n v="0"/>
    <n v="0.1"/>
    <n v="1"/>
    <n v="100"/>
    <n v="32.4"/>
    <n v="180"/>
    <n v="0.18"/>
    <n v="0.18"/>
  </r>
  <r>
    <x v="1"/>
    <d v="2021-09-16T00:00:00"/>
    <s v="A"/>
    <x v="6"/>
    <x v="17"/>
    <m/>
    <m/>
    <s v="KPP 200 ML BOTTLE PRINTED"/>
    <s v="HI13Bb1I16Pa"/>
    <s v="Pintu"/>
    <n v="7.8"/>
    <n v="4900"/>
    <n v="628.20512820512818"/>
    <n v="4994"/>
    <n v="4968"/>
    <n v="0"/>
    <n v="0"/>
    <n v="46"/>
    <n v="0"/>
    <n v="26"/>
    <n v="0"/>
    <n v="5"/>
    <n v="993.6"/>
    <n v="1.0138775510204081"/>
    <x v="14"/>
    <n v="0"/>
    <n v="0"/>
    <s v=" "/>
    <n v="5.2062474969963961E-3"/>
    <n v="0"/>
    <n v="0.99479375250300361"/>
    <n v="0.66666666666666663"/>
    <n v="7.1333333333333329"/>
    <n v="0.9145299145299145"/>
    <n v="636.92307692307691"/>
    <n v="32.4"/>
    <n v="25.845410628019319"/>
    <n v="1.2536074766355141"/>
    <n v="1.1404927759465204"/>
  </r>
  <r>
    <x v="1"/>
    <d v="2021-09-16T00:00:00"/>
    <s v="A"/>
    <x v="1"/>
    <x v="18"/>
    <s v="BM3"/>
    <s v="B1"/>
    <s v="KPP 240 ML BOTTLE MOLDED"/>
    <s v="EI16Ba1"/>
    <s v="Himanshu"/>
    <n v="8"/>
    <n v="2574"/>
    <n v="321.75"/>
    <n v="821"/>
    <n v="756"/>
    <n v="0.18"/>
    <n v="36"/>
    <n v="0"/>
    <n v="0"/>
    <n v="21"/>
    <n v="8"/>
    <n v="1"/>
    <n v="756"/>
    <n v="0.2937062937062937"/>
    <x v="1"/>
    <n v="32.1"/>
    <n v="26.534100000000002"/>
    <n v="0.91458161384784109"/>
    <n v="2.7027027027027029E-2"/>
    <n v="4.2007001166861145E-2"/>
    <n v="0.97442143727162001"/>
    <n v="6.083333333333333"/>
    <n v="1.916666666666667"/>
    <n v="0.23958333333333337"/>
    <n v="94.5"/>
    <n v="9"/>
    <n v="9.1269841269841283"/>
    <n v="0.98608695652173894"/>
    <n v="0.2302070645554202"/>
  </r>
  <r>
    <x v="1"/>
    <d v="2021-09-16T00:00:00"/>
    <s v="G"/>
    <x v="4"/>
    <x v="4"/>
    <m/>
    <m/>
    <s v="NIPPLE S TYPE M SIZE PUNCHED INSPECTED"/>
    <s v="HEI10NcI14Pa"/>
    <s v="Badelal"/>
    <n v="2.5"/>
    <n v="2500"/>
    <n v="1000"/>
    <n v="2228"/>
    <n v="2217"/>
    <n v="0"/>
    <n v="0"/>
    <n v="0"/>
    <n v="0"/>
    <n v="11"/>
    <n v="0"/>
    <n v="1"/>
    <n v="2217"/>
    <n v="0.88680000000000003"/>
    <x v="4"/>
    <n v="0"/>
    <n v="0"/>
    <s v=" "/>
    <n v="4.9371633752244163E-3"/>
    <n v="0"/>
    <n v="0.99506283662477557"/>
    <n v="0.66666666666666663"/>
    <n v="1.8333333333333335"/>
    <n v="0.73333333333333339"/>
    <n v="886.8"/>
    <n v="4"/>
    <n v="2.9769959404600814"/>
    <n v="1.3436363636363635"/>
    <n v="0.98046858168761208"/>
  </r>
  <r>
    <x v="1"/>
    <d v="2021-09-16T00:00:00"/>
    <s v="G"/>
    <x v="4"/>
    <x v="51"/>
    <m/>
    <m/>
    <s v="NIPPLE S TYPE L SIZE PUNCHED INSPECTED"/>
    <s v="HEI13NbI14Pb"/>
    <s v="Badelal"/>
    <n v="6"/>
    <n v="11500"/>
    <n v="1916.6666666666667"/>
    <n v="9300"/>
    <n v="9188"/>
    <n v="0"/>
    <n v="0"/>
    <n v="0"/>
    <n v="0"/>
    <n v="112"/>
    <n v="0"/>
    <n v="1"/>
    <n v="9188"/>
    <n v="0.79895652173913045"/>
    <x v="37"/>
    <n v="0"/>
    <n v="0"/>
    <s v=" "/>
    <n v="1.2043010752688172E-2"/>
    <n v="0"/>
    <n v="0.98795698924731179"/>
    <n v="0"/>
    <n v="6"/>
    <n v="1"/>
    <n v="1531.3333333333333"/>
    <n v="4"/>
    <n v="2.3508924684370918"/>
    <n v="1.7014814814814816"/>
    <n v="1.6809905217045003"/>
  </r>
  <r>
    <x v="1"/>
    <d v="2021-09-16T00:00:00"/>
    <s v="G"/>
    <x v="7"/>
    <x v="24"/>
    <m/>
    <m/>
    <s v="NIPPLE S TYPE M SIZE WITH PRINTED WRAP"/>
    <s v="HEI06CG12"/>
    <s v="Badelal"/>
    <n v="8"/>
    <n v="16132"/>
    <n v="2016.5"/>
    <n v="16925"/>
    <n v="16890"/>
    <n v="0"/>
    <n v="0"/>
    <n v="0"/>
    <n v="0"/>
    <n v="35"/>
    <n v="0"/>
    <n v="2"/>
    <n v="8445"/>
    <n v="1.0469873543268038"/>
    <x v="19"/>
    <n v="0"/>
    <n v="0"/>
    <s v=" "/>
    <n v="2.06794682422452E-3"/>
    <n v="0"/>
    <n v="0.99793205317577549"/>
    <n v="0.66666666666666663"/>
    <n v="7.333333333333333"/>
    <n v="0.91666666666666663"/>
    <n v="2111.25"/>
    <n v="2.5"/>
    <n v="3.1261101243339255"/>
    <n v="0.79971590909090906"/>
    <n v="0.73155696085672073"/>
  </r>
  <r>
    <x v="1"/>
    <d v="2021-09-16T00:00:00"/>
    <s v="B"/>
    <x v="8"/>
    <x v="50"/>
    <m/>
    <s v="LZ1"/>
    <s v="NIPPLE S TYPE L SIZE PUNCHED LASER MARKED"/>
    <s v="HEI14AH22"/>
    <s v="Badelal"/>
    <n v="8"/>
    <n v="7000"/>
    <n v="875"/>
    <n v="1300"/>
    <n v="1300"/>
    <n v="0"/>
    <n v="0"/>
    <n v="0"/>
    <n v="0"/>
    <n v="0"/>
    <n v="0"/>
    <n v="1"/>
    <n v="1300"/>
    <n v="0.18571428571428572"/>
    <x v="22"/>
    <n v="0"/>
    <n v="0"/>
    <s v=" "/>
    <n v="0"/>
    <n v="0"/>
    <n v="1"/>
    <n v="6.333333333333333"/>
    <n v="1.666666666666667"/>
    <n v="0.20833333333333337"/>
    <n v="162.5"/>
    <n v="3.5"/>
    <n v="4.6153846153846159"/>
    <n v="0.7583333333333333"/>
    <n v="0.15798611111111113"/>
  </r>
  <r>
    <x v="1"/>
    <d v="2021-09-16T00:00:00"/>
    <s v="B"/>
    <x v="3"/>
    <x v="49"/>
    <m/>
    <s v="P1"/>
    <s v="NIPPLE S TYPE L SIZE PUNCHED"/>
    <s v="HEI15NBI16Pb"/>
    <s v="Nitin"/>
    <n v="8"/>
    <n v="7000"/>
    <n v="875"/>
    <n v="7200"/>
    <n v="7200"/>
    <n v="0"/>
    <n v="0"/>
    <n v="0"/>
    <n v="0"/>
    <n v="0"/>
    <n v="0"/>
    <n v="1"/>
    <n v="7200"/>
    <n v="1.0285714285714285"/>
    <x v="36"/>
    <n v="0"/>
    <n v="0"/>
    <s v=" "/>
    <n v="0"/>
    <n v="0"/>
    <n v="1"/>
    <n v="0.66666666666666663"/>
    <n v="7.333333333333333"/>
    <n v="0.91666666666666663"/>
    <n v="900"/>
    <n v="3.5"/>
    <n v="3.6666666666666665"/>
    <n v="0.95454545454545459"/>
    <n v="0.875"/>
  </r>
  <r>
    <x v="1"/>
    <d v="2021-09-16T00:00:00"/>
    <s v="B"/>
    <x v="1"/>
    <x v="18"/>
    <s v="BM3"/>
    <s v="B1"/>
    <s v="KPP 240 ML BOTTLE MOLDED"/>
    <s v="EI16Bb1"/>
    <s v="Nitin"/>
    <n v="8"/>
    <n v="2574"/>
    <n v="321.75"/>
    <n v="3242"/>
    <n v="3132"/>
    <n v="0.18"/>
    <n v="40"/>
    <n v="0"/>
    <n v="0"/>
    <n v="70"/>
    <n v="0"/>
    <n v="1"/>
    <n v="3132"/>
    <n v="1.2167832167832169"/>
    <x v="1"/>
    <n v="32.1"/>
    <n v="104.24820000000001"/>
    <n v="0.96440226306065713"/>
    <n v="2.1861336664584636E-2"/>
    <n v="1.2187690432663011E-2"/>
    <n v="0.97840838988278844"/>
    <n v="0"/>
    <n v="8"/>
    <n v="1"/>
    <n v="391.5"/>
    <n v="9"/>
    <n v="9.1954022988505741"/>
    <n v="0.97875000000000001"/>
    <n v="0.95761721159777924"/>
  </r>
  <r>
    <x v="1"/>
    <d v="2021-09-16T00:00:00"/>
    <s v="B"/>
    <x v="0"/>
    <x v="47"/>
    <s v="M2"/>
    <s v="L2"/>
    <s v="NIPPLE S TYPE L SIZE INJECTION"/>
    <s v="HEI16Nb"/>
    <s v="Nitin"/>
    <n v="8"/>
    <n v="4815"/>
    <n v="601.875"/>
    <n v="5112"/>
    <n v="5000"/>
    <n v="0"/>
    <n v="48"/>
    <n v="0"/>
    <n v="0"/>
    <n v="64"/>
    <n v="0"/>
    <n v="1"/>
    <n v="5000"/>
    <n v="1.0384215991692627"/>
    <x v="0"/>
    <n v="6.8"/>
    <n v="34.761600000000001"/>
    <n v="0.9780907668231611"/>
    <n v="1.2638230647709321E-2"/>
    <n v="9.3023255813953487E-3"/>
    <n v="0.98748043818466358"/>
    <n v="0"/>
    <n v="8"/>
    <n v="1"/>
    <n v="625"/>
    <n v="5.25"/>
    <n v="5.76"/>
    <n v="0.91145833333333337"/>
    <n v="0.90004727438706322"/>
  </r>
  <r>
    <x v="1"/>
    <d v="2021-09-16T00:00:00"/>
    <s v="B"/>
    <x v="6"/>
    <x v="17"/>
    <m/>
    <s v="PR1"/>
    <s v="KPP 200 ML BOTTLE PRINTED"/>
    <s v="EI13BC1I16Pb"/>
    <s v="Nitin"/>
    <n v="8"/>
    <n v="5100"/>
    <n v="637.5"/>
    <n v="6089"/>
    <n v="6060"/>
    <n v="0"/>
    <n v="0"/>
    <n v="39"/>
    <n v="0"/>
    <n v="29"/>
    <n v="0"/>
    <n v="6"/>
    <n v="1010"/>
    <n v="1.1882352941176471"/>
    <x v="14"/>
    <n v="0"/>
    <n v="0"/>
    <s v=" "/>
    <n v="4.7626868122844475E-3"/>
    <n v="0"/>
    <n v="0.99523731318771558"/>
    <n v="0.66666666666666663"/>
    <n v="7.333333333333333"/>
    <n v="0.91666666666666663"/>
    <n v="757.5"/>
    <n v="32.4"/>
    <n v="26.138613861386137"/>
    <n v="1.2395454545454545"/>
    <n v="1.1308383971095417"/>
  </r>
  <r>
    <x v="1"/>
    <d v="2021-09-16T00:00:00"/>
    <s v="C"/>
    <x v="1"/>
    <x v="18"/>
    <s v="BM3"/>
    <s v="B1"/>
    <s v="KPP 240 ML BOTTLE MOLDED"/>
    <s v="EI16Bc1"/>
    <s v="Saurabh"/>
    <n v="8"/>
    <n v="2574"/>
    <n v="321.75"/>
    <n v="3158"/>
    <n v="3024"/>
    <n v="0.32"/>
    <n v="56"/>
    <n v="0"/>
    <n v="0"/>
    <n v="70"/>
    <n v="8"/>
    <n v="1"/>
    <n v="3024"/>
    <n v="1.1748251748251748"/>
    <x v="1"/>
    <n v="32.1"/>
    <n v="101.6918"/>
    <n v="0.95455484119663536"/>
    <n v="2.2624434389140271E-2"/>
    <n v="1.7423771001866834E-2"/>
    <n v="0.97783407219759344"/>
    <n v="0"/>
    <n v="8"/>
    <n v="1"/>
    <n v="378"/>
    <n v="9"/>
    <n v="9.5238095238095237"/>
    <n v="0.94500000000000006"/>
    <n v="0.92405319822672582"/>
  </r>
  <r>
    <x v="1"/>
    <d v="2021-09-16T00:00:00"/>
    <s v="C"/>
    <x v="0"/>
    <x v="47"/>
    <s v="M2"/>
    <s v="L2"/>
    <s v="NIPPLE S TYPE L SIZE INJECTION"/>
    <s v="HEI16Nc"/>
    <s v="Saurabh"/>
    <n v="8"/>
    <n v="4815"/>
    <n v="601.875"/>
    <n v="5070"/>
    <n v="5000"/>
    <n v="0"/>
    <n v="22"/>
    <n v="0"/>
    <n v="0"/>
    <n v="40"/>
    <n v="8"/>
    <n v="1"/>
    <n v="5000"/>
    <n v="1.0384215991692627"/>
    <x v="0"/>
    <n v="6.8"/>
    <n v="34.475999999999999"/>
    <n v="0.98619329388560162"/>
    <n v="7.9365079365079361E-3"/>
    <n v="4.3205027494108402E-3"/>
    <n v="0.99211045364891515"/>
    <n v="0"/>
    <n v="8"/>
    <n v="1"/>
    <n v="625"/>
    <n v="5.25"/>
    <n v="5.76"/>
    <n v="0.91145833333333337"/>
    <n v="0.90426734056541747"/>
  </r>
  <r>
    <x v="1"/>
    <d v="2021-09-17T00:00:00"/>
    <s v="A"/>
    <x v="1"/>
    <x v="18"/>
    <s v="BM3"/>
    <s v="B1"/>
    <s v="KPP 240 ML BOTTLE MOLDED"/>
    <s v="EI17Ba1"/>
    <s v="Nitin"/>
    <n v="8"/>
    <n v="2574"/>
    <n v="321.75"/>
    <n v="3136"/>
    <n v="3024"/>
    <n v="0"/>
    <n v="38"/>
    <n v="0"/>
    <n v="0"/>
    <n v="66"/>
    <n v="8"/>
    <n v="1"/>
    <n v="3024"/>
    <n v="1.1748251748251748"/>
    <x v="1"/>
    <n v="32.1"/>
    <n v="100.66560000000001"/>
    <n v="0.96428571428571419"/>
    <n v="2.1359223300970873E-2"/>
    <n v="1.1972274732199117E-2"/>
    <n v="0.97895408163265307"/>
    <n v="0.5"/>
    <n v="7.5"/>
    <n v="0.9375"/>
    <n v="378"/>
    <n v="9"/>
    <n v="8.9285714285714288"/>
    <n v="1.008"/>
    <n v="0.92511160714285712"/>
  </r>
  <r>
    <x v="1"/>
    <d v="2021-09-17T00:00:00"/>
    <s v="A"/>
    <x v="1"/>
    <x v="20"/>
    <s v="BM4"/>
    <s v="B2"/>
    <s v="KPP 120 ML BOTTLE MOLDED"/>
    <s v="EI17Ba2"/>
    <s v="Nitin"/>
    <n v="4"/>
    <n v="1200"/>
    <n v="300"/>
    <n v="1802"/>
    <n v="1728"/>
    <n v="0.15"/>
    <n v="24"/>
    <n v="0"/>
    <n v="0"/>
    <n v="42"/>
    <n v="8"/>
    <n v="1"/>
    <n v="1728"/>
    <n v="1.44"/>
    <x v="1"/>
    <n v="21.3"/>
    <n v="38.532599999999995"/>
    <n v="0.95520156958004399"/>
    <n v="2.3728813559322035E-2"/>
    <n v="1.3143483023001095E-2"/>
    <n v="0.97669256381797998"/>
    <n v="1.1666666666666667"/>
    <n v="2.833333333333333"/>
    <n v="0.70833333333333326"/>
    <n v="432"/>
    <n v="9"/>
    <n v="5.9027777777777768"/>
    <n v="1.5247058823529414"/>
    <n v="1.0548279689234183"/>
  </r>
  <r>
    <x v="1"/>
    <d v="2021-09-17T00:00:00"/>
    <s v="A"/>
    <x v="0"/>
    <x v="47"/>
    <s v="M2"/>
    <s v="L2"/>
    <s v="NIPPLE S TYPE L SIZE INJECTION"/>
    <s v="HEI17Na"/>
    <s v="Nitin"/>
    <n v="8"/>
    <n v="4815"/>
    <n v="601.875"/>
    <n v="4305"/>
    <n v="4200"/>
    <n v="4.2670000000000003"/>
    <n v="46"/>
    <n v="0"/>
    <n v="0"/>
    <n v="51"/>
    <n v="8"/>
    <n v="1"/>
    <n v="4200"/>
    <n v="0.87227414330218067"/>
    <x v="0"/>
    <n v="6.8"/>
    <n v="33.540999999999997"/>
    <n v="0.85149518499746579"/>
    <n v="1.1997177134791814E-2"/>
    <n v="1.0572282233969202E-2"/>
    <n v="0.98815331010452967"/>
    <n v="1.1666666666666667"/>
    <n v="6.833333333333333"/>
    <n v="0.85416666666666663"/>
    <n v="525"/>
    <n v="5.25"/>
    <n v="5.8571428571428568"/>
    <n v="0.89634146341463417"/>
    <n v="0.75655487804878052"/>
  </r>
  <r>
    <x v="1"/>
    <d v="2021-09-17T00:00:00"/>
    <s v="A"/>
    <x v="3"/>
    <x v="49"/>
    <m/>
    <s v="P1"/>
    <s v="NIPPLE S TYPE L SIZE PUNCHED"/>
    <s v="HEI15NaI17Pa"/>
    <s v="Nitin"/>
    <n v="8"/>
    <n v="7000"/>
    <n v="875"/>
    <n v="5300"/>
    <n v="5300"/>
    <n v="0"/>
    <n v="0"/>
    <n v="0"/>
    <n v="0"/>
    <n v="0"/>
    <n v="0"/>
    <n v="1"/>
    <n v="5300"/>
    <n v="0.75714285714285712"/>
    <x v="36"/>
    <n v="0"/>
    <n v="0"/>
    <s v=" "/>
    <n v="0"/>
    <n v="0"/>
    <n v="1"/>
    <n v="2.1666666666666665"/>
    <n v="5.8333333333333339"/>
    <n v="0.72916666666666674"/>
    <n v="662.5"/>
    <n v="3.5"/>
    <n v="3.9622641509433971"/>
    <n v="0.88333333333333308"/>
    <n v="0.6440972222222221"/>
  </r>
  <r>
    <x v="1"/>
    <d v="2021-09-17T00:00:00"/>
    <s v="A"/>
    <x v="6"/>
    <x v="17"/>
    <m/>
    <m/>
    <s v="KPP 200 ML BOTTLE PRINTED"/>
    <s v="EI14Bc1I17Pa"/>
    <s v="Pintu"/>
    <n v="4.5"/>
    <n v="2900"/>
    <n v="644.44444444444446"/>
    <n v="1801"/>
    <n v="1786"/>
    <n v="0"/>
    <n v="0"/>
    <n v="12"/>
    <n v="0"/>
    <n v="15"/>
    <n v="0"/>
    <n v="5"/>
    <n v="357.2"/>
    <n v="0.61586206896551721"/>
    <x v="14"/>
    <n v="0"/>
    <n v="0"/>
    <s v=" "/>
    <n v="8.3287062742920595E-3"/>
    <n v="0"/>
    <n v="0.99167129372570795"/>
    <n v="1.3333333333333333"/>
    <n v="3.166666666666667"/>
    <n v="0.70370370370370372"/>
    <n v="396.88888888888891"/>
    <n v="32.4"/>
    <n v="31.914893617021281"/>
    <n v="1.0151999999999999"/>
    <n v="0.70844997223764572"/>
  </r>
  <r>
    <x v="1"/>
    <d v="2021-09-17T00:00:00"/>
    <s v="A"/>
    <x v="6"/>
    <x v="14"/>
    <m/>
    <m/>
    <s v="RPP 120 ML BOTTLE PRINTED"/>
    <s v="EH03Ba1I17Pa"/>
    <s v="Pintu"/>
    <n v="3.5"/>
    <n v="2600"/>
    <n v="742.85714285714289"/>
    <n v="3075"/>
    <n v="3060"/>
    <n v="0"/>
    <n v="0"/>
    <n v="12"/>
    <n v="0"/>
    <n v="15"/>
    <n v="0"/>
    <n v="5"/>
    <n v="612"/>
    <n v="1.176923076923077"/>
    <x v="11"/>
    <n v="0"/>
    <n v="0"/>
    <s v=" "/>
    <n v="4.8780487804878049E-3"/>
    <n v="0"/>
    <n v="0.99512195121951219"/>
    <n v="0"/>
    <n v="3.5"/>
    <n v="1"/>
    <n v="874.28571428571433"/>
    <n v="32.4"/>
    <n v="20.588235294117649"/>
    <n v="1.5737142857142856"/>
    <n v="1.5660376306620207"/>
  </r>
  <r>
    <x v="1"/>
    <d v="2021-09-17T00:00:00"/>
    <s v="G"/>
    <x v="4"/>
    <x v="51"/>
    <m/>
    <m/>
    <s v="NIPPLE S TYPE L SIZE PUNCHED INSPECTED"/>
    <s v="HEI14NaI15Pa"/>
    <s v="Badelal"/>
    <n v="2"/>
    <n v="2800"/>
    <n v="1400"/>
    <n v="2300"/>
    <n v="2249"/>
    <n v="0"/>
    <n v="0"/>
    <n v="0"/>
    <n v="0"/>
    <n v="51"/>
    <n v="0"/>
    <n v="1"/>
    <n v="2249"/>
    <n v="0.80321428571428577"/>
    <x v="37"/>
    <n v="0"/>
    <n v="0"/>
    <s v=" "/>
    <n v="2.2173913043478259E-2"/>
    <n v="0"/>
    <n v="0.97782608695652173"/>
    <n v="0.66666666666666663"/>
    <n v="1.3333333333333335"/>
    <n v="0.66666666666666674"/>
    <n v="1124.5"/>
    <n v="4"/>
    <n v="2.1342819030680307"/>
    <n v="1.8741666666666663"/>
    <n v="1.2217393719806762"/>
  </r>
  <r>
    <x v="1"/>
    <d v="2021-09-17T00:00:00"/>
    <s v="G"/>
    <x v="7"/>
    <x v="33"/>
    <m/>
    <s v="WR1"/>
    <s v="NIPPLE S TYPE S SIZE WITH PRINTED WRAP"/>
    <s v="HEH17AG22"/>
    <s v="Badelal"/>
    <n v="8"/>
    <n v="16132"/>
    <n v="2016.5"/>
    <n v="16329"/>
    <n v="16325"/>
    <n v="0"/>
    <n v="0"/>
    <n v="0"/>
    <n v="0"/>
    <n v="4"/>
    <n v="0"/>
    <n v="2"/>
    <n v="8162.5"/>
    <n v="1.0119637986610464"/>
    <x v="27"/>
    <n v="0"/>
    <n v="0"/>
    <s v=" "/>
    <n v="2.449629493539102E-4"/>
    <n v="0"/>
    <n v="0.99975503705064606"/>
    <n v="0.66666666666666663"/>
    <n v="7.333333333333333"/>
    <n v="0.91666666666666663"/>
    <n v="2040.625"/>
    <n v="2.5"/>
    <n v="3.2343032159264933"/>
    <n v="0.77296401515151514"/>
    <n v="0.70837677863940085"/>
  </r>
  <r>
    <x v="1"/>
    <d v="2021-09-17T00:00:00"/>
    <s v="B"/>
    <x v="3"/>
    <x v="49"/>
    <m/>
    <m/>
    <s v="NIPPLE S TYPE L SIZE PUNCHED"/>
    <s v="HEI15NcI17Pb"/>
    <s v="Badelal"/>
    <n v="8"/>
    <n v="7000"/>
    <n v="875"/>
    <n v="7000"/>
    <n v="7000"/>
    <n v="0"/>
    <n v="0"/>
    <n v="0"/>
    <n v="0"/>
    <n v="0"/>
    <n v="0"/>
    <n v="1"/>
    <n v="7000"/>
    <n v="1"/>
    <x v="36"/>
    <n v="0"/>
    <n v="0"/>
    <s v=" "/>
    <n v="0"/>
    <n v="0"/>
    <n v="1"/>
    <n v="0.66666666666666663"/>
    <n v="7.333333333333333"/>
    <n v="0.91666666666666663"/>
    <n v="875"/>
    <n v="3.5"/>
    <n v="3.7714285714285714"/>
    <n v="0.92803030303030309"/>
    <n v="0.85069444444444442"/>
  </r>
  <r>
    <x v="1"/>
    <d v="2021-09-17T00:00:00"/>
    <s v="B"/>
    <x v="9"/>
    <x v="31"/>
    <m/>
    <s v="INJ1"/>
    <s v="HOOD S TYPE MOLDED"/>
    <s v="EI17Hb"/>
    <s v="Badelal"/>
    <n v="8"/>
    <n v="4137"/>
    <n v="517.125"/>
    <n v="6034"/>
    <n v="6000"/>
    <n v="0.1"/>
    <n v="20"/>
    <n v="0"/>
    <n v="0"/>
    <n v="6"/>
    <n v="8"/>
    <n v="1"/>
    <n v="6000"/>
    <n v="1.4503263234227701"/>
    <x v="1"/>
    <n v="8.6"/>
    <n v="51.992400000000004"/>
    <n v="0.99245274309322129"/>
    <n v="9.99000999000999E-4"/>
    <n v="3.3036009250082591E-3"/>
    <n v="0.99900563473649318"/>
    <n v="0"/>
    <n v="8"/>
    <n v="1"/>
    <n v="750"/>
    <n v="6"/>
    <n v="4.8"/>
    <n v="1.25"/>
    <n v="1.2487570434206166"/>
  </r>
  <r>
    <x v="1"/>
    <d v="2021-09-17T00:00:00"/>
    <s v="B"/>
    <x v="0"/>
    <x v="47"/>
    <s v="M2"/>
    <s v="L2"/>
    <s v="NIPPLE S TYPE L SIZE INJECTION"/>
    <s v="HEI17Nb"/>
    <s v="Badelal"/>
    <n v="8"/>
    <n v="4815"/>
    <n v="601.875"/>
    <n v="5430"/>
    <n v="5300"/>
    <n v="0"/>
    <n v="60"/>
    <n v="0"/>
    <n v="0"/>
    <n v="70"/>
    <n v="0"/>
    <n v="1"/>
    <n v="5300"/>
    <n v="1.1007268951194185"/>
    <x v="0"/>
    <n v="6.8"/>
    <n v="36.923999999999999"/>
    <n v="0.97605893186003678"/>
    <n v="1.3035381750465549E-2"/>
    <n v="1.092896174863388E-2"/>
    <n v="0.98710865561694294"/>
    <n v="0"/>
    <n v="8"/>
    <n v="1"/>
    <n v="662.5"/>
    <n v="5.25"/>
    <n v="5.4339622641509431"/>
    <n v="0.96614583333333337"/>
    <n v="0.95369091467157774"/>
  </r>
  <r>
    <x v="1"/>
    <d v="2021-09-17T00:00:00"/>
    <s v="B"/>
    <x v="1"/>
    <x v="18"/>
    <m/>
    <s v="B1"/>
    <s v="KPP 240 ML BOTTLE MOLDED"/>
    <s v="EI17Bb1"/>
    <s v="Badelal"/>
    <n v="8"/>
    <n v="2574"/>
    <n v="321.75"/>
    <n v="3458"/>
    <n v="3405"/>
    <n v="0"/>
    <n v="0"/>
    <n v="0"/>
    <n v="0"/>
    <n v="53"/>
    <n v="0"/>
    <n v="1"/>
    <n v="3405"/>
    <n v="1.3228438228438228"/>
    <x v="1"/>
    <n v="32.1"/>
    <n v="111.00180000000002"/>
    <n v="0.98467322151532677"/>
    <n v="1.5326778484673221E-2"/>
    <n v="0"/>
    <n v="0.98467322151532677"/>
    <n v="0"/>
    <n v="8"/>
    <n v="1"/>
    <n v="425.625"/>
    <n v="9"/>
    <n v="8.4581497797356828"/>
    <n v="1.0640624999999999"/>
    <n v="1.0477538497686523"/>
  </r>
  <r>
    <x v="1"/>
    <d v="2021-09-17T00:00:00"/>
    <s v="B"/>
    <x v="1"/>
    <x v="20"/>
    <m/>
    <s v="B2"/>
    <s v="KPP 120 ML BOTTLE MOLDED"/>
    <s v="EI17Bb2"/>
    <s v="Badelal"/>
    <n v="8"/>
    <n v="2574"/>
    <n v="321.75"/>
    <n v="3172"/>
    <n v="3060"/>
    <n v="0.21"/>
    <n v="29"/>
    <n v="0"/>
    <n v="0"/>
    <n v="83"/>
    <n v="0"/>
    <n v="1"/>
    <n v="3060"/>
    <n v="1.1888111888111887"/>
    <x v="1"/>
    <n v="21.3"/>
    <n v="67.773599999999988"/>
    <n v="0.9617019016254118"/>
    <n v="2.6407890550429525E-2"/>
    <n v="9.0596688534832857E-3"/>
    <n v="0.97383354350567464"/>
    <n v="0"/>
    <n v="8"/>
    <n v="1"/>
    <n v="382.5"/>
    <n v="9"/>
    <n v="9.4117647058823533"/>
    <n v="0.95624999999999993"/>
    <n v="0.93122832597730132"/>
  </r>
  <r>
    <x v="1"/>
    <d v="2021-09-17T00:00:00"/>
    <s v="B"/>
    <x v="6"/>
    <x v="14"/>
    <m/>
    <m/>
    <s v="RPP 120 ML BOTTLE PRINTED"/>
    <s v="EH03Bb1I17Pb"/>
    <s v="Badelal"/>
    <n v="8"/>
    <n v="5800"/>
    <n v="725"/>
    <n v="6884"/>
    <n v="6840"/>
    <n v="0"/>
    <n v="0"/>
    <n v="50"/>
    <n v="0"/>
    <n v="44"/>
    <n v="0"/>
    <n v="5"/>
    <n v="1368"/>
    <n v="1.1793103448275861"/>
    <x v="11"/>
    <n v="0"/>
    <n v="0"/>
    <s v=" "/>
    <n v="6.3916327716443929E-3"/>
    <n v="0"/>
    <n v="0.99360836722835566"/>
    <n v="0.66666666666666663"/>
    <n v="7.333333333333333"/>
    <n v="0.91666666666666663"/>
    <n v="855"/>
    <n v="32.4"/>
    <n v="19.298245614035089"/>
    <n v="1.6789090909090907"/>
    <n v="1.5291632771644392"/>
  </r>
  <r>
    <x v="1"/>
    <d v="2021-09-17T00:00:00"/>
    <s v="C"/>
    <x v="1"/>
    <x v="20"/>
    <s v="BM1"/>
    <s v="B2"/>
    <s v="KPP 120 ML BOTTLE MOLDED"/>
    <s v="EI17Bc2"/>
    <s v="Saurabh"/>
    <n v="8"/>
    <n v="2574"/>
    <n v="321.75"/>
    <n v="3175"/>
    <n v="3060"/>
    <n v="0.32"/>
    <n v="42"/>
    <n v="0"/>
    <n v="0"/>
    <n v="65"/>
    <n v="8"/>
    <n v="1"/>
    <n v="3060"/>
    <n v="1.1888111888111887"/>
    <x v="1"/>
    <n v="21.3"/>
    <n v="67.947499999999991"/>
    <n v="0.95924059016152186"/>
    <n v="2.0799999999999999E-2"/>
    <n v="1.3055641902393535E-2"/>
    <n v="0.97952755905511812"/>
    <n v="0"/>
    <n v="8"/>
    <n v="1"/>
    <n v="382.5"/>
    <n v="9"/>
    <n v="9.4117647058823533"/>
    <n v="0.95624999999999993"/>
    <n v="0.93667322834645661"/>
  </r>
  <r>
    <x v="1"/>
    <d v="2021-09-17T00:00:00"/>
    <s v="C"/>
    <x v="0"/>
    <x v="47"/>
    <s v="M2"/>
    <s v="L2"/>
    <s v="NIPPLE S TYPE L SIZE INJECTION"/>
    <s v="HEI17Nc"/>
    <s v="Saurabh"/>
    <n v="8"/>
    <n v="4815"/>
    <n v="601.875"/>
    <n v="4583"/>
    <n v="4500"/>
    <n v="0"/>
    <n v="35"/>
    <n v="0"/>
    <n v="0"/>
    <n v="40"/>
    <n v="8"/>
    <n v="1"/>
    <n v="4500"/>
    <n v="0.93457943925233644"/>
    <x v="0"/>
    <n v="6.8"/>
    <n v="31.164399999999997"/>
    <n v="0.9818895919703251"/>
    <n v="8.8105726872246704E-3"/>
    <n v="7.5790385448245992E-3"/>
    <n v="0.99127209251581938"/>
    <n v="1"/>
    <n v="7"/>
    <n v="0.875"/>
    <n v="562.5"/>
    <n v="5.25"/>
    <n v="5.6"/>
    <n v="0.93750000000000011"/>
    <n v="0.81315288839188316"/>
  </r>
  <r>
    <x v="1"/>
    <d v="2021-09-17T00:00:00"/>
    <s v="C"/>
    <x v="9"/>
    <x v="31"/>
    <m/>
    <s v="INJ1"/>
    <s v="HOOD S TYPE MOLDED"/>
    <s v="EI17Hc"/>
    <s v="Saurabh"/>
    <n v="8"/>
    <n v="4137"/>
    <n v="517.125"/>
    <n v="5020"/>
    <n v="5000"/>
    <n v="0.2"/>
    <n v="0"/>
    <n v="0"/>
    <n v="0"/>
    <n v="12"/>
    <n v="8"/>
    <n v="1"/>
    <n v="5000"/>
    <n v="1.2086052695189751"/>
    <x v="1"/>
    <n v="8.6"/>
    <n v="43.372"/>
    <n v="0.99142303790463893"/>
    <n v="2.3942537909018356E-3"/>
    <n v="0"/>
    <n v="0.99760956175298809"/>
    <n v="0"/>
    <n v="8"/>
    <n v="1"/>
    <n v="625"/>
    <n v="6"/>
    <n v="5.76"/>
    <n v="1.0416666666666667"/>
    <n v="1.0391766268260294"/>
  </r>
  <r>
    <x v="1"/>
    <d v="2021-09-18T00:00:00"/>
    <s v="A"/>
    <x v="1"/>
    <x v="20"/>
    <s v="BM1"/>
    <s v="B2"/>
    <s v="KPP 120 ML BOTTLE MOLDED"/>
    <s v="EI18Ba2"/>
    <s v="Nitin"/>
    <n v="6"/>
    <n v="1932"/>
    <n v="322"/>
    <n v="2217"/>
    <n v="2160"/>
    <n v="0.12"/>
    <n v="21"/>
    <n v="0"/>
    <n v="0"/>
    <n v="28"/>
    <n v="8"/>
    <n v="1"/>
    <n v="2160"/>
    <n v="1.1180124223602483"/>
    <x v="1"/>
    <n v="21.3"/>
    <n v="47.342099999999995"/>
    <n v="0.97182000798443668"/>
    <n v="1.2797074954296161E-2"/>
    <n v="9.3833780160857902E-3"/>
    <n v="0.98737032025259364"/>
    <n v="0"/>
    <n v="6"/>
    <n v="1"/>
    <n v="360"/>
    <n v="9"/>
    <n v="10"/>
    <n v="0.9"/>
    <n v="0.88863328822733434"/>
  </r>
  <r>
    <x v="1"/>
    <d v="2021-09-18T00:00:00"/>
    <s v="A"/>
    <x v="0"/>
    <x v="47"/>
    <s v="M2"/>
    <s v="L2"/>
    <s v="NIPPLE S TYPE L SIZE INJECTION"/>
    <s v="HEI18Na"/>
    <s v="Nitin"/>
    <n v="6"/>
    <n v="3612"/>
    <n v="602"/>
    <n v="3429"/>
    <n v="3365"/>
    <n v="0.38"/>
    <n v="24"/>
    <n v="0"/>
    <n v="0"/>
    <n v="32"/>
    <n v="8"/>
    <n v="1"/>
    <n v="3365"/>
    <n v="0.93161683277962348"/>
    <x v="0"/>
    <n v="6.8"/>
    <n v="23.697199999999999"/>
    <n v="0.96559931131104093"/>
    <n v="9.4200765381218729E-3"/>
    <n v="6.9504778453518675E-3"/>
    <n v="0.99066783318751828"/>
    <n v="0"/>
    <n v="6"/>
    <n v="1"/>
    <n v="560.83333333333337"/>
    <n v="5.25"/>
    <n v="6.4190193164933138"/>
    <n v="0.8178819444444444"/>
    <n v="0.81024933370597196"/>
  </r>
  <r>
    <x v="1"/>
    <d v="2021-09-18T00:00:00"/>
    <s v="A"/>
    <x v="9"/>
    <x v="31"/>
    <m/>
    <s v="INJ1"/>
    <s v="HOOD S TYPE MOLDED"/>
    <s v="EI18Ha"/>
    <s v="Nitin"/>
    <n v="4"/>
    <n v="2068.5"/>
    <n v="517.125"/>
    <n v="2546"/>
    <n v="2523"/>
    <n v="0"/>
    <n v="0"/>
    <n v="0"/>
    <n v="0"/>
    <n v="15"/>
    <n v="8"/>
    <n v="1"/>
    <n v="2523"/>
    <n v="1.2197244379985497"/>
    <x v="1"/>
    <n v="8.6"/>
    <n v="21.895600000000002"/>
    <n v="0.99096622152395908"/>
    <n v="5.9101654846335696E-3"/>
    <n v="0"/>
    <n v="0.99410840534171252"/>
    <n v="0"/>
    <n v="4"/>
    <n v="1"/>
    <n v="630.75"/>
    <n v="6"/>
    <n v="5.7074910820451841"/>
    <n v="1.05125"/>
    <n v="1.0450564611154753"/>
  </r>
  <r>
    <x v="1"/>
    <d v="2021-09-18T00:00:00"/>
    <s v="A"/>
    <x v="3"/>
    <x v="49"/>
    <m/>
    <s v="P1"/>
    <s v="NIPPLE S TYPE L SIZE PUNCHED"/>
    <s v="HEI16NaI18Pa"/>
    <s v="Nitin"/>
    <n v="6"/>
    <n v="5250"/>
    <n v="875"/>
    <n v="5300"/>
    <n v="5288"/>
    <n v="0"/>
    <n v="0"/>
    <n v="0"/>
    <n v="0"/>
    <n v="12"/>
    <n v="0"/>
    <n v="1"/>
    <n v="5288"/>
    <n v="1.0072380952380953"/>
    <x v="36"/>
    <n v="0"/>
    <n v="0"/>
    <s v=" "/>
    <n v="2.2641509433962265E-3"/>
    <n v="0"/>
    <n v="0.99773584905660373"/>
    <n v="0"/>
    <n v="6"/>
    <n v="1"/>
    <n v="881.33333333333337"/>
    <n v="3.5"/>
    <n v="4.0847201210287443"/>
    <n v="0.85685185185185186"/>
    <n v="0.85491180992313065"/>
  </r>
  <r>
    <x v="1"/>
    <d v="2021-09-18T00:00:00"/>
    <s v="A"/>
    <x v="6"/>
    <x v="14"/>
    <m/>
    <m/>
    <s v="RPP 120 ML BOTTLE PRINTED"/>
    <s v="EH04Ba1I18Pa"/>
    <s v="Pintu"/>
    <n v="5"/>
    <n v="3300"/>
    <n v="660"/>
    <n v="2466"/>
    <n v="2384"/>
    <n v="0"/>
    <n v="0"/>
    <n v="18"/>
    <n v="0"/>
    <n v="82"/>
    <n v="0"/>
    <n v="5"/>
    <n v="476.8"/>
    <n v="0.72242424242424241"/>
    <x v="11"/>
    <n v="0"/>
    <n v="0"/>
    <s v=" "/>
    <n v="3.3252230332522302E-2"/>
    <n v="0"/>
    <n v="0.96674776966747766"/>
    <n v="1.1666666666666667"/>
    <n v="3.833333333333333"/>
    <n v="0.76666666666666661"/>
    <n v="476.8"/>
    <n v="32.4"/>
    <n v="28.942953020134222"/>
    <n v="1.1194434782608698"/>
    <n v="0.8297016058394161"/>
  </r>
  <r>
    <x v="1"/>
    <d v="2021-09-18T00:00:00"/>
    <s v="A"/>
    <x v="6"/>
    <x v="52"/>
    <m/>
    <m/>
    <s v="KPP 120 ML BOTTLE PRINTED"/>
    <s v="EH20Bb1I18Pa"/>
    <s v="Nitin"/>
    <n v="2"/>
    <n v="1200"/>
    <n v="600"/>
    <n v="1250"/>
    <n v="1237"/>
    <n v="0"/>
    <n v="0"/>
    <n v="10"/>
    <n v="0"/>
    <n v="13"/>
    <n v="0"/>
    <n v="5"/>
    <n v="247.4"/>
    <n v="1.0308333333333333"/>
    <x v="38"/>
    <n v="0"/>
    <n v="0"/>
    <s v=" "/>
    <n v="1.04E-2"/>
    <n v="0"/>
    <n v="0.98960000000000004"/>
    <n v="0"/>
    <n v="2"/>
    <n v="1"/>
    <n v="618.5"/>
    <n v="32.4"/>
    <n v="29.10266774454325"/>
    <n v="1.1133"/>
    <n v="1.10172168"/>
  </r>
  <r>
    <x v="1"/>
    <d v="2021-09-20T00:00:00"/>
    <s v="A"/>
    <x v="1"/>
    <x v="20"/>
    <s v="BM1"/>
    <s v="B2"/>
    <s v="KPP 120 ML BOTTLE MOLDED"/>
    <s v="EI20Ba2"/>
    <s v="Nitin"/>
    <n v="8"/>
    <n v="2574"/>
    <n v="321.75"/>
    <n v="2242"/>
    <n v="2160"/>
    <n v="0.12"/>
    <n v="42"/>
    <n v="0"/>
    <n v="0"/>
    <n v="32"/>
    <n v="8"/>
    <n v="1"/>
    <n v="2160"/>
    <n v="0.83916083916083917"/>
    <x v="1"/>
    <n v="21.3"/>
    <n v="47.874599999999994"/>
    <n v="0.96101064029777794"/>
    <n v="1.4598540145985401E-2"/>
    <n v="1.8388791593695272E-2"/>
    <n v="0.98572702943800183"/>
    <n v="1.75"/>
    <n v="6.25"/>
    <n v="0.78125"/>
    <n v="270"/>
    <n v="9"/>
    <n v="10.416666666666666"/>
    <n v="0.8640000000000001"/>
    <n v="0.66536574487065137"/>
  </r>
  <r>
    <x v="1"/>
    <d v="2021-09-20T00:00:00"/>
    <s v="A"/>
    <x v="0"/>
    <x v="47"/>
    <s v="M2"/>
    <s v="L2"/>
    <s v="NIPPLE S TYPE L SIZE INJECTION"/>
    <s v="HEI20Na"/>
    <s v="Nitin"/>
    <n v="8"/>
    <n v="3600"/>
    <n v="450"/>
    <n v="3940"/>
    <n v="3800"/>
    <n v="1.2"/>
    <n v="78"/>
    <n v="0"/>
    <n v="0"/>
    <n v="54"/>
    <n v="8"/>
    <n v="1"/>
    <n v="3800"/>
    <n v="1.0555555555555556"/>
    <x v="0"/>
    <n v="6.8"/>
    <n v="27.991999999999997"/>
    <n v="0.92312089168333822"/>
    <n v="1.4011416709911779E-2"/>
    <n v="1.9412643106022896E-2"/>
    <n v="0.98629441624365477"/>
    <n v="2"/>
    <n v="6"/>
    <n v="0.75"/>
    <n v="475"/>
    <n v="5.25"/>
    <n v="5.6842105263157894"/>
    <n v="0.92361111111111116"/>
    <n v="0.6832143612521151"/>
  </r>
  <r>
    <x v="1"/>
    <d v="2021-09-20T00:00:00"/>
    <s v="A"/>
    <x v="3"/>
    <x v="49"/>
    <s v="BM1"/>
    <s v="B2"/>
    <s v="NIPPLE S TYPE L SIZE PUNCHED"/>
    <s v="HEI16NcI20Pa"/>
    <s v="Nitin"/>
    <n v="8"/>
    <n v="7000"/>
    <n v="875"/>
    <n v="6200"/>
    <n v="6200"/>
    <n v="0"/>
    <n v="0"/>
    <n v="0"/>
    <n v="0"/>
    <n v="0"/>
    <n v="0"/>
    <n v="1"/>
    <n v="6200"/>
    <n v="0.88571428571428568"/>
    <x v="36"/>
    <n v="0"/>
    <n v="0"/>
    <s v=" "/>
    <n v="0"/>
    <n v="0"/>
    <n v="1"/>
    <n v="0.75"/>
    <n v="7.25"/>
    <n v="0.90625"/>
    <n v="775"/>
    <n v="3.5"/>
    <n v="4.209677419354839"/>
    <n v="0.83141762452107271"/>
    <n v="0.7534722222222221"/>
  </r>
  <r>
    <x v="1"/>
    <d v="2021-09-20T00:00:00"/>
    <s v="A"/>
    <x v="6"/>
    <x v="52"/>
    <m/>
    <m/>
    <s v="KPP 120 ML BOTTLE PRINTED"/>
    <s v="EI17Ba2I20Pa"/>
    <s v="Pintu"/>
    <n v="8"/>
    <n v="5100"/>
    <n v="637.5"/>
    <n v="4897"/>
    <n v="4860"/>
    <n v="0"/>
    <n v="0"/>
    <n v="34"/>
    <n v="0"/>
    <n v="37"/>
    <n v="0"/>
    <n v="5"/>
    <n v="972"/>
    <n v="0.95294117647058818"/>
    <x v="38"/>
    <n v="0"/>
    <n v="0"/>
    <s v=" "/>
    <n v="7.5556463140698388E-3"/>
    <n v="0"/>
    <n v="0.9924443536859302"/>
    <n v="1"/>
    <n v="7"/>
    <n v="0.875"/>
    <n v="607.5"/>
    <n v="32.4"/>
    <n v="25.925925925925927"/>
    <n v="1.2497142857142856"/>
    <n v="1.0852379007555646"/>
  </r>
  <r>
    <x v="1"/>
    <d v="2021-09-20T00:00:00"/>
    <s v="G"/>
    <x v="7"/>
    <x v="24"/>
    <m/>
    <m/>
    <s v="NIPPLE S TYPE M SIZE WITH PRINTED WRAP"/>
    <m/>
    <s v="Badelal"/>
    <n v="8"/>
    <n v="16132"/>
    <n v="2016.5"/>
    <n v="16188"/>
    <n v="16186"/>
    <n v="0"/>
    <n v="0"/>
    <n v="0"/>
    <n v="0"/>
    <n v="2"/>
    <n v="0"/>
    <n v="2"/>
    <n v="8093"/>
    <n v="1.003347384081329"/>
    <x v="19"/>
    <n v="0"/>
    <n v="0"/>
    <s v=" "/>
    <n v="1.2354830738818879E-4"/>
    <n v="0"/>
    <n v="0.99987645169261186"/>
    <n v="0.66666666666666663"/>
    <n v="7.333333333333333"/>
    <n v="0.91666666666666663"/>
    <n v="2023.25"/>
    <n v="2.5"/>
    <n v="3.2620783393055728"/>
    <n v="0.76638257575757573"/>
    <n v="0.70243056628023492"/>
  </r>
  <r>
    <x v="1"/>
    <d v="2021-09-20T00:00:00"/>
    <s v="B"/>
    <x v="3"/>
    <x v="49"/>
    <m/>
    <m/>
    <s v="NIPPLE S TYPE L SIZE PUNCHED"/>
    <s v="HEI17NbI20Pb"/>
    <s v="Badelal"/>
    <n v="8"/>
    <n v="7000"/>
    <n v="875"/>
    <n v="6300"/>
    <n v="6300"/>
    <n v="0"/>
    <n v="0"/>
    <n v="0"/>
    <n v="0"/>
    <n v="0"/>
    <n v="0"/>
    <n v="1"/>
    <n v="6300"/>
    <n v="0.9"/>
    <x v="36"/>
    <n v="0"/>
    <n v="0"/>
    <s v=" "/>
    <n v="0"/>
    <n v="0"/>
    <n v="1"/>
    <n v="0.66666666666666663"/>
    <n v="7.333333333333333"/>
    <n v="0.91666666666666663"/>
    <n v="787.5"/>
    <n v="3.5"/>
    <n v="4.1904761904761907"/>
    <n v="0.83522727272727271"/>
    <n v="0.765625"/>
  </r>
  <r>
    <x v="1"/>
    <d v="2021-09-20T00:00:00"/>
    <s v="B"/>
    <x v="8"/>
    <x v="50"/>
    <m/>
    <m/>
    <s v="NIPPLE S TYPE L SIZE PUNCHED LASER MARKED"/>
    <s v="HEI14AH22"/>
    <s v="Badelal"/>
    <n v="8"/>
    <n v="7000"/>
    <n v="875"/>
    <n v="7000"/>
    <n v="7000"/>
    <n v="0"/>
    <n v="0"/>
    <n v="0"/>
    <n v="0"/>
    <n v="0"/>
    <n v="0"/>
    <n v="1"/>
    <n v="7000"/>
    <n v="1"/>
    <x v="22"/>
    <n v="0"/>
    <n v="0"/>
    <s v=" "/>
    <n v="0"/>
    <n v="0"/>
    <n v="1"/>
    <n v="0.66666666666666663"/>
    <n v="7.333333333333333"/>
    <n v="0.91666666666666663"/>
    <n v="875"/>
    <n v="3.5"/>
    <n v="3.7714285714285714"/>
    <n v="0.92803030303030309"/>
    <n v="0.85069444444444442"/>
  </r>
  <r>
    <x v="1"/>
    <d v="2021-09-20T00:00:00"/>
    <s v="B"/>
    <x v="1"/>
    <x v="20"/>
    <m/>
    <s v="B2"/>
    <s v="KPP 120 ML BOTTLE MOLDED"/>
    <s v="EI20Bb2"/>
    <s v="Badelal"/>
    <n v="8"/>
    <n v="2574"/>
    <n v="321.75"/>
    <n v="3141"/>
    <n v="3060"/>
    <n v="0"/>
    <n v="30"/>
    <n v="0"/>
    <n v="0"/>
    <n v="51"/>
    <n v="0"/>
    <n v="1"/>
    <n v="3060"/>
    <n v="1.1888111888111887"/>
    <x v="1"/>
    <n v="21.3"/>
    <n v="66.903300000000002"/>
    <n v="0.9742120343839541"/>
    <n v="1.6393442622950821E-2"/>
    <n v="9.4607379375591296E-3"/>
    <n v="0.98376313276026739"/>
    <n v="0"/>
    <n v="8"/>
    <n v="1"/>
    <n v="382.5"/>
    <n v="9"/>
    <n v="9.4117647058823533"/>
    <n v="0.95624999999999993"/>
    <n v="0.94072349570200564"/>
  </r>
  <r>
    <x v="1"/>
    <d v="2021-09-20T00:00:00"/>
    <s v="B"/>
    <x v="0"/>
    <x v="47"/>
    <s v="M2"/>
    <s v="L2"/>
    <s v="NIPPLE S TYPE L SIZE INJECTION"/>
    <s v="HEI20Nb"/>
    <s v="Badelal"/>
    <n v="8"/>
    <n v="4815"/>
    <n v="601.875"/>
    <n v="5580"/>
    <n v="5500"/>
    <n v="0"/>
    <n v="33"/>
    <n v="0"/>
    <n v="0"/>
    <n v="47"/>
    <n v="0"/>
    <n v="1"/>
    <n v="5500"/>
    <n v="1.142263759086189"/>
    <x v="0"/>
    <n v="6.8"/>
    <n v="37.943999999999996"/>
    <n v="0.98566308243727607"/>
    <n v="8.4730484946818098E-3"/>
    <n v="5.8792089791555322E-3"/>
    <n v="0.99157706093189968"/>
    <n v="0"/>
    <n v="8"/>
    <n v="1"/>
    <n v="687.5"/>
    <n v="5.25"/>
    <n v="5.2363636363636363"/>
    <n v="1.0026041666666667"/>
    <n v="0.99415929286140992"/>
  </r>
  <r>
    <x v="1"/>
    <d v="2021-09-20T00:00:00"/>
    <s v="B"/>
    <x v="5"/>
    <x v="12"/>
    <m/>
    <s v="Vergin"/>
    <s v="CAP S TYPE MOLDED PINK"/>
    <s v="EI20Cb"/>
    <s v="Badelal"/>
    <n v="8"/>
    <n v="4137"/>
    <n v="517.125"/>
    <n v="5004"/>
    <n v="5000"/>
    <n v="0.5"/>
    <n v="0"/>
    <n v="0"/>
    <n v="0"/>
    <n v="4"/>
    <n v="0"/>
    <n v="1"/>
    <n v="5000"/>
    <n v="1.2086052695189751"/>
    <x v="10"/>
    <n v="7.3"/>
    <n v="37.029200000000003"/>
    <n v="0.98570857593466765"/>
    <n v="7.993605115907274E-4"/>
    <n v="0"/>
    <n v="0.99920063948840931"/>
    <n v="0"/>
    <n v="8"/>
    <n v="1"/>
    <n v="625"/>
    <n v="6"/>
    <n v="5.76"/>
    <n v="1.0416666666666667"/>
    <n v="1.0408339994670932"/>
  </r>
  <r>
    <x v="1"/>
    <d v="2021-09-20T00:00:00"/>
    <s v="B"/>
    <x v="6"/>
    <x v="52"/>
    <m/>
    <m/>
    <s v="KPP 120 ML BOTTLE PRINTED"/>
    <s v="EI17Bb2I20Pb"/>
    <s v="Badelal"/>
    <n v="8"/>
    <n v="5100"/>
    <n v="637.5"/>
    <n v="5524"/>
    <n v="5484"/>
    <n v="0"/>
    <n v="0"/>
    <n v="40"/>
    <n v="0"/>
    <n v="40"/>
    <n v="0"/>
    <n v="5"/>
    <n v="1096.8"/>
    <n v="1.0752941176470587"/>
    <x v="38"/>
    <n v="0"/>
    <n v="0"/>
    <s v=" "/>
    <n v="7.2411296162201303E-3"/>
    <n v="0"/>
    <n v="0.99275887038377986"/>
    <n v="0.66666666666666663"/>
    <n v="7.333333333333333"/>
    <n v="0.91666666666666663"/>
    <n v="685.5"/>
    <n v="32.4"/>
    <n v="24.070021881838073"/>
    <n v="1.3460727272727273"/>
    <n v="1.224965170166546"/>
  </r>
  <r>
    <x v="1"/>
    <d v="2021-09-20T00:00:00"/>
    <s v="C"/>
    <x v="5"/>
    <x v="12"/>
    <m/>
    <s v="Vergin"/>
    <s v="CAP S TYPE MOLDED PINK"/>
    <s v="EI20Cc"/>
    <s v="Saurabh"/>
    <n v="3.5"/>
    <n v="1800"/>
    <n v="514.28571428571433"/>
    <n v="1860"/>
    <n v="1860"/>
    <n v="0"/>
    <n v="0"/>
    <n v="0"/>
    <n v="0"/>
    <n v="0"/>
    <n v="0"/>
    <n v="1"/>
    <n v="1860"/>
    <n v="1.0333333333333334"/>
    <x v="10"/>
    <n v="7.3"/>
    <n v="13.577999999999999"/>
    <n v="1"/>
    <n v="0"/>
    <n v="0"/>
    <n v="1"/>
    <n v="0"/>
    <n v="3.5"/>
    <n v="1"/>
    <n v="531.42857142857144"/>
    <n v="6"/>
    <n v="6.774193548387097"/>
    <n v="0.88571428571428568"/>
    <n v="0.88571428571428568"/>
  </r>
  <r>
    <x v="1"/>
    <d v="2021-09-20T00:00:00"/>
    <s v="C"/>
    <x v="5"/>
    <x v="12"/>
    <m/>
    <s v="Recycle"/>
    <s v="CAP S TYPE MOLDED PINK"/>
    <s v="EI20CRc"/>
    <s v="Saurabh"/>
    <n v="4.5"/>
    <n v="2337"/>
    <n v="519.33333333333337"/>
    <n v="2312"/>
    <n v="2300"/>
    <n v="0"/>
    <n v="0"/>
    <n v="0"/>
    <n v="0"/>
    <n v="4"/>
    <n v="8"/>
    <n v="1"/>
    <n v="2300"/>
    <n v="0.9841677364142063"/>
    <x v="10"/>
    <n v="7.3"/>
    <n v="16.877600000000001"/>
    <n v="0.9948096885813148"/>
    <n v="1.736111111111111E-3"/>
    <n v="0"/>
    <n v="0.9982698961937716"/>
    <n v="0"/>
    <n v="4.5"/>
    <n v="1"/>
    <n v="511.11111111111109"/>
    <n v="6"/>
    <n v="7.0434782608695654"/>
    <n v="0.85185185185185186"/>
    <n v="0.85037805972062031"/>
  </r>
  <r>
    <x v="1"/>
    <d v="2021-09-20T00:00:00"/>
    <s v="C"/>
    <x v="0"/>
    <x v="47"/>
    <s v="M2"/>
    <s v="L2"/>
    <s v="NIPPLE S TYPE L SIZE INJECTION"/>
    <s v="HEI20Nc"/>
    <s v="Saurabh"/>
    <n v="8"/>
    <n v="4815"/>
    <n v="601.875"/>
    <n v="4130"/>
    <n v="4050"/>
    <n v="0"/>
    <n v="34"/>
    <n v="0"/>
    <n v="0"/>
    <n v="38"/>
    <n v="8"/>
    <n v="1"/>
    <n v="4050"/>
    <n v="0.84112149532710279"/>
    <x v="0"/>
    <n v="6.8"/>
    <n v="28.084"/>
    <n v="0.98062953995157387"/>
    <n v="9.2954990215264183E-3"/>
    <n v="8.1652257444764648E-3"/>
    <n v="0.99079903147699755"/>
    <n v="1"/>
    <n v="7"/>
    <n v="0.875"/>
    <n v="506.25"/>
    <n v="5.25"/>
    <n v="6.2222222222222223"/>
    <n v="0.84375"/>
    <n v="0.73148834745762714"/>
  </r>
  <r>
    <x v="1"/>
    <d v="2021-09-20T00:00:00"/>
    <s v="C"/>
    <x v="1"/>
    <x v="20"/>
    <s v="BM1"/>
    <s v="B2"/>
    <s v="KPP 120 ML BOTTLE MOLDED"/>
    <s v="EI20Bc2"/>
    <s v="Saurabh"/>
    <n v="8"/>
    <n v="2574"/>
    <n v="321.75"/>
    <n v="3120"/>
    <n v="3060"/>
    <n v="0"/>
    <n v="27"/>
    <n v="0"/>
    <n v="0"/>
    <n v="25"/>
    <n v="8"/>
    <n v="1"/>
    <n v="3060"/>
    <n v="1.1888111888111887"/>
    <x v="1"/>
    <n v="21.3"/>
    <n v="66.456000000000003"/>
    <n v="0.98076923076923073"/>
    <n v="8.1037277147487843E-3"/>
    <n v="8.5795996186844616E-3"/>
    <n v="0.99198717948717952"/>
    <n v="0"/>
    <n v="8"/>
    <n v="1"/>
    <n v="382.5"/>
    <n v="9"/>
    <n v="9.4117647058823533"/>
    <n v="0.95624999999999993"/>
    <n v="0.94858774038461535"/>
  </r>
  <r>
    <x v="1"/>
    <d v="2021-09-21T00:00:00"/>
    <s v="A"/>
    <x v="1"/>
    <x v="20"/>
    <s v="BM1"/>
    <s v="B2"/>
    <s v="KPP 120 ML BOTTLE MOLDED"/>
    <s v="EI21Ba2"/>
    <s v="Nitin"/>
    <n v="8"/>
    <n v="2574"/>
    <n v="321.75"/>
    <n v="3140"/>
    <n v="3060"/>
    <n v="0"/>
    <n v="32"/>
    <n v="0"/>
    <n v="0"/>
    <n v="40"/>
    <n v="8"/>
    <n v="1"/>
    <n v="3060"/>
    <n v="1.1888111888111887"/>
    <x v="1"/>
    <n v="21.3"/>
    <n v="66.882000000000005"/>
    <n v="0.97452229299363047"/>
    <n v="1.2903225806451613E-2"/>
    <n v="1.0088272383354351E-2"/>
    <n v="0.98726114649681529"/>
    <n v="0"/>
    <n v="8"/>
    <n v="1"/>
    <n v="382.5"/>
    <n v="9"/>
    <n v="9.4117647058823533"/>
    <n v="0.95624999999999993"/>
    <n v="0.94406847133757954"/>
  </r>
  <r>
    <x v="1"/>
    <d v="2021-09-21T00:00:00"/>
    <s v="A"/>
    <x v="0"/>
    <x v="60"/>
    <s v="M2"/>
    <s v="L2"/>
    <s v="NIPPLE S TYPE Y SIZE INJECTION"/>
    <s v="HEI21Na"/>
    <s v="Nitin"/>
    <n v="8"/>
    <n v="4815"/>
    <n v="601.875"/>
    <n v="5120"/>
    <n v="5000"/>
    <n v="0"/>
    <n v="52"/>
    <n v="0"/>
    <n v="0"/>
    <n v="60"/>
    <n v="8"/>
    <n v="1"/>
    <n v="5000"/>
    <n v="1.0384215991692627"/>
    <x v="0"/>
    <n v="6.8"/>
    <n v="34.815999999999995"/>
    <n v="0.97656250000000011"/>
    <n v="1.1857707509881422E-2"/>
    <n v="1.0054137664346482E-2"/>
    <n v="0.98828125"/>
    <n v="0.5"/>
    <n v="7.5"/>
    <n v="0.9375"/>
    <n v="625"/>
    <n v="5.25"/>
    <n v="5.4"/>
    <n v="0.97222222222222221"/>
    <n v="0.90077718098958337"/>
  </r>
  <r>
    <x v="1"/>
    <d v="2021-09-21T00:00:00"/>
    <s v="A"/>
    <x v="3"/>
    <x v="49"/>
    <m/>
    <s v="P1"/>
    <s v="NIPPLE S TYPE L SIZE PUNCHED"/>
    <s v="HEI18NaI21Pa"/>
    <s v="Nitin"/>
    <n v="8"/>
    <n v="7000"/>
    <n v="875"/>
    <n v="6865"/>
    <n v="6865"/>
    <n v="0"/>
    <n v="0"/>
    <n v="0"/>
    <n v="0"/>
    <n v="0"/>
    <n v="0"/>
    <n v="1"/>
    <n v="6865"/>
    <n v="0.98071428571428576"/>
    <x v="36"/>
    <n v="0"/>
    <n v="0"/>
    <s v=" "/>
    <n v="0"/>
    <n v="0"/>
    <n v="1"/>
    <n v="0.66666666666666663"/>
    <n v="7.333333333333333"/>
    <n v="0.91666666666666663"/>
    <n v="858.125"/>
    <n v="3.5"/>
    <n v="3.8455935906773488"/>
    <n v="0.91013257575757578"/>
    <n v="0.83428819444444446"/>
  </r>
  <r>
    <x v="1"/>
    <d v="2021-09-21T00:00:00"/>
    <s v="A"/>
    <x v="8"/>
    <x v="50"/>
    <m/>
    <s v="LZ1"/>
    <s v="NIPPLE S TYPE L SIZE PUNCHED LASER MARKED"/>
    <s v="HEI14CH22"/>
    <s v="Nitin"/>
    <n v="8"/>
    <n v="7000"/>
    <n v="875"/>
    <n v="6850"/>
    <n v="6850"/>
    <n v="0"/>
    <n v="0"/>
    <n v="0"/>
    <n v="0"/>
    <n v="0"/>
    <n v="0"/>
    <n v="1"/>
    <n v="6850"/>
    <n v="0.97857142857142854"/>
    <x v="22"/>
    <n v="0"/>
    <n v="0"/>
    <s v=" "/>
    <n v="0"/>
    <n v="0"/>
    <n v="1"/>
    <n v="0.66666666666666663"/>
    <n v="7.333333333333333"/>
    <n v="0.91666666666666663"/>
    <n v="856.25"/>
    <n v="3.5"/>
    <n v="3.8540145985401462"/>
    <n v="0.90814393939393934"/>
    <n v="0.83246527777777768"/>
  </r>
  <r>
    <x v="1"/>
    <d v="2021-09-21T00:00:00"/>
    <s v="A"/>
    <x v="5"/>
    <x v="12"/>
    <m/>
    <s v="Recycle"/>
    <s v="CAP S TYPE MOLDED PINK"/>
    <s v="EI21CRa"/>
    <s v="Nitin"/>
    <n v="8"/>
    <n v="4137"/>
    <n v="517.125"/>
    <n v="4014"/>
    <n v="4000"/>
    <n v="0"/>
    <n v="0"/>
    <n v="0"/>
    <n v="0"/>
    <n v="6"/>
    <n v="8"/>
    <n v="1"/>
    <n v="4000"/>
    <n v="0.96688421561518012"/>
    <x v="10"/>
    <n v="7.3"/>
    <n v="29.302199999999999"/>
    <n v="0.99651220727453915"/>
    <n v="1.4977533699450823E-3"/>
    <n v="0"/>
    <n v="0.99850523168908822"/>
    <n v="0"/>
    <n v="8"/>
    <n v="1"/>
    <n v="500"/>
    <n v="6"/>
    <n v="7.2"/>
    <n v="0.83333333333333326"/>
    <n v="0.83208769307424013"/>
  </r>
  <r>
    <x v="1"/>
    <d v="2021-09-21T00:00:00"/>
    <s v="A"/>
    <x v="1"/>
    <x v="35"/>
    <s v="BM5"/>
    <s v="B1"/>
    <s v="RPP 240 ML BOTTLE MOLDED"/>
    <s v="EI21Ba1"/>
    <s v="Nitin"/>
    <n v="4"/>
    <n v="1287"/>
    <n v="321.75"/>
    <n v="1494"/>
    <n v="1440"/>
    <n v="0.12"/>
    <n v="24"/>
    <n v="0"/>
    <n v="0"/>
    <n v="22"/>
    <n v="8"/>
    <n v="1"/>
    <n v="1440"/>
    <n v="1.118881118881119"/>
    <x v="1"/>
    <n v="32.1"/>
    <n v="48.077400000000004"/>
    <n v="0.96144966241934882"/>
    <n v="1.5047879616963064E-2"/>
    <n v="1.5810276679841896E-2"/>
    <n v="0.98527443105756363"/>
    <n v="0"/>
    <n v="4"/>
    <n v="1"/>
    <n v="360"/>
    <n v="9"/>
    <n v="10"/>
    <n v="0.9"/>
    <n v="0.88674698795180729"/>
  </r>
  <r>
    <x v="1"/>
    <d v="2021-09-21T00:00:00"/>
    <s v="A"/>
    <x v="6"/>
    <x v="52"/>
    <m/>
    <m/>
    <s v="KPP 120 ML BOTTLE PRINTED"/>
    <s v="EI17Bc2I21Pa"/>
    <s v="Pintu"/>
    <n v="8"/>
    <n v="5134"/>
    <n v="641.75"/>
    <n v="4787"/>
    <n v="4770"/>
    <n v="0"/>
    <n v="0"/>
    <n v="29"/>
    <n v="0"/>
    <n v="17"/>
    <n v="0"/>
    <n v="5"/>
    <n v="954"/>
    <n v="0.92910011686793925"/>
    <x v="38"/>
    <n v="0"/>
    <n v="0"/>
    <s v=" "/>
    <n v="3.5512847294756631E-3"/>
    <n v="0"/>
    <n v="0.99644871527052437"/>
    <n v="1"/>
    <n v="7"/>
    <n v="0.875"/>
    <n v="596.25"/>
    <n v="32.4"/>
    <n v="26.415094339622641"/>
    <n v="1.2265714285714286"/>
    <n v="1.0694385836640903"/>
  </r>
  <r>
    <x v="1"/>
    <d v="2021-09-21T00:00:00"/>
    <s v="G"/>
    <x v="4"/>
    <x v="51"/>
    <m/>
    <m/>
    <s v="NIPPLE S TYPE L SIZE PUNCHED INSPECTED"/>
    <s v="HEI14AH22"/>
    <s v="Badelal"/>
    <n v="8"/>
    <n v="14182"/>
    <n v="1772.75"/>
    <n v="15850"/>
    <n v="15747"/>
    <n v="0"/>
    <n v="0"/>
    <n v="0"/>
    <n v="0"/>
    <n v="103"/>
    <n v="0"/>
    <n v="2"/>
    <n v="7873.5"/>
    <n v="1.1103511493442393"/>
    <x v="37"/>
    <n v="0"/>
    <n v="0"/>
    <s v=" "/>
    <n v="6.4984227129337539E-3"/>
    <n v="0"/>
    <n v="0.99350157728706623"/>
    <n v="0.66666666666666663"/>
    <n v="7.333333333333333"/>
    <n v="0.91666666666666663"/>
    <n v="1968.375"/>
    <n v="4"/>
    <n v="3.3530196227852924"/>
    <n v="1.1929545454545454"/>
    <n v="1.0864353706624605"/>
  </r>
  <r>
    <x v="1"/>
    <d v="2021-09-21T00:00:00"/>
    <s v="G"/>
    <x v="7"/>
    <x v="71"/>
    <m/>
    <m/>
    <s v="NIPPLE S TYPE Y SIZE WITH PRINTED WRAP"/>
    <s v="HEI02BG22"/>
    <s v="Badelal"/>
    <n v="2.5"/>
    <n v="5100"/>
    <n v="2040"/>
    <n v="5181"/>
    <n v="5180"/>
    <n v="0"/>
    <n v="0"/>
    <n v="0"/>
    <n v="0"/>
    <n v="1"/>
    <n v="0"/>
    <n v="2"/>
    <n v="2590"/>
    <n v="1.0156862745098039"/>
    <x v="43"/>
    <n v="0"/>
    <n v="0"/>
    <s v=" "/>
    <n v="1.9301293186643504E-4"/>
    <n v="0"/>
    <n v="0.99980698706813353"/>
    <n v="0.66666666666666663"/>
    <n v="1.8333333333333335"/>
    <n v="0.73333333333333339"/>
    <n v="2072"/>
    <n v="2.5"/>
    <n v="2.5482625482625485"/>
    <n v="0.98106060606060597"/>
    <n v="0.7193055823629072"/>
  </r>
  <r>
    <x v="1"/>
    <d v="2021-09-21T00:00:00"/>
    <s v="B"/>
    <x v="3"/>
    <x v="49"/>
    <m/>
    <m/>
    <s v="NIPPLE S TYPE L SIZE PUNCHED"/>
    <s v="HEI20NB"/>
    <s v="Badelal"/>
    <n v="8"/>
    <n v="7000"/>
    <n v="875"/>
    <n v="7300"/>
    <n v="7300"/>
    <n v="0"/>
    <n v="0"/>
    <n v="0"/>
    <n v="0"/>
    <n v="0"/>
    <n v="0"/>
    <n v="1"/>
    <n v="7300"/>
    <n v="1.0428571428571429"/>
    <x v="36"/>
    <n v="0"/>
    <n v="0"/>
    <s v=" "/>
    <n v="0"/>
    <n v="0"/>
    <n v="1"/>
    <n v="0.66666666666666663"/>
    <n v="7.333333333333333"/>
    <n v="0.91666666666666663"/>
    <n v="912.5"/>
    <n v="3.5"/>
    <n v="3.6164383561643834"/>
    <n v="0.96780303030303039"/>
    <n v="0.88715277777777779"/>
  </r>
  <r>
    <x v="1"/>
    <d v="2021-09-21T00:00:00"/>
    <s v="B"/>
    <x v="8"/>
    <x v="50"/>
    <m/>
    <m/>
    <s v="NIPPLE S TYPE L SIZE PUNCHED LASER MARKED"/>
    <s v="HEI15AH22"/>
    <s v="Badelal"/>
    <n v="8"/>
    <n v="7000"/>
    <n v="875"/>
    <n v="7000"/>
    <n v="7000"/>
    <n v="0"/>
    <n v="0"/>
    <n v="0"/>
    <n v="0"/>
    <n v="0"/>
    <n v="0"/>
    <n v="1"/>
    <n v="7000"/>
    <n v="1"/>
    <x v="22"/>
    <n v="0"/>
    <n v="0"/>
    <s v=" "/>
    <n v="0"/>
    <n v="0"/>
    <n v="1"/>
    <n v="0.66666666666666663"/>
    <n v="7.333333333333333"/>
    <n v="0.91666666666666663"/>
    <n v="875"/>
    <n v="3.5"/>
    <n v="3.7714285714285714"/>
    <n v="0.92803030303030309"/>
    <n v="0.85069444444444442"/>
  </r>
  <r>
    <x v="1"/>
    <d v="2021-09-21T00:00:00"/>
    <s v="B"/>
    <x v="0"/>
    <x v="60"/>
    <s v="M2"/>
    <s v="L2"/>
    <s v="NIPPLE S TYPE Y SIZE INJECTION"/>
    <s v="HEI21Nb"/>
    <s v="Badelal"/>
    <n v="8"/>
    <n v="4815"/>
    <n v="601.875"/>
    <n v="5482"/>
    <n v="5400"/>
    <n v="0"/>
    <n v="30"/>
    <n v="0"/>
    <n v="0"/>
    <n v="52"/>
    <n v="0"/>
    <n v="1"/>
    <n v="5400"/>
    <n v="1.1214953271028036"/>
    <x v="0"/>
    <n v="6.8"/>
    <n v="37.2776"/>
    <n v="0.98504195549069684"/>
    <n v="9.5377842993396925E-3"/>
    <n v="5.4426705370101596E-3"/>
    <n v="0.99051441079897851"/>
    <n v="0"/>
    <n v="8"/>
    <n v="1"/>
    <n v="675"/>
    <n v="5.25"/>
    <n v="5.333333333333333"/>
    <n v="0.984375"/>
    <n v="0.97503762313024445"/>
  </r>
  <r>
    <x v="1"/>
    <d v="2021-09-21T00:00:00"/>
    <s v="B"/>
    <x v="5"/>
    <x v="12"/>
    <m/>
    <s v="Recycle"/>
    <s v="CAP S TYPE MOLDED PINK"/>
    <s v="EI21CRb"/>
    <s v="Badelal"/>
    <n v="4"/>
    <n v="2065"/>
    <n v="516.25"/>
    <n v="2290"/>
    <n v="2290"/>
    <n v="0.5"/>
    <n v="0"/>
    <n v="0"/>
    <n v="0"/>
    <n v="0"/>
    <n v="0"/>
    <n v="1"/>
    <n v="2290"/>
    <n v="1.1089588377723971"/>
    <x v="10"/>
    <n v="7.3"/>
    <n v="17.216999999999999"/>
    <n v="0.97095893593541271"/>
    <n v="0"/>
    <n v="0"/>
    <n v="1"/>
    <n v="0"/>
    <n v="4"/>
    <n v="1"/>
    <n v="572.5"/>
    <n v="6"/>
    <n v="6.2882096069868991"/>
    <n v="0.95416666666666672"/>
    <n v="0.95416666666666672"/>
  </r>
  <r>
    <x v="1"/>
    <d v="2021-09-21T00:00:00"/>
    <s v="B"/>
    <x v="5"/>
    <x v="12"/>
    <m/>
    <s v="Vergin"/>
    <s v="CAP S TYPE MOLDED PINK"/>
    <s v="EI21Cb"/>
    <s v="Badelal"/>
    <n v="4"/>
    <n v="2000"/>
    <n v="500"/>
    <n v="1420"/>
    <n v="1420"/>
    <n v="0"/>
    <n v="0"/>
    <n v="0"/>
    <n v="0"/>
    <n v="0"/>
    <n v="0"/>
    <n v="1"/>
    <n v="1420"/>
    <n v="0.71"/>
    <x v="10"/>
    <n v="7.3"/>
    <n v="10.366"/>
    <n v="1"/>
    <n v="0"/>
    <n v="0"/>
    <n v="1"/>
    <n v="1.5"/>
    <n v="2.5"/>
    <n v="0.625"/>
    <n v="355"/>
    <n v="6"/>
    <n v="6.3380281690140849"/>
    <n v="0.94666666666666666"/>
    <n v="0.59166666666666667"/>
  </r>
  <r>
    <x v="1"/>
    <d v="2021-09-21T00:00:00"/>
    <s v="B"/>
    <x v="1"/>
    <x v="35"/>
    <m/>
    <s v="B1"/>
    <s v="RPP 240 ML BOTTLE MOLDED"/>
    <s v="EI21Bb1"/>
    <s v="Badelal"/>
    <n v="8"/>
    <n v="2574"/>
    <n v="321.75"/>
    <n v="3410"/>
    <n v="3360"/>
    <n v="0"/>
    <n v="10"/>
    <n v="0"/>
    <n v="0"/>
    <n v="40"/>
    <n v="0"/>
    <n v="1"/>
    <n v="3360"/>
    <n v="1.3053613053613053"/>
    <x v="1"/>
    <n v="32.1"/>
    <n v="109.46100000000001"/>
    <n v="0.98533724340175954"/>
    <n v="1.1764705882352941E-2"/>
    <n v="2.9239766081871343E-3"/>
    <n v="0.98826979472140764"/>
    <n v="0"/>
    <n v="8"/>
    <n v="1"/>
    <n v="420"/>
    <n v="9"/>
    <n v="8.5714285714285712"/>
    <n v="1.05"/>
    <n v="1.0376832844574782"/>
  </r>
  <r>
    <x v="1"/>
    <d v="2021-09-21T00:00:00"/>
    <s v="B"/>
    <x v="1"/>
    <x v="20"/>
    <m/>
    <s v="B2"/>
    <s v="KPP 120 ML BOTTLE MOLDED"/>
    <s v="EI21Bb2"/>
    <s v="Badelal"/>
    <n v="8"/>
    <n v="2574"/>
    <n v="321.75"/>
    <n v="3340"/>
    <n v="3240"/>
    <n v="0.3"/>
    <n v="40"/>
    <n v="0"/>
    <n v="0"/>
    <n v="60"/>
    <n v="0"/>
    <n v="1"/>
    <n v="3240"/>
    <n v="1.2587412587412588"/>
    <x v="1"/>
    <n v="21.3"/>
    <n v="71.441999999999993"/>
    <n v="0.9659863945578232"/>
    <n v="1.8181818181818181E-2"/>
    <n v="1.1834319526627219E-2"/>
    <n v="0.98203592814371254"/>
    <n v="0"/>
    <n v="8"/>
    <n v="1"/>
    <n v="405"/>
    <n v="9"/>
    <n v="8.8888888888888893"/>
    <n v="1.0125"/>
    <n v="0.99431137724550889"/>
  </r>
  <r>
    <x v="1"/>
    <d v="2021-09-21T00:00:00"/>
    <s v="B"/>
    <x v="6"/>
    <x v="36"/>
    <m/>
    <m/>
    <s v="RPP 240 ML BOTTLE PRINTED"/>
    <s v="EG23Ba2I21Pa"/>
    <s v="Badelal"/>
    <n v="8"/>
    <n v="5800"/>
    <n v="725"/>
    <n v="5911"/>
    <n v="5880"/>
    <n v="0"/>
    <n v="0"/>
    <n v="48"/>
    <n v="0"/>
    <n v="31"/>
    <n v="0"/>
    <n v="5"/>
    <n v="1176"/>
    <n v="1.0137931034482759"/>
    <x v="26"/>
    <n v="0"/>
    <n v="0"/>
    <s v=" "/>
    <n v="5.2444594823210962E-3"/>
    <n v="0"/>
    <n v="0.99475554051767889"/>
    <n v="0.66666666666666663"/>
    <n v="7.333333333333333"/>
    <n v="0.91666666666666663"/>
    <n v="735"/>
    <n v="32.4"/>
    <n v="22.448979591836736"/>
    <n v="1.443272727272727"/>
    <n v="1.3160615801048889"/>
  </r>
  <r>
    <x v="1"/>
    <d v="2021-09-21T00:00:00"/>
    <s v="C"/>
    <x v="1"/>
    <x v="20"/>
    <s v="BM1"/>
    <s v="B2"/>
    <s v="KPP 120 ML BOTTLE MOLDED"/>
    <s v="EI21Bc2"/>
    <s v="Saurabh"/>
    <n v="8"/>
    <n v="2574"/>
    <n v="321.75"/>
    <n v="3308"/>
    <n v="3240"/>
    <n v="0.21"/>
    <n v="20"/>
    <n v="0"/>
    <n v="0"/>
    <n v="40"/>
    <n v="8"/>
    <n v="1"/>
    <n v="3240"/>
    <n v="1.2587412587412588"/>
    <x v="1"/>
    <n v="21.3"/>
    <n v="70.670399999999987"/>
    <n v="0.97653331522108289"/>
    <n v="1.2195121951219513E-2"/>
    <n v="6.0096153846153849E-3"/>
    <n v="0.98790810157194675"/>
    <n v="0"/>
    <n v="8"/>
    <n v="1"/>
    <n v="405"/>
    <n v="9"/>
    <n v="8.8888888888888893"/>
    <n v="1.0125"/>
    <n v="1.0002569528415961"/>
  </r>
  <r>
    <x v="1"/>
    <d v="2021-09-21T00:00:00"/>
    <s v="C"/>
    <x v="1"/>
    <x v="35"/>
    <s v="BM5"/>
    <s v="B1"/>
    <s v="RPP 240 ML BOTTLE MOLDED"/>
    <s v="EI21Bc1"/>
    <s v="Saurabh"/>
    <n v="8"/>
    <n v="2574"/>
    <n v="321.75"/>
    <n v="3302"/>
    <n v="3240"/>
    <n v="0.3"/>
    <n v="18"/>
    <n v="0"/>
    <n v="0"/>
    <n v="36"/>
    <n v="8"/>
    <n v="1"/>
    <n v="3240"/>
    <n v="1.2587412587412588"/>
    <x v="1"/>
    <n v="32.1"/>
    <n v="106.2942"/>
    <n v="0.97845413954853611"/>
    <n v="1.098901098901099E-2"/>
    <n v="5.4216867469879517E-3"/>
    <n v="0.98909751665657175"/>
    <n v="0"/>
    <n v="8"/>
    <n v="1"/>
    <n v="405"/>
    <n v="9"/>
    <n v="8.8888888888888893"/>
    <n v="1.0125"/>
    <n v="1.001461235614779"/>
  </r>
  <r>
    <x v="1"/>
    <d v="2021-09-21T00:00:00"/>
    <s v="C"/>
    <x v="0"/>
    <x v="60"/>
    <s v="M2"/>
    <s v="L2"/>
    <s v="NIPPLE S TYPE Y SIZE INJECTION"/>
    <s v="HEI21Nc"/>
    <s v="Saurabh"/>
    <n v="8"/>
    <n v="4815"/>
    <n v="601.875"/>
    <n v="5304"/>
    <n v="5200"/>
    <n v="0"/>
    <n v="34"/>
    <n v="0"/>
    <n v="0"/>
    <n v="62"/>
    <n v="8"/>
    <n v="1"/>
    <n v="5200"/>
    <n v="1.0799584631360333"/>
    <x v="0"/>
    <n v="6.8"/>
    <n v="36.0672"/>
    <n v="0.98039215686274506"/>
    <n v="1.178259217027746E-2"/>
    <n v="6.369426751592357E-3"/>
    <n v="0.98831070889894423"/>
    <n v="0"/>
    <n v="8"/>
    <n v="1"/>
    <n v="650"/>
    <n v="5.25"/>
    <n v="5.5384615384615383"/>
    <n v="0.94791666666666674"/>
    <n v="0.9368361928104576"/>
  </r>
  <r>
    <x v="1"/>
    <d v="2021-09-21T00:00:00"/>
    <s v="C"/>
    <x v="5"/>
    <x v="12"/>
    <m/>
    <s v="Vergin"/>
    <s v="CAP S TYPE MOLDED PINK"/>
    <s v="EI21Cc"/>
    <s v="Saurabh"/>
    <n v="8"/>
    <n v="4137"/>
    <n v="517.125"/>
    <n v="4213"/>
    <n v="4200"/>
    <n v="0"/>
    <n v="0"/>
    <n v="0"/>
    <n v="0"/>
    <n v="5"/>
    <n v="8"/>
    <n v="1"/>
    <n v="4200"/>
    <n v="1.015228426395939"/>
    <x v="10"/>
    <n v="7.3"/>
    <n v="30.754899999999999"/>
    <n v="0.9969143128412058"/>
    <n v="1.1890606420927466E-3"/>
    <n v="0"/>
    <n v="0.99881319724661766"/>
    <n v="0"/>
    <n v="8"/>
    <n v="1"/>
    <n v="525"/>
    <n v="6"/>
    <n v="6.8571428571428568"/>
    <n v="0.875"/>
    <n v="0.87396154759079048"/>
  </r>
  <r>
    <x v="1"/>
    <d v="2021-09-22T00:00:00"/>
    <s v="A"/>
    <x v="1"/>
    <x v="20"/>
    <s v="BM1"/>
    <s v="B2"/>
    <s v="KPP 120 ML BOTTLE MOLDED"/>
    <s v="EI22Ba2"/>
    <s v="Nitin"/>
    <n v="8"/>
    <n v="2574"/>
    <n v="321.75"/>
    <n v="3214"/>
    <n v="3132"/>
    <n v="0"/>
    <n v="24"/>
    <n v="0"/>
    <n v="0"/>
    <n v="50"/>
    <n v="8"/>
    <n v="1"/>
    <n v="3132"/>
    <n v="1.2167832167832169"/>
    <x v="1"/>
    <n v="21.3"/>
    <n v="68.458200000000005"/>
    <n v="0.97448662103298067"/>
    <n v="1.5713387806411062E-2"/>
    <n v="7.4119827053736875E-3"/>
    <n v="0.98444306160547601"/>
    <n v="0"/>
    <n v="8"/>
    <n v="1"/>
    <n v="391.5"/>
    <n v="9"/>
    <n v="9.1954022988505741"/>
    <n v="0.97875000000000001"/>
    <n v="0.96352364654635969"/>
  </r>
  <r>
    <x v="1"/>
    <d v="2021-09-22T00:00:00"/>
    <s v="A"/>
    <x v="0"/>
    <x v="60"/>
    <s v="M2"/>
    <s v="L2"/>
    <s v="NIPPLE S TYPE Y SIZE INJECTION"/>
    <s v="HEI22Na"/>
    <s v="Nitin"/>
    <n v="8"/>
    <n v="4815"/>
    <n v="601.875"/>
    <n v="5288"/>
    <n v="5200"/>
    <n v="0"/>
    <n v="28"/>
    <n v="0"/>
    <n v="0"/>
    <n v="52"/>
    <n v="8"/>
    <n v="1"/>
    <n v="5200"/>
    <n v="1.0799584631360333"/>
    <x v="0"/>
    <n v="6.8"/>
    <n v="35.958399999999997"/>
    <n v="0.98335854765506814"/>
    <n v="9.9009900990099011E-3"/>
    <n v="5.2671181339352894E-3"/>
    <n v="0.99016641452344933"/>
    <n v="0"/>
    <n v="8"/>
    <n v="1"/>
    <n v="650"/>
    <n v="5.25"/>
    <n v="5.5384615384615383"/>
    <n v="0.94791666666666674"/>
    <n v="0.93859524710035314"/>
  </r>
  <r>
    <x v="1"/>
    <d v="2021-09-22T00:00:00"/>
    <s v="A"/>
    <x v="5"/>
    <x v="12"/>
    <m/>
    <s v="Vergin"/>
    <s v="CAP S TYPE MOLDED PINK"/>
    <s v="EI22Ca"/>
    <s v="Nitin"/>
    <n v="3"/>
    <n v="1337"/>
    <n v="445.66666666666669"/>
    <n v="1230"/>
    <n v="1230"/>
    <n v="0"/>
    <n v="0"/>
    <n v="0"/>
    <n v="0"/>
    <n v="0"/>
    <n v="0"/>
    <n v="1"/>
    <n v="1230"/>
    <n v="0.91997008227374721"/>
    <x v="10"/>
    <n v="7.3"/>
    <n v="8.9789999999999992"/>
    <n v="1"/>
    <n v="0"/>
    <n v="0"/>
    <n v="1"/>
    <n v="0.75"/>
    <n v="2.25"/>
    <n v="0.75"/>
    <n v="410"/>
    <n v="6"/>
    <n v="6.5853658536585362"/>
    <n v="0.9111111111111112"/>
    <n v="0.68333333333333335"/>
  </r>
  <r>
    <x v="1"/>
    <d v="2021-09-22T00:00:00"/>
    <s v="A"/>
    <x v="5"/>
    <x v="12"/>
    <m/>
    <s v="Recycle"/>
    <s v="CAP S TYPE MOLDED PINK"/>
    <s v="EI22CRa"/>
    <s v="Nitin"/>
    <n v="5"/>
    <n v="2800"/>
    <n v="560"/>
    <n v="2812"/>
    <n v="2800"/>
    <n v="0"/>
    <n v="0"/>
    <n v="0"/>
    <n v="0"/>
    <n v="4"/>
    <n v="8"/>
    <n v="1"/>
    <n v="2800"/>
    <n v="1"/>
    <x v="10"/>
    <n v="7.3"/>
    <n v="20.5276"/>
    <n v="0.99573257467994314"/>
    <n v="1.4265335235378032E-3"/>
    <n v="0"/>
    <n v="0.99857752489331442"/>
    <n v="0"/>
    <n v="5"/>
    <n v="1"/>
    <n v="560"/>
    <n v="6"/>
    <n v="6.4285714285714288"/>
    <n v="0.93333333333333335"/>
    <n v="0.93200568990042676"/>
  </r>
  <r>
    <x v="1"/>
    <d v="2021-09-22T00:00:00"/>
    <s v="A"/>
    <x v="8"/>
    <x v="50"/>
    <m/>
    <s v="LZ1"/>
    <s v="NIPPLE S TYPE L SIZE PUNCHED LASER MARKED"/>
    <s v="HEI15CH22"/>
    <s v="Nitin"/>
    <n v="8"/>
    <n v="7000"/>
    <n v="875"/>
    <n v="7300"/>
    <n v="7300"/>
    <n v="0"/>
    <n v="0"/>
    <n v="0"/>
    <n v="0"/>
    <n v="0"/>
    <n v="0"/>
    <n v="1"/>
    <n v="7300"/>
    <n v="1.0428571428571429"/>
    <x v="22"/>
    <n v="0"/>
    <n v="0"/>
    <s v=" "/>
    <n v="0"/>
    <n v="0"/>
    <n v="1"/>
    <n v="0.66666666666666663"/>
    <n v="7.333333333333333"/>
    <n v="0.91666666666666663"/>
    <n v="912.5"/>
    <n v="3.5"/>
    <n v="3.6164383561643834"/>
    <n v="0.96780303030303039"/>
    <n v="0.88715277777777779"/>
  </r>
  <r>
    <x v="1"/>
    <d v="2021-09-22T00:00:00"/>
    <s v="A"/>
    <x v="3"/>
    <x v="49"/>
    <m/>
    <s v="P1"/>
    <s v="NIPPLE S TYPE L SIZE PUNCHED"/>
    <s v="HEI20NcI22Pa"/>
    <s v="Nitin"/>
    <n v="8"/>
    <n v="7000"/>
    <n v="875"/>
    <n v="7000"/>
    <n v="7000"/>
    <n v="0"/>
    <n v="0"/>
    <n v="0"/>
    <n v="0"/>
    <n v="0"/>
    <n v="0"/>
    <n v="1"/>
    <n v="7000"/>
    <n v="1"/>
    <x v="36"/>
    <n v="0"/>
    <n v="0"/>
    <s v=" "/>
    <n v="0"/>
    <n v="0"/>
    <n v="1"/>
    <n v="0.66666666666666663"/>
    <n v="7.333333333333333"/>
    <n v="0.91666666666666663"/>
    <n v="875"/>
    <n v="3.5"/>
    <n v="3.7714285714285714"/>
    <n v="0.92803030303030309"/>
    <n v="0.85069444444444442"/>
  </r>
  <r>
    <x v="1"/>
    <d v="2021-09-22T00:00:00"/>
    <s v="A"/>
    <x v="6"/>
    <x v="36"/>
    <m/>
    <s v="P1"/>
    <s v="RPP 240 ML BOTTLE PRINTED"/>
    <s v="HEI20NcI22Pa"/>
    <s v="Nitin"/>
    <n v="8"/>
    <n v="5134"/>
    <n v="641.75"/>
    <n v="5932"/>
    <n v="5840"/>
    <n v="0"/>
    <n v="0"/>
    <n v="31"/>
    <n v="0"/>
    <n v="92"/>
    <n v="0"/>
    <n v="1"/>
    <n v="5840"/>
    <n v="1.1375146084924035"/>
    <x v="26"/>
    <n v="0"/>
    <n v="0"/>
    <s v=" "/>
    <n v="1.5509103169251517E-2"/>
    <n v="0"/>
    <n v="0.98449089683074853"/>
    <n v="0"/>
    <n v="8"/>
    <n v="1"/>
    <n v="730"/>
    <n v="32.4"/>
    <n v="4.9315068493150687"/>
    <n v="6.5699999999999994"/>
    <n v="6.468105192178017"/>
  </r>
  <r>
    <x v="1"/>
    <d v="2021-09-22T00:00:00"/>
    <s v="G"/>
    <x v="4"/>
    <x v="51"/>
    <m/>
    <m/>
    <s v="NIPPLE S TYPE L SIZE PUNCHED INSPECTED"/>
    <s v="HEEI15BH22"/>
    <s v="Badelal"/>
    <n v="8"/>
    <n v="14182"/>
    <n v="1772.75"/>
    <n v="14300"/>
    <n v="14228"/>
    <n v="0"/>
    <n v="0"/>
    <n v="0"/>
    <n v="0"/>
    <n v="72"/>
    <n v="0"/>
    <n v="2"/>
    <n v="7114"/>
    <n v="1.0032435481596389"/>
    <x v="37"/>
    <n v="0"/>
    <n v="0"/>
    <s v=" "/>
    <n v="5.034965034965035E-3"/>
    <n v="0"/>
    <n v="0.99496503496503497"/>
    <n v="0.66666666666666663"/>
    <n v="7.333333333333333"/>
    <n v="0.91666666666666663"/>
    <n v="1778.5"/>
    <n v="4"/>
    <n v="3.7109924093337083"/>
    <n v="1.0778787878787879"/>
    <n v="0.98308073038073029"/>
  </r>
  <r>
    <x v="1"/>
    <d v="2021-09-22T00:00:00"/>
    <s v="B"/>
    <x v="0"/>
    <x v="60"/>
    <s v="M2"/>
    <s v="L2"/>
    <s v="NIPPLE S TYPE Y SIZE INJECTION"/>
    <s v="HEI22Nb"/>
    <s v="Badelal"/>
    <n v="6"/>
    <n v="3612"/>
    <n v="602"/>
    <n v="4095"/>
    <n v="4040"/>
    <n v="0"/>
    <n v="0"/>
    <n v="0"/>
    <n v="0"/>
    <n v="55"/>
    <n v="0"/>
    <n v="1"/>
    <n v="4040"/>
    <n v="1.1184939091915835"/>
    <x v="0"/>
    <n v="6.8"/>
    <n v="27.846"/>
    <n v="0.98656898656898651"/>
    <n v="1.3431013431013432E-2"/>
    <n v="0"/>
    <n v="0.98656898656898662"/>
    <n v="0"/>
    <n v="6"/>
    <n v="1"/>
    <n v="673.33333333333337"/>
    <n v="5.25"/>
    <n v="5.3465346534653468"/>
    <n v="0.9819444444444444"/>
    <n v="0.96875593542260208"/>
  </r>
  <r>
    <x v="1"/>
    <d v="2021-09-22T00:00:00"/>
    <s v="B"/>
    <x v="5"/>
    <x v="12"/>
    <m/>
    <s v="Recycle"/>
    <s v="CAP S TYPE MOLDED PINK"/>
    <s v="EI22CRb"/>
    <s v="Badelal"/>
    <n v="3"/>
    <n v="1551"/>
    <n v="517"/>
    <n v="1565"/>
    <n v="1565"/>
    <n v="0"/>
    <n v="0"/>
    <n v="0"/>
    <n v="0"/>
    <n v="0"/>
    <n v="0"/>
    <n v="1"/>
    <n v="1565"/>
    <n v="1.0090264345583495"/>
    <x v="10"/>
    <n v="7.3"/>
    <n v="11.4245"/>
    <n v="1"/>
    <n v="0"/>
    <n v="0"/>
    <n v="1"/>
    <n v="0"/>
    <n v="3"/>
    <n v="1"/>
    <n v="521.66666666666663"/>
    <n v="6"/>
    <n v="6.9009584664536741"/>
    <n v="0.86944444444444446"/>
    <n v="0.86944444444444446"/>
  </r>
  <r>
    <x v="1"/>
    <d v="2021-09-22T00:00:00"/>
    <s v="B"/>
    <x v="3"/>
    <x v="63"/>
    <m/>
    <m/>
    <s v="NIPPLE S TYPE Y SIZE PUNCHED"/>
    <s v="HEI21NaI22Pb"/>
    <s v="Badelal"/>
    <n v="4"/>
    <n v="3500"/>
    <n v="875"/>
    <n v="3643"/>
    <n v="3643"/>
    <n v="0"/>
    <n v="0"/>
    <n v="0"/>
    <n v="0"/>
    <n v="0"/>
    <n v="0"/>
    <n v="1"/>
    <n v="3643"/>
    <n v="1.0408571428571429"/>
    <x v="40"/>
    <n v="0"/>
    <n v="0"/>
    <s v=" "/>
    <n v="0"/>
    <n v="0"/>
    <n v="1"/>
    <n v="0.66666666666666663"/>
    <n v="3.3333333333333335"/>
    <n v="0.83333333333333337"/>
    <n v="910.75"/>
    <n v="3.5"/>
    <n v="3.2939884710403513"/>
    <n v="1.0625416666666667"/>
    <n v="0.88545138888888897"/>
  </r>
  <r>
    <x v="1"/>
    <d v="2021-09-22T00:00:00"/>
    <s v="B"/>
    <x v="3"/>
    <x v="49"/>
    <m/>
    <m/>
    <s v="NIPPLE S TYPE L SIZE PUNCHED"/>
    <s v="HEI20NciI22Pb"/>
    <s v="Badelal"/>
    <n v="4"/>
    <n v="3500"/>
    <n v="875"/>
    <n v="2050"/>
    <n v="2050"/>
    <n v="0"/>
    <n v="0"/>
    <n v="0"/>
    <n v="0"/>
    <n v="0"/>
    <n v="0"/>
    <n v="1"/>
    <n v="2050"/>
    <n v="0.58571428571428574"/>
    <x v="36"/>
    <n v="0"/>
    <n v="0"/>
    <s v=" "/>
    <n v="0"/>
    <n v="0"/>
    <n v="1"/>
    <n v="2"/>
    <n v="2"/>
    <n v="0.5"/>
    <n v="512.5"/>
    <n v="3.5"/>
    <n v="3.5121951219512195"/>
    <n v="0.99652777777777779"/>
    <n v="0.4982638888888889"/>
  </r>
  <r>
    <x v="1"/>
    <d v="2021-09-22T00:00:00"/>
    <s v="B"/>
    <x v="8"/>
    <x v="50"/>
    <m/>
    <m/>
    <s v="NIPPLE S TYPE L SIZE PUNCHED LASER MARKED"/>
    <s v="HEI15CH22"/>
    <s v="Badelal"/>
    <n v="8"/>
    <n v="7000"/>
    <n v="875"/>
    <n v="7288"/>
    <n v="7288"/>
    <n v="0"/>
    <n v="0"/>
    <n v="0"/>
    <n v="0"/>
    <n v="0"/>
    <n v="0"/>
    <n v="1"/>
    <n v="7288"/>
    <n v="1.0411428571428571"/>
    <x v="22"/>
    <n v="0"/>
    <n v="0"/>
    <s v=" "/>
    <n v="0"/>
    <n v="0"/>
    <n v="1"/>
    <n v="0"/>
    <n v="8"/>
    <n v="1"/>
    <n v="911"/>
    <n v="3.5"/>
    <n v="3.9517014270032931"/>
    <n v="0.88569444444444445"/>
    <n v="0.88569444444444445"/>
  </r>
  <r>
    <x v="1"/>
    <d v="2021-09-22T00:00:00"/>
    <s v="B"/>
    <x v="1"/>
    <x v="20"/>
    <m/>
    <s v="B2"/>
    <s v="KPP 120 ML BOTTLE MOLDED"/>
    <s v="EI22Bb2"/>
    <s v="Badelal"/>
    <n v="8"/>
    <n v="2574"/>
    <n v="321.75"/>
    <n v="3160"/>
    <n v="3060"/>
    <n v="0.1"/>
    <n v="35"/>
    <n v="0"/>
    <n v="0"/>
    <n v="65"/>
    <n v="0"/>
    <n v="1"/>
    <n v="3060"/>
    <n v="1.1888111888111887"/>
    <x v="1"/>
    <n v="21.3"/>
    <n v="67.407999999999987"/>
    <n v="0.9669178732494661"/>
    <n v="2.0799999999999999E-2"/>
    <n v="1.0954616588419406E-2"/>
    <n v="0.97943037974683544"/>
    <n v="0"/>
    <n v="8"/>
    <n v="1"/>
    <n v="382.5"/>
    <n v="9"/>
    <n v="9.4117647058823533"/>
    <n v="0.95624999999999993"/>
    <n v="0.93658030063291131"/>
  </r>
  <r>
    <x v="1"/>
    <d v="2021-09-22T00:00:00"/>
    <s v="B"/>
    <x v="5"/>
    <x v="12"/>
    <m/>
    <s v="Vergin"/>
    <s v="CAP S TYPE MOLDED PINK"/>
    <s v="EI22Cb"/>
    <s v="Badelal"/>
    <n v="5"/>
    <n v="2586"/>
    <n v="517.20000000000005"/>
    <n v="3004"/>
    <n v="3000"/>
    <n v="0"/>
    <n v="0"/>
    <n v="0"/>
    <n v="0"/>
    <n v="4"/>
    <n v="0"/>
    <n v="1"/>
    <n v="3000"/>
    <n v="1.160092807424594"/>
    <x v="10"/>
    <n v="7.3"/>
    <n v="21.929200000000002"/>
    <n v="0.99866844207723027"/>
    <n v="1.3315579227696406E-3"/>
    <n v="0"/>
    <n v="0.99866844207723038"/>
    <n v="0"/>
    <n v="5"/>
    <n v="1"/>
    <n v="600"/>
    <n v="6"/>
    <n v="6"/>
    <n v="1"/>
    <n v="0.99866844207723038"/>
  </r>
  <r>
    <x v="1"/>
    <d v="2021-09-22T00:00:00"/>
    <s v="B"/>
    <x v="6"/>
    <x v="59"/>
    <m/>
    <m/>
    <s v="RPP 120ML GRL PNK BOTLE PNTD WM3GB W/BIS LOGO"/>
    <m/>
    <s v="Badelal"/>
    <n v="6"/>
    <n v="1860"/>
    <n v="310"/>
    <n v="1860"/>
    <n v="1838"/>
    <n v="0"/>
    <n v="0"/>
    <n v="29"/>
    <n v="0"/>
    <n v="22"/>
    <n v="0"/>
    <n v="5"/>
    <n v="367.6"/>
    <n v="0.98817204301075268"/>
    <x v="34"/>
    <n v="0"/>
    <n v="0"/>
    <s v=" "/>
    <n v="1.1827956989247311E-2"/>
    <n v="0"/>
    <n v="0.98817204301075268"/>
    <n v="2.6666666666666665"/>
    <n v="3.3333333333333335"/>
    <n v="0.55555555555555558"/>
    <n v="306.33333333333331"/>
    <n v="32.4"/>
    <n v="32.644178454842226"/>
    <n v="0.99251999999999974"/>
    <n v="0.54487806451612886"/>
  </r>
  <r>
    <x v="1"/>
    <d v="2021-09-22T00:00:00"/>
    <s v="B"/>
    <x v="6"/>
    <x v="39"/>
    <m/>
    <m/>
    <s v="RPP 120ML BOY BLUE BOTLE PNTD WM3GB W/BIS LOGO"/>
    <s v="EH28Bb1I22Pb"/>
    <s v="Badelal"/>
    <n v="2"/>
    <n v="1031"/>
    <n v="515.5"/>
    <n v="1031"/>
    <n v="1020"/>
    <n v="0"/>
    <n v="0"/>
    <n v="14"/>
    <n v="0"/>
    <n v="11"/>
    <n v="0"/>
    <n v="5"/>
    <n v="204"/>
    <n v="0.98933074684772071"/>
    <x v="30"/>
    <n v="0"/>
    <n v="0"/>
    <s v=" "/>
    <n v="1.066925315227934E-2"/>
    <n v="0"/>
    <n v="0.98933074684772071"/>
    <n v="0"/>
    <n v="2"/>
    <n v="1"/>
    <n v="510"/>
    <n v="32.4"/>
    <n v="35.294117647058826"/>
    <n v="0.91799999999999993"/>
    <n v="0.90820562560620754"/>
  </r>
  <r>
    <x v="1"/>
    <d v="2021-09-22T00:00:00"/>
    <s v="C"/>
    <x v="0"/>
    <x v="10"/>
    <s v="M2"/>
    <s v="L2"/>
    <s v="NIPPLE S TYPE S SIZE INJECTION"/>
    <s v="HEI22Nc"/>
    <s v="Saurabh"/>
    <n v="8"/>
    <n v="3600"/>
    <n v="450"/>
    <n v="2797"/>
    <n v="2700"/>
    <n v="5.4"/>
    <n v="44"/>
    <n v="0"/>
    <n v="0"/>
    <n v="37"/>
    <n v="16"/>
    <n v="1"/>
    <n v="2700"/>
    <n v="0.75"/>
    <x v="0"/>
    <n v="6.8"/>
    <n v="24.419600000000003"/>
    <n v="0.75185506724106854"/>
    <n v="1.351845085860431E-2"/>
    <n v="1.5487504399859204E-2"/>
    <n v="0.98677154093671793"/>
    <n v="3"/>
    <n v="5"/>
    <n v="0.625"/>
    <n v="337.5"/>
    <n v="5.25"/>
    <n v="6.666666666666667"/>
    <n v="0.78749999999999998"/>
    <n v="0.48567661780479082"/>
  </r>
  <r>
    <x v="1"/>
    <d v="2021-09-22T00:00:00"/>
    <s v="C"/>
    <x v="1"/>
    <x v="20"/>
    <s v="BM1"/>
    <s v="B2"/>
    <s v="KPP 120 ML BOTTLE MOLDED"/>
    <s v="EI22Bc2"/>
    <s v="Saurabh"/>
    <n v="8"/>
    <n v="2574"/>
    <n v="321.75"/>
    <n v="3123"/>
    <n v="3060"/>
    <n v="0.22"/>
    <n v="18"/>
    <n v="0"/>
    <n v="0"/>
    <n v="37"/>
    <n v="8"/>
    <n v="1"/>
    <n v="3060"/>
    <n v="1.1888111888111887"/>
    <x v="1"/>
    <n v="21.3"/>
    <n v="66.739899999999992"/>
    <n v="0.9765972079670483"/>
    <n v="1.1947045527930255E-2"/>
    <n v="5.7306590257879654E-3"/>
    <n v="0.98815241754723027"/>
    <n v="0"/>
    <n v="8"/>
    <n v="1"/>
    <n v="382.5"/>
    <n v="9"/>
    <n v="9.4117647058823533"/>
    <n v="0.95624999999999993"/>
    <n v="0.94492074927953884"/>
  </r>
  <r>
    <x v="1"/>
    <d v="2021-09-22T00:00:00"/>
    <s v="C"/>
    <x v="5"/>
    <x v="12"/>
    <m/>
    <s v="Recycle"/>
    <s v="CAP S TYPE MOLDED PINK"/>
    <s v="EI22CRc"/>
    <s v="Saurabh"/>
    <n v="1"/>
    <n v="500"/>
    <n v="500"/>
    <n v="500"/>
    <n v="500"/>
    <n v="0"/>
    <n v="0"/>
    <n v="0"/>
    <n v="0"/>
    <n v="0"/>
    <n v="0"/>
    <n v="1"/>
    <n v="500"/>
    <n v="1"/>
    <x v="10"/>
    <n v="7.3"/>
    <n v="3.65"/>
    <n v="1"/>
    <n v="0"/>
    <n v="0"/>
    <n v="1"/>
    <n v="0"/>
    <n v="1"/>
    <n v="1"/>
    <n v="500"/>
    <n v="6"/>
    <n v="7.2"/>
    <n v="0.83333333333333326"/>
    <n v="0.83333333333333326"/>
  </r>
  <r>
    <x v="1"/>
    <d v="2021-09-22T00:00:00"/>
    <s v="C"/>
    <x v="5"/>
    <x v="12"/>
    <m/>
    <s v="Vergin"/>
    <s v="CAP S TYPE MOLDED PINK"/>
    <s v="EI22Cc"/>
    <s v="Saurabh"/>
    <n v="7"/>
    <n v="3637"/>
    <n v="519.57142857142856"/>
    <n v="4013"/>
    <n v="4000"/>
    <n v="0"/>
    <n v="0"/>
    <n v="0"/>
    <n v="0"/>
    <n v="5"/>
    <n v="8"/>
    <n v="1"/>
    <n v="4000"/>
    <n v="1.0998075336816058"/>
    <x v="10"/>
    <n v="7.3"/>
    <n v="29.294900000000002"/>
    <n v="0.99676052828307993"/>
    <n v="1.2484394506866417E-3"/>
    <n v="0"/>
    <n v="0.99875404933964618"/>
    <n v="0"/>
    <n v="7"/>
    <n v="1"/>
    <n v="571.42857142857144"/>
    <n v="6"/>
    <n v="6.3"/>
    <n v="0.95238095238095244"/>
    <n v="0.95119433270442499"/>
  </r>
  <r>
    <x v="1"/>
    <d v="2021-09-23T00:00:00"/>
    <s v="A"/>
    <x v="5"/>
    <x v="12"/>
    <m/>
    <s v="Vergin"/>
    <s v="CAP S TYPE MOLDED PINK"/>
    <s v="EI23Ca"/>
    <s v="Nitin"/>
    <n v="7"/>
    <n v="3137"/>
    <n v="448.14285714285717"/>
    <n v="3580"/>
    <n v="3580"/>
    <n v="0"/>
    <n v="0"/>
    <n v="0"/>
    <n v="0"/>
    <n v="0"/>
    <n v="0"/>
    <n v="1"/>
    <n v="3580"/>
    <n v="1.14121772394007"/>
    <x v="10"/>
    <n v="7.3"/>
    <n v="26.134"/>
    <n v="1"/>
    <n v="0"/>
    <n v="0"/>
    <n v="1"/>
    <n v="0"/>
    <n v="7"/>
    <n v="1"/>
    <n v="511.42857142857144"/>
    <n v="6"/>
    <n v="7.039106145251397"/>
    <n v="0.85238095238095235"/>
    <n v="0.85238095238095235"/>
  </r>
  <r>
    <x v="1"/>
    <d v="2021-09-23T00:00:00"/>
    <s v="A"/>
    <x v="5"/>
    <x v="12"/>
    <m/>
    <s v="Recycle"/>
    <s v="CAP S TYPE MOLDED PINK"/>
    <s v="EI23CRa"/>
    <s v="Nitin"/>
    <n v="1"/>
    <n v="1000"/>
    <n v="1000"/>
    <n v="1008"/>
    <n v="1000"/>
    <n v="0"/>
    <n v="0"/>
    <n v="0"/>
    <n v="0"/>
    <n v="8"/>
    <n v="0"/>
    <n v="1"/>
    <n v="1000"/>
    <n v="1"/>
    <x v="10"/>
    <n v="7.3"/>
    <n v="7.3584000000000005"/>
    <n v="0.99206349206349198"/>
    <n v="7.9365079365079361E-3"/>
    <n v="0"/>
    <n v="0.99206349206349209"/>
    <n v="0"/>
    <n v="1"/>
    <n v="1"/>
    <n v="1000"/>
    <n v="6"/>
    <n v="3.6"/>
    <n v="1.6666666666666665"/>
    <n v="1.6534391534391533"/>
  </r>
  <r>
    <x v="1"/>
    <d v="2021-09-23T00:00:00"/>
    <s v="A"/>
    <x v="0"/>
    <x v="10"/>
    <s v="M2"/>
    <s v="L2"/>
    <s v="NIPPLE S TYPE S SIZE INJECTION"/>
    <s v="HEI23Na"/>
    <s v="Nitin"/>
    <n v="8"/>
    <n v="4815"/>
    <n v="601.875"/>
    <n v="4410"/>
    <n v="4300"/>
    <n v="0"/>
    <n v="48"/>
    <n v="0"/>
    <n v="0"/>
    <n v="54"/>
    <n v="8"/>
    <n v="1"/>
    <n v="4300"/>
    <n v="0.89304257528556596"/>
    <x v="0"/>
    <n v="6.8"/>
    <n v="29.988"/>
    <n v="0.97505668934240364"/>
    <n v="1.240238860817639E-2"/>
    <n v="1.0767160161507403E-2"/>
    <n v="0.98775510204081629"/>
    <n v="0.5"/>
    <n v="7.5"/>
    <n v="0.9375"/>
    <n v="537.5"/>
    <n v="5.25"/>
    <n v="6.2790697674418601"/>
    <n v="0.83611111111111114"/>
    <n v="0.77425595238095235"/>
  </r>
  <r>
    <x v="1"/>
    <d v="2021-09-23T00:00:00"/>
    <s v="A"/>
    <x v="3"/>
    <x v="63"/>
    <m/>
    <s v="P1"/>
    <s v="NIPPLE S TYPE Y SIZE PUNCHED"/>
    <s v="HEI21NaI23Pa"/>
    <s v="Nitin"/>
    <n v="7"/>
    <n v="6300"/>
    <n v="900"/>
    <n v="6400"/>
    <n v="6400"/>
    <n v="0"/>
    <n v="0"/>
    <n v="0"/>
    <n v="0"/>
    <n v="0"/>
    <n v="0"/>
    <n v="1"/>
    <n v="6400"/>
    <n v="1.0158730158730158"/>
    <x v="40"/>
    <n v="0"/>
    <n v="0"/>
    <s v=" "/>
    <n v="0"/>
    <n v="0"/>
    <n v="1"/>
    <n v="0.66666666666666663"/>
    <n v="6.333333333333333"/>
    <n v="0.90476190476190477"/>
    <n v="914.28571428571433"/>
    <n v="3.5"/>
    <n v="3.5625"/>
    <n v="0.98245614035087714"/>
    <n v="0.88888888888888884"/>
  </r>
  <r>
    <x v="1"/>
    <d v="2021-09-23T00:00:00"/>
    <s v="A"/>
    <x v="3"/>
    <x v="15"/>
    <m/>
    <s v="P1"/>
    <s v="NIPPLE S TYPE S SIZE PUNCHED"/>
    <s v="HEI22NcI23Pa"/>
    <s v="Nitin"/>
    <n v="1"/>
    <n v="700"/>
    <n v="700"/>
    <n v="700"/>
    <n v="700"/>
    <n v="0"/>
    <n v="0"/>
    <n v="0"/>
    <n v="0"/>
    <n v="0"/>
    <n v="0"/>
    <n v="1"/>
    <n v="700"/>
    <n v="1"/>
    <x v="12"/>
    <n v="0"/>
    <n v="0"/>
    <s v=" "/>
    <n v="0"/>
    <n v="0"/>
    <n v="1"/>
    <n v="0.25"/>
    <n v="0.75"/>
    <n v="0.75"/>
    <n v="700"/>
    <n v="3.5"/>
    <n v="3.8571428571428572"/>
    <n v="0.90740740740740744"/>
    <n v="0.68055555555555558"/>
  </r>
  <r>
    <x v="1"/>
    <d v="2021-09-23T00:00:00"/>
    <s v="A"/>
    <x v="8"/>
    <x v="50"/>
    <m/>
    <s v="LZ1"/>
    <s v="NIPPLE S TYPE L SIZE PUNCHED LASER MARKED"/>
    <s v="HEI16CH22"/>
    <s v="Nitin"/>
    <n v="8"/>
    <n v="7000"/>
    <n v="875"/>
    <n v="6000"/>
    <n v="6000"/>
    <n v="0"/>
    <n v="0"/>
    <n v="0"/>
    <n v="0"/>
    <n v="0"/>
    <n v="0"/>
    <n v="1"/>
    <n v="6000"/>
    <n v="0.8571428571428571"/>
    <x v="22"/>
    <n v="0"/>
    <n v="0"/>
    <s v=" "/>
    <n v="0"/>
    <n v="0"/>
    <n v="1"/>
    <n v="1.1666666666666667"/>
    <n v="6.833333333333333"/>
    <n v="0.85416666666666663"/>
    <n v="750"/>
    <n v="3.5"/>
    <n v="4.0999999999999996"/>
    <n v="0.85365853658536595"/>
    <n v="0.72916666666666674"/>
  </r>
  <r>
    <x v="1"/>
    <d v="2021-09-23T00:00:00"/>
    <s v="A"/>
    <x v="1"/>
    <x v="20"/>
    <s v="BM1"/>
    <s v="B2"/>
    <s v="KPP 120 ML BOTTLE MOLDED"/>
    <s v="EI23Ba1"/>
    <s v="Nitin"/>
    <n v="8"/>
    <n v="2574"/>
    <n v="321.75"/>
    <n v="2970"/>
    <n v="2880"/>
    <n v="0"/>
    <n v="35"/>
    <n v="0"/>
    <n v="0"/>
    <n v="47"/>
    <n v="8"/>
    <n v="1"/>
    <n v="2880"/>
    <n v="1.118881118881119"/>
    <x v="1"/>
    <n v="21.3"/>
    <n v="63.260999999999996"/>
    <n v="0.96969696969696983"/>
    <n v="1.6057396651861976E-2"/>
    <n v="1.1647254575707155E-2"/>
    <n v="0.98417508417508415"/>
    <n v="0"/>
    <n v="8"/>
    <n v="1"/>
    <n v="360"/>
    <n v="9"/>
    <n v="10"/>
    <n v="0.9"/>
    <n v="0.88575757575757574"/>
  </r>
  <r>
    <x v="1"/>
    <d v="2021-09-23T00:00:00"/>
    <s v="A"/>
    <x v="0"/>
    <x v="10"/>
    <s v="M1"/>
    <s v="L1"/>
    <s v="NIPPLE S TYPE S SIZE INJECTION"/>
    <s v="HEI23Na"/>
    <s v="Himanshu"/>
    <n v="4"/>
    <n v="1200"/>
    <n v="300"/>
    <n v="1378"/>
    <n v="592"/>
    <n v="4"/>
    <n v="128"/>
    <n v="0"/>
    <n v="0"/>
    <n v="658"/>
    <n v="0"/>
    <n v="1"/>
    <n v="592"/>
    <n v="0.49333333333333335"/>
    <x v="0"/>
    <n v="6.8"/>
    <n v="13.3704"/>
    <n v="0.30108298928977439"/>
    <n v="0.52639999999999998"/>
    <n v="8.4993359893758294E-2"/>
    <n v="0.52249637155297535"/>
    <n v="0"/>
    <n v="4"/>
    <n v="1"/>
    <n v="148"/>
    <n v="5.25"/>
    <n v="24.324324324324323"/>
    <n v="0.21583333333333335"/>
    <n v="0.11277213352685052"/>
  </r>
  <r>
    <x v="1"/>
    <d v="2021-09-23T00:00:00"/>
    <s v="G"/>
    <x v="6"/>
    <x v="39"/>
    <m/>
    <m/>
    <s v="RPP 120ML BOY BLUE BOTLE PNTD WM3GB W/BIS LOGO"/>
    <s v="EH28Bb1I23Pa"/>
    <s v="Pintu"/>
    <n v="1"/>
    <n v="400"/>
    <n v="400"/>
    <n v="496"/>
    <n v="488"/>
    <n v="0"/>
    <n v="0"/>
    <n v="5"/>
    <n v="0"/>
    <n v="8"/>
    <n v="0"/>
    <n v="5"/>
    <n v="97.6"/>
    <n v="1.22"/>
    <x v="30"/>
    <n v="0"/>
    <n v="0"/>
    <s v=" "/>
    <n v="1.6129032258064516E-2"/>
    <n v="0"/>
    <n v="0.9838709677419355"/>
    <n v="0"/>
    <n v="1"/>
    <n v="1"/>
    <n v="488"/>
    <n v="32.4"/>
    <n v="36.885245901639344"/>
    <n v="0.87839999999999996"/>
    <n v="0.86423225806451609"/>
  </r>
  <r>
    <x v="1"/>
    <d v="2021-09-23T00:00:00"/>
    <s v="G"/>
    <x v="6"/>
    <x v="74"/>
    <m/>
    <m/>
    <s v="RPP 240ML BOY BLUE BOTLE PNTD WM3GB W/BIS LOGO"/>
    <s v="EI03Bb2I23Pa"/>
    <s v="Pintu"/>
    <n v="4"/>
    <n v="1700"/>
    <n v="425"/>
    <n v="1453"/>
    <n v="1440"/>
    <n v="0"/>
    <n v="0"/>
    <n v="22"/>
    <n v="0"/>
    <n v="13"/>
    <n v="0"/>
    <n v="5"/>
    <n v="288"/>
    <n v="0.84705882352941175"/>
    <x v="42"/>
    <n v="0"/>
    <n v="0"/>
    <s v=" "/>
    <n v="8.9470061940812116E-3"/>
    <n v="0"/>
    <n v="0.99105299380591882"/>
    <n v="0.83333333333333337"/>
    <n v="3.1666666666666665"/>
    <n v="0.79166666666666663"/>
    <n v="360"/>
    <n v="32.4"/>
    <n v="39.583333333333329"/>
    <n v="0.81852631578947377"/>
    <n v="0.64220233998623544"/>
  </r>
  <r>
    <x v="1"/>
    <d v="2021-09-23T00:00:00"/>
    <s v="G"/>
    <x v="6"/>
    <x v="41"/>
    <m/>
    <m/>
    <s v="RPP 240ML GRL PNK BOTLE PNTD WM3GB W/BIS LOGO"/>
    <s v="EH24Bb2I23Pa"/>
    <s v="Pintu"/>
    <n v="3"/>
    <n v="1300"/>
    <n v="433.33333333333331"/>
    <n v="1582"/>
    <n v="1560"/>
    <n v="0"/>
    <n v="0"/>
    <n v="18"/>
    <n v="0"/>
    <n v="22"/>
    <n v="0"/>
    <n v="5"/>
    <n v="312"/>
    <n v="1.2"/>
    <x v="31"/>
    <n v="0"/>
    <n v="0"/>
    <s v=" "/>
    <n v="1.3906447534766119E-2"/>
    <n v="0"/>
    <n v="0.98609355246523389"/>
    <n v="0"/>
    <n v="3"/>
    <n v="1"/>
    <n v="520"/>
    <n v="32.4"/>
    <n v="34.615384615384613"/>
    <n v="0.93600000000000005"/>
    <n v="0.92298356510745894"/>
  </r>
  <r>
    <x v="1"/>
    <d v="2021-09-23T00:00:00"/>
    <s v="G"/>
    <x v="7"/>
    <x v="27"/>
    <m/>
    <m/>
    <s v="NIPPLE S TYPE L SIZE WITH PRINTED WRAP"/>
    <s v="HEI31BG22"/>
    <s v="Badelal"/>
    <n v="7"/>
    <n v="13861"/>
    <n v="1980.1428571428571"/>
    <n v="12873"/>
    <n v="12861"/>
    <n v="0"/>
    <n v="0"/>
    <n v="0"/>
    <n v="0"/>
    <n v="12"/>
    <n v="0"/>
    <n v="2"/>
    <n v="6430.5"/>
    <n v="0.92785513310727941"/>
    <x v="22"/>
    <n v="0"/>
    <n v="0"/>
    <s v=" "/>
    <n v="9.3218364017711493E-4"/>
    <n v="0"/>
    <n v="0.99906781635982289"/>
    <n v="0.83333333333333337"/>
    <n v="6.166666666666667"/>
    <n v="0.88095238095238104"/>
    <n v="1837.2857142857142"/>
    <n v="2.5"/>
    <n v="3.4522976440401214"/>
    <n v="0.72415540540540535"/>
    <n v="0.63735174534740491"/>
  </r>
  <r>
    <x v="1"/>
    <d v="2021-09-23T00:00:00"/>
    <s v="G"/>
    <x v="4"/>
    <x v="51"/>
    <m/>
    <m/>
    <s v="NIPPLE S TYPE L SIZE PUNCHED INSPECTED"/>
    <s v="HEI16AH22"/>
    <s v="Badelal"/>
    <n v="7"/>
    <n v="12409"/>
    <n v="1772.7142857142858"/>
    <n v="11288"/>
    <n v="11254"/>
    <n v="0"/>
    <n v="0"/>
    <n v="0"/>
    <n v="0"/>
    <n v="34"/>
    <n v="0"/>
    <n v="1"/>
    <n v="11254"/>
    <n v="0.90692239503586103"/>
    <x v="37"/>
    <n v="0"/>
    <n v="0"/>
    <s v=" "/>
    <n v="3.0120481927710845E-3"/>
    <n v="0"/>
    <n v="0.99698795180722888"/>
    <n v="0.83333333333333337"/>
    <n v="6.166666666666667"/>
    <n v="0.88095238095238104"/>
    <n v="1607.7142857142858"/>
    <n v="4"/>
    <n v="1.972631953083348"/>
    <n v="2.0277477477477479"/>
    <n v="1.7809686364505644"/>
  </r>
  <r>
    <x v="1"/>
    <d v="2021-09-23T00:00:00"/>
    <s v="G"/>
    <x v="4"/>
    <x v="69"/>
    <m/>
    <m/>
    <s v="NIPPLE S TYPE Y SIZE PUNCHED INSPECTED"/>
    <s v="HEI21AH22"/>
    <s v="Badelal"/>
    <n v="1"/>
    <n v="1773"/>
    <n v="1773"/>
    <n v="2000"/>
    <n v="1983"/>
    <n v="0"/>
    <n v="0"/>
    <n v="0"/>
    <n v="0"/>
    <n v="17"/>
    <n v="0"/>
    <n v="1"/>
    <n v="1983"/>
    <n v="1.1184433164128595"/>
    <x v="44"/>
    <n v="0"/>
    <n v="0"/>
    <s v=" "/>
    <n v="8.5000000000000006E-3"/>
    <n v="0"/>
    <n v="0.99150000000000005"/>
    <n v="0"/>
    <n v="1"/>
    <n v="1"/>
    <n v="1983"/>
    <n v="4"/>
    <n v="1.8154311649016641"/>
    <n v="2.2033333333333336"/>
    <n v="2.1846050000000004"/>
  </r>
  <r>
    <x v="1"/>
    <d v="2021-09-23T00:00:00"/>
    <s v="B"/>
    <x v="3"/>
    <x v="15"/>
    <m/>
    <m/>
    <s v="NIPPLE S TYPE S SIZE PUNCHED"/>
    <s v="HEI23NaI23Pb"/>
    <s v="Badelal"/>
    <n v="8"/>
    <n v="7000"/>
    <n v="875"/>
    <n v="6300"/>
    <n v="6300"/>
    <n v="0"/>
    <n v="0"/>
    <n v="0"/>
    <n v="0"/>
    <n v="0"/>
    <n v="0"/>
    <n v="1"/>
    <n v="6300"/>
    <n v="0.9"/>
    <x v="12"/>
    <n v="0"/>
    <n v="0"/>
    <s v=" "/>
    <n v="0"/>
    <n v="0"/>
    <n v="1"/>
    <n v="0"/>
    <n v="8"/>
    <n v="1"/>
    <n v="787.5"/>
    <n v="3.5"/>
    <n v="4.5714285714285712"/>
    <n v="0.765625"/>
    <n v="0.765625"/>
  </r>
  <r>
    <x v="1"/>
    <d v="2021-09-23T00:00:00"/>
    <s v="B"/>
    <x v="0"/>
    <x v="10"/>
    <s v="M2"/>
    <s v="L2"/>
    <s v="NIPPLE S TYPE S SIZE INJECTION"/>
    <s v="HEI23Nb"/>
    <s v="Badelal"/>
    <n v="8"/>
    <n v="4815"/>
    <n v="601.875"/>
    <n v="5486"/>
    <n v="5400"/>
    <n v="0"/>
    <n v="51"/>
    <n v="0"/>
    <n v="0"/>
    <n v="35"/>
    <n v="0"/>
    <n v="1"/>
    <n v="5400"/>
    <n v="1.1214953271028036"/>
    <x v="0"/>
    <n v="6.8"/>
    <n v="37.3048"/>
    <n v="0.98432373313889898"/>
    <n v="6.439742410303588E-3"/>
    <n v="9.2107639515983386E-3"/>
    <n v="0.99362012395187749"/>
    <n v="0"/>
    <n v="8"/>
    <n v="1"/>
    <n v="675"/>
    <n v="5.25"/>
    <n v="5.333333333333333"/>
    <n v="0.984375"/>
    <n v="0.97809480951512939"/>
  </r>
  <r>
    <x v="1"/>
    <d v="2021-09-23T00:00:00"/>
    <s v="B"/>
    <x v="5"/>
    <x v="12"/>
    <m/>
    <s v="Recycle"/>
    <s v="CAP S TYPE MOLDED PINK"/>
    <s v="EI23CRb"/>
    <s v="Badelal"/>
    <n v="6"/>
    <n v="3108"/>
    <n v="518"/>
    <n v="3334"/>
    <n v="3334"/>
    <n v="0"/>
    <n v="0"/>
    <n v="0"/>
    <n v="0"/>
    <n v="0"/>
    <n v="0"/>
    <n v="1"/>
    <n v="3334"/>
    <n v="1.0727155727155726"/>
    <x v="10"/>
    <n v="7.3"/>
    <n v="24.338200000000001"/>
    <n v="1"/>
    <n v="0"/>
    <n v="0"/>
    <n v="1"/>
    <n v="0"/>
    <n v="6"/>
    <n v="1"/>
    <n v="555.66666666666663"/>
    <n v="6"/>
    <n v="6.4787042591481701"/>
    <n v="0.92611111111111111"/>
    <n v="0.92611111111111111"/>
  </r>
  <r>
    <x v="1"/>
    <d v="2021-09-23T00:00:00"/>
    <s v="B"/>
    <x v="1"/>
    <x v="20"/>
    <m/>
    <s v="B2"/>
    <s v="KPP 120 ML BOTTLE MOLDED"/>
    <s v="EI23Bb2"/>
    <s v="Badelal"/>
    <n v="8"/>
    <n v="2574"/>
    <n v="321.75"/>
    <n v="3109"/>
    <n v="3060"/>
    <n v="0.15"/>
    <n v="19"/>
    <n v="0"/>
    <n v="0"/>
    <n v="30"/>
    <n v="0"/>
    <n v="1"/>
    <n v="3060"/>
    <n v="1.1888111888111887"/>
    <x v="1"/>
    <n v="21.3"/>
    <n v="66.371700000000004"/>
    <n v="0.98201492503582088"/>
    <n v="9.7087378640776691E-3"/>
    <n v="6.0741687979539638E-3"/>
    <n v="0.9903505950466388"/>
    <n v="0"/>
    <n v="8"/>
    <n v="1"/>
    <n v="382.5"/>
    <n v="9"/>
    <n v="9.4117647058823533"/>
    <n v="0.95624999999999993"/>
    <n v="0.94702275651334833"/>
  </r>
  <r>
    <x v="1"/>
    <d v="2021-09-23T00:00:00"/>
    <s v="B"/>
    <x v="8"/>
    <x v="68"/>
    <m/>
    <m/>
    <s v="NIPPLE S TYPE Y SIZE PUNCHED LASER MARKED"/>
    <s v="HEI21AH22"/>
    <s v="Badelal"/>
    <n v="8"/>
    <n v="7000"/>
    <n v="875"/>
    <n v="6643"/>
    <n v="6643"/>
    <n v="0"/>
    <n v="0"/>
    <n v="0"/>
    <n v="0"/>
    <n v="0"/>
    <n v="0"/>
    <n v="1"/>
    <n v="6643"/>
    <n v="0.94899999999999995"/>
    <x v="43"/>
    <n v="0"/>
    <n v="0"/>
    <s v=" "/>
    <n v="0"/>
    <n v="0"/>
    <n v="1"/>
    <n v="0.66666666666666663"/>
    <n v="7.333333333333333"/>
    <n v="0.91666666666666663"/>
    <n v="830.375"/>
    <n v="3.5"/>
    <n v="3.974108083697125"/>
    <n v="0.8807007575757575"/>
    <n v="0.80730902777777769"/>
  </r>
  <r>
    <x v="1"/>
    <d v="2021-09-23T00:00:00"/>
    <s v="B"/>
    <x v="5"/>
    <x v="12"/>
    <m/>
    <s v="Vergin"/>
    <s v="CAP S TYPE MOLDED PINK"/>
    <s v="EI23Cb"/>
    <s v="Badelal"/>
    <n v="2"/>
    <n v="1036"/>
    <n v="518"/>
    <n v="1200"/>
    <n v="1200"/>
    <n v="0"/>
    <n v="0"/>
    <n v="0"/>
    <n v="0"/>
    <n v="0"/>
    <n v="0"/>
    <n v="1"/>
    <n v="1200"/>
    <n v="1.1583011583011582"/>
    <x v="10"/>
    <n v="7.3"/>
    <n v="8.76"/>
    <n v="1"/>
    <n v="0"/>
    <n v="0"/>
    <n v="1"/>
    <n v="0"/>
    <n v="2"/>
    <n v="1"/>
    <n v="600"/>
    <n v="6"/>
    <n v="6"/>
    <n v="1"/>
    <n v="1"/>
  </r>
  <r>
    <x v="1"/>
    <d v="2021-09-23T00:00:00"/>
    <s v="C"/>
    <x v="5"/>
    <x v="12"/>
    <m/>
    <s v="Vergin"/>
    <s v="CAP S TYPE MOLDED PINK"/>
    <s v="EI23Cc"/>
    <s v="Saurabh"/>
    <n v="4"/>
    <n v="2000"/>
    <n v="500"/>
    <n v="2000"/>
    <n v="2000"/>
    <n v="0"/>
    <n v="0"/>
    <n v="0"/>
    <n v="0"/>
    <n v="0"/>
    <n v="0"/>
    <n v="1"/>
    <n v="2000"/>
    <n v="1"/>
    <x v="10"/>
    <n v="7.3"/>
    <n v="14.6"/>
    <n v="1"/>
    <n v="0"/>
    <n v="0"/>
    <n v="1"/>
    <n v="0"/>
    <n v="4"/>
    <n v="1"/>
    <n v="500"/>
    <n v="6"/>
    <n v="7.2"/>
    <n v="0.83333333333333326"/>
    <n v="0.83333333333333326"/>
  </r>
  <r>
    <x v="1"/>
    <d v="2021-09-23T00:00:00"/>
    <s v="C"/>
    <x v="5"/>
    <x v="12"/>
    <m/>
    <s v="Recycle"/>
    <s v="CAP S TYPE MOLDED PINK"/>
    <s v="EI23CRc"/>
    <s v="Saurabh"/>
    <n v="4"/>
    <n v="2137"/>
    <n v="534.25"/>
    <n v="2511"/>
    <n v="2500"/>
    <n v="0"/>
    <n v="0"/>
    <n v="0"/>
    <n v="0"/>
    <n v="3"/>
    <n v="8"/>
    <n v="1"/>
    <n v="2500"/>
    <n v="1.169864295741694"/>
    <x v="10"/>
    <n v="7.3"/>
    <n v="18.330300000000001"/>
    <n v="0.9956192751891676"/>
    <n v="1.1985617259288853E-3"/>
    <n v="0"/>
    <n v="0.99880525686977295"/>
    <n v="0"/>
    <n v="4"/>
    <n v="1"/>
    <n v="625"/>
    <n v="6"/>
    <n v="5.76"/>
    <n v="1.0416666666666667"/>
    <n v="1.0404221425726803"/>
  </r>
  <r>
    <x v="1"/>
    <d v="2021-09-23T00:00:00"/>
    <s v="C"/>
    <x v="0"/>
    <x v="10"/>
    <s v="M2"/>
    <s v="L2"/>
    <s v="NIPPLE S TYPE S SIZE INJECTION"/>
    <s v="HEI23Nc"/>
    <s v="Saurabh"/>
    <n v="8"/>
    <n v="4815"/>
    <n v="601.875"/>
    <n v="5411"/>
    <n v="5300"/>
    <n v="0"/>
    <n v="32"/>
    <n v="0"/>
    <n v="0"/>
    <n v="71"/>
    <n v="8"/>
    <n v="1"/>
    <n v="5300"/>
    <n v="1.1007268951194185"/>
    <x v="0"/>
    <n v="6.8"/>
    <n v="36.794799999999995"/>
    <n v="0.97948623175013871"/>
    <n v="1.3219139824986036E-2"/>
    <n v="5.8791107844938456E-3"/>
    <n v="0.98687858066900758"/>
    <n v="0"/>
    <n v="8"/>
    <n v="1"/>
    <n v="662.5"/>
    <n v="5.25"/>
    <n v="5.4339622641509431"/>
    <n v="0.96614583333333337"/>
    <n v="0.95346862871927562"/>
  </r>
  <r>
    <x v="1"/>
    <d v="2021-09-23T00:00:00"/>
    <s v="C"/>
    <x v="1"/>
    <x v="20"/>
    <s v="BM1"/>
    <s v="B2"/>
    <s v="KPP 120 ML BOTTLE MOLDED"/>
    <s v="EI23Bc2"/>
    <s v="Saurabh"/>
    <n v="8"/>
    <n v="2574"/>
    <n v="321.75"/>
    <n v="2951"/>
    <n v="2880"/>
    <n v="0.2"/>
    <n v="25"/>
    <n v="0"/>
    <n v="0"/>
    <n v="38"/>
    <n v="8"/>
    <n v="1"/>
    <n v="2880"/>
    <n v="1.118881118881119"/>
    <x v="1"/>
    <n v="21.3"/>
    <n v="63.0563"/>
    <n v="0.97284490209542906"/>
    <n v="1.3022618231665525E-2"/>
    <n v="8.4005376344086016E-3"/>
    <n v="0.98712300914944084"/>
    <n v="0"/>
    <n v="8"/>
    <n v="1"/>
    <n v="360"/>
    <n v="9"/>
    <n v="10"/>
    <n v="0.9"/>
    <n v="0.88841070823449675"/>
  </r>
  <r>
    <x v="1"/>
    <d v="2021-09-24T00:00:00"/>
    <s v="A"/>
    <x v="3"/>
    <x v="15"/>
    <m/>
    <s v="P1"/>
    <s v="NIPPLE S TYPE S SIZE PUNCHED"/>
    <s v="HEI23NbI24Pa"/>
    <s v="Nitin"/>
    <n v="8"/>
    <n v="7000"/>
    <n v="875"/>
    <n v="7400"/>
    <n v="7400"/>
    <n v="0"/>
    <n v="0"/>
    <n v="0"/>
    <n v="0"/>
    <n v="0"/>
    <n v="0"/>
    <n v="1"/>
    <n v="7400"/>
    <n v="1.0571428571428572"/>
    <x v="12"/>
    <n v="0"/>
    <n v="0"/>
    <s v=" "/>
    <n v="0"/>
    <n v="0"/>
    <n v="1"/>
    <n v="0"/>
    <n v="8"/>
    <n v="1"/>
    <n v="925"/>
    <n v="3.5"/>
    <n v="3.8918918918918921"/>
    <n v="0.89930555555555547"/>
    <n v="0.89930555555555547"/>
  </r>
  <r>
    <x v="1"/>
    <d v="2021-09-24T00:00:00"/>
    <s v="A"/>
    <x v="8"/>
    <x v="68"/>
    <m/>
    <s v="LZ1"/>
    <s v="NIPPLE S TYPE Y SIZE PUNCHED LASER MARKED"/>
    <s v="HEI21BH22"/>
    <s v="Nitin"/>
    <n v="4"/>
    <n v="3500"/>
    <n v="875"/>
    <n v="3400"/>
    <n v="3400"/>
    <n v="0"/>
    <n v="0"/>
    <n v="0"/>
    <n v="0"/>
    <n v="0"/>
    <n v="0"/>
    <n v="1"/>
    <n v="3400"/>
    <n v="0.97142857142857142"/>
    <x v="43"/>
    <n v="0"/>
    <n v="0"/>
    <s v=" "/>
    <n v="0"/>
    <n v="0"/>
    <n v="1"/>
    <n v="0.66666666666666663"/>
    <n v="3.3333333333333335"/>
    <n v="0.83333333333333337"/>
    <n v="850"/>
    <n v="3.5"/>
    <n v="3.5294117647058822"/>
    <n v="0.9916666666666667"/>
    <n v="0.82638888888888895"/>
  </r>
  <r>
    <x v="1"/>
    <d v="2021-09-24T00:00:00"/>
    <s v="A"/>
    <x v="8"/>
    <x v="25"/>
    <m/>
    <s v="LZ1"/>
    <s v="NIPPLE S TYPE S SIZE PUNCHED LASER MARKED"/>
    <s v="HEI22CH22"/>
    <s v="Nitin"/>
    <n v="4"/>
    <n v="3500"/>
    <n v="875"/>
    <n v="3700"/>
    <n v="3700"/>
    <n v="0"/>
    <n v="0"/>
    <n v="0"/>
    <n v="0"/>
    <n v="0"/>
    <n v="0"/>
    <n v="1"/>
    <n v="3700"/>
    <n v="1.0571428571428572"/>
    <x v="20"/>
    <n v="0"/>
    <n v="0"/>
    <s v=" "/>
    <n v="0"/>
    <n v="0"/>
    <n v="1"/>
    <n v="0"/>
    <n v="4"/>
    <n v="1"/>
    <n v="925"/>
    <n v="3.5"/>
    <n v="3.8918918918918921"/>
    <n v="0.89930555555555547"/>
    <n v="0.89930555555555547"/>
  </r>
  <r>
    <x v="1"/>
    <d v="2021-09-24T00:00:00"/>
    <s v="A"/>
    <x v="0"/>
    <x v="10"/>
    <s v="M2"/>
    <s v="L2"/>
    <s v="NIPPLE S TYPE S SIZE INJECTION"/>
    <s v="HEI24Na"/>
    <s v="Nitin"/>
    <n v="8"/>
    <n v="4815"/>
    <n v="601.875"/>
    <n v="4970"/>
    <n v="4850"/>
    <n v="0"/>
    <n v="38"/>
    <n v="0"/>
    <n v="0"/>
    <n v="74"/>
    <n v="8"/>
    <n v="1"/>
    <n v="4850"/>
    <n v="1.0072689511941848"/>
    <x v="0"/>
    <n v="6.8"/>
    <n v="33.795999999999999"/>
    <n v="0.9758551307847082"/>
    <n v="1.5028432168968318E-2"/>
    <n v="7.5878594249201275E-3"/>
    <n v="0.98511066398390346"/>
    <n v="0.5"/>
    <n v="7.5"/>
    <n v="0.9375"/>
    <n v="606.25"/>
    <n v="5.25"/>
    <n v="5.5670103092783503"/>
    <n v="0.94305555555555565"/>
    <n v="0.87095070422535226"/>
  </r>
  <r>
    <x v="1"/>
    <d v="2021-09-24T00:00:00"/>
    <s v="A"/>
    <x v="5"/>
    <x v="12"/>
    <m/>
    <s v="Recycle"/>
    <s v="CAP S TYPE MOLDED PINK"/>
    <s v="EI24CRa"/>
    <s v="Nitin"/>
    <n v="8"/>
    <n v="4137"/>
    <n v="517.125"/>
    <n v="5010"/>
    <n v="5000"/>
    <n v="0"/>
    <n v="0"/>
    <n v="0"/>
    <n v="0"/>
    <n v="2"/>
    <n v="8"/>
    <n v="1"/>
    <n v="5000"/>
    <n v="1.2086052695189751"/>
    <x v="10"/>
    <n v="7.3"/>
    <n v="36.573"/>
    <n v="0.99800399201596801"/>
    <n v="3.9984006397441024E-4"/>
    <n v="0"/>
    <n v="0.9996007984031936"/>
    <n v="0"/>
    <n v="8"/>
    <n v="1"/>
    <n v="625"/>
    <n v="6"/>
    <n v="5.76"/>
    <n v="1.0416666666666667"/>
    <n v="1.0412508316699933"/>
  </r>
  <r>
    <x v="1"/>
    <d v="2021-09-24T00:00:00"/>
    <s v="A"/>
    <x v="1"/>
    <x v="35"/>
    <s v="BM5"/>
    <s v="B1"/>
    <s v="RPP 240 ML BOTTLE MOLDED"/>
    <s v="EI24Ba1"/>
    <s v="Nitin"/>
    <n v="8"/>
    <n v="2574"/>
    <n v="321.75"/>
    <n v="1042"/>
    <n v="960"/>
    <n v="0.12"/>
    <n v="46"/>
    <n v="0"/>
    <n v="0"/>
    <n v="28"/>
    <n v="8"/>
    <n v="1"/>
    <n v="960"/>
    <n v="0.37296037296037299"/>
    <x v="1"/>
    <n v="32.1"/>
    <n v="33.568200000000004"/>
    <n v="0.91801168963483293"/>
    <n v="2.8340080971659919E-2"/>
    <n v="4.2279411764705885E-2"/>
    <n v="0.97312859884836855"/>
    <n v="5.666666666666667"/>
    <n v="2.333333333333333"/>
    <n v="0.29166666666666663"/>
    <n v="120"/>
    <n v="9"/>
    <n v="8.7499999999999982"/>
    <n v="1.0285714285714287"/>
    <n v="0.29193857965451053"/>
  </r>
  <r>
    <x v="1"/>
    <d v="2021-09-24T00:00:00"/>
    <s v="G"/>
    <x v="6"/>
    <x v="41"/>
    <m/>
    <m/>
    <s v="RPP 240ML GRL PNK BOTLE PNTD WM3GB W/BIS LOGO"/>
    <s v="EI2BB2I24Pa"/>
    <s v="Pintu"/>
    <n v="1.2"/>
    <n v="500"/>
    <n v="416.66666666666669"/>
    <n v="550"/>
    <n v="542"/>
    <n v="0"/>
    <n v="0"/>
    <n v="11"/>
    <n v="0"/>
    <n v="8"/>
    <n v="0"/>
    <n v="6"/>
    <n v="90.333333333333329"/>
    <n v="1.0840000000000001"/>
    <x v="31"/>
    <n v="0"/>
    <n v="0"/>
    <s v=" "/>
    <n v="1.4545454545454545E-2"/>
    <n v="0"/>
    <n v="0.98545454545454547"/>
    <n v="0.58333333333333337"/>
    <n v="0.61666666666666659"/>
    <n v="0.51388888888888884"/>
    <n v="451.66666666666669"/>
    <n v="32.4"/>
    <n v="24.575645756457561"/>
    <n v="1.3183783783783785"/>
    <n v="0.66764545454545454"/>
  </r>
  <r>
    <x v="1"/>
    <d v="2021-09-24T00:00:00"/>
    <s v="G"/>
    <x v="6"/>
    <x v="75"/>
    <m/>
    <m/>
    <s v="RPP 240ML ABSTRCT BLU BOTLE PNTD WM3GB W/BIS LOGO"/>
    <s v="EI3Bc2I24Pa"/>
    <s v="Pintu"/>
    <n v="3"/>
    <n v="1275"/>
    <n v="425"/>
    <n v="816"/>
    <n v="802"/>
    <n v="0"/>
    <n v="0"/>
    <n v="12"/>
    <n v="0"/>
    <n v="14"/>
    <n v="0"/>
    <n v="6"/>
    <n v="133.66666666666666"/>
    <n v="0.62901960784313726"/>
    <x v="42"/>
    <n v="0"/>
    <n v="0"/>
    <s v=" "/>
    <n v="1.7156862745098041E-2"/>
    <n v="0"/>
    <n v="0.98284313725490191"/>
    <n v="1.5"/>
    <n v="1.5"/>
    <n v="0.5"/>
    <n v="267.33333333333331"/>
    <n v="32.4"/>
    <n v="40.399002493765586"/>
    <n v="0.80199999999999994"/>
    <n v="0.39412009803921566"/>
  </r>
  <r>
    <x v="1"/>
    <d v="2021-09-24T00:00:00"/>
    <s v="G"/>
    <x v="6"/>
    <x v="76"/>
    <m/>
    <m/>
    <s v="RPP 120ML ABSTRCT BLU BOTLE PNTD WM3GB W/BIS LOGO"/>
    <s v="EH28Bb1I24Pa"/>
    <s v="Pintu"/>
    <n v="2.9"/>
    <n v="1200"/>
    <n v="413.79310344827587"/>
    <n v="1425"/>
    <n v="1402"/>
    <n v="0"/>
    <n v="0"/>
    <n v="17"/>
    <n v="0"/>
    <n v="23"/>
    <n v="0"/>
    <n v="6"/>
    <n v="233.66666666666666"/>
    <n v="1.1683333333333332"/>
    <x v="30"/>
    <n v="0"/>
    <n v="0"/>
    <s v=" "/>
    <n v="1.6140350877192983E-2"/>
    <n v="0"/>
    <n v="0.98385964912280699"/>
    <n v="0.5"/>
    <n v="2.4"/>
    <n v="0.82758620689655171"/>
    <n v="483.44827586206895"/>
    <n v="32.4"/>
    <n v="36.975748930099854"/>
    <n v="0.87625000000000008"/>
    <n v="0.7134678765880218"/>
  </r>
  <r>
    <x v="1"/>
    <d v="2021-09-24T00:00:00"/>
    <s v="G"/>
    <x v="6"/>
    <x v="46"/>
    <m/>
    <m/>
    <s v="RPP 120ML ABSTRCT PNK BOTLE PNTD WM3GB W/BIS LOGO"/>
    <s v="EH27Bc1I24Pa"/>
    <s v="Pintu"/>
    <n v="1.4"/>
    <n v="650"/>
    <n v="464.28571428571433"/>
    <n v="791"/>
    <n v="770"/>
    <n v="0"/>
    <n v="0"/>
    <n v="15"/>
    <n v="0"/>
    <n v="21"/>
    <n v="0"/>
    <n v="6"/>
    <n v="128.33333333333334"/>
    <n v="1.1846153846153846"/>
    <x v="34"/>
    <n v="0"/>
    <n v="0"/>
    <s v=" "/>
    <n v="2.6548672566371681E-2"/>
    <n v="0"/>
    <n v="0.97345132743362828"/>
    <n v="0"/>
    <n v="1.4"/>
    <n v="1"/>
    <n v="550"/>
    <n v="32.4"/>
    <n v="39.272727272727266"/>
    <n v="0.82500000000000007"/>
    <n v="0.80309734513274345"/>
  </r>
  <r>
    <x v="1"/>
    <d v="2021-09-24T00:00:00"/>
    <s v="B"/>
    <x v="5"/>
    <x v="12"/>
    <m/>
    <s v="Recycle"/>
    <s v="CAP S TYPE MOLDED PINK"/>
    <s v="EI24CRb"/>
    <s v="Badelal"/>
    <n v="2"/>
    <n v="1034"/>
    <n v="517"/>
    <n v="1456"/>
    <n v="1450"/>
    <n v="0.6"/>
    <n v="0"/>
    <n v="0"/>
    <n v="0"/>
    <n v="6"/>
    <n v="0"/>
    <n v="1"/>
    <n v="1450"/>
    <n v="1.4023210831721471"/>
    <x v="10"/>
    <n v="7.3"/>
    <n v="11.2288"/>
    <n v="0.94266528925619841"/>
    <n v="4.120879120879121E-3"/>
    <n v="0"/>
    <n v="0.99587912087912089"/>
    <n v="0"/>
    <n v="2"/>
    <n v="1"/>
    <n v="725"/>
    <n v="6"/>
    <n v="4.9655172413793105"/>
    <n v="1.2083333333333333"/>
    <n v="1.2033539377289377"/>
  </r>
  <r>
    <x v="1"/>
    <d v="2021-09-24T00:00:00"/>
    <s v="G"/>
    <x v="4"/>
    <x v="69"/>
    <m/>
    <m/>
    <s v="NIPPLE S TYPE Y SIZE PUNCHED INSPECTED"/>
    <s v="HEI12AH22"/>
    <s v="Badelal"/>
    <n v="5"/>
    <n v="8060"/>
    <n v="1612"/>
    <n v="8043"/>
    <n v="8004"/>
    <n v="0"/>
    <n v="0"/>
    <n v="0"/>
    <n v="0"/>
    <n v="39"/>
    <n v="0"/>
    <n v="2"/>
    <n v="4002"/>
    <n v="0.9930521091811414"/>
    <x v="44"/>
    <n v="0"/>
    <n v="0"/>
    <s v=" "/>
    <n v="4.8489369638194703E-3"/>
    <n v="0"/>
    <n v="0.99515106303618051"/>
    <n v="0"/>
    <n v="5"/>
    <n v="1"/>
    <n v="1600.8"/>
    <n v="4"/>
    <n v="4.497751124437781"/>
    <n v="0.88933333333333331"/>
    <n v="0.88502101206017647"/>
  </r>
  <r>
    <x v="1"/>
    <d v="2021-09-24T00:00:00"/>
    <s v="G"/>
    <x v="4"/>
    <x v="16"/>
    <m/>
    <m/>
    <s v="NIPPLE S TYPE S SIZE PUNCHED INSPECTED"/>
    <s v="HEI23AH22"/>
    <s v="Badelal"/>
    <n v="3"/>
    <n v="6122"/>
    <n v="2040.6666666666667"/>
    <n v="5700"/>
    <n v="5683"/>
    <n v="0"/>
    <n v="0"/>
    <n v="0"/>
    <n v="0"/>
    <n v="17"/>
    <n v="0"/>
    <n v="2"/>
    <n v="2841.5"/>
    <n v="0.92829140803658938"/>
    <x v="13"/>
    <n v="0"/>
    <n v="0"/>
    <s v=" "/>
    <n v="2.9824561403508773E-3"/>
    <n v="0"/>
    <n v="0.99701754385964914"/>
    <n v="0.83333333333333337"/>
    <n v="2.1666666666666665"/>
    <n v="0.72222222222222221"/>
    <n v="1894.3333333333333"/>
    <n v="4"/>
    <n v="2.745029033960936"/>
    <n v="1.4571794871794872"/>
    <n v="1.0492686484730345"/>
  </r>
  <r>
    <x v="1"/>
    <d v="2021-09-24T00:00:00"/>
    <s v="G"/>
    <x v="7"/>
    <x v="27"/>
    <m/>
    <m/>
    <s v="NIPPLE S TYPE L SIZE WITH PRINTED WRAP"/>
    <s v="HEI14AH22"/>
    <s v="Badelal"/>
    <n v="8"/>
    <n v="16132"/>
    <n v="2016.5"/>
    <n v="15184"/>
    <n v="15182"/>
    <n v="0"/>
    <n v="0"/>
    <n v="0"/>
    <n v="0"/>
    <n v="2"/>
    <n v="0"/>
    <n v="2"/>
    <n v="7591"/>
    <n v="0.94111083560624842"/>
    <x v="22"/>
    <n v="0"/>
    <n v="0"/>
    <s v=" "/>
    <n v="1.3171759747102212E-4"/>
    <n v="0"/>
    <n v="0.99986828240252901"/>
    <n v="0.83333333333333337"/>
    <n v="7.166666666666667"/>
    <n v="0.89583333333333337"/>
    <n v="1897.75"/>
    <n v="2.5"/>
    <n v="3.3987616914767487"/>
    <n v="0.73556201550387601"/>
    <n v="0.65885417810048597"/>
  </r>
  <r>
    <x v="1"/>
    <d v="2021-09-24T00:00:00"/>
    <s v="B"/>
    <x v="0"/>
    <x v="10"/>
    <s v="M2"/>
    <s v="L2"/>
    <s v="NIPPLE S TYPE S SIZE INJECTION"/>
    <s v="HEI24Nb"/>
    <s v="Badelal"/>
    <n v="8"/>
    <n v="4815"/>
    <n v="601.875"/>
    <n v="5110"/>
    <n v="5000"/>
    <n v="0"/>
    <n v="50"/>
    <n v="0"/>
    <n v="0"/>
    <n v="60"/>
    <n v="0"/>
    <n v="1"/>
    <n v="5000"/>
    <n v="1.0384215991692627"/>
    <x v="0"/>
    <n v="6.8"/>
    <n v="34.747999999999998"/>
    <n v="0.9784735812133073"/>
    <n v="1.1857707509881422E-2"/>
    <n v="9.6899224806201549E-3"/>
    <n v="0.98825831702544031"/>
    <n v="0"/>
    <n v="8"/>
    <n v="1"/>
    <n v="625"/>
    <n v="5.25"/>
    <n v="5.76"/>
    <n v="0.91145833333333337"/>
    <n v="0.90075627853881279"/>
  </r>
  <r>
    <x v="1"/>
    <d v="2021-09-24T00:00:00"/>
    <s v="B"/>
    <x v="1"/>
    <x v="35"/>
    <s v="BM5"/>
    <s v="B1"/>
    <s v="RPP 240 ML BOTTLE MOLDED"/>
    <s v="EI24Bb1"/>
    <s v="Badelal"/>
    <n v="8"/>
    <n v="2574"/>
    <n v="321.75"/>
    <n v="2739"/>
    <n v="2640"/>
    <n v="0"/>
    <n v="37"/>
    <n v="0"/>
    <n v="0"/>
    <n v="62"/>
    <n v="0"/>
    <n v="1"/>
    <n v="2640"/>
    <n v="1.0256410256410255"/>
    <x v="1"/>
    <n v="32.1"/>
    <n v="87.921900000000008"/>
    <n v="0.96385542168674709"/>
    <n v="2.2945965951147299E-2"/>
    <n v="1.3328530259365994E-2"/>
    <n v="0.97736400146038704"/>
    <n v="0"/>
    <n v="8"/>
    <n v="1"/>
    <n v="330"/>
    <n v="9"/>
    <n v="10.909090909090908"/>
    <n v="0.82500000000000007"/>
    <n v="0.80632530120481938"/>
  </r>
  <r>
    <x v="1"/>
    <d v="2021-09-24T00:00:00"/>
    <s v="B"/>
    <x v="3"/>
    <x v="15"/>
    <m/>
    <m/>
    <s v="NIPPLE S TYPE S SIZE PUNCHED"/>
    <s v="HEI24NcI24pb"/>
    <s v="Badelal"/>
    <n v="8"/>
    <n v="7000"/>
    <n v="875"/>
    <n v="7300"/>
    <n v="7300"/>
    <n v="0"/>
    <n v="0"/>
    <n v="0"/>
    <n v="0"/>
    <n v="0"/>
    <n v="0"/>
    <n v="1"/>
    <n v="7300"/>
    <n v="1.0428571428571429"/>
    <x v="12"/>
    <n v="0"/>
    <n v="0"/>
    <s v=" "/>
    <n v="0"/>
    <n v="0"/>
    <n v="1"/>
    <n v="0"/>
    <n v="8"/>
    <n v="1"/>
    <n v="912.5"/>
    <n v="3.5"/>
    <n v="3.9452054794520546"/>
    <n v="0.88715277777777779"/>
    <n v="0.88715277777777779"/>
  </r>
  <r>
    <x v="1"/>
    <d v="2021-09-24T00:00:00"/>
    <s v="B"/>
    <x v="8"/>
    <x v="25"/>
    <m/>
    <m/>
    <s v="NIPPLE S TYPE S SIZE PUNCHED LASER MARKED"/>
    <m/>
    <s v="Badelal"/>
    <n v="8"/>
    <n v="7000"/>
    <n v="875"/>
    <n v="7300"/>
    <n v="7300"/>
    <n v="0"/>
    <n v="0"/>
    <n v="0"/>
    <n v="0"/>
    <n v="0"/>
    <n v="0"/>
    <n v="1"/>
    <n v="7300"/>
    <n v="1.0428571428571429"/>
    <x v="20"/>
    <n v="0"/>
    <n v="0"/>
    <s v=" "/>
    <n v="0"/>
    <n v="0"/>
    <n v="1"/>
    <n v="0"/>
    <n v="8"/>
    <n v="1"/>
    <n v="912.5"/>
    <n v="3.5"/>
    <n v="3.9452054794520546"/>
    <n v="0.88715277777777779"/>
    <n v="0.88715277777777779"/>
  </r>
  <r>
    <x v="1"/>
    <d v="2021-09-24T00:00:00"/>
    <s v="B"/>
    <x v="5"/>
    <x v="19"/>
    <m/>
    <s v="Vergin"/>
    <s v="CAP S TYPE MOLDED BLUE"/>
    <s v="EI24Cb"/>
    <s v="Badelal"/>
    <n v="6"/>
    <n v="3200"/>
    <n v="533.33333333333337"/>
    <n v="3000"/>
    <n v="3000"/>
    <n v="0"/>
    <n v="0"/>
    <n v="0"/>
    <n v="0"/>
    <n v="0"/>
    <n v="0"/>
    <n v="1"/>
    <n v="3000"/>
    <n v="0.9375"/>
    <x v="15"/>
    <n v="7.3"/>
    <n v="21.9"/>
    <n v="1"/>
    <n v="0"/>
    <n v="0"/>
    <n v="1"/>
    <n v="0"/>
    <n v="6"/>
    <n v="1"/>
    <n v="500"/>
    <n v="6"/>
    <n v="7.2"/>
    <n v="0.83333333333333326"/>
    <n v="0.83333333333333326"/>
  </r>
  <r>
    <x v="1"/>
    <d v="2021-09-24T00:00:00"/>
    <s v="C"/>
    <x v="5"/>
    <x v="19"/>
    <m/>
    <s v="Vergin"/>
    <s v="CAP S TYPE MOLDED BLUE"/>
    <s v="EI24Cc"/>
    <s v="Saurabh"/>
    <n v="6"/>
    <n v="3137"/>
    <n v="522.83333333333337"/>
    <n v="3750"/>
    <n v="3750"/>
    <n v="0"/>
    <n v="0"/>
    <n v="0"/>
    <n v="0"/>
    <n v="0"/>
    <n v="0"/>
    <n v="1"/>
    <n v="3750"/>
    <n v="1.1954096270321963"/>
    <x v="15"/>
    <n v="7.3"/>
    <n v="27.375"/>
    <n v="1"/>
    <n v="0"/>
    <n v="0"/>
    <n v="1"/>
    <n v="0"/>
    <n v="6"/>
    <n v="1"/>
    <n v="625"/>
    <n v="6"/>
    <n v="5.76"/>
    <n v="1.0416666666666667"/>
    <n v="1.0416666666666667"/>
  </r>
  <r>
    <x v="1"/>
    <d v="2021-09-24T00:00:00"/>
    <s v="C"/>
    <x v="5"/>
    <x v="19"/>
    <m/>
    <s v="Recycle"/>
    <s v="CAP S TYPE MOLDED BLUE"/>
    <s v="EI24CRc"/>
    <s v="Saurabh"/>
    <n v="2"/>
    <n v="1000"/>
    <n v="500"/>
    <n v="1005"/>
    <n v="1000"/>
    <n v="0"/>
    <n v="0"/>
    <n v="0"/>
    <n v="0"/>
    <n v="5"/>
    <n v="0"/>
    <n v="1"/>
    <n v="1000"/>
    <n v="1"/>
    <x v="15"/>
    <n v="7.3"/>
    <n v="7.3365"/>
    <n v="0.99502487562189057"/>
    <n v="4.9751243781094526E-3"/>
    <n v="0"/>
    <n v="0.99502487562189057"/>
    <n v="0"/>
    <n v="2"/>
    <n v="1"/>
    <n v="500"/>
    <n v="6"/>
    <n v="7.2"/>
    <n v="0.83333333333333326"/>
    <n v="0.82918739635157546"/>
  </r>
  <r>
    <x v="1"/>
    <d v="2021-09-24T00:00:00"/>
    <s v="C"/>
    <x v="0"/>
    <x v="10"/>
    <s v="M2"/>
    <s v="L2"/>
    <s v="NIPPLE S TYPE S SIZE INJECTION"/>
    <s v="HEI24Nc"/>
    <s v="Saurabh"/>
    <n v="8"/>
    <n v="4815"/>
    <n v="601.875"/>
    <n v="5413"/>
    <n v="5300"/>
    <n v="0"/>
    <n v="37"/>
    <n v="0"/>
    <n v="0"/>
    <n v="68"/>
    <n v="8"/>
    <n v="1"/>
    <n v="5300"/>
    <n v="1.1007268951194185"/>
    <x v="0"/>
    <n v="6.8"/>
    <n v="36.808399999999999"/>
    <n v="0.97912433031590618"/>
    <n v="1.2667660208643815E-2"/>
    <n v="6.7889908256880734E-3"/>
    <n v="0.98743765010160722"/>
    <n v="0"/>
    <n v="8"/>
    <n v="1"/>
    <n v="662.5"/>
    <n v="5.25"/>
    <n v="5.4339622641509431"/>
    <n v="0.96614583333333337"/>
    <n v="0.9540087713221258"/>
  </r>
  <r>
    <x v="1"/>
    <d v="2021-09-25T00:00:00"/>
    <s v="A"/>
    <x v="0"/>
    <x v="10"/>
    <s v="M2"/>
    <s v="L2"/>
    <s v="NIPPLE S TYPE S SIZE INJECTION"/>
    <s v="HEI25Na"/>
    <s v="Nitin"/>
    <n v="8"/>
    <n v="4815"/>
    <n v="601.875"/>
    <n v="4308"/>
    <n v="4200"/>
    <n v="0"/>
    <n v="40"/>
    <n v="0"/>
    <n v="0"/>
    <n v="60"/>
    <n v="8"/>
    <n v="1"/>
    <n v="4200"/>
    <n v="0.87227414330218067"/>
    <x v="0"/>
    <n v="6.8"/>
    <n v="29.2944"/>
    <n v="0.97493036211699158"/>
    <n v="1.4084507042253521E-2"/>
    <n v="9.1996320147194107E-3"/>
    <n v="0.98607242339832868"/>
    <n v="1.8333333333333333"/>
    <n v="6.166666666666667"/>
    <n v="0.77083333333333337"/>
    <n v="525"/>
    <n v="5.25"/>
    <n v="5.2857142857142856"/>
    <n v="0.99324324324324331"/>
    <n v="0.75496169916434552"/>
  </r>
  <r>
    <x v="1"/>
    <d v="2021-09-25T00:00:00"/>
    <s v="A"/>
    <x v="3"/>
    <x v="15"/>
    <m/>
    <s v="P1"/>
    <s v="NIPPLE S TYPE S SIZE PUNCHED"/>
    <s v="HEI24NcI25Pa"/>
    <s v="Nitin"/>
    <n v="8"/>
    <n v="7000"/>
    <n v="875"/>
    <n v="7150"/>
    <n v="7150"/>
    <n v="0"/>
    <n v="0"/>
    <n v="0"/>
    <n v="0"/>
    <n v="0"/>
    <n v="0"/>
    <n v="1"/>
    <n v="7150"/>
    <n v="1.0214285714285714"/>
    <x v="12"/>
    <n v="0"/>
    <n v="0"/>
    <s v=" "/>
    <n v="0"/>
    <n v="0"/>
    <n v="1"/>
    <n v="0.66666666666666663"/>
    <n v="7.333333333333333"/>
    <n v="0.91666666666666663"/>
    <n v="893.75"/>
    <n v="3.5"/>
    <n v="3.6923076923076925"/>
    <n v="0.94791666666666663"/>
    <n v="0.86892361111111105"/>
  </r>
  <r>
    <x v="1"/>
    <d v="2021-09-25T00:00:00"/>
    <s v="A"/>
    <x v="8"/>
    <x v="25"/>
    <m/>
    <s v="LZ1"/>
    <s v="NIPPLE S TYPE S SIZE PUNCHED LASER MARKED"/>
    <m/>
    <s v="Nitin"/>
    <n v="8"/>
    <n v="7000"/>
    <n v="875"/>
    <n v="6700"/>
    <n v="6700"/>
    <n v="0"/>
    <n v="0"/>
    <n v="0"/>
    <n v="0"/>
    <n v="0"/>
    <n v="0"/>
    <n v="1"/>
    <n v="6700"/>
    <n v="0.95714285714285718"/>
    <x v="20"/>
    <n v="0"/>
    <n v="0"/>
    <s v=" "/>
    <n v="0"/>
    <n v="0"/>
    <n v="1"/>
    <n v="0.66666666666666663"/>
    <n v="7.333333333333333"/>
    <n v="0.91666666666666663"/>
    <n v="837.5"/>
    <n v="3.5"/>
    <n v="3.9402985074626864"/>
    <n v="0.8882575757575758"/>
    <n v="0.81423611111111116"/>
  </r>
  <r>
    <x v="1"/>
    <d v="2021-09-25T00:00:00"/>
    <s v="A"/>
    <x v="1"/>
    <x v="77"/>
    <s v="BM1"/>
    <s v="B2"/>
    <s v="KPP BOTTLE 120 ML MOULDED-WMG3B"/>
    <s v="EI25Ba2"/>
    <s v="Nitin"/>
    <n v="5"/>
    <n v="1575"/>
    <n v="315"/>
    <n v="1524"/>
    <n v="1440"/>
    <n v="1.4"/>
    <n v="44"/>
    <n v="0"/>
    <n v="0"/>
    <n v="32"/>
    <n v="8"/>
    <n v="1"/>
    <n v="1440"/>
    <n v="0.91428571428571426"/>
    <x v="7"/>
    <n v="22.7"/>
    <n v="35.994799999999998"/>
    <n v="0.90813117450298364"/>
    <n v="2.1739130434782608E-2"/>
    <n v="2.8061224489795918E-2"/>
    <n v="0.97900262467191601"/>
    <n v="1"/>
    <n v="4"/>
    <n v="0.8"/>
    <n v="288"/>
    <n v="9"/>
    <n v="10"/>
    <n v="0.9"/>
    <n v="0.70488188976377952"/>
  </r>
  <r>
    <x v="1"/>
    <d v="2021-09-25T00:00:00"/>
    <s v="A"/>
    <x v="5"/>
    <x v="19"/>
    <m/>
    <s v="Recycle"/>
    <s v="CAP S TYPE MOLDED BLUE"/>
    <s v="EI25CRa"/>
    <s v="Nitin"/>
    <n v="8"/>
    <n v="4137"/>
    <n v="517.125"/>
    <n v="4300"/>
    <n v="4300"/>
    <n v="0"/>
    <n v="0"/>
    <n v="0"/>
    <n v="0"/>
    <n v="0"/>
    <n v="0"/>
    <n v="1"/>
    <n v="4300"/>
    <n v="1.0394005317863186"/>
    <x v="15"/>
    <n v="7.3"/>
    <n v="31.39"/>
    <n v="1"/>
    <n v="0"/>
    <n v="0"/>
    <n v="1"/>
    <n v="0"/>
    <n v="8"/>
    <n v="1"/>
    <n v="537.5"/>
    <n v="6"/>
    <n v="6.6976744186046515"/>
    <n v="0.89583333333333326"/>
    <n v="0.89583333333333326"/>
  </r>
  <r>
    <x v="1"/>
    <d v="2021-09-25T00:00:00"/>
    <s v="G"/>
    <x v="6"/>
    <x v="45"/>
    <m/>
    <m/>
    <s v="RPP 120ML FLORAL PNK BOTLE PNTD WM3GB W/BIS LOGO"/>
    <s v="EH28Ba1I25Pa"/>
    <s v="Pintu"/>
    <n v="3"/>
    <n v="1300"/>
    <n v="433.33333333333331"/>
    <n v="1193"/>
    <n v="1175"/>
    <n v="0"/>
    <n v="0"/>
    <n v="21"/>
    <n v="0"/>
    <n v="18"/>
    <n v="0"/>
    <n v="5"/>
    <n v="235"/>
    <n v="0.90384615384615385"/>
    <x v="34"/>
    <n v="0"/>
    <n v="0"/>
    <s v=" "/>
    <n v="1.5088013411567477E-2"/>
    <n v="0"/>
    <n v="0.98491198658843249"/>
    <n v="0.66666666666666663"/>
    <n v="2.3333333333333335"/>
    <n v="0.77777777777777779"/>
    <n v="391.66666666666669"/>
    <n v="32.4"/>
    <n v="35.744680851063833"/>
    <n v="0.90642857142857125"/>
    <n v="0.69436295054484476"/>
  </r>
  <r>
    <x v="1"/>
    <d v="2021-09-25T00:00:00"/>
    <s v="G"/>
    <x v="6"/>
    <x v="44"/>
    <m/>
    <m/>
    <s v="RPP 240ML FLORAL PNK BOTLE PNTD WM3GB W/BIS LOGO"/>
    <s v="EI02Bb2I25Pa"/>
    <s v="Pintu"/>
    <n v="2.5"/>
    <n v="1050"/>
    <n v="420"/>
    <n v="913"/>
    <n v="902"/>
    <n v="0"/>
    <n v="0"/>
    <n v="4"/>
    <n v="0"/>
    <n v="11"/>
    <n v="0"/>
    <n v="5"/>
    <n v="180.4"/>
    <n v="0.85904761904761906"/>
    <x v="33"/>
    <n v="0"/>
    <n v="0"/>
    <s v=" "/>
    <n v="1.2048192771084338E-2"/>
    <n v="0"/>
    <n v="0.98795180722891562"/>
    <n v="0.5"/>
    <n v="2"/>
    <n v="0.8"/>
    <n v="360.8"/>
    <n v="32.4"/>
    <n v="39.911308203991133"/>
    <n v="0.81179999999999997"/>
    <n v="0.64161542168674701"/>
  </r>
  <r>
    <x v="1"/>
    <d v="2021-09-25T00:00:00"/>
    <s v="G"/>
    <x v="6"/>
    <x v="78"/>
    <m/>
    <m/>
    <s v="RPP 240ML FLORAL BLUE BOTLE PNTD WM3GB W/BIS LOGO"/>
    <m/>
    <s v="Pintu"/>
    <n v="3"/>
    <n v="1300"/>
    <n v="433.33333333333331"/>
    <n v="988"/>
    <n v="972"/>
    <n v="0"/>
    <n v="0"/>
    <n v="19"/>
    <n v="0"/>
    <n v="16"/>
    <n v="0"/>
    <n v="5"/>
    <n v="194.4"/>
    <n v="0.74769230769230766"/>
    <x v="42"/>
    <n v="0"/>
    <n v="0"/>
    <s v=" "/>
    <n v="1.6194331983805668E-2"/>
    <n v="0"/>
    <n v="0.98380566801619429"/>
    <n v="0.83333333333333337"/>
    <n v="2.1666666666666665"/>
    <n v="0.72222222222222221"/>
    <n v="324"/>
    <n v="32.4"/>
    <n v="40.123456790123448"/>
    <n v="0.80750769230769248"/>
    <n v="0.5737554655870446"/>
  </r>
  <r>
    <x v="1"/>
    <d v="2021-09-25T00:00:00"/>
    <s v="G"/>
    <x v="4"/>
    <x v="16"/>
    <m/>
    <m/>
    <s v="NIPPLE S TYPE S SIZE PUNCHED INSPECTED"/>
    <s v="HEI23AH22"/>
    <s v="Badelal"/>
    <n v="8"/>
    <n v="14182"/>
    <n v="1772.75"/>
    <n v="14000"/>
    <n v="13816"/>
    <n v="0"/>
    <n v="0"/>
    <n v="0"/>
    <n v="0"/>
    <n v="184"/>
    <n v="0"/>
    <n v="2"/>
    <n v="6908"/>
    <n v="0.97419263855591598"/>
    <x v="13"/>
    <n v="0"/>
    <n v="0"/>
    <s v=" "/>
    <n v="1.3142857142857144E-2"/>
    <n v="0"/>
    <n v="0.98685714285714288"/>
    <n v="0.83333333333333337"/>
    <n v="7.166666666666667"/>
    <n v="0.89583333333333337"/>
    <n v="1727"/>
    <n v="4"/>
    <n v="3.7348002316155182"/>
    <n v="1.0710077519379846"/>
    <n v="0.94683460317460333"/>
  </r>
  <r>
    <x v="1"/>
    <d v="2021-09-25T00:00:00"/>
    <s v="G"/>
    <x v="7"/>
    <x v="71"/>
    <m/>
    <m/>
    <s v="NIPPLE S TYPE Y SIZE WITH PRINTED WRAP"/>
    <s v="HEI21AH22"/>
    <s v="Badelal"/>
    <n v="2"/>
    <n v="4034"/>
    <n v="2017"/>
    <n v="6377"/>
    <n v="6377"/>
    <n v="0"/>
    <n v="0"/>
    <n v="0"/>
    <n v="0"/>
    <n v="0"/>
    <n v="0"/>
    <n v="2"/>
    <n v="3188.5"/>
    <n v="1.580813088745662"/>
    <x v="43"/>
    <n v="0"/>
    <n v="0"/>
    <s v=" "/>
    <n v="0"/>
    <n v="0"/>
    <n v="1"/>
    <n v="0.83333333333333337"/>
    <n v="1.1666666666666665"/>
    <n v="0.58333333333333326"/>
    <n v="3188.5"/>
    <n v="2.5"/>
    <n v="1.3172338090010973"/>
    <n v="1.8979166666666671"/>
    <n v="1.1071180555555558"/>
  </r>
  <r>
    <x v="1"/>
    <d v="2021-09-25T00:00:00"/>
    <s v="G"/>
    <x v="7"/>
    <x v="27"/>
    <m/>
    <m/>
    <s v="NIPPLE S TYPE L SIZE WITH PRINTED WRAP"/>
    <s v="HEI14BH22"/>
    <s v="Badelal"/>
    <n v="6"/>
    <n v="12108"/>
    <n v="2018"/>
    <n v="11590"/>
    <n v="11580"/>
    <n v="0"/>
    <n v="0"/>
    <n v="0"/>
    <n v="0"/>
    <n v="10"/>
    <n v="0"/>
    <n v="2"/>
    <n v="5790"/>
    <n v="0.95639246778989095"/>
    <x v="22"/>
    <n v="0"/>
    <n v="0"/>
    <s v=" "/>
    <n v="8.6281276962899055E-4"/>
    <n v="0"/>
    <n v="0.99913718723037104"/>
    <n v="0"/>
    <n v="6"/>
    <n v="1"/>
    <n v="1930"/>
    <n v="2.5"/>
    <n v="3.7305699481865284"/>
    <n v="0.67013888888888895"/>
    <n v="0.66956068449813066"/>
  </r>
  <r>
    <x v="1"/>
    <d v="2021-09-25T00:00:00"/>
    <s v="B"/>
    <x v="1"/>
    <x v="77"/>
    <m/>
    <s v="B2"/>
    <s v="KPP BOTTLE 120 ML MOULDED-WMG3B"/>
    <s v="EI25Bb2"/>
    <s v="Badelal"/>
    <n v="4"/>
    <n v="1260"/>
    <n v="315"/>
    <n v="938"/>
    <n v="808"/>
    <n v="0"/>
    <n v="80"/>
    <n v="0"/>
    <n v="0"/>
    <n v="50"/>
    <n v="0"/>
    <n v="1"/>
    <n v="808"/>
    <n v="0.64126984126984132"/>
    <x v="7"/>
    <n v="22.7"/>
    <n v="21.292599999999997"/>
    <n v="0.86140724946695113"/>
    <n v="5.8275058275058272E-2"/>
    <n v="7.8585461689587424E-2"/>
    <n v="0.94669509594882728"/>
    <n v="2"/>
    <n v="2"/>
    <n v="0.5"/>
    <n v="202"/>
    <n v="9"/>
    <n v="8.9108910891089117"/>
    <n v="1.01"/>
    <n v="0.47808102345415776"/>
  </r>
  <r>
    <x v="1"/>
    <d v="2021-09-25T00:00:00"/>
    <s v="B"/>
    <x v="5"/>
    <x v="19"/>
    <m/>
    <s v="Recycle"/>
    <s v="CAP S TYPE MOLDED BLUE"/>
    <s v="EI25CRb"/>
    <s v="Badelal"/>
    <n v="7"/>
    <n v="3619"/>
    <n v="517"/>
    <n v="3235"/>
    <n v="3235"/>
    <n v="2.2999999999999998"/>
    <n v="0"/>
    <n v="0"/>
    <n v="0"/>
    <n v="0"/>
    <n v="0"/>
    <n v="1"/>
    <n v="3235"/>
    <n v="0.89389334070185134"/>
    <x v="15"/>
    <n v="7.3"/>
    <n v="25.915500000000002"/>
    <n v="0.9112500241168412"/>
    <n v="0"/>
    <n v="0"/>
    <n v="1"/>
    <n v="0"/>
    <n v="7"/>
    <n v="1"/>
    <n v="462.14285714285717"/>
    <n v="6"/>
    <n v="7.7897990726429676"/>
    <n v="0.77023809523809528"/>
    <n v="0.77023809523809528"/>
  </r>
  <r>
    <x v="1"/>
    <d v="2021-09-25T00:00:00"/>
    <s v="B"/>
    <x v="0"/>
    <x v="10"/>
    <s v="M2"/>
    <s v="L2"/>
    <s v="NIPPLE S TYPE S SIZE INJECTION"/>
    <s v="HEI25Nb"/>
    <s v="Badelal"/>
    <n v="8"/>
    <n v="4815"/>
    <n v="601.875"/>
    <n v="5298"/>
    <n v="5200"/>
    <n v="0"/>
    <n v="45"/>
    <n v="0"/>
    <n v="0"/>
    <n v="53"/>
    <n v="0"/>
    <n v="1"/>
    <n v="5200"/>
    <n v="1.0799584631360333"/>
    <x v="0"/>
    <n v="6.8"/>
    <n v="36.026399999999995"/>
    <n v="0.98150245375613454"/>
    <n v="1.0089472682276794E-2"/>
    <n v="8.4222346996069616E-3"/>
    <n v="0.9899962249905625"/>
    <n v="0"/>
    <n v="8"/>
    <n v="1"/>
    <n v="650"/>
    <n v="5.25"/>
    <n v="5.5384615384615383"/>
    <n v="0.94791666666666674"/>
    <n v="0.93843392160563743"/>
  </r>
  <r>
    <x v="1"/>
    <d v="2021-09-25T00:00:00"/>
    <s v="B"/>
    <x v="3"/>
    <x v="15"/>
    <m/>
    <m/>
    <s v="NIPPLE S TYPE S SIZE PUNCHED"/>
    <s v="HEI24NcI25Pb"/>
    <s v="Badelal"/>
    <n v="8"/>
    <n v="7000"/>
    <n v="875"/>
    <n v="7000"/>
    <n v="7000"/>
    <n v="0"/>
    <n v="0"/>
    <n v="0"/>
    <n v="0"/>
    <n v="0"/>
    <n v="0"/>
    <n v="1"/>
    <n v="7000"/>
    <n v="1"/>
    <x v="12"/>
    <n v="0"/>
    <n v="0"/>
    <s v=" "/>
    <n v="0"/>
    <n v="0"/>
    <n v="1"/>
    <n v="0.66666666666666663"/>
    <n v="7.333333333333333"/>
    <n v="0.91666666666666663"/>
    <n v="875"/>
    <n v="3.5"/>
    <n v="3.7714285714285714"/>
    <n v="0.92803030303030309"/>
    <n v="0.85069444444444442"/>
  </r>
  <r>
    <x v="1"/>
    <d v="2021-09-25T00:00:00"/>
    <s v="B"/>
    <x v="8"/>
    <x v="25"/>
    <m/>
    <m/>
    <s v="NIPPLE S TYPE S SIZE PUNCHED LASER MARKED"/>
    <s v="HEI24AH22"/>
    <s v="Badelal"/>
    <n v="8"/>
    <n v="7000"/>
    <n v="875"/>
    <n v="6800"/>
    <n v="6800"/>
    <n v="0"/>
    <n v="0"/>
    <n v="0"/>
    <n v="0"/>
    <n v="0"/>
    <n v="0"/>
    <n v="1"/>
    <n v="6800"/>
    <n v="0.97142857142857142"/>
    <x v="20"/>
    <n v="0"/>
    <n v="0"/>
    <s v=" "/>
    <n v="0"/>
    <n v="0"/>
    <n v="1"/>
    <n v="0.66666666666666663"/>
    <n v="7.333333333333333"/>
    <n v="0.91666666666666663"/>
    <n v="850"/>
    <n v="3.5"/>
    <n v="3.8823529411764706"/>
    <n v="0.90151515151515149"/>
    <n v="0.82638888888888884"/>
  </r>
  <r>
    <x v="1"/>
    <d v="2021-09-25T00:00:00"/>
    <s v="C"/>
    <x v="0"/>
    <x v="10"/>
    <s v="M2"/>
    <s v="L2"/>
    <s v="NIPPLE S TYPE S SIZE INJECTION"/>
    <s v="HEI25Nc"/>
    <s v="Saurabh"/>
    <n v="8"/>
    <n v="4815"/>
    <n v="601.875"/>
    <n v="4108"/>
    <n v="4000"/>
    <n v="0.7"/>
    <n v="38"/>
    <n v="0"/>
    <n v="0"/>
    <n v="62"/>
    <n v="8"/>
    <n v="1"/>
    <n v="4000"/>
    <n v="0.83073727933541019"/>
    <x v="0"/>
    <n v="6.8"/>
    <n v="28.634399999999999"/>
    <n v="0.94990640628055767"/>
    <n v="1.5263417035942885E-2"/>
    <n v="9.1654606849975884E-3"/>
    <n v="0.98490749756572538"/>
    <n v="1"/>
    <n v="7"/>
    <n v="0.875"/>
    <n v="500"/>
    <n v="5.25"/>
    <n v="6.3"/>
    <n v="0.83333333333333337"/>
    <n v="0.71816171697500808"/>
  </r>
  <r>
    <x v="1"/>
    <d v="2021-09-25T00:00:00"/>
    <s v="C"/>
    <x v="5"/>
    <x v="19"/>
    <m/>
    <s v="Vergin"/>
    <s v="CAP S TYPE MOLDED BLUE"/>
    <s v="EI25Cc"/>
    <s v="Saurabh"/>
    <n v="6"/>
    <n v="3102"/>
    <n v="517"/>
    <n v="3180"/>
    <n v="3180"/>
    <n v="0"/>
    <n v="0"/>
    <n v="0"/>
    <n v="0"/>
    <n v="0"/>
    <n v="0"/>
    <n v="1"/>
    <n v="3180"/>
    <n v="1.0251450676982592"/>
    <x v="15"/>
    <n v="7.3"/>
    <n v="23.213999999999999"/>
    <n v="1"/>
    <n v="0"/>
    <n v="0"/>
    <n v="1"/>
    <n v="0"/>
    <n v="6"/>
    <n v="1"/>
    <n v="530"/>
    <n v="6"/>
    <n v="6.7924528301886795"/>
    <n v="0.8833333333333333"/>
    <n v="0.8833333333333333"/>
  </r>
  <r>
    <x v="1"/>
    <d v="2021-09-25T00:00:00"/>
    <s v="C"/>
    <x v="5"/>
    <x v="19"/>
    <m/>
    <s v="Recycle"/>
    <s v="CAP S TYPE MOLDED BLUE"/>
    <s v="EI25CRc"/>
    <s v="Saurabh"/>
    <n v="2"/>
    <n v="1034"/>
    <n v="517"/>
    <n v="1326"/>
    <n v="1320"/>
    <n v="0"/>
    <n v="0"/>
    <n v="0"/>
    <n v="0"/>
    <n v="6"/>
    <n v="0"/>
    <n v="1"/>
    <n v="1320"/>
    <n v="1.2765957446808511"/>
    <x v="15"/>
    <n v="7.3"/>
    <n v="9.6798000000000002"/>
    <n v="0.99547511312217185"/>
    <n v="4.5248868778280547E-3"/>
    <n v="0"/>
    <n v="0.99547511312217196"/>
    <n v="0"/>
    <n v="2"/>
    <n v="1"/>
    <n v="660"/>
    <n v="6"/>
    <n v="5.4545454545454541"/>
    <n v="1.1000000000000001"/>
    <n v="1.0950226244343892"/>
  </r>
  <r>
    <x v="1"/>
    <d v="2021-09-27T00:00:00"/>
    <s v="A"/>
    <x v="3"/>
    <x v="15"/>
    <m/>
    <m/>
    <s v="NIPPLE S TYPE S SIZE PUNCHED"/>
    <s v="HEI25NbI27Pa"/>
    <s v="Badelal"/>
    <n v="8"/>
    <n v="7000"/>
    <n v="875"/>
    <n v="6400"/>
    <n v="6400"/>
    <n v="0"/>
    <n v="0"/>
    <n v="0"/>
    <n v="0"/>
    <n v="0"/>
    <n v="0"/>
    <n v="1"/>
    <n v="6400"/>
    <n v="0.91428571428571426"/>
    <x v="12"/>
    <n v="0"/>
    <n v="0"/>
    <s v=" "/>
    <n v="0"/>
    <n v="0"/>
    <n v="1"/>
    <n v="0.66666666666666663"/>
    <n v="7.333333333333333"/>
    <n v="0.91666666666666663"/>
    <n v="800"/>
    <n v="3.5"/>
    <n v="4.125"/>
    <n v="0.84848484848484851"/>
    <n v="0.77777777777777779"/>
  </r>
  <r>
    <x v="1"/>
    <d v="2021-09-27T00:00:00"/>
    <s v="A"/>
    <x v="8"/>
    <x v="25"/>
    <m/>
    <m/>
    <s v="NIPPLE S TYPE S SIZE PUNCHED LASER MARKED"/>
    <s v="HEI24BH22"/>
    <s v="Badelal"/>
    <n v="8"/>
    <n v="7000"/>
    <n v="875"/>
    <n v="6350"/>
    <n v="6350"/>
    <n v="0"/>
    <n v="0"/>
    <n v="0"/>
    <n v="0"/>
    <n v="0"/>
    <n v="0"/>
    <n v="1"/>
    <n v="6350"/>
    <n v="0.90714285714285714"/>
    <x v="20"/>
    <n v="0"/>
    <n v="0"/>
    <s v=" "/>
    <n v="0"/>
    <n v="0"/>
    <n v="1"/>
    <n v="0.66666666666666663"/>
    <n v="7.333333333333333"/>
    <n v="0.91666666666666663"/>
    <n v="793.75"/>
    <n v="3.5"/>
    <n v="4.1574803149606296"/>
    <n v="0.84185606060606066"/>
    <n v="0.77170138888888895"/>
  </r>
  <r>
    <x v="1"/>
    <d v="2021-09-27T00:00:00"/>
    <s v="A"/>
    <x v="1"/>
    <x v="35"/>
    <m/>
    <s v="B1"/>
    <s v="RPP 240 ML BOTTLE MOLDED"/>
    <s v="EI27Ba1"/>
    <s v="Badelal"/>
    <n v="8"/>
    <n v="1930"/>
    <n v="241.25"/>
    <n v="1734"/>
    <n v="1560"/>
    <n v="0"/>
    <n v="92"/>
    <n v="0"/>
    <n v="0"/>
    <n v="74"/>
    <n v="8"/>
    <n v="1"/>
    <n v="1560"/>
    <n v="0.80829015544041449"/>
    <x v="1"/>
    <n v="32.1"/>
    <n v="55.661400000000008"/>
    <n v="0.89965397923875434"/>
    <n v="4.528763769889841E-2"/>
    <n v="5.0383351588170866E-2"/>
    <n v="0.95732410611303342"/>
    <n v="3.5"/>
    <n v="4.5"/>
    <n v="0.5625"/>
    <n v="195"/>
    <n v="9"/>
    <n v="10.384615384615385"/>
    <n v="0.86666666666666659"/>
    <n v="0.46669550173010377"/>
  </r>
  <r>
    <x v="1"/>
    <d v="2021-09-27T00:00:00"/>
    <s v="A"/>
    <x v="5"/>
    <x v="19"/>
    <m/>
    <s v="Recycle"/>
    <s v="CAP S TYPE MOLDED BLUE"/>
    <s v="EI27CRa"/>
    <s v="Badelal"/>
    <n v="8"/>
    <n v="4137"/>
    <n v="517.125"/>
    <n v="2828"/>
    <n v="2825"/>
    <s v="O"/>
    <n v="0"/>
    <n v="0"/>
    <n v="0"/>
    <n v="3"/>
    <n v="0"/>
    <n v="1"/>
    <n v="2825"/>
    <n v="0.68286197727822096"/>
    <x v="15"/>
    <n v="7.3"/>
    <n v="0"/>
    <s v=" "/>
    <n v="1.0608203677510608E-3"/>
    <n v="0"/>
    <n v="0.99893917963224899"/>
    <n v="3"/>
    <n v="5"/>
    <n v="0.625"/>
    <n v="353.125"/>
    <n v="6"/>
    <n v="6.3716814159292037"/>
    <n v="0.94166666666666665"/>
    <n v="0.58791732967939647"/>
  </r>
  <r>
    <x v="1"/>
    <d v="2021-09-27T00:00:00"/>
    <s v="A"/>
    <x v="0"/>
    <x v="28"/>
    <s v="M2"/>
    <s v="L2"/>
    <s v="NIPPLE S TYPE LL SIZE INJECTION"/>
    <s v="HEI27Na"/>
    <s v="Badelal"/>
    <n v="8"/>
    <n v="3611"/>
    <n v="451.375"/>
    <n v="4329"/>
    <n v="4000"/>
    <n v="0"/>
    <n v="171"/>
    <n v="0"/>
    <n v="0"/>
    <n v="150"/>
    <n v="8"/>
    <n v="1"/>
    <n v="4000"/>
    <n v="1.1077263915812794"/>
    <x v="23"/>
    <n v="6.8"/>
    <n v="29.437199999999997"/>
    <n v="0.92400092400092404"/>
    <n v="3.614457831325301E-2"/>
    <n v="3.7999999999999999E-2"/>
    <n v="0.96534996534996531"/>
    <n v="1.5"/>
    <n v="6.5"/>
    <n v="0.8125"/>
    <n v="500"/>
    <n v="5.25"/>
    <n v="5.85"/>
    <n v="0.89743589743589747"/>
    <n v="0.70390101640101643"/>
  </r>
  <r>
    <x v="1"/>
    <d v="2021-09-27T00:00:00"/>
    <s v="A"/>
    <x v="0"/>
    <x v="10"/>
    <s v="M1"/>
    <s v="L1"/>
    <s v="NIPPLE S TYPE S SIZE INJECTION"/>
    <s v="HEI27Na"/>
    <s v="Himanshu"/>
    <n v="4"/>
    <n v="1200"/>
    <n v="300"/>
    <n v="1140"/>
    <n v="790"/>
    <n v="0.6"/>
    <n v="308"/>
    <n v="0"/>
    <n v="0"/>
    <n v="42"/>
    <n v="0"/>
    <n v="1"/>
    <n v="790"/>
    <n v="0.65833333333333333"/>
    <x v="0"/>
    <n v="6.8"/>
    <n v="8.3520000000000003"/>
    <n v="0.64319923371647503"/>
    <n v="5.0480769230769232E-2"/>
    <n v="0.212707182320442"/>
    <n v="0.9631578947368421"/>
    <n v="0"/>
    <n v="4"/>
    <n v="1"/>
    <n v="197.5"/>
    <n v="5.25"/>
    <n v="18.227848101265824"/>
    <n v="0.28802083333333334"/>
    <n v="0.27740953947368419"/>
  </r>
  <r>
    <x v="1"/>
    <d v="2021-09-27T00:00:00"/>
    <s v="A"/>
    <x v="6"/>
    <x v="21"/>
    <m/>
    <m/>
    <s v="KPP 240 ML BOTTLE PRINTED"/>
    <s v="EI16BA2I27Pa"/>
    <s v="Pintu"/>
    <n v="8.5"/>
    <n v="5100"/>
    <n v="600"/>
    <n v="3576"/>
    <n v="3564"/>
    <n v="0"/>
    <n v="0"/>
    <n v="32"/>
    <n v="0"/>
    <n v="12"/>
    <n v="0"/>
    <n v="6"/>
    <n v="594"/>
    <n v="0.69882352941176473"/>
    <x v="16"/>
    <n v="0"/>
    <n v="0"/>
    <s v=" "/>
    <n v="3.3557046979865771E-3"/>
    <n v="0"/>
    <n v="0.99664429530201337"/>
    <n v="3.5"/>
    <n v="5"/>
    <n v="0.58823529411764708"/>
    <n v="419.29411764705884"/>
    <n v="32.4"/>
    <n v="30.303030303030305"/>
    <n v="1.0691999999999999"/>
    <n v="0.62683063560994867"/>
  </r>
  <r>
    <x v="1"/>
    <d v="2021-09-27T00:00:00"/>
    <s v="G"/>
    <x v="4"/>
    <x v="16"/>
    <m/>
    <m/>
    <s v="NIPPLE S TYPE S SIZE PUNCHED INSPECTED"/>
    <s v="HEI24NaI24Pb"/>
    <s v="Saurabh"/>
    <n v="7.5"/>
    <n v="12500"/>
    <n v="1666.6666666666667"/>
    <n v="12150"/>
    <n v="12028"/>
    <n v="0"/>
    <n v="0"/>
    <n v="0"/>
    <n v="0"/>
    <n v="122"/>
    <n v="0"/>
    <n v="1"/>
    <n v="12028"/>
    <n v="0.96223999999999998"/>
    <x v="13"/>
    <n v="0"/>
    <n v="0"/>
    <s v=" "/>
    <n v="1.0041152263374485E-2"/>
    <n v="0"/>
    <n v="0.98995884773662557"/>
    <n v="0.83333333333333337"/>
    <n v="6.666666666666667"/>
    <n v="0.88888888888888895"/>
    <n v="1603.7333333333333"/>
    <n v="4"/>
    <n v="1.9953441968739607"/>
    <n v="2.0046666666666666"/>
    <n v="1.7640333363816494"/>
  </r>
  <r>
    <x v="1"/>
    <d v="2021-09-27T00:00:00"/>
    <s v="G"/>
    <x v="7"/>
    <x v="27"/>
    <m/>
    <s v="WR1"/>
    <s v="NIPPLE S TYPE L SIZE WITH PRINTED WRAP"/>
    <s v="HEI16H22"/>
    <s v="Saurabh"/>
    <n v="8.5"/>
    <n v="16132"/>
    <n v="1897.8823529411766"/>
    <n v="17212"/>
    <n v="17198"/>
    <n v="0"/>
    <n v="0"/>
    <n v="0"/>
    <n v="0"/>
    <n v="14"/>
    <n v="0"/>
    <n v="2"/>
    <n v="8599"/>
    <n v="1.0660798413091992"/>
    <x v="22"/>
    <n v="0"/>
    <n v="0"/>
    <s v=" "/>
    <n v="8.1338600976063212E-4"/>
    <n v="0"/>
    <n v="0.99918661399023934"/>
    <n v="0"/>
    <n v="8.5"/>
    <n v="1"/>
    <n v="2023.2941176470588"/>
    <n v="2.5"/>
    <n v="3.5585533201535062"/>
    <n v="0.70253267973856204"/>
    <n v="0.70196124948546301"/>
  </r>
  <r>
    <x v="1"/>
    <d v="2021-09-27T00:00:00"/>
    <s v="G"/>
    <x v="4"/>
    <x v="51"/>
    <m/>
    <m/>
    <s v="NIPPLE S TYPE L SIZE PUNCHED INSPECTED"/>
    <s v="HEI16NcI20Pa"/>
    <s v="Saurabh"/>
    <n v="1"/>
    <n v="1682"/>
    <n v="1682"/>
    <n v="1000"/>
    <n v="993"/>
    <n v="0"/>
    <n v="0"/>
    <n v="0"/>
    <n v="0"/>
    <n v="7"/>
    <n v="0"/>
    <n v="1"/>
    <n v="993"/>
    <n v="0.59036860879904873"/>
    <x v="37"/>
    <n v="0"/>
    <n v="0"/>
    <s v=" "/>
    <n v="7.0000000000000001E-3"/>
    <n v="0"/>
    <n v="0.99299999999999999"/>
    <n v="0.5"/>
    <n v="0.5"/>
    <n v="0.5"/>
    <n v="993"/>
    <n v="4"/>
    <n v="1.8126888217522659"/>
    <n v="2.2066666666666666"/>
    <n v="1.09561"/>
  </r>
  <r>
    <x v="1"/>
    <d v="2021-09-27T00:00:00"/>
    <s v="B"/>
    <x v="8"/>
    <x v="25"/>
    <m/>
    <s v="LZ1"/>
    <s v="NIPPLE S TYPE S SIZE PUNCHED LASER MARKED"/>
    <s v="HEI24CG22"/>
    <s v="Saurabh"/>
    <n v="1.2"/>
    <n v="1000"/>
    <n v="833.33333333333337"/>
    <n v="1000"/>
    <n v="1000"/>
    <n v="0"/>
    <n v="0"/>
    <n v="0"/>
    <n v="0"/>
    <n v="0"/>
    <n v="0"/>
    <n v="1"/>
    <n v="1000"/>
    <n v="1"/>
    <x v="20"/>
    <n v="0"/>
    <n v="0"/>
    <s v=" "/>
    <n v="0"/>
    <n v="0"/>
    <n v="1"/>
    <n v="0.16666666666666666"/>
    <n v="1.0333333333333332"/>
    <n v="0.86111111111111105"/>
    <n v="833.33333333333337"/>
    <n v="3.5"/>
    <n v="3.7199999999999998"/>
    <n v="0.94086021505376349"/>
    <n v="0.81018518518518512"/>
  </r>
  <r>
    <x v="1"/>
    <d v="2021-09-27T00:00:00"/>
    <s v="B"/>
    <x v="8"/>
    <x v="50"/>
    <m/>
    <s v="LZ1"/>
    <s v="NIPPLE S TYPE L SIZE PUNCHED LASER MARKED"/>
    <s v="HEI16CG22"/>
    <s v="Saurabh"/>
    <n v="6.8"/>
    <n v="6000"/>
    <n v="882.35294117647061"/>
    <n v="6200"/>
    <n v="6200"/>
    <n v="0"/>
    <n v="0"/>
    <n v="0"/>
    <n v="0"/>
    <n v="0"/>
    <n v="0"/>
    <n v="1"/>
    <n v="6200"/>
    <n v="1.0333333333333334"/>
    <x v="22"/>
    <n v="0"/>
    <n v="0"/>
    <s v=" "/>
    <n v="0"/>
    <n v="0"/>
    <n v="1"/>
    <n v="0"/>
    <n v="6.8"/>
    <n v="1"/>
    <n v="911.76470588235293"/>
    <n v="3.5"/>
    <n v="3.9483870967741934"/>
    <n v="0.8864379084967321"/>
    <n v="0.8864379084967321"/>
  </r>
  <r>
    <x v="1"/>
    <d v="2021-09-27T00:00:00"/>
    <s v="B"/>
    <x v="1"/>
    <x v="35"/>
    <s v="BM5"/>
    <s v="B1"/>
    <s v="RPP 240 ML BOTTLE MOLDED"/>
    <s v="EI27Bb1"/>
    <s v="Saurabh"/>
    <n v="8"/>
    <n v="2574"/>
    <n v="321.75"/>
    <n v="1625"/>
    <n v="1560"/>
    <n v="0.3"/>
    <n v="26"/>
    <n v="0"/>
    <n v="0"/>
    <n v="31"/>
    <n v="8"/>
    <n v="1"/>
    <n v="1560"/>
    <n v="0.60606060606060608"/>
    <x v="1"/>
    <n v="32.1"/>
    <n v="52.462500000000006"/>
    <n v="0.95451036454610438"/>
    <n v="1.9484600879949718E-2"/>
    <n v="1.5748031496062992E-2"/>
    <n v="0.9809230769230769"/>
    <n v="3"/>
    <n v="5"/>
    <n v="0.625"/>
    <n v="195"/>
    <n v="9"/>
    <n v="11.538461538461538"/>
    <n v="0.78"/>
    <n v="0.47820000000000001"/>
  </r>
  <r>
    <x v="1"/>
    <d v="2021-09-27T00:00:00"/>
    <s v="B"/>
    <x v="0"/>
    <x v="28"/>
    <s v="M2"/>
    <s v="L2"/>
    <s v="NIPPLE S TYPE LL SIZE INJECTION"/>
    <s v="HEI27Nb"/>
    <s v="Saurabh"/>
    <n v="8"/>
    <n v="4815"/>
    <n v="601.875"/>
    <n v="4132"/>
    <n v="4040"/>
    <n v="5.9"/>
    <n v="35"/>
    <n v="0"/>
    <n v="0"/>
    <n v="57"/>
    <n v="0"/>
    <n v="1"/>
    <n v="4040"/>
    <n v="0.83904465212876422"/>
    <x v="23"/>
    <n v="6.8"/>
    <n v="33.997599999999998"/>
    <n v="0.80805703932042261"/>
    <n v="1.3912618989504515E-2"/>
    <n v="8.3993280537556989E-3"/>
    <n v="0.98620522749273964"/>
    <n v="1.5"/>
    <n v="6.5"/>
    <n v="0.8125"/>
    <n v="505"/>
    <n v="5.25"/>
    <n v="5.7920792079207919"/>
    <n v="0.90641025641025641"/>
    <n v="0.72629905816392382"/>
  </r>
  <r>
    <x v="1"/>
    <d v="2021-09-27T00:00:00"/>
    <s v="B"/>
    <x v="3"/>
    <x v="15"/>
    <m/>
    <s v="P1"/>
    <s v="NIPPLE S TYPE S SIZE PUNCHED"/>
    <s v="HEI25NcI27Pb"/>
    <s v="Saurabh"/>
    <n v="4.5"/>
    <n v="4000"/>
    <n v="888.88888888888891"/>
    <n v="4000"/>
    <n v="4000"/>
    <n v="0"/>
    <n v="0"/>
    <n v="0"/>
    <n v="0"/>
    <n v="0"/>
    <n v="0"/>
    <n v="1"/>
    <n v="4000"/>
    <n v="1"/>
    <x v="12"/>
    <n v="0"/>
    <n v="0"/>
    <s v=" "/>
    <n v="0"/>
    <n v="0"/>
    <n v="1"/>
    <n v="0"/>
    <n v="4.5"/>
    <n v="1"/>
    <n v="888.88888888888891"/>
    <n v="3.5"/>
    <n v="4.05"/>
    <n v="0.86419753086419759"/>
    <n v="0.86419753086419759"/>
  </r>
  <r>
    <x v="1"/>
    <d v="2021-09-27T00:00:00"/>
    <s v="B"/>
    <x v="3"/>
    <x v="34"/>
    <m/>
    <s v="P1"/>
    <s v="NIPPLE S TYPE LL SIZE PUNCHED"/>
    <s v="HEI27NaI27Pb"/>
    <s v="Saurabh"/>
    <n v="3.5"/>
    <n v="3000"/>
    <n v="857.14285714285711"/>
    <n v="3000"/>
    <n v="3000"/>
    <n v="0"/>
    <n v="0"/>
    <n v="0"/>
    <n v="0"/>
    <n v="0"/>
    <n v="0"/>
    <n v="1"/>
    <n v="3000"/>
    <n v="1"/>
    <x v="28"/>
    <n v="0"/>
    <n v="0"/>
    <s v=" "/>
    <n v="0"/>
    <n v="0"/>
    <n v="1"/>
    <n v="0"/>
    <n v="3.5"/>
    <n v="1"/>
    <n v="857.14285714285711"/>
    <n v="3.5"/>
    <n v="4.2"/>
    <n v="0.83333333333333326"/>
    <n v="0.83333333333333326"/>
  </r>
  <r>
    <x v="1"/>
    <d v="2021-09-27T00:00:00"/>
    <s v="B"/>
    <x v="5"/>
    <x v="19"/>
    <m/>
    <s v="Vergin"/>
    <s v="CAP S TYPE MOLDED BLUE"/>
    <s v="EI27Cb"/>
    <s v="Saurabh"/>
    <n v="8"/>
    <n v="4137"/>
    <n v="517.125"/>
    <n v="4504"/>
    <n v="4500"/>
    <n v="0"/>
    <n v="0"/>
    <n v="0"/>
    <n v="0"/>
    <n v="4"/>
    <n v="0"/>
    <n v="1"/>
    <n v="4500"/>
    <n v="1.0877447425670776"/>
    <x v="15"/>
    <n v="7.3"/>
    <n v="32.879199999999997"/>
    <n v="0.99911190053285981"/>
    <n v="8.8809946714031975E-4"/>
    <n v="0"/>
    <n v="0.9991119005328597"/>
    <n v="0"/>
    <n v="8"/>
    <n v="1"/>
    <n v="562.5"/>
    <n v="6"/>
    <n v="6.4"/>
    <n v="0.9375"/>
    <n v="0.93666740674955595"/>
  </r>
  <r>
    <x v="1"/>
    <d v="2021-09-27T00:00:00"/>
    <s v="C"/>
    <x v="0"/>
    <x v="28"/>
    <s v="M2"/>
    <s v="L2"/>
    <s v="NIPPLE S TYPE LL SIZE INJECTION"/>
    <s v="HEI27Nc"/>
    <s v="Nitin"/>
    <n v="8"/>
    <n v="4815"/>
    <n v="601.875"/>
    <n v="2108"/>
    <n v="2000"/>
    <n v="0.85"/>
    <n v="74"/>
    <n v="0"/>
    <n v="0"/>
    <n v="26"/>
    <n v="8"/>
    <n v="1"/>
    <n v="2000"/>
    <n v="0.4153686396677051"/>
    <x v="23"/>
    <n v="6.8"/>
    <n v="15.184399999999998"/>
    <n v="0.8956560680698612"/>
    <n v="1.2833168805528134E-2"/>
    <n v="3.3913840513290557E-2"/>
    <n v="0.98766603415559773"/>
    <n v="5"/>
    <n v="3"/>
    <n v="0.375"/>
    <n v="250"/>
    <n v="5.25"/>
    <n v="5.4"/>
    <n v="0.97222222222222221"/>
    <n v="0.36008657495256169"/>
  </r>
  <r>
    <x v="1"/>
    <d v="2021-09-27T00:00:00"/>
    <s v="C"/>
    <x v="5"/>
    <x v="19"/>
    <m/>
    <s v="Vergin"/>
    <s v="CAP S TYPE MOLDED BLUE"/>
    <s v="EI27Cc"/>
    <s v="Nitin"/>
    <n v="6"/>
    <n v="3000"/>
    <n v="500"/>
    <n v="2893"/>
    <n v="2885"/>
    <n v="0"/>
    <n v="0"/>
    <n v="0"/>
    <n v="0"/>
    <n v="0"/>
    <n v="8"/>
    <n v="1"/>
    <n v="2885"/>
    <n v="0.96166666666666667"/>
    <x v="15"/>
    <n v="7.3"/>
    <n v="21.1189"/>
    <n v="0.99723470445903917"/>
    <n v="0"/>
    <n v="0"/>
    <n v="1"/>
    <n v="0"/>
    <n v="6"/>
    <n v="1"/>
    <n v="480.83333333333331"/>
    <n v="6"/>
    <n v="7.4870017331022529"/>
    <n v="0.80138888888888893"/>
    <n v="0.80138888888888893"/>
  </r>
  <r>
    <x v="1"/>
    <d v="2021-09-27T00:00:00"/>
    <s v="C"/>
    <x v="5"/>
    <x v="19"/>
    <m/>
    <s v="Recycle"/>
    <s v="CAP S TYPE MOLDED BLUE"/>
    <s v="EI27CRc"/>
    <s v="Nitin"/>
    <n v="2"/>
    <n v="1137"/>
    <n v="568.5"/>
    <n v="1515"/>
    <n v="1500"/>
    <n v="0"/>
    <n v="0"/>
    <n v="0"/>
    <n v="0"/>
    <n v="15"/>
    <n v="0"/>
    <n v="1"/>
    <n v="1500"/>
    <n v="1.3192612137203166"/>
    <x v="15"/>
    <n v="7.3"/>
    <n v="11.0595"/>
    <n v="0.99009900990099009"/>
    <n v="9.9009900990099011E-3"/>
    <n v="0"/>
    <n v="0.99009900990099009"/>
    <n v="0"/>
    <n v="2"/>
    <n v="1"/>
    <n v="750"/>
    <n v="6"/>
    <n v="4.8"/>
    <n v="1.25"/>
    <n v="1.2376237623762376"/>
  </r>
  <r>
    <x v="1"/>
    <d v="2021-09-27T00:00:00"/>
    <s v="C"/>
    <x v="8"/>
    <x v="50"/>
    <m/>
    <s v="LZ1"/>
    <s v="NIPPLE S TYPE L SIZE PUNCHED LASER MARKED"/>
    <s v="HEI17AH22"/>
    <s v="Nitin"/>
    <n v="8"/>
    <n v="7000"/>
    <n v="875"/>
    <n v="7300"/>
    <n v="7300"/>
    <n v="0"/>
    <n v="0"/>
    <n v="0"/>
    <n v="0"/>
    <n v="0"/>
    <n v="0"/>
    <n v="1"/>
    <n v="7300"/>
    <n v="1.0428571428571429"/>
    <x v="22"/>
    <n v="0"/>
    <n v="0"/>
    <s v=" "/>
    <n v="0"/>
    <n v="0"/>
    <n v="1"/>
    <n v="0.33333333333333331"/>
    <n v="7.666666666666667"/>
    <n v="0.95833333333333337"/>
    <n v="912.5"/>
    <n v="3.5"/>
    <n v="3.7808219178082192"/>
    <n v="0.92572463768115942"/>
    <n v="0.88715277777777779"/>
  </r>
  <r>
    <x v="1"/>
    <d v="2021-09-27T00:00:00"/>
    <s v="C"/>
    <x v="1"/>
    <x v="35"/>
    <s v="BM5"/>
    <s v="B1"/>
    <s v="RPP 240 ML BOTTLE MOLDED"/>
    <s v="EI27Bb1"/>
    <s v="Nitin"/>
    <n v="6"/>
    <n v="1420"/>
    <n v="236.66666666666666"/>
    <n v="2004"/>
    <n v="1920"/>
    <n v="0.12"/>
    <n v="44"/>
    <n v="0"/>
    <n v="0"/>
    <n v="32"/>
    <n v="8"/>
    <n v="1"/>
    <n v="1920"/>
    <n v="1.352112676056338"/>
    <x v="1"/>
    <n v="32.1"/>
    <n v="64.448400000000007"/>
    <n v="0.95629992365985805"/>
    <n v="1.6393442622950821E-2"/>
    <n v="2.1484375E-2"/>
    <n v="0.98403193612774453"/>
    <n v="0"/>
    <n v="6"/>
    <n v="1"/>
    <n v="320"/>
    <n v="9"/>
    <n v="11.25"/>
    <n v="0.8"/>
    <n v="0.78722554890219565"/>
  </r>
  <r>
    <x v="1"/>
    <d v="2021-09-28T00:00:00"/>
    <s v="   A"/>
    <x v="1"/>
    <x v="35"/>
    <m/>
    <s v="B1"/>
    <s v="RPP 240 ML BOTTLE MOLDED"/>
    <s v="EI28Ba1"/>
    <s v="Badelal"/>
    <n v="8"/>
    <n v="2574"/>
    <n v="321.75"/>
    <n v="2288"/>
    <n v="2160"/>
    <n v="0.3"/>
    <n v="51"/>
    <n v="0"/>
    <n v="0"/>
    <n v="69"/>
    <n v="8"/>
    <n v="1"/>
    <n v="2160"/>
    <n v="0.83916083916083917"/>
    <x v="1"/>
    <n v="32.1"/>
    <n v="73.744800000000012"/>
    <n v="0.94021544569922222"/>
    <n v="3.095558546433378E-2"/>
    <n v="2.1804189824711415E-2"/>
    <n v="0.96984265734265729"/>
    <n v="1.5"/>
    <n v="6.5"/>
    <n v="0.8125"/>
    <n v="270"/>
    <n v="9"/>
    <n v="10.833333333333334"/>
    <n v="0.8307692307692307"/>
    <n v="0.65464379370629355"/>
  </r>
  <r>
    <x v="1"/>
    <d v="2021-09-28T00:00:00"/>
    <s v="   A"/>
    <x v="3"/>
    <x v="34"/>
    <m/>
    <m/>
    <s v="NIPPLE S TYPE LL SIZE PUNCHED"/>
    <s v="HEI27NbI28Pa"/>
    <s v="Badelal"/>
    <n v="8"/>
    <n v="7000"/>
    <n v="875"/>
    <n v="7040"/>
    <n v="7040"/>
    <n v="0"/>
    <n v="0"/>
    <n v="0"/>
    <n v="0"/>
    <n v="0"/>
    <n v="0"/>
    <n v="1"/>
    <n v="7040"/>
    <n v="1.0057142857142858"/>
    <x v="28"/>
    <n v="0"/>
    <n v="0"/>
    <s v=" "/>
    <n v="0"/>
    <n v="0"/>
    <n v="1"/>
    <n v="0.66666666666666663"/>
    <n v="7.333333333333333"/>
    <n v="0.91666666666666663"/>
    <n v="880"/>
    <n v="3.5"/>
    <n v="3.75"/>
    <n v="0.93333333333333335"/>
    <n v="0.85555555555555551"/>
  </r>
  <r>
    <x v="1"/>
    <d v="2021-09-28T00:00:00"/>
    <s v="   A"/>
    <x v="8"/>
    <x v="50"/>
    <m/>
    <m/>
    <s v="NIPPLE S TYPE L SIZE PUNCHED LASER MARKED"/>
    <m/>
    <s v="Badelal"/>
    <n v="8"/>
    <n v="7000"/>
    <n v="875"/>
    <n v="6850"/>
    <n v="6850"/>
    <n v="0"/>
    <n v="0"/>
    <n v="0"/>
    <n v="0"/>
    <n v="0"/>
    <n v="0"/>
    <n v="1"/>
    <n v="6850"/>
    <n v="0.97857142857142854"/>
    <x v="22"/>
    <n v="0"/>
    <n v="0"/>
    <s v=" "/>
    <n v="0"/>
    <n v="0"/>
    <n v="1"/>
    <n v="0.66666666666666663"/>
    <n v="7.333333333333333"/>
    <n v="0.91666666666666663"/>
    <n v="856.25"/>
    <n v="3.5"/>
    <n v="3.8540145985401462"/>
    <n v="0.90814393939393934"/>
    <n v="0.83246527777777768"/>
  </r>
  <r>
    <x v="1"/>
    <d v="2021-09-28T00:00:00"/>
    <s v="   A"/>
    <x v="5"/>
    <x v="19"/>
    <m/>
    <s v="Recycle"/>
    <s v="CAP S TYPE MOLDED BLUE"/>
    <s v="EI28CRa"/>
    <s v="Badelal"/>
    <n v="4"/>
    <n v="2074"/>
    <n v="518.5"/>
    <n v="2640"/>
    <n v="2640"/>
    <n v="0"/>
    <n v="0"/>
    <n v="0"/>
    <n v="0"/>
    <n v="0"/>
    <n v="0"/>
    <n v="1"/>
    <n v="2640"/>
    <n v="1.2729026036644167"/>
    <x v="15"/>
    <n v="7.3"/>
    <n v="19.271999999999998"/>
    <n v="1"/>
    <n v="0"/>
    <n v="0"/>
    <n v="1"/>
    <n v="0"/>
    <n v="4"/>
    <n v="1"/>
    <n v="660"/>
    <n v="6"/>
    <n v="5.4545454545454541"/>
    <n v="1.1000000000000001"/>
    <n v="1.1000000000000001"/>
  </r>
  <r>
    <x v="1"/>
    <d v="2021-09-28T00:00:00"/>
    <s v="   A"/>
    <x v="5"/>
    <x v="19"/>
    <m/>
    <s v="Vergin"/>
    <s v="CAP S TYPE MOLDED BLUE"/>
    <s v="EI28Ca"/>
    <s v="Badelal"/>
    <n v="4"/>
    <n v="2074"/>
    <n v="518.5"/>
    <n v="1312"/>
    <n v="1300"/>
    <n v="0"/>
    <n v="0"/>
    <n v="0"/>
    <n v="0"/>
    <n v="4"/>
    <n v="8"/>
    <n v="1"/>
    <n v="1300"/>
    <n v="0.62680810028929601"/>
    <x v="15"/>
    <n v="7.3"/>
    <n v="9.5776000000000003"/>
    <n v="0.99085365853658536"/>
    <n v="3.0674846625766872E-3"/>
    <n v="0"/>
    <n v="0.99695121951219512"/>
    <n v="1.6666666666666667"/>
    <n v="2.333333333333333"/>
    <n v="0.58333333333333326"/>
    <n v="325"/>
    <n v="6"/>
    <n v="6.4615384615384599"/>
    <n v="0.92857142857142883"/>
    <n v="0.54001524390243916"/>
  </r>
  <r>
    <x v="1"/>
    <d v="2021-09-28T00:00:00"/>
    <s v="   A"/>
    <x v="0"/>
    <x v="28"/>
    <s v="M2"/>
    <s v="L2"/>
    <s v="NIPPLE S TYPE LL SIZE INJECTION"/>
    <s v="HEI28Na"/>
    <s v="Badelal"/>
    <n v="1"/>
    <n v="1204"/>
    <n v="1204"/>
    <n v="1310"/>
    <n v="500"/>
    <n v="0"/>
    <n v="700"/>
    <n v="0"/>
    <n v="0"/>
    <n v="110"/>
    <n v="0"/>
    <n v="1"/>
    <n v="500"/>
    <n v="0.41528239202657807"/>
    <x v="23"/>
    <n v="6.8"/>
    <n v="8.9079999999999995"/>
    <n v="0.38167938931297712"/>
    <n v="0.18032786885245902"/>
    <n v="0.34825870646766172"/>
    <n v="0.91603053435114501"/>
    <n v="0.25"/>
    <n v="0.75"/>
    <n v="0.75"/>
    <n v="500"/>
    <n v="5.25"/>
    <n v="5.4"/>
    <n v="0.97222222222222221"/>
    <n v="0.66793893129770987"/>
  </r>
  <r>
    <x v="1"/>
    <d v="2021-09-28T00:00:00"/>
    <s v="G"/>
    <x v="4"/>
    <x v="51"/>
    <m/>
    <m/>
    <s v="NIPPLE S TYPE L SIZE PUNCHED INSPECTED"/>
    <s v="HEI16NcI20Pa"/>
    <s v="Saurabh"/>
    <n v="8.5"/>
    <n v="14182"/>
    <n v="1668.4705882352941"/>
    <n v="22365"/>
    <n v="22125"/>
    <n v="0"/>
    <n v="0"/>
    <n v="0"/>
    <n v="0"/>
    <n v="240"/>
    <n v="0"/>
    <n v="2"/>
    <n v="11062.5"/>
    <n v="1.560076152869835"/>
    <x v="37"/>
    <n v="0"/>
    <n v="0"/>
    <s v=" "/>
    <n v="1.0731052984574111E-2"/>
    <n v="0"/>
    <n v="0.98926894701542589"/>
    <n v="0.83333333333333337"/>
    <n v="7.666666666666667"/>
    <n v="0.90196078431372551"/>
    <n v="2602.9411764705883"/>
    <n v="4"/>
    <n v="2.4949152542372883"/>
    <n v="1.6032608695652173"/>
    <n v="1.4305604871056403"/>
  </r>
  <r>
    <x v="1"/>
    <d v="2021-09-28T00:00:00"/>
    <s v="G"/>
    <x v="7"/>
    <x v="33"/>
    <m/>
    <s v="WR1"/>
    <s v="NIPPLE S TYPE S SIZE WITH PRINTED WRAP"/>
    <s v="HEI24CH22"/>
    <s v="Saurabh"/>
    <n v="4"/>
    <n v="8080"/>
    <n v="2020"/>
    <n v="8276"/>
    <n v="8276"/>
    <n v="0"/>
    <n v="0"/>
    <n v="0"/>
    <n v="0"/>
    <n v="0"/>
    <n v="0"/>
    <n v="2"/>
    <n v="4138"/>
    <n v="1.0242574257425743"/>
    <x v="27"/>
    <n v="0"/>
    <n v="0"/>
    <s v=" "/>
    <n v="0"/>
    <n v="0"/>
    <n v="1"/>
    <n v="0"/>
    <n v="4"/>
    <n v="1"/>
    <n v="2069"/>
    <n v="2.5"/>
    <n v="3.4799420009666506"/>
    <n v="0.71840277777777772"/>
    <n v="0.71840277777777772"/>
  </r>
  <r>
    <x v="1"/>
    <d v="2021-09-28T00:00:00"/>
    <s v="G"/>
    <x v="7"/>
    <x v="27"/>
    <m/>
    <s v="WR2"/>
    <s v="NIPPLE S TYPE L SIZE WITH PRINTED WRAP"/>
    <s v="HEI16BH22"/>
    <s v="Saurabh"/>
    <n v="0.5"/>
    <n v="1000"/>
    <n v="2000"/>
    <n v="998"/>
    <n v="990"/>
    <n v="0"/>
    <n v="0"/>
    <n v="0"/>
    <n v="0"/>
    <n v="8"/>
    <n v="0"/>
    <n v="2"/>
    <n v="495"/>
    <n v="0.99"/>
    <x v="22"/>
    <n v="0"/>
    <n v="0"/>
    <s v=" "/>
    <n v="8.0160320641282558E-3"/>
    <n v="0"/>
    <n v="0.99198396793587174"/>
    <n v="0"/>
    <n v="0.5"/>
    <n v="1"/>
    <n v="1980"/>
    <n v="2.5"/>
    <n v="3.6363636363636362"/>
    <n v="0.6875"/>
    <n v="0.68198897795591185"/>
  </r>
  <r>
    <x v="1"/>
    <d v="2021-09-28T00:00:00"/>
    <s v="G"/>
    <x v="6"/>
    <x v="21"/>
    <m/>
    <s v="PR1"/>
    <s v="KPP 240 ML BOTTLE PRINTED"/>
    <s v="EI16Bc1I28Pa"/>
    <s v="Saurabh"/>
    <n v="8.5"/>
    <n v="5100"/>
    <n v="600"/>
    <n v="5534"/>
    <n v="5508"/>
    <n v="0"/>
    <n v="0"/>
    <n v="53"/>
    <n v="0"/>
    <n v="26"/>
    <n v="0"/>
    <n v="5"/>
    <n v="1101.5999999999999"/>
    <n v="1.08"/>
    <x v="16"/>
    <n v="0"/>
    <n v="0"/>
    <s v=" "/>
    <n v="4.6982291290205997E-3"/>
    <n v="0"/>
    <n v="0.99530177087097937"/>
    <n v="0.83333333333333337"/>
    <n v="7.666666666666667"/>
    <n v="0.90196078431372551"/>
    <n v="648"/>
    <n v="32.4"/>
    <n v="25.054466230936818"/>
    <n v="1.2931826086956522"/>
    <n v="1.1609199855439103"/>
  </r>
  <r>
    <x v="1"/>
    <d v="2021-09-28T00:00:00"/>
    <s v="B"/>
    <x v="8"/>
    <x v="50"/>
    <m/>
    <s v="LZ1"/>
    <s v="NIPPLE S TYPE L SIZE PUNCHED LASER MARKED"/>
    <s v="HEI20AH22"/>
    <s v="Saurabh"/>
    <n v="8"/>
    <n v="7000"/>
    <n v="875"/>
    <n v="7300"/>
    <n v="7300"/>
    <n v="0"/>
    <n v="0"/>
    <n v="0"/>
    <n v="0"/>
    <n v="0"/>
    <n v="0"/>
    <n v="1"/>
    <n v="7300"/>
    <n v="1.0428571428571429"/>
    <x v="22"/>
    <n v="0"/>
    <n v="0"/>
    <s v=" "/>
    <n v="0"/>
    <n v="0"/>
    <n v="1"/>
    <n v="0.66666666666666663"/>
    <n v="7.333333333333333"/>
    <n v="0.91666666666666663"/>
    <n v="912.5"/>
    <n v="3.5"/>
    <n v="3.6164383561643834"/>
    <n v="0.96780303030303039"/>
    <n v="0.88715277777777779"/>
  </r>
  <r>
    <x v="1"/>
    <d v="2021-09-28T00:00:00"/>
    <s v="B"/>
    <x v="1"/>
    <x v="35"/>
    <s v="BM5"/>
    <s v="B1"/>
    <s v="RPP 240 ML BOTTLE MOLDED"/>
    <s v="EI28Bb1"/>
    <s v="Saurabh"/>
    <n v="5"/>
    <n v="1500"/>
    <n v="300"/>
    <n v="1510"/>
    <n v="1440"/>
    <n v="0.21"/>
    <n v="28"/>
    <n v="0"/>
    <n v="0"/>
    <n v="42"/>
    <n v="0"/>
    <n v="1"/>
    <n v="1440"/>
    <n v="0.96"/>
    <x v="1"/>
    <n v="32.1"/>
    <n v="48.681000000000004"/>
    <n v="0.94952856350526904"/>
    <n v="2.8340080971659919E-2"/>
    <n v="1.8205461638491547E-2"/>
    <n v="0.97218543046357619"/>
    <n v="1.5"/>
    <n v="3.5"/>
    <n v="0.7"/>
    <n v="288"/>
    <n v="9"/>
    <n v="8.75"/>
    <n v="1.0285714285714285"/>
    <n v="0.69997350993377483"/>
  </r>
  <r>
    <x v="1"/>
    <d v="2021-09-28T00:00:00"/>
    <s v="B"/>
    <x v="3"/>
    <x v="63"/>
    <m/>
    <s v="P1"/>
    <s v="NIPPLE S TYPE Y SIZE PUNCHED"/>
    <s v="HE22NaI28Pb"/>
    <s v="Saurabh"/>
    <n v="7.4"/>
    <n v="6500"/>
    <n v="878.37837837837833"/>
    <n v="6392"/>
    <n v="6392"/>
    <n v="0"/>
    <n v="0"/>
    <n v="0"/>
    <n v="0"/>
    <n v="0"/>
    <n v="0"/>
    <n v="1"/>
    <n v="6392"/>
    <n v="0.98338461538461541"/>
    <x v="40"/>
    <n v="0"/>
    <n v="0"/>
    <s v=" "/>
    <n v="0"/>
    <n v="0"/>
    <n v="1"/>
    <n v="0.66666666666666663"/>
    <n v="6.7333333333333334"/>
    <n v="0.90990990990990983"/>
    <n v="863.78378378378375"/>
    <n v="3.5"/>
    <n v="3.7922403003754694"/>
    <n v="0.92293729372937294"/>
    <n v="0.83978978978978969"/>
  </r>
  <r>
    <x v="1"/>
    <d v="2021-09-28T00:00:00"/>
    <s v="B"/>
    <x v="3"/>
    <x v="34"/>
    <m/>
    <s v="P1"/>
    <s v="NIPPLE S TYPE LL SIZE PUNCHED"/>
    <s v="HE28NaI28Pb"/>
    <s v="Saurabh"/>
    <n v="0.6"/>
    <n v="500"/>
    <n v="833.33333333333337"/>
    <n v="500"/>
    <n v="500"/>
    <n v="0"/>
    <n v="0"/>
    <n v="0"/>
    <n v="0"/>
    <n v="0"/>
    <n v="0"/>
    <n v="1"/>
    <n v="500"/>
    <n v="1"/>
    <x v="28"/>
    <n v="0"/>
    <n v="0"/>
    <s v=" "/>
    <n v="0"/>
    <n v="0"/>
    <n v="1"/>
    <n v="0"/>
    <n v="0.6"/>
    <n v="1"/>
    <n v="833.33333333333337"/>
    <n v="3.5"/>
    <n v="4.32"/>
    <n v="0.81018518518518512"/>
    <n v="0.81018518518518512"/>
  </r>
  <r>
    <x v="1"/>
    <d v="2021-09-28T00:00:00"/>
    <s v="B"/>
    <x v="5"/>
    <x v="19"/>
    <m/>
    <s v="Vergin"/>
    <s v="CAP S TYPE MOLDED BLUE"/>
    <s v="EI28Cb"/>
    <s v="Saurabh"/>
    <n v="8"/>
    <n v="4137"/>
    <n v="517.125"/>
    <n v="4004"/>
    <n v="4000"/>
    <n v="0"/>
    <n v="0"/>
    <n v="0"/>
    <n v="0"/>
    <n v="4"/>
    <n v="0"/>
    <n v="1"/>
    <n v="4000"/>
    <n v="0.96688421561518012"/>
    <x v="15"/>
    <n v="7.3"/>
    <n v="29.229199999999999"/>
    <n v="0.99900099900099903"/>
    <n v="9.99000999000999E-4"/>
    <n v="0"/>
    <n v="0.99900099900099903"/>
    <n v="0"/>
    <n v="8"/>
    <n v="1"/>
    <n v="500"/>
    <n v="6"/>
    <n v="7.2"/>
    <n v="0.83333333333333326"/>
    <n v="0.83250083250083251"/>
  </r>
  <r>
    <x v="1"/>
    <d v="2021-09-28T00:00:00"/>
    <s v="C"/>
    <x v="5"/>
    <x v="19"/>
    <m/>
    <s v="Vergin"/>
    <s v="CAP S TYPE MOLDED BLUE"/>
    <s v="EI28Cc"/>
    <s v="Nitin"/>
    <n v="3"/>
    <n v="1600"/>
    <n v="533.33333333333337"/>
    <n v="1608"/>
    <n v="1600"/>
    <n v="0"/>
    <n v="0"/>
    <n v="0"/>
    <n v="0"/>
    <n v="0"/>
    <n v="8"/>
    <n v="1"/>
    <n v="1600"/>
    <n v="1"/>
    <x v="15"/>
    <n v="7.3"/>
    <n v="11.7384"/>
    <n v="0.99502487562189046"/>
    <n v="0"/>
    <n v="0"/>
    <n v="1"/>
    <n v="0"/>
    <n v="3"/>
    <n v="1"/>
    <n v="533.33333333333337"/>
    <n v="6"/>
    <n v="6.75"/>
    <n v="0.88888888888888884"/>
    <n v="0.88888888888888884"/>
  </r>
  <r>
    <x v="1"/>
    <d v="2021-09-28T00:00:00"/>
    <s v="C"/>
    <x v="5"/>
    <x v="5"/>
    <m/>
    <s v="Recycle"/>
    <s v="CAP S TYPE MOLDED RED"/>
    <s v="EI28CRc"/>
    <s v="Nitin"/>
    <n v="5"/>
    <n v="2537"/>
    <n v="507.4"/>
    <n v="2512"/>
    <n v="2500"/>
    <n v="0"/>
    <n v="4"/>
    <n v="0"/>
    <n v="0"/>
    <n v="0"/>
    <n v="8"/>
    <n v="1"/>
    <n v="2500"/>
    <n v="0.98541584548679539"/>
    <x v="5"/>
    <n v="7.3"/>
    <n v="18.337600000000002"/>
    <n v="0.99522292993630568"/>
    <n v="0"/>
    <n v="1.589825119236884E-3"/>
    <n v="1"/>
    <n v="0.5"/>
    <n v="4.5"/>
    <n v="0.9"/>
    <n v="500"/>
    <n v="6"/>
    <n v="6.48"/>
    <n v="0.92592592592592582"/>
    <n v="0.83333333333333326"/>
  </r>
  <r>
    <x v="1"/>
    <d v="2021-09-28T00:00:00"/>
    <s v="C"/>
    <x v="8"/>
    <x v="50"/>
    <m/>
    <s v="LZ1"/>
    <s v="NIPPLE S TYPE L SIZE PUNCHED LASER MARKED"/>
    <s v="HEI20CH22"/>
    <s v="Nitin"/>
    <n v="7"/>
    <n v="6125"/>
    <n v="875"/>
    <n v="6065"/>
    <n v="6065"/>
    <n v="0"/>
    <n v="0"/>
    <n v="0"/>
    <n v="0"/>
    <n v="0"/>
    <n v="0"/>
    <n v="1"/>
    <n v="6065"/>
    <n v="0.99020408163265305"/>
    <x v="22"/>
    <n v="0"/>
    <n v="0"/>
    <s v=" "/>
    <n v="0"/>
    <n v="0"/>
    <n v="1"/>
    <n v="0.33333333333333331"/>
    <n v="6.666666666666667"/>
    <n v="0.95238095238095244"/>
    <n v="866.42857142857144"/>
    <n v="3.5"/>
    <n v="3.9571310799670241"/>
    <n v="0.88447916666666659"/>
    <n v="0.84236111111111112"/>
  </r>
  <r>
    <x v="1"/>
    <d v="2021-09-28T00:00:00"/>
    <s v="C"/>
    <x v="8"/>
    <x v="38"/>
    <m/>
    <s v="LZ1"/>
    <s v="NIPPLE S TYPE LL SIZE LASER MARKED"/>
    <s v="HEI17AH22"/>
    <s v="Nitin"/>
    <n v="1"/>
    <n v="875"/>
    <n v="875"/>
    <n v="1000"/>
    <n v="1000"/>
    <n v="0"/>
    <n v="0"/>
    <n v="0"/>
    <n v="0"/>
    <n v="0"/>
    <n v="0"/>
    <n v="1"/>
    <n v="1000"/>
    <n v="1.1428571428571428"/>
    <x v="29"/>
    <n v="0"/>
    <n v="0"/>
    <s v=" "/>
    <n v="0"/>
    <n v="0"/>
    <n v="1"/>
    <n v="0.16666666666666666"/>
    <n v="0.83333333333333337"/>
    <n v="0.83333333333333337"/>
    <n v="1000"/>
    <n v="3.5"/>
    <n v="3"/>
    <n v="1.1666666666666667"/>
    <n v="0.97222222222222232"/>
  </r>
  <r>
    <x v="1"/>
    <d v="2021-09-29T00:00:00"/>
    <s v="A"/>
    <x v="3"/>
    <x v="63"/>
    <m/>
    <s v="P1"/>
    <s v="NIPPLE S TYPE Y SIZE PUNCHED"/>
    <s v="HEI22NaI29Pa "/>
    <s v="Badelal"/>
    <n v="8"/>
    <n v="7000"/>
    <n v="875"/>
    <n v="7040"/>
    <n v="7040"/>
    <n v="0"/>
    <n v="0"/>
    <n v="0"/>
    <n v="0"/>
    <n v="0"/>
    <n v="0"/>
    <n v="1"/>
    <n v="7040"/>
    <n v="1.0057142857142858"/>
    <x v="40"/>
    <n v="0"/>
    <n v="0"/>
    <s v=" "/>
    <n v="0"/>
    <n v="0"/>
    <n v="1"/>
    <n v="0.66666666666666663"/>
    <n v="7.333333333333333"/>
    <n v="0.91666666666666663"/>
    <n v="880"/>
    <n v="3.5"/>
    <n v="3.75"/>
    <n v="0.93333333333333335"/>
    <n v="0.85555555555555551"/>
  </r>
  <r>
    <x v="1"/>
    <d v="2021-09-29T00:00:00"/>
    <s v="A"/>
    <x v="8"/>
    <x v="38"/>
    <m/>
    <s v="LZ1"/>
    <s v="NIPPLE S TYPE LL SIZE LASER MARKED"/>
    <s v="HEI27AH22"/>
    <s v="Badelal"/>
    <n v="8"/>
    <n v="7000"/>
    <n v="875"/>
    <n v="7040"/>
    <n v="7040"/>
    <n v="0"/>
    <n v="0"/>
    <n v="0"/>
    <n v="0"/>
    <n v="0"/>
    <n v="0"/>
    <n v="1"/>
    <n v="7040"/>
    <n v="1.0057142857142858"/>
    <x v="29"/>
    <n v="0"/>
    <n v="0"/>
    <s v=" "/>
    <n v="0"/>
    <n v="0"/>
    <n v="1"/>
    <n v="0.66666666666666663"/>
    <n v="7.333333333333333"/>
    <n v="0.91666666666666663"/>
    <n v="880"/>
    <n v="3.5"/>
    <n v="3.75"/>
    <n v="0.93333333333333335"/>
    <n v="0.85555555555555551"/>
  </r>
  <r>
    <x v="1"/>
    <d v="2021-09-29T00:00:00"/>
    <s v="A"/>
    <x v="5"/>
    <x v="5"/>
    <m/>
    <s v="Recycle"/>
    <s v="CAP S TYPE MOLDED RED"/>
    <s v="EI29CRa"/>
    <s v="Badelal"/>
    <n v="8"/>
    <n v="4137"/>
    <n v="517.125"/>
    <n v="4012"/>
    <n v="4000"/>
    <n v="0"/>
    <n v="0"/>
    <n v="0"/>
    <n v="0"/>
    <n v="4"/>
    <n v="8"/>
    <n v="1"/>
    <n v="4000"/>
    <n v="0.96688421561518012"/>
    <x v="5"/>
    <n v="7.3"/>
    <n v="29.287600000000001"/>
    <n v="0.99700897308075764"/>
    <n v="9.99000999000999E-4"/>
    <n v="0"/>
    <n v="0.99900299102691925"/>
    <n v="0"/>
    <n v="8"/>
    <n v="1"/>
    <n v="500"/>
    <n v="6"/>
    <n v="7.2"/>
    <n v="0.83333333333333326"/>
    <n v="0.83250249252243269"/>
  </r>
  <r>
    <x v="1"/>
    <d v="2021-09-29T00:00:00"/>
    <s v="G"/>
    <x v="4"/>
    <x v="42"/>
    <m/>
    <m/>
    <s v="NIPPLE S TYPE LL SIZE INSPECTED"/>
    <s v="HEI27NaI27Pb"/>
    <s v="Saurabh"/>
    <n v="4.5"/>
    <n v="7132"/>
    <n v="1584.8888888888889"/>
    <n v="10040"/>
    <n v="9977"/>
    <n v="0"/>
    <n v="0"/>
    <n v="0"/>
    <n v="0"/>
    <n v="63"/>
    <n v="0"/>
    <n v="2"/>
    <n v="4988.5"/>
    <n v="1.3989063376332025"/>
    <x v="32"/>
    <n v="0"/>
    <n v="0"/>
    <s v=" "/>
    <n v="6.2749003984063747E-3"/>
    <n v="0"/>
    <n v="0.99372509960159361"/>
    <n v="0.66666666666666663"/>
    <n v="3.8333333333333335"/>
    <n v="0.85185185185185186"/>
    <n v="2217.1111111111113"/>
    <n v="4"/>
    <n v="2.7663626340583343"/>
    <n v="1.4459420289855072"/>
    <n v="1.2239994220648269"/>
  </r>
  <r>
    <x v="1"/>
    <d v="2021-09-29T00:00:00"/>
    <s v="G"/>
    <x v="4"/>
    <x v="51"/>
    <m/>
    <m/>
    <s v="NIPPLE S TYPE L SIZE PUNCHED INSPECTED"/>
    <s v="HEI20NaI21Pb"/>
    <s v="Saurabh"/>
    <n v="4"/>
    <n v="7000"/>
    <n v="1750"/>
    <n v="10350"/>
    <n v="10330"/>
    <n v="0"/>
    <n v="0"/>
    <n v="0"/>
    <n v="0"/>
    <n v="20"/>
    <n v="0"/>
    <n v="2"/>
    <n v="5165"/>
    <n v="1.4757142857142858"/>
    <x v="37"/>
    <n v="0"/>
    <n v="0"/>
    <s v=" "/>
    <n v="1.9323671497584541E-3"/>
    <n v="0"/>
    <n v="0.99806763285024158"/>
    <n v="0.16666666666666666"/>
    <n v="3.8333333333333335"/>
    <n v="0.95833333333333337"/>
    <n v="2582.5"/>
    <n v="4"/>
    <n v="2.6718296224588576"/>
    <n v="1.4971014492753625"/>
    <n v="1.4319498121309717"/>
  </r>
  <r>
    <x v="1"/>
    <d v="2021-09-29T00:00:00"/>
    <s v="G"/>
    <x v="6"/>
    <x v="21"/>
    <m/>
    <m/>
    <s v="KPP 240 ML BOTTLE PRINTED"/>
    <s v="EI17Bb1I29Pa"/>
    <s v="Saurabh"/>
    <n v="8.5"/>
    <n v="5100"/>
    <n v="600"/>
    <n v="4211"/>
    <n v="4170"/>
    <n v="0"/>
    <n v="0"/>
    <n v="46"/>
    <n v="0"/>
    <n v="41"/>
    <n v="0"/>
    <n v="5"/>
    <n v="834"/>
    <n v="0.81764705882352939"/>
    <x v="16"/>
    <n v="0"/>
    <n v="0"/>
    <s v=" "/>
    <n v="9.7364046544763713E-3"/>
    <n v="0"/>
    <n v="0.99026359534552366"/>
    <n v="0.83333333333333337"/>
    <n v="7.666666666666667"/>
    <n v="0.90196078431372551"/>
    <n v="490.58823529411762"/>
    <n v="32.4"/>
    <n v="33.093525179856115"/>
    <n v="0.97904347826086946"/>
    <n v="0.87446100548982353"/>
  </r>
  <r>
    <x v="1"/>
    <d v="2021-09-29T00:00:00"/>
    <s v="B"/>
    <x v="8"/>
    <x v="38"/>
    <m/>
    <s v="LZ1"/>
    <s v="NIPPLE S TYPE LL SIZE LASER MARKED"/>
    <s v="HEI27CH22"/>
    <s v="Saurabh"/>
    <n v="3"/>
    <n v="2500"/>
    <n v="833.33333333333337"/>
    <n v="2500"/>
    <n v="2500"/>
    <n v="0"/>
    <n v="0"/>
    <n v="0"/>
    <n v="0"/>
    <n v="0"/>
    <n v="0"/>
    <n v="1"/>
    <n v="2500"/>
    <n v="1"/>
    <x v="29"/>
    <n v="0"/>
    <n v="0"/>
    <s v=" "/>
    <n v="0"/>
    <n v="0"/>
    <n v="1"/>
    <n v="0.66666666666666663"/>
    <n v="2.3333333333333335"/>
    <n v="0.77777777777777779"/>
    <n v="833.33333333333337"/>
    <n v="3.5"/>
    <n v="3.36"/>
    <n v="1.0416666666666667"/>
    <n v="0.81018518518518523"/>
  </r>
  <r>
    <x v="1"/>
    <d v="2021-09-29T00:00:00"/>
    <s v="B"/>
    <x v="8"/>
    <x v="68"/>
    <m/>
    <s v="LZ1"/>
    <s v="NIPPLE S TYPE Y SIZE PUNCHED LASER MARKED"/>
    <m/>
    <s v="Saurabh"/>
    <n v="5"/>
    <n v="4500"/>
    <n v="900"/>
    <n v="4000"/>
    <n v="4000"/>
    <n v="0"/>
    <n v="0"/>
    <n v="0"/>
    <n v="0"/>
    <n v="0"/>
    <n v="0"/>
    <n v="1"/>
    <n v="4000"/>
    <n v="0.88888888888888884"/>
    <x v="43"/>
    <n v="0"/>
    <n v="0"/>
    <s v=" "/>
    <n v="0"/>
    <n v="0"/>
    <n v="1"/>
    <n v="0.66666666666666663"/>
    <n v="4.333333333333333"/>
    <n v="0.86666666666666659"/>
    <n v="800"/>
    <n v="3.5"/>
    <n v="3.8999999999999995"/>
    <n v="0.89743589743589758"/>
    <n v="0.77777777777777779"/>
  </r>
  <r>
    <x v="1"/>
    <d v="2021-09-29T00:00:00"/>
    <s v="B"/>
    <x v="3"/>
    <x v="63"/>
    <m/>
    <s v="P1"/>
    <s v="NIPPLE S TYPE Y SIZE PUNCHED"/>
    <s v="HEI22NbI29Pb"/>
    <s v="Saurabh"/>
    <n v="1.2"/>
    <n v="1000"/>
    <n v="833.33333333333337"/>
    <n v="1000"/>
    <n v="1000"/>
    <n v="0"/>
    <n v="0"/>
    <n v="0"/>
    <n v="0"/>
    <n v="0"/>
    <n v="0"/>
    <n v="1"/>
    <n v="1000"/>
    <n v="1"/>
    <x v="40"/>
    <n v="0"/>
    <n v="0"/>
    <s v=" "/>
    <n v="0"/>
    <n v="0"/>
    <n v="1"/>
    <n v="0"/>
    <n v="1.2"/>
    <n v="1"/>
    <n v="833.33333333333337"/>
    <n v="3.5"/>
    <n v="4.32"/>
    <n v="0.81018518518518512"/>
    <n v="0.81018518518518512"/>
  </r>
  <r>
    <x v="1"/>
    <d v="2021-09-29T00:00:00"/>
    <s v="B"/>
    <x v="3"/>
    <x v="15"/>
    <m/>
    <s v="P1"/>
    <s v="NIPPLE S TYPE S SIZE PUNCHED"/>
    <s v="HEI23NaI29Pb"/>
    <s v="Saurabh"/>
    <n v="1.6"/>
    <n v="1400"/>
    <n v="875"/>
    <n v="1382"/>
    <n v="1382"/>
    <n v="0"/>
    <n v="0"/>
    <n v="0"/>
    <n v="0"/>
    <n v="0"/>
    <n v="0"/>
    <n v="1"/>
    <n v="1382"/>
    <n v="0.9871428571428571"/>
    <x v="12"/>
    <n v="0"/>
    <n v="0"/>
    <s v=" "/>
    <n v="0"/>
    <n v="0"/>
    <n v="1"/>
    <n v="0"/>
    <n v="1.6"/>
    <n v="1"/>
    <n v="863.75"/>
    <n v="3.5"/>
    <n v="4.1678726483357451"/>
    <n v="0.83975694444444449"/>
    <n v="0.83975694444444449"/>
  </r>
  <r>
    <x v="1"/>
    <d v="2021-09-29T00:00:00"/>
    <s v="B"/>
    <x v="5"/>
    <x v="5"/>
    <m/>
    <s v="Recycle"/>
    <s v="CAP S TYPE MOLDED RED"/>
    <s v="EI29CRb"/>
    <s v="Saurabh"/>
    <n v="8"/>
    <n v="4137"/>
    <n v="517.125"/>
    <n v="4006"/>
    <n v="4000"/>
    <n v="0"/>
    <n v="0"/>
    <n v="0"/>
    <n v="0"/>
    <n v="6"/>
    <n v="0"/>
    <n v="1"/>
    <n v="4000"/>
    <n v="0.96688421561518012"/>
    <x v="5"/>
    <n v="7.3"/>
    <n v="29.2438"/>
    <n v="0.99850224663005493"/>
    <n v="1.4977533699450823E-3"/>
    <n v="0"/>
    <n v="0.99850224663005493"/>
    <n v="0"/>
    <n v="8"/>
    <n v="1"/>
    <n v="500"/>
    <n v="6"/>
    <n v="7.2"/>
    <n v="0.83333333333333326"/>
    <n v="0.83208520552504572"/>
  </r>
  <r>
    <x v="1"/>
    <d v="2021-09-29T00:00:00"/>
    <s v="C"/>
    <x v="5"/>
    <x v="5"/>
    <m/>
    <s v="Recycle"/>
    <s v="CAP S TYPE MOLDED RED"/>
    <s v="EI29CRc"/>
    <s v="Nitin"/>
    <n v="8"/>
    <n v="4137"/>
    <n v="517.125"/>
    <n v="4208"/>
    <n v="4200"/>
    <n v="0"/>
    <n v="0"/>
    <n v="0"/>
    <n v="0"/>
    <n v="0"/>
    <n v="8"/>
    <n v="1"/>
    <n v="4200"/>
    <n v="1.015228426395939"/>
    <x v="5"/>
    <n v="7.3"/>
    <n v="30.718399999999999"/>
    <n v="0.99809885931558939"/>
    <n v="0"/>
    <n v="0"/>
    <n v="1"/>
    <n v="0"/>
    <n v="8"/>
    <n v="1"/>
    <n v="525"/>
    <n v="6"/>
    <n v="6.8571428571428568"/>
    <n v="0.875"/>
    <n v="0.875"/>
  </r>
  <r>
    <x v="1"/>
    <d v="2021-09-29T00:00:00"/>
    <s v="C"/>
    <x v="8"/>
    <x v="68"/>
    <m/>
    <s v="LZ1"/>
    <s v="NIPPLE S TYPE Y SIZE PUNCHED LASER MARKED"/>
    <s v="HEI22AH22"/>
    <s v="Nitin"/>
    <n v="8"/>
    <n v="7000"/>
    <n v="875"/>
    <n v="7392"/>
    <n v="7392"/>
    <n v="0"/>
    <n v="0"/>
    <n v="0"/>
    <n v="0"/>
    <n v="0"/>
    <n v="0"/>
    <n v="1"/>
    <n v="7392"/>
    <n v="1.056"/>
    <x v="43"/>
    <n v="0"/>
    <n v="0"/>
    <s v=" "/>
    <n v="0"/>
    <n v="0"/>
    <n v="1"/>
    <n v="0.66666666666666663"/>
    <n v="7.333333333333333"/>
    <n v="0.91666666666666663"/>
    <n v="924"/>
    <n v="3.5"/>
    <n v="3.5714285714285716"/>
    <n v="0.98"/>
    <n v="0.89833333333333332"/>
  </r>
  <r>
    <x v="1"/>
    <d v="2021-09-30T00:00:00"/>
    <s v="A"/>
    <x v="5"/>
    <x v="5"/>
    <m/>
    <s v="Recycle"/>
    <s v="CAP S TYPE MOLDED RED"/>
    <s v="EI30CRa"/>
    <s v="Nitin"/>
    <n v="5"/>
    <n v="2585"/>
    <n v="517"/>
    <n v="2440"/>
    <n v="2440"/>
    <n v="0"/>
    <n v="0"/>
    <n v="0"/>
    <n v="0"/>
    <n v="0"/>
    <n v="0"/>
    <n v="1"/>
    <n v="2440"/>
    <n v="0.94390715667311409"/>
    <x v="5"/>
    <n v="7.3"/>
    <n v="17.812000000000001"/>
    <n v="1"/>
    <n v="0"/>
    <n v="0"/>
    <n v="1"/>
    <n v="0"/>
    <n v="5"/>
    <n v="1"/>
    <n v="488"/>
    <n v="6"/>
    <n v="7.3770491803278686"/>
    <n v="0.81333333333333335"/>
    <n v="0.81333333333333335"/>
  </r>
  <r>
    <x v="1"/>
    <d v="2021-09-30T00:00:00"/>
    <s v="A"/>
    <x v="5"/>
    <x v="5"/>
    <m/>
    <s v="Vergin"/>
    <s v="CAP S TYPE MOLDED RED"/>
    <s v="EI30Ca"/>
    <s v="Nitin"/>
    <n v="3"/>
    <n v="1551"/>
    <n v="517"/>
    <n v="1612"/>
    <n v="1600"/>
    <n v="0"/>
    <n v="0"/>
    <n v="0"/>
    <n v="0"/>
    <n v="4"/>
    <n v="8"/>
    <n v="1"/>
    <n v="1600"/>
    <n v="1.0315925209542232"/>
    <x v="5"/>
    <n v="7.3"/>
    <n v="11.7676"/>
    <n v="0.99255583126550873"/>
    <n v="2.4937655860349127E-3"/>
    <n v="0"/>
    <n v="0.9975186104218362"/>
    <n v="0.33333333333333331"/>
    <n v="2.6666666666666665"/>
    <n v="0.88888888888888884"/>
    <n v="533.33333333333337"/>
    <n v="6"/>
    <n v="6"/>
    <n v="1"/>
    <n v="0.88668320926385435"/>
  </r>
  <r>
    <x v="1"/>
    <d v="2021-09-30T00:00:00"/>
    <s v="A"/>
    <x v="8"/>
    <x v="68"/>
    <m/>
    <s v="LZ1"/>
    <s v="NIPPLE S TYPE Y SIZE PUNCHED LASER MARKED"/>
    <s v="HEI25AH22"/>
    <s v="Nitin"/>
    <n v="3.5"/>
    <n v="3000"/>
    <n v="857.14285714285711"/>
    <n v="3040"/>
    <n v="3040"/>
    <n v="0"/>
    <n v="0"/>
    <n v="0"/>
    <n v="0"/>
    <n v="0"/>
    <n v="0"/>
    <n v="1"/>
    <n v="3040"/>
    <n v="1.0133333333333334"/>
    <x v="43"/>
    <n v="0"/>
    <n v="0"/>
    <s v=" "/>
    <n v="0"/>
    <n v="0"/>
    <n v="1"/>
    <n v="0.5"/>
    <n v="3"/>
    <n v="0.8571428571428571"/>
    <n v="868.57142857142856"/>
    <n v="3.5"/>
    <n v="3.5526315789473686"/>
    <n v="0.98518518518518516"/>
    <n v="0.84444444444444433"/>
  </r>
  <r>
    <x v="1"/>
    <d v="2021-09-30T00:00:00"/>
    <s v="A"/>
    <x v="8"/>
    <x v="25"/>
    <m/>
    <s v="LZ1"/>
    <s v="NIPPLE S TYPE S SIZE PUNCHED LASER MARKED"/>
    <m/>
    <s v="Nitin"/>
    <n v="4.5"/>
    <n v="4000"/>
    <n v="888.88888888888891"/>
    <n v="4000"/>
    <n v="4000"/>
    <n v="0"/>
    <n v="0"/>
    <n v="0"/>
    <n v="0"/>
    <n v="0"/>
    <n v="0"/>
    <n v="1"/>
    <n v="4000"/>
    <n v="1"/>
    <x v="20"/>
    <n v="0"/>
    <n v="0"/>
    <s v=" "/>
    <n v="0"/>
    <n v="0"/>
    <n v="1"/>
    <n v="0.16666666666666666"/>
    <n v="4.333333333333333"/>
    <n v="0.96296296296296291"/>
    <n v="888.88888888888891"/>
    <n v="3.5"/>
    <n v="3.8999999999999995"/>
    <n v="0.89743589743589758"/>
    <n v="0.86419753086419759"/>
  </r>
  <r>
    <x v="1"/>
    <d v="2021-09-30T00:00:00"/>
    <s v="G"/>
    <x v="4"/>
    <x v="69"/>
    <m/>
    <m/>
    <s v="NIPPLE S TYPE Y SIZE PUNCHED INSPECTED"/>
    <s v="HEI21NcI28Pa"/>
    <s v="Saurabh"/>
    <n v="6"/>
    <n v="11000"/>
    <n v="1833.3333333333333"/>
    <n v="14432"/>
    <n v="14396"/>
    <n v="0"/>
    <n v="0"/>
    <n v="0"/>
    <n v="0"/>
    <n v="36"/>
    <n v="0"/>
    <n v="2"/>
    <n v="7198"/>
    <n v="1.3087272727272727"/>
    <x v="44"/>
    <n v="0"/>
    <n v="0"/>
    <s v=" "/>
    <n v="2.4944567627494456E-3"/>
    <n v="0"/>
    <n v="0.9975055432372506"/>
    <n v="0.66666666666666663"/>
    <n v="5.333333333333333"/>
    <n v="0.88888888888888884"/>
    <n v="2399.3333333333335"/>
    <n v="4"/>
    <n v="2.6674076132258961"/>
    <n v="1.4995833333333333"/>
    <n v="1.3296379444855053"/>
  </r>
  <r>
    <x v="1"/>
    <d v="2021-09-30T00:00:00"/>
    <s v="G"/>
    <x v="4"/>
    <x v="16"/>
    <m/>
    <m/>
    <s v="NIPPLE S TYPE S SIZE PUNCHED INSPECTED"/>
    <s v="HEI25NaI27Pa"/>
    <s v="Saurabh"/>
    <n v="1.7"/>
    <n v="2800"/>
    <n v="1647.0588235294117"/>
    <n v="5200"/>
    <n v="5179"/>
    <n v="0"/>
    <n v="0"/>
    <n v="0"/>
    <n v="0"/>
    <n v="21"/>
    <n v="0"/>
    <n v="2"/>
    <n v="2589.5"/>
    <n v="1.8496428571428571"/>
    <x v="13"/>
    <n v="0"/>
    <n v="0"/>
    <s v=" "/>
    <n v="4.0384615384615385E-3"/>
    <n v="0"/>
    <n v="0.99596153846153845"/>
    <n v="0.16666666666666666"/>
    <n v="1.5333333333333332"/>
    <n v="0.90196078431372539"/>
    <n v="3046.4705882352941"/>
    <n v="4"/>
    <n v="2.1316856536010813"/>
    <n v="1.8764492753623188"/>
    <n v="1.6856486299648061"/>
  </r>
  <r>
    <x v="1"/>
    <d v="2021-09-30T00:00:00"/>
    <s v="G"/>
    <x v="4"/>
    <x v="42"/>
    <m/>
    <m/>
    <s v="NIPPLE S TYPE LL SIZE INSPECTED"/>
    <s v="HEI28NaI28Pb"/>
    <s v="Saurabh"/>
    <n v="0.3"/>
    <n v="332"/>
    <n v="1106.6666666666667"/>
    <n v="500"/>
    <n v="488"/>
    <n v="0"/>
    <n v="0"/>
    <n v="0"/>
    <n v="0"/>
    <n v="12"/>
    <n v="0"/>
    <n v="2"/>
    <n v="244"/>
    <n v="1.4698795180722892"/>
    <x v="32"/>
    <n v="0"/>
    <n v="0"/>
    <s v=" "/>
    <n v="2.4E-2"/>
    <n v="0"/>
    <n v="0.97599999999999998"/>
    <n v="0"/>
    <n v="0.3"/>
    <n v="1"/>
    <n v="1626.6666666666667"/>
    <n v="4"/>
    <n v="4.4262295081967213"/>
    <n v="0.90370370370370368"/>
    <n v="0.88201481481481481"/>
  </r>
  <r>
    <x v="1"/>
    <d v="2021-09-30T00:00:00"/>
    <s v="B"/>
    <x v="8"/>
    <x v="25"/>
    <m/>
    <s v="LZ1"/>
    <s v="NIPPLE S TYPE S SIZE PUNCHED LASER MARKED"/>
    <s v="HEI25AH22"/>
    <s v="Saurabh"/>
    <n v="8"/>
    <n v="7000"/>
    <n v="875"/>
    <n v="6200"/>
    <n v="6200"/>
    <n v="0"/>
    <n v="0"/>
    <n v="0"/>
    <n v="0"/>
    <n v="0"/>
    <n v="0"/>
    <n v="1"/>
    <n v="6200"/>
    <n v="0.88571428571428568"/>
    <x v="20"/>
    <n v="0"/>
    <n v="0"/>
    <s v=" "/>
    <n v="0"/>
    <n v="0"/>
    <n v="1"/>
    <n v="1.6666666666666667"/>
    <n v="6.333333333333333"/>
    <n v="0.79166666666666663"/>
    <n v="775"/>
    <n v="3.5"/>
    <n v="3.6774193548387095"/>
    <n v="0.95175438596491235"/>
    <n v="0.75347222222222221"/>
  </r>
  <r>
    <x v="1"/>
    <d v="2021-09-30T00:00:00"/>
    <s v="B"/>
    <x v="5"/>
    <x v="5"/>
    <m/>
    <s v="Vergin"/>
    <s v="CAP S TYPE MOLDED RED"/>
    <s v="EI30Cb"/>
    <s v="Saurabh"/>
    <n v="8"/>
    <n v="4137"/>
    <n v="517.125"/>
    <n v="4220"/>
    <n v="4220"/>
    <n v="0"/>
    <n v="0"/>
    <n v="0"/>
    <n v="0"/>
    <n v="0"/>
    <n v="0"/>
    <n v="1"/>
    <n v="4220"/>
    <n v="1.020062847474015"/>
    <x v="5"/>
    <n v="7.3"/>
    <n v="30.806000000000001"/>
    <n v="1"/>
    <n v="0"/>
    <n v="0"/>
    <n v="1"/>
    <n v="0"/>
    <n v="8"/>
    <n v="1"/>
    <n v="527.5"/>
    <n v="6"/>
    <n v="6.8246445497630335"/>
    <n v="0.87916666666666665"/>
    <n v="0.87916666666666665"/>
  </r>
  <r>
    <x v="1"/>
    <d v="2021-09-30T00:00:00"/>
    <s v="G"/>
    <x v="6"/>
    <x v="62"/>
    <m/>
    <m/>
    <s v="KPP 120 BOTTLE PRINTED-WMG3B (OZ SCALE)"/>
    <m/>
    <s v="Pintu"/>
    <n v="8.5"/>
    <n v="5100"/>
    <n v="600"/>
    <n v="2126"/>
    <n v="2102"/>
    <n v="0"/>
    <n v="0"/>
    <n v="0"/>
    <n v="0"/>
    <n v="24"/>
    <n v="0"/>
    <n v="5"/>
    <n v="420.4"/>
    <n v="0.41215686274509805"/>
    <x v="39"/>
    <n v="0"/>
    <n v="0"/>
    <s v=" "/>
    <n v="1.1288805268109126E-2"/>
    <n v="0"/>
    <n v="0.98871119473189084"/>
    <n v="4.833333333333333"/>
    <n v="3.666666666666667"/>
    <n v="0.43137254901960786"/>
    <n v="247.29411764705881"/>
    <n v="32.4"/>
    <n v="31.39866793529972"/>
    <n v="1.031890909090909"/>
    <n v="0.44010443251618614"/>
  </r>
  <r>
    <x v="2"/>
    <d v="2021-10-04T00:00:00"/>
    <s v="A"/>
    <x v="5"/>
    <x v="5"/>
    <m/>
    <s v="Virgen"/>
    <s v="CAP S TYPE MOLDED RED"/>
    <s v="EJ04Ca"/>
    <s v="Nitin"/>
    <n v="3"/>
    <n v="1551"/>
    <n v="517"/>
    <n v="800"/>
    <n v="800"/>
    <n v="0.2"/>
    <n v="0"/>
    <n v="0"/>
    <n v="0"/>
    <n v="0"/>
    <n v="0"/>
    <n v="1"/>
    <n v="800"/>
    <n v="0.51579626047711158"/>
    <x v="5"/>
    <n v="7.3"/>
    <n v="6.04"/>
    <n v="0.96688741721854299"/>
    <n v="0"/>
    <n v="0"/>
    <n v="1"/>
    <n v="1.6666666666666667"/>
    <n v="1.3333333333333333"/>
    <n v="0.44444444444444442"/>
    <n v="266.66666666666669"/>
    <n v="6"/>
    <n v="6"/>
    <n v="1"/>
    <n v="0.44444444444444442"/>
  </r>
  <r>
    <x v="2"/>
    <d v="2021-10-04T00:00:00"/>
    <s v="A"/>
    <x v="5"/>
    <x v="5"/>
    <m/>
    <s v="Recycle"/>
    <s v="CAP S TYPE MOLDED RED"/>
    <s v="EJ04CRa"/>
    <s v="Nitin"/>
    <n v="5"/>
    <n v="2586"/>
    <n v="517.20000000000005"/>
    <n v="2812"/>
    <n v="2800"/>
    <n v="0"/>
    <n v="0"/>
    <n v="0"/>
    <n v="0"/>
    <n v="4"/>
    <n v="8"/>
    <n v="1"/>
    <n v="2800"/>
    <n v="1.082753286929621"/>
    <x v="5"/>
    <n v="7.3"/>
    <n v="20.5276"/>
    <n v="0.99573257467994314"/>
    <n v="1.4265335235378032E-3"/>
    <n v="0"/>
    <n v="0.99857752489331442"/>
    <n v="0"/>
    <n v="5"/>
    <n v="1"/>
    <n v="560"/>
    <n v="6"/>
    <n v="6.4285714285714288"/>
    <n v="0.93333333333333335"/>
    <n v="0.93200568990042676"/>
  </r>
  <r>
    <x v="2"/>
    <d v="2021-10-04T00:00:00"/>
    <s v="A"/>
    <x v="1"/>
    <x v="1"/>
    <s v="BM4"/>
    <s v="B2"/>
    <s v="RPP 120 ML BOTTLE MOLDED"/>
    <s v="EJ04Ba2"/>
    <s v="Nitin"/>
    <n v="8"/>
    <n v="2574"/>
    <n v="321.75"/>
    <n v="2256"/>
    <n v="2160"/>
    <n v="0.36"/>
    <n v="56"/>
    <n v="0"/>
    <n v="0"/>
    <n v="32"/>
    <n v="8"/>
    <n v="1"/>
    <n v="2160"/>
    <n v="0.83916083916083917"/>
    <x v="1"/>
    <n v="21.3"/>
    <n v="48.412799999999997"/>
    <n v="0.95032718619869117"/>
    <n v="1.4598540145985401E-2"/>
    <n v="2.4221453287197232E-2"/>
    <n v="0.98581560283687941"/>
    <n v="2.4166666666666665"/>
    <n v="5.5833333333333339"/>
    <n v="0.69791666666666674"/>
    <n v="270"/>
    <n v="9"/>
    <n v="9.3055555555555571"/>
    <n v="0.96716417910447749"/>
    <n v="0.66542553191489362"/>
  </r>
  <r>
    <x v="2"/>
    <d v="2021-10-04T00:00:00"/>
    <s v="A"/>
    <x v="8"/>
    <x v="25"/>
    <m/>
    <s v="LZ1"/>
    <s v="NIPPLE S TYPE S SIZE PUNCHED LASER MARKED"/>
    <s v="HEI25BH22"/>
    <s v="Nitin"/>
    <n v="8"/>
    <n v="7000"/>
    <n v="875"/>
    <n v="5582"/>
    <n v="5569"/>
    <n v="0"/>
    <n v="0"/>
    <n v="0"/>
    <n v="0"/>
    <n v="13"/>
    <n v="0"/>
    <n v="1"/>
    <n v="5569"/>
    <n v="0.7955714285714286"/>
    <x v="20"/>
    <n v="0"/>
    <n v="0"/>
    <s v=" "/>
    <n v="2.3289143676101754E-3"/>
    <n v="0"/>
    <n v="0.99767108563238982"/>
    <n v="1.6666666666666667"/>
    <n v="6.333333333333333"/>
    <n v="0.79166666666666663"/>
    <n v="696.125"/>
    <n v="3.5"/>
    <n v="4.0940922966421258"/>
    <n v="0.85489035087719301"/>
    <n v="0.67521201269457376"/>
  </r>
  <r>
    <x v="2"/>
    <d v="2021-10-04T00:00:00"/>
    <s v="A"/>
    <x v="6"/>
    <x v="36"/>
    <m/>
    <s v="PR1"/>
    <s v="RPP 240 ML BOTTLE PRINTED"/>
    <s v="EI24Ba1J04Pa"/>
    <s v="Pintu"/>
    <n v="8"/>
    <n v="5800"/>
    <n v="725"/>
    <n v="5054"/>
    <n v="5040"/>
    <n v="0"/>
    <n v="0"/>
    <n v="32"/>
    <n v="0"/>
    <n v="14"/>
    <n v="0"/>
    <n v="5"/>
    <n v="1008"/>
    <n v="0.86896551724137927"/>
    <x v="26"/>
    <n v="0"/>
    <n v="0"/>
    <s v=" "/>
    <n v="2.7700831024930748E-3"/>
    <n v="0"/>
    <n v="0.99722991689750695"/>
    <n v="0.66666666666666663"/>
    <n v="7.333333333333333"/>
    <n v="0.91666666666666663"/>
    <n v="630"/>
    <n v="32.4"/>
    <n v="26.19047619047619"/>
    <n v="1.237090909090909"/>
    <n v="1.1308587257617728"/>
  </r>
  <r>
    <x v="2"/>
    <d v="2021-10-04T00:00:00"/>
    <s v="A"/>
    <x v="0"/>
    <x v="28"/>
    <s v="M2"/>
    <s v="L2"/>
    <s v="NIPPLE S TYPE LL SIZE INJECTION"/>
    <s v="HEJO4Na"/>
    <s v="Nitin"/>
    <n v="8"/>
    <n v="3600"/>
    <n v="450"/>
    <n v="1246"/>
    <n v="600"/>
    <n v="0"/>
    <n v="630"/>
    <n v="0"/>
    <n v="0"/>
    <n v="8"/>
    <n v="8"/>
    <n v="1"/>
    <n v="600"/>
    <n v="0.16666666666666666"/>
    <x v="23"/>
    <n v="6.8"/>
    <n v="8.4727999999999994"/>
    <n v="0.48154093097913325"/>
    <n v="1.3157894736842105E-2"/>
    <n v="0.33582089552238809"/>
    <n v="0.9935794542536116"/>
    <n v="7.166666666666667"/>
    <n v="0.83333333333333304"/>
    <n v="0.10416666666666663"/>
    <n v="75"/>
    <n v="5.25"/>
    <n v="4.9999999999999982"/>
    <n v="1.0500000000000003"/>
    <n v="0.10867275280898875"/>
  </r>
  <r>
    <x v="2"/>
    <d v="2021-10-04T00:00:00"/>
    <s v="G"/>
    <x v="4"/>
    <x v="16"/>
    <m/>
    <m/>
    <s v="NIPPLE S TYPE S SIZE PUNCHED INSPECTED"/>
    <s v="HEI25NbI27Pa"/>
    <s v="Vivek"/>
    <n v="8"/>
    <n v="14132"/>
    <n v="1766.5"/>
    <n v="9150"/>
    <n v="9131"/>
    <n v="0"/>
    <n v="0"/>
    <n v="0"/>
    <n v="0"/>
    <n v="19"/>
    <n v="0"/>
    <n v="1"/>
    <n v="9131"/>
    <n v="0.64612227568638547"/>
    <x v="13"/>
    <n v="0"/>
    <n v="0"/>
    <s v=" "/>
    <n v="2.0765027322404372E-3"/>
    <n v="0"/>
    <n v="0.99792349726775953"/>
    <n v="0.83333333333333337"/>
    <n v="7.166666666666667"/>
    <n v="0.89583333333333337"/>
    <n v="1141.375"/>
    <n v="4"/>
    <n v="2.8255393713722485"/>
    <n v="1.415658914728682"/>
    <n v="1.2655610352155433"/>
  </r>
  <r>
    <x v="2"/>
    <d v="2021-10-04T00:00:00"/>
    <s v="B"/>
    <x v="0"/>
    <x v="28"/>
    <s v="M2"/>
    <s v="L2"/>
    <s v="NIPPLE S TYPE LL SIZE INJECTION"/>
    <s v="HEJ04Nb"/>
    <s v="Saurabh"/>
    <n v="8"/>
    <n v="4815"/>
    <n v="601.875"/>
    <n v="3585"/>
    <n v="3200"/>
    <n v="0"/>
    <n v="325"/>
    <n v="0"/>
    <n v="0"/>
    <n v="60"/>
    <n v="0"/>
    <n v="1"/>
    <n v="3200"/>
    <n v="0.66458982346832818"/>
    <x v="23"/>
    <n v="6.8"/>
    <n v="24.378"/>
    <n v="0.89260808926080881"/>
    <n v="1.8404907975460124E-2"/>
    <n v="8.3120204603580564E-2"/>
    <n v="0.98326359832635979"/>
    <n v="2.5"/>
    <n v="5.5"/>
    <n v="0.6875"/>
    <n v="400"/>
    <n v="5.25"/>
    <n v="6.1875"/>
    <n v="0.84848484848484851"/>
    <n v="0.5735704323570433"/>
  </r>
  <r>
    <x v="2"/>
    <d v="2021-10-04T00:00:00"/>
    <s v="B"/>
    <x v="1"/>
    <x v="1"/>
    <s v="BM4"/>
    <s v="B2"/>
    <s v="RPP 120 ML BOTTLE MOLDED"/>
    <s v="EJ04Bb2"/>
    <s v="Saurabh"/>
    <n v="8"/>
    <n v="2574"/>
    <n v="321.75"/>
    <n v="3280"/>
    <n v="3240"/>
    <n v="0.2"/>
    <n v="0"/>
    <n v="0"/>
    <n v="0"/>
    <n v="40"/>
    <n v="0"/>
    <n v="1"/>
    <n v="3240"/>
    <n v="1.2587412587412588"/>
    <x v="1"/>
    <n v="21.3"/>
    <n v="70.064000000000007"/>
    <n v="0.98498515642840823"/>
    <n v="1.2195121951219513E-2"/>
    <n v="0"/>
    <n v="0.98780487804878048"/>
    <n v="0"/>
    <n v="8"/>
    <n v="1"/>
    <n v="405"/>
    <n v="9"/>
    <n v="8.8888888888888893"/>
    <n v="1.0125"/>
    <n v="1.0001524390243901"/>
  </r>
  <r>
    <x v="2"/>
    <d v="2021-10-04T00:00:00"/>
    <s v="B"/>
    <x v="5"/>
    <x v="5"/>
    <m/>
    <s v="Recycle"/>
    <s v="CAP S TYPE MOLDED RED"/>
    <s v="EJO4CRb"/>
    <s v="Saurabh"/>
    <n v="8"/>
    <n v="4137"/>
    <n v="517.125"/>
    <n v="4100"/>
    <n v="4100"/>
    <n v="0"/>
    <n v="0"/>
    <n v="0"/>
    <n v="0"/>
    <n v="0"/>
    <n v="0"/>
    <n v="1"/>
    <n v="4100"/>
    <n v="0.99105632100555963"/>
    <x v="5"/>
    <n v="7.3"/>
    <n v="29.93"/>
    <n v="1"/>
    <n v="0"/>
    <n v="0"/>
    <n v="1"/>
    <n v="1"/>
    <n v="7"/>
    <n v="0.875"/>
    <n v="512.5"/>
    <n v="6"/>
    <n v="6.1463414634146343"/>
    <n v="0.97619047619047616"/>
    <n v="0.85416666666666663"/>
  </r>
  <r>
    <x v="2"/>
    <d v="2021-10-04T00:00:00"/>
    <s v="B"/>
    <x v="6"/>
    <x v="36"/>
    <m/>
    <s v="PR1"/>
    <s v="RPP 240 ML BOTTLE PRINTED"/>
    <s v="EI27Ba1J04Pb"/>
    <s v="Pintu"/>
    <n v="8"/>
    <n v="5800"/>
    <n v="725"/>
    <n v="6041"/>
    <n v="6000"/>
    <n v="0"/>
    <n v="0"/>
    <n v="41"/>
    <n v="0"/>
    <n v="41"/>
    <n v="0"/>
    <n v="6"/>
    <n v="1000"/>
    <n v="1.0344827586206897"/>
    <x v="26"/>
    <n v="0"/>
    <n v="0"/>
    <s v=" "/>
    <n v="6.7869558020195331E-3"/>
    <n v="0"/>
    <n v="0.99321304419798051"/>
    <n v="0.66666666666666663"/>
    <n v="7.333333333333333"/>
    <n v="0.91666666666666663"/>
    <n v="750"/>
    <n v="32.4"/>
    <n v="26.4"/>
    <n v="1.2272727272727273"/>
    <n v="1.1173646747227279"/>
  </r>
  <r>
    <x v="2"/>
    <d v="2021-10-04T00:00:00"/>
    <s v="C"/>
    <x v="5"/>
    <x v="5"/>
    <m/>
    <s v="Recycle"/>
    <s v="CAP S TYPE MOLDED RED"/>
    <s v="EJ04CRc"/>
    <s v="Badelal"/>
    <n v="3"/>
    <n v="1551"/>
    <n v="517"/>
    <n v="1800"/>
    <n v="1800"/>
    <n v="0"/>
    <n v="0"/>
    <n v="0"/>
    <n v="0"/>
    <n v="0"/>
    <n v="0"/>
    <n v="1"/>
    <n v="1800"/>
    <n v="1.1605415860735009"/>
    <x v="5"/>
    <n v="7.3"/>
    <n v="13.14"/>
    <n v="1"/>
    <n v="0"/>
    <n v="0"/>
    <n v="1"/>
    <n v="0"/>
    <n v="3"/>
    <n v="1"/>
    <n v="600"/>
    <n v="6"/>
    <n v="6"/>
    <n v="1"/>
    <n v="1"/>
  </r>
  <r>
    <x v="2"/>
    <d v="2021-10-04T00:00:00"/>
    <s v="C"/>
    <x v="5"/>
    <x v="5"/>
    <m/>
    <s v="Virgen"/>
    <s v="CAP S TYPE MOLDED RED"/>
    <s v="EJ04Cc"/>
    <s v="Badelal"/>
    <n v="5"/>
    <n v="2585"/>
    <n v="517"/>
    <n v="2304"/>
    <n v="2300"/>
    <n v="0.6"/>
    <n v="0"/>
    <n v="0"/>
    <n v="0"/>
    <n v="4"/>
    <n v="0"/>
    <n v="1"/>
    <n v="2300"/>
    <n v="0.88974854932301739"/>
    <x v="5"/>
    <n v="7.3"/>
    <n v="17.4192"/>
    <n v="0.96387893818315418"/>
    <n v="1.736111111111111E-3"/>
    <n v="0"/>
    <n v="0.99826388888888884"/>
    <n v="1"/>
    <n v="4"/>
    <n v="0.8"/>
    <n v="460"/>
    <n v="6"/>
    <n v="6.2608695652173916"/>
    <n v="0.95833333333333326"/>
    <n v="0.76533564814814814"/>
  </r>
  <r>
    <x v="2"/>
    <d v="2021-10-04T00:00:00"/>
    <s v="C"/>
    <x v="1"/>
    <x v="1"/>
    <s v="BM4"/>
    <s v="B2"/>
    <s v="RPP 120 ML BOTTLE MOLDED"/>
    <s v="EJ04Bc2"/>
    <s v="Badelal"/>
    <n v="8"/>
    <n v="2574"/>
    <n v="321.75"/>
    <n v="3279"/>
    <n v="3240"/>
    <n v="0.11"/>
    <n v="0"/>
    <n v="0"/>
    <n v="0"/>
    <n v="39"/>
    <n v="0"/>
    <n v="1"/>
    <n v="3240"/>
    <n v="1.2587412587412588"/>
    <x v="1"/>
    <n v="21.3"/>
    <n v="69.952699999999993"/>
    <n v="0.98655234179667128"/>
    <n v="1.1893870082342177E-2"/>
    <n v="0"/>
    <n v="0.98810612991765778"/>
    <n v="0"/>
    <n v="8"/>
    <n v="1"/>
    <n v="405"/>
    <n v="9"/>
    <n v="8.8888888888888893"/>
    <n v="1.0125"/>
    <n v="1.0004574565416284"/>
  </r>
  <r>
    <x v="2"/>
    <d v="2021-10-04T00:00:00"/>
    <s v="C"/>
    <x v="0"/>
    <x v="28"/>
    <s v="M2"/>
    <s v="L2"/>
    <s v="NIPPLE S TYPE LL SIZE INJECTION"/>
    <s v="HEJ04Nc"/>
    <s v="Badelal"/>
    <n v="2"/>
    <n v="644"/>
    <n v="322"/>
    <n v="760"/>
    <n v="600"/>
    <n v="0"/>
    <n v="105"/>
    <n v="0"/>
    <n v="0"/>
    <n v="55"/>
    <n v="0"/>
    <n v="1"/>
    <n v="600"/>
    <n v="0.93167701863354035"/>
    <x v="23"/>
    <n v="6.8"/>
    <n v="5.1680000000000001"/>
    <n v="0.78947368421052633"/>
    <n v="8.3969465648854963E-2"/>
    <n v="0.12138728323699421"/>
    <n v="0.92763157894736847"/>
    <n v="1.1666666666666667"/>
    <n v="0.83333333333333326"/>
    <n v="0.41666666666666663"/>
    <n v="300"/>
    <n v="5.25"/>
    <n v="4.9999999999999991"/>
    <n v="1.0500000000000003"/>
    <n v="0.40583881578947378"/>
  </r>
  <r>
    <x v="2"/>
    <d v="2021-10-05T00:00:00"/>
    <s v="A"/>
    <x v="1"/>
    <x v="1"/>
    <s v="BM4"/>
    <s v="B2"/>
    <s v="RPP 120 ML BOTTLE MOLDED"/>
    <s v="EJ05Ba2"/>
    <s v="Nitin"/>
    <n v="8"/>
    <n v="2574"/>
    <n v="321.75"/>
    <n v="3300"/>
    <n v="3240"/>
    <n v="0"/>
    <n v="20"/>
    <n v="0"/>
    <n v="0"/>
    <n v="32"/>
    <n v="8"/>
    <n v="1"/>
    <n v="3240"/>
    <n v="1.2587412587412588"/>
    <x v="1"/>
    <n v="21.3"/>
    <n v="70.289999999999992"/>
    <n v="0.98181818181818192"/>
    <n v="9.7799511002444987E-3"/>
    <n v="6.024096385542169E-3"/>
    <n v="0.99030303030303035"/>
    <n v="0"/>
    <n v="8"/>
    <n v="1"/>
    <n v="405"/>
    <n v="9"/>
    <n v="8.8888888888888893"/>
    <n v="1.0125"/>
    <n v="1.0026818181818182"/>
  </r>
  <r>
    <x v="2"/>
    <d v="2021-10-05T00:00:00"/>
    <s v="A"/>
    <x v="5"/>
    <x v="5"/>
    <m/>
    <s v="Virgen"/>
    <s v="CAP S TYPE MOLDED RED"/>
    <s v="EJ05Ca"/>
    <s v="Nitin"/>
    <n v="2.5"/>
    <n v="1292"/>
    <n v="516.79999999999995"/>
    <n v="1130"/>
    <n v="1130"/>
    <n v="0"/>
    <n v="0"/>
    <n v="0"/>
    <n v="0"/>
    <n v="0"/>
    <n v="0"/>
    <n v="1"/>
    <n v="1130"/>
    <n v="0.87461300309597523"/>
    <x v="5"/>
    <n v="7.3"/>
    <n v="8.2490000000000006"/>
    <n v="1"/>
    <n v="0"/>
    <n v="0"/>
    <n v="1"/>
    <n v="0.83333333333333337"/>
    <n v="1.6666666666666665"/>
    <n v="0.66666666666666663"/>
    <n v="452"/>
    <n v="6"/>
    <n v="5.3097345132743357"/>
    <n v="1.1300000000000001"/>
    <n v="0.75333333333333341"/>
  </r>
  <r>
    <x v="2"/>
    <d v="2021-10-05T00:00:00"/>
    <s v="A"/>
    <x v="5"/>
    <x v="5"/>
    <m/>
    <s v="Recycle"/>
    <s v="CAP S TYPE MOLDED RED"/>
    <s v="EJ05CRa"/>
    <s v="Nitin"/>
    <n v="5.5"/>
    <n v="2845"/>
    <n v="517.27272727272725"/>
    <n v="3208"/>
    <n v="3200"/>
    <n v="0"/>
    <n v="0"/>
    <n v="0"/>
    <n v="0"/>
    <n v="0"/>
    <n v="8"/>
    <n v="1"/>
    <n v="3200"/>
    <n v="1.1247803163444641"/>
    <x v="5"/>
    <n v="7.3"/>
    <n v="23.418400000000002"/>
    <n v="0.99750623441396502"/>
    <n v="0"/>
    <n v="0"/>
    <n v="1"/>
    <n v="0"/>
    <n v="5.5"/>
    <n v="1"/>
    <n v="581.81818181818187"/>
    <n v="6"/>
    <n v="6.1875"/>
    <n v="0.96969696969696972"/>
    <n v="0.96969696969696972"/>
  </r>
  <r>
    <x v="2"/>
    <d v="2021-10-05T00:00:00"/>
    <s v="A"/>
    <x v="3"/>
    <x v="34"/>
    <m/>
    <m/>
    <s v="NIPPLE S TYPE LL SIZE PUNCHED"/>
    <s v="HEJ04NaJ05Pa"/>
    <s v="Nitin"/>
    <n v="8"/>
    <n v="7000"/>
    <n v="875"/>
    <n v="4400"/>
    <n v="4400"/>
    <n v="0"/>
    <n v="0"/>
    <n v="0"/>
    <n v="0"/>
    <n v="0"/>
    <n v="0"/>
    <n v="1"/>
    <n v="4400"/>
    <n v="0.62857142857142856"/>
    <x v="28"/>
    <n v="0"/>
    <n v="0"/>
    <s v=" "/>
    <n v="0"/>
    <n v="0"/>
    <n v="1"/>
    <n v="2.6666666666666665"/>
    <n v="5.3333333333333339"/>
    <n v="0.66666666666666674"/>
    <n v="550"/>
    <n v="3.5"/>
    <n v="4.3636363636363642"/>
    <n v="0.80208333333333326"/>
    <n v="0.53472222222222221"/>
  </r>
  <r>
    <x v="2"/>
    <d v="2021-10-05T00:00:00"/>
    <s v="A"/>
    <x v="8"/>
    <x v="38"/>
    <m/>
    <s v="LZ1"/>
    <s v="NIPPLE S TYPE LL SIZE LASER MARKED"/>
    <s v="HEJ04HA22"/>
    <s v="Nitin"/>
    <n v="8"/>
    <n v="7000"/>
    <n v="875"/>
    <n v="3800"/>
    <n v="3800"/>
    <n v="0"/>
    <n v="0"/>
    <n v="0"/>
    <n v="0"/>
    <n v="0"/>
    <n v="0"/>
    <n v="1"/>
    <n v="3800"/>
    <n v="0.54285714285714282"/>
    <x v="29"/>
    <n v="0"/>
    <n v="0"/>
    <s v=" "/>
    <n v="0"/>
    <n v="0"/>
    <n v="1"/>
    <n v="3.6666666666666665"/>
    <n v="4.3333333333333339"/>
    <n v="0.54166666666666674"/>
    <n v="475"/>
    <n v="3.5"/>
    <n v="4.1052631578947372"/>
    <n v="0.85256410256410253"/>
    <n v="0.46180555555555558"/>
  </r>
  <r>
    <x v="2"/>
    <d v="2021-10-05T00:00:00"/>
    <s v="A"/>
    <x v="0"/>
    <x v="28"/>
    <s v="M2"/>
    <s v="L2"/>
    <s v="NIPPLE S TYPE LL SIZE INJECTION"/>
    <s v="HEJ05Na"/>
    <s v="Nitin"/>
    <n v="8"/>
    <n v="4815"/>
    <n v="601.875"/>
    <n v="3408"/>
    <n v="2700"/>
    <n v="1.2"/>
    <n v="630"/>
    <n v="0"/>
    <n v="0"/>
    <n v="70"/>
    <n v="8"/>
    <n v="1"/>
    <n v="2700"/>
    <n v="0.56074766355140182"/>
    <x v="23"/>
    <n v="6.8"/>
    <n v="24.374399999999998"/>
    <n v="0.75324931075226476"/>
    <n v="2.5270758122743681E-2"/>
    <n v="0.15601783060921248"/>
    <n v="0.97946009389671362"/>
    <n v="3.6666666666666665"/>
    <n v="4.3333333333333339"/>
    <n v="0.54166666666666674"/>
    <n v="337.5"/>
    <n v="5.25"/>
    <n v="5.7777777777777786"/>
    <n v="0.90865384615384603"/>
    <n v="0.48207801496478875"/>
  </r>
  <r>
    <x v="2"/>
    <d v="2021-10-05T00:00:00"/>
    <s v="A"/>
    <x v="6"/>
    <x v="36"/>
    <m/>
    <m/>
    <s v="RPP 240 ML BOTTLE PRINTED"/>
    <s v="EI28Bb1J05Pa"/>
    <s v="Pintu"/>
    <n v="2"/>
    <n v="1450"/>
    <n v="725"/>
    <n v="1145"/>
    <n v="1137"/>
    <n v="0"/>
    <n v="0"/>
    <n v="11"/>
    <n v="0"/>
    <n v="8"/>
    <n v="0"/>
    <n v="5"/>
    <n v="227.4"/>
    <n v="0.7841379310344827"/>
    <x v="26"/>
    <n v="0"/>
    <n v="0"/>
    <s v=" "/>
    <n v="6.9868995633187774E-3"/>
    <n v="0"/>
    <n v="0.99301310043668123"/>
    <n v="0.83333333333333337"/>
    <n v="1.1666666666666665"/>
    <n v="0.58333333333333326"/>
    <n v="568.5"/>
    <n v="32.4"/>
    <n v="18.469656992084431"/>
    <n v="1.7542285714285715"/>
    <n v="1.0161503056768559"/>
  </r>
  <r>
    <x v="2"/>
    <d v="2021-10-05T00:00:00"/>
    <s v="A"/>
    <x v="6"/>
    <x v="14"/>
    <m/>
    <m/>
    <s v="RPP 120 ML BOTTLE PRINTED"/>
    <s v="EJ04Ba2J05Pa"/>
    <s v="Pintu"/>
    <n v="6"/>
    <n v="4350"/>
    <n v="725"/>
    <n v="4156"/>
    <n v="4140"/>
    <n v="0"/>
    <n v="0"/>
    <n v="22"/>
    <n v="0"/>
    <n v="16"/>
    <n v="0"/>
    <n v="5"/>
    <n v="828"/>
    <n v="0.9517241379310345"/>
    <x v="11"/>
    <n v="0"/>
    <n v="0"/>
    <s v=" "/>
    <n v="3.8498556304138597E-3"/>
    <n v="0"/>
    <n v="0.99615014436958615"/>
    <n v="0.5"/>
    <n v="5.5"/>
    <n v="0.91666666666666663"/>
    <n v="690"/>
    <n v="32.4"/>
    <n v="23.913043478260871"/>
    <n v="1.3549090909090908"/>
    <n v="1.237218479307026"/>
  </r>
  <r>
    <x v="2"/>
    <d v="2021-10-05T00:00:00"/>
    <s v="G"/>
    <x v="4"/>
    <x v="16"/>
    <m/>
    <m/>
    <s v="NIPPLE S TYPE S SIZE PUNCHED INSPECTED"/>
    <s v="HEI23AH11"/>
    <s v="Vivek"/>
    <n v="1"/>
    <n v="1200"/>
    <n v="1200"/>
    <n v="1233"/>
    <n v="1198"/>
    <n v="0"/>
    <n v="0"/>
    <n v="0"/>
    <n v="0"/>
    <n v="35"/>
    <n v="0"/>
    <n v="1"/>
    <n v="1198"/>
    <n v="0.99833333333333329"/>
    <x v="13"/>
    <n v="0"/>
    <n v="0"/>
    <s v=" "/>
    <n v="2.8386050283860504E-2"/>
    <n v="0"/>
    <n v="0.97161394971613946"/>
    <n v="0.83333333333333337"/>
    <n v="0.16666666666666663"/>
    <n v="0.16666666666666663"/>
    <n v="1198"/>
    <n v="4"/>
    <n v="0.50083472454090139"/>
    <n v="7.9866666666666681"/>
    <n v="1.2933261241777056"/>
  </r>
  <r>
    <x v="2"/>
    <d v="2021-10-05T00:00:00"/>
    <s v="G"/>
    <x v="4"/>
    <x v="42"/>
    <m/>
    <m/>
    <s v="NIPPLE S TYPE LL SIZE INSPECTED"/>
    <s v="HEJ04AH22"/>
    <s v="Vivek"/>
    <n v="7"/>
    <n v="12411"/>
    <n v="1773"/>
    <n v="5099"/>
    <n v="5019"/>
    <n v="0"/>
    <n v="0"/>
    <n v="0"/>
    <n v="0"/>
    <n v="80"/>
    <n v="0"/>
    <n v="1"/>
    <n v="5019"/>
    <n v="0.40439932318104904"/>
    <x v="32"/>
    <n v="0"/>
    <n v="0"/>
    <s v=" "/>
    <n v="1.5689350853108453E-2"/>
    <n v="0"/>
    <n v="0.98431064914689159"/>
    <n v="0"/>
    <n v="7"/>
    <n v="1"/>
    <n v="717"/>
    <n v="4"/>
    <n v="5.02092050209205"/>
    <n v="0.79666666666666675"/>
    <n v="0.78416748382035706"/>
  </r>
  <r>
    <x v="2"/>
    <d v="2021-10-05T00:00:00"/>
    <s v="G"/>
    <x v="7"/>
    <x v="71"/>
    <m/>
    <s v="WR1"/>
    <s v="NIPPLE S TYPE Y SIZE WITH PRINTED WRAP"/>
    <s v="HEI21CH22"/>
    <s v="Vivek"/>
    <n v="2.7"/>
    <n v="5000"/>
    <n v="1851.8518518518517"/>
    <n v="5190"/>
    <n v="5190"/>
    <n v="0"/>
    <n v="0"/>
    <n v="0"/>
    <n v="0"/>
    <n v="0"/>
    <n v="0"/>
    <n v="2"/>
    <n v="2595"/>
    <n v="1.038"/>
    <x v="43"/>
    <n v="0"/>
    <n v="0"/>
    <s v=" "/>
    <n v="0"/>
    <n v="0"/>
    <n v="1"/>
    <n v="0"/>
    <n v="2.7"/>
    <n v="1"/>
    <n v="1922.2222222222222"/>
    <n v="2.5"/>
    <n v="3.745664739884393"/>
    <n v="0.66743827160493829"/>
    <n v="0.66743827160493829"/>
  </r>
  <r>
    <x v="2"/>
    <d v="2021-10-05T00:00:00"/>
    <s v="G"/>
    <x v="7"/>
    <x v="29"/>
    <m/>
    <s v="WR1"/>
    <s v="NIPPLE S TYPE LL SIZE WRAPPED"/>
    <s v="HEI27AH22"/>
    <s v="Vivek"/>
    <n v="5.8"/>
    <n v="11132"/>
    <n v="1919.3103448275863"/>
    <n v="9558"/>
    <n v="9558"/>
    <n v="0"/>
    <n v="0"/>
    <n v="0"/>
    <n v="0"/>
    <n v="0"/>
    <n v="0"/>
    <n v="2"/>
    <n v="4779"/>
    <n v="0.85860582105641392"/>
    <x v="24"/>
    <n v="0"/>
    <n v="0"/>
    <s v=" "/>
    <n v="0"/>
    <n v="0"/>
    <n v="1"/>
    <n v="2"/>
    <n v="3.8"/>
    <n v="0.65517241379310343"/>
    <n v="1647.9310344827586"/>
    <n v="2.5"/>
    <n v="2.8625235404896423"/>
    <n v="0.87335526315789469"/>
    <n v="0.57219827586206895"/>
  </r>
  <r>
    <x v="2"/>
    <d v="2021-10-05T00:00:00"/>
    <s v="B"/>
    <x v="1"/>
    <x v="1"/>
    <s v="BM4"/>
    <s v="B2"/>
    <s v="RPP 120 ML BOTTLE MOLDED"/>
    <s v="EJ05Bb2"/>
    <s v="Badelal"/>
    <n v="8"/>
    <n v="2574"/>
    <n v="321.75"/>
    <n v="3143"/>
    <n v="3060"/>
    <n v="0.2"/>
    <n v="40"/>
    <n v="0"/>
    <n v="0"/>
    <n v="43"/>
    <n v="0"/>
    <n v="1"/>
    <n v="3060"/>
    <n v="1.1888111888111887"/>
    <x v="1"/>
    <n v="21.3"/>
    <n v="67.145899999999997"/>
    <n v="0.9706921792693225"/>
    <n v="1.3857557202707057E-2"/>
    <n v="1.2566760917373547E-2"/>
    <n v="0.98631880369074132"/>
    <n v="0"/>
    <n v="8"/>
    <n v="1"/>
    <n v="382.5"/>
    <n v="9"/>
    <n v="9.4117647058823533"/>
    <n v="0.95624999999999993"/>
    <n v="0.94316735602927138"/>
  </r>
  <r>
    <x v="2"/>
    <d v="2021-10-05T00:00:00"/>
    <s v="B"/>
    <x v="0"/>
    <x v="28"/>
    <s v="M2"/>
    <s v="L2"/>
    <s v="NIPPLE S TYPE LL SIZE INJECTION"/>
    <m/>
    <s v="Badelal"/>
    <n v="8"/>
    <n v="4815"/>
    <n v="601.875"/>
    <n v="3800"/>
    <n v="3400"/>
    <n v="0"/>
    <n v="265"/>
    <n v="0"/>
    <n v="0"/>
    <n v="135"/>
    <n v="0"/>
    <n v="1"/>
    <n v="3400"/>
    <n v="0.70612668743509865"/>
    <x v="23"/>
    <n v="6.8"/>
    <n v="25.84"/>
    <n v="0.89473684210526305"/>
    <n v="3.818953323903819E-2"/>
    <n v="6.519065190651907E-2"/>
    <n v="0.96447368421052626"/>
    <n v="2"/>
    <n v="6"/>
    <n v="0.75"/>
    <n v="425"/>
    <n v="5.25"/>
    <n v="6.3529411764705879"/>
    <n v="0.82638888888888895"/>
    <n v="0.59777275219298243"/>
  </r>
  <r>
    <x v="2"/>
    <d v="2021-10-05T00:00:00"/>
    <s v="B"/>
    <x v="5"/>
    <x v="5"/>
    <m/>
    <s v="Recycle"/>
    <s v="CAP S TYPE MOLDED RED"/>
    <s v="EJ05CRb"/>
    <s v="Badelal"/>
    <n v="2"/>
    <n v="1034"/>
    <n v="517"/>
    <n v="1000"/>
    <n v="1000"/>
    <n v="0"/>
    <n v="0"/>
    <n v="0"/>
    <n v="0"/>
    <n v="0"/>
    <n v="0"/>
    <n v="1"/>
    <n v="1000"/>
    <n v="0.96711798839458418"/>
    <x v="5"/>
    <n v="7.3"/>
    <n v="7.3"/>
    <n v="1"/>
    <n v="0"/>
    <n v="0"/>
    <n v="1"/>
    <n v="0.5"/>
    <n v="1.5"/>
    <n v="0.75"/>
    <n v="500"/>
    <n v="6"/>
    <n v="5.4"/>
    <n v="1.1111111111111109"/>
    <n v="0.83333333333333326"/>
  </r>
  <r>
    <x v="2"/>
    <d v="2021-10-05T00:00:00"/>
    <s v="B"/>
    <x v="5"/>
    <x v="5"/>
    <m/>
    <s v="Virgen"/>
    <s v="CAP S TYPE MOLDED RED"/>
    <s v="EJ05Cb"/>
    <s v="Badelal"/>
    <n v="6"/>
    <n v="3102"/>
    <n v="517"/>
    <n v="3308"/>
    <n v="3304"/>
    <n v="0"/>
    <n v="0"/>
    <n v="0"/>
    <n v="0"/>
    <n v="4"/>
    <n v="0"/>
    <n v="1"/>
    <n v="3304"/>
    <n v="1.0651192778852354"/>
    <x v="5"/>
    <n v="7.3"/>
    <n v="24.148399999999999"/>
    <n v="0.99879081015719473"/>
    <n v="1.2091898428053204E-3"/>
    <n v="0"/>
    <n v="0.99879081015719473"/>
    <n v="0"/>
    <n v="6"/>
    <n v="1"/>
    <n v="550.66666666666663"/>
    <n v="6"/>
    <n v="6.5375302663438255"/>
    <n v="0.9177777777777778"/>
    <n v="0.91666801021093647"/>
  </r>
  <r>
    <x v="2"/>
    <d v="2021-10-05T00:00:00"/>
    <s v="B"/>
    <x v="3"/>
    <x v="34"/>
    <m/>
    <m/>
    <s v="NIPPLE S TYPE LL SIZE PUNCHED"/>
    <s v="HEI05NaJ05Pb"/>
    <s v="Badelal"/>
    <n v="8"/>
    <n v="7000"/>
    <n v="875"/>
    <n v="3699"/>
    <n v="3699"/>
    <n v="0"/>
    <n v="0"/>
    <n v="0"/>
    <n v="0"/>
    <n v="0"/>
    <n v="0"/>
    <n v="1"/>
    <n v="3699"/>
    <n v="0.52842857142857147"/>
    <x v="28"/>
    <n v="0"/>
    <n v="0"/>
    <s v=" "/>
    <n v="0"/>
    <n v="0"/>
    <n v="1"/>
    <n v="2.6666666666666665"/>
    <n v="5.3333333333333339"/>
    <n v="0.66666666666666674"/>
    <n v="462.375"/>
    <n v="3.5"/>
    <n v="5.1905920519059219"/>
    <n v="0.6742968749999998"/>
    <n v="0.44953124999999994"/>
  </r>
  <r>
    <x v="2"/>
    <d v="2021-10-05T00:00:00"/>
    <s v="B"/>
    <x v="8"/>
    <x v="38"/>
    <m/>
    <s v="LZ1"/>
    <s v="NIPPLE S TYPE LL SIZE LASER MARKED"/>
    <s v="HEJ04CH22"/>
    <s v="Badelal"/>
    <n v="8"/>
    <n v="7000"/>
    <n v="875"/>
    <n v="4299"/>
    <n v="4299"/>
    <n v="0"/>
    <n v="0"/>
    <n v="0"/>
    <n v="0"/>
    <n v="0"/>
    <n v="0"/>
    <n v="1"/>
    <n v="4299"/>
    <n v="0.6141428571428571"/>
    <x v="29"/>
    <n v="0"/>
    <n v="0"/>
    <s v=" "/>
    <n v="0"/>
    <n v="0"/>
    <n v="1"/>
    <n v="2.6666666666666665"/>
    <n v="5.3333333333333339"/>
    <n v="0.66666666666666674"/>
    <n v="537.375"/>
    <n v="3.5"/>
    <n v="4.4661549197487798"/>
    <n v="0.7836718749999998"/>
    <n v="0.52244791666666657"/>
  </r>
  <r>
    <x v="2"/>
    <d v="2021-10-05T00:00:00"/>
    <s v="B"/>
    <x v="6"/>
    <x v="14"/>
    <m/>
    <m/>
    <s v="RPP 120 ML BOTTLE PRINTED"/>
    <s v="EJ04Bb2J05Pb"/>
    <s v="Pintu"/>
    <n v="8"/>
    <n v="5800"/>
    <n v="725"/>
    <n v="7231"/>
    <n v="7200"/>
    <n v="0"/>
    <n v="0"/>
    <n v="0"/>
    <n v="0"/>
    <n v="31"/>
    <n v="0"/>
    <n v="5"/>
    <n v="1440"/>
    <n v="1.2413793103448276"/>
    <x v="11"/>
    <n v="0"/>
    <n v="0"/>
    <s v=" "/>
    <n v="4.2870972203014794E-3"/>
    <n v="0"/>
    <n v="0.99571290277969848"/>
    <n v="0.66666666666666663"/>
    <n v="7.333333333333333"/>
    <n v="0.91666666666666663"/>
    <n v="900"/>
    <n v="32.4"/>
    <n v="18.333333333333332"/>
    <n v="1.7672727272727273"/>
    <n v="1.6130549025031116"/>
  </r>
  <r>
    <x v="2"/>
    <d v="2021-10-05T00:00:00"/>
    <s v="C"/>
    <x v="0"/>
    <x v="28"/>
    <s v="M2"/>
    <s v="L2"/>
    <s v="NIPPLE S TYPE LL SIZE INJECTION"/>
    <s v="HEJ05Nc"/>
    <s v="Saurabh"/>
    <n v="8"/>
    <n v="4815"/>
    <n v="601.875"/>
    <n v="5378"/>
    <n v="5300"/>
    <n v="0"/>
    <n v="0"/>
    <n v="0"/>
    <n v="0"/>
    <n v="70"/>
    <n v="8"/>
    <n v="1"/>
    <n v="5300"/>
    <n v="1.1007268951194185"/>
    <x v="23"/>
    <n v="6.8"/>
    <n v="36.570399999999999"/>
    <n v="0.98549646708813687"/>
    <n v="1.3035381750465549E-2"/>
    <n v="0"/>
    <n v="0.98698400892525107"/>
    <n v="0"/>
    <n v="8"/>
    <n v="1"/>
    <n v="662.5"/>
    <n v="5.25"/>
    <n v="5.4339622641509431"/>
    <n v="0.96614583333333337"/>
    <n v="0.95357048778976083"/>
  </r>
  <r>
    <x v="2"/>
    <d v="2021-10-05T00:00:00"/>
    <s v="C"/>
    <x v="5"/>
    <x v="5"/>
    <m/>
    <s v="Recycle"/>
    <s v="CAP S TYPE MOLDED RED"/>
    <s v="EJ05CRc"/>
    <s v="Saurabh"/>
    <n v="8"/>
    <n v="4137"/>
    <n v="517.125"/>
    <n v="3275"/>
    <n v="3200"/>
    <n v="0.18"/>
    <n v="46"/>
    <n v="0"/>
    <n v="0"/>
    <n v="21"/>
    <n v="8"/>
    <n v="1"/>
    <n v="3200"/>
    <n v="0.77350737249214407"/>
    <x v="5"/>
    <n v="7.3"/>
    <n v="24.087499999999999"/>
    <n v="0.96979761286974575"/>
    <n v="6.5197143744178824E-3"/>
    <n v="1.3851249623607348E-2"/>
    <n v="0.99358778625954203"/>
    <n v="2"/>
    <n v="6"/>
    <n v="0.75"/>
    <n v="400"/>
    <n v="6"/>
    <n v="6.75"/>
    <n v="0.88888888888888884"/>
    <n v="0.66239185750636131"/>
  </r>
  <r>
    <x v="2"/>
    <d v="2021-10-05T00:00:00"/>
    <s v="C"/>
    <x v="1"/>
    <x v="1"/>
    <s v="BM4"/>
    <s v="B2"/>
    <s v="RPP 120 ML BOTTLE MOLDED"/>
    <s v="EJ05Bc2"/>
    <s v="Saurabh"/>
    <n v="8"/>
    <n v="2574"/>
    <n v="321.75"/>
    <n v="3103"/>
    <n v="3060"/>
    <n v="0.2"/>
    <n v="0"/>
    <n v="0"/>
    <n v="0"/>
    <n v="35"/>
    <n v="8"/>
    <n v="1"/>
    <n v="3060"/>
    <n v="1.1888111888111887"/>
    <x v="1"/>
    <n v="21.3"/>
    <n v="66.293900000000008"/>
    <n v="0.9831673804075487"/>
    <n v="1.1308562197092083E-2"/>
    <n v="0"/>
    <n v="0.98872059297454074"/>
    <n v="0"/>
    <n v="8"/>
    <n v="1"/>
    <n v="382.5"/>
    <n v="9"/>
    <n v="9.4117647058823533"/>
    <n v="0.95624999999999993"/>
    <n v="0.94546406703190455"/>
  </r>
  <r>
    <x v="2"/>
    <d v="2021-10-06T00:00:00"/>
    <s v="A"/>
    <x v="1"/>
    <x v="1"/>
    <s v="BM4"/>
    <s v="B2"/>
    <s v="RPP 120 ML BOTTLE MOLDED"/>
    <s v="EJ06Ba2"/>
    <s v="Nitin"/>
    <n v="8"/>
    <n v="2574"/>
    <n v="321.75"/>
    <n v="3300"/>
    <n v="3240"/>
    <n v="0.28000000000000003"/>
    <n v="16"/>
    <n v="0"/>
    <n v="0"/>
    <n v="36"/>
    <n v="8"/>
    <n v="1"/>
    <n v="3240"/>
    <n v="1.2587412587412588"/>
    <x v="1"/>
    <n v="21.3"/>
    <n v="70.569999999999993"/>
    <n v="0.97792263001275337"/>
    <n v="1.098901098901099E-2"/>
    <n v="4.8250904704463205E-3"/>
    <n v="0.98909090909090913"/>
    <n v="0.33333333333333331"/>
    <n v="7.666666666666667"/>
    <n v="0.95833333333333337"/>
    <n v="405"/>
    <n v="9"/>
    <n v="8.518518518518519"/>
    <n v="1.0565217391304347"/>
    <n v="1.0014545454545454"/>
  </r>
  <r>
    <x v="2"/>
    <d v="2021-10-06T00:00:00"/>
    <s v="A"/>
    <x v="0"/>
    <x v="28"/>
    <s v="M2"/>
    <s v="L2"/>
    <s v="NIPPLE S TYPE LL SIZE INJECTION"/>
    <s v="HEJ06Na"/>
    <s v="Nitin"/>
    <n v="8"/>
    <n v="4815"/>
    <n v="601.875"/>
    <n v="5108"/>
    <n v="5000"/>
    <n v="0"/>
    <n v="40"/>
    <n v="0"/>
    <n v="0"/>
    <n v="60"/>
    <n v="8"/>
    <n v="1"/>
    <n v="5000"/>
    <n v="1.0384215991692627"/>
    <x v="23"/>
    <n v="6.8"/>
    <n v="34.734400000000001"/>
    <n v="0.97885669537979636"/>
    <n v="1.1857707509881422E-2"/>
    <n v="7.77000777000777E-3"/>
    <n v="0.9882537196554424"/>
    <n v="0"/>
    <n v="8"/>
    <n v="1"/>
    <n v="625"/>
    <n v="5.25"/>
    <n v="5.76"/>
    <n v="0.91145833333333337"/>
    <n v="0.90075208822761677"/>
  </r>
  <r>
    <x v="2"/>
    <d v="2021-10-06T00:00:00"/>
    <s v="A"/>
    <x v="3"/>
    <x v="34"/>
    <m/>
    <m/>
    <s v="NIPPLE S TYPE LL SIZE PUNCHED"/>
    <s v="HEJ05NcJ06Pa"/>
    <s v="Nitin"/>
    <n v="8"/>
    <n v="7000"/>
    <n v="875"/>
    <n v="7400"/>
    <n v="7400"/>
    <n v="0"/>
    <n v="0"/>
    <n v="0"/>
    <n v="0"/>
    <n v="0"/>
    <n v="0"/>
    <n v="1"/>
    <n v="7400"/>
    <n v="1.0571428571428572"/>
    <x v="28"/>
    <n v="0"/>
    <n v="0"/>
    <s v=" "/>
    <n v="0"/>
    <n v="0"/>
    <n v="1"/>
    <n v="0.66666666666666663"/>
    <n v="7.333333333333333"/>
    <n v="0.91666666666666663"/>
    <n v="925"/>
    <n v="3.5"/>
    <n v="3.5675675675675675"/>
    <n v="0.98106060606060608"/>
    <n v="0.89930555555555558"/>
  </r>
  <r>
    <x v="2"/>
    <d v="2021-10-06T00:00:00"/>
    <s v="A"/>
    <x v="8"/>
    <x v="38"/>
    <m/>
    <s v="LZ1"/>
    <s v="NIPPLE S TYPE LL SIZE LASER MARKED"/>
    <s v="HEI05BH22"/>
    <s v="Nitin"/>
    <n v="8"/>
    <n v="7000"/>
    <n v="875"/>
    <n v="6400"/>
    <n v="6400"/>
    <n v="0"/>
    <n v="0"/>
    <n v="0"/>
    <n v="0"/>
    <n v="0"/>
    <n v="0"/>
    <n v="1"/>
    <n v="6400"/>
    <n v="0.91428571428571426"/>
    <x v="29"/>
    <n v="0"/>
    <n v="0"/>
    <s v=" "/>
    <n v="0"/>
    <n v="0"/>
    <n v="1"/>
    <n v="1.6666666666666667"/>
    <n v="6.333333333333333"/>
    <n v="0.79166666666666663"/>
    <n v="800"/>
    <n v="3.5"/>
    <n v="3.5625"/>
    <n v="0.98245614035087714"/>
    <n v="0.77777777777777768"/>
  </r>
  <r>
    <x v="2"/>
    <d v="2021-10-06T00:00:00"/>
    <s v="A"/>
    <x v="5"/>
    <x v="5"/>
    <m/>
    <s v="Recycle"/>
    <s v="CAP S TYPE MOLDED RED"/>
    <s v="EJ06CRa"/>
    <s v="Nitin"/>
    <n v="2"/>
    <n v="1034"/>
    <n v="517"/>
    <n v="850"/>
    <n v="850"/>
    <n v="0"/>
    <n v="0"/>
    <n v="0"/>
    <n v="0"/>
    <n v="0"/>
    <n v="0"/>
    <n v="1"/>
    <n v="850"/>
    <n v="0.82205029013539654"/>
    <x v="5"/>
    <n v="7.3"/>
    <n v="6.2050000000000001"/>
    <n v="1"/>
    <n v="0"/>
    <n v="0"/>
    <n v="1"/>
    <n v="0.5"/>
    <n v="1.5"/>
    <n v="0.75"/>
    <n v="425"/>
    <n v="6"/>
    <n v="6.3529411764705879"/>
    <n v="0.94444444444444453"/>
    <n v="0.70833333333333337"/>
  </r>
  <r>
    <x v="2"/>
    <d v="2021-10-06T00:00:00"/>
    <s v="A"/>
    <x v="5"/>
    <x v="5"/>
    <m/>
    <s v="Virgen"/>
    <s v="CAP S TYPE MOLDED RED"/>
    <s v="EJ06Ca"/>
    <s v="Nitin"/>
    <n v="6"/>
    <n v="3103"/>
    <n v="517.16666666666663"/>
    <n v="2308"/>
    <n v="2300"/>
    <n v="0.1"/>
    <n v="0"/>
    <n v="0"/>
    <n v="0"/>
    <n v="0"/>
    <n v="8"/>
    <n v="1"/>
    <n v="2300"/>
    <n v="0.74121817595874961"/>
    <x v="5"/>
    <n v="7.3"/>
    <n v="16.948400000000003"/>
    <n v="0.99065398503693536"/>
    <n v="0"/>
    <n v="0"/>
    <n v="1"/>
    <n v="2"/>
    <n v="4"/>
    <n v="0.66666666666666663"/>
    <n v="383.33333333333331"/>
    <n v="6"/>
    <n v="6.2608695652173916"/>
    <n v="0.95833333333333326"/>
    <n v="0.63888888888888884"/>
  </r>
  <r>
    <x v="2"/>
    <d v="2021-10-06T00:00:00"/>
    <s v="G"/>
    <x v="4"/>
    <x v="42"/>
    <m/>
    <m/>
    <s v="NIPPLE S TYPE LL SIZE INSPECTED"/>
    <s v="HEJ5AH22"/>
    <s v="Vivek"/>
    <n v="8"/>
    <n v="14132"/>
    <n v="1766.5"/>
    <n v="11700"/>
    <n v="11651"/>
    <n v="0"/>
    <n v="0"/>
    <n v="0"/>
    <n v="0"/>
    <n v="49"/>
    <n v="0"/>
    <n v="2"/>
    <n v="5825.5"/>
    <n v="0.82444098499858476"/>
    <x v="32"/>
    <n v="0"/>
    <n v="0"/>
    <s v=" "/>
    <n v="4.1880341880341882E-3"/>
    <n v="0"/>
    <n v="0.99581196581196585"/>
    <n v="0.83333333333333337"/>
    <n v="7.166666666666667"/>
    <n v="0.89583333333333337"/>
    <n v="1456.375"/>
    <n v="4"/>
    <n v="4.4288043944725777"/>
    <n v="0.9031782945736434"/>
    <n v="0.80570869539411216"/>
  </r>
  <r>
    <x v="2"/>
    <d v="2021-10-06T00:00:00"/>
    <s v="G"/>
    <x v="7"/>
    <x v="29"/>
    <m/>
    <s v="WR1"/>
    <s v="NIPPLE S TYPE LL SIZE WRAPPED"/>
    <s v="HEJ06AH22"/>
    <s v="Vivek"/>
    <n v="8"/>
    <n v="16132"/>
    <n v="2016.5"/>
    <n v="15422"/>
    <n v="15411"/>
    <n v="0"/>
    <n v="0"/>
    <n v="0"/>
    <n v="0"/>
    <n v="11"/>
    <n v="0"/>
    <n v="2"/>
    <n v="7705.5"/>
    <n v="0.95530622365484752"/>
    <x v="24"/>
    <n v="0"/>
    <n v="0"/>
    <s v=" "/>
    <n v="7.1326676176890159E-4"/>
    <n v="0"/>
    <n v="0.99928673323823114"/>
    <n v="0.83333333333333337"/>
    <n v="7.166666666666667"/>
    <n v="0.89583333333333337"/>
    <n v="1926.375"/>
    <n v="2.5"/>
    <n v="3.3482577379793654"/>
    <n v="0.74665697674418607"/>
    <n v="0.66840311831312416"/>
  </r>
  <r>
    <x v="2"/>
    <d v="2021-10-06T00:00:00"/>
    <s v="B"/>
    <x v="3"/>
    <x v="34"/>
    <m/>
    <m/>
    <s v="NIPPLE S TYPE LL SIZE PUNCHED"/>
    <s v="HEJ06NaJ06Pb"/>
    <s v="Badelal"/>
    <n v="8"/>
    <n v="7000"/>
    <n v="875"/>
    <n v="6300"/>
    <n v="6300"/>
    <n v="0"/>
    <n v="0"/>
    <n v="0"/>
    <n v="0"/>
    <n v="0"/>
    <n v="0"/>
    <n v="1"/>
    <n v="6300"/>
    <n v="0.9"/>
    <x v="28"/>
    <n v="0"/>
    <n v="0"/>
    <s v=" "/>
    <n v="0"/>
    <n v="0"/>
    <n v="1"/>
    <n v="0.66666666666666663"/>
    <n v="7.333333333333333"/>
    <n v="0.91666666666666663"/>
    <n v="787.5"/>
    <n v="3.5"/>
    <n v="4.1904761904761907"/>
    <n v="0.83522727272727271"/>
    <n v="0.765625"/>
  </r>
  <r>
    <x v="2"/>
    <d v="2021-10-06T00:00:00"/>
    <s v="B"/>
    <x v="8"/>
    <x v="38"/>
    <m/>
    <s v="LZ1"/>
    <s v="NIPPLE S TYPE LL SIZE LASER MARKED"/>
    <s v="HEJ05CH22"/>
    <s v="Badelal"/>
    <n v="8"/>
    <n v="7000"/>
    <n v="875"/>
    <n v="6300"/>
    <n v="6300"/>
    <n v="0"/>
    <n v="0"/>
    <n v="0"/>
    <n v="0"/>
    <n v="0"/>
    <n v="0"/>
    <n v="1"/>
    <n v="6300"/>
    <n v="0.9"/>
    <x v="29"/>
    <n v="0"/>
    <n v="0"/>
    <s v=" "/>
    <n v="0"/>
    <n v="0"/>
    <n v="1"/>
    <n v="0.66666666666666663"/>
    <n v="7.333333333333333"/>
    <n v="0.91666666666666663"/>
    <n v="787.5"/>
    <n v="3.5"/>
    <n v="4.1904761904761907"/>
    <n v="0.83522727272727271"/>
    <n v="0.765625"/>
  </r>
  <r>
    <x v="2"/>
    <d v="2021-10-06T00:00:00"/>
    <s v="B"/>
    <x v="0"/>
    <x v="28"/>
    <s v="M2"/>
    <s v="L2"/>
    <s v="NIPPLE S TYPE LL SIZE INJECTION"/>
    <s v="HEJ06Nb"/>
    <s v="Badelal"/>
    <n v="8"/>
    <n v="4815"/>
    <n v="601.875"/>
    <n v="5390"/>
    <n v="5300"/>
    <n v="0"/>
    <n v="27"/>
    <n v="0"/>
    <n v="0"/>
    <n v="63"/>
    <n v="0"/>
    <n v="1"/>
    <n v="5300"/>
    <n v="1.1007268951194185"/>
    <x v="23"/>
    <n v="6.8"/>
    <n v="36.652000000000001"/>
    <n v="0.98330241187384038"/>
    <n v="1.1747156442289764E-2"/>
    <n v="4.9843086579287425E-3"/>
    <n v="0.98831168831168836"/>
    <n v="0"/>
    <n v="8"/>
    <n v="1"/>
    <n v="662.5"/>
    <n v="5.25"/>
    <n v="5.4339622641509431"/>
    <n v="0.96614583333333337"/>
    <n v="0.95485321969696979"/>
  </r>
  <r>
    <x v="2"/>
    <d v="2021-10-06T00:00:00"/>
    <s v="B"/>
    <x v="1"/>
    <x v="1"/>
    <s v="BM4"/>
    <s v="B2"/>
    <s v="RPP 120 ML BOTTLE MOLDED"/>
    <s v="EJ06Bb2"/>
    <s v="Badelal"/>
    <n v="8"/>
    <n v="2574"/>
    <n v="321.75"/>
    <n v="2831"/>
    <n v="2739"/>
    <n v="0.2"/>
    <n v="48"/>
    <n v="0"/>
    <n v="0"/>
    <n v="44"/>
    <n v="0"/>
    <n v="1"/>
    <n v="2739"/>
    <n v="1.0641025641025641"/>
    <x v="1"/>
    <n v="21.3"/>
    <n v="60.500300000000003"/>
    <n v="0.96430430923483013"/>
    <n v="1.5810276679841896E-2"/>
    <n v="1.6672455713789509E-2"/>
    <n v="0.98445778876722001"/>
    <n v="0"/>
    <n v="8"/>
    <n v="1"/>
    <n v="342.375"/>
    <n v="9"/>
    <n v="10.514786418400876"/>
    <n v="0.85593750000000002"/>
    <n v="0.84263433857294234"/>
  </r>
  <r>
    <x v="2"/>
    <d v="2021-10-06T00:00:00"/>
    <s v="B"/>
    <x v="5"/>
    <x v="5"/>
    <m/>
    <s v="Virgen"/>
    <s v="CAP S TYPE MOLDED RED"/>
    <s v="EJ06Cb"/>
    <s v="Badelal"/>
    <n v="1"/>
    <n v="517"/>
    <n v="517"/>
    <n v="750"/>
    <n v="750"/>
    <n v="0"/>
    <n v="0"/>
    <n v="0"/>
    <n v="0"/>
    <n v="0"/>
    <n v="0"/>
    <n v="1"/>
    <n v="750"/>
    <n v="1.4506769825918762"/>
    <x v="5"/>
    <n v="7.3"/>
    <n v="5.4749999999999996"/>
    <n v="1"/>
    <n v="0"/>
    <n v="0"/>
    <n v="1"/>
    <n v="0"/>
    <n v="1"/>
    <n v="1"/>
    <n v="750"/>
    <n v="6"/>
    <n v="4.8"/>
    <n v="1.25"/>
    <n v="1.25"/>
  </r>
  <r>
    <x v="2"/>
    <d v="2021-10-06T00:00:00"/>
    <s v="B"/>
    <x v="5"/>
    <x v="5"/>
    <m/>
    <s v="Recycle"/>
    <s v="CAP S TYPE MOLDED RED"/>
    <s v="EJ06CRb"/>
    <s v="Badelal"/>
    <n v="7"/>
    <n v="3620"/>
    <n v="517.14285714285711"/>
    <n v="3304"/>
    <n v="3300"/>
    <n v="0"/>
    <n v="0"/>
    <n v="0"/>
    <n v="0"/>
    <n v="4"/>
    <n v="0"/>
    <n v="1"/>
    <n v="3300"/>
    <n v="0.91160220994475138"/>
    <x v="5"/>
    <n v="7.3"/>
    <n v="24.119199999999999"/>
    <n v="0.99878934624697335"/>
    <n v="1.2106537530266344E-3"/>
    <n v="0"/>
    <n v="0.99878934624697335"/>
    <n v="1.25"/>
    <n v="5.75"/>
    <n v="0.8214285714285714"/>
    <n v="471.42857142857144"/>
    <n v="6"/>
    <n v="6.2727272727272725"/>
    <n v="0.95652173913043481"/>
    <n v="0.78476305776547906"/>
  </r>
  <r>
    <x v="2"/>
    <d v="2021-10-06T00:00:00"/>
    <s v="A"/>
    <x v="6"/>
    <x v="14"/>
    <m/>
    <m/>
    <s v="RPP 120 ML BOTTLE PRINTED"/>
    <s v="EJ05Bb2J06Pa"/>
    <s v="Pintu"/>
    <n v="8"/>
    <n v="5800"/>
    <n v="725"/>
    <n v="4878"/>
    <n v="4860"/>
    <n v="0"/>
    <n v="0"/>
    <n v="27"/>
    <n v="0"/>
    <n v="18"/>
    <n v="0"/>
    <n v="4"/>
    <n v="1215"/>
    <n v="0.83793103448275863"/>
    <x v="11"/>
    <n v="0"/>
    <n v="0"/>
    <s v=" "/>
    <n v="3.6900369003690036E-3"/>
    <n v="0"/>
    <n v="0.99630996309963105"/>
    <n v="0.83333333333333337"/>
    <n v="7.166666666666667"/>
    <n v="0.89583333333333337"/>
    <n v="607.5"/>
    <n v="32.4"/>
    <n v="21.234567901234566"/>
    <n v="1.5258139534883721"/>
    <n v="1.3618311808118084"/>
  </r>
  <r>
    <x v="2"/>
    <d v="2021-10-06T00:00:00"/>
    <s v="B"/>
    <x v="6"/>
    <x v="14"/>
    <m/>
    <m/>
    <s v="RPP 120 ML BOTTLE PRINTED"/>
    <s v="EJ05Bc2J06Pb"/>
    <s v="Pintu"/>
    <n v="8"/>
    <n v="5800"/>
    <n v="725"/>
    <n v="6415"/>
    <n v="6401"/>
    <n v="0"/>
    <n v="0"/>
    <n v="32"/>
    <n v="0"/>
    <n v="14"/>
    <n v="0"/>
    <n v="5"/>
    <n v="1280.2"/>
    <n v="1.1036206896551723"/>
    <x v="11"/>
    <n v="0"/>
    <n v="0"/>
    <s v=" "/>
    <n v="2.182385035074045E-3"/>
    <n v="0"/>
    <n v="0.99781761496492594"/>
    <n v="0.66666666666666663"/>
    <n v="7.333333333333333"/>
    <n v="0.91666666666666663"/>
    <n v="800.125"/>
    <n v="32.4"/>
    <n v="20.621777847211373"/>
    <n v="1.5711545454545455"/>
    <n v="1.4370818745128604"/>
  </r>
  <r>
    <x v="2"/>
    <d v="2021-10-06T00:00:00"/>
    <s v="C"/>
    <x v="0"/>
    <x v="28"/>
    <s v="M2"/>
    <s v="L2"/>
    <s v="NIPPLE S TYPE LL SIZE INJECTION"/>
    <s v="HEJ06Nc"/>
    <s v="Saurabh"/>
    <n v="8"/>
    <n v="4815"/>
    <n v="601.875"/>
    <n v="5406"/>
    <n v="5300"/>
    <n v="0"/>
    <n v="32"/>
    <n v="0"/>
    <n v="0"/>
    <n v="66"/>
    <n v="8"/>
    <n v="1"/>
    <n v="5300"/>
    <n v="1.1007268951194185"/>
    <x v="23"/>
    <n v="6.8"/>
    <n v="36.760799999999996"/>
    <n v="0.98039215686274517"/>
    <n v="1.2299664554603056E-2"/>
    <n v="5.884516366311144E-3"/>
    <n v="0.98779134295227522"/>
    <n v="0"/>
    <n v="8"/>
    <n v="1"/>
    <n v="662.5"/>
    <n v="5.25"/>
    <n v="5.4339622641509431"/>
    <n v="0.96614583333333337"/>
    <n v="0.95435049019607843"/>
  </r>
  <r>
    <x v="2"/>
    <d v="2021-10-06T00:00:00"/>
    <s v="C"/>
    <x v="5"/>
    <x v="5"/>
    <m/>
    <s v="Virgen"/>
    <s v="CAP S TYPE MOLDED RED"/>
    <s v="EJ06Cc"/>
    <s v="Saurabh"/>
    <n v="6.2"/>
    <n v="3200"/>
    <n v="516.12903225806451"/>
    <n v="3203"/>
    <n v="3200"/>
    <n v="0"/>
    <n v="0"/>
    <n v="0"/>
    <n v="0"/>
    <n v="3"/>
    <n v="0"/>
    <n v="1"/>
    <n v="3200"/>
    <n v="1"/>
    <x v="5"/>
    <n v="7.3"/>
    <n v="23.381900000000002"/>
    <n v="0.99906337808304702"/>
    <n v="9.3662191695285675E-4"/>
    <n v="0"/>
    <n v="0.99906337808304713"/>
    <n v="0.83333333333333337"/>
    <n v="5.3666666666666671"/>
    <n v="0.86559139784946237"/>
    <n v="516.12903225806451"/>
    <n v="6"/>
    <n v="6.0374999999999996"/>
    <n v="0.9937888198757765"/>
    <n v="0.85940935749079328"/>
  </r>
  <r>
    <x v="2"/>
    <d v="2021-10-06T00:00:00"/>
    <s v="C"/>
    <x v="5"/>
    <x v="5"/>
    <m/>
    <s v="Recycle"/>
    <s v="CAP S TYPE MOLDED RED"/>
    <s v="EJ06CRc"/>
    <s v="Saurabh"/>
    <n v="1.8"/>
    <n v="937"/>
    <n v="520.55555555555554"/>
    <n v="1000"/>
    <n v="1000"/>
    <n v="0"/>
    <n v="0"/>
    <n v="0"/>
    <n v="0"/>
    <n v="0"/>
    <n v="0"/>
    <n v="1"/>
    <n v="1000"/>
    <n v="1.0672358591248665"/>
    <x v="5"/>
    <n v="7.3"/>
    <n v="7.3"/>
    <n v="1"/>
    <n v="0"/>
    <n v="0"/>
    <n v="1"/>
    <n v="0"/>
    <n v="1.8"/>
    <n v="1"/>
    <n v="555.55555555555554"/>
    <n v="6"/>
    <n v="6.48"/>
    <n v="0.92592592592592582"/>
    <n v="0.92592592592592582"/>
  </r>
  <r>
    <x v="2"/>
    <d v="2021-10-07T00:00:00"/>
    <s v="A"/>
    <x v="1"/>
    <x v="35"/>
    <s v="BM5"/>
    <s v="B1"/>
    <s v="RPP 240 ML BOTTLE MOLDED"/>
    <s v="EJ07Ba1"/>
    <s v="Nitin"/>
    <n v="8"/>
    <n v="2574"/>
    <n v="321.75"/>
    <n v="1400"/>
    <n v="1320"/>
    <n v="0.3"/>
    <n v="32"/>
    <n v="0"/>
    <n v="0"/>
    <n v="40"/>
    <n v="8"/>
    <n v="1"/>
    <n v="1320"/>
    <n v="0.51282051282051277"/>
    <x v="1"/>
    <n v="32.1"/>
    <n v="45.24"/>
    <n v="0.93660477453580915"/>
    <n v="2.9411764705882353E-2"/>
    <n v="2.23463687150838E-2"/>
    <n v="0.97142857142857142"/>
    <n v="5.5"/>
    <n v="2.5"/>
    <n v="0.3125"/>
    <n v="165"/>
    <n v="9"/>
    <n v="6.8181818181818183"/>
    <n v="1.32"/>
    <n v="0.40071428571428569"/>
  </r>
  <r>
    <x v="2"/>
    <d v="2021-10-07T00:00:00"/>
    <s v="A"/>
    <x v="0"/>
    <x v="28"/>
    <s v="M2"/>
    <s v="L2"/>
    <s v="NIPPLE S TYPE LL SIZE INJECTION"/>
    <s v="HEJ07Na"/>
    <s v="Nitin"/>
    <n v="8"/>
    <n v="4815"/>
    <n v="601.875"/>
    <n v="5517"/>
    <n v="5400"/>
    <n v="0"/>
    <n v="56"/>
    <n v="0"/>
    <n v="0"/>
    <n v="53"/>
    <n v="8"/>
    <n v="1"/>
    <n v="5400"/>
    <n v="1.1214953271028036"/>
    <x v="23"/>
    <n v="6.8"/>
    <n v="37.515599999999999"/>
    <n v="0.97879282218597063"/>
    <n v="9.7194205024757011E-3"/>
    <n v="1.0048447873676656E-2"/>
    <n v="0.99039332970817473"/>
    <n v="0.5"/>
    <n v="7.5"/>
    <n v="0.9375"/>
    <n v="675"/>
    <n v="5.25"/>
    <n v="5"/>
    <n v="1.05"/>
    <n v="0.97491843393148458"/>
  </r>
  <r>
    <x v="2"/>
    <d v="2021-10-07T00:00:00"/>
    <s v="A"/>
    <x v="3"/>
    <x v="34"/>
    <m/>
    <s v="P1"/>
    <s v="NIPPLE S TYPE LL SIZE PUNCHED"/>
    <s v="HEJ06J07Pa"/>
    <s v="Nitin"/>
    <n v="8"/>
    <n v="7000"/>
    <n v="875"/>
    <n v="7300"/>
    <n v="7300"/>
    <n v="0"/>
    <n v="0"/>
    <n v="0"/>
    <n v="0"/>
    <n v="0"/>
    <n v="0"/>
    <n v="1"/>
    <n v="7300"/>
    <n v="1.0428571428571429"/>
    <x v="28"/>
    <n v="0"/>
    <n v="0"/>
    <s v=" "/>
    <n v="0"/>
    <n v="0"/>
    <n v="1"/>
    <n v="0.66666666666666663"/>
    <n v="7.333333333333333"/>
    <n v="0.91666666666666663"/>
    <n v="912.5"/>
    <n v="3.5"/>
    <n v="3.6164383561643834"/>
    <n v="0.96780303030303039"/>
    <n v="0.88715277777777779"/>
  </r>
  <r>
    <x v="2"/>
    <d v="2021-10-07T00:00:00"/>
    <s v="A"/>
    <x v="8"/>
    <x v="38"/>
    <m/>
    <s v="LZ1"/>
    <s v="NIPPLE S TYPE LL SIZE LASER MARKED"/>
    <s v="HEJ06CH22"/>
    <s v="Nitin"/>
    <n v="8"/>
    <n v="7000"/>
    <n v="875"/>
    <n v="7300"/>
    <n v="7300"/>
    <n v="0"/>
    <n v="0"/>
    <n v="0"/>
    <n v="0"/>
    <n v="0"/>
    <n v="0"/>
    <n v="1"/>
    <n v="7300"/>
    <n v="1.0428571428571429"/>
    <x v="29"/>
    <n v="0"/>
    <n v="0"/>
    <s v=" "/>
    <n v="0"/>
    <n v="0"/>
    <n v="1"/>
    <n v="0.66666666666666663"/>
    <n v="7.333333333333333"/>
    <n v="0.91666666666666663"/>
    <n v="912.5"/>
    <n v="3.5"/>
    <n v="3.6164383561643834"/>
    <n v="0.96780303030303039"/>
    <n v="0.88715277777777779"/>
  </r>
  <r>
    <x v="2"/>
    <d v="2021-10-07T00:00:00"/>
    <s v="A"/>
    <x v="5"/>
    <x v="5"/>
    <m/>
    <s v="Virgen"/>
    <s v="CAP S TYPE MOLDED RED"/>
    <s v="EJ07Ca"/>
    <s v="Nitin"/>
    <n v="8"/>
    <n v="4137"/>
    <n v="517.125"/>
    <n v="4014"/>
    <n v="4000"/>
    <n v="0"/>
    <n v="0"/>
    <n v="0"/>
    <n v="0"/>
    <n v="6"/>
    <n v="8"/>
    <n v="1"/>
    <n v="4000"/>
    <n v="0.96688421561518012"/>
    <x v="5"/>
    <n v="7.3"/>
    <n v="29.302199999999999"/>
    <n v="0.99651220727453915"/>
    <n v="1.4977533699450823E-3"/>
    <n v="0"/>
    <n v="0.99850523168908822"/>
    <n v="1"/>
    <n v="7"/>
    <n v="0.875"/>
    <n v="500"/>
    <n v="6"/>
    <n v="6.3"/>
    <n v="0.95238095238095244"/>
    <n v="0.83208769307424024"/>
  </r>
  <r>
    <x v="2"/>
    <d v="2021-10-07T00:00:00"/>
    <s v="G"/>
    <x v="4"/>
    <x v="42"/>
    <m/>
    <m/>
    <s v="NIPPLE S TYPE LL SIZE INSPECTED"/>
    <s v="HEJ06AH22"/>
    <s v="Badelal"/>
    <n v="8"/>
    <n v="14132"/>
    <n v="1766.5"/>
    <n v="14600"/>
    <n v="14530"/>
    <n v="0"/>
    <n v="0"/>
    <n v="0"/>
    <n v="0"/>
    <n v="70"/>
    <n v="0"/>
    <n v="2"/>
    <n v="7265"/>
    <n v="1.028163034248514"/>
    <x v="32"/>
    <n v="0"/>
    <n v="0"/>
    <s v=" "/>
    <n v="4.7945205479452057E-3"/>
    <n v="0"/>
    <n v="0.99520547945205484"/>
    <n v="0.83333333333333337"/>
    <n v="7.166666666666667"/>
    <n v="0.89583333333333337"/>
    <n v="1816.25"/>
    <n v="4"/>
    <n v="3.5512732278045425"/>
    <n v="1.1263565891472869"/>
    <n v="1.0041899733637749"/>
  </r>
  <r>
    <x v="2"/>
    <d v="2021-10-07T00:00:00"/>
    <s v="B"/>
    <x v="3"/>
    <x v="34"/>
    <m/>
    <m/>
    <s v="NIPPLE S TYPE LL SIZE PUNCHED"/>
    <s v="HEJ07NaJ07Pb"/>
    <s v="Badelal"/>
    <n v="8"/>
    <n v="7000"/>
    <n v="875"/>
    <n v="7300"/>
    <n v="7300"/>
    <n v="0"/>
    <n v="0"/>
    <n v="0"/>
    <n v="0"/>
    <n v="0"/>
    <n v="0"/>
    <n v="1"/>
    <n v="7300"/>
    <n v="1.0428571428571429"/>
    <x v="28"/>
    <n v="0"/>
    <n v="0"/>
    <s v=" "/>
    <n v="0"/>
    <n v="0"/>
    <n v="1"/>
    <n v="0.66666666666666663"/>
    <n v="7.333333333333333"/>
    <n v="0.91666666666666663"/>
    <n v="912.5"/>
    <n v="3.5"/>
    <n v="3.6164383561643834"/>
    <n v="0.96780303030303039"/>
    <n v="0.88715277777777779"/>
  </r>
  <r>
    <x v="2"/>
    <d v="2021-10-07T00:00:00"/>
    <s v="B"/>
    <x v="8"/>
    <x v="38"/>
    <m/>
    <s v="LZ1"/>
    <s v="NIPPLE S TYPE LL SIZE LASER MARKED"/>
    <m/>
    <s v="Badelal"/>
    <n v="8"/>
    <n v="7000"/>
    <n v="875"/>
    <n v="7300"/>
    <n v="7300"/>
    <n v="0"/>
    <n v="0"/>
    <n v="0"/>
    <n v="0"/>
    <n v="0"/>
    <n v="0"/>
    <n v="1"/>
    <n v="7300"/>
    <n v="1.0428571428571429"/>
    <x v="29"/>
    <n v="0"/>
    <n v="0"/>
    <s v=" "/>
    <n v="0"/>
    <n v="0"/>
    <n v="1"/>
    <n v="0.66666666666666663"/>
    <n v="7.333333333333333"/>
    <n v="0.91666666666666663"/>
    <n v="912.5"/>
    <n v="3.5"/>
    <n v="3.6164383561643834"/>
    <n v="0.96780303030303039"/>
    <n v="0.88715277777777779"/>
  </r>
  <r>
    <x v="2"/>
    <d v="2021-10-07T00:00:00"/>
    <s v="B"/>
    <x v="5"/>
    <x v="5"/>
    <m/>
    <s v="Recycle"/>
    <s v="CAP S TYPE MOLDED RED"/>
    <s v="EJ07CRb"/>
    <s v="Badelal"/>
    <n v="8"/>
    <n v="4137"/>
    <n v="517.125"/>
    <n v="4200"/>
    <n v="4200"/>
    <n v="0.14699999999999999"/>
    <n v="0"/>
    <n v="0"/>
    <n v="0"/>
    <n v="0"/>
    <n v="0"/>
    <n v="1"/>
    <n v="4200"/>
    <n v="1.015228426395939"/>
    <x v="5"/>
    <n v="7.3"/>
    <n v="30.806999999999999"/>
    <n v="0.99522835719154745"/>
    <n v="0"/>
    <n v="0"/>
    <n v="1"/>
    <n v="0.83333333333333337"/>
    <n v="7.166666666666667"/>
    <n v="0.89583333333333337"/>
    <n v="525"/>
    <n v="6"/>
    <n v="6.1428571428571432"/>
    <n v="0.97674418604651159"/>
    <n v="0.875"/>
  </r>
  <r>
    <x v="2"/>
    <d v="2021-10-07T00:00:00"/>
    <s v="B"/>
    <x v="0"/>
    <x v="28"/>
    <s v="M2"/>
    <s v="L2"/>
    <s v="NIPPLE S TYPE LL SIZE INJECTION"/>
    <s v="HEJ07Nb"/>
    <s v="Badelal"/>
    <n v="8"/>
    <n v="4814"/>
    <n v="601.75"/>
    <n v="5104"/>
    <n v="5000"/>
    <n v="0"/>
    <n v="42"/>
    <n v="0"/>
    <n v="0"/>
    <n v="62"/>
    <n v="0"/>
    <n v="1"/>
    <n v="5000"/>
    <n v="1.0386373078520981"/>
    <x v="23"/>
    <n v="6.8"/>
    <n v="34.7072"/>
    <n v="0.97962382445141061"/>
    <n v="1.2248123271434215E-2"/>
    <n v="8.1616789739603571E-3"/>
    <n v="0.98785266457680254"/>
    <n v="0"/>
    <n v="8"/>
    <n v="1"/>
    <n v="625"/>
    <n v="5.25"/>
    <n v="5.76"/>
    <n v="0.91145833333333337"/>
    <n v="0.90038654323406486"/>
  </r>
  <r>
    <x v="2"/>
    <d v="2021-10-07T00:00:00"/>
    <s v="C"/>
    <x v="1"/>
    <x v="9"/>
    <s v="MB2"/>
    <s v="B2"/>
    <s v="KPP 200 ML BOTTLE MOLDED"/>
    <s v="EJ07Bc2"/>
    <s v="Saurabh"/>
    <n v="8"/>
    <n v="2574"/>
    <n v="321.75"/>
    <n v="1614"/>
    <n v="1512"/>
    <n v="0.3"/>
    <n v="51"/>
    <n v="0"/>
    <n v="0"/>
    <n v="21"/>
    <n v="30"/>
    <n v="1"/>
    <n v="1512"/>
    <n v="0.58741258741258739"/>
    <x v="1"/>
    <n v="28.1"/>
    <n v="45.653399999999998"/>
    <n v="0.93064700548042434"/>
    <n v="1.3698630136986301E-2"/>
    <n v="3.063063063063063E-2"/>
    <n v="0.98698884758364314"/>
    <n v="4.25"/>
    <n v="3.75"/>
    <n v="0.46875"/>
    <n v="189"/>
    <n v="9"/>
    <n v="8.9285714285714288"/>
    <n v="1.008"/>
    <n v="0.4663522304832714"/>
  </r>
  <r>
    <x v="2"/>
    <d v="2021-10-07T00:00:00"/>
    <s v="C"/>
    <x v="0"/>
    <x v="28"/>
    <s v="M2"/>
    <s v="L2"/>
    <s v="NIPPLE S TYPE LL SIZE INJECTION"/>
    <s v="HEJ07Nc"/>
    <s v="Saurabh"/>
    <n v="8"/>
    <n v="4815"/>
    <n v="601.875"/>
    <n v="4343"/>
    <n v="4200"/>
    <n v="0"/>
    <n v="76"/>
    <n v="0"/>
    <n v="0"/>
    <n v="59"/>
    <n v="8"/>
    <n v="1"/>
    <n v="4200"/>
    <n v="0.87227414330218067"/>
    <x v="23"/>
    <n v="6.8"/>
    <n v="29.532399999999999"/>
    <n v="0.96707345153119961"/>
    <n v="1.385301714017375E-2"/>
    <n v="1.7198461190314551E-2"/>
    <n v="0.98641492056182367"/>
    <n v="1.5"/>
    <n v="6.5"/>
    <n v="0.8125"/>
    <n v="525"/>
    <n v="5.25"/>
    <n v="5.5714285714285712"/>
    <n v="0.9423076923076924"/>
    <n v="0.75522392355514634"/>
  </r>
  <r>
    <x v="2"/>
    <d v="2021-10-07T00:00:00"/>
    <s v="C"/>
    <x v="5"/>
    <x v="5"/>
    <m/>
    <s v="Recycle"/>
    <s v="CAP S TYPE MOLDED RED"/>
    <s v="EJ07CRc"/>
    <s v="Saurabh"/>
    <n v="8"/>
    <n v="4137"/>
    <n v="517.125"/>
    <n v="4010"/>
    <n v="4000"/>
    <n v="0"/>
    <n v="0"/>
    <n v="0"/>
    <n v="0"/>
    <n v="2"/>
    <n v="8"/>
    <n v="1"/>
    <n v="4000"/>
    <n v="0.96688421561518012"/>
    <x v="5"/>
    <n v="7.3"/>
    <n v="29.273"/>
    <n v="0.99750623441396502"/>
    <n v="4.9975012493753122E-4"/>
    <n v="0"/>
    <n v="0.99950124688279307"/>
    <n v="1.3333333333333333"/>
    <n v="6.666666666666667"/>
    <n v="0.83333333333333337"/>
    <n v="500"/>
    <n v="6"/>
    <n v="6"/>
    <n v="1"/>
    <n v="0.83291770573566093"/>
  </r>
  <r>
    <x v="2"/>
    <d v="2021-10-07T00:00:00"/>
    <s v="A"/>
    <x v="6"/>
    <x v="52"/>
    <m/>
    <m/>
    <s v="KPP 120 ML BOTTLE PRINTED"/>
    <s v="EI20Ba2J07Pa"/>
    <s v="Pintu"/>
    <n v="8"/>
    <n v="5123"/>
    <n v="640.375"/>
    <n v="3978"/>
    <n v="3960"/>
    <n v="0"/>
    <n v="0"/>
    <n v="25"/>
    <n v="0"/>
    <n v="18"/>
    <n v="0"/>
    <n v="5"/>
    <n v="792"/>
    <n v="0.77298457934803821"/>
    <x v="38"/>
    <n v="0"/>
    <n v="0"/>
    <s v=" "/>
    <n v="4.5248868778280547E-3"/>
    <n v="0"/>
    <n v="0.99547511312217196"/>
    <n v="1.8333333333333333"/>
    <n v="6.166666666666667"/>
    <n v="0.77083333333333337"/>
    <n v="495"/>
    <n v="32.4"/>
    <n v="28.030303030303035"/>
    <n v="1.1558918918918917"/>
    <n v="0.88696832579185503"/>
  </r>
  <r>
    <x v="2"/>
    <d v="2021-10-07T00:00:00"/>
    <s v="B"/>
    <x v="6"/>
    <x v="52"/>
    <m/>
    <m/>
    <s v="KPP 120 ML BOTTLE PRINTED"/>
    <s v="EI20Bc1J07Pa"/>
    <s v="Pintu"/>
    <n v="8"/>
    <n v="5123"/>
    <n v="640.375"/>
    <n v="5432"/>
    <n v="5400"/>
    <n v="0"/>
    <n v="0"/>
    <n v="58"/>
    <n v="0"/>
    <n v="32"/>
    <n v="0"/>
    <n v="5"/>
    <n v="1080"/>
    <n v="1.0540698809291431"/>
    <x v="38"/>
    <n v="0"/>
    <n v="0"/>
    <s v=" "/>
    <n v="5.8910162002945507E-3"/>
    <n v="0"/>
    <n v="0.99410898379970547"/>
    <n v="0"/>
    <n v="8"/>
    <n v="1"/>
    <n v="675"/>
    <n v="32.4"/>
    <n v="26.666666666666668"/>
    <n v="1.2149999999999999"/>
    <n v="1.207842415316642"/>
  </r>
  <r>
    <x v="2"/>
    <d v="2021-10-08T00:00:00"/>
    <s v="A"/>
    <x v="1"/>
    <x v="9"/>
    <s v="BM2"/>
    <s v="B2"/>
    <s v="KPP 200 ML BOTTLE MOLDED"/>
    <s v="EJ08Ba2"/>
    <s v="Himanshu"/>
    <n v="8"/>
    <n v="2574"/>
    <n v="321.75"/>
    <n v="3194"/>
    <n v="3132"/>
    <n v="0"/>
    <n v="24"/>
    <n v="0"/>
    <n v="0"/>
    <n v="30"/>
    <n v="8"/>
    <n v="1"/>
    <n v="3132"/>
    <n v="1.2167832167832169"/>
    <x v="1"/>
    <n v="28.1"/>
    <n v="89.751400000000004"/>
    <n v="0.98058860363180966"/>
    <n v="9.4876660341555973E-3"/>
    <n v="7.4580484773151025E-3"/>
    <n v="0.99060738885410149"/>
    <n v="0"/>
    <n v="8"/>
    <n v="1"/>
    <n v="391.5"/>
    <n v="9"/>
    <n v="9.1954022988505741"/>
    <n v="0.97875000000000001"/>
    <n v="0.96955698184095185"/>
  </r>
  <r>
    <x v="2"/>
    <d v="2021-10-08T00:00:00"/>
    <s v="A"/>
    <x v="0"/>
    <x v="28"/>
    <s v="M2"/>
    <s v="L2"/>
    <s v="NIPPLE S TYPE LL SIZE INJECTION"/>
    <s v="HEJ08Na"/>
    <s v="Himanshu"/>
    <n v="8"/>
    <n v="4815"/>
    <n v="601.875"/>
    <n v="1898"/>
    <n v="1849"/>
    <n v="0"/>
    <n v="20"/>
    <n v="0"/>
    <n v="0"/>
    <n v="21"/>
    <n v="8"/>
    <n v="1"/>
    <n v="1849"/>
    <n v="0.38400830737279334"/>
    <x v="23"/>
    <n v="6.8"/>
    <n v="12.9064"/>
    <n v="0.97418335089567965"/>
    <n v="1.1229946524064172E-2"/>
    <n v="1.0427528675703858E-2"/>
    <n v="0.98893572181243417"/>
    <n v="5.25"/>
    <n v="2.75"/>
    <n v="0.34375"/>
    <n v="231.125"/>
    <n v="5.25"/>
    <n v="5.3542455381287182"/>
    <n v="0.98053030303030309"/>
    <n v="0.33332799602651919"/>
  </r>
  <r>
    <x v="2"/>
    <d v="2021-10-08T00:00:00"/>
    <s v="A"/>
    <x v="3"/>
    <x v="34"/>
    <m/>
    <s v="P1"/>
    <s v="NIPPLE S TYPE LL SIZE PUNCHED"/>
    <m/>
    <s v="Himanshu"/>
    <n v="8"/>
    <n v="7000"/>
    <n v="875"/>
    <n v="7400"/>
    <n v="7400"/>
    <n v="0"/>
    <n v="0"/>
    <n v="0"/>
    <n v="0"/>
    <n v="0"/>
    <n v="0"/>
    <n v="1"/>
    <n v="7400"/>
    <n v="1.0571428571428572"/>
    <x v="28"/>
    <n v="0"/>
    <n v="0"/>
    <s v=" "/>
    <n v="0"/>
    <n v="0"/>
    <n v="1"/>
    <n v="0"/>
    <n v="8"/>
    <n v="1"/>
    <n v="925"/>
    <n v="3.5"/>
    <n v="3.8918918918918921"/>
    <n v="0.89930555555555547"/>
    <n v="0.89930555555555547"/>
  </r>
  <r>
    <x v="2"/>
    <d v="2021-10-08T00:00:00"/>
    <s v="A"/>
    <x v="5"/>
    <x v="5"/>
    <m/>
    <s v="Recycle"/>
    <s v="CAP S TYPE MOLDED RED"/>
    <s v="EJ08CRa"/>
    <s v="Himanshu"/>
    <n v="1"/>
    <n v="487"/>
    <n v="487"/>
    <n v="445"/>
    <n v="437"/>
    <n v="0"/>
    <n v="0"/>
    <n v="0"/>
    <n v="0"/>
    <n v="0"/>
    <n v="8"/>
    <n v="1"/>
    <n v="437"/>
    <n v="0.89733059548254623"/>
    <x v="5"/>
    <n v="7.3"/>
    <n v="3.2484999999999999"/>
    <n v="0.98202247191011238"/>
    <n v="0"/>
    <n v="0"/>
    <n v="1"/>
    <n v="0.25"/>
    <n v="0.75"/>
    <n v="0.75"/>
    <n v="437"/>
    <n v="6"/>
    <n v="6.1784897025171626"/>
    <n v="0.97111111111111115"/>
    <n v="0.72833333333333339"/>
  </r>
  <r>
    <x v="2"/>
    <d v="2021-10-08T00:00:00"/>
    <s v="A"/>
    <x v="5"/>
    <x v="5"/>
    <m/>
    <s v="Virgin"/>
    <s v="CAP S TYPE MOLDED RED"/>
    <s v="EJ08Ca"/>
    <s v="Himanshu"/>
    <n v="7"/>
    <n v="3650"/>
    <n v="521.42857142857144"/>
    <n v="3650"/>
    <n v="3650"/>
    <n v="0"/>
    <n v="0"/>
    <n v="0"/>
    <n v="0"/>
    <n v="0"/>
    <n v="0"/>
    <n v="1"/>
    <n v="3650"/>
    <n v="1"/>
    <x v="5"/>
    <n v="7.3"/>
    <n v="26.645"/>
    <n v="1"/>
    <n v="0"/>
    <n v="0"/>
    <n v="1"/>
    <n v="0.83333333333333337"/>
    <n v="6.166666666666667"/>
    <n v="0.88095238095238104"/>
    <n v="521.42857142857144"/>
    <n v="6"/>
    <n v="6.0821917808219181"/>
    <n v="0.9864864864864864"/>
    <n v="0.86904761904761907"/>
  </r>
  <r>
    <x v="2"/>
    <d v="2021-10-08T00:00:00"/>
    <s v="A"/>
    <x v="8"/>
    <x v="38"/>
    <m/>
    <s v="LZ1"/>
    <s v="NIPPLE S TYPE LL SIZE LASER MARKED"/>
    <s v="HEJ07AH22"/>
    <s v="Himanshu"/>
    <n v="8"/>
    <n v="7000"/>
    <n v="875"/>
    <n v="7400"/>
    <n v="7400"/>
    <n v="0"/>
    <n v="0"/>
    <n v="0"/>
    <n v="0"/>
    <n v="0"/>
    <n v="0"/>
    <n v="1"/>
    <n v="7400"/>
    <n v="1.0571428571428572"/>
    <x v="29"/>
    <n v="0"/>
    <n v="0"/>
    <s v=" "/>
    <n v="0"/>
    <n v="0"/>
    <n v="1"/>
    <n v="0"/>
    <n v="8"/>
    <n v="1"/>
    <n v="925"/>
    <n v="3.5"/>
    <n v="3.8918918918918921"/>
    <n v="0.89930555555555547"/>
    <n v="0.89930555555555547"/>
  </r>
  <r>
    <x v="2"/>
    <d v="2021-10-08T00:00:00"/>
    <s v="A"/>
    <x v="6"/>
    <x v="52"/>
    <m/>
    <m/>
    <s v="KPP 120 ML BOTTLE PRINTED"/>
    <s v="EI21Ba2J08Pa"/>
    <s v="Pintu"/>
    <n v="8"/>
    <n v="5134"/>
    <n v="641.75"/>
    <n v="4338"/>
    <n v="4320"/>
    <n v="0"/>
    <n v="0"/>
    <n v="34"/>
    <n v="0"/>
    <n v="18"/>
    <n v="0"/>
    <n v="5"/>
    <n v="864"/>
    <n v="0.84144916244643553"/>
    <x v="38"/>
    <n v="0"/>
    <n v="0"/>
    <s v=" "/>
    <n v="4.1493775933609959E-3"/>
    <n v="0"/>
    <n v="0.99585062240663902"/>
    <n v="1.1666666666666667"/>
    <n v="6.833333333333333"/>
    <n v="0.85416666666666663"/>
    <n v="540"/>
    <n v="32.4"/>
    <n v="28.472222222222218"/>
    <n v="1.1379512195121952"/>
    <n v="0.96796680497925314"/>
  </r>
  <r>
    <x v="2"/>
    <d v="2021-10-08T00:00:00"/>
    <s v="G"/>
    <x v="4"/>
    <x v="42"/>
    <m/>
    <m/>
    <s v="NIPPLE S TYPE LL SIZE INSPECTED"/>
    <s v="HEJ07AH22"/>
    <s v="Vivek"/>
    <n v="8"/>
    <n v="14132"/>
    <n v="1766.5"/>
    <n v="14400"/>
    <n v="14364"/>
    <n v="0"/>
    <n v="0"/>
    <n v="0"/>
    <n v="0"/>
    <n v="36"/>
    <n v="0"/>
    <n v="2"/>
    <n v="7182"/>
    <n v="1.0164166430795358"/>
    <x v="32"/>
    <n v="0"/>
    <n v="0"/>
    <s v=" "/>
    <n v="2.5000000000000001E-3"/>
    <n v="0"/>
    <n v="0.99750000000000005"/>
    <n v="0.83333333333333337"/>
    <n v="7.166666666666667"/>
    <n v="0.89583333333333337"/>
    <n v="1795.5"/>
    <n v="4"/>
    <n v="3.5923141186299081"/>
    <n v="1.1134883720930233"/>
    <n v="0.99500625000000009"/>
  </r>
  <r>
    <x v="2"/>
    <d v="2021-10-08T00:00:00"/>
    <s v="B"/>
    <x v="3"/>
    <x v="34"/>
    <m/>
    <s v="P1"/>
    <s v="NIPPLE S TYPE LL SIZE PUNCHED"/>
    <s v="HEJ07NcJ08Pb"/>
    <s v="Badelal"/>
    <n v="5"/>
    <n v="4375"/>
    <n v="875"/>
    <n v="4050"/>
    <n v="4050"/>
    <n v="0"/>
    <n v="0"/>
    <n v="0"/>
    <n v="0"/>
    <n v="0"/>
    <n v="0"/>
    <n v="1"/>
    <n v="4050"/>
    <n v="0.92571428571428571"/>
    <x v="28"/>
    <n v="0"/>
    <n v="0"/>
    <s v=" "/>
    <n v="0"/>
    <n v="0"/>
    <n v="1"/>
    <n v="0.66666666666666663"/>
    <n v="4.333333333333333"/>
    <n v="0.86666666666666659"/>
    <n v="810"/>
    <n v="3.5"/>
    <n v="3.8518518518518512"/>
    <n v="0.90865384615384626"/>
    <n v="0.78749999999999998"/>
  </r>
  <r>
    <x v="2"/>
    <d v="2021-10-08T00:00:00"/>
    <s v="B"/>
    <x v="8"/>
    <x v="38"/>
    <m/>
    <s v="LZ1"/>
    <s v="NIPPLE S TYPE LL SIZE LASER MARKED"/>
    <s v="HEJ07CH22"/>
    <s v="Badelal"/>
    <n v="5"/>
    <n v="4375"/>
    <n v="875"/>
    <n v="5050"/>
    <n v="5050"/>
    <n v="0"/>
    <n v="0"/>
    <n v="0"/>
    <n v="0"/>
    <n v="0"/>
    <n v="0"/>
    <n v="1"/>
    <n v="5050"/>
    <n v="1.1542857142857144"/>
    <x v="29"/>
    <n v="0"/>
    <n v="0"/>
    <s v=" "/>
    <n v="0"/>
    <n v="0"/>
    <n v="1"/>
    <n v="0.66666666666666663"/>
    <n v="4.333333333333333"/>
    <n v="0.86666666666666659"/>
    <n v="1010"/>
    <n v="3.5"/>
    <n v="3.0891089108910887"/>
    <n v="1.1330128205128207"/>
    <n v="0.98194444444444451"/>
  </r>
  <r>
    <x v="2"/>
    <d v="2021-10-08T00:00:00"/>
    <s v="B"/>
    <x v="3"/>
    <x v="49"/>
    <m/>
    <s v="P1"/>
    <s v="NIPPLE S TYPE L SIZE PUNCHED"/>
    <s v="HEJ08NbJ08Pb"/>
    <s v="Badelal"/>
    <n v="2"/>
    <n v="1750"/>
    <n v="875"/>
    <n v="2000"/>
    <n v="2000"/>
    <n v="0"/>
    <n v="0"/>
    <n v="0"/>
    <n v="0"/>
    <n v="0"/>
    <n v="0"/>
    <n v="1"/>
    <n v="2000"/>
    <n v="1.1428571428571428"/>
    <x v="36"/>
    <n v="0"/>
    <n v="0"/>
    <s v=" "/>
    <n v="0"/>
    <n v="0"/>
    <n v="1"/>
    <n v="0"/>
    <n v="2"/>
    <n v="1"/>
    <n v="1000"/>
    <n v="3.5"/>
    <n v="3.6"/>
    <n v="0.97222222222222221"/>
    <n v="0.97222222222222221"/>
  </r>
  <r>
    <x v="2"/>
    <d v="2021-10-08T00:00:00"/>
    <s v="B"/>
    <x v="8"/>
    <x v="50"/>
    <m/>
    <s v="LZ1"/>
    <s v="NIPPLE S TYPE L SIZE PUNCHED LASER MARKED"/>
    <s v="HEJ08BH22"/>
    <s v="Badelal"/>
    <n v="1"/>
    <n v="875"/>
    <n v="875"/>
    <n v="1000"/>
    <n v="1000"/>
    <n v="0"/>
    <n v="0"/>
    <n v="0"/>
    <n v="0"/>
    <n v="0"/>
    <n v="0"/>
    <n v="1"/>
    <n v="1000"/>
    <n v="1.1428571428571428"/>
    <x v="22"/>
    <n v="0"/>
    <n v="0"/>
    <s v=" "/>
    <n v="0"/>
    <n v="0"/>
    <n v="1"/>
    <n v="0"/>
    <n v="1"/>
    <n v="1"/>
    <n v="1000"/>
    <n v="3.5"/>
    <n v="3.6"/>
    <n v="0.97222222222222221"/>
    <n v="0.97222222222222221"/>
  </r>
  <r>
    <x v="2"/>
    <d v="2021-10-08T00:00:00"/>
    <s v="B"/>
    <x v="5"/>
    <x v="5"/>
    <m/>
    <s v="Virgen"/>
    <s v="CAP S TYPE MOLDED RED"/>
    <s v="EJ08Cb"/>
    <s v="Badelal"/>
    <n v="8"/>
    <n v="4137"/>
    <n v="517.125"/>
    <n v="3246"/>
    <n v="3246"/>
    <n v="0.6"/>
    <n v="0"/>
    <n v="0"/>
    <n v="0"/>
    <n v="0"/>
    <n v="0"/>
    <n v="1"/>
    <n v="3246"/>
    <n v="0.78462654097171869"/>
    <x v="5"/>
    <n v="7.3"/>
    <n v="24.295800000000003"/>
    <n v="0.9753043735954362"/>
    <n v="0"/>
    <n v="0"/>
    <n v="1"/>
    <n v="2.3333333333333335"/>
    <n v="5.6666666666666661"/>
    <n v="0.70833333333333326"/>
    <n v="405.75"/>
    <n v="6"/>
    <n v="6.2846580406654331"/>
    <n v="0.9547058823529414"/>
    <n v="0.67625000000000013"/>
  </r>
  <r>
    <x v="2"/>
    <d v="2021-10-08T00:00:00"/>
    <s v="B"/>
    <x v="0"/>
    <x v="47"/>
    <s v="M2"/>
    <s v="L2"/>
    <s v="NIPPLE S TYPE L SIZE INJECTION"/>
    <s v="HEJ08Nb"/>
    <s v="Badelal"/>
    <n v="8"/>
    <n v="4815"/>
    <n v="601.875"/>
    <n v="5370"/>
    <n v="5200"/>
    <n v="0"/>
    <n v="91"/>
    <n v="0"/>
    <n v="0"/>
    <n v="79"/>
    <n v="0"/>
    <n v="1"/>
    <n v="5200"/>
    <n v="1.0799584631360333"/>
    <x v="0"/>
    <n v="6.8"/>
    <n v="36.515999999999998"/>
    <n v="0.96834264432029793"/>
    <n v="1.4964955483993181E-2"/>
    <n v="1.6663614722578282E-2"/>
    <n v="0.98528864059590315"/>
    <n v="0"/>
    <n v="8"/>
    <n v="1"/>
    <n v="650"/>
    <n v="5.25"/>
    <n v="5.5384615384615383"/>
    <n v="0.94791666666666674"/>
    <n v="0.93397152389819993"/>
  </r>
  <r>
    <x v="2"/>
    <d v="2021-10-08T00:00:00"/>
    <s v="B"/>
    <x v="1"/>
    <x v="9"/>
    <s v="BM2"/>
    <s v="B2"/>
    <s v="KPP 200 ML BOTTLE MOLDED"/>
    <s v="EJ08Bb2"/>
    <s v="Badelal"/>
    <n v="8"/>
    <n v="2574"/>
    <n v="321.75"/>
    <n v="2908"/>
    <n v="2808"/>
    <n v="0"/>
    <n v="38"/>
    <n v="0"/>
    <n v="0"/>
    <n v="62"/>
    <n v="0"/>
    <n v="1"/>
    <n v="2808"/>
    <n v="1.0909090909090908"/>
    <x v="1"/>
    <n v="28.1"/>
    <n v="81.714799999999997"/>
    <n v="0.96561210453920221"/>
    <n v="2.1602787456445994E-2"/>
    <n v="1.2898845892735914E-2"/>
    <n v="0.97867950481430532"/>
    <n v="0"/>
    <n v="8"/>
    <n v="1"/>
    <n v="351"/>
    <n v="9"/>
    <n v="10.256410256410257"/>
    <n v="0.87749999999999995"/>
    <n v="0.85879126547455287"/>
  </r>
  <r>
    <x v="2"/>
    <d v="2021-10-08T00:00:00"/>
    <s v="B"/>
    <x v="6"/>
    <x v="52"/>
    <m/>
    <s v="PR1"/>
    <s v="KPP 120 ML BOTTLE PRINTED"/>
    <s v="EI20Bc1J07Pa"/>
    <s v="Pintu"/>
    <n v="8"/>
    <n v="5123"/>
    <n v="640.375"/>
    <n v="5438"/>
    <n v="5400"/>
    <n v="0"/>
    <n v="0"/>
    <n v="43"/>
    <n v="0"/>
    <n v="38"/>
    <n v="0"/>
    <n v="5"/>
    <n v="1080"/>
    <n v="1.0540698809291431"/>
    <x v="38"/>
    <n v="0"/>
    <n v="0"/>
    <s v=" "/>
    <n v="6.9878631849944837E-3"/>
    <n v="0"/>
    <n v="0.99301213681500555"/>
    <n v="0"/>
    <n v="8"/>
    <n v="1"/>
    <n v="675"/>
    <n v="32.4"/>
    <n v="26.666666666666668"/>
    <n v="1.2149999999999999"/>
    <n v="1.2065097462302317"/>
  </r>
  <r>
    <x v="2"/>
    <d v="2021-10-08T00:00:00"/>
    <s v="C"/>
    <x v="5"/>
    <x v="19"/>
    <m/>
    <s v="Virgen"/>
    <s v="CAP S TYPE MOLDED BLUE"/>
    <s v="EJ08Cc"/>
    <s v="Nitin"/>
    <n v="8"/>
    <n v="4137"/>
    <n v="517.125"/>
    <n v="4610"/>
    <n v="4600"/>
    <n v="0"/>
    <n v="0"/>
    <n v="0"/>
    <n v="0"/>
    <n v="2"/>
    <n v="8"/>
    <n v="1"/>
    <n v="4600"/>
    <n v="1.111916847957457"/>
    <x v="15"/>
    <n v="7.3"/>
    <n v="33.652999999999999"/>
    <n v="0.99783080260303691"/>
    <n v="4.3459365493263801E-4"/>
    <n v="0"/>
    <n v="0.99956616052060743"/>
    <n v="0"/>
    <n v="8"/>
    <n v="1"/>
    <n v="575"/>
    <n v="6"/>
    <n v="6.2608695652173916"/>
    <n v="0.95833333333333326"/>
    <n v="0.95791757049891535"/>
  </r>
  <r>
    <x v="2"/>
    <d v="2021-10-08T00:00:00"/>
    <s v="C"/>
    <x v="0"/>
    <x v="47"/>
    <s v="M2"/>
    <s v="L2"/>
    <s v="NIPPLE S TYPE L SIZE INJECTION"/>
    <s v="HEJ08Nc"/>
    <s v="Nitin"/>
    <n v="8"/>
    <n v="4815"/>
    <n v="601.875"/>
    <n v="4950"/>
    <n v="4850"/>
    <n v="0"/>
    <n v="40"/>
    <n v="0"/>
    <n v="0"/>
    <n v="60"/>
    <n v="0"/>
    <n v="1"/>
    <n v="4850"/>
    <n v="1.0072689511941848"/>
    <x v="0"/>
    <n v="6.8"/>
    <n v="33.659999999999997"/>
    <n v="0.97979797979797978"/>
    <n v="1.2219959266802444E-2"/>
    <n v="8.0160320641282558E-3"/>
    <n v="0.98787878787878791"/>
    <n v="0"/>
    <n v="8"/>
    <n v="1"/>
    <n v="606.25"/>
    <n v="5.25"/>
    <n v="5.9381443298969074"/>
    <n v="0.88411458333333326"/>
    <n v="0.87339804292929291"/>
  </r>
  <r>
    <x v="2"/>
    <d v="2021-10-08T00:00:00"/>
    <s v="C"/>
    <x v="1"/>
    <x v="9"/>
    <s v="BM2"/>
    <s v="B2"/>
    <s v="KPP 200 ML BOTTLE MOLDED"/>
    <s v="EJ08Bc2"/>
    <s v="Nitin"/>
    <n v="8"/>
    <n v="2574"/>
    <n v="321.75"/>
    <n v="3004"/>
    <n v="2916"/>
    <n v="0.1"/>
    <n v="44"/>
    <n v="0"/>
    <n v="0"/>
    <n v="36"/>
    <n v="8"/>
    <n v="1"/>
    <n v="2916"/>
    <n v="1.1328671328671329"/>
    <x v="1"/>
    <n v="28.1"/>
    <n v="84.5124"/>
    <n v="0.96955713007795308"/>
    <n v="1.2195121951219513E-2"/>
    <n v="1.4435695538057743E-2"/>
    <n v="0.98801597869507318"/>
    <n v="0"/>
    <n v="8"/>
    <n v="1"/>
    <n v="364.5"/>
    <n v="9"/>
    <n v="9.8765432098765427"/>
    <n v="0.91125"/>
    <n v="0.90032956058588542"/>
  </r>
  <r>
    <x v="2"/>
    <d v="2021-10-09T00:00:00"/>
    <s v="A"/>
    <x v="1"/>
    <x v="9"/>
    <s v="BM2"/>
    <s v="B2"/>
    <s v="KPP 200 ML BOTTLE MOLDED"/>
    <s v="EJ09Ba2"/>
    <s v="Himanshu"/>
    <n v="8"/>
    <n v="2574"/>
    <n v="321.75"/>
    <n v="3314"/>
    <n v="3240"/>
    <n v="0"/>
    <n v="25"/>
    <n v="0"/>
    <n v="0"/>
    <n v="41"/>
    <n v="8"/>
    <n v="1"/>
    <n v="3240"/>
    <n v="1.2587412587412588"/>
    <x v="1"/>
    <n v="28.1"/>
    <n v="93.123400000000004"/>
    <n v="0.97767048883524432"/>
    <n v="1.2496190185918927E-2"/>
    <n v="7.4872716382150348E-3"/>
    <n v="0.98762824381412195"/>
    <n v="0"/>
    <n v="8"/>
    <n v="1"/>
    <n v="405"/>
    <n v="9"/>
    <n v="8.8888888888888893"/>
    <n v="1.0125"/>
    <n v="0.99997359686179843"/>
  </r>
  <r>
    <x v="2"/>
    <d v="2021-10-09T00:00:00"/>
    <s v="A"/>
    <x v="0"/>
    <x v="47"/>
    <s v="M2"/>
    <s v="L2"/>
    <s v="NIPPLE S TYPE L SIZE INJECTION"/>
    <s v="HEJ09Na"/>
    <s v="Himanshu"/>
    <n v="8"/>
    <n v="4815"/>
    <n v="601.875"/>
    <n v="5085"/>
    <n v="5000"/>
    <n v="0"/>
    <n v="30"/>
    <n v="0"/>
    <n v="0"/>
    <n v="47"/>
    <n v="8"/>
    <n v="1"/>
    <n v="5000"/>
    <n v="1.0384215991692627"/>
    <x v="0"/>
    <n v="6.8"/>
    <n v="34.577999999999996"/>
    <n v="0.98328416912487726"/>
    <n v="9.3124628492173567E-3"/>
    <n v="5.8651026392961877E-3"/>
    <n v="0.99075712881022615"/>
    <n v="0"/>
    <n v="8"/>
    <n v="1"/>
    <n v="625"/>
    <n v="5.25"/>
    <n v="5.76"/>
    <n v="0.91145833333333337"/>
    <n v="0.90303384136348741"/>
  </r>
  <r>
    <x v="2"/>
    <d v="2021-10-09T00:00:00"/>
    <s v="A"/>
    <x v="5"/>
    <x v="19"/>
    <m/>
    <s v="Virgin"/>
    <s v="CAP S TYPE MOLDED BLUE"/>
    <s v="EJ09Ca"/>
    <s v="Himanshu"/>
    <n v="8"/>
    <n v="4137"/>
    <n v="517.125"/>
    <n v="4210"/>
    <n v="4200"/>
    <n v="0"/>
    <n v="0"/>
    <n v="0"/>
    <n v="0"/>
    <n v="2"/>
    <n v="8"/>
    <n v="1"/>
    <n v="4200"/>
    <n v="1.015228426395939"/>
    <x v="15"/>
    <n v="7.3"/>
    <n v="30.733000000000001"/>
    <n v="0.99762470308788598"/>
    <n v="4.7596382674916705E-4"/>
    <n v="0"/>
    <n v="0.99952494061757724"/>
    <n v="0.75"/>
    <n v="7.25"/>
    <n v="0.90625"/>
    <n v="525"/>
    <n v="6"/>
    <n v="6.2142857142857144"/>
    <n v="0.96551724137931028"/>
    <n v="0.87458432304038003"/>
  </r>
  <r>
    <x v="2"/>
    <d v="2021-10-09T00:00:00"/>
    <s v="A"/>
    <x v="3"/>
    <x v="49"/>
    <m/>
    <s v="P1"/>
    <s v="NIPPLE S TYPE L SIZE PUNCHED"/>
    <s v="HEJ08NcJ09Pa"/>
    <s v="Himanshu"/>
    <n v="8"/>
    <n v="7000"/>
    <n v="875"/>
    <n v="7050"/>
    <n v="7050"/>
    <n v="0"/>
    <n v="0"/>
    <n v="0"/>
    <n v="0"/>
    <n v="0"/>
    <n v="0"/>
    <n v="1"/>
    <n v="7050"/>
    <n v="1.0071428571428571"/>
    <x v="36"/>
    <n v="0"/>
    <n v="0"/>
    <s v=" "/>
    <n v="0"/>
    <n v="0"/>
    <n v="1"/>
    <n v="0.75"/>
    <n v="7.25"/>
    <n v="0.90625"/>
    <n v="881.25"/>
    <n v="3.5"/>
    <n v="3.7021276595744679"/>
    <n v="0.94540229885057481"/>
    <n v="0.85677083333333337"/>
  </r>
  <r>
    <x v="2"/>
    <d v="2021-10-09T00:00:00"/>
    <s v="A"/>
    <x v="8"/>
    <x v="50"/>
    <m/>
    <s v="LZ1"/>
    <s v="NIPPLE S TYPE L SIZE PUNCHED LASER MARKED"/>
    <m/>
    <s v="Himanshu"/>
    <n v="8"/>
    <n v="7000"/>
    <n v="875"/>
    <n v="7050"/>
    <n v="7050"/>
    <n v="0"/>
    <n v="0"/>
    <n v="0"/>
    <n v="0"/>
    <n v="0"/>
    <n v="0"/>
    <n v="1"/>
    <n v="7050"/>
    <n v="1.0071428571428571"/>
    <x v="22"/>
    <n v="0"/>
    <n v="0"/>
    <s v=" "/>
    <n v="0"/>
    <n v="0"/>
    <n v="1"/>
    <n v="0.75"/>
    <n v="7.25"/>
    <n v="0.90625"/>
    <n v="881.25"/>
    <n v="3.5"/>
    <n v="3.7021276595744679"/>
    <n v="0.94540229885057481"/>
    <n v="0.85677083333333337"/>
  </r>
  <r>
    <x v="2"/>
    <d v="2021-10-09T00:00:00"/>
    <s v="A"/>
    <x v="6"/>
    <x v="52"/>
    <m/>
    <s v="PR1"/>
    <s v="KPP 120 ML BOTTLE PRINTED"/>
    <s v="EI22Bc1J09Pa"/>
    <s v="Badelal"/>
    <n v="8"/>
    <n v="5100"/>
    <n v="637.5"/>
    <n v="5316"/>
    <n v="5292"/>
    <n v="0"/>
    <n v="0"/>
    <n v="37"/>
    <n v="0"/>
    <n v="24"/>
    <n v="0"/>
    <n v="5"/>
    <n v="1058.4000000000001"/>
    <n v="1.0376470588235294"/>
    <x v="38"/>
    <n v="0"/>
    <n v="0"/>
    <s v=" "/>
    <n v="4.5146726862302479E-3"/>
    <n v="0"/>
    <n v="0.99548532731376971"/>
    <n v="0.66666666666666663"/>
    <n v="7.333333333333333"/>
    <n v="0.91666666666666663"/>
    <n v="661.5"/>
    <n v="32.4"/>
    <n v="24.943310657596371"/>
    <n v="1.2989454545454546"/>
    <n v="1.1853243792325057"/>
  </r>
  <r>
    <x v="2"/>
    <d v="2021-10-09T00:00:00"/>
    <s v="G"/>
    <x v="4"/>
    <x v="42"/>
    <m/>
    <m/>
    <s v="NIPPLE S TYPE LL SIZE INSPECTED"/>
    <s v="HEJ07CH22"/>
    <s v="Vivek"/>
    <n v="1"/>
    <n v="1767"/>
    <n v="1767"/>
    <n v="2050"/>
    <n v="2040"/>
    <n v="0"/>
    <n v="0"/>
    <n v="0"/>
    <n v="0"/>
    <n v="10"/>
    <n v="0"/>
    <n v="1"/>
    <n v="2040"/>
    <n v="1.1544991511035654"/>
    <x v="32"/>
    <n v="0"/>
    <n v="0"/>
    <s v=" "/>
    <n v="4.8780487804878049E-3"/>
    <n v="0"/>
    <n v="0.99512195121951219"/>
    <n v="0"/>
    <n v="1"/>
    <n v="1"/>
    <n v="2040"/>
    <n v="4"/>
    <n v="1.7647058823529411"/>
    <n v="2.2666666666666666"/>
    <n v="2.2556097560975608"/>
  </r>
  <r>
    <x v="2"/>
    <d v="2021-10-09T00:00:00"/>
    <s v="G"/>
    <x v="4"/>
    <x v="51"/>
    <m/>
    <m/>
    <s v="NIPPLE S TYPE L SIZE PUNCHED INSPECTED"/>
    <s v="HEJ08CH22"/>
    <s v="Vivek"/>
    <n v="7"/>
    <n v="10598"/>
    <n v="1514"/>
    <n v="9050"/>
    <n v="8970"/>
    <n v="0"/>
    <n v="0"/>
    <n v="0"/>
    <n v="0"/>
    <n v="80"/>
    <n v="0"/>
    <n v="1"/>
    <n v="8970"/>
    <n v="0.84638611058690316"/>
    <x v="37"/>
    <n v="0"/>
    <n v="0"/>
    <s v=" "/>
    <n v="8.8397790055248626E-3"/>
    <n v="0"/>
    <n v="0.99116022099447509"/>
    <n v="0.83333333333333337"/>
    <n v="6.166666666666667"/>
    <n v="0.88095238095238104"/>
    <n v="1281.4285714285713"/>
    <n v="4"/>
    <n v="2.4749163879598663"/>
    <n v="1.6162162162162161"/>
    <n v="1.4112233622730861"/>
  </r>
  <r>
    <x v="2"/>
    <d v="2021-10-09T00:00:00"/>
    <s v="G"/>
    <x v="7"/>
    <x v="27"/>
    <m/>
    <s v="WR1"/>
    <s v="NIPPLE S TYPE L SIZE WITH PRINTED WRAP"/>
    <s v="HEI17BH22"/>
    <s v="Vivek"/>
    <n v="8"/>
    <n v="16132"/>
    <n v="2016.5"/>
    <n v="14408"/>
    <n v="14390"/>
    <n v="0"/>
    <n v="0"/>
    <n v="0"/>
    <n v="0"/>
    <n v="18"/>
    <n v="0"/>
    <n v="2"/>
    <n v="7195"/>
    <n v="0.89201586908008923"/>
    <x v="22"/>
    <n v="0"/>
    <n v="0"/>
    <s v=" "/>
    <n v="1.249305941143809E-3"/>
    <n v="0"/>
    <n v="0.99875069405885619"/>
    <n v="0.83333333333333337"/>
    <n v="7.166666666666667"/>
    <n v="0.89583333333333337"/>
    <n v="1798.75"/>
    <n v="2.5"/>
    <n v="3.5858234885337041"/>
    <n v="0.69718992248062017"/>
    <n v="0.62378569824248875"/>
  </r>
  <r>
    <x v="2"/>
    <d v="2021-10-09T00:00:00"/>
    <s v="B"/>
    <x v="5"/>
    <x v="19"/>
    <m/>
    <s v="Virgin"/>
    <s v="CAP S TYPE MOLDED BLUE"/>
    <s v="EJ09Cb"/>
    <s v="Badelal"/>
    <n v="2"/>
    <n v="1036"/>
    <n v="518"/>
    <n v="1370"/>
    <n v="1370"/>
    <n v="0"/>
    <n v="0"/>
    <n v="0"/>
    <n v="0"/>
    <n v="0"/>
    <n v="0"/>
    <n v="1"/>
    <n v="1370"/>
    <n v="1.3223938223938223"/>
    <x v="15"/>
    <n v="7.3"/>
    <n v="10.000999999999999"/>
    <n v="1"/>
    <n v="0"/>
    <n v="0"/>
    <n v="1"/>
    <n v="0"/>
    <n v="2"/>
    <n v="1"/>
    <n v="685"/>
    <n v="6"/>
    <n v="5.2554744525547443"/>
    <n v="1.1416666666666666"/>
    <n v="1.1416666666666666"/>
  </r>
  <r>
    <x v="2"/>
    <d v="2021-10-09T00:00:00"/>
    <s v="B"/>
    <x v="3"/>
    <x v="49"/>
    <m/>
    <s v="P1"/>
    <s v="NIPPLE S TYPE L SIZE PUNCHED"/>
    <s v="HEJ09NaJ09Pb"/>
    <s v="Badelal"/>
    <n v="8"/>
    <n v="7000"/>
    <n v="875"/>
    <n v="6000"/>
    <n v="6000"/>
    <n v="0"/>
    <n v="0"/>
    <n v="0"/>
    <n v="0"/>
    <n v="0"/>
    <n v="0"/>
    <n v="1"/>
    <n v="6000"/>
    <n v="0.8571428571428571"/>
    <x v="36"/>
    <n v="0"/>
    <n v="0"/>
    <s v=" "/>
    <n v="0"/>
    <n v="0"/>
    <n v="1"/>
    <n v="0.66666666666666663"/>
    <n v="7.333333333333333"/>
    <n v="0.91666666666666663"/>
    <n v="750"/>
    <n v="3.5"/>
    <n v="4.4000000000000004"/>
    <n v="0.79545454545454541"/>
    <n v="0.72916666666666663"/>
  </r>
  <r>
    <x v="2"/>
    <d v="2021-10-09T00:00:00"/>
    <s v="B"/>
    <x v="8"/>
    <x v="50"/>
    <m/>
    <s v="LZ1"/>
    <s v="NIPPLE S TYPE L SIZE PUNCHED LASER MARKED"/>
    <s v="HEJ08CH22"/>
    <s v="Badelal"/>
    <n v="8"/>
    <n v="7000"/>
    <n v="875"/>
    <n v="7000"/>
    <n v="7000"/>
    <n v="0"/>
    <n v="0"/>
    <n v="0"/>
    <n v="0"/>
    <n v="0"/>
    <n v="0"/>
    <n v="1"/>
    <n v="7000"/>
    <n v="1"/>
    <x v="22"/>
    <n v="0"/>
    <n v="0"/>
    <s v=" "/>
    <n v="0"/>
    <n v="0"/>
    <n v="1"/>
    <n v="0.66666666666666663"/>
    <n v="7.333333333333333"/>
    <n v="0.91666666666666663"/>
    <n v="875"/>
    <n v="3.5"/>
    <n v="3.7714285714285714"/>
    <n v="0.92803030303030309"/>
    <n v="0.85069444444444442"/>
  </r>
  <r>
    <x v="2"/>
    <d v="2021-10-09T00:00:00"/>
    <s v="B"/>
    <x v="0"/>
    <x v="47"/>
    <s v="M2"/>
    <s v="L2"/>
    <s v="NIPPLE S TYPE L SIZE INJECTION"/>
    <s v="HEJ09Nb"/>
    <s v="Badelal"/>
    <n v="8"/>
    <n v="4815"/>
    <n v="601.875"/>
    <n v="4664"/>
    <n v="4562"/>
    <n v="0"/>
    <n v="40"/>
    <n v="0"/>
    <n v="0"/>
    <n v="62"/>
    <n v="0"/>
    <n v="1"/>
    <n v="4562"/>
    <n v="0.94745586708203533"/>
    <x v="0"/>
    <n v="6.8"/>
    <n v="31.715199999999999"/>
    <n v="0.97813036020583188"/>
    <n v="1.3408304498269897E-2"/>
    <n v="8.5034013605442185E-3"/>
    <n v="0.98670668953687823"/>
    <n v="1"/>
    <n v="7"/>
    <n v="0.875"/>
    <n v="570.25"/>
    <n v="5.25"/>
    <n v="5.5238930293730819"/>
    <n v="0.95041666666666669"/>
    <n v="0.8205596724914237"/>
  </r>
  <r>
    <x v="2"/>
    <d v="2021-10-09T00:00:00"/>
    <s v="B"/>
    <x v="1"/>
    <x v="9"/>
    <s v="BM2"/>
    <s v="B2"/>
    <s v="KPP 200 ML BOTTLE MOLDED"/>
    <s v="EJ09Bb2"/>
    <s v="Badelal"/>
    <n v="8"/>
    <n v="2574"/>
    <n v="321.75"/>
    <n v="3204"/>
    <n v="3132"/>
    <n v="0"/>
    <n v="24"/>
    <n v="0"/>
    <n v="0"/>
    <n v="40"/>
    <n v="8"/>
    <n v="1"/>
    <n v="3132"/>
    <n v="1.2167832167832169"/>
    <x v="1"/>
    <n v="28.1"/>
    <n v="90.032399999999996"/>
    <n v="0.97752808988764062"/>
    <n v="1.2610340479192938E-2"/>
    <n v="7.4349442379182153E-3"/>
    <n v="0.98751560549313355"/>
    <n v="0"/>
    <n v="8"/>
    <n v="1"/>
    <n v="391.5"/>
    <n v="9"/>
    <n v="9.1954022988505741"/>
    <n v="0.97875000000000001"/>
    <n v="0.96653089887640442"/>
  </r>
  <r>
    <x v="2"/>
    <d v="2021-10-09T00:00:00"/>
    <s v="B"/>
    <x v="5"/>
    <x v="19"/>
    <m/>
    <s v="Recycle"/>
    <s v="CAP S TYPE MOLDED BLUE"/>
    <s v="EJ09CRb"/>
    <s v="Badelal"/>
    <n v="6"/>
    <n v="3101"/>
    <n v="516.83333333333337"/>
    <n v="2604"/>
    <n v="2600"/>
    <n v="0"/>
    <n v="0"/>
    <n v="0"/>
    <n v="0"/>
    <n v="4"/>
    <n v="0"/>
    <n v="1"/>
    <n v="2600"/>
    <n v="0.83843921315704606"/>
    <x v="15"/>
    <n v="7.3"/>
    <n v="19.0092"/>
    <n v="0.99846390168970822"/>
    <n v="1.5360983102918587E-3"/>
    <n v="0"/>
    <n v="0.99846390168970811"/>
    <n v="1.5"/>
    <n v="4.5"/>
    <n v="0.75"/>
    <n v="433.33333333333331"/>
    <n v="6"/>
    <n v="6.2307692307692308"/>
    <n v="0.96296296296296291"/>
    <n v="0.72111281788701143"/>
  </r>
  <r>
    <x v="2"/>
    <d v="2021-10-09T00:00:00"/>
    <s v="B"/>
    <x v="6"/>
    <x v="52"/>
    <m/>
    <m/>
    <s v="KPP 120 ML BOTTLE PRINTED"/>
    <s v="EI23Ba2J09Pb"/>
    <s v="Badelal"/>
    <n v="8"/>
    <n v="5100"/>
    <n v="637.5"/>
    <n v="4886"/>
    <n v="4860"/>
    <n v="0"/>
    <n v="0"/>
    <n v="40"/>
    <n v="0"/>
    <n v="26"/>
    <n v="0"/>
    <n v="5"/>
    <n v="972"/>
    <n v="0.95294117647058818"/>
    <x v="38"/>
    <n v="0"/>
    <n v="0"/>
    <s v=" "/>
    <n v="5.3213262382316821E-3"/>
    <n v="0"/>
    <n v="0.99467867376176833"/>
    <n v="0.66666666666666663"/>
    <n v="7.333333333333333"/>
    <n v="0.91666666666666663"/>
    <n v="607.5"/>
    <n v="32.4"/>
    <n v="27.160493827160494"/>
    <n v="1.1929090909090909"/>
    <n v="1.0876811297584936"/>
  </r>
  <r>
    <x v="2"/>
    <d v="2021-10-09T00:00:00"/>
    <s v="C"/>
    <x v="1"/>
    <x v="9"/>
    <s v="BM2"/>
    <s v="B2"/>
    <s v="KPP 200 ML BOTTLE MOLDED"/>
    <s v="EJ09Bc2"/>
    <s v="Nitin"/>
    <n v="8"/>
    <n v="2574"/>
    <n v="321.75"/>
    <n v="3097"/>
    <n v="3024"/>
    <n v="0"/>
    <n v="35"/>
    <n v="0"/>
    <n v="0"/>
    <n v="30"/>
    <n v="8"/>
    <n v="1"/>
    <n v="3024"/>
    <n v="1.1748251748251748"/>
    <x v="1"/>
    <n v="28.1"/>
    <n v="87.025700000000001"/>
    <n v="0.97642880206651606"/>
    <n v="9.823182711198428E-3"/>
    <n v="1.1174968071519796E-2"/>
    <n v="0.99031320632870523"/>
    <n v="0"/>
    <n v="8"/>
    <n v="1"/>
    <n v="378"/>
    <n v="9"/>
    <n v="9.5238095238095237"/>
    <n v="0.94500000000000006"/>
    <n v="0.93584597998062646"/>
  </r>
  <r>
    <x v="2"/>
    <d v="2021-10-09T00:00:00"/>
    <s v="C"/>
    <x v="0"/>
    <x v="47"/>
    <s v="M2"/>
    <s v="L2"/>
    <s v="NIPPLE S TYPE L SIZE INJECTION"/>
    <s v="HEJ09Nc"/>
    <s v="Nitin"/>
    <n v="8"/>
    <n v="4815"/>
    <n v="601.875"/>
    <n v="4302"/>
    <n v="4200"/>
    <n v="1.4"/>
    <n v="40"/>
    <n v="0"/>
    <n v="0"/>
    <n v="54"/>
    <n v="8"/>
    <n v="1"/>
    <n v="4200"/>
    <n v="0.87227414330218067"/>
    <x v="0"/>
    <n v="6.8"/>
    <n v="30.653599999999997"/>
    <n v="0.93170133361171281"/>
    <n v="1.2693935119887164E-2"/>
    <n v="9.2123445416858584E-3"/>
    <n v="0.9874476987447699"/>
    <n v="1.5"/>
    <n v="6.5"/>
    <n v="0.8125"/>
    <n v="525"/>
    <n v="5.25"/>
    <n v="5.5714285714285712"/>
    <n v="0.9423076923076924"/>
    <n v="0.75601464435146448"/>
  </r>
  <r>
    <x v="2"/>
    <d v="2021-10-09T00:00:00"/>
    <s v="C"/>
    <x v="5"/>
    <x v="19"/>
    <m/>
    <s v="Recycle"/>
    <s v="CAP S TYPE MOLDED BLUE"/>
    <s v="EJ09CRc"/>
    <s v="Nitin"/>
    <n v="8"/>
    <n v="4137"/>
    <n v="517.125"/>
    <n v="4011"/>
    <n v="4000"/>
    <n v="0"/>
    <n v="0"/>
    <n v="0"/>
    <n v="0"/>
    <n v="3"/>
    <n v="8"/>
    <n v="1"/>
    <n v="4000"/>
    <n v="0.96688421561518012"/>
    <x v="15"/>
    <n v="7.3"/>
    <n v="29.2803"/>
    <n v="0.99725754176015957"/>
    <n v="7.4943792155883092E-4"/>
    <n v="0"/>
    <n v="0.9992520568436799"/>
    <n v="1"/>
    <n v="7"/>
    <n v="0.875"/>
    <n v="500"/>
    <n v="6"/>
    <n v="6.3"/>
    <n v="0.95238095238095244"/>
    <n v="0.83271004736973331"/>
  </r>
  <r>
    <x v="2"/>
    <d v="2021-10-11T00:00:00"/>
    <s v="A"/>
    <x v="1"/>
    <x v="9"/>
    <s v="BM2"/>
    <s v="B2"/>
    <s v="KPP 200 ML BOTTLE MOLDED"/>
    <s v="EJ11Ba2"/>
    <s v="Nitin"/>
    <n v="8"/>
    <n v="2574"/>
    <n v="321.75"/>
    <n v="2132"/>
    <n v="2052"/>
    <n v="0.2"/>
    <n v="42"/>
    <n v="0"/>
    <n v="0"/>
    <n v="30"/>
    <n v="8"/>
    <n v="1"/>
    <n v="2052"/>
    <n v="0.79720279720279719"/>
    <x v="1"/>
    <n v="28.1"/>
    <n v="60.109200000000001"/>
    <n v="0.95927412109959875"/>
    <n v="1.4409221902017291E-2"/>
    <n v="1.9319227230910764E-2"/>
    <n v="0.98592870544090061"/>
    <n v="2.8333333333333335"/>
    <n v="5.1666666666666661"/>
    <n v="0.64583333333333326"/>
    <n v="256.5"/>
    <n v="9"/>
    <n v="9.0643274853801152"/>
    <n v="0.99290322580645185"/>
    <n v="0.63222678236397756"/>
  </r>
  <r>
    <x v="2"/>
    <d v="2021-10-11T00:00:00"/>
    <s v="A"/>
    <x v="0"/>
    <x v="47"/>
    <s v="M2"/>
    <s v="L2"/>
    <s v="NIPPLE S TYPE L SIZE INJECTION"/>
    <s v="HEJ11Na"/>
    <s v="Nitin"/>
    <n v="8"/>
    <n v="4815"/>
    <n v="601.875"/>
    <n v="4348"/>
    <n v="4200"/>
    <n v="1"/>
    <n v="80"/>
    <n v="0"/>
    <n v="0"/>
    <n v="60"/>
    <n v="8"/>
    <n v="1"/>
    <n v="4200"/>
    <n v="0.87227414330218067"/>
    <x v="0"/>
    <n v="6.8"/>
    <n v="30.566399999999998"/>
    <n v="0.93435929648241212"/>
    <n v="1.4084507042253521E-2"/>
    <n v="1.8066847335140017E-2"/>
    <n v="0.98620055197792089"/>
    <n v="1.8333333333333333"/>
    <n v="6.166666666666667"/>
    <n v="0.77083333333333337"/>
    <n v="525"/>
    <n v="5.25"/>
    <n v="5.2857142857142856"/>
    <n v="0.99324324324324331"/>
    <n v="0.75505979760809572"/>
  </r>
  <r>
    <x v="2"/>
    <d v="2021-10-11T00:00:00"/>
    <s v="A"/>
    <x v="5"/>
    <x v="19"/>
    <m/>
    <s v="Recycle"/>
    <s v="CAP S TYPE MOLDED BLUE"/>
    <s v="EJ11CRa"/>
    <s v="Nitin"/>
    <n v="8"/>
    <n v="4137"/>
    <n v="517.125"/>
    <n v="3808"/>
    <n v="3800"/>
    <n v="0"/>
    <n v="0"/>
    <n v="0"/>
    <n v="0"/>
    <n v="0"/>
    <n v="8"/>
    <n v="1"/>
    <n v="3800"/>
    <n v="0.91854000483442111"/>
    <x v="15"/>
    <n v="7.3"/>
    <n v="27.798400000000001"/>
    <n v="0.99789915966386555"/>
    <n v="0"/>
    <n v="0"/>
    <n v="1"/>
    <n v="1"/>
    <n v="7"/>
    <n v="0.875"/>
    <n v="475"/>
    <n v="6"/>
    <n v="6.6315789473684212"/>
    <n v="0.90476190476190477"/>
    <n v="0.79166666666666663"/>
  </r>
  <r>
    <x v="2"/>
    <d v="2021-10-11T00:00:00"/>
    <s v="A"/>
    <x v="3"/>
    <x v="49"/>
    <m/>
    <s v="P1"/>
    <s v="NIPPLE S TYPE L SIZE PUNCHED"/>
    <s v="HEJ09NaJ11Pa"/>
    <s v="Nitin"/>
    <n v="8"/>
    <n v="7000"/>
    <n v="875"/>
    <n v="5762"/>
    <n v="5762"/>
    <n v="0"/>
    <n v="0"/>
    <n v="0"/>
    <n v="0"/>
    <n v="0"/>
    <n v="0"/>
    <n v="1"/>
    <n v="5762"/>
    <n v="0.82314285714285718"/>
    <x v="36"/>
    <n v="0"/>
    <n v="0"/>
    <s v=" "/>
    <n v="0"/>
    <n v="0"/>
    <n v="1"/>
    <n v="1.5"/>
    <n v="6.5"/>
    <n v="0.8125"/>
    <n v="720.25"/>
    <n v="3.5"/>
    <n v="4.0610898993405069"/>
    <n v="0.8618376068376068"/>
    <n v="0.70024305555555555"/>
  </r>
  <r>
    <x v="2"/>
    <d v="2021-10-11T00:00:00"/>
    <s v="A"/>
    <x v="8"/>
    <x v="50"/>
    <m/>
    <s v="LZ1"/>
    <s v="NIPPLE S TYPE L SIZE PUNCHED LASER MARKED"/>
    <s v="HEJ09AH22"/>
    <s v="Nitin"/>
    <n v="8"/>
    <n v="7000"/>
    <n v="875"/>
    <n v="4762"/>
    <n v="4762"/>
    <n v="0"/>
    <n v="0"/>
    <n v="0"/>
    <n v="0"/>
    <n v="0"/>
    <n v="0"/>
    <n v="1"/>
    <n v="4762"/>
    <n v="0.68028571428571427"/>
    <x v="22"/>
    <n v="0"/>
    <n v="0"/>
    <s v=" "/>
    <n v="0"/>
    <n v="0"/>
    <n v="1"/>
    <n v="2.5"/>
    <n v="5.5"/>
    <n v="0.6875"/>
    <n v="595.25"/>
    <n v="3.5"/>
    <n v="4.1579168416631669"/>
    <n v="0.84176767676767672"/>
    <n v="0.57871527777777776"/>
  </r>
  <r>
    <x v="2"/>
    <d v="2021-10-11T00:00:00"/>
    <s v="G"/>
    <x v="6"/>
    <x v="52"/>
    <m/>
    <m/>
    <s v="KPP 120 ML BOTTLE PRINTED"/>
    <s v="EI23Bb2J11Pa"/>
    <s v="Badelal"/>
    <n v="8"/>
    <n v="5100"/>
    <n v="637.5"/>
    <n v="5244"/>
    <n v="5227"/>
    <n v="0"/>
    <n v="0"/>
    <n v="41"/>
    <n v="0"/>
    <n v="17"/>
    <n v="0"/>
    <n v="5"/>
    <n v="1045.4000000000001"/>
    <n v="1.0249019607843137"/>
    <x v="38"/>
    <n v="0"/>
    <n v="0"/>
    <s v=" "/>
    <n v="3.2418001525553013E-3"/>
    <n v="0"/>
    <n v="0.99675819984744474"/>
    <n v="0.66666666666666663"/>
    <n v="7.333333333333333"/>
    <n v="0.91666666666666663"/>
    <n v="653.375"/>
    <n v="32.4"/>
    <n v="25.253491486512338"/>
    <n v="1.2829909090909091"/>
    <n v="1.1722623998855837"/>
  </r>
  <r>
    <x v="2"/>
    <d v="2021-10-11T00:00:00"/>
    <s v="G"/>
    <x v="4"/>
    <x v="51"/>
    <m/>
    <m/>
    <s v="NIPPLE S TYPE L SIZE PUNCHED INSPECTED"/>
    <m/>
    <s v="Badelal"/>
    <n v="8"/>
    <n v="14132"/>
    <n v="1766.5"/>
    <n v="12762"/>
    <n v="12694"/>
    <n v="0"/>
    <n v="0"/>
    <n v="0"/>
    <n v="0"/>
    <n v="68"/>
    <n v="0"/>
    <n v="2"/>
    <n v="6347"/>
    <n v="0.89824511746391167"/>
    <x v="37"/>
    <n v="0"/>
    <n v="0"/>
    <s v=" "/>
    <n v="5.3283184453847363E-3"/>
    <n v="0"/>
    <n v="0.99467168155461527"/>
    <n v="0.83333333333333337"/>
    <n v="7.166666666666667"/>
    <n v="0.89583333333333337"/>
    <n v="1586.75"/>
    <n v="4"/>
    <n v="4.0649125571135967"/>
    <n v="0.98403100775193808"/>
    <n v="0.87683071705932547"/>
  </r>
  <r>
    <x v="2"/>
    <d v="2021-10-11T00:00:00"/>
    <s v="G"/>
    <x v="7"/>
    <x v="27"/>
    <m/>
    <s v="WR1"/>
    <s v="NIPPLE S TYPE L SIZE WITH PRINTED WRAP"/>
    <m/>
    <s v="Badelal"/>
    <n v="4"/>
    <n v="8066"/>
    <n v="2016.5"/>
    <n v="8650"/>
    <n v="8650"/>
    <n v="0"/>
    <n v="0"/>
    <n v="0"/>
    <n v="0"/>
    <n v="0"/>
    <n v="0"/>
    <n v="2"/>
    <n v="4325"/>
    <n v="1.0724026779072651"/>
    <x v="22"/>
    <n v="0"/>
    <n v="0"/>
    <s v=" "/>
    <n v="0"/>
    <n v="0"/>
    <n v="1"/>
    <n v="0.83333333333333337"/>
    <n v="3.1666666666666665"/>
    <n v="0.79166666666666663"/>
    <n v="2162.5"/>
    <n v="2.5"/>
    <n v="2.6358381502890174"/>
    <n v="0.94846491228070173"/>
    <n v="0.75086805555555547"/>
  </r>
  <r>
    <x v="2"/>
    <d v="2021-10-11T00:00:00"/>
    <s v="G"/>
    <x v="7"/>
    <x v="71"/>
    <m/>
    <s v="WR1"/>
    <s v="NIPPLE S TYPE Y SIZE WITH PRINTED WRAP"/>
    <m/>
    <s v="Badelal"/>
    <n v="4"/>
    <n v="8066"/>
    <n v="2016.5"/>
    <n v="9206"/>
    <n v="9206"/>
    <n v="0"/>
    <n v="0"/>
    <n v="0"/>
    <n v="0"/>
    <n v="0"/>
    <n v="0"/>
    <n v="2"/>
    <n v="4603"/>
    <n v="1.1413339945450036"/>
    <x v="43"/>
    <n v="0"/>
    <n v="0"/>
    <s v=" "/>
    <n v="0"/>
    <n v="0"/>
    <n v="1"/>
    <n v="0"/>
    <n v="4"/>
    <n v="1"/>
    <n v="2301.5"/>
    <n v="2.5"/>
    <n v="3.1283945253095808"/>
    <n v="0.79913194444444446"/>
    <n v="0.79913194444444446"/>
  </r>
  <r>
    <x v="2"/>
    <d v="2021-10-11T00:00:00"/>
    <s v="   B  "/>
    <x v="5"/>
    <x v="19"/>
    <m/>
    <s v="Recycle"/>
    <s v="CAP S TYPE MOLDED BLUE"/>
    <s v="EJ11CRb"/>
    <s v="Badelal"/>
    <n v="4"/>
    <n v="2060"/>
    <n v="515"/>
    <n v="2510"/>
    <n v="2510"/>
    <n v="0.6"/>
    <n v="0"/>
    <n v="0"/>
    <n v="0"/>
    <n v="0"/>
    <n v="0"/>
    <n v="1"/>
    <n v="2510"/>
    <n v="1.2184466019417475"/>
    <x v="15"/>
    <n v="7.3"/>
    <n v="18.923000000000002"/>
    <n v="0.96829255403477243"/>
    <n v="0"/>
    <n v="0"/>
    <n v="1"/>
    <n v="0"/>
    <n v="4"/>
    <n v="1"/>
    <n v="627.5"/>
    <n v="6"/>
    <n v="5.7370517928286855"/>
    <n v="1.0458333333333334"/>
    <n v="1.0458333333333334"/>
  </r>
  <r>
    <x v="2"/>
    <d v="2021-10-11T00:00:00"/>
    <s v="B"/>
    <x v="5"/>
    <x v="23"/>
    <m/>
    <s v="Recycle"/>
    <s v="CAP S TYPE MOLDED PALE BLUE"/>
    <s v="EJ1CRb"/>
    <s v="Badelal"/>
    <n v="4"/>
    <n v="2060"/>
    <n v="515"/>
    <n v="2000"/>
    <n v="2000"/>
    <n v="0.4"/>
    <n v="0"/>
    <n v="0"/>
    <n v="0"/>
    <n v="0"/>
    <n v="0"/>
    <n v="1"/>
    <n v="2000"/>
    <n v="0.970873786407767"/>
    <x v="18"/>
    <n v="7.3"/>
    <n v="15"/>
    <n v="0.97333333333333327"/>
    <n v="0"/>
    <n v="0"/>
    <n v="1"/>
    <n v="0.83333333333333337"/>
    <n v="3.1666666666666665"/>
    <n v="0.79166666666666663"/>
    <n v="500"/>
    <n v="6"/>
    <n v="5.7"/>
    <n v="1.0526315789473684"/>
    <n v="0.83333333333333326"/>
  </r>
  <r>
    <x v="2"/>
    <d v="2021-10-11T00:00:00"/>
    <s v="B"/>
    <x v="1"/>
    <x v="9"/>
    <s v="BM2"/>
    <s v="B2"/>
    <s v="KPP 200 ML BOTTLE MOLDED"/>
    <s v="EJ11Bb2"/>
    <s v="Badelal"/>
    <n v="8"/>
    <n v="2574"/>
    <n v="321.75"/>
    <n v="3420"/>
    <n v="3348"/>
    <n v="0"/>
    <n v="24"/>
    <n v="0"/>
    <n v="0"/>
    <n v="48"/>
    <n v="0"/>
    <n v="1"/>
    <n v="3348"/>
    <n v="1.3006993006993006"/>
    <x v="1"/>
    <n v="28.1"/>
    <n v="96.102000000000004"/>
    <n v="0.97894736842105257"/>
    <n v="1.4134275618374558E-2"/>
    <n v="6.9686411149825784E-3"/>
    <n v="0.98596491228070171"/>
    <n v="0"/>
    <n v="8"/>
    <n v="1"/>
    <n v="418.5"/>
    <n v="9"/>
    <n v="8.6021505376344081"/>
    <n v="1.0462500000000001"/>
    <n v="1.0315657894736843"/>
  </r>
  <r>
    <x v="2"/>
    <d v="2021-10-11T00:00:00"/>
    <s v="B"/>
    <x v="0"/>
    <x v="47"/>
    <s v="M2"/>
    <s v="L2"/>
    <s v="NIPPLE S TYPE L SIZE INJECTION"/>
    <s v="HEJ11Nb"/>
    <s v="Badelal"/>
    <n v="8"/>
    <n v="4815"/>
    <n v="601.875"/>
    <n v="5565"/>
    <n v="5500"/>
    <n v="0"/>
    <n v="20"/>
    <n v="0"/>
    <n v="0"/>
    <n v="45"/>
    <n v="0"/>
    <n v="1"/>
    <n v="5500"/>
    <n v="1.142263759086189"/>
    <x v="0"/>
    <n v="6.8"/>
    <n v="37.841999999999999"/>
    <n v="0.98831985624438456"/>
    <n v="8.1154192966636611E-3"/>
    <n v="3.5810205908683975E-3"/>
    <n v="0.99191374663072773"/>
    <n v="0"/>
    <n v="8"/>
    <n v="1"/>
    <n v="687.5"/>
    <n v="5.25"/>
    <n v="5.2363636363636363"/>
    <n v="1.0026041666666667"/>
    <n v="0.99449685534591203"/>
  </r>
  <r>
    <x v="2"/>
    <d v="2021-10-11T00:00:00"/>
    <s v="B"/>
    <x v="3"/>
    <x v="49"/>
    <m/>
    <m/>
    <s v="NIPPLE S TYPE L SIZE PUNCHED"/>
    <s v="HEJ11NaJ11Pb"/>
    <s v="Badelal"/>
    <n v="8"/>
    <n v="7000"/>
    <n v="875"/>
    <n v="7000"/>
    <n v="7000"/>
    <n v="0"/>
    <n v="0"/>
    <n v="0"/>
    <n v="0"/>
    <n v="0"/>
    <n v="0"/>
    <n v="1"/>
    <n v="7000"/>
    <n v="1"/>
    <x v="36"/>
    <n v="0"/>
    <n v="0"/>
    <s v=" "/>
    <n v="0"/>
    <n v="0"/>
    <n v="1"/>
    <n v="0"/>
    <n v="8"/>
    <n v="1"/>
    <n v="875"/>
    <n v="3.5"/>
    <n v="4.1142857142857139"/>
    <n v="0.85069444444444453"/>
    <n v="0.85069444444444453"/>
  </r>
  <r>
    <x v="2"/>
    <d v="2021-10-11T00:00:00"/>
    <s v="B"/>
    <x v="8"/>
    <x v="50"/>
    <m/>
    <s v="LZ1"/>
    <s v="NIPPLE S TYPE L SIZE PUNCHED LASER MARKED"/>
    <m/>
    <s v="Badelal"/>
    <n v="8"/>
    <n v="7000"/>
    <n v="875"/>
    <n v="7000"/>
    <n v="7000"/>
    <n v="0"/>
    <n v="0"/>
    <n v="0"/>
    <n v="0"/>
    <n v="0"/>
    <n v="0"/>
    <n v="1"/>
    <n v="7000"/>
    <n v="1"/>
    <x v="22"/>
    <n v="0"/>
    <n v="0"/>
    <s v=" "/>
    <n v="0"/>
    <n v="0"/>
    <n v="1"/>
    <n v="0"/>
    <n v="8"/>
    <n v="1"/>
    <n v="875"/>
    <n v="3.5"/>
    <n v="4.1142857142857139"/>
    <n v="0.85069444444444453"/>
    <n v="0.85069444444444453"/>
  </r>
  <r>
    <x v="2"/>
    <d v="2021-10-11T00:00:00"/>
    <s v="C"/>
    <x v="1"/>
    <x v="7"/>
    <s v="BM3"/>
    <s v="B2"/>
    <s v="KPP BOTTLE 200 ML MOULDED-WMG3B"/>
    <s v="EJ11Bc2"/>
    <s v="Saurabh"/>
    <n v="8"/>
    <n v="2137"/>
    <n v="267.125"/>
    <n v="1710"/>
    <n v="1512"/>
    <n v="0.8"/>
    <n v="127"/>
    <n v="0"/>
    <n v="0"/>
    <n v="47"/>
    <n v="24"/>
    <n v="1"/>
    <n v="1512"/>
    <n v="0.70753392606457655"/>
    <x v="7"/>
    <n v="28.6"/>
    <n v="49.705999999999996"/>
    <n v="0.8699794793385105"/>
    <n v="3.0147530468248876E-2"/>
    <n v="6.9134458356015241E-2"/>
    <n v="0.97251461988304089"/>
    <n v="3.6666666666666665"/>
    <n v="4.3333333333333339"/>
    <n v="0.54166666666666674"/>
    <n v="189"/>
    <n v="9"/>
    <n v="10.317460317460318"/>
    <n v="0.87230769230769223"/>
    <n v="0.45951315789473685"/>
  </r>
  <r>
    <x v="2"/>
    <d v="2021-10-11T00:00:00"/>
    <s v="C"/>
    <x v="5"/>
    <x v="23"/>
    <m/>
    <s v="Recycle"/>
    <s v="CAP S TYPE MOLDED PALE BLUE"/>
    <s v="EJ11CRc"/>
    <s v="Saurabh"/>
    <n v="4.5"/>
    <n v="2320"/>
    <n v="515.55555555555554"/>
    <n v="2332"/>
    <n v="2320"/>
    <n v="0"/>
    <n v="0"/>
    <n v="0"/>
    <n v="0"/>
    <n v="4"/>
    <n v="8"/>
    <n v="1"/>
    <n v="2320"/>
    <n v="1"/>
    <x v="18"/>
    <n v="7.3"/>
    <n v="17.023600000000002"/>
    <n v="0.99485420240137212"/>
    <n v="1.7211703958691911E-3"/>
    <n v="0"/>
    <n v="0.99828473413379071"/>
    <n v="0.66666666666666663"/>
    <n v="3.8333333333333335"/>
    <n v="0.85185185185185186"/>
    <n v="515.55555555555554"/>
    <n v="6"/>
    <n v="5.9482758620689653"/>
    <n v="1.008695652173913"/>
    <n v="0.8577854011816276"/>
  </r>
  <r>
    <x v="2"/>
    <d v="2021-10-11T00:00:00"/>
    <s v="C"/>
    <x v="5"/>
    <x v="23"/>
    <m/>
    <s v="Virgin"/>
    <s v="CAP S TYPE MOLDED PALE BLUE"/>
    <s v="EJ11Cc"/>
    <s v="Saurabh"/>
    <n v="3.5"/>
    <n v="1817"/>
    <n v="519.14285714285711"/>
    <n v="1700"/>
    <n v="1700"/>
    <n v="0"/>
    <n v="0"/>
    <n v="0"/>
    <n v="0"/>
    <n v="0"/>
    <n v="0"/>
    <n v="1"/>
    <n v="1700"/>
    <n v="0.93560814529444136"/>
    <x v="18"/>
    <n v="7.3"/>
    <n v="12.41"/>
    <n v="1"/>
    <n v="0"/>
    <n v="0"/>
    <n v="1"/>
    <n v="0.83333333333333337"/>
    <n v="2.6666666666666665"/>
    <n v="0.76190476190476186"/>
    <n v="485.71428571428572"/>
    <n v="6"/>
    <n v="5.6470588235294121"/>
    <n v="1.0625"/>
    <n v="0.80952380952380953"/>
  </r>
  <r>
    <x v="2"/>
    <d v="2021-10-11T00:00:00"/>
    <s v="C"/>
    <x v="0"/>
    <x v="47"/>
    <s v="M2"/>
    <s v="L2"/>
    <s v="NIPPLE S TYPE L SIZE INJECTION"/>
    <s v="HEJ11Nc"/>
    <s v="Saurabh"/>
    <n v="8"/>
    <n v="4815"/>
    <n v="601.875"/>
    <n v="5487"/>
    <n v="5400"/>
    <n v="0"/>
    <n v="23"/>
    <n v="0"/>
    <n v="0"/>
    <n v="56"/>
    <n v="8"/>
    <n v="1"/>
    <n v="5400"/>
    <n v="1.1214953271028036"/>
    <x v="0"/>
    <n v="6.8"/>
    <n v="37.311599999999999"/>
    <n v="0.98414434117003824"/>
    <n v="1.0263929618768328E-2"/>
    <n v="4.1742286751361157E-3"/>
    <n v="0.98979405868416259"/>
    <n v="0"/>
    <n v="8"/>
    <n v="1"/>
    <n v="675"/>
    <n v="5.25"/>
    <n v="5.333333333333333"/>
    <n v="0.984375"/>
    <n v="0.97432852651722257"/>
  </r>
  <r>
    <x v="2"/>
    <d v="2021-10-12T00:00:00"/>
    <s v="A"/>
    <x v="1"/>
    <x v="7"/>
    <s v="BM2"/>
    <s v="B2"/>
    <s v="KPP BOTTLE 200 ML MOULDED-WMG3B"/>
    <s v="EJ12Ba2"/>
    <s v="Nitin"/>
    <n v="8"/>
    <n v="2503"/>
    <n v="312.875"/>
    <n v="2715"/>
    <n v="2592"/>
    <n v="0.3"/>
    <n v="55"/>
    <n v="0"/>
    <n v="0"/>
    <n v="60"/>
    <n v="8"/>
    <n v="1"/>
    <n v="2592"/>
    <n v="1.035557331202557"/>
    <x v="7"/>
    <n v="28.6"/>
    <n v="77.948999999999998"/>
    <n v="0.95102182196051277"/>
    <n v="2.2624434389140271E-2"/>
    <n v="1.9855595667870037E-2"/>
    <n v="0.97790055248618779"/>
    <n v="0.83333333333333337"/>
    <n v="7.166666666666667"/>
    <n v="0.89583333333333337"/>
    <n v="324"/>
    <n v="9"/>
    <n v="9.9537037037037042"/>
    <n v="0.90418604651162782"/>
    <n v="0.79209944751381212"/>
  </r>
  <r>
    <x v="2"/>
    <d v="2021-10-12T00:00:00"/>
    <s v="A"/>
    <x v="0"/>
    <x v="47"/>
    <s v="M2"/>
    <s v="L2"/>
    <s v="NIPPLE S TYPE L SIZE INJECTION"/>
    <s v="HEJ12Na"/>
    <s v="Nitin"/>
    <n v="8"/>
    <n v="4815"/>
    <n v="601.875"/>
    <n v="5400"/>
    <n v="5350"/>
    <n v="0"/>
    <n v="0"/>
    <n v="0"/>
    <n v="0"/>
    <n v="42"/>
    <n v="8"/>
    <n v="1"/>
    <n v="5350"/>
    <n v="1.1111111111111112"/>
    <x v="0"/>
    <n v="6.8"/>
    <n v="36.72"/>
    <n v="0.9907407407407407"/>
    <n v="7.7893175074183977E-3"/>
    <n v="0"/>
    <n v="0.99222222222222223"/>
    <n v="0"/>
    <n v="8"/>
    <n v="1"/>
    <n v="668.75"/>
    <n v="5.25"/>
    <n v="5.3831775700934577"/>
    <n v="0.97526041666666674"/>
    <n v="0.96767505787037045"/>
  </r>
  <r>
    <x v="2"/>
    <d v="2021-10-12T00:00:00"/>
    <s v="A"/>
    <x v="5"/>
    <x v="23"/>
    <m/>
    <s v="Virgin"/>
    <s v="CAP S TYPE MOLDED PALE BLUE"/>
    <s v="EJ12Ca"/>
    <s v="Nitin"/>
    <n v="8"/>
    <n v="4137"/>
    <n v="517.125"/>
    <n v="4208"/>
    <n v="4200"/>
    <n v="0"/>
    <n v="0"/>
    <n v="0"/>
    <n v="0"/>
    <n v="0"/>
    <n v="8"/>
    <n v="1"/>
    <n v="4200"/>
    <n v="1.015228426395939"/>
    <x v="18"/>
    <n v="7.3"/>
    <n v="30.718399999999999"/>
    <n v="0.99809885931558939"/>
    <n v="0"/>
    <n v="0"/>
    <n v="1"/>
    <n v="0.83333333333333337"/>
    <n v="7.166666666666667"/>
    <n v="0.89583333333333337"/>
    <n v="525"/>
    <n v="6"/>
    <n v="6.1428571428571432"/>
    <n v="0.97674418604651159"/>
    <n v="0.875"/>
  </r>
  <r>
    <x v="2"/>
    <d v="2021-10-12T00:00:00"/>
    <s v="A"/>
    <x v="3"/>
    <x v="49"/>
    <m/>
    <s v="P1"/>
    <s v="NIPPLE S TYPE L SIZE PUNCHED"/>
    <s v="HEJ11NaJ12Pa"/>
    <s v="Nitin"/>
    <n v="8"/>
    <n v="7000"/>
    <n v="875"/>
    <n v="6700"/>
    <n v="6700"/>
    <n v="0"/>
    <n v="0"/>
    <n v="0"/>
    <n v="0"/>
    <n v="0"/>
    <n v="0"/>
    <n v="1"/>
    <n v="6700"/>
    <n v="0.95714285714285718"/>
    <x v="36"/>
    <n v="0"/>
    <n v="0"/>
    <s v=" "/>
    <n v="0"/>
    <n v="0"/>
    <n v="1"/>
    <n v="0.5"/>
    <n v="7.5"/>
    <n v="0.9375"/>
    <n v="837.5"/>
    <n v="3.5"/>
    <n v="4.0298507462686564"/>
    <n v="0.86851851851851858"/>
    <n v="0.81423611111111116"/>
  </r>
  <r>
    <x v="2"/>
    <d v="2021-10-12T00:00:00"/>
    <s v="A"/>
    <x v="8"/>
    <x v="50"/>
    <m/>
    <s v="LZ1"/>
    <s v="NIPPLE S TYPE L SIZE PUNCHED LASER MARKED"/>
    <m/>
    <s v="Nitin"/>
    <n v="8"/>
    <n v="7000"/>
    <n v="875"/>
    <n v="5200"/>
    <n v="5200"/>
    <n v="0"/>
    <n v="0"/>
    <n v="0"/>
    <n v="0"/>
    <n v="0"/>
    <n v="0"/>
    <n v="1"/>
    <n v="5200"/>
    <n v="0.74285714285714288"/>
    <x v="22"/>
    <n v="0"/>
    <n v="0"/>
    <s v=" "/>
    <n v="0"/>
    <n v="0"/>
    <n v="1"/>
    <n v="2"/>
    <n v="6"/>
    <n v="0.75"/>
    <n v="650"/>
    <n v="3.5"/>
    <n v="4.1538461538461542"/>
    <n v="0.84259259259259256"/>
    <n v="0.63194444444444442"/>
  </r>
  <r>
    <x v="2"/>
    <d v="2021-10-12T00:00:00"/>
    <s v="G"/>
    <x v="7"/>
    <x v="27"/>
    <m/>
    <s v="WR1"/>
    <s v="NIPPLE S TYPE L SIZE WITH PRINTED WRAP"/>
    <s v="HEI20CH22"/>
    <s v="Badelal"/>
    <n v="8"/>
    <n v="16137"/>
    <n v="2017.125"/>
    <n v="16992"/>
    <n v="16982"/>
    <n v="0"/>
    <n v="0"/>
    <n v="0"/>
    <n v="0"/>
    <n v="10"/>
    <n v="0"/>
    <n v="2"/>
    <n v="8491"/>
    <n v="1.0523641321187334"/>
    <x v="22"/>
    <n v="0"/>
    <n v="0"/>
    <s v=" "/>
    <n v="5.885122410546139E-4"/>
    <n v="0"/>
    <n v="0.99941148775894539"/>
    <n v="0.83333333333333337"/>
    <n v="7.166666666666667"/>
    <n v="0.89583333333333337"/>
    <n v="2122.75"/>
    <n v="2.5"/>
    <n v="3.0385113649746791"/>
    <n v="0.82277131782945734"/>
    <n v="0.73663219987510464"/>
  </r>
  <r>
    <x v="2"/>
    <d v="2021-10-12T00:00:00"/>
    <s v="G"/>
    <x v="4"/>
    <x v="51"/>
    <m/>
    <m/>
    <s v="NIPPLE S TYPE L SIZE PUNCHED INSPECTED"/>
    <s v="HEJ09CH22"/>
    <s v="Badelal"/>
    <n v="8"/>
    <n v="14132"/>
    <n v="1766.5"/>
    <n v="12700"/>
    <n v="12669"/>
    <n v="0"/>
    <n v="0"/>
    <n v="0"/>
    <n v="0"/>
    <n v="31"/>
    <n v="0"/>
    <n v="1"/>
    <n v="12669"/>
    <n v="0.89647608264930656"/>
    <x v="37"/>
    <n v="0"/>
    <n v="0"/>
    <s v=" "/>
    <n v="2.4409448818897639E-3"/>
    <n v="0"/>
    <n v="0.99755905511811027"/>
    <n v="0.83333333333333337"/>
    <n v="7.166666666666667"/>
    <n v="0.89583333333333337"/>
    <n v="1583.625"/>
    <n v="4"/>
    <n v="2.0364669666114135"/>
    <n v="1.9641860465116281"/>
    <n v="1.7552882874015752"/>
  </r>
  <r>
    <x v="2"/>
    <d v="2021-10-12T00:00:00"/>
    <s v="G"/>
    <x v="6"/>
    <x v="75"/>
    <m/>
    <m/>
    <s v="RPP 240ML ABSTRCT BLU BOTLE PNTD WM3GB W/BIS LOGO"/>
    <s v="HEI03Bc2J12Pa"/>
    <s v="Badelal"/>
    <n v="2"/>
    <n v="600"/>
    <n v="300"/>
    <n v="608"/>
    <n v="600"/>
    <n v="0"/>
    <n v="0"/>
    <n v="0"/>
    <n v="0"/>
    <n v="8"/>
    <n v="0"/>
    <n v="5"/>
    <n v="120"/>
    <n v="1"/>
    <x v="42"/>
    <n v="0"/>
    <n v="0"/>
    <s v=" "/>
    <n v="1.3157894736842105E-2"/>
    <n v="0"/>
    <n v="0.98684210526315785"/>
    <n v="1.8333333333333333"/>
    <n v="0.16666666666666674"/>
    <n v="8.333333333333337E-2"/>
    <n v="300"/>
    <n v="32.4"/>
    <n v="5.0000000000000027"/>
    <n v="6.479999999999996"/>
    <n v="0.5328947368421052"/>
  </r>
  <r>
    <x v="2"/>
    <d v="2021-10-12T00:00:00"/>
    <s v="G"/>
    <x v="6"/>
    <x v="79"/>
    <m/>
    <m/>
    <s v="RPP 240ML ABSTRCT PNK BOTLE PNTD WM3GB W/BIS LOGO"/>
    <s v="EI02Bb2J12Pa"/>
    <s v="Badelal"/>
    <n v="3"/>
    <n v="1000"/>
    <n v="333.33333333333331"/>
    <n v="987"/>
    <n v="973"/>
    <n v="0"/>
    <n v="0"/>
    <n v="0"/>
    <n v="0"/>
    <n v="14"/>
    <n v="0"/>
    <n v="5"/>
    <n v="194.6"/>
    <n v="0.97299999999999998"/>
    <x v="42"/>
    <n v="0"/>
    <n v="0"/>
    <s v=" "/>
    <n v="1.4184397163120567E-2"/>
    <n v="0"/>
    <n v="0.98581560283687941"/>
    <n v="1.8333333333333333"/>
    <n v="1.1666666666666667"/>
    <n v="0.3888888888888889"/>
    <n v="324.33333333333331"/>
    <n v="32.4"/>
    <n v="21.582733812949645"/>
    <n v="1.5011999999999996"/>
    <n v="0.57551914893617007"/>
  </r>
  <r>
    <x v="2"/>
    <d v="2021-10-12T00:00:00"/>
    <s v="G"/>
    <x v="6"/>
    <x v="55"/>
    <m/>
    <m/>
    <s v="KPP 120 BOTTLE PRINTED (WMG3B) W/O OZ &amp; W/BIS LOGO"/>
    <s v="EI25Bb2J12Pa"/>
    <s v="Badelal"/>
    <n v="0.3"/>
    <n v="425"/>
    <n v="1416.6666666666667"/>
    <n v="268"/>
    <n v="259"/>
    <n v="0"/>
    <n v="0"/>
    <n v="0"/>
    <n v="0"/>
    <n v="9"/>
    <n v="0"/>
    <n v="1"/>
    <n v="259"/>
    <n v="0.60941176470588232"/>
    <x v="39"/>
    <n v="0"/>
    <n v="0"/>
    <s v=" "/>
    <n v="3.3582089552238806E-2"/>
    <n v="0"/>
    <n v="0.96641791044776115"/>
    <n v="1"/>
    <n v="-0.7"/>
    <n v="-2.3333333333333335"/>
    <n v="863.33333333333337"/>
    <n v="32.4"/>
    <n v="-9.7297297297297298"/>
    <n v="-3.3299999999999996"/>
    <n v="7.509067164179104"/>
  </r>
  <r>
    <x v="2"/>
    <d v="2021-10-12T00:00:00"/>
    <s v="B"/>
    <x v="1"/>
    <x v="7"/>
    <s v="BM2"/>
    <s v="B2"/>
    <s v="KPP BOTTLE 200 ML MOULDED-WMG3B"/>
    <s v="EJ12Bb2"/>
    <s v="Badelal"/>
    <n v="2"/>
    <n v="1034"/>
    <n v="517"/>
    <n v="896"/>
    <n v="830"/>
    <n v="0.2"/>
    <n v="26"/>
    <n v="0"/>
    <n v="0"/>
    <n v="40"/>
    <n v="0"/>
    <n v="1"/>
    <n v="830"/>
    <n v="0.80270793036750487"/>
    <x v="7"/>
    <n v="28.6"/>
    <n v="25.825599999999998"/>
    <n v="0.91916547921442293"/>
    <n v="4.5977011494252873E-2"/>
    <n v="2.8199566160520606E-2"/>
    <n v="0.9553571428571429"/>
    <n v="0"/>
    <n v="2"/>
    <n v="1"/>
    <n v="415"/>
    <n v="9"/>
    <n v="8.6746987951807224"/>
    <n v="1.0375000000000001"/>
    <n v="0.9911830357142859"/>
  </r>
  <r>
    <x v="2"/>
    <d v="2021-10-12T00:00:00"/>
    <s v="B"/>
    <x v="1"/>
    <x v="18"/>
    <s v="BM3"/>
    <s v="B1"/>
    <s v="KPP 240 ML BOTTLE MOLDED"/>
    <s v="EJ12Bb1"/>
    <s v="Badelal"/>
    <n v="8"/>
    <n v="2503"/>
    <n v="312.875"/>
    <n v="3498"/>
    <n v="3348"/>
    <n v="0.61499999999999999"/>
    <n v="70"/>
    <n v="0"/>
    <n v="0"/>
    <n v="80"/>
    <n v="0"/>
    <n v="1"/>
    <n v="3348"/>
    <n v="1.337594886136636"/>
    <x v="1"/>
    <n v="32.1"/>
    <n v="112.9008"/>
    <n v="0.95190468092343017"/>
    <n v="2.3337222870478413E-2"/>
    <n v="1.961883408071749E-2"/>
    <n v="0.97712978845054321"/>
    <n v="0"/>
    <n v="8"/>
    <n v="1"/>
    <n v="418.5"/>
    <n v="9"/>
    <n v="8.6021505376344081"/>
    <n v="1.0462500000000001"/>
    <n v="1.0223220411663809"/>
  </r>
  <r>
    <x v="2"/>
    <d v="2021-10-12T00:00:00"/>
    <s v="B"/>
    <x v="5"/>
    <x v="23"/>
    <m/>
    <s v="Virgin"/>
    <s v="CAP S TYPE MOLDED PALE BLUE"/>
    <s v="EJ12Cb"/>
    <s v="Badelal"/>
    <n v="2"/>
    <n v="1034"/>
    <n v="517"/>
    <n v="990"/>
    <n v="990"/>
    <n v="0"/>
    <n v="0"/>
    <n v="0"/>
    <n v="0"/>
    <n v="0"/>
    <n v="0"/>
    <n v="1"/>
    <n v="990"/>
    <n v="0.95744680851063835"/>
    <x v="18"/>
    <n v="7.3"/>
    <n v="7.2270000000000003"/>
    <n v="1"/>
    <n v="0"/>
    <n v="0"/>
    <n v="1"/>
    <n v="0.5"/>
    <n v="1.5"/>
    <n v="0.75"/>
    <n v="495"/>
    <n v="6"/>
    <n v="5.4545454545454541"/>
    <n v="1.1000000000000001"/>
    <n v="0.82500000000000007"/>
  </r>
  <r>
    <x v="2"/>
    <d v="2021-10-12T00:00:00"/>
    <s v="B"/>
    <x v="5"/>
    <x v="23"/>
    <m/>
    <s v="Recycle"/>
    <s v="CAP S TYPE MOLDED PALE BLUE"/>
    <s v="EJ12CRb"/>
    <s v="Badelal"/>
    <n v="6"/>
    <n v="3200"/>
    <n v="533.33333333333337"/>
    <n v="3400"/>
    <n v="3400"/>
    <n v="0.2"/>
    <n v="0"/>
    <n v="0"/>
    <n v="0"/>
    <n v="0"/>
    <n v="0"/>
    <n v="1"/>
    <n v="3400"/>
    <n v="1.0625"/>
    <x v="18"/>
    <n v="7.3"/>
    <n v="25.02"/>
    <n v="0.9920063948840927"/>
    <n v="0"/>
    <n v="0"/>
    <n v="1"/>
    <n v="0"/>
    <n v="6"/>
    <n v="1"/>
    <n v="566.66666666666663"/>
    <n v="6"/>
    <n v="6.3529411764705879"/>
    <n v="0.94444444444444453"/>
    <n v="0.94444444444444453"/>
  </r>
  <r>
    <x v="2"/>
    <d v="2021-10-12T00:00:00"/>
    <s v="B"/>
    <x v="0"/>
    <x v="47"/>
    <s v="M2"/>
    <s v="L2"/>
    <s v="NIPPLE S TYPE L SIZE INJECTION"/>
    <s v="HEJ12Nb"/>
    <s v="Badelal"/>
    <n v="8"/>
    <n v="4815"/>
    <n v="601.875"/>
    <n v="5565"/>
    <n v="5500"/>
    <n v="0"/>
    <n v="20"/>
    <n v="0"/>
    <n v="0"/>
    <n v="45"/>
    <n v="0"/>
    <n v="1"/>
    <n v="5500"/>
    <n v="1.142263759086189"/>
    <x v="0"/>
    <n v="6.8"/>
    <n v="37.841999999999999"/>
    <n v="0.98831985624438456"/>
    <n v="8.1154192966636611E-3"/>
    <n v="3.5810205908683975E-3"/>
    <n v="0.99191374663072773"/>
    <n v="0"/>
    <n v="8"/>
    <n v="1"/>
    <n v="687.5"/>
    <n v="5.25"/>
    <n v="5.2363636363636363"/>
    <n v="1.0026041666666667"/>
    <n v="0.99449685534591203"/>
  </r>
  <r>
    <x v="2"/>
    <d v="2021-10-12T00:00:00"/>
    <s v="B"/>
    <x v="3"/>
    <x v="49"/>
    <m/>
    <s v="P1"/>
    <s v="NIPPLE S TYPE L SIZE PUNCHED"/>
    <s v="HEJ11NcJ12Pb"/>
    <s v="Badelal"/>
    <n v="8"/>
    <n v="7000"/>
    <n v="875"/>
    <n v="6750"/>
    <n v="6750"/>
    <n v="0"/>
    <n v="0"/>
    <n v="0"/>
    <n v="0"/>
    <n v="0"/>
    <n v="0"/>
    <n v="1"/>
    <n v="6750"/>
    <n v="0.9642857142857143"/>
    <x v="36"/>
    <n v="0"/>
    <n v="0"/>
    <s v=" "/>
    <n v="0"/>
    <n v="0"/>
    <n v="1"/>
    <n v="0.66666666666666663"/>
    <n v="7.333333333333333"/>
    <n v="0.91666666666666663"/>
    <n v="843.75"/>
    <n v="3.5"/>
    <n v="3.911111111111111"/>
    <n v="0.89488636363636365"/>
    <n v="0.8203125"/>
  </r>
  <r>
    <x v="2"/>
    <d v="2021-10-12T00:00:00"/>
    <s v="B"/>
    <x v="8"/>
    <x v="50"/>
    <m/>
    <s v="LZ1"/>
    <s v="NIPPLE S TYPE L SIZE PUNCHED LASER MARKED"/>
    <m/>
    <s v="Badelal"/>
    <n v="8"/>
    <n v="7000"/>
    <n v="875"/>
    <n v="6900"/>
    <n v="6900"/>
    <n v="0"/>
    <n v="0"/>
    <n v="0"/>
    <n v="0"/>
    <n v="0"/>
    <n v="0"/>
    <n v="1"/>
    <n v="6900"/>
    <n v="0.98571428571428577"/>
    <x v="22"/>
    <n v="0"/>
    <n v="0"/>
    <s v=" "/>
    <n v="0"/>
    <n v="0"/>
    <n v="1"/>
    <n v="0.66666666666666663"/>
    <n v="7.333333333333333"/>
    <n v="0.91666666666666663"/>
    <n v="862.5"/>
    <n v="3.5"/>
    <n v="3.8260869565217392"/>
    <n v="0.91477272727272729"/>
    <n v="0.83854166666666663"/>
  </r>
  <r>
    <x v="2"/>
    <d v="2021-10-12T00:00:00"/>
    <s v="C"/>
    <x v="1"/>
    <x v="18"/>
    <s v="BM3"/>
    <s v="B1"/>
    <s v="KPP 240 ML BOTTLE MOLDED"/>
    <s v="EJ12Bc1"/>
    <s v="Saurabh"/>
    <n v="8"/>
    <n v="2574"/>
    <n v="321.75"/>
    <n v="3046"/>
    <n v="2916"/>
    <n v="0.35"/>
    <n v="55"/>
    <n v="0"/>
    <n v="0"/>
    <n v="67"/>
    <n v="8"/>
    <n v="1"/>
    <n v="2916"/>
    <n v="1.1328671328671329"/>
    <x v="1"/>
    <n v="32.1"/>
    <n v="98.12660000000001"/>
    <n v="0.95390648407261647"/>
    <n v="2.2460610124036204E-2"/>
    <n v="1.7736214124475975E-2"/>
    <n v="0.97800393959290877"/>
    <n v="0"/>
    <n v="8"/>
    <n v="1"/>
    <n v="364.5"/>
    <n v="9"/>
    <n v="9.8765432098765427"/>
    <n v="0.91125"/>
    <n v="0.89120608995403816"/>
  </r>
  <r>
    <x v="2"/>
    <d v="2021-10-12T00:00:00"/>
    <s v="C"/>
    <x v="0"/>
    <x v="47"/>
    <s v="M2"/>
    <s v="L2"/>
    <s v="NIPPLE S TYPE L SIZE INJECTION"/>
    <s v="HEJ12Nc"/>
    <s v="Saurabh"/>
    <n v="8"/>
    <n v="4815"/>
    <n v="601.875"/>
    <n v="2848"/>
    <n v="2730"/>
    <n v="5.2500000000000009"/>
    <n v="65"/>
    <n v="0"/>
    <n v="0"/>
    <n v="45"/>
    <n v="8"/>
    <n v="1"/>
    <n v="2730"/>
    <n v="0.5669781931464174"/>
    <x v="0"/>
    <n v="6.8"/>
    <n v="24.616399999999999"/>
    <n v="0.75413139208007673"/>
    <n v="1.6216216216216217E-2"/>
    <n v="2.2313765877102643E-2"/>
    <n v="0.9841994382022472"/>
    <n v="3.4166666666666665"/>
    <n v="4.5833333333333339"/>
    <n v="0.57291666666666674"/>
    <n v="341.25"/>
    <n v="5.25"/>
    <n v="6.0439560439560456"/>
    <n v="0.86863636363636343"/>
    <n v="0.48979300166783707"/>
  </r>
  <r>
    <x v="2"/>
    <d v="2021-10-12T00:00:00"/>
    <s v="C"/>
    <x v="5"/>
    <x v="23"/>
    <m/>
    <s v="Recycle"/>
    <s v="CAP S TYPE MOLDED PALE BLUE"/>
    <s v="EJ12CRc"/>
    <s v="Saurabh"/>
    <n v="8"/>
    <n v="4137"/>
    <n v="517.125"/>
    <n v="4316"/>
    <n v="4300"/>
    <n v="0"/>
    <n v="0"/>
    <n v="0"/>
    <n v="0"/>
    <n v="8"/>
    <n v="8"/>
    <n v="1"/>
    <n v="4300"/>
    <n v="1.0394005317863186"/>
    <x v="18"/>
    <n v="7.3"/>
    <n v="31.506800000000002"/>
    <n v="0.99629286376274329"/>
    <n v="1.8570102135561746E-3"/>
    <n v="0"/>
    <n v="0.99814643188137164"/>
    <n v="0.66666666666666663"/>
    <n v="7.333333333333333"/>
    <n v="0.91666666666666663"/>
    <n v="537.5"/>
    <n v="6"/>
    <n v="6.1395348837209305"/>
    <n v="0.97727272727272718"/>
    <n v="0.89417284522706197"/>
  </r>
  <r>
    <x v="2"/>
    <d v="2021-10-13T00:00:00"/>
    <s v="A"/>
    <x v="1"/>
    <x v="18"/>
    <s v="BM3"/>
    <s v="B1"/>
    <s v="KPP 240 ML BOTTLE MOLDED"/>
    <s v="EJ13Ba1"/>
    <s v="Nitin"/>
    <n v="8"/>
    <n v="2574"/>
    <n v="321.75"/>
    <n v="2520"/>
    <n v="2376"/>
    <n v="0.2"/>
    <n v="66"/>
    <n v="0"/>
    <n v="0"/>
    <n v="70"/>
    <n v="8"/>
    <n v="1"/>
    <n v="2376"/>
    <n v="0.92307692307692313"/>
    <x v="1"/>
    <n v="32.1"/>
    <n v="81.092000000000013"/>
    <n v="0.94053174172544762"/>
    <n v="2.8618152085036794E-2"/>
    <n v="2.5522041763341066E-2"/>
    <n v="0.97222222222222221"/>
    <n v="2"/>
    <n v="6"/>
    <n v="0.75"/>
    <n v="297"/>
    <n v="9"/>
    <n v="9.0909090909090917"/>
    <n v="0.98999999999999988"/>
    <n v="0.72187499999999993"/>
  </r>
  <r>
    <x v="2"/>
    <d v="2021-10-13T00:00:00"/>
    <s v="A"/>
    <x v="0"/>
    <x v="47"/>
    <s v="M2"/>
    <s v="L2"/>
    <s v="NIPPLE S TYPE L SIZE INJECTION"/>
    <s v="HEJ13Na"/>
    <s v="Nitin"/>
    <n v="8"/>
    <n v="4815"/>
    <n v="601.875"/>
    <n v="3060"/>
    <n v="2910"/>
    <n v="0"/>
    <n v="92"/>
    <n v="0"/>
    <n v="0"/>
    <n v="50"/>
    <n v="8"/>
    <n v="1"/>
    <n v="2910"/>
    <n v="0.60436137071651086"/>
    <x v="0"/>
    <n v="6.8"/>
    <n v="20.808"/>
    <n v="0.95098039215686281"/>
    <n v="1.6891891891891893E-2"/>
    <n v="2.9187817258883249E-2"/>
    <n v="0.9836601307189542"/>
    <n v="3.5"/>
    <n v="4.5"/>
    <n v="0.5625"/>
    <n v="363.75"/>
    <n v="5.25"/>
    <n v="5.5670103092783503"/>
    <n v="0.94305555555555565"/>
    <n v="0.52180095996732034"/>
  </r>
  <r>
    <x v="2"/>
    <d v="2021-10-13T00:00:00"/>
    <s v="A"/>
    <x v="5"/>
    <x v="23"/>
    <m/>
    <s v="Recycle"/>
    <s v="CAP S TYPE MOLDED PALE BLUE"/>
    <s v="EJ13CRa"/>
    <s v="Nitin"/>
    <n v="2.2999999999999998"/>
    <n v="1200"/>
    <n v="521.73913043478262"/>
    <n v="1290"/>
    <n v="1290"/>
    <n v="0"/>
    <n v="0"/>
    <n v="0"/>
    <n v="0"/>
    <n v="0"/>
    <n v="0"/>
    <n v="1"/>
    <n v="1290"/>
    <n v="1.075"/>
    <x v="18"/>
    <n v="7.3"/>
    <n v="9.4169999999999998"/>
    <n v="1"/>
    <n v="0"/>
    <n v="0"/>
    <n v="1"/>
    <n v="0.5"/>
    <n v="1.7999999999999998"/>
    <n v="0.78260869565217395"/>
    <n v="560.86956521739137"/>
    <n v="6"/>
    <n v="5.0232558139534875"/>
    <n v="1.1944444444444446"/>
    <n v="0.93478260869565233"/>
  </r>
  <r>
    <x v="2"/>
    <d v="2021-10-13T00:00:00"/>
    <s v="A"/>
    <x v="5"/>
    <x v="26"/>
    <m/>
    <s v="Virgin"/>
    <s v="CAP S TYPE MOLDED WHITE"/>
    <s v="EJ13Ca"/>
    <s v="Nitin"/>
    <n v="5.7"/>
    <n v="2937"/>
    <n v="515.26315789473688"/>
    <n v="2808"/>
    <n v="2800"/>
    <n v="0"/>
    <n v="0"/>
    <n v="0"/>
    <n v="0"/>
    <n v="0"/>
    <n v="8"/>
    <n v="1"/>
    <n v="2800"/>
    <n v="0.95335376234252633"/>
    <x v="21"/>
    <n v="7.3"/>
    <n v="20.4984"/>
    <n v="0.9971509971509972"/>
    <n v="0"/>
    <n v="0"/>
    <n v="1"/>
    <n v="1.1666666666666667"/>
    <n v="4.5333333333333332"/>
    <n v="0.79532163742690054"/>
    <n v="491.22807017543857"/>
    <n v="6"/>
    <n v="5.8285714285714283"/>
    <n v="1.0294117647058825"/>
    <n v="0.81871345029239773"/>
  </r>
  <r>
    <x v="2"/>
    <d v="2021-10-13T00:00:00"/>
    <s v="A"/>
    <x v="3"/>
    <x v="49"/>
    <m/>
    <s v="P1"/>
    <s v="NIPPLE S TYPE L SIZE PUNCHED"/>
    <s v="HEJ12NbJ13Pa"/>
    <s v="Nitin"/>
    <n v="8"/>
    <n v="7000"/>
    <n v="875"/>
    <n v="5500"/>
    <n v="5500"/>
    <n v="0"/>
    <n v="0"/>
    <n v="0"/>
    <n v="0"/>
    <n v="0"/>
    <n v="0"/>
    <n v="1"/>
    <n v="5500"/>
    <n v="0.7857142857142857"/>
    <x v="36"/>
    <n v="0"/>
    <n v="0"/>
    <s v=" "/>
    <n v="0"/>
    <n v="0"/>
    <n v="1"/>
    <n v="2.6666666666666665"/>
    <n v="5.3333333333333339"/>
    <n v="0.66666666666666674"/>
    <n v="687.5"/>
    <n v="3.5"/>
    <n v="3.4909090909090916"/>
    <n v="1.0026041666666665"/>
    <n v="0.66840277777777779"/>
  </r>
  <r>
    <x v="2"/>
    <d v="2021-10-13T00:00:00"/>
    <s v="A"/>
    <x v="8"/>
    <x v="50"/>
    <m/>
    <s v="LZ1"/>
    <s v="NIPPLE S TYPE L SIZE PUNCHED LASER MARKED"/>
    <s v="HEJ12BH22"/>
    <s v="Nitin"/>
    <n v="8"/>
    <n v="7000"/>
    <n v="875"/>
    <n v="6850"/>
    <n v="6850"/>
    <n v="0"/>
    <n v="0"/>
    <n v="0"/>
    <n v="0"/>
    <n v="0"/>
    <n v="0"/>
    <n v="1"/>
    <n v="6850"/>
    <n v="0.97857142857142854"/>
    <x v="22"/>
    <n v="0"/>
    <n v="0"/>
    <s v=" "/>
    <n v="0"/>
    <n v="0"/>
    <n v="1"/>
    <n v="0.66666666666666663"/>
    <n v="7.333333333333333"/>
    <n v="0.91666666666666663"/>
    <n v="856.25"/>
    <n v="3.5"/>
    <n v="3.8540145985401462"/>
    <n v="0.90814393939393934"/>
    <n v="0.83246527777777768"/>
  </r>
  <r>
    <x v="2"/>
    <d v="2021-10-13T00:00:00"/>
    <s v="G"/>
    <x v="7"/>
    <x v="29"/>
    <m/>
    <s v="WR1"/>
    <s v="NIPPLE S TYPE LL SIZE WRAPPED"/>
    <s v="HEJ07AH22"/>
    <s v="Badelal"/>
    <n v="8"/>
    <n v="16137"/>
    <n v="2017.125"/>
    <n v="16530"/>
    <n v="16516"/>
    <n v="0"/>
    <n v="0"/>
    <n v="0"/>
    <n v="0"/>
    <n v="14"/>
    <n v="0"/>
    <n v="2"/>
    <n v="8258"/>
    <n v="1.0234863977195265"/>
    <x v="24"/>
    <n v="0"/>
    <n v="0"/>
    <s v=" "/>
    <n v="8.4694494857834237E-4"/>
    <n v="0"/>
    <n v="0.99915305505142171"/>
    <n v="0.83333333333333337"/>
    <n v="7.166666666666667"/>
    <n v="0.89583333333333337"/>
    <n v="2064.5"/>
    <n v="2.5"/>
    <n v="3.1242431581496732"/>
    <n v="0.80019379844961236"/>
    <n v="0.71623315352557637"/>
  </r>
  <r>
    <x v="2"/>
    <d v="2021-10-13T00:00:00"/>
    <s v="G"/>
    <x v="4"/>
    <x v="51"/>
    <m/>
    <m/>
    <s v="NIPPLE S TYPE L SIZE PUNCHED INSPECTED"/>
    <s v="HEJ11CH22"/>
    <s v="Badelal"/>
    <n v="8"/>
    <n v="14137"/>
    <n v="1767.125"/>
    <n v="14250"/>
    <n v="14223"/>
    <n v="0"/>
    <n v="0"/>
    <n v="0"/>
    <n v="0"/>
    <n v="27"/>
    <n v="0"/>
    <n v="1"/>
    <n v="14223"/>
    <n v="1.0060833274386363"/>
    <x v="37"/>
    <n v="0"/>
    <n v="0"/>
    <s v=" "/>
    <n v="1.8947368421052631E-3"/>
    <n v="0"/>
    <n v="0.99810526315789472"/>
    <n v="0.83333333333333337"/>
    <n v="7.166666666666667"/>
    <n v="0.89583333333333337"/>
    <n v="1777.875"/>
    <n v="4"/>
    <n v="1.8139632988820924"/>
    <n v="2.2051162790697676"/>
    <n v="1.9716737719298247"/>
  </r>
  <r>
    <x v="2"/>
    <d v="2021-10-13T00:00:00"/>
    <s v="G"/>
    <x v="6"/>
    <x v="80"/>
    <m/>
    <m/>
    <s v="RPP 120 ML RPP PRINTED BEE"/>
    <s v="EJ06Bb2J13Pa"/>
    <s v="Badelal"/>
    <n v="2"/>
    <n v="638"/>
    <n v="319"/>
    <n v="607"/>
    <n v="599"/>
    <n v="0"/>
    <n v="0"/>
    <n v="11"/>
    <n v="0"/>
    <n v="8"/>
    <n v="0"/>
    <n v="5"/>
    <n v="119.8"/>
    <n v="0.93887147335423193"/>
    <x v="11"/>
    <n v="0"/>
    <n v="0"/>
    <s v=" "/>
    <n v="1.3179571663920923E-2"/>
    <n v="0"/>
    <n v="0.98682042833607908"/>
    <n v="0.83333333333333337"/>
    <n v="1.1666666666666665"/>
    <n v="0.58333333333333326"/>
    <n v="299.5"/>
    <n v="32.4"/>
    <n v="35.058430717863097"/>
    <n v="0.92417142857142875"/>
    <n v="0.53199489291598023"/>
  </r>
  <r>
    <x v="2"/>
    <d v="2021-10-13T00:00:00"/>
    <s v="G"/>
    <x v="6"/>
    <x v="44"/>
    <m/>
    <m/>
    <s v="RPP 240ML FLORAL PNK BOTLE PNTD WM3GB W/BIS LOGO"/>
    <s v="EI02BC2J13Pa"/>
    <s v="Badelal"/>
    <n v="2"/>
    <n v="600"/>
    <n v="300"/>
    <n v="665"/>
    <n v="648"/>
    <n v="0"/>
    <n v="0"/>
    <n v="11"/>
    <n v="0"/>
    <n v="17"/>
    <m/>
    <n v="5"/>
    <n v="129.6"/>
    <n v="1.08"/>
    <x v="33"/>
    <n v="0"/>
    <n v="0"/>
    <s v=" "/>
    <n v="2.5563909774436091E-2"/>
    <n v="0"/>
    <n v="0.97443609022556388"/>
    <n v="0"/>
    <n v="2"/>
    <n v="1"/>
    <n v="324"/>
    <n v="32.4"/>
    <n v="55.555555555555557"/>
    <n v="0.58319999999999994"/>
    <n v="0.56829112781954882"/>
  </r>
  <r>
    <x v="2"/>
    <d v="2021-10-13T00:00:00"/>
    <s v="G"/>
    <x v="6"/>
    <x v="8"/>
    <m/>
    <m/>
    <s v="KPP BOTTLE 200 ML PRINTED-WMG3B"/>
    <s v="EG05Bb1J13Pa"/>
    <s v="Badelal"/>
    <n v="4"/>
    <n v="2100"/>
    <n v="525"/>
    <n v="1956"/>
    <n v="1944"/>
    <n v="0"/>
    <n v="0"/>
    <n v="20"/>
    <n v="0"/>
    <n v="12"/>
    <n v="0"/>
    <n v="5"/>
    <n v="388.8"/>
    <n v="0.92571428571428571"/>
    <x v="8"/>
    <n v="0"/>
    <n v="0"/>
    <s v=" "/>
    <n v="6.1349693251533744E-3"/>
    <n v="0"/>
    <n v="0.99386503067484666"/>
    <n v="0"/>
    <n v="4"/>
    <n v="1"/>
    <n v="486"/>
    <n v="32.4"/>
    <n v="37.037037037037038"/>
    <n v="0.87479999999999991"/>
    <n v="0.86943312883435575"/>
  </r>
  <r>
    <x v="2"/>
    <d v="2021-10-13T00:00:00"/>
    <s v="B"/>
    <x v="1"/>
    <x v="18"/>
    <s v="BM3"/>
    <s v="B1"/>
    <s v="KPP 240 ML BOTTLE MOLDED"/>
    <s v="EJ13Bb1"/>
    <s v="Badelal"/>
    <n v="8"/>
    <n v="2574"/>
    <n v="321.75"/>
    <n v="959"/>
    <n v="864"/>
    <n v="0"/>
    <n v="35"/>
    <n v="0"/>
    <n v="0"/>
    <n v="60"/>
    <n v="0"/>
    <n v="1"/>
    <n v="864"/>
    <n v="0.33566433566433568"/>
    <x v="1"/>
    <n v="32.1"/>
    <n v="30.783900000000003"/>
    <n v="0.90093847758081336"/>
    <n v="6.4935064935064929E-2"/>
    <n v="3.5211267605633804E-2"/>
    <n v="0.93743482794577682"/>
    <n v="6"/>
    <n v="2"/>
    <n v="0.25"/>
    <n v="108"/>
    <n v="9"/>
    <n v="8.3333333333333339"/>
    <n v="1.0799999999999998"/>
    <n v="0.25310740354535971"/>
  </r>
  <r>
    <x v="2"/>
    <d v="2021-10-13T00:00:00"/>
    <s v="B"/>
    <x v="5"/>
    <x v="26"/>
    <m/>
    <s v="Virgin"/>
    <s v="CAP S TYPE MOLDED WHITE"/>
    <s v="EJ13Cb"/>
    <s v="Badelal"/>
    <n v="4"/>
    <n v="2050"/>
    <n v="512.5"/>
    <n v="2300"/>
    <n v="2300"/>
    <n v="0"/>
    <n v="0"/>
    <n v="0"/>
    <n v="0"/>
    <n v="0"/>
    <n v="0"/>
    <n v="1"/>
    <n v="2300"/>
    <n v="1.1219512195121952"/>
    <x v="21"/>
    <n v="7.3"/>
    <n v="16.79"/>
    <n v="1"/>
    <n v="0"/>
    <n v="0"/>
    <n v="1"/>
    <n v="0"/>
    <n v="4"/>
    <n v="1"/>
    <n v="575"/>
    <n v="6"/>
    <n v="6.2608695652173916"/>
    <n v="0.95833333333333326"/>
    <n v="0.95833333333333326"/>
  </r>
  <r>
    <x v="2"/>
    <d v="2021-10-13T00:00:00"/>
    <s v="B"/>
    <x v="5"/>
    <x v="26"/>
    <m/>
    <s v="Recycle"/>
    <s v="CAP S TYPE MOLDED WHITE"/>
    <s v="EJ13CRb"/>
    <s v="Badelal"/>
    <n v="4"/>
    <n v="2050"/>
    <n v="512.5"/>
    <n v="2000"/>
    <n v="2000"/>
    <n v="0"/>
    <n v="0"/>
    <n v="0"/>
    <n v="0"/>
    <n v="0"/>
    <n v="0"/>
    <n v="1"/>
    <n v="2000"/>
    <n v="0.97560975609756095"/>
    <x v="21"/>
    <n v="7.3"/>
    <n v="14.6"/>
    <n v="1"/>
    <n v="0"/>
    <n v="0"/>
    <n v="1"/>
    <n v="0.83333333333333337"/>
    <n v="3.1666666666666665"/>
    <n v="0.79166666666666663"/>
    <n v="500"/>
    <n v="6"/>
    <n v="5.7"/>
    <n v="1.0526315789473684"/>
    <n v="0.83333333333333326"/>
  </r>
  <r>
    <x v="2"/>
    <d v="2021-10-13T00:00:00"/>
    <s v="B"/>
    <x v="0"/>
    <x v="47"/>
    <s v="M2"/>
    <s v="L2"/>
    <s v="NIPPLE S TYPE L SIZE INJECTION"/>
    <s v="HEJ13Nb"/>
    <s v="Badelal"/>
    <n v="8"/>
    <n v="4815"/>
    <n v="601.875"/>
    <n v="4610"/>
    <n v="4500"/>
    <n v="0"/>
    <n v="58"/>
    <n v="0"/>
    <n v="0"/>
    <n v="52"/>
    <n v="0"/>
    <n v="1"/>
    <n v="4500"/>
    <n v="0.93457943925233644"/>
    <x v="0"/>
    <n v="6.8"/>
    <n v="31.347999999999999"/>
    <n v="0.97613882863340562"/>
    <n v="1.1423550087873463E-2"/>
    <n v="1.2425021422450729E-2"/>
    <n v="0.98872017353579178"/>
    <n v="1"/>
    <n v="7"/>
    <n v="0.875"/>
    <n v="562.5"/>
    <n v="5.25"/>
    <n v="5.6"/>
    <n v="0.93750000000000011"/>
    <n v="0.81105951735357928"/>
  </r>
  <r>
    <x v="2"/>
    <d v="2021-10-13T00:00:00"/>
    <s v="B"/>
    <x v="3"/>
    <x v="49"/>
    <m/>
    <m/>
    <s v="NIPPLE S TYPE L SIZE PUNCHED"/>
    <s v="HEJ13NaJ13Pb"/>
    <s v="Badelal"/>
    <n v="8"/>
    <n v="7000"/>
    <n v="875"/>
    <n v="6730"/>
    <n v="6730"/>
    <n v="0"/>
    <n v="0"/>
    <n v="0"/>
    <n v="0"/>
    <n v="0"/>
    <n v="0"/>
    <n v="1"/>
    <n v="6730"/>
    <n v="0.96142857142857141"/>
    <x v="36"/>
    <n v="0"/>
    <n v="0"/>
    <s v=" "/>
    <n v="0"/>
    <n v="0"/>
    <n v="1"/>
    <n v="0.66666666666666663"/>
    <n v="7.333333333333333"/>
    <n v="0.91666666666666663"/>
    <n v="841.25"/>
    <n v="3.5"/>
    <n v="3.9227340267459136"/>
    <n v="0.89223484848484858"/>
    <n v="0.81788194444444451"/>
  </r>
  <r>
    <x v="2"/>
    <d v="2021-10-13T00:00:00"/>
    <s v="B"/>
    <x v="8"/>
    <x v="50"/>
    <m/>
    <s v="LZ1"/>
    <s v="NIPPLE S TYPE L SIZE PUNCHED LASER MARKED"/>
    <s v="HEJ12BH22"/>
    <s v="Badelal"/>
    <n v="8"/>
    <n v="7000"/>
    <n v="875"/>
    <n v="6730"/>
    <n v="6730"/>
    <n v="0"/>
    <n v="0"/>
    <n v="0"/>
    <n v="0"/>
    <n v="0"/>
    <n v="0"/>
    <n v="1"/>
    <n v="6730"/>
    <n v="0.96142857142857141"/>
    <x v="22"/>
    <n v="0"/>
    <n v="0"/>
    <s v=" "/>
    <n v="0"/>
    <n v="0"/>
    <n v="1"/>
    <n v="0.66666666666666663"/>
    <n v="7.333333333333333"/>
    <n v="0.91666666666666663"/>
    <n v="841.25"/>
    <n v="3.5"/>
    <n v="3.9227340267459136"/>
    <n v="0.89223484848484858"/>
    <n v="0.81788194444444451"/>
  </r>
  <r>
    <x v="2"/>
    <d v="2021-10-13T00:00:00"/>
    <s v="C"/>
    <x v="0"/>
    <x v="47"/>
    <s v="M2"/>
    <s v="L2"/>
    <s v="NIPPLE S TYPE L SIZE INJECTION"/>
    <s v="HEJ13Nc"/>
    <s v="Saurabh"/>
    <n v="8"/>
    <n v="4815"/>
    <n v="601.875"/>
    <n v="4043"/>
    <n v="4000"/>
    <n v="0.4"/>
    <n v="0"/>
    <n v="0"/>
    <n v="0"/>
    <n v="35"/>
    <n v="8"/>
    <n v="1"/>
    <n v="4000"/>
    <n v="0.83073727933541019"/>
    <x v="0"/>
    <n v="6.8"/>
    <n v="27.892399999999999"/>
    <n v="0.97517603361489158"/>
    <n v="8.6741016109045856E-3"/>
    <n v="0"/>
    <n v="0.99134306208261191"/>
    <n v="1.5"/>
    <n v="6.5"/>
    <n v="0.8125"/>
    <n v="500"/>
    <n v="5.25"/>
    <n v="5.85"/>
    <n v="0.89743589743589747"/>
    <n v="0.72285431610190454"/>
  </r>
  <r>
    <x v="2"/>
    <d v="2021-10-13T00:00:00"/>
    <s v="C"/>
    <x v="5"/>
    <x v="26"/>
    <m/>
    <s v="Recycle"/>
    <s v="CAP S TYPE MOLDED WHITE"/>
    <s v="EJ13CRc"/>
    <s v="Saurabh"/>
    <n v="5"/>
    <n v="2600"/>
    <n v="520"/>
    <n v="2612"/>
    <n v="2600"/>
    <n v="0"/>
    <n v="0"/>
    <n v="0"/>
    <n v="0"/>
    <n v="4"/>
    <n v="8"/>
    <n v="1"/>
    <n v="2600"/>
    <n v="1"/>
    <x v="21"/>
    <n v="7.3"/>
    <n v="19.067599999999999"/>
    <n v="0.99540581929555905"/>
    <n v="1.5360983102918587E-3"/>
    <n v="0"/>
    <n v="0.99846860643185298"/>
    <n v="1"/>
    <n v="4"/>
    <n v="0.8"/>
    <n v="520"/>
    <n v="6"/>
    <n v="5.5384615384615383"/>
    <n v="1.0833333333333333"/>
    <n v="0.86533945890760577"/>
  </r>
  <r>
    <x v="2"/>
    <d v="2021-10-13T00:00:00"/>
    <s v="C"/>
    <x v="5"/>
    <x v="26"/>
    <m/>
    <s v="Virgin"/>
    <s v="CAP S TYPE MOLDED WHITE"/>
    <s v="EJ13Cc"/>
    <s v="Saurabh"/>
    <n v="3"/>
    <n v="1537"/>
    <n v="512.33333333333337"/>
    <n v="1554"/>
    <n v="1554"/>
    <n v="0"/>
    <n v="0"/>
    <n v="0"/>
    <n v="0"/>
    <n v="0"/>
    <n v="0"/>
    <n v="1"/>
    <n v="1554"/>
    <n v="1.011060507482108"/>
    <x v="21"/>
    <n v="7.3"/>
    <n v="11.344200000000001"/>
    <n v="1"/>
    <n v="0"/>
    <n v="0"/>
    <n v="1"/>
    <n v="0.5"/>
    <n v="2.5"/>
    <n v="0.83333333333333337"/>
    <n v="518"/>
    <n v="6"/>
    <n v="5.7915057915057915"/>
    <n v="1.036"/>
    <n v="0.8633333333333334"/>
  </r>
  <r>
    <x v="2"/>
    <d v="2021-10-18T00:00:00"/>
    <s v="A"/>
    <x v="3"/>
    <x v="49"/>
    <m/>
    <s v="P1"/>
    <s v="NIPPLE S TYPE L SIZE PUNCHED"/>
    <s v="HEJ13NaJ18Pa"/>
    <s v="Saurabh"/>
    <n v="8"/>
    <n v="7000"/>
    <n v="875"/>
    <n v="4410"/>
    <n v="4410"/>
    <n v="0"/>
    <n v="0"/>
    <n v="0"/>
    <n v="0"/>
    <n v="0"/>
    <n v="0"/>
    <n v="1"/>
    <n v="4410"/>
    <n v="0.63"/>
    <x v="36"/>
    <n v="0"/>
    <n v="0"/>
    <s v=" "/>
    <n v="0"/>
    <n v="0"/>
    <n v="1"/>
    <n v="2.6666666666666665"/>
    <n v="5.3333333333333339"/>
    <n v="0.66666666666666674"/>
    <n v="551.25"/>
    <n v="3.5"/>
    <n v="4.3537414965986398"/>
    <n v="0.80390624999999993"/>
    <n v="0.53593750000000007"/>
  </r>
  <r>
    <x v="2"/>
    <d v="2021-10-18T00:00:00"/>
    <s v="A"/>
    <x v="8"/>
    <x v="50"/>
    <m/>
    <s v="LZ1"/>
    <s v="NIPPLE S TYPE L SIZE PUNCHED LASER MARKED"/>
    <s v="HEJ13AH22"/>
    <s v="Saurabh"/>
    <n v="8"/>
    <n v="7000"/>
    <n v="875"/>
    <n v="3410"/>
    <n v="3410"/>
    <n v="0"/>
    <n v="0"/>
    <n v="0"/>
    <n v="0"/>
    <n v="0"/>
    <n v="0"/>
    <n v="1"/>
    <n v="3410"/>
    <n v="0.48714285714285716"/>
    <x v="22"/>
    <n v="0"/>
    <n v="0"/>
    <s v=" "/>
    <n v="0"/>
    <n v="0"/>
    <n v="1"/>
    <n v="3.6666666666666665"/>
    <n v="4.3333333333333339"/>
    <n v="0.54166666666666674"/>
    <n v="426.25"/>
    <n v="3.5"/>
    <n v="4.5747800586510268"/>
    <n v="0.76506410256410251"/>
    <n v="0.41440972222222228"/>
  </r>
  <r>
    <x v="2"/>
    <d v="2021-10-18T00:00:00"/>
    <s v="A"/>
    <x v="5"/>
    <x v="26"/>
    <m/>
    <s v="Virgin"/>
    <s v="CAP S TYPE MOLDED WHITE"/>
    <s v="EJ18Ca"/>
    <s v="Saurabh"/>
    <n v="8"/>
    <n v="4137"/>
    <n v="517.125"/>
    <n v="4008"/>
    <n v="4000"/>
    <n v="0"/>
    <n v="0"/>
    <n v="0"/>
    <n v="0"/>
    <n v="0"/>
    <n v="8"/>
    <n v="1"/>
    <n v="4000"/>
    <n v="0.96688421561518012"/>
    <x v="21"/>
    <n v="7.3"/>
    <n v="29.258400000000002"/>
    <n v="0.99800399201596801"/>
    <n v="0"/>
    <n v="0"/>
    <n v="1"/>
    <n v="1"/>
    <n v="7"/>
    <n v="0.875"/>
    <n v="500"/>
    <n v="6"/>
    <n v="6.3"/>
    <n v="0.95238095238095244"/>
    <n v="0.83333333333333337"/>
  </r>
  <r>
    <x v="2"/>
    <d v="2021-10-18T00:00:00"/>
    <s v="A"/>
    <x v="0"/>
    <x v="0"/>
    <s v="M2"/>
    <s v="L2"/>
    <s v="NIPPLE S TYPE M SIZE INJECTION"/>
    <s v="HEJ18Na"/>
    <s v="Saurabh"/>
    <n v="8"/>
    <n v="3600"/>
    <n v="450"/>
    <n v="2503"/>
    <n v="2350"/>
    <n v="2.2000000000000002"/>
    <n v="110"/>
    <n v="0"/>
    <n v="0"/>
    <n v="35"/>
    <n v="8"/>
    <n v="1"/>
    <n v="2350"/>
    <n v="0.65277777777777779"/>
    <x v="0"/>
    <n v="6.8"/>
    <n v="19.220399999999998"/>
    <n v="0.83140829535285432"/>
    <n v="1.4675052410901468E-2"/>
    <n v="4.2097206276310757E-2"/>
    <n v="0.98601677986416303"/>
    <n v="4.166666666666667"/>
    <n v="3.833333333333333"/>
    <n v="0.47916666666666663"/>
    <n v="293.75"/>
    <n v="5.25"/>
    <n v="5.872340425531914"/>
    <n v="0.89402173913043492"/>
    <n v="0.42239520908243444"/>
  </r>
  <r>
    <x v="2"/>
    <d v="2021-10-18T00:00:00"/>
    <s v="A"/>
    <x v="6"/>
    <x v="8"/>
    <m/>
    <m/>
    <s v="KPP BOTTLE 200 ML PRINTED-WMG3B"/>
    <s v="EJ06Ba1J18Pa"/>
    <s v="Pintu"/>
    <n v="8"/>
    <n v="5100"/>
    <n v="637.5"/>
    <n v="3066"/>
    <n v="3024"/>
    <n v="0"/>
    <n v="0"/>
    <n v="37"/>
    <n v="0"/>
    <n v="42"/>
    <n v="0"/>
    <n v="4"/>
    <n v="756"/>
    <n v="0.59294117647058819"/>
    <x v="8"/>
    <n v="0"/>
    <n v="0"/>
    <s v=" "/>
    <n v="1.3698630136986301E-2"/>
    <n v="0"/>
    <n v="0.98630136986301364"/>
    <n v="1.3333333333333333"/>
    <n v="6.666666666666667"/>
    <n v="0.83333333333333337"/>
    <n v="378"/>
    <n v="32.4"/>
    <n v="31.746031746031747"/>
    <n v="1.0206"/>
    <n v="0.83884931506849303"/>
  </r>
  <r>
    <x v="2"/>
    <d v="2021-10-18T00:00:00"/>
    <s v="G"/>
    <x v="4"/>
    <x v="51"/>
    <m/>
    <m/>
    <s v="NIPPLE S TYPE L SIZE PUNCHED INSPECTED"/>
    <s v="HEJ12CH22"/>
    <s v="Badelal"/>
    <n v="8"/>
    <n v="14137"/>
    <n v="1767.125"/>
    <n v="10140"/>
    <n v="10091"/>
    <n v="0"/>
    <n v="0"/>
    <n v="0"/>
    <n v="0"/>
    <n v="49"/>
    <n v="0"/>
    <n v="1"/>
    <n v="10091"/>
    <n v="0.71380066492183636"/>
    <x v="37"/>
    <n v="0"/>
    <n v="0"/>
    <s v=" "/>
    <n v="4.8323471400394478E-3"/>
    <n v="0"/>
    <n v="0.99516765285996056"/>
    <n v="0.83333333333333337"/>
    <n v="7.166666666666667"/>
    <n v="0.89583333333333337"/>
    <n v="1261.375"/>
    <n v="4"/>
    <n v="2.5567337231196117"/>
    <n v="1.5644961240310076"/>
    <n v="1.3947551090291475"/>
  </r>
  <r>
    <x v="2"/>
    <d v="2021-10-18T00:00:00"/>
    <s v="B"/>
    <x v="3"/>
    <x v="49"/>
    <m/>
    <s v="P1"/>
    <s v="NIPPLE S TYPE L SIZE PUNCHED"/>
    <s v="HEJ13NcJ18Pb"/>
    <s v="Badelal"/>
    <n v="8"/>
    <n v="7000"/>
    <n v="875"/>
    <n v="5000"/>
    <n v="5000"/>
    <n v="0"/>
    <n v="0"/>
    <n v="0"/>
    <n v="0"/>
    <n v="0"/>
    <n v="0"/>
    <n v="1"/>
    <n v="5000"/>
    <n v="0.7142857142857143"/>
    <x v="36"/>
    <n v="0"/>
    <n v="0"/>
    <s v=" "/>
    <n v="0"/>
    <n v="0"/>
    <n v="1"/>
    <n v="0.66666666666666663"/>
    <n v="7.333333333333333"/>
    <n v="0.91666666666666663"/>
    <n v="625"/>
    <n v="3.5"/>
    <n v="5.28"/>
    <n v="0.66287878787878785"/>
    <n v="0.60763888888888884"/>
  </r>
  <r>
    <x v="2"/>
    <d v="2021-10-18T00:00:00"/>
    <s v="B"/>
    <x v="8"/>
    <x v="50"/>
    <m/>
    <s v="LZ1"/>
    <s v="NIPPLE S TYPE L SIZE PUNCHED LASER MARKED"/>
    <s v="HEJ13BH22"/>
    <s v="Badelal"/>
    <n v="8"/>
    <n v="7000"/>
    <n v="875"/>
    <n v="5000"/>
    <n v="5000"/>
    <n v="0"/>
    <n v="0"/>
    <n v="0"/>
    <n v="0"/>
    <n v="0"/>
    <n v="0"/>
    <n v="1"/>
    <n v="5000"/>
    <n v="0.7142857142857143"/>
    <x v="22"/>
    <n v="0"/>
    <n v="0"/>
    <s v=" "/>
    <n v="0"/>
    <n v="0"/>
    <n v="1"/>
    <n v="1.1666666666666667"/>
    <n v="6.833333333333333"/>
    <n v="0.85416666666666663"/>
    <n v="625"/>
    <n v="3.5"/>
    <n v="4.92"/>
    <n v="0.71138211382113825"/>
    <n v="0.60763888888888895"/>
  </r>
  <r>
    <x v="2"/>
    <d v="2021-10-18T00:00:00"/>
    <s v="B"/>
    <x v="5"/>
    <x v="26"/>
    <m/>
    <s v="Virgin"/>
    <s v="CAP S TYPE MOLDED WHITE"/>
    <s v="EJ18Cb"/>
    <s v="Badelal"/>
    <n v="8"/>
    <n v="4137"/>
    <n v="517.125"/>
    <n v="4404"/>
    <n v="4400"/>
    <n v="0"/>
    <n v="0"/>
    <n v="0"/>
    <n v="0"/>
    <n v="4"/>
    <n v="0"/>
    <n v="1"/>
    <n v="4400"/>
    <n v="1.063572637176698"/>
    <x v="21"/>
    <n v="7.3"/>
    <n v="32.1492"/>
    <n v="0.99909173478655755"/>
    <n v="9.0826521344232513E-4"/>
    <n v="0"/>
    <n v="0.99909173478655766"/>
    <n v="0"/>
    <n v="8"/>
    <n v="1"/>
    <n v="550"/>
    <n v="6"/>
    <n v="6.5454545454545459"/>
    <n v="0.91666666666666663"/>
    <n v="0.91583409022101114"/>
  </r>
  <r>
    <x v="2"/>
    <d v="2021-10-18T00:00:00"/>
    <s v="B"/>
    <x v="0"/>
    <x v="0"/>
    <s v="M2"/>
    <s v="L2"/>
    <s v="NIPPLE S TYPE M SIZE INJECTION"/>
    <s v="HEJ18Nb"/>
    <s v="Badelal"/>
    <n v="8"/>
    <n v="4815"/>
    <n v="601.875"/>
    <n v="3550"/>
    <n v="3400"/>
    <n v="0"/>
    <n v="82"/>
    <n v="0"/>
    <n v="0"/>
    <n v="68"/>
    <n v="0"/>
    <n v="1"/>
    <n v="3400"/>
    <n v="0.70612668743509865"/>
    <x v="0"/>
    <n v="6.8"/>
    <n v="24.139999999999997"/>
    <n v="0.95774647887323949"/>
    <n v="1.9607843137254902E-2"/>
    <n v="2.2577092511013214E-2"/>
    <n v="0.98084507042253521"/>
    <n v="0"/>
    <n v="8"/>
    <n v="1"/>
    <n v="425"/>
    <n v="5.25"/>
    <n v="8.4705882352941178"/>
    <n v="0.61979166666666663"/>
    <n v="0.60791960093896713"/>
  </r>
  <r>
    <x v="2"/>
    <d v="2021-10-18T00:00:00"/>
    <s v="C"/>
    <x v="3"/>
    <x v="49"/>
    <m/>
    <s v="P1"/>
    <s v="NIPPLE S TYPE L SIZE PUNCHED"/>
    <s v="HEJ13NcJ18Pc"/>
    <s v="Nitin"/>
    <n v="2"/>
    <n v="1000"/>
    <n v="500"/>
    <n v="1000"/>
    <n v="1000"/>
    <n v="0"/>
    <n v="0"/>
    <n v="0"/>
    <n v="0"/>
    <n v="0"/>
    <n v="0"/>
    <n v="1"/>
    <n v="1000"/>
    <n v="1"/>
    <x v="36"/>
    <n v="0"/>
    <n v="0"/>
    <s v=" "/>
    <n v="0"/>
    <n v="0"/>
    <n v="1"/>
    <n v="1.1666666666666667"/>
    <n v="0.83333333333333326"/>
    <n v="0.41666666666666663"/>
    <n v="500"/>
    <n v="3.5"/>
    <n v="2.9999999999999996"/>
    <n v="1.1666666666666667"/>
    <n v="0.4861111111111111"/>
  </r>
  <r>
    <x v="2"/>
    <d v="2021-10-18T00:00:00"/>
    <s v="C"/>
    <x v="0"/>
    <x v="0"/>
    <s v="M2"/>
    <s v="L2"/>
    <s v="NIPPLE S TYPE M SIZE INJECTION"/>
    <s v="HEJ18Nc"/>
    <s v="Nitin"/>
    <n v="8"/>
    <n v="4815"/>
    <n v="601.875"/>
    <n v="2988"/>
    <n v="2800"/>
    <n v="0"/>
    <n v="110"/>
    <n v="0"/>
    <n v="0"/>
    <n v="70"/>
    <n v="8"/>
    <n v="1"/>
    <n v="2800"/>
    <n v="0.58151609553478711"/>
    <x v="0"/>
    <n v="6.8"/>
    <n v="20.3184"/>
    <n v="0.93708165997322612"/>
    <n v="2.4390243902439025E-2"/>
    <n v="3.5506778566817304E-2"/>
    <n v="0.97657295850066939"/>
    <n v="3.8333333333333335"/>
    <n v="4.1666666666666661"/>
    <n v="0.52083333333333326"/>
    <n v="350"/>
    <n v="5.25"/>
    <n v="5.3571428571428568"/>
    <n v="0.98000000000000009"/>
    <n v="0.49845911423471662"/>
  </r>
  <r>
    <x v="2"/>
    <d v="2021-10-18T00:00:00"/>
    <s v="C"/>
    <x v="5"/>
    <x v="26"/>
    <m/>
    <s v="Recycle"/>
    <s v="CAP S TYPE MOLDED WHITE"/>
    <s v="EJ18CRc"/>
    <s v="Nitin"/>
    <n v="8"/>
    <n v="4137"/>
    <n v="517.125"/>
    <n v="4310"/>
    <n v="4300"/>
    <n v="0"/>
    <n v="0"/>
    <n v="0"/>
    <n v="0"/>
    <n v="2"/>
    <n v="8"/>
    <n v="1"/>
    <n v="4300"/>
    <n v="1.0394005317863186"/>
    <x v="21"/>
    <n v="7.3"/>
    <n v="31.463000000000001"/>
    <n v="0.99767981438515085"/>
    <n v="4.6490004649000463E-4"/>
    <n v="0"/>
    <n v="0.99953596287703017"/>
    <n v="0.83333333333333337"/>
    <n v="7.166666666666667"/>
    <n v="0.89583333333333337"/>
    <n v="537.5"/>
    <n v="6"/>
    <n v="6"/>
    <n v="1"/>
    <n v="0.89541763341067293"/>
  </r>
  <r>
    <x v="2"/>
    <d v="2021-10-18T00:00:00"/>
    <s v="B"/>
    <x v="6"/>
    <x v="8"/>
    <m/>
    <m/>
    <s v="KPP BOTTLE 200 ML PRINTED-WMG3B"/>
    <s v="EI06Bb1J18Pa"/>
    <s v="Pintu"/>
    <n v="8"/>
    <n v="5134"/>
    <n v="641.75"/>
    <n v="4356"/>
    <n v="4312"/>
    <n v="0"/>
    <n v="0"/>
    <n v="41"/>
    <n v="0"/>
    <n v="44"/>
    <n v="0"/>
    <n v="5"/>
    <n v="862.4"/>
    <n v="0.83989092325671988"/>
    <x v="8"/>
    <n v="0"/>
    <n v="0"/>
    <s v=" "/>
    <n v="1.0101010101010102E-2"/>
    <n v="0"/>
    <n v="0.98989898989898994"/>
    <n v="0.66666666666666663"/>
    <n v="7.333333333333333"/>
    <n v="0.91666666666666663"/>
    <n v="539"/>
    <n v="32.4"/>
    <n v="30.612244897959183"/>
    <n v="1.0584"/>
    <n v="0.96039999999999992"/>
  </r>
  <r>
    <x v="2"/>
    <d v="2021-10-19T00:00:00"/>
    <s v="A"/>
    <x v="6"/>
    <x v="73"/>
    <m/>
    <m/>
    <s v="KPP BOTTLE 240 ML PRINTED-WMG3B"/>
    <m/>
    <s v="Pintu"/>
    <n v="0.1"/>
    <n v="60"/>
    <n v="600"/>
    <n v="60"/>
    <n v="60"/>
    <n v="0"/>
    <n v="0"/>
    <n v="0"/>
    <n v="0"/>
    <n v="0"/>
    <n v="0"/>
    <n v="5"/>
    <n v="12"/>
    <n v="1"/>
    <x v="17"/>
    <n v="0"/>
    <n v="0"/>
    <s v=" "/>
    <n v="0"/>
    <n v="0"/>
    <n v="1"/>
    <n v="0"/>
    <n v="0.1"/>
    <n v="1"/>
    <n v="600"/>
    <n v="32.4"/>
    <n v="30"/>
    <n v="1.0799999999999998"/>
    <n v="1.0799999999999998"/>
  </r>
  <r>
    <x v="2"/>
    <d v="2021-10-19T00:00:00"/>
    <s v="A"/>
    <x v="6"/>
    <x v="41"/>
    <m/>
    <m/>
    <s v="RPP 240ML GRL PNK BOTLE PNTD WM3GB W/BIS LOGO"/>
    <m/>
    <s v="Pintu"/>
    <n v="0.1"/>
    <n v="60"/>
    <n v="600"/>
    <n v="60"/>
    <n v="60"/>
    <n v="0"/>
    <n v="0"/>
    <n v="0"/>
    <n v="0"/>
    <n v="0"/>
    <n v="0"/>
    <n v="5"/>
    <n v="12"/>
    <n v="1"/>
    <x v="31"/>
    <n v="0"/>
    <n v="0"/>
    <s v=" "/>
    <n v="0"/>
    <n v="0"/>
    <n v="1"/>
    <n v="0"/>
    <n v="0.1"/>
    <n v="1"/>
    <n v="600"/>
    <n v="32.4"/>
    <n v="30"/>
    <n v="1.0799999999999998"/>
    <n v="1.0799999999999998"/>
  </r>
  <r>
    <x v="2"/>
    <d v="2021-10-19T00:00:00"/>
    <s v="A"/>
    <x v="3"/>
    <x v="3"/>
    <m/>
    <s v="P1"/>
    <s v="NIPPLE S TYPE M SIZE PUNCHED"/>
    <s v="HEJ18NaJ19Pa"/>
    <s v="Saurabh"/>
    <n v="8"/>
    <n v="7000"/>
    <n v="875"/>
    <n v="5750"/>
    <n v="5750"/>
    <n v="0"/>
    <n v="0"/>
    <n v="0"/>
    <n v="0"/>
    <n v="0"/>
    <n v="0"/>
    <n v="1"/>
    <n v="5750"/>
    <n v="0.8214285714285714"/>
    <x v="3"/>
    <n v="0"/>
    <n v="0"/>
    <s v=" "/>
    <n v="0"/>
    <n v="0"/>
    <n v="1"/>
    <n v="1.5833333333333333"/>
    <n v="6.416666666666667"/>
    <n v="0.80208333333333337"/>
    <n v="718.75"/>
    <n v="3.5"/>
    <n v="4.017391304347826"/>
    <n v="0.87121212121212122"/>
    <n v="0.69878472222222221"/>
  </r>
  <r>
    <x v="2"/>
    <d v="2021-10-19T00:00:00"/>
    <s v="A"/>
    <x v="8"/>
    <x v="50"/>
    <m/>
    <s v="LZ1"/>
    <s v="NIPPLE S TYPE L SIZE PUNCHED LASER MARKED"/>
    <s v="HEJ13CH22"/>
    <s v="Saurabh"/>
    <n v="2"/>
    <n v="1600"/>
    <n v="800"/>
    <n v="3000"/>
    <n v="3000"/>
    <n v="0"/>
    <n v="0"/>
    <n v="0"/>
    <n v="0"/>
    <n v="0"/>
    <n v="0"/>
    <n v="1"/>
    <n v="3000"/>
    <n v="1.875"/>
    <x v="22"/>
    <n v="0"/>
    <n v="0"/>
    <s v=" "/>
    <n v="0"/>
    <n v="0"/>
    <n v="1"/>
    <n v="0"/>
    <n v="2"/>
    <n v="1"/>
    <n v="1500"/>
    <n v="3.5"/>
    <n v="2.4"/>
    <n v="1.4583333333333335"/>
    <n v="1.4583333333333335"/>
  </r>
  <r>
    <x v="2"/>
    <d v="2021-10-19T00:00:00"/>
    <s v="A"/>
    <x v="8"/>
    <x v="70"/>
    <m/>
    <s v="LZ1"/>
    <s v="NIPPLE S TYPE M SIZE PUNCHED LASER MARKED"/>
    <s v="HEJ18AH22"/>
    <s v="Saurabh"/>
    <n v="6"/>
    <n v="5400"/>
    <n v="900"/>
    <n v="4750"/>
    <n v="4750"/>
    <n v="0"/>
    <n v="0"/>
    <n v="0"/>
    <n v="0"/>
    <n v="0"/>
    <n v="0"/>
    <n v="1"/>
    <n v="4750"/>
    <n v="0.87962962962962965"/>
    <x v="19"/>
    <n v="0"/>
    <n v="0"/>
    <s v=" "/>
    <n v="0"/>
    <n v="0"/>
    <n v="1"/>
    <n v="1.1666666666666667"/>
    <n v="4.833333333333333"/>
    <n v="0.80555555555555547"/>
    <n v="791.66666666666663"/>
    <n v="3.5"/>
    <n v="3.6631578947368419"/>
    <n v="0.95545977011494254"/>
    <n v="0.76967592592592582"/>
  </r>
  <r>
    <x v="2"/>
    <d v="2021-10-19T00:00:00"/>
    <s v="A"/>
    <x v="0"/>
    <x v="0"/>
    <s v="M2"/>
    <s v="L2"/>
    <s v="NIPPLE S TYPE M SIZE INJECTION"/>
    <s v="HEJ19Na"/>
    <s v="Saurabh"/>
    <n v="8"/>
    <n v="4815"/>
    <n v="601.875"/>
    <n v="5366"/>
    <n v="5200"/>
    <n v="0"/>
    <n v="86"/>
    <n v="0"/>
    <n v="0"/>
    <n v="72"/>
    <n v="8"/>
    <n v="1"/>
    <n v="5200"/>
    <n v="1.0799584631360333"/>
    <x v="0"/>
    <n v="6.8"/>
    <n v="36.488799999999998"/>
    <n v="0.96906448005963475"/>
    <n v="1.3657056145675266E-2"/>
    <n v="1.5774027879677181E-2"/>
    <n v="0.98658218412225118"/>
    <n v="0"/>
    <n v="8"/>
    <n v="1"/>
    <n v="650"/>
    <n v="5.25"/>
    <n v="5.5384615384615383"/>
    <n v="0.94791666666666674"/>
    <n v="0.93519769536588404"/>
  </r>
  <r>
    <x v="2"/>
    <d v="2021-10-19T00:00:00"/>
    <s v="A"/>
    <x v="5"/>
    <x v="26"/>
    <m/>
    <s v="Recycle"/>
    <s v="CAP S TYPE MOLDED WHITE"/>
    <s v="EJ19CRc"/>
    <s v="Saurabh"/>
    <n v="8"/>
    <n v="4137"/>
    <n v="517.125"/>
    <n v="4642"/>
    <n v="4630"/>
    <n v="0"/>
    <n v="0"/>
    <n v="0"/>
    <n v="0"/>
    <n v="4"/>
    <n v="8"/>
    <n v="1"/>
    <n v="4630"/>
    <n v="1.1191684795745709"/>
    <x v="21"/>
    <n v="7.3"/>
    <n v="33.886600000000001"/>
    <n v="0.99741490736751393"/>
    <n v="8.6318515321536469E-4"/>
    <n v="0"/>
    <n v="0.99913830245583801"/>
    <n v="0"/>
    <n v="8"/>
    <n v="1"/>
    <n v="578.75"/>
    <n v="6"/>
    <n v="6.2203023758099354"/>
    <n v="0.96458333333333335"/>
    <n v="0.9637521542438604"/>
  </r>
  <r>
    <x v="2"/>
    <d v="2021-10-19T00:00:00"/>
    <s v="A"/>
    <x v="6"/>
    <x v="21"/>
    <m/>
    <m/>
    <s v="KPP 240 ML BOTTLE PRINTED"/>
    <s v="EJ12Bb1J19Pa"/>
    <s v="Pintu"/>
    <n v="8"/>
    <n v="5130"/>
    <n v="641.25"/>
    <n v="2965"/>
    <n v="2916"/>
    <n v="0"/>
    <n v="0"/>
    <n v="23"/>
    <n v="0"/>
    <n v="49"/>
    <n v="0"/>
    <n v="5"/>
    <n v="583.20000000000005"/>
    <n v="0.56842105263157894"/>
    <x v="16"/>
    <n v="0"/>
    <n v="0"/>
    <s v=" "/>
    <n v="1.6526138279932545E-2"/>
    <n v="0"/>
    <n v="0.98347386172006745"/>
    <n v="3"/>
    <n v="5"/>
    <n v="0.625"/>
    <n v="364.5"/>
    <n v="32.4"/>
    <n v="30.864197530864196"/>
    <n v="1.04976"/>
    <n v="0.64525720067453618"/>
  </r>
  <r>
    <x v="2"/>
    <d v="2021-10-19T00:00:00"/>
    <s v="G"/>
    <x v="4"/>
    <x v="4"/>
    <m/>
    <m/>
    <s v="NIPPLE S TYPE M SIZE PUNCHED INSPECTED"/>
    <s v="HEJ18BH22"/>
    <s v="Badelal"/>
    <n v="4"/>
    <n v="7068"/>
    <n v="1767"/>
    <n v="6650"/>
    <n v="6629"/>
    <n v="0"/>
    <n v="0"/>
    <n v="0"/>
    <n v="0"/>
    <n v="21"/>
    <n v="0"/>
    <n v="2"/>
    <n v="3314.5"/>
    <n v="0.93788907753254103"/>
    <x v="4"/>
    <n v="0"/>
    <n v="0"/>
    <s v=" "/>
    <n v="3.1578947368421052E-3"/>
    <n v="0"/>
    <n v="0.99684210526315786"/>
    <n v="0"/>
    <n v="4"/>
    <n v="1"/>
    <n v="1657.25"/>
    <n v="4"/>
    <n v="4.3445466887916728"/>
    <n v="0.92069444444444448"/>
    <n v="0.91778698830409355"/>
  </r>
  <r>
    <x v="2"/>
    <d v="2021-10-19T00:00:00"/>
    <s v="G"/>
    <x v="4"/>
    <x v="51"/>
    <m/>
    <m/>
    <s v="NIPPLE S TYPE L SIZE PUNCHED INSPECTED"/>
    <s v="HEJ13BH22"/>
    <s v="Badelal"/>
    <n v="4"/>
    <n v="7068"/>
    <n v="1767"/>
    <n v="5000"/>
    <n v="4814"/>
    <n v="0"/>
    <n v="0"/>
    <n v="0"/>
    <n v="0"/>
    <n v="186"/>
    <n v="0"/>
    <n v="2"/>
    <n v="2407"/>
    <n v="0.68109790605546128"/>
    <x v="37"/>
    <n v="0"/>
    <n v="0"/>
    <s v=" "/>
    <n v="3.7199999999999997E-2"/>
    <n v="0"/>
    <n v="0.96279999999999999"/>
    <n v="0"/>
    <n v="4"/>
    <n v="1"/>
    <n v="1203.5"/>
    <n v="4"/>
    <n v="5.9825508932280851"/>
    <n v="0.66861111111111104"/>
    <n v="0.64373877777777766"/>
  </r>
  <r>
    <x v="2"/>
    <d v="2021-10-19T00:00:00"/>
    <s v="B"/>
    <x v="5"/>
    <x v="26"/>
    <m/>
    <s v="Virgin"/>
    <s v="CAP S TYPE MOLDED WHITE"/>
    <s v="EJ19Cb"/>
    <s v="Badelal"/>
    <n v="5"/>
    <n v="2585"/>
    <n v="517"/>
    <n v="3000"/>
    <n v="3000"/>
    <n v="0"/>
    <n v="0"/>
    <n v="0"/>
    <n v="0"/>
    <n v="0"/>
    <n v="0"/>
    <n v="1"/>
    <n v="3000"/>
    <n v="1.1605415860735009"/>
    <x v="21"/>
    <n v="7.3"/>
    <n v="21.9"/>
    <n v="1"/>
    <n v="0"/>
    <n v="0"/>
    <n v="1"/>
    <n v="0"/>
    <n v="5"/>
    <n v="1"/>
    <n v="600"/>
    <n v="6"/>
    <n v="6"/>
    <n v="1"/>
    <n v="1"/>
  </r>
  <r>
    <x v="2"/>
    <d v="2021-10-19T00:00:00"/>
    <s v="B"/>
    <x v="3"/>
    <x v="3"/>
    <m/>
    <s v="P1"/>
    <s v="NIPPLE S TYPE M SIZE PUNCHED"/>
    <s v="HEJ18NcJ19Pb"/>
    <s v="Badelal"/>
    <n v="8"/>
    <n v="7000"/>
    <n v="875"/>
    <n v="4800"/>
    <n v="4775"/>
    <n v="0"/>
    <n v="0"/>
    <n v="0"/>
    <n v="0"/>
    <n v="25"/>
    <n v="0"/>
    <n v="1"/>
    <n v="4775"/>
    <n v="0.68214285714285716"/>
    <x v="3"/>
    <n v="0"/>
    <n v="0"/>
    <s v=" "/>
    <n v="5.208333333333333E-3"/>
    <n v="0"/>
    <n v="0.99479166666666663"/>
    <n v="0.66666666666666663"/>
    <n v="7.333333333333333"/>
    <n v="0.91666666666666663"/>
    <n v="596.875"/>
    <n v="3.5"/>
    <n v="5.5287958115183242"/>
    <n v="0.63304924242424243"/>
    <n v="0.57727276837384256"/>
  </r>
  <r>
    <x v="2"/>
    <d v="2021-10-19T00:00:00"/>
    <s v="B"/>
    <x v="8"/>
    <x v="70"/>
    <m/>
    <s v="LZ1"/>
    <s v="NIPPLE S TYPE M SIZE PUNCHED LASER MARKED"/>
    <s v="HEJ18CH22"/>
    <s v="Badelal"/>
    <n v="8"/>
    <n v="7000"/>
    <n v="875"/>
    <n v="4800"/>
    <n v="4800"/>
    <n v="0"/>
    <n v="0"/>
    <n v="0"/>
    <n v="0"/>
    <n v="0"/>
    <n v="0"/>
    <n v="1"/>
    <n v="4800"/>
    <n v="0.68571428571428572"/>
    <x v="19"/>
    <n v="0"/>
    <n v="0"/>
    <s v=" "/>
    <n v="0"/>
    <n v="0"/>
    <n v="1"/>
    <n v="1"/>
    <n v="7"/>
    <n v="0.875"/>
    <n v="600"/>
    <n v="3.5"/>
    <n v="5.25"/>
    <n v="0.66666666666666663"/>
    <n v="0.58333333333333326"/>
  </r>
  <r>
    <x v="2"/>
    <d v="2021-10-19T00:00:00"/>
    <s v="B"/>
    <x v="5"/>
    <x v="26"/>
    <m/>
    <s v="Recycle"/>
    <s v="CAP S TYPE MOLDED WHITE"/>
    <s v="EJ19CRb"/>
    <s v="Badelal"/>
    <n v="3"/>
    <n v="1553"/>
    <n v="517.66666666666663"/>
    <n v="1600"/>
    <n v="1600"/>
    <n v="0"/>
    <n v="0"/>
    <n v="0"/>
    <n v="0"/>
    <n v="0"/>
    <n v="0"/>
    <n v="1"/>
    <n v="1600"/>
    <n v="1.0302640051513201"/>
    <x v="21"/>
    <n v="7.3"/>
    <n v="11.68"/>
    <n v="1"/>
    <n v="0"/>
    <n v="0"/>
    <n v="1"/>
    <n v="0.5"/>
    <n v="2.5"/>
    <n v="0.83333333333333337"/>
    <n v="533.33333333333337"/>
    <n v="6"/>
    <n v="5.625"/>
    <n v="1.0666666666666667"/>
    <n v="0.88888888888888895"/>
  </r>
  <r>
    <x v="2"/>
    <d v="2021-10-19T00:00:00"/>
    <s v="B"/>
    <x v="0"/>
    <x v="0"/>
    <s v="M2"/>
    <s v="L2"/>
    <s v="NIPPLE S TYPE M SIZE INJECTION"/>
    <s v="HEJ19Nb"/>
    <s v="Badelal"/>
    <n v="8"/>
    <n v="4815"/>
    <n v="601.875"/>
    <n v="5123"/>
    <n v="5000"/>
    <n v="0"/>
    <n v="43"/>
    <n v="0"/>
    <n v="0"/>
    <n v="80"/>
    <n v="0"/>
    <n v="1"/>
    <n v="5000"/>
    <n v="1.0384215991692627"/>
    <x v="0"/>
    <n v="6.8"/>
    <n v="34.836399999999998"/>
    <n v="0.97599063048994739"/>
    <n v="1.5748031496062992E-2"/>
    <n v="8.3236546651180802E-3"/>
    <n v="0.98438414991216083"/>
    <n v="0"/>
    <n v="8"/>
    <n v="1"/>
    <n v="625"/>
    <n v="5.25"/>
    <n v="5.76"/>
    <n v="0.91145833333333337"/>
    <n v="0.8972251366386883"/>
  </r>
  <r>
    <x v="2"/>
    <d v="2021-10-19T00:00:00"/>
    <s v="B"/>
    <x v="6"/>
    <x v="21"/>
    <m/>
    <s v="PR1"/>
    <s v="KPP 240 ML BOTTLE PRINTED"/>
    <s v="EJ12Bb1J19Pb"/>
    <s v="Badelal"/>
    <n v="8"/>
    <n v="5100"/>
    <n v="637.5"/>
    <n v="4905"/>
    <n v="4860"/>
    <n v="0"/>
    <n v="0"/>
    <n v="45"/>
    <n v="0"/>
    <n v="45"/>
    <n v="0"/>
    <n v="5"/>
    <n v="972"/>
    <n v="0.95294117647058818"/>
    <x v="16"/>
    <n v="0"/>
    <n v="0"/>
    <s v=" "/>
    <n v="9.1743119266055051E-3"/>
    <n v="0"/>
    <n v="0.99082568807339455"/>
    <n v="0.66666666666666663"/>
    <n v="7.333333333333333"/>
    <n v="0.91666666666666663"/>
    <n v="607.5"/>
    <n v="32.4"/>
    <n v="27.160493827160494"/>
    <n v="1.1929090909090909"/>
    <n v="1.083467889908257"/>
  </r>
  <r>
    <x v="2"/>
    <d v="2021-10-19T00:00:00"/>
    <s v="C"/>
    <x v="5"/>
    <x v="26"/>
    <m/>
    <s v="Recycle"/>
    <s v="CAP S TYPE MOLDED WHITE"/>
    <s v="EJ19CRc"/>
    <s v="Nitin"/>
    <n v="3.9"/>
    <n v="2000"/>
    <n v="512.82051282051282"/>
    <n v="1921"/>
    <n v="1900"/>
    <n v="0"/>
    <n v="0"/>
    <n v="0"/>
    <n v="0"/>
    <n v="13"/>
    <n v="8"/>
    <n v="1"/>
    <n v="1900"/>
    <n v="0.95"/>
    <x v="21"/>
    <n v="7.3"/>
    <n v="14.023300000000001"/>
    <n v="0.98906819364914111"/>
    <n v="6.7956089911134342E-3"/>
    <n v="0"/>
    <n v="0.99323269130661118"/>
    <n v="0.83333333333333337"/>
    <n v="3.0666666666666664"/>
    <n v="0.78632478632478631"/>
    <n v="487.17948717948718"/>
    <n v="6"/>
    <n v="5.810526315789474"/>
    <n v="1.0326086956521738"/>
    <n v="0.80647098866776112"/>
  </r>
  <r>
    <x v="2"/>
    <d v="2021-10-19T00:00:00"/>
    <s v="C"/>
    <x v="5"/>
    <x v="81"/>
    <m/>
    <s v="Virgin"/>
    <s v="CAP S TYPE MOLDED YELLOW"/>
    <s v="EJ19Cc"/>
    <s v="Nitin"/>
    <n v="4.0999999999999996"/>
    <n v="2137"/>
    <n v="521.21951219512198"/>
    <n v="2708"/>
    <n v="2700"/>
    <n v="0"/>
    <n v="0"/>
    <n v="0"/>
    <n v="0"/>
    <n v="0"/>
    <n v="8"/>
    <n v="1"/>
    <n v="2700"/>
    <n v="1.2634534394010295"/>
    <x v="45"/>
    <n v="7.3"/>
    <n v="19.7684"/>
    <n v="0.99704579025110784"/>
    <n v="0"/>
    <n v="0"/>
    <n v="1"/>
    <n v="0.5"/>
    <n v="3.5999999999999996"/>
    <n v="0.87804878048780488"/>
    <n v="658.53658536585374"/>
    <n v="6"/>
    <n v="4.7999999999999989"/>
    <n v="1.2500000000000002"/>
    <n v="1.0975609756097564"/>
  </r>
  <r>
    <x v="2"/>
    <d v="2021-10-19T00:00:00"/>
    <s v="C"/>
    <x v="0"/>
    <x v="0"/>
    <s v="M2"/>
    <s v="L2"/>
    <s v="NIPPLE S TYPE M SIZE INJECTION"/>
    <s v="HEJ19Nc"/>
    <s v="Nitin"/>
    <n v="8"/>
    <n v="4815"/>
    <n v="601.875"/>
    <n v="5138"/>
    <n v="5000"/>
    <n v="0"/>
    <n v="60"/>
    <n v="0"/>
    <n v="0"/>
    <n v="70"/>
    <n v="8"/>
    <n v="1"/>
    <n v="5000"/>
    <n v="1.0384215991692627"/>
    <x v="0"/>
    <n v="6.8"/>
    <n v="34.938400000000001"/>
    <n v="0.97314130011677691"/>
    <n v="1.3806706114398421E-2"/>
    <n v="1.1542901115813775E-2"/>
    <n v="0.98637602179836514"/>
    <n v="0.5"/>
    <n v="7.5"/>
    <n v="0.9375"/>
    <n v="625"/>
    <n v="5.25"/>
    <n v="5.4"/>
    <n v="0.97222222222222221"/>
    <n v="0.89904064486830149"/>
  </r>
  <r>
    <x v="2"/>
    <d v="2021-10-20T00:00:00"/>
    <s v="A"/>
    <x v="3"/>
    <x v="3"/>
    <m/>
    <s v="P1"/>
    <s v="NIPPLE S TYPE M SIZE PUNCHED"/>
    <s v="HEJ19NaJ20Pa"/>
    <s v="Saurabh"/>
    <n v="8"/>
    <n v="7000"/>
    <n v="875"/>
    <n v="6200"/>
    <n v="6200"/>
    <n v="0"/>
    <n v="0"/>
    <n v="0"/>
    <n v="0"/>
    <n v="0"/>
    <n v="0"/>
    <n v="1"/>
    <n v="6200"/>
    <n v="0.88571428571428568"/>
    <x v="3"/>
    <n v="0"/>
    <n v="0"/>
    <s v=" "/>
    <n v="0"/>
    <n v="0"/>
    <n v="1"/>
    <n v="1.1666666666666667"/>
    <n v="6.833333333333333"/>
    <n v="0.85416666666666663"/>
    <n v="775"/>
    <n v="3.5"/>
    <n v="3.967741935483871"/>
    <n v="0.88211382113821135"/>
    <n v="0.75347222222222221"/>
  </r>
  <r>
    <x v="2"/>
    <d v="2021-10-20T00:00:00"/>
    <s v="A"/>
    <x v="8"/>
    <x v="70"/>
    <m/>
    <s v="LZ1"/>
    <s v="NIPPLE S TYPE M SIZE PUNCHED LASER MARKED"/>
    <s v="HEJ19AH22"/>
    <s v="Saurabh"/>
    <n v="8"/>
    <n v="7000"/>
    <n v="875"/>
    <n v="5175"/>
    <n v="5175"/>
    <n v="0"/>
    <n v="0"/>
    <n v="0"/>
    <n v="0"/>
    <n v="0"/>
    <n v="0"/>
    <n v="1"/>
    <n v="5175"/>
    <n v="0.73928571428571432"/>
    <x v="19"/>
    <n v="0"/>
    <n v="0"/>
    <s v=" "/>
    <n v="0"/>
    <n v="0"/>
    <n v="1"/>
    <n v="2.1666666666666665"/>
    <n v="5.8333333333333339"/>
    <n v="0.72916666666666674"/>
    <n v="646.875"/>
    <n v="3.5"/>
    <n v="4.0579710144927548"/>
    <n v="0.86249999999999971"/>
    <n v="0.62890624999999989"/>
  </r>
  <r>
    <x v="2"/>
    <d v="2021-10-20T00:00:00"/>
    <s v="A"/>
    <x v="5"/>
    <x v="81"/>
    <m/>
    <s v="Virgin"/>
    <s v="CAP S TYPE MOLDED YELLOW"/>
    <s v="EJ20Ca"/>
    <s v="Saurabh"/>
    <n v="8"/>
    <n v="7000"/>
    <n v="875"/>
    <n v="4904"/>
    <n v="4890"/>
    <n v="0"/>
    <n v="0"/>
    <n v="0"/>
    <n v="0"/>
    <n v="6"/>
    <n v="8"/>
    <n v="1"/>
    <n v="4890"/>
    <n v="0.69857142857142862"/>
    <x v="45"/>
    <n v="7.3"/>
    <n v="35.799199999999999"/>
    <n v="0.99714518760195769"/>
    <n v="1.2254901960784314E-3"/>
    <n v="0"/>
    <n v="0.99877650897226755"/>
    <n v="0"/>
    <n v="8"/>
    <n v="1"/>
    <n v="611.25"/>
    <n v="6"/>
    <n v="5.889570552147239"/>
    <n v="1.01875"/>
    <n v="1.0175035685154976"/>
  </r>
  <r>
    <x v="2"/>
    <d v="2021-10-20T00:00:00"/>
    <s v="A"/>
    <x v="0"/>
    <x v="0"/>
    <s v="M2"/>
    <s v="L2"/>
    <s v="NIPPLE S TYPE M SIZE INJECTION"/>
    <s v="HEJ120Na"/>
    <s v="Saurabh"/>
    <n v="8"/>
    <n v="4815"/>
    <n v="601.875"/>
    <n v="3578"/>
    <n v="3250"/>
    <n v="0"/>
    <n v="255"/>
    <n v="0"/>
    <n v="0"/>
    <n v="57"/>
    <n v="16"/>
    <n v="1"/>
    <n v="3250"/>
    <n v="0.67497403946002077"/>
    <x v="0"/>
    <n v="6.8"/>
    <n v="24.330399999999997"/>
    <n v="0.90832867523756289"/>
    <n v="1.7236165709101903E-2"/>
    <n v="6.6527524132533267E-2"/>
    <n v="0.98406931246506424"/>
    <n v="2.8333333333333335"/>
    <n v="5.1666666666666661"/>
    <n v="0.64583333333333326"/>
    <n v="406.25"/>
    <n v="5.25"/>
    <n v="5.7230769230769223"/>
    <n v="0.91733870967741948"/>
    <n v="0.58300981402552643"/>
  </r>
  <r>
    <x v="2"/>
    <d v="2021-10-20T00:00:00"/>
    <s v="A"/>
    <x v="6"/>
    <x v="21"/>
    <m/>
    <s v="PR1"/>
    <s v="KPP 240 ML BOTTLE PRINTED"/>
    <s v="EJ13Ba1J20Pa"/>
    <s v="Pintu"/>
    <n v="4"/>
    <n v="2560"/>
    <n v="640"/>
    <n v="1656"/>
    <n v="1626"/>
    <n v="0"/>
    <n v="0"/>
    <n v="29"/>
    <n v="0"/>
    <n v="30"/>
    <n v="0"/>
    <n v="5"/>
    <n v="325.2"/>
    <n v="0.63515624999999998"/>
    <x v="16"/>
    <n v="0"/>
    <n v="0"/>
    <s v=" "/>
    <n v="1.8115942028985508E-2"/>
    <n v="0"/>
    <n v="0.98188405797101452"/>
    <n v="1.1666666666666667"/>
    <n v="2.833333333333333"/>
    <n v="0.70833333333333326"/>
    <n v="406.5"/>
    <n v="32.4"/>
    <n v="31.365313653136528"/>
    <n v="1.0329882352941178"/>
    <n v="0.71844456521739142"/>
  </r>
  <r>
    <x v="2"/>
    <d v="2021-10-20T00:00:00"/>
    <s v="A"/>
    <x v="6"/>
    <x v="13"/>
    <m/>
    <s v="PR1"/>
    <s v="KPP 200 BOTTLE PRINTED (WMG3B) W/O OZ &amp; W/BIS LOGO"/>
    <s v="EI04Bc1J20Pa"/>
    <s v="Pintu"/>
    <n v="1.5"/>
    <n v="960"/>
    <n v="640"/>
    <n v="258"/>
    <n v="255"/>
    <n v="0"/>
    <n v="0"/>
    <n v="0"/>
    <n v="0"/>
    <n v="3"/>
    <n v="0"/>
    <n v="5"/>
    <n v="51"/>
    <n v="0.265625"/>
    <x v="8"/>
    <n v="0"/>
    <n v="0"/>
    <s v=" "/>
    <n v="1.1627906976744186E-2"/>
    <n v="0"/>
    <n v="0.98837209302325579"/>
    <n v="1.1666666666666667"/>
    <n v="0.33333333333333326"/>
    <n v="0.22222222222222218"/>
    <n v="170"/>
    <n v="32.4"/>
    <n v="23.52941176470588"/>
    <n v="1.377"/>
    <n v="0.30244186046511617"/>
  </r>
  <r>
    <x v="2"/>
    <d v="2021-10-20T00:00:00"/>
    <s v="A"/>
    <x v="6"/>
    <x v="17"/>
    <m/>
    <s v="PR1"/>
    <s v="KPP 200 ML BOTTLE PRINTED"/>
    <s v="EJ07BC1J20Pa"/>
    <s v="Pintu"/>
    <n v="2.5"/>
    <n v="1600"/>
    <n v="640"/>
    <n v="1629"/>
    <n v="1620"/>
    <n v="0"/>
    <n v="0"/>
    <n v="11"/>
    <n v="0"/>
    <n v="9"/>
    <n v="0"/>
    <n v="5"/>
    <n v="324"/>
    <n v="1.0125"/>
    <x v="14"/>
    <n v="0"/>
    <n v="0"/>
    <s v=" "/>
    <n v="5.5248618784530384E-3"/>
    <n v="0"/>
    <n v="0.99447513812154698"/>
    <n v="0"/>
    <n v="2.5"/>
    <n v="1"/>
    <n v="648"/>
    <n v="32.4"/>
    <n v="27.777777777777779"/>
    <n v="1.1663999999999999"/>
    <n v="1.1599558011049722"/>
  </r>
  <r>
    <x v="2"/>
    <d v="2021-10-20T00:00:00"/>
    <s v="G"/>
    <x v="4"/>
    <x v="4"/>
    <m/>
    <m/>
    <s v="NIPPLE S TYPE M SIZE PUNCHED INSPECTED"/>
    <s v="HEJ18CH22"/>
    <s v="Badelal"/>
    <n v="8"/>
    <n v="14137"/>
    <n v="1767.125"/>
    <n v="10938"/>
    <n v="10807"/>
    <n v="0"/>
    <n v="0"/>
    <n v="0"/>
    <n v="0"/>
    <n v="131"/>
    <n v="0"/>
    <n v="1"/>
    <n v="10807"/>
    <n v="0.76444790266676099"/>
    <x v="4"/>
    <n v="0"/>
    <n v="0"/>
    <s v=" "/>
    <n v="1.1976595355640884E-2"/>
    <n v="0"/>
    <n v="0.98802340464435912"/>
    <n v="0.83333333333333337"/>
    <n v="7.166666666666667"/>
    <n v="0.89583333333333337"/>
    <n v="1350.875"/>
    <n v="4"/>
    <n v="2.387341537892107"/>
    <n v="1.6755038759689922"/>
    <n v="1.4829956852766097"/>
  </r>
  <r>
    <x v="2"/>
    <d v="2021-10-20T00:00:00"/>
    <s v="B"/>
    <x v="3"/>
    <x v="3"/>
    <m/>
    <s v="P1"/>
    <s v="NIPPLE S TYPE M SIZE PUNCHED"/>
    <s v="HEJ19NcJ20Pb"/>
    <s v="Badelal"/>
    <n v="8"/>
    <n v="7000"/>
    <n v="875"/>
    <n v="7000"/>
    <n v="6970"/>
    <n v="0"/>
    <n v="0"/>
    <n v="0"/>
    <n v="0"/>
    <n v="30"/>
    <n v="0"/>
    <n v="1"/>
    <n v="6970"/>
    <n v="0.99571428571428566"/>
    <x v="3"/>
    <n v="0"/>
    <n v="0"/>
    <s v=" "/>
    <n v="4.2857142857142859E-3"/>
    <n v="0"/>
    <n v="0.99571428571428566"/>
    <n v="0.66666666666666663"/>
    <n v="7.333333333333333"/>
    <n v="0.91666666666666663"/>
    <n v="871.25"/>
    <n v="3.5"/>
    <n v="3.7876614060258249"/>
    <n v="0.92405303030303032"/>
    <n v="0.8434184027777778"/>
  </r>
  <r>
    <x v="2"/>
    <d v="2021-10-20T00:00:00"/>
    <s v="B"/>
    <x v="8"/>
    <x v="70"/>
    <m/>
    <s v="LZ1"/>
    <s v="NIPPLE S TYPE M SIZE PUNCHED LASER MARKED"/>
    <s v="HEJ19CH22"/>
    <s v="Badelal"/>
    <n v="8"/>
    <n v="7000"/>
    <n v="875"/>
    <n v="7000"/>
    <n v="7000"/>
    <n v="0"/>
    <n v="0"/>
    <n v="0"/>
    <n v="0"/>
    <n v="0"/>
    <n v="0"/>
    <n v="1"/>
    <n v="7000"/>
    <n v="1"/>
    <x v="19"/>
    <n v="0"/>
    <n v="0"/>
    <s v=" "/>
    <n v="0"/>
    <n v="0"/>
    <n v="1"/>
    <n v="0.66666666666666663"/>
    <n v="7.333333333333333"/>
    <n v="0.91666666666666663"/>
    <n v="875"/>
    <n v="3.5"/>
    <n v="3.7714285714285714"/>
    <n v="0.92803030303030309"/>
    <n v="0.85069444444444442"/>
  </r>
  <r>
    <x v="2"/>
    <d v="2021-10-20T00:00:00"/>
    <s v="B"/>
    <x v="5"/>
    <x v="81"/>
    <m/>
    <s v="Virgin"/>
    <s v="CAP S TYPE MOLDED YELLOW"/>
    <s v="EJ20Cb"/>
    <s v="Badelal"/>
    <n v="8"/>
    <n v="4137"/>
    <n v="517.125"/>
    <n v="4800"/>
    <n v="4800"/>
    <n v="0"/>
    <n v="0"/>
    <n v="0"/>
    <n v="0"/>
    <n v="0"/>
    <n v="0"/>
    <n v="1"/>
    <n v="4800"/>
    <n v="1.1602610587382161"/>
    <x v="45"/>
    <n v="7.3"/>
    <n v="35.04"/>
    <n v="1"/>
    <n v="0"/>
    <n v="0"/>
    <n v="1"/>
    <n v="0"/>
    <n v="8"/>
    <n v="1"/>
    <n v="600"/>
    <n v="6"/>
    <n v="6"/>
    <n v="1"/>
    <n v="1"/>
  </r>
  <r>
    <x v="2"/>
    <d v="2021-10-20T00:00:00"/>
    <s v="B"/>
    <x v="0"/>
    <x v="0"/>
    <s v="M2"/>
    <s v="L2"/>
    <s v="NIPPLE S TYPE M SIZE INJECTION"/>
    <s v="HEJ20Nb"/>
    <s v="Badelal"/>
    <n v="8"/>
    <n v="4815"/>
    <n v="601.875"/>
    <n v="2130"/>
    <n v="1900"/>
    <n v="0"/>
    <n v="110"/>
    <n v="0"/>
    <n v="0"/>
    <n v="120"/>
    <n v="0"/>
    <n v="1"/>
    <n v="1900"/>
    <n v="0.39460020768431986"/>
    <x v="0"/>
    <n v="6.8"/>
    <n v="14.484"/>
    <n v="0.892018779342723"/>
    <n v="5.9405940594059403E-2"/>
    <n v="4.9107142857142856E-2"/>
    <n v="0.94366197183098588"/>
    <n v="5.25"/>
    <n v="2.75"/>
    <n v="0.34375"/>
    <n v="237.5"/>
    <n v="5.25"/>
    <n v="5.2105263157894735"/>
    <n v="1.0075757575757576"/>
    <n v="0.32684125586854457"/>
  </r>
  <r>
    <x v="2"/>
    <d v="2021-10-20T00:00:00"/>
    <s v="B"/>
    <x v="1"/>
    <x v="18"/>
    <s v="BM3"/>
    <s v="B2"/>
    <s v="KPP 240 ML BOTTLE MOLDED"/>
    <s v="EJ20Bb2"/>
    <s v="Badelal"/>
    <n v="6"/>
    <n v="1932"/>
    <n v="322"/>
    <n v="1676"/>
    <n v="1620"/>
    <n v="0"/>
    <n v="26"/>
    <n v="0"/>
    <n v="0"/>
    <n v="30"/>
    <n v="0"/>
    <n v="1"/>
    <n v="1620"/>
    <n v="0.83850931677018636"/>
    <x v="1"/>
    <n v="32.1"/>
    <n v="53.799600000000005"/>
    <n v="0.96658711217183768"/>
    <n v="1.8181818181818181E-2"/>
    <n v="1.5276145710928319E-2"/>
    <n v="0.9821002386634845"/>
    <n v="1.8333333333333333"/>
    <n v="4.166666666666667"/>
    <n v="0.69444444444444453"/>
    <n v="270"/>
    <n v="9"/>
    <n v="9.2592592592592595"/>
    <n v="0.97199999999999998"/>
    <n v="0.66291766109785211"/>
  </r>
  <r>
    <x v="2"/>
    <d v="2021-10-20T00:00:00"/>
    <s v="B"/>
    <x v="6"/>
    <x v="17"/>
    <m/>
    <s v="PR1"/>
    <s v="KPP 200 ML BOTTLE PRINTED"/>
    <s v="EJ08Ba2J20Pb"/>
    <s v="Badelal"/>
    <n v="8"/>
    <n v="5100"/>
    <n v="637.5"/>
    <n v="5199"/>
    <n v="5184"/>
    <n v="0"/>
    <n v="0"/>
    <n v="47"/>
    <n v="0"/>
    <n v="15"/>
    <n v="0"/>
    <n v="5"/>
    <n v="1036.8"/>
    <n v="1.016470588235294"/>
    <x v="14"/>
    <n v="0"/>
    <n v="0"/>
    <s v=" "/>
    <n v="2.8851702250432777E-3"/>
    <n v="0"/>
    <n v="0.99711482977495669"/>
    <n v="0.66666666666666663"/>
    <n v="7.333333333333333"/>
    <n v="0.91666666666666663"/>
    <n v="648"/>
    <n v="32.4"/>
    <n v="25.462962962962962"/>
    <n v="1.2724363636363636"/>
    <n v="1.1630347374495094"/>
  </r>
  <r>
    <x v="2"/>
    <d v="2021-10-20T00:00:00"/>
    <s v="C"/>
    <x v="5"/>
    <x v="81"/>
    <m/>
    <s v="Virgin"/>
    <s v="CAP S TYPE MOLDED YELLOW"/>
    <s v="EJ20Cc"/>
    <s v="Nitin"/>
    <n v="8"/>
    <n v="4137"/>
    <n v="517.125"/>
    <n v="4808"/>
    <n v="4800"/>
    <n v="0"/>
    <n v="0"/>
    <n v="0"/>
    <n v="0"/>
    <n v="0"/>
    <n v="8"/>
    <n v="1"/>
    <n v="4800"/>
    <n v="1.1602610587382161"/>
    <x v="45"/>
    <n v="7.3"/>
    <n v="35.098399999999998"/>
    <n v="0.99833610648918469"/>
    <n v="0"/>
    <n v="0"/>
    <n v="1"/>
    <n v="0"/>
    <n v="8"/>
    <n v="1"/>
    <n v="600"/>
    <n v="6"/>
    <n v="6"/>
    <n v="1"/>
    <n v="1"/>
  </r>
  <r>
    <x v="2"/>
    <d v="2021-10-20T00:00:00"/>
    <s v="C"/>
    <x v="0"/>
    <x v="0"/>
    <s v="M2"/>
    <s v="L2"/>
    <s v="NIPPLE S TYPE M SIZE INJECTION"/>
    <s v="HEJ20Nc"/>
    <s v="Nitin"/>
    <n v="8"/>
    <n v="4815"/>
    <n v="601.875"/>
    <n v="3403"/>
    <n v="3300"/>
    <n v="0"/>
    <n v="55"/>
    <n v="0"/>
    <n v="0"/>
    <n v="48"/>
    <n v="0"/>
    <n v="1"/>
    <n v="3300"/>
    <n v="0.68535825545171336"/>
    <x v="0"/>
    <n v="6.8"/>
    <n v="23.1404"/>
    <n v="0.96973258889215386"/>
    <n v="1.4336917562724014E-2"/>
    <n v="1.5905147484094852E-2"/>
    <n v="0.98589479870702323"/>
    <n v="2.3333333333333335"/>
    <n v="5.6666666666666661"/>
    <n v="0.70833333333333326"/>
    <n v="412.5"/>
    <n v="5.25"/>
    <n v="6.1818181818181808"/>
    <n v="0.84926470588235303"/>
    <n v="0.59307733984719369"/>
  </r>
  <r>
    <x v="2"/>
    <d v="2021-10-20T00:00:00"/>
    <s v="C"/>
    <x v="1"/>
    <x v="18"/>
    <s v="BM3"/>
    <s v="B2"/>
    <s v="KPP 240 ML BOTTLE MOLDED"/>
    <s v="EJ20BC2"/>
    <s v="Nitin"/>
    <n v="8"/>
    <n v="2574"/>
    <n v="321.75"/>
    <n v="3364"/>
    <n v="3240"/>
    <n v="0.3"/>
    <n v="44"/>
    <n v="0"/>
    <n v="0"/>
    <n v="72"/>
    <n v="8"/>
    <n v="1"/>
    <n v="3240"/>
    <n v="1.2587412587412588"/>
    <x v="1"/>
    <n v="32.1"/>
    <n v="108.28440000000001"/>
    <n v="0.96047076033112799"/>
    <n v="2.1739130434782608E-2"/>
    <n v="1.2910798122065728E-2"/>
    <n v="0.9785969084423306"/>
    <n v="0"/>
    <n v="8"/>
    <n v="1"/>
    <n v="405"/>
    <n v="9"/>
    <n v="8.8888888888888893"/>
    <n v="1.0125"/>
    <n v="0.99082936979785974"/>
  </r>
  <r>
    <x v="2"/>
    <d v="2021-10-21T00:00:00"/>
    <s v="A"/>
    <x v="3"/>
    <x v="3"/>
    <m/>
    <s v="P1"/>
    <s v="NIPPLE S TYPE M SIZE PUNCHED"/>
    <s v="HEJ12NaJ2021Pa"/>
    <s v="Saurabh"/>
    <n v="8"/>
    <n v="7000"/>
    <n v="875"/>
    <n v="7150"/>
    <n v="7150"/>
    <n v="0"/>
    <n v="0"/>
    <n v="0"/>
    <n v="0"/>
    <n v="0"/>
    <n v="0"/>
    <n v="1"/>
    <n v="7150"/>
    <n v="1.0214285714285714"/>
    <x v="3"/>
    <n v="0"/>
    <n v="0"/>
    <s v=" "/>
    <n v="0"/>
    <n v="0"/>
    <n v="1"/>
    <n v="0.66666666666666663"/>
    <n v="7.333333333333333"/>
    <n v="0.91666666666666663"/>
    <n v="893.75"/>
    <n v="3.5"/>
    <n v="3.6923076923076925"/>
    <n v="0.94791666666666663"/>
    <n v="0.86892361111111105"/>
  </r>
  <r>
    <x v="2"/>
    <d v="2021-10-21T00:00:00"/>
    <s v="A"/>
    <x v="8"/>
    <x v="70"/>
    <m/>
    <s v="LZ1"/>
    <s v="NIPPLE S TYPE M SIZE PUNCHED LASER MARKED"/>
    <s v="HEJ12AH22"/>
    <s v="Saurabh"/>
    <n v="8"/>
    <n v="7000"/>
    <n v="875"/>
    <n v="7120"/>
    <n v="7120"/>
    <n v="0"/>
    <n v="0"/>
    <n v="0"/>
    <n v="0"/>
    <n v="0"/>
    <n v="0"/>
    <n v="1"/>
    <n v="7120"/>
    <n v="1.0171428571428571"/>
    <x v="19"/>
    <n v="0"/>
    <n v="0"/>
    <s v=" "/>
    <n v="0"/>
    <n v="0"/>
    <n v="1"/>
    <n v="0.66666666666666663"/>
    <n v="7.333333333333333"/>
    <n v="0.91666666666666663"/>
    <n v="890"/>
    <n v="3.5"/>
    <n v="3.707865168539326"/>
    <n v="0.94393939393939386"/>
    <n v="0.8652777777777777"/>
  </r>
  <r>
    <x v="2"/>
    <d v="2021-10-21T00:00:00"/>
    <s v="A"/>
    <x v="1"/>
    <x v="18"/>
    <s v="BM3"/>
    <s v="B2"/>
    <s v="KPP 240 ML BOTTLE MOLDED"/>
    <s v="EJ21Ba2"/>
    <s v="Saurabh"/>
    <n v="8"/>
    <n v="2574"/>
    <n v="321.75"/>
    <n v="3049"/>
    <n v="2916"/>
    <n v="0.2"/>
    <n v="66"/>
    <n v="0"/>
    <n v="0"/>
    <n v="59"/>
    <n v="8"/>
    <n v="1"/>
    <n v="2916"/>
    <n v="1.1328671328671329"/>
    <x v="1"/>
    <n v="32.1"/>
    <n v="98.072900000000018"/>
    <n v="0.95442879735380515"/>
    <n v="1.9831932773109243E-2"/>
    <n v="2.118780096308186E-2"/>
    <n v="0.9806493932436865"/>
    <n v="0"/>
    <n v="8"/>
    <n v="1"/>
    <n v="364.5"/>
    <n v="9"/>
    <n v="9.8765432098765427"/>
    <n v="0.91125"/>
    <n v="0.89361675959330933"/>
  </r>
  <r>
    <x v="2"/>
    <d v="2021-10-21T00:00:00"/>
    <s v="A"/>
    <x v="5"/>
    <x v="81"/>
    <m/>
    <s v="Virgin"/>
    <s v="CAP S TYPE MOLDED YELLOW"/>
    <s v="EJ21Ca"/>
    <s v="Saurabh"/>
    <n v="8"/>
    <n v="4137"/>
    <n v="517.125"/>
    <n v="3522"/>
    <n v="3510"/>
    <n v="0.15"/>
    <n v="0"/>
    <n v="0"/>
    <n v="0"/>
    <n v="4"/>
    <n v="8"/>
    <n v="1"/>
    <n v="3510"/>
    <n v="0.84844089920232058"/>
    <x v="45"/>
    <n v="7.3"/>
    <n v="25.860599999999998"/>
    <n v="0.99081227813739836"/>
    <n v="1.1383039271485487E-3"/>
    <n v="0"/>
    <n v="0.99886428165814878"/>
    <n v="2"/>
    <n v="6"/>
    <n v="0.75"/>
    <n v="438.75"/>
    <n v="6"/>
    <n v="6.1538461538461542"/>
    <n v="0.97499999999999998"/>
    <n v="0.73041950596252125"/>
  </r>
  <r>
    <x v="2"/>
    <d v="2021-10-21T00:00:00"/>
    <s v="A"/>
    <x v="0"/>
    <x v="0"/>
    <s v="M2"/>
    <s v="L2"/>
    <s v="NIPPLE S TYPE M SIZE INJECTION"/>
    <s v="HEJ21Na"/>
    <s v="Saurabh"/>
    <n v="2.5"/>
    <n v="1500"/>
    <n v="600"/>
    <n v="1554"/>
    <n v="1460"/>
    <n v="0"/>
    <n v="68"/>
    <n v="0"/>
    <n v="0"/>
    <n v="26"/>
    <n v="0"/>
    <n v="1"/>
    <n v="1460"/>
    <n v="0.97333333333333338"/>
    <x v="0"/>
    <n v="6.8"/>
    <n v="10.5672"/>
    <n v="0.93951093951093945"/>
    <n v="1.7496635262449527E-2"/>
    <n v="4.192355117139334E-2"/>
    <n v="0.98326898326898327"/>
    <n v="0.5"/>
    <n v="2"/>
    <n v="0.8"/>
    <n v="584"/>
    <n v="5.25"/>
    <n v="4.9315068493150687"/>
    <n v="1.0645833333333332"/>
    <n v="0.83741741741741738"/>
  </r>
  <r>
    <x v="2"/>
    <d v="2021-10-21T00:00:00"/>
    <s v="A"/>
    <x v="6"/>
    <x v="17"/>
    <m/>
    <m/>
    <s v="KPP 200 ML BOTTLE PRINTED"/>
    <s v="EJ08Bb2J21Pa"/>
    <s v="Pintu"/>
    <n v="5"/>
    <n v="3200"/>
    <n v="640"/>
    <n v="1897"/>
    <n v="1877"/>
    <n v="0"/>
    <n v="0"/>
    <n v="17"/>
    <n v="0"/>
    <n v="20"/>
    <n v="0"/>
    <n v="4"/>
    <n v="469.25"/>
    <n v="0.58656249999999999"/>
    <x v="14"/>
    <n v="0"/>
    <n v="0"/>
    <s v=" "/>
    <n v="1.0542962572482868E-2"/>
    <n v="0"/>
    <n v="0.98945703742751712"/>
    <n v="1.1666666666666667"/>
    <n v="3.833333333333333"/>
    <n v="0.76666666666666661"/>
    <n v="375.4"/>
    <n v="32.4"/>
    <n v="29.408630793819921"/>
    <n v="1.1017173913043479"/>
    <n v="0.83574488666315228"/>
  </r>
  <r>
    <x v="2"/>
    <d v="2021-10-21T00:00:00"/>
    <s v="A"/>
    <x v="6"/>
    <x v="21"/>
    <m/>
    <m/>
    <s v="KPP 240 ML BOTTLE PRINTED"/>
    <s v="EJ20Bb2J21Pa"/>
    <s v="Pintu"/>
    <n v="3"/>
    <n v="1920"/>
    <n v="640"/>
    <n v="1087"/>
    <n v="1080"/>
    <n v="0"/>
    <n v="0"/>
    <n v="12"/>
    <n v="0"/>
    <n v="7"/>
    <n v="0"/>
    <n v="5"/>
    <n v="216"/>
    <n v="0.5625"/>
    <x v="16"/>
    <n v="0"/>
    <n v="0"/>
    <s v=" "/>
    <n v="6.439742410303588E-3"/>
    <n v="0"/>
    <n v="0.99356025758969646"/>
    <n v="1"/>
    <n v="2"/>
    <n v="0.66666666666666663"/>
    <n v="360"/>
    <n v="32.4"/>
    <n v="33.333333333333336"/>
    <n v="0.97199999999999986"/>
    <n v="0.6438270469181232"/>
  </r>
  <r>
    <x v="2"/>
    <d v="2021-10-21T00:00:00"/>
    <s v="G"/>
    <x v="4"/>
    <x v="4"/>
    <m/>
    <m/>
    <s v="NIPPLE S TYPE M SIZE PUNCHED INSPECTED"/>
    <s v="HEJ19CH22"/>
    <s v="Badelal"/>
    <n v="8"/>
    <n v="14137"/>
    <n v="1767.125"/>
    <n v="13450"/>
    <n v="13243"/>
    <n v="0"/>
    <n v="0"/>
    <n v="0"/>
    <n v="0"/>
    <n v="207"/>
    <n v="0"/>
    <n v="1"/>
    <n v="13243"/>
    <n v="0.93676168918440972"/>
    <x v="4"/>
    <n v="0"/>
    <n v="0"/>
    <s v=" "/>
    <n v="1.5390334572490706E-2"/>
    <n v="0"/>
    <n v="0.98460966542750927"/>
    <n v="0.83333333333333337"/>
    <n v="7.166666666666667"/>
    <n v="0.89583333333333337"/>
    <n v="1655.375"/>
    <n v="4"/>
    <n v="1.9481990485539531"/>
    <n v="2.0531782945736432"/>
    <n v="1.8109980276745146"/>
  </r>
  <r>
    <x v="2"/>
    <d v="2021-10-21T00:00:00"/>
    <s v="B"/>
    <x v="3"/>
    <x v="3"/>
    <m/>
    <s v="P1"/>
    <s v="NIPPLE S TYPE M SIZE PUNCHED"/>
    <s v="HEJ20NcJ21Pb"/>
    <s v="Badelal"/>
    <n v="8"/>
    <n v="7000"/>
    <n v="875"/>
    <n v="2760"/>
    <n v="2760"/>
    <n v="0"/>
    <n v="0"/>
    <n v="0"/>
    <n v="0"/>
    <n v="0"/>
    <n v="0"/>
    <n v="1"/>
    <n v="2760"/>
    <n v="0.39428571428571429"/>
    <x v="3"/>
    <n v="0"/>
    <n v="0"/>
    <s v=" "/>
    <n v="0"/>
    <n v="0"/>
    <n v="1"/>
    <n v="5.166666666666667"/>
    <n v="2.833333333333333"/>
    <n v="0.35416666666666663"/>
    <n v="345"/>
    <n v="3.5"/>
    <n v="3.695652173913043"/>
    <n v="0.94705882352941184"/>
    <n v="0.33541666666666664"/>
  </r>
  <r>
    <x v="2"/>
    <d v="2021-10-21T00:00:00"/>
    <s v="B"/>
    <x v="8"/>
    <x v="70"/>
    <m/>
    <s v="LZ1"/>
    <s v="NIPPLE S TYPE M SIZE PUNCHED LASER MARKED"/>
    <m/>
    <s v="Badelal"/>
    <n v="8"/>
    <n v="7000"/>
    <n v="875"/>
    <n v="4760"/>
    <n v="4760"/>
    <n v="0"/>
    <n v="0"/>
    <n v="0"/>
    <n v="0"/>
    <n v="0"/>
    <n v="0"/>
    <n v="1"/>
    <n v="4760"/>
    <n v="0.68"/>
    <x v="19"/>
    <n v="0"/>
    <n v="0"/>
    <s v=" "/>
    <n v="0"/>
    <n v="0"/>
    <n v="1"/>
    <n v="1.6666666666666667"/>
    <n v="6.333333333333333"/>
    <n v="0.79166666666666663"/>
    <n v="595"/>
    <n v="3.5"/>
    <n v="4.7899159663865545"/>
    <n v="0.73070175438596496"/>
    <n v="0.57847222222222228"/>
  </r>
  <r>
    <x v="2"/>
    <d v="2021-10-21T00:00:00"/>
    <s v="B"/>
    <x v="1"/>
    <x v="18"/>
    <s v="BM3"/>
    <s v="B2"/>
    <s v="KPP 240 ML BOTTLE MOLDED"/>
    <s v="EJ21Bb2"/>
    <s v="Badelal"/>
    <n v="8"/>
    <n v="2574"/>
    <n v="321.75"/>
    <n v="3046"/>
    <n v="2916"/>
    <n v="0"/>
    <n v="50"/>
    <n v="0"/>
    <n v="0"/>
    <n v="80"/>
    <n v="0"/>
    <n v="1"/>
    <n v="2916"/>
    <n v="1.1328671328671329"/>
    <x v="1"/>
    <n v="32.1"/>
    <n v="97.776600000000016"/>
    <n v="0.95732107682206169"/>
    <n v="2.67022696929239E-2"/>
    <n v="1.614987080103359E-2"/>
    <n v="0.97373604727511487"/>
    <n v="0"/>
    <n v="8"/>
    <n v="1"/>
    <n v="364.5"/>
    <n v="9"/>
    <n v="9.8765432098765427"/>
    <n v="0.91125"/>
    <n v="0.88731697307944846"/>
  </r>
  <r>
    <x v="2"/>
    <d v="2021-10-21T00:00:00"/>
    <s v="B"/>
    <x v="9"/>
    <x v="31"/>
    <m/>
    <s v="INJ1"/>
    <s v="HOOD S TYPE MOLDED"/>
    <s v="EJ21Hb"/>
    <s v="Badelal"/>
    <n v="8"/>
    <n v="4137"/>
    <n v="517.125"/>
    <n v="3320"/>
    <n v="3300"/>
    <n v="0"/>
    <n v="0"/>
    <n v="0"/>
    <n v="0"/>
    <n v="12"/>
    <n v="8"/>
    <n v="1"/>
    <n v="3300"/>
    <n v="0.79767947788252358"/>
    <x v="1"/>
    <n v="8.6"/>
    <n v="28.552"/>
    <n v="0.99397590361445776"/>
    <n v="3.6231884057971015E-3"/>
    <n v="0"/>
    <n v="0.9963855421686747"/>
    <n v="2"/>
    <n v="6"/>
    <n v="0.75"/>
    <n v="412.5"/>
    <n v="6"/>
    <n v="6.5454545454545459"/>
    <n v="0.91666666666666663"/>
    <n v="0.68501506024096381"/>
  </r>
  <r>
    <x v="2"/>
    <d v="2021-10-21T00:00:00"/>
    <s v="B"/>
    <x v="6"/>
    <x v="21"/>
    <m/>
    <m/>
    <s v="KPP 240 ML BOTTLE PRINTED"/>
    <s v="EJ20Bb2J21Pb"/>
    <s v="Pintu"/>
    <n v="8"/>
    <n v="5100"/>
    <n v="637.5"/>
    <n v="5207"/>
    <n v="5184"/>
    <n v="0"/>
    <n v="0"/>
    <n v="43"/>
    <n v="0"/>
    <n v="23"/>
    <n v="0"/>
    <n v="5"/>
    <n v="1036.8"/>
    <n v="1.016470588235294"/>
    <x v="16"/>
    <n v="0"/>
    <n v="0"/>
    <s v=" "/>
    <n v="4.417130785481083E-3"/>
    <n v="0"/>
    <n v="0.99558286921451888"/>
    <n v="0"/>
    <n v="8"/>
    <n v="1"/>
    <n v="648"/>
    <n v="32.4"/>
    <n v="27.777777777777779"/>
    <n v="1.1663999999999999"/>
    <n v="1.1612478586518147"/>
  </r>
  <r>
    <x v="2"/>
    <d v="2021-10-21T00:00:00"/>
    <s v="C"/>
    <x v="9"/>
    <x v="31"/>
    <m/>
    <s v="INJ1"/>
    <s v="HOOD S TYPE MOLDED"/>
    <s v="EJ21Hc"/>
    <s v="Nitin"/>
    <n v="8"/>
    <n v="4137"/>
    <n v="517.125"/>
    <n v="5206"/>
    <n v="5200"/>
    <n v="0"/>
    <n v="0"/>
    <n v="0"/>
    <n v="0"/>
    <n v="6"/>
    <n v="0"/>
    <n v="1"/>
    <n v="5200"/>
    <n v="1.2569494802997341"/>
    <x v="1"/>
    <n v="8.6"/>
    <n v="44.771599999999999"/>
    <n v="0.99884748367268539"/>
    <n v="1.1525163273146369E-3"/>
    <n v="0"/>
    <n v="0.99884748367268539"/>
    <n v="0"/>
    <n v="8"/>
    <n v="1"/>
    <n v="650"/>
    <n v="6"/>
    <n v="5.5384615384615383"/>
    <n v="1.0833333333333333"/>
    <n v="1.0820847739787425"/>
  </r>
  <r>
    <x v="2"/>
    <d v="2021-10-21T00:00:00"/>
    <s v="C"/>
    <x v="1"/>
    <x v="18"/>
    <s v="BM3"/>
    <s v="B2"/>
    <s v="KPP 240 ML BOTTLE MOLDED"/>
    <s v="EJ21Bc2"/>
    <s v="Nitin"/>
    <n v="8"/>
    <n v="2574"/>
    <n v="321.75"/>
    <n v="3142"/>
    <n v="3024"/>
    <n v="0.22"/>
    <n v="42"/>
    <n v="0"/>
    <n v="0"/>
    <n v="68"/>
    <n v="8"/>
    <n v="1"/>
    <n v="3024"/>
    <n v="1.1748251748251748"/>
    <x v="1"/>
    <n v="32.1"/>
    <n v="101.07820000000001"/>
    <n v="0.96034951156629222"/>
    <n v="2.1992238033635189E-2"/>
    <n v="1.3190954773869347E-2"/>
    <n v="0.97835773392743475"/>
    <n v="0.5"/>
    <n v="7.5"/>
    <n v="0.9375"/>
    <n v="378"/>
    <n v="9"/>
    <n v="8.9285714285714288"/>
    <n v="1.008"/>
    <n v="0.92454805856142586"/>
  </r>
  <r>
    <x v="2"/>
    <d v="2021-10-22T00:00:00"/>
    <s v="A"/>
    <x v="1"/>
    <x v="18"/>
    <s v="BM3"/>
    <s v="B2"/>
    <s v="KPP 240 ML BOTTLE MOLDED"/>
    <s v="EJ22Ba2"/>
    <s v="Saurabh"/>
    <n v="8"/>
    <n v="2574"/>
    <n v="321.75"/>
    <n v="3262"/>
    <n v="3132"/>
    <n v="0.2"/>
    <n v="51"/>
    <n v="0"/>
    <n v="0"/>
    <n v="71"/>
    <n v="8"/>
    <n v="1"/>
    <n v="3132"/>
    <n v="1.2167832167832169"/>
    <x v="1"/>
    <n v="32.1"/>
    <n v="104.91020000000002"/>
    <n v="0.95831673183351096"/>
    <n v="2.216671870121761E-2"/>
    <n v="1.5393902807123452E-2"/>
    <n v="0.97823421213979156"/>
    <n v="0"/>
    <n v="8"/>
    <n v="1"/>
    <n v="391.5"/>
    <n v="9"/>
    <n v="9.1954022988505741"/>
    <n v="0.97875000000000001"/>
    <n v="0.95744673513182099"/>
  </r>
  <r>
    <x v="2"/>
    <d v="2021-10-22T00:00:00"/>
    <s v="A"/>
    <x v="9"/>
    <x v="31"/>
    <m/>
    <s v="INJ1"/>
    <s v="HOOD S TYPE MOLDED"/>
    <s v="EJ22Ha"/>
    <s v="Saurabh"/>
    <n v="8"/>
    <n v="4137"/>
    <n v="517.125"/>
    <n v="5208"/>
    <n v="5200"/>
    <n v="0"/>
    <n v="0"/>
    <n v="0"/>
    <n v="0"/>
    <n v="0"/>
    <n v="8"/>
    <n v="1"/>
    <n v="5200"/>
    <n v="1.2569494802997341"/>
    <x v="1"/>
    <n v="8.6"/>
    <n v="44.788800000000002"/>
    <n v="0.99846390168970811"/>
    <n v="0"/>
    <n v="0"/>
    <n v="1"/>
    <n v="0"/>
    <n v="8"/>
    <n v="1"/>
    <n v="650"/>
    <n v="6"/>
    <n v="5.5384615384615383"/>
    <n v="1.0833333333333333"/>
    <n v="1.0833333333333333"/>
  </r>
  <r>
    <x v="2"/>
    <d v="2021-10-22T00:00:00"/>
    <s v="A"/>
    <x v="6"/>
    <x v="21"/>
    <m/>
    <s v="INJ1"/>
    <s v="KPP 240 ML BOTTLE PRINTED"/>
    <s v="EJ20Bb2J22Pa"/>
    <s v="Pintu"/>
    <n v="8"/>
    <n v="5100"/>
    <n v="637.5"/>
    <n v="5462"/>
    <n v="5400"/>
    <n v="0"/>
    <n v="0"/>
    <n v="36"/>
    <n v="0"/>
    <n v="62"/>
    <n v="0"/>
    <n v="5"/>
    <n v="1080"/>
    <n v="1.0588235294117647"/>
    <x v="16"/>
    <n v="0"/>
    <n v="0"/>
    <s v=" "/>
    <n v="1.1351153423654338E-2"/>
    <n v="0"/>
    <n v="0.98864884657634566"/>
    <n v="0"/>
    <n v="8"/>
    <n v="1"/>
    <n v="675"/>
    <n v="32.4"/>
    <n v="26.666666666666668"/>
    <n v="1.2149999999999999"/>
    <n v="1.2012083485902598"/>
  </r>
  <r>
    <x v="2"/>
    <d v="2021-10-22T00:00:00"/>
    <s v="G"/>
    <x v="7"/>
    <x v="27"/>
    <m/>
    <s v="WR1"/>
    <s v="NIPPLE S TYPE L SIZE WITH PRINTED WRAP"/>
    <s v="HEJ09CH22"/>
    <s v="Badelal"/>
    <n v="8"/>
    <n v="16137"/>
    <n v="2017.125"/>
    <n v="16200"/>
    <n v="16180"/>
    <n v="0"/>
    <n v="0"/>
    <n v="0"/>
    <n v="0"/>
    <n v="20"/>
    <n v="0"/>
    <n v="2"/>
    <n v="8090"/>
    <n v="1.0026646836462787"/>
    <x v="22"/>
    <n v="0"/>
    <n v="0"/>
    <s v=" "/>
    <n v="1.2345679012345679E-3"/>
    <n v="0"/>
    <n v="0.99876543209876545"/>
    <n v="0.83333333333333337"/>
    <n v="7.166666666666667"/>
    <n v="0.89583333333333337"/>
    <n v="2022.5"/>
    <n v="2.5"/>
    <n v="3.1891223733003708"/>
    <n v="0.78391472868217049"/>
    <n v="0.70138996056241421"/>
  </r>
  <r>
    <x v="2"/>
    <d v="2021-10-22T00:00:00"/>
    <s v="B"/>
    <x v="0"/>
    <x v="10"/>
    <s v="M2"/>
    <s v="L2"/>
    <s v="NIPPLE S TYPE S SIZE INJECTION"/>
    <s v="HEJ22Nb"/>
    <s v="Badelal"/>
    <n v="8"/>
    <n v="4815"/>
    <n v="601.875"/>
    <n v="5209"/>
    <n v="5000"/>
    <n v="10.200000000000001"/>
    <n v="107"/>
    <n v="0"/>
    <n v="0"/>
    <n v="94"/>
    <n v="8"/>
    <n v="1"/>
    <n v="5000"/>
    <n v="1.0384215991692627"/>
    <x v="0"/>
    <n v="6.8"/>
    <n v="45.621200000000002"/>
    <n v="0.7452675510508272"/>
    <n v="1.845308205732234E-2"/>
    <n v="2.0127915726109856E-2"/>
    <n v="0.98195430984833942"/>
    <n v="0"/>
    <n v="8"/>
    <n v="1"/>
    <n v="625"/>
    <n v="5.25"/>
    <n v="5.76"/>
    <n v="0.91145833333333337"/>
    <n v="0.8950104386638511"/>
  </r>
  <r>
    <x v="2"/>
    <d v="2021-10-22T00:00:00"/>
    <s v="B"/>
    <x v="9"/>
    <x v="31"/>
    <m/>
    <s v="INJ1"/>
    <s v="HOOD S TYPE MOLDED"/>
    <s v="EJ22Hb"/>
    <s v="Badelal"/>
    <n v="8"/>
    <n v="4137"/>
    <n v="517.125"/>
    <n v="5012"/>
    <n v="5000"/>
    <n v="0"/>
    <n v="0"/>
    <n v="0"/>
    <n v="0"/>
    <n v="12"/>
    <n v="0"/>
    <n v="1"/>
    <n v="5000"/>
    <n v="1.2086052695189751"/>
    <x v="1"/>
    <n v="8.6"/>
    <n v="43.103200000000001"/>
    <n v="0.99760574620909814"/>
    <n v="2.3942537909018356E-3"/>
    <n v="0"/>
    <n v="0.99760574620909814"/>
    <n v="0.5"/>
    <n v="7.5"/>
    <n v="0.9375"/>
    <n v="625"/>
    <n v="6"/>
    <n v="5.4"/>
    <n v="1.1111111111111109"/>
    <n v="1.0391726523011438"/>
  </r>
  <r>
    <x v="2"/>
    <d v="2021-10-22T00:00:00"/>
    <s v="B"/>
    <x v="1"/>
    <x v="18"/>
    <s v="BM3"/>
    <s v="B2"/>
    <s v="KPP 240 ML BOTTLE MOLDED"/>
    <s v="EJ22Bb2"/>
    <s v="Badelal"/>
    <n v="8"/>
    <n v="2574"/>
    <n v="321.75"/>
    <n v="3145"/>
    <n v="3024"/>
    <n v="0"/>
    <n v="30"/>
    <n v="0"/>
    <n v="0"/>
    <n v="91"/>
    <n v="0"/>
    <n v="1"/>
    <n v="3024"/>
    <n v="1.1748251748251748"/>
    <x v="1"/>
    <n v="32.1"/>
    <n v="100.95450000000001"/>
    <n v="0.96152623211446742"/>
    <n v="2.9213483146067417E-2"/>
    <n v="9.4488188976377951E-3"/>
    <n v="0.97106518282988874"/>
    <n v="0"/>
    <n v="8"/>
    <n v="1"/>
    <n v="378"/>
    <n v="9"/>
    <n v="9.5238095238095237"/>
    <n v="0.94500000000000006"/>
    <n v="0.91765659777424491"/>
  </r>
  <r>
    <x v="2"/>
    <d v="2021-10-22T00:00:00"/>
    <s v="B"/>
    <x v="3"/>
    <x v="15"/>
    <m/>
    <s v="P1"/>
    <s v="NIPPLE S TYPE S SIZE PUNCHED"/>
    <s v="HEJ22NbJ22Pb"/>
    <s v="Badelal"/>
    <n v="3"/>
    <n v="2600"/>
    <n v="866.66666666666663"/>
    <n v="3000"/>
    <n v="2992"/>
    <n v="0"/>
    <n v="0"/>
    <n v="0"/>
    <n v="0"/>
    <n v="0"/>
    <n v="8"/>
    <n v="1"/>
    <n v="2992"/>
    <n v="1.1507692307692308"/>
    <x v="12"/>
    <n v="0"/>
    <n v="0"/>
    <s v=" "/>
    <n v="0"/>
    <n v="0"/>
    <n v="1"/>
    <n v="0.66666666666666663"/>
    <n v="2.3333333333333335"/>
    <n v="0.77777777777777779"/>
    <n v="997.33333333333337"/>
    <n v="3.5"/>
    <n v="2.8074866310160429"/>
    <n v="1.2466666666666666"/>
    <n v="0.96962962962962962"/>
  </r>
  <r>
    <x v="2"/>
    <d v="2021-10-22T00:00:00"/>
    <s v="B"/>
    <x v="8"/>
    <x v="25"/>
    <m/>
    <s v="LZ1"/>
    <s v="NIPPLE S TYPE S SIZE PUNCHED LASER MARKED"/>
    <s v="HEJ22BH22"/>
    <s v="Badelal"/>
    <n v="2"/>
    <n v="1750"/>
    <n v="875"/>
    <n v="2040"/>
    <n v="2040"/>
    <n v="0"/>
    <n v="0"/>
    <n v="0"/>
    <n v="0"/>
    <n v="0"/>
    <n v="0"/>
    <n v="1"/>
    <n v="2040"/>
    <n v="1.1657142857142857"/>
    <x v="20"/>
    <n v="0"/>
    <n v="0"/>
    <s v=" "/>
    <n v="0"/>
    <n v="0"/>
    <n v="1"/>
    <n v="0.66666666666666663"/>
    <n v="1.3333333333333335"/>
    <n v="0.66666666666666674"/>
    <n v="1020"/>
    <n v="3.5"/>
    <n v="2.3529411764705888"/>
    <n v="1.4874999999999996"/>
    <n v="0.99166666666666647"/>
  </r>
  <r>
    <x v="2"/>
    <d v="2021-10-22T00:00:00"/>
    <s v="B"/>
    <x v="6"/>
    <x v="21"/>
    <m/>
    <m/>
    <s v="KPP 240 ML BOTTLE PRINTED"/>
    <s v="EJ22Bb2J22Pb"/>
    <s v="Badelal"/>
    <n v="8"/>
    <n v="5100"/>
    <n v="637.5"/>
    <n v="5426"/>
    <n v="5400"/>
    <n v="0"/>
    <n v="0"/>
    <n v="43"/>
    <n v="0"/>
    <n v="26"/>
    <n v="0"/>
    <n v="6"/>
    <n v="900"/>
    <n v="1.0588235294117647"/>
    <x v="16"/>
    <n v="0"/>
    <n v="0"/>
    <s v=" "/>
    <n v="4.7917434574272022E-3"/>
    <n v="0"/>
    <n v="0.99520825654257283"/>
    <n v="0"/>
    <n v="8"/>
    <n v="1"/>
    <n v="675"/>
    <n v="32.4"/>
    <n v="32"/>
    <n v="1.0125"/>
    <n v="1.0076483597493548"/>
  </r>
  <r>
    <x v="2"/>
    <d v="2021-10-22T00:00:00"/>
    <s v="C"/>
    <x v="0"/>
    <x v="10"/>
    <s v="M2"/>
    <s v="L2"/>
    <s v="NIPPLE S TYPE S SIZE INJECTION"/>
    <s v="HEJ22Nc"/>
    <s v="Nitin"/>
    <n v="8"/>
    <n v="4815"/>
    <n v="601.875"/>
    <n v="5500"/>
    <n v="5400"/>
    <n v="0"/>
    <n v="40"/>
    <n v="0"/>
    <n v="0"/>
    <n v="60"/>
    <n v="0"/>
    <n v="1"/>
    <n v="5400"/>
    <n v="1.1214953271028036"/>
    <x v="0"/>
    <n v="6.8"/>
    <n v="37.4"/>
    <n v="0.98181818181818181"/>
    <n v="1.098901098901099E-2"/>
    <n v="7.2202166064981952E-3"/>
    <n v="0.98909090909090913"/>
    <n v="0"/>
    <n v="8"/>
    <n v="1"/>
    <n v="675"/>
    <n v="5.25"/>
    <n v="5.333333333333333"/>
    <n v="0.984375"/>
    <n v="0.97363636363636363"/>
  </r>
  <r>
    <x v="2"/>
    <d v="2021-10-22T00:00:00"/>
    <s v="C"/>
    <x v="9"/>
    <x v="31"/>
    <m/>
    <s v="INJ1"/>
    <s v="HOOD S TYPE MOLDED"/>
    <s v="EJ22Hc"/>
    <s v="Nitin"/>
    <n v="8"/>
    <n v="4137"/>
    <n v="517.125"/>
    <n v="4524"/>
    <n v="4500"/>
    <n v="0"/>
    <n v="0"/>
    <n v="0"/>
    <n v="0"/>
    <n v="16"/>
    <n v="8"/>
    <n v="1"/>
    <n v="4500"/>
    <n v="1.0877447425670776"/>
    <x v="1"/>
    <n v="8.6"/>
    <n v="38.906399999999998"/>
    <n v="0.99469496021220172"/>
    <n v="3.5429583702391498E-3"/>
    <n v="0"/>
    <n v="0.99646330680813444"/>
    <n v="0.66666666666666663"/>
    <n v="7.333333333333333"/>
    <n v="0.91666666666666663"/>
    <n v="562.5"/>
    <n v="6"/>
    <n v="5.8666666666666663"/>
    <n v="1.0227272727272727"/>
    <n v="0.93418435013262602"/>
  </r>
  <r>
    <x v="2"/>
    <d v="2021-10-22T00:00:00"/>
    <s v="C"/>
    <x v="1"/>
    <x v="18"/>
    <s v="BM3"/>
    <s v="B2"/>
    <s v="KPP 240 ML BOTTLE MOLDED"/>
    <s v="EJ22Bc2"/>
    <s v="Nitin"/>
    <n v="8"/>
    <n v="2574"/>
    <n v="321.75"/>
    <n v="2704"/>
    <n v="2592"/>
    <n v="0.32"/>
    <n v="36"/>
    <n v="0"/>
    <n v="0"/>
    <n v="68"/>
    <n v="8"/>
    <n v="1"/>
    <n v="2592"/>
    <n v="1.0069930069930071"/>
    <x v="1"/>
    <n v="32.1"/>
    <n v="87.118400000000008"/>
    <n v="0.95505886242171578"/>
    <n v="2.5563909774436091E-2"/>
    <n v="1.3138686131386862E-2"/>
    <n v="0.9748520710059172"/>
    <n v="1"/>
    <n v="7"/>
    <n v="0.875"/>
    <n v="324"/>
    <n v="9"/>
    <n v="9.7222222222222214"/>
    <n v="0.92571428571428582"/>
    <n v="0.78963017751479303"/>
  </r>
  <r>
    <x v="2"/>
    <d v="2021-10-23T00:00:00"/>
    <s v="A"/>
    <x v="1"/>
    <x v="18"/>
    <s v="BM3"/>
    <s v="B2"/>
    <s v="KPP 240 ML BOTTLE MOLDED"/>
    <s v="EJ23Ba2"/>
    <s v="Saurabh"/>
    <n v="6"/>
    <n v="2000"/>
    <n v="333.33333333333331"/>
    <n v="2256"/>
    <n v="2160"/>
    <n v="0.25"/>
    <n v="33"/>
    <n v="0"/>
    <n v="0"/>
    <n v="55"/>
    <n v="8"/>
    <n v="1"/>
    <n v="2160"/>
    <n v="1.08"/>
    <x v="1"/>
    <n v="32.1"/>
    <n v="72.667600000000007"/>
    <n v="0.95415288244004215"/>
    <n v="2.4830699774266364E-2"/>
    <n v="1.4416775884665793E-2"/>
    <n v="0.97562056737588654"/>
    <n v="0"/>
    <n v="6"/>
    <n v="1"/>
    <n v="360"/>
    <n v="9"/>
    <n v="10"/>
    <n v="0.9"/>
    <n v="0.87805851063829787"/>
  </r>
  <r>
    <x v="2"/>
    <d v="2021-10-23T00:00:00"/>
    <s v="A"/>
    <x v="0"/>
    <x v="10"/>
    <s v="M2"/>
    <s v="L2"/>
    <s v="NIPPLE S TYPE S SIZE INJECTION"/>
    <s v="HEJ23Na"/>
    <s v="Saurabh"/>
    <n v="6"/>
    <n v="3600"/>
    <n v="600"/>
    <n v="3735"/>
    <n v="3650"/>
    <n v="0.4"/>
    <n v="37"/>
    <n v="0"/>
    <n v="0"/>
    <n v="40"/>
    <n v="8"/>
    <n v="1"/>
    <n v="3650"/>
    <n v="1.0138888888888888"/>
    <x v="0"/>
    <n v="6.8"/>
    <n v="25.797999999999998"/>
    <n v="0.96209008450267475"/>
    <n v="1.0840108401084011E-2"/>
    <n v="9.8091198303287379E-3"/>
    <n v="0.98929049531459168"/>
    <n v="0"/>
    <n v="6"/>
    <n v="1"/>
    <n v="608.33333333333337"/>
    <n v="5.25"/>
    <n v="5.9178082191780819"/>
    <n v="0.88715277777777779"/>
    <n v="0.87765181094749367"/>
  </r>
  <r>
    <x v="2"/>
    <d v="2021-10-23T00:00:00"/>
    <s v="G"/>
    <x v="4"/>
    <x v="16"/>
    <m/>
    <m/>
    <s v="NIPPLE S TYPE S SIZE PUNCHED INSPECTED"/>
    <s v="HEJ22BH22"/>
    <s v="Badelal"/>
    <n v="2"/>
    <n v="3534"/>
    <n v="1767"/>
    <n v="3032"/>
    <n v="2992"/>
    <n v="0"/>
    <n v="0"/>
    <n v="0"/>
    <n v="0"/>
    <n v="40"/>
    <n v="0"/>
    <n v="1"/>
    <n v="2992"/>
    <n v="0.84663271080928126"/>
    <x v="13"/>
    <n v="0"/>
    <n v="0"/>
    <s v=" "/>
    <n v="1.3192612137203167E-2"/>
    <n v="0"/>
    <n v="0.98680738786279687"/>
    <n v="0"/>
    <n v="2"/>
    <n v="1"/>
    <n v="1496"/>
    <n v="4"/>
    <n v="2.4064171122994651"/>
    <n v="1.6622222222222223"/>
    <n v="1.6402931691586047"/>
  </r>
  <r>
    <x v="2"/>
    <d v="2021-10-23T00:00:00"/>
    <s v="G"/>
    <x v="4"/>
    <x v="4"/>
    <m/>
    <m/>
    <s v="NIPPLE S TYPE M SIZE PUNCHED INSPECTED"/>
    <s v="HEJ21AH22"/>
    <s v="Badelal"/>
    <n v="2"/>
    <n v="3534"/>
    <n v="1767"/>
    <n v="2497"/>
    <n v="2436"/>
    <n v="0"/>
    <n v="0"/>
    <n v="0"/>
    <n v="0"/>
    <n v="61"/>
    <n v="0"/>
    <n v="1"/>
    <n v="2436"/>
    <n v="0.68930390492359928"/>
    <x v="4"/>
    <n v="0"/>
    <n v="0"/>
    <s v=" "/>
    <n v="2.4429315178213857E-2"/>
    <n v="0"/>
    <n v="0.9755706848217861"/>
    <n v="0"/>
    <n v="2"/>
    <n v="1"/>
    <n v="1218"/>
    <n v="4"/>
    <n v="2.9556650246305418"/>
    <n v="1.3533333333333333"/>
    <n v="1.3202723267921506"/>
  </r>
  <r>
    <x v="2"/>
    <d v="2021-10-23T00:00:00"/>
    <s v="G"/>
    <x v="7"/>
    <x v="24"/>
    <m/>
    <s v="WR1"/>
    <s v="NIPPLE S TYPE M SIZE WITH PRINTED WRAP"/>
    <s v="HEJ18CH22"/>
    <s v="Saurabh"/>
    <n v="4"/>
    <n v="8000"/>
    <n v="2000"/>
    <n v="8142"/>
    <n v="8139"/>
    <n v="0"/>
    <n v="0"/>
    <n v="0"/>
    <n v="0"/>
    <n v="3"/>
    <n v="0"/>
    <n v="2"/>
    <n v="4069.5"/>
    <n v="1.0173749999999999"/>
    <x v="19"/>
    <n v="0"/>
    <n v="0"/>
    <s v=" "/>
    <n v="3.6845983787767134E-4"/>
    <n v="0"/>
    <n v="0.9996315401621223"/>
    <n v="0"/>
    <n v="4"/>
    <n v="1"/>
    <n v="2034.75"/>
    <n v="2.5"/>
    <n v="3.5385182454847031"/>
    <n v="0.7065104166666667"/>
    <n v="0.70625009595308275"/>
  </r>
  <r>
    <x v="2"/>
    <d v="2021-10-23T00:00:00"/>
    <s v="A"/>
    <x v="9"/>
    <x v="31"/>
    <m/>
    <s v="INJ1"/>
    <s v="HOOD S TYPE MOLDED"/>
    <s v="EJ23Ha"/>
    <s v="Badelal"/>
    <n v="7"/>
    <n v="3600"/>
    <n v="514.28571428571433"/>
    <n v="3683"/>
    <n v="3675"/>
    <n v="0"/>
    <n v="0"/>
    <n v="0"/>
    <n v="0"/>
    <n v="8"/>
    <n v="0"/>
    <n v="1"/>
    <n v="3675"/>
    <n v="1.0208333333333333"/>
    <x v="1"/>
    <n v="8.6"/>
    <n v="31.6738"/>
    <n v="0.99782785772468097"/>
    <n v="2.1721422753190334E-3"/>
    <n v="0"/>
    <n v="0.99782785772468097"/>
    <n v="1"/>
    <n v="6"/>
    <n v="0.8571428571428571"/>
    <n v="525"/>
    <n v="6"/>
    <n v="5.8775510204081636"/>
    <n v="1.0208333333333333"/>
    <n v="0.87309937550909567"/>
  </r>
  <r>
    <x v="2"/>
    <d v="2021-10-23T00:00:00"/>
    <s v="A"/>
    <x v="3"/>
    <x v="15"/>
    <m/>
    <s v="P1"/>
    <s v="NIPPLE S TYPE S SIZE PUNCHED"/>
    <s v="HEJ22Nbj23Pa"/>
    <s v="Badelal"/>
    <n v="7"/>
    <n v="6000"/>
    <n v="857.14285714285711"/>
    <n v="5400"/>
    <n v="5400"/>
    <n v="0"/>
    <n v="0"/>
    <n v="0"/>
    <n v="0"/>
    <n v="0"/>
    <n v="0"/>
    <n v="1"/>
    <n v="5400"/>
    <n v="0.9"/>
    <x v="12"/>
    <n v="0"/>
    <n v="0"/>
    <s v=" "/>
    <n v="0"/>
    <n v="0"/>
    <n v="1"/>
    <n v="1"/>
    <n v="6"/>
    <n v="0.8571428571428571"/>
    <n v="771.42857142857144"/>
    <n v="3.5"/>
    <n v="4"/>
    <n v="0.875"/>
    <n v="0.75"/>
  </r>
  <r>
    <x v="2"/>
    <d v="2021-10-23T00:00:00"/>
    <s v="A"/>
    <x v="8"/>
    <x v="25"/>
    <m/>
    <s v="LZ1"/>
    <s v="NIPPLE S TYPE S SIZE PUNCHED LASER MARKED"/>
    <s v="HEJ22BH22"/>
    <s v="Badelal"/>
    <n v="7"/>
    <n v="6000"/>
    <n v="857.14285714285711"/>
    <n v="4952"/>
    <n v="4952"/>
    <n v="0"/>
    <n v="0"/>
    <n v="0"/>
    <n v="0"/>
    <n v="0"/>
    <n v="0"/>
    <n v="1"/>
    <n v="4952"/>
    <n v="0.82533333333333336"/>
    <x v="20"/>
    <n v="0"/>
    <n v="0"/>
    <s v=" "/>
    <n v="0"/>
    <n v="0"/>
    <n v="1"/>
    <n v="0.5"/>
    <n v="6.5"/>
    <n v="0.9285714285714286"/>
    <n v="707.42857142857144"/>
    <n v="3.5"/>
    <n v="4.725363489499192"/>
    <n v="0.74068376068376074"/>
    <n v="0.68777777777777782"/>
  </r>
  <r>
    <x v="2"/>
    <d v="2021-10-23T00:00:00"/>
    <s v="A"/>
    <x v="6"/>
    <x v="21"/>
    <m/>
    <m/>
    <s v="KPP 240 ML BOTTLE PRINTED"/>
    <s v="EJ22Bb2J22Pb"/>
    <s v="Pintu"/>
    <n v="6.5"/>
    <n v="4160"/>
    <n v="640"/>
    <n v="3917"/>
    <n v="3888"/>
    <n v="0"/>
    <n v="0"/>
    <n v="28"/>
    <n v="0"/>
    <n v="29"/>
    <n v="0"/>
    <n v="5"/>
    <n v="777.6"/>
    <n v="0.93461538461538463"/>
    <x v="16"/>
    <n v="0"/>
    <n v="0"/>
    <s v=" "/>
    <n v="7.4036252233852439E-3"/>
    <n v="0"/>
    <n v="0.99259637477661478"/>
    <n v="0.16666666666666666"/>
    <n v="6.333333333333333"/>
    <n v="0.97435897435897434"/>
    <n v="598.15384615384619"/>
    <n v="32.4"/>
    <n v="29.320987654320984"/>
    <n v="1.1050105263157897"/>
    <n v="1.068705610651794"/>
  </r>
  <r>
    <x v="2"/>
    <d v="2021-10-25T00:00:00"/>
    <s v="A"/>
    <x v="1"/>
    <x v="18"/>
    <s v="BM3"/>
    <s v="B2"/>
    <s v="KPP 240 ML BOTTLE MOLDED"/>
    <s v="EJ25Ba2"/>
    <s v="Himanshu"/>
    <n v="8"/>
    <n v="2040"/>
    <n v="255"/>
    <n v="2130"/>
    <n v="2052"/>
    <n v="0.12"/>
    <n v="30"/>
    <n v="0"/>
    <n v="0"/>
    <n v="40"/>
    <n v="8"/>
    <n v="1"/>
    <n v="2052"/>
    <n v="1.0058823529411764"/>
    <x v="1"/>
    <n v="32.1"/>
    <n v="68.493000000000009"/>
    <n v="0.96169243572335861"/>
    <n v="1.9120458891013385E-2"/>
    <n v="1.3888888888888888E-2"/>
    <n v="0.98122065727699526"/>
    <n v="2"/>
    <n v="6"/>
    <n v="0.75"/>
    <n v="256.5"/>
    <n v="9"/>
    <n v="10.526315789473685"/>
    <n v="0.85499999999999998"/>
    <n v="0.62920774647887323"/>
  </r>
  <r>
    <x v="2"/>
    <d v="2021-10-25T00:00:00"/>
    <s v="A"/>
    <x v="0"/>
    <x v="10"/>
    <s v="M2"/>
    <s v="L2"/>
    <s v="NIPPLE S TYPE S SIZE INJECTION"/>
    <s v="HEJ25Na"/>
    <s v="Himanshu"/>
    <n v="8"/>
    <n v="3600"/>
    <n v="450"/>
    <n v="3443"/>
    <n v="3300"/>
    <n v="1.1200000000000001"/>
    <n v="73"/>
    <n v="0"/>
    <n v="0"/>
    <n v="62"/>
    <n v="8"/>
    <n v="1"/>
    <n v="3300"/>
    <n v="0.91666666666666663"/>
    <x v="0"/>
    <n v="6.8"/>
    <n v="24.532399999999999"/>
    <n v="0.91470871174446844"/>
    <n v="1.8441403926234383E-2"/>
    <n v="2.0762229806598406E-2"/>
    <n v="0.98199244844612255"/>
    <n v="2.5"/>
    <n v="5.5"/>
    <n v="0.6875"/>
    <n v="412.5"/>
    <n v="5.25"/>
    <n v="6"/>
    <n v="0.875"/>
    <n v="0.59072983226837061"/>
  </r>
  <r>
    <x v="2"/>
    <d v="2021-10-25T00:00:00"/>
    <s v="A"/>
    <x v="9"/>
    <x v="31"/>
    <m/>
    <s v="INJ1"/>
    <s v="HOOD S TYPE MOLDED"/>
    <s v="EJ25Ha"/>
    <s v="Himanshu"/>
    <n v="8"/>
    <n v="3600"/>
    <n v="450"/>
    <n v="4030"/>
    <n v="4000"/>
    <n v="0.1"/>
    <n v="18"/>
    <n v="0"/>
    <n v="0"/>
    <n v="4"/>
    <n v="8"/>
    <n v="1"/>
    <n v="4000"/>
    <n v="1.1111111111111112"/>
    <x v="1"/>
    <n v="8.6"/>
    <n v="34.758000000000003"/>
    <n v="0.98970021290062704"/>
    <n v="9.99000999000999E-4"/>
    <n v="4.4466403162055339E-3"/>
    <n v="0.99900744416873444"/>
    <n v="1.3333333333333333"/>
    <n v="6.666666666666667"/>
    <n v="0.83333333333333337"/>
    <n v="500"/>
    <n v="6"/>
    <n v="6"/>
    <n v="1"/>
    <n v="0.83250620347394544"/>
  </r>
  <r>
    <x v="2"/>
    <d v="2021-10-25T00:00:00"/>
    <s v="A"/>
    <x v="3"/>
    <x v="15"/>
    <m/>
    <s v="P1"/>
    <s v="NIPPLE S TYPE S SIZE PUNCHED"/>
    <s v="HEJ22NcJ25Pa"/>
    <s v="Himanshu"/>
    <n v="8"/>
    <n v="7000"/>
    <n v="875"/>
    <n v="6650"/>
    <n v="6650"/>
    <n v="0"/>
    <n v="0"/>
    <n v="0"/>
    <n v="0"/>
    <n v="0"/>
    <n v="0"/>
    <n v="1"/>
    <n v="6650"/>
    <n v="0.95"/>
    <x v="12"/>
    <n v="0"/>
    <n v="0"/>
    <s v=" "/>
    <n v="0"/>
    <n v="0"/>
    <n v="1"/>
    <n v="0.83333333333333337"/>
    <n v="7.166666666666667"/>
    <n v="0.89583333333333337"/>
    <n v="831.25"/>
    <n v="3.5"/>
    <n v="3.8796992481203008"/>
    <n v="0.90213178294573648"/>
    <n v="0.80815972222222232"/>
  </r>
  <r>
    <x v="2"/>
    <d v="2021-10-25T00:00:00"/>
    <s v="A"/>
    <x v="8"/>
    <x v="25"/>
    <m/>
    <s v="LZ1"/>
    <s v="NIPPLE S TYPE S SIZE PUNCHED LASER MARKED"/>
    <m/>
    <s v="Himanshu"/>
    <n v="8"/>
    <n v="7000"/>
    <n v="875"/>
    <n v="7050"/>
    <n v="7050"/>
    <n v="0"/>
    <n v="0"/>
    <n v="0"/>
    <n v="0"/>
    <n v="0"/>
    <n v="0"/>
    <n v="1"/>
    <n v="7050"/>
    <n v="1.0071428571428571"/>
    <x v="20"/>
    <n v="0"/>
    <n v="0"/>
    <s v=" "/>
    <n v="0"/>
    <n v="0"/>
    <n v="1"/>
    <n v="0.83333333333333337"/>
    <n v="7.166666666666667"/>
    <n v="0.89583333333333337"/>
    <n v="881.25"/>
    <n v="3.5"/>
    <n v="3.6595744680851063"/>
    <n v="0.95639534883720934"/>
    <n v="0.85677083333333337"/>
  </r>
  <r>
    <x v="2"/>
    <d v="2021-10-25T00:00:00"/>
    <s v="A"/>
    <x v="6"/>
    <x v="21"/>
    <m/>
    <m/>
    <s v="KPP 240 ML BOTTLE PRINTED"/>
    <s v="EJ23Ba2J25Pa"/>
    <s v="Himanshu"/>
    <n v="8"/>
    <n v="5120"/>
    <n v="640"/>
    <n v="3265"/>
    <n v="3240"/>
    <n v="0"/>
    <n v="0"/>
    <n v="92"/>
    <n v="0"/>
    <n v="25"/>
    <n v="0"/>
    <n v="4"/>
    <n v="810"/>
    <n v="0.6328125"/>
    <x v="16"/>
    <n v="0"/>
    <n v="0"/>
    <s v=" "/>
    <n v="7.656967840735069E-3"/>
    <n v="0"/>
    <n v="0.99234303215926489"/>
    <n v="0.66666666666666663"/>
    <n v="7.333333333333333"/>
    <n v="0.91666666666666663"/>
    <n v="405"/>
    <n v="32.4"/>
    <n v="32.592592592592595"/>
    <n v="0.99409090909090891"/>
    <n v="0.90427258805512989"/>
  </r>
  <r>
    <x v="2"/>
    <d v="2021-10-25T00:00:00"/>
    <s v="G"/>
    <x v="7"/>
    <x v="71"/>
    <m/>
    <s v="WR1"/>
    <s v="NIPPLE S TYPE Y SIZE WITH PRINTED WRAP"/>
    <s v="HEJ21AH22"/>
    <s v="Badelal"/>
    <n v="4"/>
    <n v="8000"/>
    <n v="2000"/>
    <n v="3473"/>
    <n v="3470"/>
    <n v="0"/>
    <n v="0"/>
    <n v="0"/>
    <n v="0"/>
    <n v="3"/>
    <n v="0"/>
    <n v="2"/>
    <n v="1735"/>
    <n v="0.43375000000000002"/>
    <x v="43"/>
    <n v="0"/>
    <n v="0"/>
    <s v=" "/>
    <n v="8.6380650734235536E-4"/>
    <n v="0"/>
    <n v="0.9991361934926577"/>
    <n v="2.6666666666666665"/>
    <n v="1.3333333333333335"/>
    <n v="0.33333333333333337"/>
    <n v="867.5"/>
    <n v="2.5"/>
    <n v="2.7665706051873205"/>
    <n v="0.90364583333333315"/>
    <n v="0.30095508606072235"/>
  </r>
  <r>
    <x v="2"/>
    <d v="2021-10-25T00:00:00"/>
    <s v="G"/>
    <x v="7"/>
    <x v="33"/>
    <m/>
    <s v="WR1"/>
    <s v="NIPPLE S TYPE S SIZE WITH PRINTED WRAP"/>
    <s v="HEJ25AH22"/>
    <s v="Badelal"/>
    <n v="4.5"/>
    <n v="8134"/>
    <n v="1807.5555555555557"/>
    <n v="5936"/>
    <n v="5934"/>
    <n v="0"/>
    <n v="0"/>
    <n v="0"/>
    <n v="0"/>
    <n v="2"/>
    <n v="0"/>
    <n v="2"/>
    <n v="2967"/>
    <n v="0.72953036636341284"/>
    <x v="27"/>
    <n v="0"/>
    <n v="0"/>
    <s v=" "/>
    <n v="3.3692722371967657E-4"/>
    <n v="0"/>
    <n v="0.9996630727762803"/>
    <n v="2.1666666666666665"/>
    <n v="2.3333333333333335"/>
    <n v="0.5185185185185186"/>
    <n v="1318.6666666666667"/>
    <n v="2.5"/>
    <n v="2.8311425682507583"/>
    <n v="0.88303571428571426"/>
    <n v="0.45771610137765806"/>
  </r>
  <r>
    <x v="2"/>
    <d v="2021-10-25T00:00:00"/>
    <s v="G"/>
    <x v="4"/>
    <x v="16"/>
    <m/>
    <m/>
    <s v="NIPPLE S TYPE S SIZE PUNCHED INSPECTED"/>
    <s v="HEJ22BH22"/>
    <s v="Badelal"/>
    <n v="8"/>
    <n v="14000"/>
    <n v="1750"/>
    <n v="13347"/>
    <n v="13323"/>
    <n v="0"/>
    <n v="0"/>
    <n v="0"/>
    <n v="0"/>
    <n v="24"/>
    <n v="0"/>
    <n v="1"/>
    <n v="13323"/>
    <n v="0.95164285714285712"/>
    <x v="13"/>
    <n v="0"/>
    <n v="0"/>
    <s v=" "/>
    <n v="1.7981568891885817E-3"/>
    <n v="0"/>
    <n v="0.99820184311081139"/>
    <n v="0.83333333333333337"/>
    <n v="7.166666666666667"/>
    <n v="0.89583333333333337"/>
    <n v="1665.375"/>
    <n v="4"/>
    <n v="1.9365007881107859"/>
    <n v="2.0655813953488371"/>
    <n v="1.8470893271896305"/>
  </r>
  <r>
    <x v="2"/>
    <d v="2021-10-25T00:00:00"/>
    <s v="B"/>
    <x v="3"/>
    <x v="15"/>
    <m/>
    <s v="P1"/>
    <s v="NIPPLE S TYPE S SIZE PUNCHED"/>
    <s v="HEJ25NaJ25Pb"/>
    <s v="Badelal"/>
    <n v="8"/>
    <n v="7000"/>
    <n v="875"/>
    <n v="6300"/>
    <n v="6300"/>
    <n v="0"/>
    <n v="0"/>
    <n v="0"/>
    <n v="0"/>
    <n v="0"/>
    <n v="0"/>
    <n v="1"/>
    <n v="6300"/>
    <n v="0.9"/>
    <x v="12"/>
    <n v="0"/>
    <n v="0"/>
    <s v=" "/>
    <n v="0"/>
    <n v="0"/>
    <n v="1"/>
    <n v="1.6666666666666667"/>
    <n v="6.333333333333333"/>
    <n v="0.79166666666666663"/>
    <n v="787.5"/>
    <n v="3.5"/>
    <n v="3.6190476190476191"/>
    <n v="0.96710526315789469"/>
    <n v="0.76562499999999989"/>
  </r>
  <r>
    <x v="2"/>
    <d v="2021-10-25T00:00:00"/>
    <s v="B"/>
    <x v="8"/>
    <x v="25"/>
    <m/>
    <s v="LZ1"/>
    <s v="NIPPLE S TYPE S SIZE PUNCHED LASER MARKED"/>
    <s v="HEJ25AH22"/>
    <s v="Badelal"/>
    <n v="8"/>
    <n v="7000"/>
    <n v="875"/>
    <n v="6300"/>
    <n v="6300"/>
    <n v="0"/>
    <n v="0"/>
    <n v="0"/>
    <n v="0"/>
    <n v="0"/>
    <n v="0"/>
    <n v="1"/>
    <n v="6300"/>
    <n v="0.9"/>
    <x v="20"/>
    <n v="0"/>
    <n v="0"/>
    <s v=" "/>
    <n v="0"/>
    <n v="0"/>
    <n v="1"/>
    <n v="1.6666666666666667"/>
    <n v="6.333333333333333"/>
    <n v="0.79166666666666663"/>
    <n v="787.5"/>
    <n v="3.5"/>
    <n v="3.6190476190476191"/>
    <n v="0.96710526315789469"/>
    <n v="0.76562499999999989"/>
  </r>
  <r>
    <x v="2"/>
    <d v="2021-10-25T00:00:00"/>
    <s v="B"/>
    <x v="0"/>
    <x v="10"/>
    <s v="M2"/>
    <s v="L2"/>
    <s v="NIPPLE S TYPE S SIZE INJECTION"/>
    <s v="HEJ25Nb"/>
    <s v="Badelal"/>
    <n v="8"/>
    <n v="4815"/>
    <n v="601.875"/>
    <n v="5190"/>
    <n v="5000"/>
    <n v="0"/>
    <n v="90"/>
    <n v="0"/>
    <n v="0"/>
    <n v="100"/>
    <n v="0"/>
    <n v="1"/>
    <n v="5000"/>
    <n v="1.0384215991692627"/>
    <x v="0"/>
    <n v="6.8"/>
    <n v="35.291999999999994"/>
    <n v="0.96339113680154154"/>
    <n v="1.9607843137254902E-2"/>
    <n v="1.7045454545454544E-2"/>
    <n v="0.98073217726396922"/>
    <n v="0"/>
    <n v="8"/>
    <n v="1"/>
    <n v="625"/>
    <n v="5.25"/>
    <n v="5.76"/>
    <n v="0.91145833333333337"/>
    <n v="0.89389651573538864"/>
  </r>
  <r>
    <x v="2"/>
    <d v="2021-10-25T00:00:00"/>
    <s v="B"/>
    <x v="9"/>
    <x v="31"/>
    <m/>
    <s v="INJ1"/>
    <s v="HOOD S TYPE MOLDED"/>
    <s v="EJ25Hb"/>
    <s v="Badelal"/>
    <n v="8"/>
    <n v="4137"/>
    <n v="517.125"/>
    <n v="4540"/>
    <n v="4500"/>
    <n v="0"/>
    <n v="24"/>
    <n v="0"/>
    <n v="0"/>
    <n v="16"/>
    <n v="0"/>
    <n v="1"/>
    <n v="4500"/>
    <n v="1.0877447425670776"/>
    <x v="1"/>
    <n v="8.6"/>
    <n v="39.043999999999997"/>
    <n v="0.99118942731277548"/>
    <n v="3.5429583702391498E-3"/>
    <n v="5.2585451358457495E-3"/>
    <n v="0.99647577092511008"/>
    <n v="0.66666666666666663"/>
    <n v="7.333333333333333"/>
    <n v="0.91666666666666663"/>
    <n v="562.5"/>
    <n v="6"/>
    <n v="5.8666666666666663"/>
    <n v="1.0227272727272727"/>
    <n v="0.93419603524229067"/>
  </r>
  <r>
    <x v="2"/>
    <d v="2021-10-25T00:00:00"/>
    <s v="B"/>
    <x v="1"/>
    <x v="18"/>
    <s v="BM3"/>
    <s v="B2"/>
    <s v="KPP 240 ML BOTTLE MOLDED"/>
    <s v="EJ25Bb2"/>
    <s v="Badelal"/>
    <n v="8"/>
    <n v="2574"/>
    <n v="321.75"/>
    <n v="2826"/>
    <n v="2700"/>
    <n v="0"/>
    <n v="60"/>
    <n v="0"/>
    <n v="0"/>
    <n v="66"/>
    <n v="0"/>
    <n v="1"/>
    <n v="2700"/>
    <n v="1.048951048951049"/>
    <x v="1"/>
    <n v="32.1"/>
    <n v="90.714600000000004"/>
    <n v="0.95541401273885362"/>
    <n v="2.3861171366594359E-2"/>
    <n v="2.0790020790020791E-2"/>
    <n v="0.97664543524416136"/>
    <n v="0"/>
    <n v="8"/>
    <n v="1"/>
    <n v="337.5"/>
    <n v="9"/>
    <n v="10.666666666666666"/>
    <n v="0.84375"/>
    <n v="0.82404458598726116"/>
  </r>
  <r>
    <x v="2"/>
    <d v="2021-10-25T00:00:00"/>
    <s v="B"/>
    <x v="6"/>
    <x v="21"/>
    <m/>
    <m/>
    <s v="KPP 240 ML BOTTLE PRINTED"/>
    <s v="EJ23Ba2J25Pb"/>
    <s v="Badelal"/>
    <n v="8"/>
    <n v="5120"/>
    <n v="640"/>
    <n v="4743"/>
    <n v="4709"/>
    <n v="0"/>
    <n v="0"/>
    <n v="38"/>
    <n v="0"/>
    <n v="34"/>
    <n v="0"/>
    <n v="5"/>
    <n v="941.8"/>
    <n v="0.91972656249999996"/>
    <x v="16"/>
    <n v="0"/>
    <n v="0"/>
    <s v=" "/>
    <n v="7.1684587813620072E-3"/>
    <n v="0"/>
    <n v="0.99283154121863804"/>
    <n v="0.66666666666666663"/>
    <n v="7.333333333333333"/>
    <n v="0.91666666666666663"/>
    <n v="588.625"/>
    <n v="32.4"/>
    <n v="28.031429178169464"/>
    <n v="1.1558454545454544"/>
    <n v="1.0519298387096772"/>
  </r>
  <r>
    <x v="2"/>
    <d v="2021-10-25T00:00:00"/>
    <s v="C"/>
    <x v="1"/>
    <x v="18"/>
    <s v="BM3"/>
    <s v="B2"/>
    <s v="KPP 240 ML BOTTLE MOLDED"/>
    <s v="EJ25Bc2"/>
    <s v="Saurabh"/>
    <n v="8"/>
    <n v="2574"/>
    <n v="321.75"/>
    <n v="3142"/>
    <n v="3024"/>
    <n v="0.3"/>
    <n v="40"/>
    <n v="0"/>
    <n v="0"/>
    <n v="70"/>
    <n v="8"/>
    <n v="1"/>
    <n v="3024"/>
    <n v="1.1748251748251748"/>
    <x v="1"/>
    <n v="32.1"/>
    <n v="101.15820000000001"/>
    <n v="0.95959002829231832"/>
    <n v="2.2624434389140271E-2"/>
    <n v="1.257071024512885E-2"/>
    <n v="0.97772119669000634"/>
    <n v="0"/>
    <n v="8"/>
    <n v="1"/>
    <n v="378"/>
    <n v="9"/>
    <n v="9.5238095238095237"/>
    <n v="0.94500000000000006"/>
    <n v="0.92394653087205603"/>
  </r>
  <r>
    <x v="2"/>
    <d v="2021-10-25T00:00:00"/>
    <s v="C"/>
    <x v="9"/>
    <x v="31"/>
    <m/>
    <s v="INJ1"/>
    <s v="HOOD S TYPE MOLDED"/>
    <s v="EJ25Hc"/>
    <s v="Saurabh"/>
    <n v="8"/>
    <n v="4137"/>
    <n v="517.125"/>
    <n v="5029"/>
    <n v="5000"/>
    <n v="0"/>
    <n v="16"/>
    <n v="0"/>
    <n v="0"/>
    <n v="5"/>
    <n v="8"/>
    <n v="1"/>
    <n v="5000"/>
    <n v="1.2086052695189751"/>
    <x v="1"/>
    <n v="8.6"/>
    <n v="43.249400000000001"/>
    <n v="0.9942334460131238"/>
    <n v="9.99000999000999E-4"/>
    <n v="3.1714568880079285E-3"/>
    <n v="0.99900576655398687"/>
    <n v="0"/>
    <n v="8"/>
    <n v="1"/>
    <n v="625"/>
    <n v="6"/>
    <n v="5.76"/>
    <n v="1.0416666666666667"/>
    <n v="1.0406310068270697"/>
  </r>
  <r>
    <x v="2"/>
    <d v="2021-10-25T00:00:00"/>
    <s v="C"/>
    <x v="0"/>
    <x v="10"/>
    <s v="M2"/>
    <s v="L2"/>
    <s v="NIPPLE S TYPE S SIZE INJECTION"/>
    <s v="HEJ25Nc"/>
    <s v="Saurabh"/>
    <n v="8"/>
    <n v="4815"/>
    <n v="601.875"/>
    <n v="5127"/>
    <n v="5000"/>
    <n v="0"/>
    <n v="34"/>
    <n v="0"/>
    <n v="0"/>
    <n v="77"/>
    <n v="16"/>
    <n v="1"/>
    <n v="5000"/>
    <n v="1.0384215991692627"/>
    <x v="0"/>
    <n v="6.8"/>
    <n v="34.863599999999998"/>
    <n v="0.97522917885703142"/>
    <n v="1.5166436872168603E-2"/>
    <n v="6.587870567719434E-3"/>
    <n v="0.98498147064560171"/>
    <n v="0"/>
    <n v="8"/>
    <n v="1"/>
    <n v="625"/>
    <n v="5.25"/>
    <n v="5.76"/>
    <n v="0.91145833333333337"/>
    <n v="0.89776956959885579"/>
  </r>
  <r>
    <x v="2"/>
    <d v="2021-10-26T00:00:00"/>
    <s v="A"/>
    <x v="1"/>
    <x v="18"/>
    <s v="BM3"/>
    <s v="B2"/>
    <s v="KPP 240 ML BOTTLE MOLDED"/>
    <s v="EJ26Ba2"/>
    <s v="Saurabh"/>
    <n v="8"/>
    <n v="2574"/>
    <n v="321.75"/>
    <n v="3344"/>
    <n v="3240"/>
    <n v="0.2"/>
    <n v="20"/>
    <n v="0"/>
    <n v="0"/>
    <n v="76"/>
    <n v="8"/>
    <n v="1"/>
    <n v="3240"/>
    <n v="1.2587412587412588"/>
    <x v="1"/>
    <n v="32.1"/>
    <n v="107.54240000000001"/>
    <n v="0.96709762847025904"/>
    <n v="2.2919179734620022E-2"/>
    <n v="5.945303210463734E-3"/>
    <n v="0.97727272727272729"/>
    <n v="0"/>
    <n v="8"/>
    <n v="1"/>
    <n v="405"/>
    <n v="9"/>
    <n v="8.8888888888888893"/>
    <n v="1.0125"/>
    <n v="0.98948863636363638"/>
  </r>
  <r>
    <x v="2"/>
    <d v="2021-10-26T00:00:00"/>
    <s v="A"/>
    <x v="0"/>
    <x v="10"/>
    <s v="M2"/>
    <s v="L2"/>
    <s v="NIPPLE S TYPE S SIZE INJECTION"/>
    <s v="HEJ26Na"/>
    <s v="Saurabh"/>
    <n v="8"/>
    <n v="4815"/>
    <n v="601.875"/>
    <n v="4870"/>
    <n v="4750"/>
    <n v="0"/>
    <n v="50"/>
    <n v="0"/>
    <n v="0"/>
    <n v="62"/>
    <n v="8"/>
    <n v="1"/>
    <n v="4750"/>
    <n v="0.98650051921079962"/>
    <x v="0"/>
    <n v="6.8"/>
    <n v="33.116"/>
    <n v="0.97535934291581106"/>
    <n v="1.2884455527847049E-2"/>
    <n v="1.016260162601626E-2"/>
    <n v="0.98726899383983568"/>
    <n v="0"/>
    <n v="8"/>
    <n v="1"/>
    <n v="593.75"/>
    <n v="5.25"/>
    <n v="6.0631578947368423"/>
    <n v="0.86588541666666663"/>
    <n v="0.85486182409308686"/>
  </r>
  <r>
    <x v="2"/>
    <d v="2021-10-26T00:00:00"/>
    <s v="A"/>
    <x v="9"/>
    <x v="31"/>
    <m/>
    <s v="INJ1"/>
    <s v="HOOD S TYPE MOLDED"/>
    <s v="EJ26Ha"/>
    <s v="Saurabh"/>
    <n v="8"/>
    <n v="4137"/>
    <n v="517.125"/>
    <n v="5010"/>
    <n v="5000"/>
    <n v="0"/>
    <n v="0"/>
    <n v="0"/>
    <n v="0"/>
    <n v="2"/>
    <n v="8"/>
    <n v="1"/>
    <n v="5000"/>
    <n v="1.2086052695189751"/>
    <x v="1"/>
    <n v="8.6"/>
    <n v="43.085999999999999"/>
    <n v="0.99800399201596812"/>
    <n v="3.9984006397441024E-4"/>
    <n v="0"/>
    <n v="0.9996007984031936"/>
    <n v="0"/>
    <n v="8"/>
    <n v="1"/>
    <n v="625"/>
    <n v="6"/>
    <n v="5.76"/>
    <n v="1.0416666666666667"/>
    <n v="1.0412508316699933"/>
  </r>
  <r>
    <x v="2"/>
    <d v="2021-10-26T00:00:00"/>
    <s v="A"/>
    <x v="3"/>
    <x v="15"/>
    <m/>
    <s v="P1"/>
    <s v="NIPPLE S TYPE S SIZE PUNCHED"/>
    <s v="HEJ25NcH26Pa"/>
    <s v="Saurabh"/>
    <n v="8"/>
    <n v="7000"/>
    <n v="875"/>
    <n v="7000"/>
    <n v="7000"/>
    <n v="0"/>
    <n v="0"/>
    <n v="0"/>
    <n v="0"/>
    <n v="0"/>
    <n v="0"/>
    <n v="1"/>
    <n v="7000"/>
    <n v="1"/>
    <x v="12"/>
    <n v="0"/>
    <n v="0"/>
    <s v=" "/>
    <n v="0"/>
    <n v="0"/>
    <n v="1"/>
    <n v="0.66666666666666663"/>
    <n v="7.333333333333333"/>
    <n v="0.91666666666666663"/>
    <n v="875"/>
    <n v="3.5"/>
    <n v="3.7714285714285714"/>
    <n v="0.92803030303030309"/>
    <n v="0.85069444444444442"/>
  </r>
  <r>
    <x v="2"/>
    <d v="2021-10-26T00:00:00"/>
    <s v="A"/>
    <x v="8"/>
    <x v="25"/>
    <m/>
    <s v="LZ1"/>
    <s v="NIPPLE S TYPE S SIZE PUNCHED LASER MARKED"/>
    <s v="HEJ25BH22"/>
    <s v="Saurabh"/>
    <n v="8"/>
    <n v="7000"/>
    <n v="875"/>
    <n v="7000"/>
    <n v="7000"/>
    <n v="0"/>
    <n v="0"/>
    <n v="0"/>
    <n v="0"/>
    <n v="0"/>
    <n v="0"/>
    <n v="1"/>
    <n v="7000"/>
    <n v="1"/>
    <x v="20"/>
    <n v="0"/>
    <n v="0"/>
    <s v=" "/>
    <n v="0"/>
    <n v="0"/>
    <n v="1"/>
    <n v="0.66666666666666663"/>
    <n v="7.333333333333333"/>
    <n v="0.91666666666666663"/>
    <n v="875"/>
    <n v="3.5"/>
    <n v="3.7714285714285714"/>
    <n v="0.92803030303030309"/>
    <n v="0.85069444444444442"/>
  </r>
  <r>
    <x v="2"/>
    <d v="2021-10-26T00:00:00"/>
    <s v="G"/>
    <x v="4"/>
    <x v="16"/>
    <m/>
    <m/>
    <s v="NIPPLE S TYPE S SIZE PUNCHED INSPECTED"/>
    <s v="HEJ25AH22"/>
    <s v="Badelal"/>
    <n v="8"/>
    <n v="14000"/>
    <n v="1750"/>
    <n v="14000"/>
    <n v="13817"/>
    <n v="0"/>
    <n v="0"/>
    <n v="0"/>
    <n v="0"/>
    <n v="183"/>
    <n v="0"/>
    <n v="2"/>
    <n v="6908.5"/>
    <n v="0.98692857142857138"/>
    <x v="13"/>
    <n v="0"/>
    <n v="0"/>
    <s v=" "/>
    <n v="1.3071428571428571E-2"/>
    <n v="0"/>
    <n v="0.98692857142857138"/>
    <n v="0.83333333333333337"/>
    <n v="7.166666666666667"/>
    <n v="0.89583333333333337"/>
    <n v="1727.125"/>
    <n v="4"/>
    <n v="3.7345299269016428"/>
    <n v="1.0710852713178296"/>
    <n v="0.94697167162698415"/>
  </r>
  <r>
    <x v="2"/>
    <d v="2021-10-26T00:00:00"/>
    <s v="G"/>
    <x v="7"/>
    <x v="33"/>
    <m/>
    <s v="WR1"/>
    <s v="NIPPLE S TYPE S SIZE WITH PRINTED WRAP"/>
    <s v="HEJ26AH22"/>
    <s v="Badelal"/>
    <n v="8"/>
    <n v="16171"/>
    <n v="2021.375"/>
    <n v="12442"/>
    <n v="12440"/>
    <n v="0"/>
    <n v="0"/>
    <n v="0"/>
    <n v="0"/>
    <n v="2"/>
    <n v="0"/>
    <n v="2"/>
    <n v="6220"/>
    <n v="0.7692783377651351"/>
    <x v="27"/>
    <n v="0"/>
    <n v="0"/>
    <s v=" "/>
    <n v="1.6074586079408456E-4"/>
    <n v="0"/>
    <n v="0.99983925413920594"/>
    <n v="2.8333333333333335"/>
    <n v="5.1666666666666661"/>
    <n v="0.64583333333333326"/>
    <n v="1555"/>
    <n v="2.5"/>
    <n v="2.9903536977491956"/>
    <n v="0.83602150537634423"/>
    <n v="0.53984376395363387"/>
  </r>
  <r>
    <x v="2"/>
    <d v="2021-10-26T00:00:00"/>
    <s v="B"/>
    <x v="3"/>
    <x v="15"/>
    <m/>
    <s v="P1"/>
    <s v="NIPPLE S TYPE S SIZE PUNCHED"/>
    <s v="HEJ26NaJ26Pb"/>
    <s v="Badelal"/>
    <n v="8"/>
    <n v="7000"/>
    <n v="875"/>
    <n v="6750"/>
    <n v="6750"/>
    <n v="0"/>
    <n v="0"/>
    <n v="0"/>
    <n v="0"/>
    <n v="0"/>
    <n v="0"/>
    <n v="1"/>
    <n v="6750"/>
    <n v="0.9642857142857143"/>
    <x v="12"/>
    <n v="0"/>
    <n v="0"/>
    <s v=" "/>
    <n v="0"/>
    <n v="0"/>
    <n v="1"/>
    <n v="1"/>
    <n v="7"/>
    <n v="0.875"/>
    <n v="843.75"/>
    <n v="3.5"/>
    <n v="3.7333333333333334"/>
    <n v="0.9375"/>
    <n v="0.8203125"/>
  </r>
  <r>
    <x v="2"/>
    <d v="2021-10-26T00:00:00"/>
    <s v="B"/>
    <x v="8"/>
    <x v="25"/>
    <m/>
    <s v="LZ1"/>
    <s v="NIPPLE S TYPE S SIZE PUNCHED LASER MARKED"/>
    <s v="HEJ26AH22"/>
    <s v="Badelal"/>
    <n v="8"/>
    <n v="7000"/>
    <n v="875"/>
    <n v="6750"/>
    <n v="6750"/>
    <n v="0"/>
    <n v="0"/>
    <n v="0"/>
    <n v="0"/>
    <n v="0"/>
    <n v="0"/>
    <n v="1"/>
    <n v="6750"/>
    <n v="0.9642857142857143"/>
    <x v="20"/>
    <n v="0"/>
    <n v="0"/>
    <s v=" "/>
    <n v="0"/>
    <n v="0"/>
    <n v="1"/>
    <n v="1"/>
    <n v="7"/>
    <n v="0.875"/>
    <n v="843.75"/>
    <n v="3.5"/>
    <n v="3.7333333333333334"/>
    <n v="0.9375"/>
    <n v="0.8203125"/>
  </r>
  <r>
    <x v="2"/>
    <d v="2021-10-26T00:00:00"/>
    <s v="B"/>
    <x v="9"/>
    <x v="31"/>
    <m/>
    <s v="INJ1"/>
    <s v="HOOD S TYPE MOLDED"/>
    <s v="EJ26Hb"/>
    <s v="Badelal"/>
    <n v="8"/>
    <n v="4137"/>
    <n v="517.125"/>
    <n v="5050"/>
    <n v="5000"/>
    <n v="0"/>
    <n v="24"/>
    <n v="0"/>
    <n v="0"/>
    <n v="26"/>
    <n v="0"/>
    <n v="1"/>
    <n v="5000"/>
    <n v="1.2086052695189751"/>
    <x v="1"/>
    <n v="8.6"/>
    <n v="43.43"/>
    <n v="0.99009900990099009"/>
    <n v="5.1730998806207721E-3"/>
    <n v="4.7299960583366179E-3"/>
    <n v="0.99485148514851485"/>
    <n v="0"/>
    <n v="8"/>
    <n v="1"/>
    <n v="625"/>
    <n v="6"/>
    <n v="5.76"/>
    <n v="1.0416666666666667"/>
    <n v="1.0363036303630364"/>
  </r>
  <r>
    <x v="2"/>
    <d v="2021-10-26T00:00:00"/>
    <s v="B"/>
    <x v="1"/>
    <x v="18"/>
    <s v="BM3"/>
    <s v="B2"/>
    <s v="KPP 240 ML BOTTLE MOLDED"/>
    <s v="EJ26Bb2"/>
    <s v="Badelal"/>
    <n v="8"/>
    <n v="2574"/>
    <n v="321.75"/>
    <n v="3360"/>
    <n v="3240"/>
    <n v="0"/>
    <n v="53"/>
    <n v="0"/>
    <n v="0"/>
    <n v="67"/>
    <n v="0"/>
    <n v="1"/>
    <n v="3240"/>
    <n v="1.2587412587412588"/>
    <x v="1"/>
    <n v="32.1"/>
    <n v="107.85600000000001"/>
    <n v="0.9642857142857143"/>
    <n v="2.0260054429996975E-2"/>
    <n v="1.5528860240257838E-2"/>
    <n v="0.98005952380952377"/>
    <n v="0"/>
    <n v="8"/>
    <n v="1"/>
    <n v="405"/>
    <n v="9"/>
    <n v="8.8888888888888893"/>
    <n v="1.0125"/>
    <n v="0.99231026785714282"/>
  </r>
  <r>
    <x v="2"/>
    <d v="2021-10-26T00:00:00"/>
    <s v="B"/>
    <x v="0"/>
    <x v="10"/>
    <s v="M2"/>
    <s v="L2"/>
    <s v="NIPPLE S TYPE S SIZE INJECTION"/>
    <s v="HEJ26Nb"/>
    <s v="Badelal"/>
    <n v="8"/>
    <n v="4815"/>
    <n v="601.875"/>
    <n v="5152"/>
    <n v="5000"/>
    <n v="0"/>
    <n v="77"/>
    <n v="0"/>
    <n v="0"/>
    <n v="75"/>
    <n v="0"/>
    <n v="1"/>
    <n v="5000"/>
    <n v="1.0384215991692627"/>
    <x v="0"/>
    <n v="6.8"/>
    <n v="35.0336"/>
    <n v="0.97049689440993792"/>
    <n v="1.4778325123152709E-2"/>
    <n v="1.4725568942436412E-2"/>
    <n v="0.98544254658385089"/>
    <n v="0"/>
    <n v="8"/>
    <n v="1"/>
    <n v="625"/>
    <n v="5.25"/>
    <n v="5.76"/>
    <n v="0.91145833333333337"/>
    <n v="0.89818982110507251"/>
  </r>
  <r>
    <x v="2"/>
    <d v="2021-10-26T00:00:00"/>
    <s v="C"/>
    <x v="9"/>
    <x v="31"/>
    <m/>
    <s v="INJ1"/>
    <s v="HOOD S TYPE MOLDED"/>
    <s v="EJ26Hc"/>
    <s v="Nitin"/>
    <n v="8"/>
    <n v="4137"/>
    <n v="517.125"/>
    <n v="5083"/>
    <n v="5000"/>
    <n v="0"/>
    <n v="45"/>
    <n v="0"/>
    <n v="0"/>
    <n v="30"/>
    <n v="8"/>
    <n v="1"/>
    <n v="5000"/>
    <n v="1.2086052695189751"/>
    <x v="1"/>
    <n v="8.6"/>
    <n v="43.713799999999999"/>
    <n v="0.98367106039740315"/>
    <n v="5.9642147117296221E-3"/>
    <n v="8.7753510140405611E-3"/>
    <n v="0.99409797363761554"/>
    <n v="0.33333333333333331"/>
    <n v="7.666666666666667"/>
    <n v="0.95833333333333337"/>
    <n v="625"/>
    <n v="6"/>
    <n v="5.52"/>
    <n v="1.0869565217391306"/>
    <n v="1.0355187225391831"/>
  </r>
  <r>
    <x v="2"/>
    <d v="2021-10-26T00:00:00"/>
    <s v="C"/>
    <x v="1"/>
    <x v="18"/>
    <s v="BM3"/>
    <s v="B2"/>
    <s v="KPP 240 ML BOTTLE MOLDED"/>
    <s v="EJ26Bc2"/>
    <s v="Nitin"/>
    <n v="8"/>
    <n v="2574"/>
    <n v="321.75"/>
    <n v="3340"/>
    <n v="3240"/>
    <n v="0"/>
    <n v="30"/>
    <n v="0"/>
    <n v="0"/>
    <n v="62"/>
    <n v="8"/>
    <n v="1"/>
    <n v="3240"/>
    <n v="1.2587412587412588"/>
    <x v="1"/>
    <n v="32.1"/>
    <n v="107.21400000000001"/>
    <n v="0.97005988023952083"/>
    <n v="1.877649909145972E-2"/>
    <n v="8.9020771513353119E-3"/>
    <n v="0.98143712574850295"/>
    <n v="0"/>
    <n v="8"/>
    <n v="1"/>
    <n v="405"/>
    <n v="9"/>
    <n v="8.8888888888888893"/>
    <n v="1.0125"/>
    <n v="0.99370508982035921"/>
  </r>
  <r>
    <x v="2"/>
    <d v="2021-10-26T00:00:00"/>
    <s v="C"/>
    <x v="0"/>
    <x v="10"/>
    <s v="M2"/>
    <s v="L2"/>
    <s v="NIPPLE S TYPE S SIZE INJECTION"/>
    <s v="HEJ26Nc"/>
    <s v="Nitin"/>
    <n v="8"/>
    <n v="4815"/>
    <n v="601.875"/>
    <n v="5490"/>
    <n v="5400"/>
    <n v="0"/>
    <n v="32"/>
    <n v="0"/>
    <n v="0"/>
    <n v="50"/>
    <n v="8"/>
    <n v="1"/>
    <n v="5400"/>
    <n v="1.1214953271028036"/>
    <x v="0"/>
    <n v="6.8"/>
    <n v="37.332000000000001"/>
    <n v="0.98360655737704916"/>
    <n v="9.1743119266055051E-3"/>
    <n v="5.795001810938066E-3"/>
    <n v="0.99089253187613846"/>
    <n v="0.5"/>
    <n v="7.5"/>
    <n v="0.9375"/>
    <n v="675"/>
    <n v="5.25"/>
    <n v="5"/>
    <n v="1.05"/>
    <n v="0.97540983606557385"/>
  </r>
  <r>
    <x v="2"/>
    <d v="2021-10-27T00:00:00"/>
    <s v="A"/>
    <x v="1"/>
    <x v="18"/>
    <s v="BM3"/>
    <s v="B2"/>
    <s v="KPP 240 ML BOTTLE MOLDED"/>
    <s v="EJ27Ba2"/>
    <s v="Himanshu"/>
    <n v="8"/>
    <n v="2574"/>
    <n v="321.75"/>
    <n v="3420"/>
    <n v="3348"/>
    <n v="0"/>
    <n v="22"/>
    <n v="0"/>
    <n v="0"/>
    <n v="42"/>
    <n v="8"/>
    <n v="1"/>
    <n v="3348"/>
    <n v="1.3006993006993006"/>
    <x v="1"/>
    <n v="32.1"/>
    <n v="109.78200000000001"/>
    <n v="0.97894736842105268"/>
    <n v="1.2389380530973451E-2"/>
    <n v="6.3916327716443929E-3"/>
    <n v="0.987719298245614"/>
    <n v="0"/>
    <n v="8"/>
    <n v="1"/>
    <n v="418.5"/>
    <n v="9"/>
    <n v="8.6021505376344081"/>
    <n v="1.0462500000000001"/>
    <n v="1.0334013157894737"/>
  </r>
  <r>
    <x v="2"/>
    <d v="2021-10-27T00:00:00"/>
    <s v="A"/>
    <x v="0"/>
    <x v="10"/>
    <s v="M2"/>
    <s v="L2"/>
    <s v="NIPPLE S TYPE S SIZE INJECTION"/>
    <s v="HEJ27Na"/>
    <s v="Himanshu"/>
    <n v="8"/>
    <n v="4815"/>
    <n v="601.875"/>
    <n v="5697"/>
    <n v="5600"/>
    <n v="0"/>
    <n v="36"/>
    <n v="0"/>
    <n v="0"/>
    <n v="53"/>
    <n v="8"/>
    <n v="1"/>
    <n v="5600"/>
    <n v="1.1630321910695742"/>
    <x v="0"/>
    <n v="6.8"/>
    <n v="38.739599999999996"/>
    <n v="0.98297349482183616"/>
    <n v="9.3755528038209808E-3"/>
    <n v="6.2794348508634227E-3"/>
    <n v="0.99069685799543616"/>
    <n v="0"/>
    <n v="8"/>
    <n v="1"/>
    <n v="700"/>
    <n v="5.25"/>
    <n v="5.1428571428571432"/>
    <n v="1.0208333333333333"/>
    <n v="1.0113363758703411"/>
  </r>
  <r>
    <x v="2"/>
    <d v="2021-10-27T00:00:00"/>
    <s v="A"/>
    <x v="9"/>
    <x v="31"/>
    <m/>
    <s v="INJ1"/>
    <s v="HOOD S TYPE MOLDED"/>
    <s v="EJ27Ha"/>
    <s v="Himanshu"/>
    <n v="8"/>
    <n v="4137"/>
    <n v="517.125"/>
    <n v="5012"/>
    <n v="5000"/>
    <n v="0"/>
    <n v="0"/>
    <n v="0"/>
    <n v="0"/>
    <n v="4"/>
    <n v="8"/>
    <n v="1"/>
    <n v="5000"/>
    <n v="1.2086052695189751"/>
    <x v="1"/>
    <n v="8.6"/>
    <n v="43.103200000000001"/>
    <n v="0.99760574620909814"/>
    <n v="7.993605115907274E-4"/>
    <n v="0"/>
    <n v="0.99920191540303271"/>
    <n v="0"/>
    <n v="8"/>
    <n v="1"/>
    <n v="625"/>
    <n v="6"/>
    <n v="5.76"/>
    <n v="1.0416666666666667"/>
    <n v="1.0408353285448257"/>
  </r>
  <r>
    <x v="2"/>
    <d v="2021-10-27T00:00:00"/>
    <s v="A"/>
    <x v="3"/>
    <x v="15"/>
    <m/>
    <s v="P1"/>
    <s v="NIPPLE S TYPE S SIZE PUNCHED"/>
    <m/>
    <s v="Himanshu"/>
    <n v="8"/>
    <n v="7000"/>
    <n v="875"/>
    <n v="7400"/>
    <n v="7400"/>
    <n v="0"/>
    <n v="0"/>
    <n v="0"/>
    <n v="0"/>
    <n v="0"/>
    <n v="0"/>
    <n v="1"/>
    <n v="7400"/>
    <n v="1.0571428571428572"/>
    <x v="12"/>
    <n v="0"/>
    <n v="0"/>
    <s v=" "/>
    <n v="0"/>
    <n v="0"/>
    <n v="1"/>
    <n v="0.66666666666666663"/>
    <n v="7.333333333333333"/>
    <n v="0.91666666666666663"/>
    <n v="925"/>
    <n v="3.5"/>
    <n v="3.5675675675675675"/>
    <n v="0.98106060606060608"/>
    <n v="0.89930555555555558"/>
  </r>
  <r>
    <x v="2"/>
    <d v="2021-10-27T00:00:00"/>
    <s v="A"/>
    <x v="8"/>
    <x v="25"/>
    <m/>
    <s v="LZ1"/>
    <s v="NIPPLE S TYPE S SIZE PUNCHED LASER MARKED"/>
    <m/>
    <s v="Himanshu"/>
    <n v="8"/>
    <n v="7000"/>
    <n v="875"/>
    <n v="7000"/>
    <n v="7000"/>
    <n v="0"/>
    <n v="0"/>
    <n v="0"/>
    <n v="0"/>
    <n v="0"/>
    <n v="0"/>
    <n v="1"/>
    <n v="7000"/>
    <n v="1"/>
    <x v="20"/>
    <n v="0"/>
    <n v="0"/>
    <s v=" "/>
    <n v="0"/>
    <n v="0"/>
    <n v="1"/>
    <n v="0.66666666666666663"/>
    <n v="7.333333333333333"/>
    <n v="0.91666666666666663"/>
    <n v="875"/>
    <n v="3.5"/>
    <n v="3.7714285714285714"/>
    <n v="0.92803030303030309"/>
    <n v="0.85069444444444442"/>
  </r>
  <r>
    <x v="2"/>
    <d v="2021-10-27T00:00:00"/>
    <s v="G"/>
    <x v="7"/>
    <x v="33"/>
    <m/>
    <s v="WR1"/>
    <s v="NIPPLE S TYPE S SIZE WITH PRINTED WRAP"/>
    <s v="HEJ27AH22"/>
    <s v="Badelal"/>
    <n v="8"/>
    <n v="16171"/>
    <n v="2021.375"/>
    <n v="14452"/>
    <n v="14451"/>
    <n v="0"/>
    <n v="0"/>
    <n v="0"/>
    <n v="0"/>
    <n v="1"/>
    <n v="0"/>
    <n v="2"/>
    <n v="7225.5"/>
    <n v="0.89363675715787516"/>
    <x v="27"/>
    <n v="0"/>
    <n v="0"/>
    <s v=" "/>
    <n v="6.9194575145308605E-5"/>
    <n v="0"/>
    <n v="0.99993080542485469"/>
    <n v="0.83333333333333337"/>
    <n v="7.166666666666667"/>
    <n v="0.89583333333333337"/>
    <n v="1806.375"/>
    <n v="2.5"/>
    <n v="3.5706871496782231"/>
    <n v="0.70014534883720925"/>
    <n v="0.62717014189212572"/>
  </r>
  <r>
    <x v="2"/>
    <d v="2021-10-27T00:00:00"/>
    <s v="G"/>
    <x v="4"/>
    <x v="16"/>
    <m/>
    <m/>
    <s v="NIPPLE S TYPE S SIZE PUNCHED INSPECTED"/>
    <s v="HEJ26AH22"/>
    <s v="Badelal"/>
    <n v="8"/>
    <n v="14000"/>
    <n v="1750"/>
    <n v="13750"/>
    <n v="13690"/>
    <n v="0"/>
    <n v="0"/>
    <n v="0"/>
    <n v="0"/>
    <n v="60"/>
    <n v="0"/>
    <n v="1"/>
    <n v="13690"/>
    <n v="0.97785714285714287"/>
    <x v="13"/>
    <n v="0"/>
    <n v="0"/>
    <s v=" "/>
    <n v="4.3636363636363638E-3"/>
    <n v="0"/>
    <n v="0.99563636363636365"/>
    <n v="0.83333333333333337"/>
    <n v="7.166666666666667"/>
    <n v="0.89583333333333337"/>
    <n v="1711.25"/>
    <n v="4"/>
    <n v="1.8845872899926954"/>
    <n v="2.1224806201550388"/>
    <n v="1.8930919191919193"/>
  </r>
  <r>
    <x v="2"/>
    <d v="2021-10-27T00:00:00"/>
    <s v="B"/>
    <x v="3"/>
    <x v="15"/>
    <m/>
    <s v="P1"/>
    <s v="NIPPLE S TYPE S SIZE PUNCHED"/>
    <s v="HEJ27NaJ27Pb"/>
    <s v="Badelal"/>
    <n v="8"/>
    <n v="7000"/>
    <n v="875"/>
    <n v="7600"/>
    <n v="7600"/>
    <n v="0"/>
    <n v="0"/>
    <n v="0"/>
    <n v="0"/>
    <n v="0"/>
    <n v="0"/>
    <n v="1"/>
    <n v="7600"/>
    <n v="1.0857142857142856"/>
    <x v="12"/>
    <n v="0"/>
    <n v="0"/>
    <s v=" "/>
    <n v="0"/>
    <n v="0"/>
    <n v="1"/>
    <n v="0.66666666666666663"/>
    <n v="7.333333333333333"/>
    <n v="0.91666666666666663"/>
    <n v="950"/>
    <n v="3.5"/>
    <n v="3.4736842105263159"/>
    <n v="1.0075757575757576"/>
    <n v="0.92361111111111105"/>
  </r>
  <r>
    <x v="2"/>
    <d v="2021-10-27T00:00:00"/>
    <s v="B"/>
    <x v="8"/>
    <x v="25"/>
    <m/>
    <s v="LZ1"/>
    <s v="NIPPLE S TYPE S SIZE PUNCHED LASER MARKED"/>
    <s v="HEJ26CH22"/>
    <s v="Badelal"/>
    <n v="8"/>
    <n v="7000"/>
    <n v="875"/>
    <n v="7000"/>
    <n v="7000"/>
    <n v="0"/>
    <n v="0"/>
    <n v="0"/>
    <n v="0"/>
    <n v="0"/>
    <n v="0"/>
    <n v="1"/>
    <n v="7000"/>
    <n v="1"/>
    <x v="20"/>
    <n v="0"/>
    <n v="0"/>
    <s v=" "/>
    <n v="0"/>
    <n v="0"/>
    <n v="1"/>
    <n v="0.66666666666666663"/>
    <n v="7.333333333333333"/>
    <n v="0.91666666666666663"/>
    <n v="875"/>
    <n v="3.5"/>
    <n v="3.7714285714285714"/>
    <n v="0.92803030303030309"/>
    <n v="0.85069444444444442"/>
  </r>
  <r>
    <x v="2"/>
    <d v="2021-10-27T00:00:00"/>
    <s v="B"/>
    <x v="9"/>
    <x v="31"/>
    <m/>
    <s v="INJ1"/>
    <s v="HOOD S TYPE MOLDED"/>
    <s v="EJ27Hb"/>
    <s v="Badelal"/>
    <n v="8"/>
    <n v="4137"/>
    <n v="517.125"/>
    <n v="5042"/>
    <n v="5000"/>
    <n v="0"/>
    <n v="12"/>
    <n v="0"/>
    <n v="0"/>
    <n v="30"/>
    <n v="0"/>
    <n v="1"/>
    <n v="5000"/>
    <n v="1.2086052695189751"/>
    <x v="1"/>
    <n v="8.6"/>
    <n v="43.361199999999997"/>
    <n v="0.99166997223324083"/>
    <n v="5.9642147117296221E-3"/>
    <n v="2.3743569449940641E-3"/>
    <n v="0.99404998016660051"/>
    <n v="0"/>
    <n v="8"/>
    <n v="1"/>
    <n v="625"/>
    <n v="6"/>
    <n v="5.76"/>
    <n v="1.0416666666666667"/>
    <n v="1.0354687293402089"/>
  </r>
  <r>
    <x v="2"/>
    <d v="2021-10-27T00:00:00"/>
    <s v="B"/>
    <x v="0"/>
    <x v="10"/>
    <s v="M2"/>
    <s v="L2"/>
    <s v="NIPPLE S TYPE S SIZE INJECTION"/>
    <s v="HEJ27Nb"/>
    <s v="Badelal"/>
    <n v="8"/>
    <n v="4815"/>
    <n v="601.875"/>
    <n v="5091"/>
    <n v="5000"/>
    <n v="0"/>
    <n v="50"/>
    <n v="0"/>
    <n v="0"/>
    <n v="41"/>
    <n v="0"/>
    <n v="1"/>
    <n v="5000"/>
    <n v="1.0384215991692627"/>
    <x v="0"/>
    <n v="6.8"/>
    <n v="34.6188"/>
    <n v="0.98212531919072876"/>
    <n v="8.1333068835548507E-3"/>
    <n v="9.7257342929391172E-3"/>
    <n v="0.99194657238263606"/>
    <n v="0"/>
    <n v="8"/>
    <n v="1"/>
    <n v="625"/>
    <n v="5.25"/>
    <n v="5.76"/>
    <n v="0.91145833333333337"/>
    <n v="0.90411796961959023"/>
  </r>
  <r>
    <x v="2"/>
    <d v="2021-10-27T00:00:00"/>
    <s v="B "/>
    <x v="1"/>
    <x v="18"/>
    <s v="BM3"/>
    <s v="B2"/>
    <s v="KPP 240 ML BOTTLE MOLDED"/>
    <s v="EJ27Bb2"/>
    <s v="Badelal"/>
    <n v="8"/>
    <n v="2574"/>
    <n v="321.75"/>
    <n v="3227"/>
    <n v="3132"/>
    <n v="0.157"/>
    <n v="55"/>
    <n v="0"/>
    <n v="0"/>
    <n v="40"/>
    <n v="0"/>
    <n v="1"/>
    <n v="3132"/>
    <n v="1.2167832167832169"/>
    <x v="1"/>
    <n v="32.1"/>
    <n v="103.7437"/>
    <n v="0.96909209908649885"/>
    <n v="1.2610340479192938E-2"/>
    <n v="1.6758074344911639E-2"/>
    <n v="0.98760458630306791"/>
    <n v="0"/>
    <n v="8"/>
    <n v="1"/>
    <n v="391.5"/>
    <n v="9"/>
    <n v="9.1954022988505741"/>
    <n v="0.97875000000000001"/>
    <n v="0.96661798884412775"/>
  </r>
  <r>
    <x v="2"/>
    <d v="2021-10-27T00:00:00"/>
    <s v="C"/>
    <x v="9"/>
    <x v="31"/>
    <m/>
    <s v="INJ1"/>
    <s v="HOOD S TYPE MOLDED"/>
    <s v="EJ27Hc"/>
    <s v="Nitin"/>
    <n v="8"/>
    <n v="4137"/>
    <n v="517.125"/>
    <n v="4708"/>
    <n v="4700"/>
    <n v="0"/>
    <n v="0"/>
    <n v="0"/>
    <n v="0"/>
    <n v="0"/>
    <n v="8"/>
    <n v="1"/>
    <n v="4700"/>
    <n v="1.1360889533478367"/>
    <x v="1"/>
    <n v="8.6"/>
    <n v="40.488799999999998"/>
    <n v="0.99830076465590489"/>
    <n v="0"/>
    <n v="0"/>
    <n v="1"/>
    <n v="0.33333333333333331"/>
    <n v="7.666666666666667"/>
    <n v="0.95833333333333337"/>
    <n v="587.5"/>
    <n v="6"/>
    <n v="5.8723404255319149"/>
    <n v="1.0217391304347827"/>
    <n v="0.97916666666666685"/>
  </r>
  <r>
    <x v="2"/>
    <d v="2021-10-27T00:00:00"/>
    <s v="C"/>
    <x v="1"/>
    <x v="18"/>
    <s v="BM3"/>
    <s v="B2"/>
    <s v="KPP 240 ML BOTTLE MOLDED"/>
    <s v="EJ27Bc2"/>
    <s v="Nitin"/>
    <n v="8"/>
    <n v="2574"/>
    <n v="321.75"/>
    <n v="2940"/>
    <n v="2808"/>
    <n v="0.23"/>
    <n v="58"/>
    <n v="0"/>
    <n v="0"/>
    <n v="66"/>
    <n v="8"/>
    <n v="1"/>
    <n v="2808"/>
    <n v="1.0909090909090908"/>
    <x v="1"/>
    <n v="32.1"/>
    <n v="94.604000000000013"/>
    <n v="0.95278000930193218"/>
    <n v="2.2964509394572025E-2"/>
    <n v="1.9346230820547032E-2"/>
    <n v="0.97755102040816322"/>
    <n v="1.3333333333333333"/>
    <n v="6.666666666666667"/>
    <n v="0.83333333333333337"/>
    <n v="351"/>
    <n v="9"/>
    <n v="8.5470085470085468"/>
    <n v="1.0529999999999999"/>
    <n v="0.8578010204081632"/>
  </r>
  <r>
    <x v="2"/>
    <d v="2021-10-27T00:00:00"/>
    <s v="C"/>
    <x v="0"/>
    <x v="10"/>
    <s v="M2"/>
    <s v="L2"/>
    <s v="NIPPLE S TYPE S SIZE INJECTION"/>
    <s v="HEJ27Nc"/>
    <s v="Nitin"/>
    <n v="8"/>
    <n v="4815"/>
    <n v="601.875"/>
    <n v="4836"/>
    <n v="4700"/>
    <n v="0"/>
    <n v="65"/>
    <n v="0"/>
    <n v="0"/>
    <n v="55"/>
    <n v="16"/>
    <n v="1"/>
    <n v="4700"/>
    <n v="0.97611630321910692"/>
    <x v="0"/>
    <n v="6.8"/>
    <n v="32.884799999999998"/>
    <n v="0.97187758478081054"/>
    <n v="1.1566771819137749E-2"/>
    <n v="1.3262599469496022E-2"/>
    <n v="0.98862696443341602"/>
    <n v="1.5"/>
    <n v="6.5"/>
    <n v="0.8125"/>
    <n v="587.5"/>
    <n v="5.25"/>
    <n v="4.9787234042553195"/>
    <n v="1.0544871794871795"/>
    <n v="0.84702674817342161"/>
  </r>
  <r>
    <x v="2"/>
    <d v="2021-10-28T00:00:00"/>
    <s v="A"/>
    <x v="1"/>
    <x v="18"/>
    <s v="BM3"/>
    <s v="B2"/>
    <s v="KPP 240 ML BOTTLE MOLDED"/>
    <s v="EJ28Ba2"/>
    <s v="Saurabh"/>
    <n v="8"/>
    <n v="2574"/>
    <n v="321.75"/>
    <n v="3260"/>
    <n v="3132"/>
    <n v="0.35"/>
    <n v="49"/>
    <n v="0"/>
    <n v="0"/>
    <n v="71"/>
    <n v="8"/>
    <n v="1"/>
    <n v="3132"/>
    <n v="1.2167832167832169"/>
    <x v="1"/>
    <n v="32.1"/>
    <n v="104.99600000000001"/>
    <n v="0.95753362032839351"/>
    <n v="2.216671870121761E-2"/>
    <n v="1.4808099123602297E-2"/>
    <n v="0.97822085889570554"/>
    <n v="0"/>
    <n v="8"/>
    <n v="1"/>
    <n v="391.5"/>
    <n v="9"/>
    <n v="9.1954022988505741"/>
    <n v="0.97875000000000001"/>
    <n v="0.95743366564417176"/>
  </r>
  <r>
    <x v="2"/>
    <d v="2021-10-28T00:00:00"/>
    <s v="A"/>
    <x v="3"/>
    <x v="15"/>
    <m/>
    <s v="P1"/>
    <s v="NIPPLE S TYPE S SIZE PUNCHED"/>
    <s v="HEJ28NaJ28Pa"/>
    <s v="Saurabh"/>
    <n v="8"/>
    <n v="7000"/>
    <n v="875"/>
    <n v="7000"/>
    <n v="7000"/>
    <n v="0"/>
    <n v="0"/>
    <n v="0"/>
    <n v="0"/>
    <n v="0"/>
    <n v="0"/>
    <n v="1"/>
    <n v="7000"/>
    <n v="1"/>
    <x v="12"/>
    <n v="0"/>
    <n v="0"/>
    <s v=" "/>
    <n v="0"/>
    <n v="0"/>
    <n v="1"/>
    <n v="0.66666666666666663"/>
    <n v="7.333333333333333"/>
    <n v="0.91666666666666663"/>
    <n v="875"/>
    <n v="3.5"/>
    <n v="3.7714285714285714"/>
    <n v="0.92803030303030309"/>
    <n v="0.85069444444444442"/>
  </r>
  <r>
    <x v="2"/>
    <d v="2021-10-28T00:00:00"/>
    <s v="A"/>
    <x v="8"/>
    <x v="25"/>
    <m/>
    <s v="LZ1"/>
    <s v="NIPPLE S TYPE S SIZE PUNCHED LASER MARKED"/>
    <s v="HEJ28NAH22"/>
    <s v="Saurabh"/>
    <n v="8"/>
    <n v="7000"/>
    <n v="875"/>
    <n v="7000"/>
    <n v="7000"/>
    <n v="0"/>
    <n v="0"/>
    <n v="0"/>
    <n v="0"/>
    <n v="0"/>
    <n v="0"/>
    <n v="1"/>
    <n v="7000"/>
    <n v="1"/>
    <x v="20"/>
    <n v="0"/>
    <n v="0"/>
    <s v=" "/>
    <n v="0"/>
    <n v="0"/>
    <n v="1"/>
    <n v="0.66666666666666663"/>
    <n v="7.333333333333333"/>
    <n v="0.91666666666666663"/>
    <n v="875"/>
    <n v="3.5"/>
    <n v="3.7714285714285714"/>
    <n v="0.92803030303030309"/>
    <n v="0.85069444444444442"/>
  </r>
  <r>
    <x v="2"/>
    <d v="2021-10-28T00:00:00"/>
    <s v="A"/>
    <x v="0"/>
    <x v="10"/>
    <s v="M2"/>
    <s v="L2"/>
    <s v="NIPPLE S TYPE S SIZE INJECTION"/>
    <s v="HEJ28Na"/>
    <s v="Saurabh"/>
    <n v="8"/>
    <n v="4815"/>
    <n v="601.875"/>
    <n v="5218"/>
    <n v="5200"/>
    <n v="0"/>
    <n v="0"/>
    <n v="0"/>
    <n v="0"/>
    <n v="10"/>
    <n v="8"/>
    <n v="1"/>
    <n v="5200"/>
    <n v="1.0799584631360333"/>
    <x v="0"/>
    <n v="6.8"/>
    <n v="35.482399999999998"/>
    <n v="0.99655040245304716"/>
    <n v="1.9193857965451055E-3"/>
    <n v="0"/>
    <n v="0.99808355691835948"/>
    <n v="0"/>
    <n v="8"/>
    <n v="1"/>
    <n v="650"/>
    <n v="5.25"/>
    <n v="5.5384615384615383"/>
    <n v="0.94791666666666674"/>
    <n v="0.94610003832886169"/>
  </r>
  <r>
    <x v="2"/>
    <d v="2021-10-28T00:00:00"/>
    <s v="A"/>
    <x v="9"/>
    <x v="31"/>
    <m/>
    <s v="INJ1"/>
    <s v="HOOD S TYPE MOLDED"/>
    <s v="EJ28Ha"/>
    <s v="Saurabh"/>
    <n v="8"/>
    <n v="4137"/>
    <n v="517.125"/>
    <n v="5008"/>
    <n v="5000"/>
    <n v="0"/>
    <n v="0"/>
    <n v="0"/>
    <n v="0"/>
    <n v="0"/>
    <n v="8"/>
    <n v="1"/>
    <n v="5000"/>
    <n v="1.2086052695189751"/>
    <x v="1"/>
    <n v="8.6"/>
    <n v="43.068800000000003"/>
    <n v="0.99840255591054305"/>
    <n v="0"/>
    <n v="0"/>
    <n v="1"/>
    <n v="0"/>
    <n v="8"/>
    <n v="1"/>
    <n v="625"/>
    <n v="6"/>
    <n v="5.76"/>
    <n v="1.0416666666666667"/>
    <n v="1.0416666666666667"/>
  </r>
  <r>
    <x v="2"/>
    <d v="2021-10-28T00:00:00"/>
    <s v="A"/>
    <x v="6"/>
    <x v="21"/>
    <m/>
    <m/>
    <s v="KPP 240 ML BOTTLE PRINTED"/>
    <s v="EJ25Bb2J28Pa"/>
    <s v="Pintu"/>
    <n v="8"/>
    <n v="5120"/>
    <n v="640"/>
    <n v="4717"/>
    <n v="4644"/>
    <n v="0"/>
    <n v="0"/>
    <n v="49"/>
    <n v="0"/>
    <n v="73"/>
    <n v="0"/>
    <n v="4.5"/>
    <n v="1032"/>
    <n v="0.90703124999999996"/>
    <x v="16"/>
    <n v="0"/>
    <n v="0"/>
    <s v=" "/>
    <n v="1.5475938096247616E-2"/>
    <n v="0"/>
    <n v="0.98452406190375241"/>
    <n v="0"/>
    <n v="8"/>
    <n v="1"/>
    <n v="580.5"/>
    <n v="32.4"/>
    <n v="27.906976744186046"/>
    <n v="1.161"/>
    <n v="1.1430324358702566"/>
  </r>
  <r>
    <x v="2"/>
    <d v="2021-10-28T00:00:00"/>
    <s v="G"/>
    <x v="4"/>
    <x v="16"/>
    <m/>
    <m/>
    <s v="NIPPLE S TYPE S SIZE PUNCHED INSPECTED"/>
    <s v="HEJ27CH22"/>
    <s v="Badelal"/>
    <n v="8"/>
    <n v="14000"/>
    <n v="1750"/>
    <n v="13700"/>
    <n v="13628"/>
    <n v="0"/>
    <n v="0"/>
    <n v="0"/>
    <n v="0"/>
    <n v="72"/>
    <n v="0"/>
    <n v="1"/>
    <n v="13628"/>
    <n v="0.97342857142857142"/>
    <x v="13"/>
    <n v="0"/>
    <n v="0"/>
    <s v=" "/>
    <n v="5.2554744525547441E-3"/>
    <n v="0"/>
    <n v="0.9947445255474453"/>
    <n v="0.83333333333333337"/>
    <n v="7.166666666666667"/>
    <n v="0.89583333333333337"/>
    <n v="1703.5"/>
    <n v="4"/>
    <n v="1.8931611388318168"/>
    <n v="2.1128682170542636"/>
    <n v="1.8828303325223035"/>
  </r>
  <r>
    <x v="2"/>
    <d v="2021-10-28T00:00:00"/>
    <s v="G"/>
    <x v="7"/>
    <x v="33"/>
    <m/>
    <s v="WR1"/>
    <s v="NIPPLE S TYPE S SIZE WITH PRINTED WRAP"/>
    <s v="HEJ27CH22"/>
    <s v="Badelal"/>
    <n v="8"/>
    <n v="16171"/>
    <n v="2021.375"/>
    <n v="13628"/>
    <n v="13624"/>
    <n v="0"/>
    <n v="0"/>
    <n v="0"/>
    <n v="0"/>
    <n v="4"/>
    <n v="0"/>
    <n v="2"/>
    <n v="6812"/>
    <n v="0.84249582586110938"/>
    <x v="27"/>
    <n v="0"/>
    <n v="0"/>
    <s v=" "/>
    <n v="2.93513354857646E-4"/>
    <n v="0"/>
    <n v="0.99970648664514239"/>
    <n v="2.8333333333333335"/>
    <n v="5.1666666666666661"/>
    <n v="0.64583333333333326"/>
    <n v="1703"/>
    <n v="2.5"/>
    <n v="2.7304756312389893"/>
    <n v="0.91559139784946264"/>
    <n v="0.59114588429051318"/>
  </r>
  <r>
    <x v="2"/>
    <d v="2021-10-28T00:00:00"/>
    <s v="B"/>
    <x v="3"/>
    <x v="15"/>
    <m/>
    <s v="P1"/>
    <s v="NIPPLE S TYPE S SIZE PUNCHED"/>
    <s v="HEJ28NaJ28Pb"/>
    <s v="Badelal"/>
    <n v="8"/>
    <n v="7000"/>
    <n v="875"/>
    <n v="6900"/>
    <n v="6900"/>
    <n v="0"/>
    <n v="0"/>
    <n v="0"/>
    <n v="0"/>
    <n v="0"/>
    <n v="0"/>
    <n v="1"/>
    <n v="6900"/>
    <n v="0.98571428571428577"/>
    <x v="12"/>
    <n v="0"/>
    <n v="0"/>
    <s v=" "/>
    <n v="0"/>
    <n v="0"/>
    <n v="1"/>
    <n v="0.66666666666666663"/>
    <n v="7.333333333333333"/>
    <n v="0.91666666666666663"/>
    <n v="862.5"/>
    <n v="3.5"/>
    <n v="3.8260869565217392"/>
    <n v="0.91477272727272729"/>
    <n v="0.83854166666666663"/>
  </r>
  <r>
    <x v="2"/>
    <d v="2021-10-28T00:00:00"/>
    <s v="B"/>
    <x v="8"/>
    <x v="25"/>
    <m/>
    <s v="LZ1"/>
    <s v="NIPPLE S TYPE S SIZE PUNCHED LASER MARKED"/>
    <s v="HEJ28AH22"/>
    <s v="Badelal"/>
    <n v="8"/>
    <n v="7000"/>
    <n v="875"/>
    <n v="6900"/>
    <n v="6900"/>
    <n v="0"/>
    <n v="0"/>
    <n v="0"/>
    <n v="0"/>
    <n v="0"/>
    <n v="0"/>
    <n v="1"/>
    <n v="6900"/>
    <n v="0.98571428571428577"/>
    <x v="20"/>
    <n v="0"/>
    <n v="0"/>
    <s v=" "/>
    <n v="0"/>
    <n v="0"/>
    <n v="1"/>
    <n v="0.66666666666666663"/>
    <n v="7.333333333333333"/>
    <n v="0.91666666666666663"/>
    <n v="862.5"/>
    <n v="3.5"/>
    <n v="3.8260869565217392"/>
    <n v="0.91477272727272729"/>
    <n v="0.83854166666666663"/>
  </r>
  <r>
    <x v="2"/>
    <d v="2021-10-28T00:00:00"/>
    <s v="B"/>
    <x v="0"/>
    <x v="10"/>
    <s v="M2"/>
    <s v="L2"/>
    <s v="NIPPLE S TYPE S SIZE INJECTION"/>
    <s v="HEJ28Nb"/>
    <s v="Badelal"/>
    <n v="8"/>
    <n v="4815"/>
    <n v="601.875"/>
    <n v="5515"/>
    <n v="5500"/>
    <n v="0"/>
    <n v="0"/>
    <n v="0"/>
    <n v="0"/>
    <n v="15"/>
    <n v="0"/>
    <n v="1"/>
    <n v="5500"/>
    <n v="1.142263759086189"/>
    <x v="0"/>
    <n v="6.8"/>
    <n v="37.501999999999995"/>
    <n v="0.99728014505893026"/>
    <n v="2.7198549410698096E-3"/>
    <n v="0"/>
    <n v="0.99728014505893015"/>
    <n v="0"/>
    <n v="8"/>
    <n v="1"/>
    <n v="687.5"/>
    <n v="5.25"/>
    <n v="5.2363636363636363"/>
    <n v="1.0026041666666667"/>
    <n v="0.99987722877002116"/>
  </r>
  <r>
    <x v="2"/>
    <d v="2021-10-28T00:00:00"/>
    <s v="B"/>
    <x v="9"/>
    <x v="31"/>
    <m/>
    <s v="INJ1"/>
    <s v="HOOD S TYPE MOLDED"/>
    <s v="EJ28Hb"/>
    <s v="Badelal"/>
    <n v="8"/>
    <n v="4137"/>
    <n v="517.125"/>
    <n v="5040"/>
    <n v="5000"/>
    <n v="0"/>
    <n v="8"/>
    <n v="0"/>
    <n v="0"/>
    <n v="32"/>
    <n v="0"/>
    <n v="1"/>
    <n v="5000"/>
    <n v="1.2086052695189751"/>
    <x v="1"/>
    <n v="8.6"/>
    <n v="43.344000000000001"/>
    <n v="0.99206349206349198"/>
    <n v="6.3593004769475362E-3"/>
    <n v="1.5847860538827259E-3"/>
    <n v="0.99365079365079367"/>
    <n v="0"/>
    <n v="8"/>
    <n v="1"/>
    <n v="625"/>
    <n v="6"/>
    <n v="5.76"/>
    <n v="1.0416666666666667"/>
    <n v="1.0350529100529102"/>
  </r>
  <r>
    <x v="2"/>
    <d v="2021-10-28T00:00:00"/>
    <s v="B"/>
    <x v="1"/>
    <x v="18"/>
    <s v="BM3"/>
    <s v="B2"/>
    <s v="KPP 240 ML BOTTLE MOLDED"/>
    <s v="EJ28Bb2"/>
    <s v="Badelal"/>
    <n v="8"/>
    <n v="2574"/>
    <n v="321.75"/>
    <n v="3159"/>
    <n v="3024"/>
    <n v="0.63"/>
    <n v="65"/>
    <n v="0"/>
    <n v="0"/>
    <n v="70"/>
    <n v="0"/>
    <n v="1"/>
    <n v="3024"/>
    <n v="1.1748251748251748"/>
    <x v="1"/>
    <n v="32.1"/>
    <n v="102.0339"/>
    <n v="0.95135440280142192"/>
    <n v="2.2624434389140271E-2"/>
    <n v="2.0161290322580645E-2"/>
    <n v="0.97784108895220001"/>
    <n v="0"/>
    <n v="8"/>
    <n v="1"/>
    <n v="378"/>
    <n v="9"/>
    <n v="9.5238095238095237"/>
    <n v="0.94500000000000006"/>
    <n v="0.92405982905982909"/>
  </r>
  <r>
    <x v="2"/>
    <d v="2021-10-28T00:00:00"/>
    <s v="B"/>
    <x v="6"/>
    <x v="21"/>
    <m/>
    <m/>
    <s v="KPP 240 ML BOTTLE PRINTED"/>
    <s v="EJ27Ba2J28Pb"/>
    <s v="Badelal"/>
    <n v="8"/>
    <n v="5100"/>
    <n v="637.5"/>
    <n v="4610"/>
    <n v="4536"/>
    <n v="0"/>
    <n v="0"/>
    <n v="49"/>
    <n v="0"/>
    <n v="74"/>
    <n v="0"/>
    <n v="5"/>
    <n v="907.2"/>
    <n v="0.88941176470588235"/>
    <x v="16"/>
    <n v="0"/>
    <n v="0"/>
    <s v=" "/>
    <n v="1.6052060737527116E-2"/>
    <n v="0"/>
    <n v="0.98394793926247293"/>
    <n v="0.83333333333333337"/>
    <n v="7.166666666666667"/>
    <n v="0.89583333333333337"/>
    <n v="567"/>
    <n v="32.4"/>
    <n v="28.439153439153444"/>
    <n v="1.1392744186046508"/>
    <n v="1.0042172668112797"/>
  </r>
  <r>
    <x v="2"/>
    <d v="2021-10-28T00:00:00"/>
    <s v="C"/>
    <x v="1"/>
    <x v="18"/>
    <s v="BM3"/>
    <s v="B2"/>
    <s v="KPP 240 ML BOTTLE MOLDED"/>
    <s v="EJ28Bc2"/>
    <s v="Nitin"/>
    <n v="8"/>
    <n v="2574"/>
    <n v="321.75"/>
    <n v="2810"/>
    <n v="2732"/>
    <n v="0.32"/>
    <n v="38"/>
    <n v="0"/>
    <n v="0"/>
    <n v="32"/>
    <n v="8"/>
    <n v="1"/>
    <n v="2732"/>
    <n v="1.0613830613830615"/>
    <x v="1"/>
    <n v="32.1"/>
    <n v="90.521000000000001"/>
    <n v="0.96880502866738116"/>
    <n v="1.1577424023154847E-2"/>
    <n v="1.3342696629213483E-2"/>
    <n v="0.98861209964412811"/>
    <n v="0"/>
    <n v="8"/>
    <n v="1"/>
    <n v="341.5"/>
    <n v="9"/>
    <n v="10.541727672035138"/>
    <n v="0.85375000000000001"/>
    <n v="0.8440275800711744"/>
  </r>
  <r>
    <x v="2"/>
    <d v="2021-10-28T00:00:00"/>
    <s v="C"/>
    <x v="9"/>
    <x v="31"/>
    <m/>
    <s v="INJ1"/>
    <s v="HOOD S TYPE MOLDED"/>
    <s v="EJ28Hc"/>
    <s v="Nitin"/>
    <n v="8"/>
    <n v="4137"/>
    <n v="517.125"/>
    <n v="5013"/>
    <n v="5000"/>
    <n v="0"/>
    <n v="0"/>
    <n v="0"/>
    <n v="0"/>
    <n v="5"/>
    <n v="8"/>
    <n v="1"/>
    <n v="5000"/>
    <n v="1.2086052695189751"/>
    <x v="1"/>
    <n v="8.6"/>
    <n v="43.111800000000002"/>
    <n v="0.99740674246957906"/>
    <n v="9.99000999000999E-4"/>
    <n v="0"/>
    <n v="0.99900259325753038"/>
    <n v="0"/>
    <n v="8"/>
    <n v="1"/>
    <n v="625"/>
    <n v="6"/>
    <n v="5.76"/>
    <n v="1.0416666666666667"/>
    <n v="1.0406277013099277"/>
  </r>
  <r>
    <x v="2"/>
    <d v="2021-10-28T00:00:00"/>
    <s v="C"/>
    <x v="0"/>
    <x v="10"/>
    <s v="M2"/>
    <s v="L2"/>
    <s v="NIPPLE S TYPE S SIZE INJECTION"/>
    <s v="HEJ28Nc"/>
    <s v="Nitin"/>
    <n v="8"/>
    <n v="4815"/>
    <n v="601.875"/>
    <n v="5536"/>
    <n v="5500"/>
    <n v="0"/>
    <n v="0"/>
    <n v="0"/>
    <n v="0"/>
    <n v="28"/>
    <n v="8"/>
    <n v="1"/>
    <n v="5500"/>
    <n v="1.142263759086189"/>
    <x v="0"/>
    <n v="6.8"/>
    <n v="37.644799999999996"/>
    <n v="0.99349710982658967"/>
    <n v="5.065123010130246E-3"/>
    <n v="0"/>
    <n v="0.99494219653179194"/>
    <n v="0"/>
    <n v="8"/>
    <n v="1"/>
    <n v="687.5"/>
    <n v="5.25"/>
    <n v="5.2363636363636363"/>
    <n v="1.0026041666666667"/>
    <n v="0.99753319183526024"/>
  </r>
  <r>
    <x v="2"/>
    <d v="2021-10-29T00:00:00"/>
    <s v="A"/>
    <x v="3"/>
    <x v="15"/>
    <m/>
    <s v="P1"/>
    <s v="NIPPLE S TYPE S SIZE PUNCHED"/>
    <s v="HEJ28NbJ29Pa"/>
    <s v="Saurabh"/>
    <n v="8"/>
    <n v="7000"/>
    <n v="875"/>
    <n v="7000"/>
    <n v="7000"/>
    <n v="0"/>
    <n v="0"/>
    <n v="0"/>
    <n v="0"/>
    <n v="0"/>
    <n v="0"/>
    <n v="1"/>
    <n v="7000"/>
    <n v="1"/>
    <x v="12"/>
    <n v="0"/>
    <n v="0"/>
    <s v=" "/>
    <n v="0"/>
    <n v="0"/>
    <n v="1"/>
    <n v="0.66666666666666663"/>
    <n v="7.333333333333333"/>
    <n v="0.91666666666666663"/>
    <n v="875"/>
    <n v="3.5"/>
    <n v="3.7714285714285714"/>
    <n v="0.92803030303030309"/>
    <n v="0.85069444444444442"/>
  </r>
  <r>
    <x v="2"/>
    <d v="2021-10-29T00:00:00"/>
    <s v="A"/>
    <x v="8"/>
    <x v="25"/>
    <m/>
    <s v="LZ1"/>
    <s v="NIPPLE S TYPE S SIZE PUNCHED LASER MARKED"/>
    <s v="HEJ28BH22"/>
    <s v="Saurabh"/>
    <n v="8"/>
    <n v="7000"/>
    <n v="875"/>
    <n v="7000"/>
    <n v="7000"/>
    <n v="0"/>
    <n v="0"/>
    <n v="0"/>
    <n v="0"/>
    <n v="0"/>
    <n v="0"/>
    <n v="1"/>
    <n v="7000"/>
    <n v="1"/>
    <x v="20"/>
    <n v="0"/>
    <n v="0"/>
    <s v=" "/>
    <n v="0"/>
    <n v="0"/>
    <n v="1"/>
    <n v="0.66666666666666663"/>
    <n v="7.333333333333333"/>
    <n v="0.91666666666666663"/>
    <n v="875"/>
    <n v="3.5"/>
    <n v="3.7714285714285714"/>
    <n v="0.92803030303030309"/>
    <n v="0.85069444444444442"/>
  </r>
  <r>
    <x v="2"/>
    <d v="2021-10-29T00:00:00"/>
    <s v="A"/>
    <x v="9"/>
    <x v="31"/>
    <m/>
    <s v="INJ1"/>
    <s v="HOOD S TYPE MOLDED"/>
    <s v="EJ29Ha"/>
    <s v="Saurabh"/>
    <n v="8"/>
    <n v="4137"/>
    <n v="517.125"/>
    <n v="5012"/>
    <n v="5000"/>
    <n v="0"/>
    <n v="0"/>
    <n v="0"/>
    <n v="0"/>
    <n v="4"/>
    <n v="8"/>
    <n v="1"/>
    <n v="5000"/>
    <n v="1.2086052695189751"/>
    <x v="1"/>
    <n v="8.6"/>
    <n v="43.103200000000001"/>
    <n v="0.99760574620909814"/>
    <n v="7.993605115907274E-4"/>
    <n v="0"/>
    <n v="0.99920191540303271"/>
    <n v="0"/>
    <n v="8"/>
    <n v="1"/>
    <n v="625"/>
    <n v="6"/>
    <n v="5.76"/>
    <n v="1.0416666666666667"/>
    <n v="1.0408353285448257"/>
  </r>
  <r>
    <x v="2"/>
    <d v="2021-10-29T00:00:00"/>
    <s v="A"/>
    <x v="0"/>
    <x v="10"/>
    <s v="M2"/>
    <s v="L2"/>
    <s v="NIPPLE S TYPE S SIZE INJECTION"/>
    <s v="HEJ29Na"/>
    <s v="Saurabh"/>
    <n v="8"/>
    <n v="4815"/>
    <n v="601.875"/>
    <n v="5440"/>
    <n v="5400"/>
    <n v="0"/>
    <n v="0"/>
    <n v="0"/>
    <n v="0"/>
    <n v="32"/>
    <n v="8"/>
    <n v="1"/>
    <n v="5400"/>
    <n v="1.1214953271028036"/>
    <x v="0"/>
    <n v="6.8"/>
    <n v="36.991999999999997"/>
    <n v="0.99264705882352944"/>
    <n v="5.8910162002945507E-3"/>
    <n v="0"/>
    <n v="0.99411764705882355"/>
    <n v="0"/>
    <n v="8"/>
    <n v="1"/>
    <n v="675"/>
    <n v="5.25"/>
    <n v="5.333333333333333"/>
    <n v="0.984375"/>
    <n v="0.97858455882352946"/>
  </r>
  <r>
    <x v="2"/>
    <d v="2021-10-29T00:00:00"/>
    <s v="A"/>
    <x v="6"/>
    <x v="21"/>
    <m/>
    <m/>
    <s v="KPP 240 ML BOTTLE PRINTED"/>
    <s v="EJ27BaJ29Pa"/>
    <s v="Pintu"/>
    <n v="8"/>
    <n v="5120"/>
    <n v="640"/>
    <n v="3605"/>
    <n v="3564"/>
    <n v="0"/>
    <n v="0"/>
    <n v="49"/>
    <n v="0"/>
    <n v="41"/>
    <n v="0"/>
    <n v="4.5"/>
    <n v="792"/>
    <n v="0.69609374999999996"/>
    <x v="16"/>
    <n v="0"/>
    <n v="0"/>
    <s v=" "/>
    <n v="1.1373092926490984E-2"/>
    <n v="0"/>
    <n v="0.98862690707350898"/>
    <n v="1"/>
    <n v="7"/>
    <n v="0.875"/>
    <n v="445.5"/>
    <n v="32.4"/>
    <n v="31.818181818181817"/>
    <n v="1.0182857142857142"/>
    <n v="0.88086657420249648"/>
  </r>
  <r>
    <x v="2"/>
    <d v="2021-10-29T00:00:00"/>
    <s v="G"/>
    <x v="7"/>
    <x v="24"/>
    <m/>
    <s v="WR1"/>
    <s v="NIPPLE S TYPE M SIZE WITH PRINTED WRAP"/>
    <s v="HEJ19AH22"/>
    <s v="Badelal"/>
    <n v="4"/>
    <n v="8886"/>
    <n v="2221.5"/>
    <n v="8277"/>
    <n v="8270"/>
    <n v="0"/>
    <n v="0"/>
    <n v="0"/>
    <n v="0"/>
    <n v="7"/>
    <n v="0"/>
    <n v="2"/>
    <n v="4135"/>
    <n v="0.93067747017780778"/>
    <x v="19"/>
    <n v="0"/>
    <n v="0"/>
    <s v=" "/>
    <n v="8.4571704723933794E-4"/>
    <n v="0"/>
    <n v="0.99915428295276065"/>
    <n v="0.83333333333333337"/>
    <n v="3.1666666666666665"/>
    <n v="0.79166666666666663"/>
    <n v="2067.5"/>
    <n v="2.5"/>
    <n v="2.7569528415961306"/>
    <n v="0.9067982456140351"/>
    <n v="0.71727481944612248"/>
  </r>
  <r>
    <x v="2"/>
    <d v="2021-10-29T00:00:00"/>
    <s v="G"/>
    <x v="7"/>
    <x v="33"/>
    <m/>
    <s v="WR1"/>
    <s v="NIPPLE S TYPE S SIZE WITH PRINTED WRAP"/>
    <s v="HEJ28AH22"/>
    <s v="Badelal"/>
    <n v="4"/>
    <n v="8886"/>
    <n v="2221.5"/>
    <n v="9163"/>
    <n v="9163"/>
    <n v="0"/>
    <n v="0"/>
    <n v="0"/>
    <n v="0"/>
    <n v="0"/>
    <n v="0"/>
    <n v="2"/>
    <n v="4581.5"/>
    <n v="1.0311726311051093"/>
    <x v="27"/>
    <n v="0"/>
    <n v="0"/>
    <s v=" "/>
    <n v="0"/>
    <n v="0"/>
    <n v="1"/>
    <n v="0"/>
    <n v="4"/>
    <n v="1"/>
    <n v="2290.75"/>
    <n v="2.5"/>
    <n v="3.1430754119829749"/>
    <n v="0.7953993055555556"/>
    <n v="0.7953993055555556"/>
  </r>
  <r>
    <x v="2"/>
    <d v="2021-10-29T00:00:00"/>
    <s v="G"/>
    <x v="4"/>
    <x v="16"/>
    <m/>
    <m/>
    <s v="NIPPLE S TYPE S SIZE PUNCHED INSPECTED"/>
    <s v="HEJ28AH22"/>
    <s v="Badelal"/>
    <n v="8"/>
    <n v="14000"/>
    <n v="1750"/>
    <n v="14200"/>
    <n v="14102"/>
    <n v="0"/>
    <n v="0"/>
    <n v="0"/>
    <n v="0"/>
    <n v="98"/>
    <n v="0"/>
    <n v="1"/>
    <n v="14102"/>
    <n v="1.0072857142857143"/>
    <x v="13"/>
    <n v="0"/>
    <n v="0"/>
    <s v=" "/>
    <n v="6.9014084507042252E-3"/>
    <n v="0"/>
    <n v="0.99309859154929581"/>
    <n v="0.83333333333333337"/>
    <n v="7.166666666666667"/>
    <n v="0.89583333333333337"/>
    <n v="1762.75"/>
    <n v="4"/>
    <n v="1.8295277265636081"/>
    <n v="2.1863565891472869"/>
    <n v="1.9450939358372461"/>
  </r>
  <r>
    <x v="2"/>
    <d v="2021-10-29T00:00:00"/>
    <s v="B"/>
    <x v="3"/>
    <x v="15"/>
    <m/>
    <s v="P1"/>
    <s v="NIPPLE S TYPE S SIZE PUNCHED"/>
    <s v="HEJ28NcJ29Pb"/>
    <s v="Badelal"/>
    <n v="8"/>
    <n v="7000"/>
    <n v="875"/>
    <n v="7000"/>
    <n v="7000"/>
    <n v="0"/>
    <n v="0"/>
    <n v="0"/>
    <n v="0"/>
    <n v="0"/>
    <n v="0"/>
    <n v="1"/>
    <n v="7000"/>
    <n v="1"/>
    <x v="12"/>
    <n v="0"/>
    <n v="0"/>
    <s v=" "/>
    <n v="0"/>
    <n v="0"/>
    <n v="1"/>
    <n v="0.66666666666666663"/>
    <n v="7.333333333333333"/>
    <n v="0.91666666666666663"/>
    <n v="875"/>
    <n v="3.5"/>
    <n v="3.7714285714285714"/>
    <n v="0.92803030303030309"/>
    <n v="0.85069444444444442"/>
  </r>
  <r>
    <x v="2"/>
    <d v="2021-10-29T00:00:00"/>
    <s v="B"/>
    <x v="8"/>
    <x v="25"/>
    <m/>
    <s v="LZ1"/>
    <s v="NIPPLE S TYPE S SIZE PUNCHED LASER MARKED"/>
    <s v="HEJ28CH22"/>
    <s v="Badelal"/>
    <n v="8"/>
    <n v="7000"/>
    <n v="875"/>
    <n v="7000"/>
    <n v="7000"/>
    <n v="0"/>
    <n v="0"/>
    <n v="0"/>
    <n v="0"/>
    <n v="0"/>
    <n v="0"/>
    <n v="1"/>
    <n v="7000"/>
    <n v="1"/>
    <x v="20"/>
    <n v="0"/>
    <n v="0"/>
    <s v=" "/>
    <n v="0"/>
    <n v="0"/>
    <n v="1"/>
    <n v="0.66666666666666663"/>
    <n v="7.333333333333333"/>
    <n v="0.91666666666666663"/>
    <n v="875"/>
    <n v="3.5"/>
    <n v="3.7714285714285714"/>
    <n v="0.92803030303030309"/>
    <n v="0.85069444444444442"/>
  </r>
  <r>
    <x v="2"/>
    <d v="2021-10-29T00:00:00"/>
    <s v="B"/>
    <x v="0"/>
    <x v="10"/>
    <s v="M2"/>
    <s v="L2"/>
    <s v="NIPPLE S TYPE S SIZE INJECTION"/>
    <s v="HEJ29Nb"/>
    <s v="Badelal"/>
    <n v="8"/>
    <n v="4815"/>
    <n v="601.875"/>
    <n v="5290"/>
    <n v="5200"/>
    <n v="0"/>
    <n v="30"/>
    <n v="0"/>
    <n v="0"/>
    <n v="60"/>
    <n v="0"/>
    <n v="1"/>
    <n v="5200"/>
    <n v="1.0799584631360333"/>
    <x v="0"/>
    <n v="6.8"/>
    <n v="35.972000000000001"/>
    <n v="0.98298676748582225"/>
    <n v="1.1406844106463879E-2"/>
    <n v="5.6390977443609019E-3"/>
    <n v="0.98865784499054821"/>
    <n v="0"/>
    <n v="8"/>
    <n v="1"/>
    <n v="650"/>
    <n v="5.25"/>
    <n v="5.5384615384615383"/>
    <n v="0.94791666666666674"/>
    <n v="0.93716524889729058"/>
  </r>
  <r>
    <x v="2"/>
    <d v="2021-10-29T00:00:00"/>
    <s v="B"/>
    <x v="9"/>
    <x v="31"/>
    <m/>
    <s v="INJ1"/>
    <s v="HOOD S TYPE MOLDED"/>
    <s v="EJ29Hb"/>
    <s v="Badelal"/>
    <n v="8"/>
    <n v="4137"/>
    <n v="517.125"/>
    <n v="4748"/>
    <n v="4700"/>
    <n v="0"/>
    <n v="40"/>
    <n v="0"/>
    <n v="0"/>
    <n v="8"/>
    <n v="0"/>
    <n v="1"/>
    <n v="4700"/>
    <n v="1.1360889533478367"/>
    <x v="1"/>
    <n v="8.6"/>
    <n v="40.832799999999999"/>
    <n v="0.9898904802021905"/>
    <n v="1.6992353440951572E-3"/>
    <n v="8.3542188805346695E-3"/>
    <n v="0.9983150800336984"/>
    <n v="0.33333333333333331"/>
    <n v="7.666666666666667"/>
    <n v="0.95833333333333337"/>
    <n v="587.5"/>
    <n v="6"/>
    <n v="5.8723404255319149"/>
    <n v="1.0217391304347827"/>
    <n v="0.9775168491996632"/>
  </r>
  <r>
    <x v="2"/>
    <d v="2021-10-29T00:00:00"/>
    <s v="B"/>
    <x v="6"/>
    <x v="21"/>
    <m/>
    <m/>
    <s v="KPP 240 ML BOTTLE PRINTED"/>
    <s v="EJ28Ba2J29Pb"/>
    <s v="Badelal"/>
    <n v="8"/>
    <n v="5100"/>
    <n v="637.5"/>
    <n v="5367"/>
    <n v="5292"/>
    <n v="0"/>
    <n v="0"/>
    <n v="52"/>
    <n v="0"/>
    <n v="75"/>
    <n v="0"/>
    <n v="5"/>
    <n v="1058.4000000000001"/>
    <n v="1.0376470588235294"/>
    <x v="16"/>
    <n v="0"/>
    <n v="0"/>
    <s v=" "/>
    <n v="1.3974287311347122E-2"/>
    <n v="0"/>
    <n v="0.98602571268865291"/>
    <n v="0.66666666666666663"/>
    <n v="7.333333333333333"/>
    <n v="0.91666666666666663"/>
    <n v="661.5"/>
    <n v="32.4"/>
    <n v="24.943310657596371"/>
    <n v="1.2989454545454546"/>
    <n v="1.1740608160983792"/>
  </r>
  <r>
    <x v="2"/>
    <d v="2021-10-29T00:00:00"/>
    <s v="C"/>
    <x v="1"/>
    <x v="72"/>
    <s v="BM3"/>
    <s v="B2"/>
    <s v="KPP BOTTLE 240 ML MOULDED-WMG3B"/>
    <s v="EJ29Bc2"/>
    <s v="Nitin"/>
    <n v="8"/>
    <n v="2503"/>
    <n v="312.875"/>
    <n v="1730"/>
    <n v="1620"/>
    <n v="0.32"/>
    <n v="58"/>
    <n v="0"/>
    <n v="0"/>
    <n v="44"/>
    <n v="8"/>
    <n v="1"/>
    <n v="1620"/>
    <n v="0.6472233320015981"/>
    <x v="7"/>
    <n v="33.1"/>
    <n v="57.583000000000006"/>
    <n v="0.93121233697445427"/>
    <n v="2.6442307692307692E-2"/>
    <n v="3.2438478747203577E-2"/>
    <n v="0.97456647398843932"/>
    <n v="4"/>
    <n v="4"/>
    <n v="0.5"/>
    <n v="202.5"/>
    <n v="9"/>
    <n v="8.8888888888888893"/>
    <n v="1.0125"/>
    <n v="0.49337427745664736"/>
  </r>
  <r>
    <x v="2"/>
    <d v="2021-10-29T00:00:00"/>
    <s v="C"/>
    <x v="9"/>
    <x v="31"/>
    <m/>
    <s v="INJ1"/>
    <s v="HOOD S TYPE MOLDED"/>
    <s v="EJ29Hc"/>
    <s v="Nitin"/>
    <n v="8"/>
    <n v="4137"/>
    <n v="517.125"/>
    <n v="5118"/>
    <n v="5100"/>
    <n v="0"/>
    <n v="0"/>
    <n v="0"/>
    <n v="0"/>
    <n v="10"/>
    <n v="8"/>
    <n v="1"/>
    <n v="5100"/>
    <n v="1.2327773749093547"/>
    <x v="1"/>
    <n v="8.6"/>
    <n v="44.014800000000001"/>
    <n v="0.99648300117233291"/>
    <n v="1.9569471624266144E-3"/>
    <n v="0"/>
    <n v="0.99804611176240721"/>
    <n v="0"/>
    <n v="8"/>
    <n v="1"/>
    <n v="637.5"/>
    <n v="6"/>
    <n v="5.6470588235294121"/>
    <n v="1.0625"/>
    <n v="1.0604239937475577"/>
  </r>
  <r>
    <x v="2"/>
    <d v="2021-10-29T00:00:00"/>
    <s v="C"/>
    <x v="0"/>
    <x v="10"/>
    <s v="M2"/>
    <s v="L2"/>
    <s v="NIPPLE S TYPE S SIZE INJECTION"/>
    <s v="HEJ29Nc"/>
    <s v="Nitin"/>
    <n v="8"/>
    <n v="4815"/>
    <n v="601.875"/>
    <n v="5463"/>
    <n v="5400"/>
    <n v="0"/>
    <n v="0"/>
    <n v="0"/>
    <n v="0"/>
    <n v="55"/>
    <n v="8"/>
    <n v="1"/>
    <n v="5400"/>
    <n v="1.1214953271028036"/>
    <x v="0"/>
    <n v="6.8"/>
    <n v="37.148399999999995"/>
    <n v="0.98846787479406928"/>
    <n v="1.0082493125572869E-2"/>
    <n v="0"/>
    <n v="0.98993227164561592"/>
    <n v="0"/>
    <n v="8"/>
    <n v="1"/>
    <n v="675"/>
    <n v="5.25"/>
    <n v="5.333333333333333"/>
    <n v="0.984375"/>
    <n v="0.97446457990115321"/>
  </r>
  <r>
    <x v="2"/>
    <d v="2021-10-30T00:00:00"/>
    <s v="A"/>
    <x v="1"/>
    <x v="72"/>
    <s v="BM3"/>
    <s v="B2"/>
    <s v="KPP BOTTLE 240 ML MOULDED-WMG3B"/>
    <s v="EJ30BA2"/>
    <s v="Himanshu"/>
    <n v="8"/>
    <n v="2574"/>
    <n v="321.75"/>
    <n v="3166"/>
    <n v="3024"/>
    <n v="0"/>
    <n v="52"/>
    <n v="0"/>
    <n v="0"/>
    <n v="82"/>
    <n v="8"/>
    <n v="1"/>
    <n v="3024"/>
    <n v="1.1748251748251748"/>
    <x v="7"/>
    <n v="33.1"/>
    <n v="104.79460000000002"/>
    <n v="0.95514845230574852"/>
    <n v="2.6400515132002575E-2"/>
    <n v="1.6159105034182723E-2"/>
    <n v="0.97409981048641814"/>
    <n v="0"/>
    <n v="8"/>
    <n v="1"/>
    <n v="378"/>
    <n v="9"/>
    <n v="9.5238095238095237"/>
    <n v="0.94500000000000006"/>
    <n v="0.92052432090966518"/>
  </r>
  <r>
    <x v="2"/>
    <d v="2021-10-30T00:00:00"/>
    <s v="A"/>
    <x v="0"/>
    <x v="10"/>
    <s v="M2"/>
    <s v="L2"/>
    <s v="NIPPLE S TYPE S SIZE INJECTION"/>
    <s v="HEJ30Na"/>
    <s v="Himanshu"/>
    <n v="8"/>
    <n v="4815"/>
    <n v="601.875"/>
    <n v="5557"/>
    <n v="5500"/>
    <n v="0"/>
    <n v="0"/>
    <n v="0"/>
    <n v="0"/>
    <n v="49"/>
    <n v="8"/>
    <n v="1"/>
    <n v="5500"/>
    <n v="1.142263759086189"/>
    <x v="0"/>
    <n v="6.8"/>
    <n v="37.787599999999998"/>
    <n v="0.98974266690660428"/>
    <n v="8.8304198954766624E-3"/>
    <n v="0"/>
    <n v="0.99118229260392299"/>
    <n v="0"/>
    <n v="8"/>
    <n v="1"/>
    <n v="687.5"/>
    <n v="5.25"/>
    <n v="5.2363636363636363"/>
    <n v="1.0026041666666667"/>
    <n v="0.99376349649091245"/>
  </r>
  <r>
    <x v="2"/>
    <d v="2021-10-30T00:00:00"/>
    <s v="A"/>
    <x v="9"/>
    <x v="31"/>
    <m/>
    <s v="INJ1"/>
    <s v="HOOD S TYPE MOLDED"/>
    <s v="EJ30Ha"/>
    <s v="Himanshu"/>
    <n v="8"/>
    <n v="4137"/>
    <n v="517.125"/>
    <n v="5012"/>
    <n v="5000"/>
    <n v="0"/>
    <n v="0"/>
    <n v="0"/>
    <n v="0"/>
    <n v="4"/>
    <n v="8"/>
    <n v="1"/>
    <n v="5000"/>
    <n v="1.2086052695189751"/>
    <x v="1"/>
    <n v="8.6"/>
    <n v="43.103200000000001"/>
    <n v="0.99760574620909814"/>
    <n v="7.993605115907274E-4"/>
    <n v="0"/>
    <n v="0.99920191540303271"/>
    <n v="0"/>
    <n v="8"/>
    <n v="1"/>
    <n v="625"/>
    <n v="6"/>
    <n v="5.76"/>
    <n v="1.0416666666666667"/>
    <n v="1.0408353285448257"/>
  </r>
  <r>
    <x v="2"/>
    <d v="2021-10-30T00:00:00"/>
    <s v="A"/>
    <x v="3"/>
    <x v="15"/>
    <m/>
    <s v="P1"/>
    <s v="NIPPLE S TYPE S SIZE PUNCHED"/>
    <s v="HEJ29NbJ30Pa"/>
    <s v="Badelal"/>
    <n v="8"/>
    <n v="7000"/>
    <n v="875"/>
    <n v="7000"/>
    <n v="7000"/>
    <n v="0"/>
    <n v="0"/>
    <n v="0"/>
    <n v="0"/>
    <n v="0"/>
    <n v="0"/>
    <n v="1"/>
    <n v="7000"/>
    <n v="1"/>
    <x v="12"/>
    <n v="0"/>
    <n v="0"/>
    <s v=" "/>
    <n v="0"/>
    <n v="0"/>
    <n v="1"/>
    <n v="0.66666666666666663"/>
    <n v="7.333333333333333"/>
    <n v="0.91666666666666663"/>
    <n v="875"/>
    <n v="3.5"/>
    <n v="3.7714285714285714"/>
    <n v="0.92803030303030309"/>
    <n v="0.85069444444444442"/>
  </r>
  <r>
    <x v="2"/>
    <d v="2021-10-30T00:00:00"/>
    <s v="A"/>
    <x v="8"/>
    <x v="25"/>
    <m/>
    <s v="LZ1"/>
    <s v="NIPPLE S TYPE S SIZE PUNCHED LASER MARKED"/>
    <s v="HEJ19AH22"/>
    <s v="Badelal"/>
    <n v="8"/>
    <n v="7000"/>
    <n v="875"/>
    <n v="6600"/>
    <n v="6600"/>
    <n v="0"/>
    <n v="0"/>
    <n v="0"/>
    <n v="0"/>
    <n v="0"/>
    <n v="0"/>
    <n v="1"/>
    <n v="6600"/>
    <n v="0.94285714285714284"/>
    <x v="20"/>
    <n v="0"/>
    <n v="0"/>
    <s v=" "/>
    <n v="0"/>
    <n v="0"/>
    <n v="1"/>
    <n v="0.66666666666666663"/>
    <n v="7.333333333333333"/>
    <n v="0.91666666666666663"/>
    <n v="825"/>
    <n v="3.5"/>
    <n v="4"/>
    <n v="0.875"/>
    <n v="0.80208333333333326"/>
  </r>
  <r>
    <x v="2"/>
    <d v="2021-10-30T00:00:00"/>
    <s v="A"/>
    <x v="6"/>
    <x v="21"/>
    <m/>
    <m/>
    <s v="KPP 240 ML BOTTLE PRINTED"/>
    <s v="EJ27Bb2J30Pa"/>
    <s v="Badelal"/>
    <n v="8"/>
    <n v="5100"/>
    <n v="637.5"/>
    <n v="4367"/>
    <n v="4320"/>
    <n v="0"/>
    <n v="0"/>
    <n v="46"/>
    <n v="0"/>
    <n v="47"/>
    <n v="0"/>
    <n v="5"/>
    <n v="864"/>
    <n v="0.84705882352941175"/>
    <x v="16"/>
    <n v="0"/>
    <n v="0"/>
    <s v=" "/>
    <n v="1.0762537210899932E-2"/>
    <n v="0"/>
    <n v="0.98923746278910007"/>
    <n v="2"/>
    <n v="6"/>
    <n v="0.75"/>
    <n v="540"/>
    <n v="32.4"/>
    <n v="25"/>
    <n v="1.296"/>
    <n v="0.96153881383100526"/>
  </r>
  <r>
    <x v="2"/>
    <d v="2021-10-30T00:00:00"/>
    <s v="G"/>
    <x v="4"/>
    <x v="16"/>
    <m/>
    <m/>
    <s v="NIPPLE S TYPE S SIZE PUNCHED INSPECTED"/>
    <s v="HEJ28CH22"/>
    <s v="Badelal"/>
    <n v="8"/>
    <n v="14000"/>
    <n v="1750"/>
    <n v="14000"/>
    <n v="13918"/>
    <n v="0"/>
    <n v="0"/>
    <n v="0"/>
    <n v="0"/>
    <n v="82"/>
    <n v="0"/>
    <n v="2"/>
    <n v="6959"/>
    <n v="0.99414285714285711"/>
    <x v="13"/>
    <n v="0"/>
    <n v="0"/>
    <s v=" "/>
    <n v="5.8571428571428568E-3"/>
    <n v="0"/>
    <n v="0.99414285714285711"/>
    <n v="0"/>
    <n v="8"/>
    <n v="1"/>
    <n v="1739.75"/>
    <n v="4"/>
    <n v="4.1385256502371028"/>
    <n v="0.96652777777777787"/>
    <n v="0.96086668650793661"/>
  </r>
  <r>
    <x v="2"/>
    <d v="2021-10-30T00:00:00"/>
    <s v="B"/>
    <x v="3"/>
    <x v="15"/>
    <m/>
    <s v="P1"/>
    <s v="NIPPLE S TYPE S SIZE PUNCHED"/>
    <s v="HEJ29NcJ30Pb"/>
    <s v="Badelal"/>
    <n v="8"/>
    <n v="7000"/>
    <n v="875"/>
    <n v="7000"/>
    <n v="7000"/>
    <n v="0"/>
    <n v="0"/>
    <n v="0"/>
    <n v="0"/>
    <n v="0"/>
    <n v="0"/>
    <n v="1"/>
    <n v="7000"/>
    <n v="1"/>
    <x v="12"/>
    <n v="0"/>
    <n v="0"/>
    <s v=" "/>
    <n v="0"/>
    <n v="0"/>
    <n v="1"/>
    <n v="0.66666666666666663"/>
    <n v="7.333333333333333"/>
    <n v="0.91666666666666663"/>
    <n v="875"/>
    <n v="3.5"/>
    <n v="3.7714285714285714"/>
    <n v="0.92803030303030309"/>
    <n v="0.85069444444444442"/>
  </r>
  <r>
    <x v="2"/>
    <d v="2021-10-30T00:00:00"/>
    <s v="B"/>
    <x v="8"/>
    <x v="25"/>
    <m/>
    <s v="LZ1"/>
    <s v="NIPPLE S TYPE S SIZE PUNCHED LASER MARKED"/>
    <s v="HEJ29BH22"/>
    <s v="Badelal"/>
    <n v="8"/>
    <n v="7000"/>
    <n v="875"/>
    <n v="7400"/>
    <n v="7400"/>
    <n v="0"/>
    <n v="0"/>
    <n v="0"/>
    <n v="0"/>
    <n v="0"/>
    <n v="0"/>
    <n v="1"/>
    <n v="7400"/>
    <n v="1.0571428571428572"/>
    <x v="20"/>
    <n v="0"/>
    <n v="0"/>
    <s v=" "/>
    <n v="0"/>
    <n v="0"/>
    <n v="1"/>
    <n v="0.66666666666666663"/>
    <n v="7.333333333333333"/>
    <n v="0.91666666666666663"/>
    <n v="925"/>
    <n v="3.5"/>
    <n v="3.5675675675675675"/>
    <n v="0.98106060606060608"/>
    <n v="0.89930555555555558"/>
  </r>
  <r>
    <x v="2"/>
    <d v="2021-10-30T00:00:00"/>
    <s v="B"/>
    <x v="1"/>
    <x v="72"/>
    <s v="BM3"/>
    <s v="B2"/>
    <s v="KPP BOTTLE 240 ML MOULDED-WMG3B"/>
    <s v="EJ30Bb2"/>
    <s v="Badelal"/>
    <n v="8"/>
    <n v="2503"/>
    <n v="312.875"/>
    <n v="1516"/>
    <n v="1404"/>
    <n v="0"/>
    <n v="50"/>
    <n v="0"/>
    <n v="0"/>
    <n v="62"/>
    <n v="0"/>
    <n v="1"/>
    <n v="1404"/>
    <n v="0.56092688773471833"/>
    <x v="7"/>
    <n v="33.1"/>
    <n v="50.179600000000008"/>
    <n v="0.92612137203166223"/>
    <n v="4.229195088676671E-2"/>
    <n v="3.1928480204342274E-2"/>
    <n v="0.95910290237467022"/>
    <n v="4"/>
    <n v="4"/>
    <n v="0.5"/>
    <n v="175.5"/>
    <n v="9"/>
    <n v="10.256410256410257"/>
    <n v="0.87749999999999995"/>
    <n v="0.42080639841688655"/>
  </r>
  <r>
    <x v="2"/>
    <d v="2021-10-30T00:00:00"/>
    <s v="B"/>
    <x v="0"/>
    <x v="10"/>
    <s v="M2"/>
    <s v="L2"/>
    <s v="NIPPLE S TYPE S SIZE INJECTION"/>
    <s v="HEJ30Nb"/>
    <s v="Badelal"/>
    <n v="8"/>
    <n v="4815"/>
    <n v="601.875"/>
    <n v="4900"/>
    <n v="4800"/>
    <n v="0"/>
    <n v="60"/>
    <n v="0"/>
    <n v="0"/>
    <n v="40"/>
    <n v="0"/>
    <n v="1"/>
    <n v="4800"/>
    <n v="0.99688473520249221"/>
    <x v="0"/>
    <n v="6.8"/>
    <n v="33.32"/>
    <n v="0.97959183673469385"/>
    <n v="8.2644628099173556E-3"/>
    <n v="1.2096774193548387E-2"/>
    <n v="0.99183673469387756"/>
    <n v="0"/>
    <n v="8"/>
    <n v="1"/>
    <n v="600"/>
    <n v="5.25"/>
    <n v="6"/>
    <n v="0.875"/>
    <n v="0.86785714285714288"/>
  </r>
  <r>
    <x v="2"/>
    <d v="2021-10-30T00:00:00"/>
    <s v="B"/>
    <x v="9"/>
    <x v="31"/>
    <m/>
    <s v="INJ1"/>
    <s v="HOOD S TYPE MOLDED"/>
    <s v="EJ30Hc"/>
    <s v="Badelal"/>
    <n v="8"/>
    <n v="4137"/>
    <n v="517.125"/>
    <n v="4808"/>
    <n v="4800"/>
    <n v="0"/>
    <n v="0"/>
    <n v="0"/>
    <n v="0"/>
    <n v="8"/>
    <n v="0"/>
    <n v="1"/>
    <n v="4800"/>
    <n v="1.1602610587382161"/>
    <x v="1"/>
    <n v="8.6"/>
    <n v="41.348799999999997"/>
    <n v="0.9983361064891848"/>
    <n v="1.6638935108153079E-3"/>
    <n v="0"/>
    <n v="0.99833610648918469"/>
    <n v="0"/>
    <n v="8"/>
    <n v="1"/>
    <n v="600"/>
    <n v="6"/>
    <n v="6"/>
    <n v="1"/>
    <n v="0.99833610648918469"/>
  </r>
  <r>
    <x v="2"/>
    <d v="2021-10-30T00:00:00"/>
    <s v="B"/>
    <x v="6"/>
    <x v="21"/>
    <m/>
    <m/>
    <s v="KPP 240 ML BOTTLE PRINTED"/>
    <s v="EJ28Ba2J30Pb"/>
    <s v="Badelal"/>
    <n v="8"/>
    <n v="5100"/>
    <n v="637.5"/>
    <n v="4956"/>
    <n v="4915"/>
    <n v="0"/>
    <n v="0"/>
    <n v="49"/>
    <n v="0"/>
    <n v="41"/>
    <n v="0"/>
    <n v="5"/>
    <n v="983"/>
    <n v="0.96372549019607845"/>
    <x v="16"/>
    <n v="0"/>
    <n v="0"/>
    <s v=" "/>
    <n v="8.2728006456820012E-3"/>
    <n v="0"/>
    <n v="0.99172719935431797"/>
    <n v="0"/>
    <n v="8"/>
    <n v="1"/>
    <n v="614.375"/>
    <n v="32.4"/>
    <n v="29.298067141403866"/>
    <n v="1.1058749999999999"/>
    <n v="1.0967263165859564"/>
  </r>
  <r>
    <x v="2"/>
    <d v="2021-10-30T00:00:00"/>
    <s v="C"/>
    <x v="1"/>
    <x v="72"/>
    <s v="BM3"/>
    <s v="B2"/>
    <s v="KPP BOTTLE 240 ML MOULDED-WMG3B"/>
    <s v="EJ29Bc2"/>
    <s v="Nitin"/>
    <n v="8"/>
    <n v="2503"/>
    <n v="312.875"/>
    <n v="2828"/>
    <n v="2700"/>
    <n v="0.32"/>
    <n v="62"/>
    <n v="0"/>
    <n v="0"/>
    <n v="58"/>
    <n v="8"/>
    <n v="1"/>
    <n v="2700"/>
    <n v="1.0787055533359968"/>
    <x v="7"/>
    <n v="33.1"/>
    <n v="93.9268"/>
    <n v="0.95148562497604539"/>
    <n v="2.1029731689630168E-2"/>
    <n v="2.1453287197231833E-2"/>
    <n v="0.9794908062234795"/>
    <n v="0.5"/>
    <n v="7.5"/>
    <n v="0.9375"/>
    <n v="337.5"/>
    <n v="9"/>
    <n v="10"/>
    <n v="0.9"/>
    <n v="0.82644536775106081"/>
  </r>
  <r>
    <x v="2"/>
    <d v="2021-10-30T00:00:00"/>
    <s v="C"/>
    <x v="9"/>
    <x v="31"/>
    <m/>
    <s v="INJ1"/>
    <s v="HOOD S TYPE MOLDED"/>
    <s v="EJ29Hc"/>
    <s v="Nitin"/>
    <n v="8"/>
    <n v="4137"/>
    <n v="517.125"/>
    <n v="4713"/>
    <n v="4700"/>
    <n v="0.1"/>
    <n v="0"/>
    <n v="0"/>
    <n v="0"/>
    <n v="5"/>
    <n v="8"/>
    <n v="1"/>
    <n v="4700"/>
    <n v="1.1360889533478367"/>
    <x v="1"/>
    <n v="8.6"/>
    <n v="40.631799999999998"/>
    <n v="0.99478733405854536"/>
    <n v="1.0626992561105207E-3"/>
    <n v="0"/>
    <n v="0.99893910460428603"/>
    <n v="0.5"/>
    <n v="7.5"/>
    <n v="0.9375"/>
    <n v="587.5"/>
    <n v="6"/>
    <n v="5.7446808510638299"/>
    <n v="1.0444444444444445"/>
    <n v="0.97812787325836337"/>
  </r>
  <r>
    <x v="2"/>
    <d v="2021-10-30T00:00:00"/>
    <s v="C"/>
    <x v="0"/>
    <x v="10"/>
    <s v="M2"/>
    <s v="L2"/>
    <s v="NIPPLE S TYPE S SIZE INJECTION"/>
    <s v="HEJ29Nc"/>
    <s v="Nitin"/>
    <n v="8"/>
    <n v="4815"/>
    <n v="601.875"/>
    <n v="4785"/>
    <n v="4730"/>
    <n v="0.6"/>
    <n v="0"/>
    <n v="0"/>
    <n v="0"/>
    <n v="47"/>
    <n v="8"/>
    <n v="1"/>
    <n v="4730"/>
    <n v="0.98234683281412249"/>
    <x v="0"/>
    <n v="6.8"/>
    <n v="33.137999999999998"/>
    <n v="0.97060776148228634"/>
    <n v="9.8388109692275488E-3"/>
    <n v="0"/>
    <n v="0.99017763845350049"/>
    <n v="0.5"/>
    <n v="7.5"/>
    <n v="0.9375"/>
    <n v="591.25"/>
    <n v="5.25"/>
    <n v="5.7082452431289639"/>
    <n v="0.91972222222222222"/>
    <n v="0.85377035440613025"/>
  </r>
  <r>
    <x v="3"/>
    <d v="2021-11-01T00:00:00"/>
    <s v="A"/>
    <x v="9"/>
    <x v="31"/>
    <m/>
    <s v="INJ1"/>
    <s v="HOOD S TYPE MOLDED"/>
    <s v="EK01Ha"/>
    <s v="Nitin"/>
    <n v="8"/>
    <n v="4137"/>
    <n v="517.125"/>
    <n v="4058"/>
    <n v="4000"/>
    <n v="0.1"/>
    <n v="30"/>
    <n v="0"/>
    <n v="0"/>
    <n v="20"/>
    <n v="8"/>
    <n v="1"/>
    <n v="4000"/>
    <n v="0.96688421561518012"/>
    <x v="1"/>
    <n v="8.6"/>
    <n v="34.998800000000003"/>
    <n v="0.9828908419717246"/>
    <n v="4.9751243781094526E-3"/>
    <n v="7.3385518590998039E-3"/>
    <n v="0.99507146377525879"/>
    <n v="0.5"/>
    <n v="7.5"/>
    <n v="0.9375"/>
    <n v="500"/>
    <n v="6"/>
    <n v="6.75"/>
    <n v="0.88888888888888884"/>
    <n v="0.8292262198127156"/>
  </r>
  <r>
    <x v="3"/>
    <d v="2021-11-01T00:00:00"/>
    <s v="A"/>
    <x v="1"/>
    <x v="72"/>
    <s v="BM3"/>
    <s v="B2"/>
    <s v="KPP BOTTLE 240 ML MOULDED-WMG3B"/>
    <s v="EK01Ba2"/>
    <s v="Nitin"/>
    <n v="8"/>
    <n v="2503"/>
    <n v="312.875"/>
    <n v="2511"/>
    <n v="2376"/>
    <n v="0.12"/>
    <n v="67"/>
    <n v="0"/>
    <n v="0"/>
    <n v="52"/>
    <n v="16"/>
    <n v="1"/>
    <n v="2376"/>
    <n v="0.94926088693567723"/>
    <x v="7"/>
    <n v="33.1"/>
    <n v="83.234100000000012"/>
    <n v="0.94487235399914227"/>
    <n v="2.1416803953871501E-2"/>
    <n v="2.5989138867339022E-2"/>
    <n v="0.97929111907606536"/>
    <n v="2.1666666666666665"/>
    <n v="5.8333333333333339"/>
    <n v="0.72916666666666674"/>
    <n v="297"/>
    <n v="9"/>
    <n v="8.8383838383838391"/>
    <n v="1.0182857142857142"/>
    <n v="0.72712365591397854"/>
  </r>
  <r>
    <x v="3"/>
    <d v="2021-11-01T00:00:00"/>
    <s v="A"/>
    <x v="0"/>
    <x v="10"/>
    <s v="M2"/>
    <s v="L2"/>
    <s v="NIPPLE S TYPE S SIZE INJECTION"/>
    <s v="HEK01Na"/>
    <s v="Nitin"/>
    <n v="8"/>
    <n v="4815"/>
    <n v="601.875"/>
    <n v="4665"/>
    <n v="4500"/>
    <n v="6.9970000000000008"/>
    <n v="94"/>
    <n v="0"/>
    <n v="0"/>
    <n v="55"/>
    <n v="16"/>
    <n v="1"/>
    <n v="4500"/>
    <n v="0.93457943925233644"/>
    <x v="0"/>
    <n v="6.8"/>
    <n v="38.719000000000001"/>
    <n v="0.79030966708850947"/>
    <n v="1.2074643249176729E-2"/>
    <n v="1.9752048749737339E-2"/>
    <n v="0.98821007502679525"/>
    <n v="1.6666666666666667"/>
    <n v="6.333333333333333"/>
    <n v="0.79166666666666663"/>
    <n v="562.5"/>
    <n v="5.25"/>
    <n v="5.0666666666666664"/>
    <n v="1.0361842105263159"/>
    <n v="0.810641077170418"/>
  </r>
  <r>
    <x v="3"/>
    <d v="2021-11-01T00:00:00"/>
    <s v="A"/>
    <x v="3"/>
    <x v="15"/>
    <m/>
    <s v="P1"/>
    <s v="NIPPLE S TYPE S SIZE PUNCHED"/>
    <s v="HEJ30NbK01Pa"/>
    <s v="Nitin"/>
    <n v="8"/>
    <n v="7000"/>
    <n v="875"/>
    <n v="7300"/>
    <n v="7300"/>
    <n v="0"/>
    <n v="0"/>
    <n v="0"/>
    <n v="0"/>
    <n v="0"/>
    <n v="0"/>
    <n v="1"/>
    <n v="7300"/>
    <n v="1.0428571428571429"/>
    <x v="12"/>
    <n v="0"/>
    <n v="0"/>
    <s v=" "/>
    <n v="0"/>
    <n v="0"/>
    <n v="1"/>
    <n v="0"/>
    <n v="8"/>
    <n v="1"/>
    <n v="912.5"/>
    <n v="3.5"/>
    <n v="3.9452054794520546"/>
    <n v="0.88715277777777779"/>
    <n v="0.88715277777777779"/>
  </r>
  <r>
    <x v="3"/>
    <d v="2021-11-01T00:00:00"/>
    <s v="A"/>
    <x v="8"/>
    <x v="25"/>
    <m/>
    <s v="LZ1"/>
    <s v="NIPPLE S TYPE S SIZE PUNCHED LASER MARKED"/>
    <s v="HEJ30AH22"/>
    <s v="Nitin"/>
    <n v="8"/>
    <n v="7000"/>
    <n v="875"/>
    <n v="7300"/>
    <n v="7300"/>
    <n v="0"/>
    <n v="0"/>
    <n v="0"/>
    <n v="0"/>
    <n v="0"/>
    <n v="0"/>
    <n v="1"/>
    <n v="7300"/>
    <n v="1.0428571428571429"/>
    <x v="20"/>
    <n v="0"/>
    <n v="0"/>
    <s v=" "/>
    <n v="0"/>
    <n v="0"/>
    <n v="1"/>
    <n v="0"/>
    <n v="8"/>
    <n v="1"/>
    <n v="912.5"/>
    <n v="3.5"/>
    <n v="3.9452054794520546"/>
    <n v="0.88715277777777779"/>
    <n v="0.88715277777777779"/>
  </r>
  <r>
    <x v="3"/>
    <d v="2021-11-01T00:00:00"/>
    <s v="G"/>
    <x v="4"/>
    <x v="16"/>
    <m/>
    <m/>
    <s v="NIPPLE S TYPE S SIZE PUNCHED INSPECTED"/>
    <s v="HEJ29CH22"/>
    <s v="Badelal"/>
    <n v="8"/>
    <n v="14000"/>
    <n v="1750"/>
    <n v="14300"/>
    <n v="14230"/>
    <n v="0"/>
    <n v="0"/>
    <n v="0"/>
    <n v="0"/>
    <n v="70"/>
    <n v="0"/>
    <n v="1"/>
    <n v="14230"/>
    <n v="1.0164285714285715"/>
    <x v="13"/>
    <n v="0"/>
    <n v="0"/>
    <s v=" "/>
    <n v="4.8951048951048955E-3"/>
    <n v="0"/>
    <n v="0.99510489510489508"/>
    <n v="0.83333333333333337"/>
    <n v="7.166666666666667"/>
    <n v="0.89583333333333337"/>
    <n v="1778.75"/>
    <n v="4"/>
    <n v="1.8130709768095572"/>
    <n v="2.2062015503875969"/>
    <n v="1.966714257964258"/>
  </r>
  <r>
    <x v="3"/>
    <d v="2021-11-01T00:00:00"/>
    <s v="B"/>
    <x v="3"/>
    <x v="15"/>
    <m/>
    <s v="P1"/>
    <s v="NIPPLE S TYPE S SIZE PUNCHED"/>
    <s v="HEK01NaK01Pb"/>
    <s v="Badelal"/>
    <n v="8"/>
    <n v="7000"/>
    <n v="875"/>
    <n v="7230"/>
    <n v="7230"/>
    <n v="0"/>
    <n v="0"/>
    <n v="0"/>
    <n v="0"/>
    <n v="0"/>
    <n v="0"/>
    <n v="1"/>
    <n v="7230"/>
    <n v="1.0328571428571429"/>
    <x v="12"/>
    <n v="0"/>
    <n v="0"/>
    <s v=" "/>
    <n v="0"/>
    <n v="0"/>
    <n v="1"/>
    <n v="0.66666666666666663"/>
    <n v="7.333333333333333"/>
    <n v="0.91666666666666663"/>
    <n v="903.75"/>
    <n v="3.5"/>
    <n v="3.6514522821576763"/>
    <n v="0.95852272727272725"/>
    <n v="0.87864583333333324"/>
  </r>
  <r>
    <x v="3"/>
    <d v="2021-11-01T00:00:00"/>
    <s v="B"/>
    <x v="8"/>
    <x v="25"/>
    <m/>
    <s v="LZ1"/>
    <s v="NIPPLE S TYPE S SIZE PUNCHED LASER MARKED"/>
    <s v="HEJ30BH22"/>
    <s v="Badelal"/>
    <n v="8"/>
    <n v="7000"/>
    <n v="875"/>
    <n v="6730"/>
    <n v="6730"/>
    <n v="0"/>
    <n v="0"/>
    <n v="0"/>
    <n v="0"/>
    <n v="0"/>
    <n v="0"/>
    <n v="1"/>
    <n v="6730"/>
    <n v="0.96142857142857141"/>
    <x v="20"/>
    <n v="0"/>
    <n v="0"/>
    <s v=" "/>
    <n v="0"/>
    <n v="0"/>
    <n v="1"/>
    <n v="0.66666666666666663"/>
    <n v="7.333333333333333"/>
    <n v="0.91666666666666663"/>
    <n v="841.25"/>
    <n v="3.5"/>
    <n v="3.9227340267459136"/>
    <n v="0.89223484848484858"/>
    <n v="0.81788194444444451"/>
  </r>
  <r>
    <x v="3"/>
    <d v="2021-11-01T00:00:00"/>
    <s v="B"/>
    <x v="9"/>
    <x v="31"/>
    <m/>
    <s v="INJ1"/>
    <s v="HOOD S TYPE MOLDED"/>
    <s v="EK01Hb"/>
    <s v="Badelal"/>
    <n v="8"/>
    <n v="4137"/>
    <n v="517.125"/>
    <n v="5038"/>
    <n v="5000"/>
    <n v="0"/>
    <n v="30"/>
    <n v="0"/>
    <n v="0"/>
    <n v="8"/>
    <n v="0"/>
    <n v="1"/>
    <n v="5000"/>
    <n v="1.2086052695189751"/>
    <x v="1"/>
    <n v="8.6"/>
    <n v="43.326799999999999"/>
    <n v="0.99245732433505363"/>
    <n v="1.5974440894568689E-3"/>
    <n v="5.9194948697711127E-3"/>
    <n v="0.99841206828106388"/>
    <n v="0"/>
    <n v="8"/>
    <n v="1"/>
    <n v="625"/>
    <n v="6"/>
    <n v="5.76"/>
    <n v="1.0416666666666667"/>
    <n v="1.0400125711261083"/>
  </r>
  <r>
    <x v="3"/>
    <d v="2021-11-01T00:00:00"/>
    <s v="B"/>
    <x v="1"/>
    <x v="72"/>
    <s v="BM3"/>
    <s v="B2"/>
    <s v="KPP BOTTLE 240 ML MOULDED-WMG3B"/>
    <s v="EK01Bb2"/>
    <s v="Badelal"/>
    <n v="8"/>
    <n v="2574"/>
    <n v="321.75"/>
    <n v="2915"/>
    <n v="2808"/>
    <n v="0"/>
    <n v="52"/>
    <n v="0"/>
    <n v="0"/>
    <n v="55"/>
    <n v="0"/>
    <n v="1"/>
    <n v="2808"/>
    <n v="1.0909090909090908"/>
    <x v="7"/>
    <n v="33.1"/>
    <n v="96.486500000000007"/>
    <n v="0.96329331046312183"/>
    <n v="1.9210618232623121E-2"/>
    <n v="1.7526120660599932E-2"/>
    <n v="0.98113207547169812"/>
    <n v="0"/>
    <n v="8"/>
    <n v="1"/>
    <n v="351"/>
    <n v="9"/>
    <n v="10.256410256410257"/>
    <n v="0.87749999999999995"/>
    <n v="0.86094339622641503"/>
  </r>
  <r>
    <x v="3"/>
    <d v="2021-11-01T00:00:00"/>
    <s v="B"/>
    <x v="0"/>
    <x v="10"/>
    <s v="M2"/>
    <s v="L2"/>
    <s v="NIPPLE S TYPE S SIZE INJECTION"/>
    <s v="HEK01Nb"/>
    <s v="Badelal"/>
    <n v="8"/>
    <n v="4815"/>
    <n v="601.875"/>
    <n v="5140"/>
    <n v="5070"/>
    <n v="0"/>
    <n v="30"/>
    <n v="0"/>
    <n v="0"/>
    <n v="40"/>
    <n v="0"/>
    <n v="1"/>
    <n v="5070"/>
    <n v="1.0529595015576323"/>
    <x v="0"/>
    <n v="6.8"/>
    <n v="34.951999999999998"/>
    <n v="0.98638132295719849"/>
    <n v="7.8277886497064575E-3"/>
    <n v="5.8027079303675051E-3"/>
    <n v="0.99221789883268485"/>
    <n v="0"/>
    <n v="8"/>
    <n v="1"/>
    <n v="633.75"/>
    <n v="5.25"/>
    <n v="5.6804733727810648"/>
    <n v="0.92421875000000009"/>
    <n v="0.91702638618677057"/>
  </r>
  <r>
    <x v="3"/>
    <d v="2021-11-01T00:00:00"/>
    <s v="B"/>
    <x v="6"/>
    <x v="21"/>
    <m/>
    <m/>
    <s v="KPP 240 ML BOTTLE PRINTED"/>
    <s v="EJ28Bb2K01Pb"/>
    <s v="Badelal"/>
    <n v="4"/>
    <n v="2550"/>
    <n v="637.5"/>
    <n v="2066"/>
    <n v="2052"/>
    <n v="0"/>
    <n v="0"/>
    <n v="27"/>
    <n v="0"/>
    <n v="14"/>
    <n v="0"/>
    <n v="5"/>
    <n v="410.4"/>
    <n v="0.80470588235294116"/>
    <x v="16"/>
    <n v="0"/>
    <n v="0"/>
    <s v=" "/>
    <n v="6.7763794772507258E-3"/>
    <n v="0"/>
    <n v="0.99322362052274926"/>
    <n v="0.66666666666666663"/>
    <n v="3.3333333333333335"/>
    <n v="0.83333333333333337"/>
    <n v="513"/>
    <n v="32.4"/>
    <n v="29.239766081871348"/>
    <n v="1.1080799999999997"/>
    <n v="0.91714269119070646"/>
  </r>
  <r>
    <x v="3"/>
    <d v="2021-11-01T00:00:00"/>
    <s v="C"/>
    <x v="1"/>
    <x v="18"/>
    <s v="BM3"/>
    <s v="B2"/>
    <s v="KPP 240 ML BOTTLE MOLDED"/>
    <s v="EK01Bc2"/>
    <s v="Saurabh"/>
    <n v="8"/>
    <n v="2574"/>
    <n v="321.75"/>
    <n v="1720"/>
    <n v="1620"/>
    <n v="1.5"/>
    <n v="60"/>
    <n v="0"/>
    <n v="0"/>
    <n v="32"/>
    <n v="8"/>
    <n v="1"/>
    <n v="1620"/>
    <n v="0.62937062937062938"/>
    <x v="1"/>
    <n v="32.1"/>
    <n v="56.712000000000003"/>
    <n v="0.91694879390605166"/>
    <n v="1.9370460048426151E-2"/>
    <n v="3.3707865168539325E-2"/>
    <n v="0.98139534883720925"/>
    <n v="3.8333333333333335"/>
    <n v="4.1666666666666661"/>
    <n v="0.52083333333333326"/>
    <n v="202.5"/>
    <n v="9"/>
    <n v="9.2592592592592577"/>
    <n v="0.9720000000000002"/>
    <n v="0.49683139534883725"/>
  </r>
  <r>
    <x v="3"/>
    <d v="2021-11-01T00:00:00"/>
    <s v="C"/>
    <x v="0"/>
    <x v="10"/>
    <s v="M2"/>
    <s v="L2"/>
    <s v="NIPPLE S TYPE S SIZE INJECTION"/>
    <s v="HEK01Nc"/>
    <s v="Saurabh"/>
    <n v="8"/>
    <n v="4815"/>
    <n v="601.875"/>
    <n v="4402"/>
    <n v="4300"/>
    <n v="6.3800000000000008"/>
    <n v="56"/>
    <n v="0"/>
    <n v="0"/>
    <n v="38"/>
    <n v="8"/>
    <n v="1"/>
    <n v="4300"/>
    <n v="0.89304257528556596"/>
    <x v="0"/>
    <n v="6.8"/>
    <n v="36.313600000000001"/>
    <n v="0.80520796616143808"/>
    <n v="8.7597971415398802E-3"/>
    <n v="1.256168685509197E-2"/>
    <n v="0.99136756019990913"/>
    <n v="1"/>
    <n v="7"/>
    <n v="0.875"/>
    <n v="537.5"/>
    <n v="5.25"/>
    <n v="5.8604651162790695"/>
    <n v="0.89583333333333337"/>
    <n v="0.77708759276086625"/>
  </r>
  <r>
    <x v="3"/>
    <d v="2021-11-01T00:00:00"/>
    <s v="C"/>
    <x v="9"/>
    <x v="31"/>
    <m/>
    <s v="INJ1"/>
    <s v="HOOD S TYPE MOLDED"/>
    <s v="EK01Hc"/>
    <s v="Saurabh"/>
    <n v="8"/>
    <n v="4137"/>
    <n v="517.125"/>
    <n v="4819"/>
    <n v="4800"/>
    <n v="0"/>
    <n v="0"/>
    <n v="0"/>
    <n v="0"/>
    <n v="11"/>
    <n v="8"/>
    <n v="1"/>
    <n v="4800"/>
    <n v="1.1602610587382161"/>
    <x v="1"/>
    <n v="8.6"/>
    <n v="41.443399999999997"/>
    <n v="0.99605727329321447"/>
    <n v="2.2864269382664726E-3"/>
    <n v="0"/>
    <n v="0.99771736874870309"/>
    <n v="0"/>
    <n v="8"/>
    <n v="1"/>
    <n v="600"/>
    <n v="6"/>
    <n v="6"/>
    <n v="1"/>
    <n v="0.99771736874870309"/>
  </r>
  <r>
    <x v="3"/>
    <d v="2021-11-02T00:00:00"/>
    <s v="A"/>
    <x v="9"/>
    <x v="31"/>
    <m/>
    <s v="INJ1"/>
    <s v="HOOD S TYPE MOLDED"/>
    <s v="EK02Ha"/>
    <s v="Nitin"/>
    <n v="8"/>
    <n v="4137"/>
    <n v="517.125"/>
    <n v="4816"/>
    <n v="4800"/>
    <n v="0"/>
    <n v="0"/>
    <n v="0"/>
    <n v="0"/>
    <n v="8"/>
    <n v="8"/>
    <n v="1"/>
    <n v="4800"/>
    <n v="1.1602610587382161"/>
    <x v="1"/>
    <n v="8.6"/>
    <n v="41.4176"/>
    <n v="0.99667774086378735"/>
    <n v="1.6638935108153079E-3"/>
    <n v="0"/>
    <n v="0.99833887043189373"/>
    <n v="0"/>
    <n v="8"/>
    <n v="1"/>
    <n v="600"/>
    <n v="6"/>
    <n v="6"/>
    <n v="1"/>
    <n v="0.99833887043189373"/>
  </r>
  <r>
    <x v="3"/>
    <d v="2021-11-02T00:00:00"/>
    <s v="A"/>
    <x v="1"/>
    <x v="18"/>
    <s v="BM3"/>
    <s v="B2"/>
    <s v="KPP 240 ML BOTTLE MOLDED"/>
    <s v="EK02Ba2"/>
    <s v="Nitin"/>
    <n v="8"/>
    <n v="2573"/>
    <n v="321.625"/>
    <n v="3205"/>
    <n v="3132"/>
    <n v="0.32"/>
    <n v="25"/>
    <n v="0"/>
    <n v="0"/>
    <n v="40"/>
    <n v="8"/>
    <n v="1"/>
    <n v="3132"/>
    <n v="1.2172561212592306"/>
    <x v="1"/>
    <n v="32.1"/>
    <n v="103.20050000000001"/>
    <n v="0.97419295449149967"/>
    <n v="1.2610340479192938E-2"/>
    <n v="7.7399380804953561E-3"/>
    <n v="0.98751950078003126"/>
    <n v="0"/>
    <n v="8"/>
    <n v="1"/>
    <n v="391.5"/>
    <n v="9"/>
    <n v="9.1954022988505741"/>
    <n v="0.97875000000000001"/>
    <n v="0.96653471138845559"/>
  </r>
  <r>
    <x v="3"/>
    <d v="2021-11-02T00:00:00"/>
    <s v="A"/>
    <x v="0"/>
    <x v="10"/>
    <s v="M2"/>
    <s v="L2"/>
    <s v="NIPPLE S TYPE S SIZE INJECTION"/>
    <s v="HEK02Na"/>
    <s v="Nitin"/>
    <n v="8"/>
    <n v="4815"/>
    <n v="601.875"/>
    <n v="5458"/>
    <n v="5400"/>
    <n v="0"/>
    <n v="0"/>
    <n v="0"/>
    <n v="0"/>
    <n v="42"/>
    <n v="16"/>
    <n v="1"/>
    <n v="5400"/>
    <n v="1.1214953271028036"/>
    <x v="0"/>
    <n v="6.8"/>
    <n v="37.114399999999996"/>
    <n v="0.98937339684866255"/>
    <n v="7.717750826901874E-3"/>
    <n v="0"/>
    <n v="0.99230487358006592"/>
    <n v="0"/>
    <n v="8"/>
    <n v="1"/>
    <n v="675"/>
    <n v="5.25"/>
    <n v="5.333333333333333"/>
    <n v="0.984375"/>
    <n v="0.97680010993037736"/>
  </r>
  <r>
    <x v="3"/>
    <d v="2021-11-02T00:00:00"/>
    <s v="A"/>
    <x v="3"/>
    <x v="15"/>
    <m/>
    <s v="P1"/>
    <s v="NIPPLE S TYPE S SIZE PUNCHED"/>
    <s v="HEK01NaK02Pa"/>
    <s v="Nitin"/>
    <n v="8"/>
    <n v="7000"/>
    <n v="875"/>
    <n v="7070"/>
    <n v="7070"/>
    <n v="0"/>
    <n v="0"/>
    <n v="0"/>
    <n v="0"/>
    <n v="0"/>
    <n v="0"/>
    <n v="1"/>
    <n v="7070"/>
    <n v="1.01"/>
    <x v="12"/>
    <n v="0"/>
    <n v="0"/>
    <s v=" "/>
    <n v="0"/>
    <n v="0"/>
    <n v="1"/>
    <n v="0"/>
    <n v="8"/>
    <n v="1"/>
    <n v="883.75"/>
    <n v="3.5"/>
    <n v="4.0735502121640739"/>
    <n v="0.85920138888888886"/>
    <n v="0.85920138888888886"/>
  </r>
  <r>
    <x v="3"/>
    <d v="2021-11-02T00:00:00"/>
    <s v="A"/>
    <x v="8"/>
    <x v="25"/>
    <m/>
    <s v="LZ1"/>
    <s v="NIPPLE S TYPE S SIZE PUNCHED LASER MARKED"/>
    <s v="HEJ3BH22"/>
    <s v="Nitin"/>
    <n v="8"/>
    <n v="7000"/>
    <n v="875"/>
    <n v="6500"/>
    <n v="6500"/>
    <n v="0"/>
    <n v="0"/>
    <n v="0"/>
    <n v="0"/>
    <n v="0"/>
    <n v="0"/>
    <n v="1"/>
    <n v="6500"/>
    <n v="0.9285714285714286"/>
    <x v="20"/>
    <n v="0"/>
    <n v="0"/>
    <s v=" "/>
    <n v="0"/>
    <n v="0"/>
    <n v="1"/>
    <n v="0"/>
    <n v="8"/>
    <n v="1"/>
    <n v="812.5"/>
    <n v="3.5"/>
    <n v="4.430769230769231"/>
    <n v="0.78993055555555547"/>
    <n v="0.78993055555555547"/>
  </r>
  <r>
    <x v="3"/>
    <d v="2021-11-02T00:00:00"/>
    <s v="G"/>
    <x v="4"/>
    <x v="16"/>
    <m/>
    <m/>
    <s v="NIPPLE S TYPE S SIZE PUNCHED INSPECTED"/>
    <s v="HEJ30CH22"/>
    <s v="Badelal"/>
    <n v="8"/>
    <n v="14000"/>
    <n v="1750"/>
    <n v="12230"/>
    <n v="12188"/>
    <n v="0"/>
    <n v="0"/>
    <n v="0"/>
    <n v="0"/>
    <n v="42"/>
    <n v="0"/>
    <n v="2"/>
    <n v="6094"/>
    <n v="0.87057142857142855"/>
    <x v="13"/>
    <n v="0"/>
    <n v="0"/>
    <s v=" "/>
    <n v="3.4341782502044153E-3"/>
    <n v="0"/>
    <n v="0.99656582174979558"/>
    <n v="0.83333333333333337"/>
    <n v="7.166666666666667"/>
    <n v="0.89583333333333337"/>
    <n v="1523.5"/>
    <n v="4"/>
    <n v="4.2336724647193957"/>
    <n v="0.94480620155038764"/>
    <n v="0.84348223857545213"/>
  </r>
  <r>
    <x v="3"/>
    <d v="2021-11-02T00:00:00"/>
    <s v="B"/>
    <x v="3"/>
    <x v="15"/>
    <m/>
    <s v="P1"/>
    <s v="NIPPLE S TYPE S SIZE PUNCHED"/>
    <s v="HEK01Nck02Pb"/>
    <s v="Badelal"/>
    <n v="8"/>
    <n v="7000"/>
    <n v="875"/>
    <n v="7300"/>
    <n v="7300"/>
    <n v="0"/>
    <n v="0"/>
    <n v="0"/>
    <n v="0"/>
    <n v="0"/>
    <n v="0"/>
    <n v="1"/>
    <n v="7300"/>
    <n v="1.0428571428571429"/>
    <x v="12"/>
    <n v="0"/>
    <n v="0"/>
    <s v=" "/>
    <n v="0"/>
    <n v="0"/>
    <n v="1"/>
    <n v="0.66666666666666663"/>
    <n v="7.333333333333333"/>
    <n v="0.91666666666666663"/>
    <n v="912.5"/>
    <n v="3.5"/>
    <n v="3.6164383561643834"/>
    <n v="0.96780303030303039"/>
    <n v="0.88715277777777779"/>
  </r>
  <r>
    <x v="3"/>
    <d v="2021-11-02T00:00:00"/>
    <s v="B"/>
    <x v="8"/>
    <x v="25"/>
    <m/>
    <s v="LZ1"/>
    <s v="NIPPLE S TYPE S SIZE PUNCHED LASER MARKED"/>
    <s v="HEK01BH22"/>
    <s v="Badelal"/>
    <n v="8"/>
    <n v="7000"/>
    <n v="875"/>
    <n v="7370"/>
    <n v="7370"/>
    <n v="0"/>
    <n v="0"/>
    <n v="0"/>
    <n v="0"/>
    <n v="0"/>
    <n v="0"/>
    <n v="1"/>
    <n v="7370"/>
    <n v="1.0528571428571429"/>
    <x v="20"/>
    <n v="0"/>
    <n v="0"/>
    <s v=" "/>
    <n v="0"/>
    <n v="0"/>
    <n v="1"/>
    <n v="0.66666666666666663"/>
    <n v="7.333333333333333"/>
    <n v="0.91666666666666663"/>
    <n v="921.25"/>
    <n v="3.5"/>
    <n v="3.5820895522388061"/>
    <n v="0.9770833333333333"/>
    <n v="0.89565972222222212"/>
  </r>
  <r>
    <x v="3"/>
    <d v="2021-11-02T00:00:00"/>
    <s v="B"/>
    <x v="9"/>
    <x v="31"/>
    <m/>
    <s v="INJ1"/>
    <s v="HOOD S TYPE MOLDED"/>
    <s v="EK02Hb"/>
    <s v="Badelal"/>
    <n v="8"/>
    <n v="4137"/>
    <n v="517.125"/>
    <n v="4740"/>
    <n v="4700"/>
    <n v="0"/>
    <n v="32"/>
    <n v="0"/>
    <n v="0"/>
    <n v="8"/>
    <n v="0"/>
    <n v="1"/>
    <n v="4700"/>
    <n v="1.1360889533478367"/>
    <x v="1"/>
    <n v="8.6"/>
    <n v="40.764000000000003"/>
    <n v="0.99156118143459915"/>
    <n v="1.6992353440951572E-3"/>
    <n v="6.7057837384744343E-3"/>
    <n v="0.99831223628691979"/>
    <n v="0"/>
    <n v="8"/>
    <n v="1"/>
    <n v="587.5"/>
    <n v="6"/>
    <n v="6.1276595744680851"/>
    <n v="0.97916666666666663"/>
    <n v="0.97751406469760893"/>
  </r>
  <r>
    <x v="3"/>
    <d v="2021-11-02T00:00:00"/>
    <s v="B"/>
    <x v="1"/>
    <x v="18"/>
    <s v="BM3"/>
    <s v="B2"/>
    <s v="KPP 240 ML BOTTLE MOLDED"/>
    <s v="EK02Bb2"/>
    <s v="Badelal"/>
    <n v="8"/>
    <n v="2574"/>
    <n v="321.75"/>
    <n v="3100"/>
    <n v="3024"/>
    <n v="0"/>
    <n v="36"/>
    <n v="0"/>
    <n v="0"/>
    <n v="40"/>
    <n v="0"/>
    <n v="1"/>
    <n v="3024"/>
    <n v="1.1748251748251748"/>
    <x v="1"/>
    <n v="32.1"/>
    <n v="99.51"/>
    <n v="0.97548387096774192"/>
    <n v="1.3054830287206266E-2"/>
    <n v="1.1479591836734694E-2"/>
    <n v="0.98709677419354835"/>
    <n v="0"/>
    <n v="8"/>
    <n v="1"/>
    <n v="378"/>
    <n v="9"/>
    <n v="9.5238095238095237"/>
    <n v="0.94500000000000006"/>
    <n v="0.93280645161290321"/>
  </r>
  <r>
    <x v="3"/>
    <d v="2021-11-02T00:00:00"/>
    <s v="B"/>
    <x v="0"/>
    <x v="10"/>
    <s v="M2"/>
    <s v="L2"/>
    <s v="NIPPLE S TYPE S SIZE INJECTION"/>
    <s v="HEK02Nb"/>
    <s v="Badelal"/>
    <n v="8"/>
    <n v="4815"/>
    <n v="601.875"/>
    <n v="5552"/>
    <n v="5500"/>
    <n v="0"/>
    <n v="0"/>
    <n v="0"/>
    <n v="0"/>
    <n v="52"/>
    <n v="0"/>
    <n v="1"/>
    <n v="5500"/>
    <n v="1.142263759086189"/>
    <x v="0"/>
    <n v="6.8"/>
    <n v="37.753599999999999"/>
    <n v="0.99063400576368876"/>
    <n v="9.3659942363112387E-3"/>
    <n v="0"/>
    <n v="0.99063400576368876"/>
    <n v="0"/>
    <n v="8"/>
    <n v="1"/>
    <n v="687.5"/>
    <n v="5.25"/>
    <n v="5.2363636363636363"/>
    <n v="1.0026041666666667"/>
    <n v="0.99321378182036513"/>
  </r>
  <r>
    <x v="3"/>
    <d v="2021-11-02T00:00:00"/>
    <s v="A"/>
    <x v="6"/>
    <x v="21"/>
    <m/>
    <m/>
    <s v="KPP 240 ML BOTTLE PRINTED"/>
    <s v="EJ28Bc2K02Pbb"/>
    <s v="Badelal"/>
    <n v="3"/>
    <n v="1800"/>
    <n v="600"/>
    <n v="1507"/>
    <n v="1477"/>
    <n v="0"/>
    <n v="0"/>
    <n v="17"/>
    <n v="0"/>
    <n v="30"/>
    <n v="0"/>
    <n v="5"/>
    <n v="295.39999999999998"/>
    <n v="0.82055555555555559"/>
    <x v="16"/>
    <n v="0"/>
    <n v="0"/>
    <s v=" "/>
    <n v="1.9907100199071003E-2"/>
    <n v="0"/>
    <n v="0.98009289980092895"/>
    <n v="0.66666666666666663"/>
    <n v="2.3333333333333335"/>
    <n v="0.77777777777777779"/>
    <n v="492.33333333333331"/>
    <n v="32.4"/>
    <n v="28.436018957345976"/>
    <n v="1.1393999999999997"/>
    <n v="0.86855832780358311"/>
  </r>
  <r>
    <x v="3"/>
    <d v="2021-11-02T00:00:00"/>
    <s v="A"/>
    <x v="6"/>
    <x v="73"/>
    <m/>
    <m/>
    <s v="KPP BOTTLE 240 ML PRINTED-WMG3B"/>
    <s v="EJ30Ba2K02Pa"/>
    <s v="Badelal"/>
    <n v="3"/>
    <n v="1800"/>
    <n v="600"/>
    <n v="1644"/>
    <n v="1620"/>
    <n v="0"/>
    <n v="0"/>
    <n v="21"/>
    <n v="0"/>
    <n v="24"/>
    <n v="0"/>
    <n v="5"/>
    <n v="324"/>
    <n v="0.9"/>
    <x v="17"/>
    <n v="0"/>
    <n v="0"/>
    <s v=" "/>
    <n v="1.4598540145985401E-2"/>
    <n v="0"/>
    <n v="0.98540145985401462"/>
    <n v="0"/>
    <n v="3"/>
    <n v="1"/>
    <n v="540"/>
    <n v="32.4"/>
    <n v="33.333333333333336"/>
    <n v="0.97199999999999986"/>
    <n v="0.95781021897810203"/>
  </r>
  <r>
    <x v="3"/>
    <d v="2021-11-02T00:00:00"/>
    <s v="B"/>
    <x v="6"/>
    <x v="73"/>
    <m/>
    <m/>
    <s v="KPP BOTTLE 240 ML PRINTED-WMG3B"/>
    <s v="EJ30Ba2K02Pa"/>
    <s v="Badelal"/>
    <n v="8"/>
    <n v="5100"/>
    <n v="637.5"/>
    <n v="3843"/>
    <n v="3780"/>
    <n v="0"/>
    <n v="0"/>
    <n v="27"/>
    <n v="0"/>
    <n v="63"/>
    <n v="0"/>
    <n v="5"/>
    <n v="756"/>
    <n v="0.74117647058823533"/>
    <x v="17"/>
    <n v="0"/>
    <n v="0"/>
    <s v=" "/>
    <n v="1.6393442622950821E-2"/>
    <n v="0"/>
    <n v="0.98360655737704916"/>
    <n v="0.66666666666666663"/>
    <n v="7.333333333333333"/>
    <n v="0.91666666666666663"/>
    <n v="472.5"/>
    <n v="32.4"/>
    <n v="34.920634920634917"/>
    <n v="0.92781818181818188"/>
    <n v="0.83655737704918032"/>
  </r>
  <r>
    <x v="3"/>
    <d v="2021-11-02T00:00:00"/>
    <s v="C"/>
    <x v="1"/>
    <x v="18"/>
    <s v="BM3"/>
    <s v="B2"/>
    <s v="KPP 240 ML BOTTLE MOLDED"/>
    <s v="EK02Bc2"/>
    <s v="Saurabh"/>
    <n v="8"/>
    <n v="2574"/>
    <n v="321.75"/>
    <n v="2793"/>
    <n v="2700"/>
    <n v="0.2"/>
    <n v="37"/>
    <n v="0"/>
    <n v="0"/>
    <n v="48"/>
    <n v="8"/>
    <n v="1"/>
    <n v="2700"/>
    <n v="1.048951048951049"/>
    <x v="1"/>
    <n v="32.1"/>
    <n v="89.855300000000014"/>
    <n v="0.96455078331495192"/>
    <n v="1.7467248908296942E-2"/>
    <n v="1.3074204946996466E-2"/>
    <n v="0.98281417830290008"/>
    <n v="0"/>
    <n v="8"/>
    <n v="1"/>
    <n v="337.5"/>
    <n v="9"/>
    <n v="10.666666666666666"/>
    <n v="0.84375"/>
    <n v="0.82924946294307189"/>
  </r>
  <r>
    <x v="3"/>
    <d v="2021-11-02T00:00:00"/>
    <s v="C"/>
    <x v="9"/>
    <x v="31"/>
    <m/>
    <s v="INJ1"/>
    <s v="HOOD S TYPE MOLDED"/>
    <s v="EK02Hc"/>
    <s v="Saurabh"/>
    <n v="8"/>
    <n v="4137"/>
    <n v="517.125"/>
    <n v="4516"/>
    <n v="4500"/>
    <n v="0"/>
    <n v="0"/>
    <n v="0"/>
    <n v="0"/>
    <n v="8"/>
    <n v="8"/>
    <n v="1"/>
    <n v="4500"/>
    <n v="1.0877447425670776"/>
    <x v="1"/>
    <n v="8.6"/>
    <n v="38.837600000000002"/>
    <n v="0.9964570416297609"/>
    <n v="1.7746228926353151E-3"/>
    <n v="0"/>
    <n v="0.99822852081488045"/>
    <n v="0"/>
    <n v="8"/>
    <n v="1"/>
    <n v="562.5"/>
    <n v="6"/>
    <n v="6.4"/>
    <n v="0.9375"/>
    <n v="0.93583923826395043"/>
  </r>
  <r>
    <x v="3"/>
    <d v="2021-11-02T00:00:00"/>
    <s v="C"/>
    <x v="0"/>
    <x v="10"/>
    <s v="M2"/>
    <s v="L2"/>
    <s v="NIPPLE S TYPE S SIZE INJECTION"/>
    <s v="HEK02Nc"/>
    <s v="Saurabh"/>
    <n v="8"/>
    <n v="4815"/>
    <n v="601.875"/>
    <n v="4350"/>
    <n v="4310"/>
    <n v="0"/>
    <n v="0"/>
    <n v="0"/>
    <n v="0"/>
    <n v="32"/>
    <n v="8"/>
    <n v="1"/>
    <n v="4310"/>
    <n v="0.89511941848390442"/>
    <x v="0"/>
    <n v="6.8"/>
    <n v="29.58"/>
    <n v="0.99080459770114948"/>
    <n v="7.3698756333486874E-3"/>
    <n v="0"/>
    <n v="0.99264367816091958"/>
    <n v="1.5"/>
    <n v="6.5"/>
    <n v="0.8125"/>
    <n v="538.75"/>
    <n v="5.25"/>
    <n v="5.4292343387470998"/>
    <n v="0.96698717948717949"/>
    <n v="0.77989738984674339"/>
  </r>
  <r>
    <x v="3"/>
    <d v="2021-11-09T00:00:00"/>
    <s v="A"/>
    <x v="0"/>
    <x v="47"/>
    <s v="M1"/>
    <s v="L1"/>
    <s v="NIPPLE S TYPE L SIZE INJECTION"/>
    <s v="HEK09Na"/>
    <s v="Saurabh"/>
    <n v="2.8"/>
    <n v="1200"/>
    <n v="428.57142857142861"/>
    <n v="770"/>
    <n v="770"/>
    <n v="0"/>
    <n v="0"/>
    <n v="0"/>
    <n v="0"/>
    <n v="0"/>
    <n v="0"/>
    <n v="1"/>
    <n v="770"/>
    <n v="0.64166666666666672"/>
    <x v="0"/>
    <n v="6.8"/>
    <n v="5.2359999999999998"/>
    <n v="1"/>
    <n v="0"/>
    <n v="0"/>
    <n v="1"/>
    <n v="1.5"/>
    <n v="1.2999999999999998"/>
    <n v="0.46428571428571425"/>
    <n v="275"/>
    <n v="5.25"/>
    <n v="6.0779220779220768"/>
    <n v="0.86378205128205143"/>
    <n v="0.40104166666666669"/>
  </r>
  <r>
    <x v="3"/>
    <d v="2021-11-09T00:00:00"/>
    <s v="A"/>
    <x v="9"/>
    <x v="31"/>
    <m/>
    <s v="INJ1"/>
    <s v="HOOD S TYPE MOLDED"/>
    <s v="EK09Ha"/>
    <s v="Nitin"/>
    <n v="8"/>
    <n v="3800"/>
    <n v="475"/>
    <n v="4356"/>
    <n v="4300"/>
    <n v="0"/>
    <n v="40"/>
    <n v="0"/>
    <n v="0"/>
    <n v="8"/>
    <n v="8"/>
    <n v="1"/>
    <n v="4300"/>
    <n v="1.131578947368421"/>
    <x v="1"/>
    <n v="8.6"/>
    <n v="37.461599999999997"/>
    <n v="0.9871441689623508"/>
    <n v="1.8570102135561746E-3"/>
    <n v="9.0991810737033659E-3"/>
    <n v="0.99816345270890727"/>
    <n v="0"/>
    <n v="8"/>
    <n v="1"/>
    <n v="537.5"/>
    <n v="6"/>
    <n v="6.6976744186046515"/>
    <n v="0.89583333333333326"/>
    <n v="0.8941880930517293"/>
  </r>
  <r>
    <x v="3"/>
    <d v="2021-11-09T00:00:00"/>
    <s v="A"/>
    <x v="1"/>
    <x v="18"/>
    <s v="BM3"/>
    <s v="B2"/>
    <s v="KPP 240 ML BOTTLE MOLDED"/>
    <s v="EK09Ba2"/>
    <s v="Nitin"/>
    <n v="8"/>
    <n v="2000"/>
    <n v="250"/>
    <n v="2010"/>
    <n v="1944"/>
    <n v="0.2"/>
    <n v="32"/>
    <n v="0"/>
    <n v="0"/>
    <n v="26"/>
    <n v="8"/>
    <n v="1"/>
    <n v="1944"/>
    <n v="0.97199999999999998"/>
    <x v="1"/>
    <n v="32.1"/>
    <n v="64.721000000000004"/>
    <n v="0.96417546082415295"/>
    <n v="1.3197969543147208E-2"/>
    <n v="1.5670910871694418E-2"/>
    <n v="0.98706467661691544"/>
    <n v="2.1666666666666665"/>
    <n v="5.8333333333333339"/>
    <n v="0.72916666666666674"/>
    <n v="243"/>
    <n v="9"/>
    <n v="10.802469135802472"/>
    <n v="0.83314285714285696"/>
    <n v="0.599641791044776"/>
  </r>
  <r>
    <x v="3"/>
    <d v="2021-11-09T00:00:00"/>
    <s v="A"/>
    <x v="3"/>
    <x v="15"/>
    <m/>
    <s v="P1"/>
    <s v="NIPPLE S TYPE S SIZE PUNCHED"/>
    <s v="HEK02NbK09Pa"/>
    <s v="Nitin"/>
    <n v="8"/>
    <n v="7000"/>
    <n v="875"/>
    <n v="6900"/>
    <n v="6900"/>
    <n v="0"/>
    <n v="0"/>
    <n v="0"/>
    <n v="0"/>
    <n v="0"/>
    <n v="0"/>
    <n v="1"/>
    <n v="6900"/>
    <n v="0.98571428571428577"/>
    <x v="12"/>
    <n v="0"/>
    <n v="0"/>
    <s v=" "/>
    <n v="0"/>
    <n v="0"/>
    <n v="1"/>
    <n v="1"/>
    <n v="7"/>
    <n v="0.875"/>
    <n v="862.5"/>
    <n v="3.5"/>
    <n v="3.652173913043478"/>
    <n v="0.95833333333333337"/>
    <n v="0.83854166666666674"/>
  </r>
  <r>
    <x v="3"/>
    <d v="2021-11-09T00:00:00"/>
    <s v="A"/>
    <x v="8"/>
    <x v="25"/>
    <m/>
    <s v="LZ1"/>
    <s v="NIPPLE S TYPE S SIZE PUNCHED LASER MARKED"/>
    <s v="HEK02BH22"/>
    <s v="Nitin"/>
    <n v="8"/>
    <n v="7000"/>
    <n v="875"/>
    <n v="6900"/>
    <n v="6900"/>
    <n v="0"/>
    <n v="0"/>
    <n v="0"/>
    <n v="0"/>
    <n v="0"/>
    <n v="0"/>
    <n v="1"/>
    <n v="6900"/>
    <n v="0.98571428571428577"/>
    <x v="20"/>
    <n v="0"/>
    <n v="0"/>
    <s v=" "/>
    <n v="0"/>
    <n v="0"/>
    <n v="1"/>
    <n v="0.5"/>
    <n v="7.5"/>
    <n v="0.9375"/>
    <n v="862.5"/>
    <n v="3.5"/>
    <n v="3.9130434782608696"/>
    <n v="0.89444444444444449"/>
    <n v="0.83854166666666674"/>
  </r>
  <r>
    <x v="3"/>
    <d v="2021-11-09T00:00:00"/>
    <s v="A"/>
    <x v="6"/>
    <x v="73"/>
    <m/>
    <m/>
    <s v="KPP BOTTLE 240 ML PRINTED-WMG3B"/>
    <s v="EJ30Bb2K09Pa"/>
    <s v="Pintu"/>
    <n v="8"/>
    <n v="5120"/>
    <n v="640"/>
    <n v="4169"/>
    <n v="4104"/>
    <n v="0"/>
    <n v="0"/>
    <n v="0"/>
    <n v="0"/>
    <n v="65"/>
    <n v="0"/>
    <n v="4.5"/>
    <n v="912"/>
    <n v="0.80156249999999996"/>
    <x v="17"/>
    <n v="0"/>
    <n v="0"/>
    <s v=" "/>
    <n v="1.5591268889421923E-2"/>
    <n v="0"/>
    <n v="0.98440873111057803"/>
    <n v="0"/>
    <n v="8"/>
    <n v="1"/>
    <n v="513"/>
    <n v="32.4"/>
    <n v="31.578947368421051"/>
    <n v="1.026"/>
    <n v="1.0100033581194532"/>
  </r>
  <r>
    <x v="3"/>
    <d v="2021-11-09T00:00:00"/>
    <s v="G"/>
    <x v="4"/>
    <x v="16"/>
    <m/>
    <m/>
    <s v="NIPPLE S TYPE S SIZE PUNCHED INSPECTED"/>
    <s v="HEK01NbK02"/>
    <s v="Vivek"/>
    <n v="8"/>
    <n v="9000"/>
    <n v="1125"/>
    <n v="14270"/>
    <n v="14247"/>
    <n v="0"/>
    <n v="0"/>
    <n v="0"/>
    <n v="0"/>
    <n v="23"/>
    <n v="0"/>
    <n v="2"/>
    <n v="7123.5"/>
    <n v="1.583"/>
    <x v="13"/>
    <n v="0"/>
    <n v="0"/>
    <s v=" "/>
    <n v="1.6117729502452699E-3"/>
    <n v="0"/>
    <n v="0.99838822704975472"/>
    <n v="0"/>
    <n v="8"/>
    <n v="1"/>
    <n v="1780.875"/>
    <n v="4"/>
    <n v="4.042956411876184"/>
    <n v="0.98937500000000012"/>
    <n v="0.98778035213735116"/>
  </r>
  <r>
    <x v="3"/>
    <d v="2021-11-09T00:00:00"/>
    <s v="B"/>
    <x v="3"/>
    <x v="15"/>
    <m/>
    <m/>
    <s v="NIPPLE S TYPE S SIZE PUNCHED"/>
    <s v="HEK02NbK09Pb"/>
    <s v="Vivek"/>
    <n v="8"/>
    <n v="4000"/>
    <n v="500"/>
    <n v="5000"/>
    <n v="5000"/>
    <n v="0"/>
    <n v="0"/>
    <n v="0"/>
    <n v="0"/>
    <n v="0"/>
    <n v="0"/>
    <n v="1"/>
    <n v="5000"/>
    <n v="1.25"/>
    <x v="12"/>
    <n v="0"/>
    <n v="0"/>
    <s v=" "/>
    <n v="0"/>
    <n v="0"/>
    <n v="1"/>
    <n v="0"/>
    <n v="8"/>
    <n v="1"/>
    <n v="625"/>
    <n v="3.5"/>
    <n v="5.76"/>
    <n v="0.60763888888888895"/>
    <n v="0.60763888888888895"/>
  </r>
  <r>
    <x v="3"/>
    <d v="2021-11-09T00:00:00"/>
    <s v="B"/>
    <x v="8"/>
    <x v="25"/>
    <m/>
    <m/>
    <s v="NIPPLE S TYPE S SIZE PUNCHED LASER MARKED"/>
    <s v="HEK02BH22"/>
    <s v="Vivek"/>
    <n v="8"/>
    <n v="4000"/>
    <n v="500"/>
    <n v="4000"/>
    <n v="4000"/>
    <n v="0"/>
    <n v="0"/>
    <n v="0"/>
    <n v="0"/>
    <n v="0"/>
    <n v="0"/>
    <n v="1"/>
    <n v="4000"/>
    <n v="1"/>
    <x v="20"/>
    <n v="0"/>
    <n v="0"/>
    <s v=" "/>
    <n v="0"/>
    <n v="0"/>
    <n v="1"/>
    <n v="0"/>
    <n v="8"/>
    <n v="1"/>
    <n v="500"/>
    <n v="3.5"/>
    <n v="7.2"/>
    <n v="0.4861111111111111"/>
    <n v="0.4861111111111111"/>
  </r>
  <r>
    <x v="3"/>
    <d v="2021-11-09T00:00:00"/>
    <s v="B"/>
    <x v="9"/>
    <x v="31"/>
    <m/>
    <m/>
    <s v="HOOD S TYPE MOLDED"/>
    <s v="EK09Hb"/>
    <s v="Vivek"/>
    <n v="8"/>
    <n v="4137"/>
    <n v="517.125"/>
    <n v="5004"/>
    <n v="5000"/>
    <n v="0"/>
    <n v="0"/>
    <n v="0"/>
    <n v="0"/>
    <n v="4"/>
    <n v="0"/>
    <n v="1"/>
    <n v="5000"/>
    <n v="1.2086052695189751"/>
    <x v="1"/>
    <n v="8.6"/>
    <n v="43.034399999999998"/>
    <n v="0.99920063948840931"/>
    <n v="7.993605115907274E-4"/>
    <n v="0"/>
    <n v="0.99920063948840931"/>
    <n v="0"/>
    <n v="8"/>
    <n v="1"/>
    <n v="625"/>
    <n v="6"/>
    <n v="5.76"/>
    <n v="1.0416666666666667"/>
    <n v="1.0408339994670932"/>
  </r>
  <r>
    <x v="3"/>
    <d v="2021-11-09T00:00:00"/>
    <s v="B"/>
    <x v="6"/>
    <x v="73"/>
    <m/>
    <s v="PR1"/>
    <s v="KPP BOTTLE 240 ML PRINTED-WMG3B"/>
    <s v="EK01Ba2K09Pb"/>
    <s v="Vivek"/>
    <n v="8"/>
    <n v="5134"/>
    <n v="641.75"/>
    <n v="3870"/>
    <n v="3769"/>
    <n v="0"/>
    <n v="0"/>
    <n v="44"/>
    <n v="0"/>
    <n v="101"/>
    <n v="0"/>
    <n v="4"/>
    <n v="942.25"/>
    <n v="0.73412543825477206"/>
    <x v="17"/>
    <n v="0"/>
    <n v="0"/>
    <s v=" "/>
    <n v="2.6098191214470285E-2"/>
    <n v="0"/>
    <n v="0.97390180878552968"/>
    <n v="0"/>
    <n v="8"/>
    <n v="1"/>
    <n v="471.125"/>
    <n v="32.4"/>
    <n v="30.565136641018839"/>
    <n v="1.06003125"/>
    <n v="1.0323663517441859"/>
  </r>
  <r>
    <x v="3"/>
    <d v="2021-11-09T00:00:00"/>
    <s v="B"/>
    <x v="1"/>
    <x v="18"/>
    <s v="BM3"/>
    <s v="B2"/>
    <s v="KPP 240 ML BOTTLE MOLDED"/>
    <s v="EK09Bb2"/>
    <s v="Vivek"/>
    <n v="8"/>
    <n v="2574"/>
    <n v="321.75"/>
    <n v="3231"/>
    <n v="3132"/>
    <n v="0"/>
    <n v="24"/>
    <n v="0"/>
    <n v="0"/>
    <n v="75"/>
    <n v="0"/>
    <n v="1"/>
    <n v="3132"/>
    <n v="1.2167832167832169"/>
    <x v="1"/>
    <n v="32.1"/>
    <n v="103.71510000000001"/>
    <n v="0.96935933147632314"/>
    <n v="2.3386342376052385E-2"/>
    <n v="7.3732718894009217E-3"/>
    <n v="0.9767873723305478"/>
    <n v="0"/>
    <n v="8"/>
    <n v="1"/>
    <n v="391.5"/>
    <n v="9"/>
    <n v="9.1954022988505741"/>
    <n v="0.97875000000000001"/>
    <n v="0.95603064066852361"/>
  </r>
  <r>
    <x v="3"/>
    <d v="2021-11-09T00:00:00"/>
    <s v="C"/>
    <x v="9"/>
    <x v="31"/>
    <m/>
    <s v="INJ1"/>
    <s v="HOOD S TYPE MOLDED"/>
    <s v="EK09Hc"/>
    <s v="Saurabh"/>
    <n v="8"/>
    <n v="4137"/>
    <n v="517.125"/>
    <n v="4614"/>
    <n v="4600"/>
    <n v="0"/>
    <n v="0"/>
    <n v="0"/>
    <n v="0"/>
    <n v="6"/>
    <n v="8"/>
    <n v="1"/>
    <n v="4600"/>
    <n v="1.111916847957457"/>
    <x v="1"/>
    <n v="8.6"/>
    <n v="39.680399999999999"/>
    <n v="0.99696575639358487"/>
    <n v="1.3026487190620929E-3"/>
    <n v="0"/>
    <n v="0.99869960988296491"/>
    <n v="0"/>
    <n v="8"/>
    <n v="1"/>
    <n v="575"/>
    <n v="6"/>
    <n v="6.2608695652173916"/>
    <n v="0.95833333333333326"/>
    <n v="0.9570871261378413"/>
  </r>
  <r>
    <x v="3"/>
    <d v="2021-11-09T00:00:00"/>
    <s v="C"/>
    <x v="1"/>
    <x v="18"/>
    <s v="BM3"/>
    <s v="B2"/>
    <s v="KPP 240 ML BOTTLE MOLDED"/>
    <s v="EK09Bc2"/>
    <s v="Saurabh"/>
    <n v="8"/>
    <n v="2574"/>
    <n v="321.75"/>
    <n v="3358"/>
    <n v="3240"/>
    <n v="0.2"/>
    <n v="45"/>
    <n v="0"/>
    <n v="0"/>
    <n v="65"/>
    <n v="8"/>
    <n v="1"/>
    <n v="3240"/>
    <n v="1.2587412587412588"/>
    <x v="1"/>
    <n v="32.1"/>
    <n v="107.99180000000001"/>
    <n v="0.9630731222185388"/>
    <n v="1.9667170953101363E-2"/>
    <n v="1.3223626212165737E-2"/>
    <n v="0.98064324002382375"/>
    <n v="0"/>
    <n v="8"/>
    <n v="1"/>
    <n v="405"/>
    <n v="9"/>
    <n v="8.8888888888888893"/>
    <n v="1.0125"/>
    <n v="0.99290128052412152"/>
  </r>
  <r>
    <x v="3"/>
    <d v="2021-11-10T00:00:00"/>
    <s v="A"/>
    <x v="9"/>
    <x v="31"/>
    <m/>
    <s v="INJ1"/>
    <s v="HOOD S TYPE MOLDED"/>
    <s v="EK10Ha"/>
    <s v="Nitin"/>
    <n v="8"/>
    <n v="4137"/>
    <n v="517.125"/>
    <n v="5013"/>
    <n v="5000"/>
    <n v="0"/>
    <n v="0"/>
    <n v="0"/>
    <n v="0"/>
    <n v="5"/>
    <n v="8"/>
    <n v="1"/>
    <n v="5000"/>
    <n v="1.2086052695189751"/>
    <x v="1"/>
    <n v="8.6"/>
    <n v="43.111800000000002"/>
    <n v="0.99740674246957906"/>
    <n v="9.99000999000999E-4"/>
    <n v="0"/>
    <n v="0.99900259325753038"/>
    <n v="0"/>
    <n v="8"/>
    <n v="1"/>
    <n v="625"/>
    <n v="6"/>
    <n v="5.76"/>
    <n v="1.0416666666666667"/>
    <n v="1.0406277013099277"/>
  </r>
  <r>
    <x v="3"/>
    <d v="2021-11-10T00:00:00"/>
    <s v="A"/>
    <x v="1"/>
    <x v="18"/>
    <s v="BM3"/>
    <s v="B2"/>
    <s v="KPP 240 ML BOTTLE MOLDED"/>
    <s v="EK10Ba2"/>
    <s v="Nitin"/>
    <n v="8"/>
    <n v="2574"/>
    <n v="321.75"/>
    <n v="3214"/>
    <n v="3132"/>
    <n v="0.1"/>
    <n v="34"/>
    <n v="0"/>
    <n v="0"/>
    <n v="40"/>
    <n v="8"/>
    <n v="1"/>
    <n v="3132"/>
    <n v="1.2167832167832169"/>
    <x v="1"/>
    <n v="32.1"/>
    <n v="103.2694"/>
    <n v="0.97354298562788211"/>
    <n v="1.2610340479192938E-2"/>
    <n v="1.0467980295566502E-2"/>
    <n v="0.98755444928438085"/>
    <n v="0"/>
    <n v="8"/>
    <n v="1"/>
    <n v="391.5"/>
    <n v="9"/>
    <n v="9.1954022988505741"/>
    <n v="0.97875000000000001"/>
    <n v="0.96656891723708782"/>
  </r>
  <r>
    <x v="3"/>
    <d v="2021-11-10T00:00:00"/>
    <s v="A"/>
    <x v="3"/>
    <x v="15"/>
    <m/>
    <s v="P1"/>
    <s v="NIPPLE S TYPE S SIZE PUNCHED"/>
    <s v="HEK02NcK10Pa"/>
    <s v="Nitin"/>
    <n v="8"/>
    <n v="7000"/>
    <n v="875"/>
    <n v="1310"/>
    <n v="1310"/>
    <n v="0"/>
    <n v="0"/>
    <n v="0"/>
    <n v="0"/>
    <n v="0"/>
    <n v="0"/>
    <n v="1"/>
    <n v="1310"/>
    <n v="0.18714285714285714"/>
    <x v="12"/>
    <n v="0"/>
    <n v="0"/>
    <s v=" "/>
    <n v="0"/>
    <n v="0"/>
    <n v="1"/>
    <n v="6.666666666666667"/>
    <n v="1.333333333333333"/>
    <n v="0.16666666666666663"/>
    <n v="163.75"/>
    <n v="3.5"/>
    <n v="3.6641221374045796"/>
    <n v="0.95520833333333344"/>
    <n v="0.15920138888888888"/>
  </r>
  <r>
    <x v="3"/>
    <d v="2021-11-10T00:00:00"/>
    <s v="A"/>
    <x v="8"/>
    <x v="25"/>
    <m/>
    <s v="LZ1"/>
    <s v="NIPPLE S TYPE S SIZE PUNCHED LASER MARKED"/>
    <s v="HEK02HC22"/>
    <s v="Nitin"/>
    <n v="8"/>
    <n v="7000"/>
    <n v="875"/>
    <n v="5310"/>
    <n v="5310"/>
    <n v="0"/>
    <n v="0"/>
    <n v="0"/>
    <n v="0"/>
    <n v="0"/>
    <n v="0"/>
    <n v="1"/>
    <n v="5310"/>
    <n v="0.75857142857142856"/>
    <x v="20"/>
    <n v="0"/>
    <n v="0"/>
    <s v=" "/>
    <n v="0"/>
    <n v="0"/>
    <n v="1"/>
    <n v="2"/>
    <n v="6"/>
    <n v="0.75"/>
    <n v="663.75"/>
    <n v="3.5"/>
    <n v="4.0677966101694913"/>
    <n v="0.86041666666666672"/>
    <n v="0.64531250000000007"/>
  </r>
  <r>
    <x v="3"/>
    <d v="2021-11-10T00:00:00"/>
    <s v="A"/>
    <x v="6"/>
    <x v="22"/>
    <m/>
    <m/>
    <s v="KPP 240 BOTTLE PRINTED (WMG3B) W/O OZ &amp; W/BIS LOGO"/>
    <s v="EI06Bc2K10Pa"/>
    <s v="Pintu"/>
    <n v="8"/>
    <n v="5120"/>
    <n v="640"/>
    <n v="1596"/>
    <n v="1566"/>
    <n v="0"/>
    <n v="0"/>
    <n v="19"/>
    <n v="0"/>
    <n v="30"/>
    <n v="0"/>
    <n v="4.5"/>
    <n v="348"/>
    <n v="0.30585937499999999"/>
    <x v="17"/>
    <n v="0"/>
    <n v="0"/>
    <s v=" "/>
    <n v="1.8796992481203006E-2"/>
    <n v="0"/>
    <n v="0.98120300751879697"/>
    <n v="4.666666666666667"/>
    <n v="3.333333333333333"/>
    <n v="0.41666666666666663"/>
    <n v="195.75"/>
    <n v="32.4"/>
    <n v="34.482758620689651"/>
    <n v="0.9396000000000001"/>
    <n v="0.38414097744360903"/>
  </r>
  <r>
    <x v="3"/>
    <d v="2021-11-10T00:00:00"/>
    <s v="G"/>
    <x v="4"/>
    <x v="16"/>
    <m/>
    <m/>
    <s v="NIPPLE S TYPE S SIZE PUNCHED INSPECTED"/>
    <s v="HEK02NbK09Pb"/>
    <s v="Himanshu"/>
    <n v="8"/>
    <n v="7000"/>
    <n v="875"/>
    <n v="7310"/>
    <n v="7276"/>
    <n v="0"/>
    <n v="0"/>
    <n v="0"/>
    <n v="0"/>
    <n v="34"/>
    <n v="0"/>
    <n v="1"/>
    <n v="7276"/>
    <n v="1.0394285714285714"/>
    <x v="13"/>
    <n v="0"/>
    <n v="0"/>
    <s v=" "/>
    <n v="4.6511627906976744E-3"/>
    <n v="0"/>
    <n v="0.99534883720930234"/>
    <n v="0"/>
    <n v="8"/>
    <n v="1"/>
    <n v="909.5"/>
    <n v="4"/>
    <n v="3.9582188015393074"/>
    <n v="1.0105555555555554"/>
    <n v="1.0058552971576227"/>
  </r>
  <r>
    <x v="3"/>
    <d v="2021-11-10T00:00:00"/>
    <s v="B"/>
    <x v="6"/>
    <x v="17"/>
    <m/>
    <s v="PR1"/>
    <s v="KPP 200 ML BOTTLE PRINTED"/>
    <s v="EJ08Bc2K10Pb"/>
    <s v="Himanshu"/>
    <n v="8"/>
    <n v="5100"/>
    <n v="637.5"/>
    <n v="5767"/>
    <n v="5724"/>
    <n v="0"/>
    <n v="0"/>
    <n v="61"/>
    <n v="0"/>
    <n v="43"/>
    <n v="0"/>
    <n v="5"/>
    <n v="1144.8"/>
    <n v="1.1223529411764706"/>
    <x v="14"/>
    <n v="0"/>
    <n v="0"/>
    <s v=" "/>
    <n v="7.4562164036760881E-3"/>
    <n v="0"/>
    <n v="0.99254378359632389"/>
    <n v="0"/>
    <n v="8"/>
    <n v="1"/>
    <n v="715.5"/>
    <n v="32.4"/>
    <n v="25.157232704402517"/>
    <n v="1.2878999999999998"/>
    <n v="1.2782971388937054"/>
  </r>
  <r>
    <x v="3"/>
    <d v="2021-11-10T00:00:00"/>
    <s v="B"/>
    <x v="1"/>
    <x v="18"/>
    <s v="BM3"/>
    <s v="B2"/>
    <s v="KPP 240 ML BOTTLE MOLDED"/>
    <s v="EK10Bb2"/>
    <s v="Himanshu"/>
    <n v="8"/>
    <n v="2574"/>
    <n v="321.75"/>
    <n v="3222"/>
    <n v="3132"/>
    <n v="0.25"/>
    <n v="20"/>
    <n v="0"/>
    <n v="0"/>
    <n v="70"/>
    <n v="0"/>
    <n v="1"/>
    <n v="3132"/>
    <n v="1.2167832167832169"/>
    <x v="1"/>
    <n v="32.1"/>
    <n v="103.67620000000001"/>
    <n v="0.96972304154666167"/>
    <n v="2.1861336664584636E-2"/>
    <n v="6.1690314620604569E-3"/>
    <n v="0.97827436374922405"/>
    <n v="0"/>
    <n v="8"/>
    <n v="1"/>
    <n v="391.5"/>
    <n v="9"/>
    <n v="9.1954022988505741"/>
    <n v="0.97875000000000001"/>
    <n v="0.95748603351955308"/>
  </r>
  <r>
    <x v="3"/>
    <d v="2021-11-10T00:00:00"/>
    <s v="B"/>
    <x v="9"/>
    <x v="31"/>
    <m/>
    <s v="INJ1"/>
    <s v="HOOD S TYPE MOLDED"/>
    <s v="EK10Hb"/>
    <s v="Himanshu"/>
    <n v="8"/>
    <n v="4137"/>
    <n v="517.125"/>
    <n v="5004"/>
    <n v="5000"/>
    <n v="0"/>
    <n v="0"/>
    <n v="0"/>
    <n v="0"/>
    <n v="4"/>
    <n v="0"/>
    <n v="1"/>
    <n v="5000"/>
    <n v="1.2086052695189751"/>
    <x v="1"/>
    <n v="8.6"/>
    <n v="43.034399999999998"/>
    <n v="0.99920063948840931"/>
    <n v="7.993605115907274E-4"/>
    <n v="0"/>
    <n v="0.99920063948840931"/>
    <n v="0"/>
    <n v="8"/>
    <n v="1"/>
    <n v="625"/>
    <n v="6"/>
    <n v="5.76"/>
    <n v="1.0416666666666667"/>
    <n v="1.0408339994670932"/>
  </r>
  <r>
    <x v="3"/>
    <d v="2021-11-10T00:00:00"/>
    <s v="C"/>
    <x v="0"/>
    <x v="60"/>
    <s v="M2"/>
    <s v="L2"/>
    <s v="NIPPLE S TYPE Y SIZE INJECTION"/>
    <s v="HEK10Nc"/>
    <s v="Saurabh"/>
    <n v="8"/>
    <n v="4815"/>
    <n v="601.875"/>
    <n v="6347"/>
    <n v="6000"/>
    <n v="0"/>
    <n v="230"/>
    <n v="0"/>
    <n v="0"/>
    <n v="93"/>
    <n v="24"/>
    <n v="1"/>
    <n v="6000"/>
    <n v="1.2461059190031152"/>
    <x v="0"/>
    <n v="6.8"/>
    <n v="43.159599999999998"/>
    <n v="0.94532850165432492"/>
    <n v="1.5263417035942885E-2"/>
    <n v="3.497035122396229E-2"/>
    <n v="0.98534740822435796"/>
    <n v="0"/>
    <n v="8"/>
    <n v="1"/>
    <n v="750"/>
    <n v="5.25"/>
    <n v="4.8"/>
    <n v="1.09375"/>
    <n v="1.0777237277453915"/>
  </r>
  <r>
    <x v="3"/>
    <d v="2021-11-10T00:00:00"/>
    <s v="C"/>
    <x v="9"/>
    <x v="31"/>
    <m/>
    <s v="INJ1"/>
    <s v="HOOD S TYPE MOLDED"/>
    <s v="EK10Hc"/>
    <s v="Saurabh"/>
    <n v="8"/>
    <n v="4137"/>
    <n v="517.125"/>
    <n v="5013"/>
    <n v="5000"/>
    <n v="0"/>
    <n v="0"/>
    <n v="0"/>
    <n v="0"/>
    <n v="5"/>
    <n v="8"/>
    <n v="1"/>
    <n v="5000"/>
    <n v="1.2086052695189751"/>
    <x v="1"/>
    <n v="8.6"/>
    <n v="43.111800000000002"/>
    <n v="0.99740674246957906"/>
    <n v="9.99000999000999E-4"/>
    <n v="0"/>
    <n v="0.99900259325753038"/>
    <n v="0"/>
    <n v="8"/>
    <n v="1"/>
    <n v="625"/>
    <n v="6"/>
    <n v="5.76"/>
    <n v="1.0416666666666667"/>
    <n v="1.0406277013099277"/>
  </r>
  <r>
    <x v="3"/>
    <d v="2021-11-10T00:00:00"/>
    <s v="C"/>
    <x v="1"/>
    <x v="18"/>
    <s v="BM3"/>
    <s v="B2"/>
    <s v="KPP 240 ML BOTTLE MOLDED"/>
    <s v="EK10Bc2"/>
    <s v="Saurabh"/>
    <n v="8"/>
    <n v="2574"/>
    <n v="321.75"/>
    <n v="3335"/>
    <n v="3240"/>
    <n v="0.15"/>
    <n v="23"/>
    <n v="0"/>
    <n v="0"/>
    <n v="64"/>
    <n v="8"/>
    <n v="1"/>
    <n v="3240"/>
    <n v="1.2587412587412588"/>
    <x v="1"/>
    <n v="32.1"/>
    <n v="107.20350000000002"/>
    <n v="0.97015489233094054"/>
    <n v="1.9370460048426151E-2"/>
    <n v="6.8493150684931503E-3"/>
    <n v="0.98080959520239885"/>
    <n v="0"/>
    <n v="8"/>
    <n v="1"/>
    <n v="405"/>
    <n v="9"/>
    <n v="8.8888888888888893"/>
    <n v="1.0125"/>
    <n v="0.99306971514242881"/>
  </r>
  <r>
    <x v="3"/>
    <d v="2021-11-11T00:00:00"/>
    <s v="A"/>
    <x v="1"/>
    <x v="18"/>
    <s v="BM3"/>
    <s v="B2"/>
    <s v="KPP 240 ML BOTTLE MOLDED"/>
    <s v="EK11Ba2"/>
    <s v="Vivek"/>
    <n v="8"/>
    <n v="2574"/>
    <n v="321.75"/>
    <n v="3154"/>
    <n v="3024"/>
    <n v="0.2"/>
    <n v="47"/>
    <n v="0"/>
    <n v="0"/>
    <n v="75"/>
    <n v="8"/>
    <n v="1"/>
    <n v="3024"/>
    <n v="1.1748251748251748"/>
    <x v="1"/>
    <n v="32.1"/>
    <n v="101.44340000000001"/>
    <n v="0.95689221772929534"/>
    <n v="2.420135527589545E-2"/>
    <n v="1.4682911590128085E-2"/>
    <n v="0.97622067216233355"/>
    <n v="0"/>
    <n v="8"/>
    <n v="1"/>
    <n v="378"/>
    <n v="9"/>
    <n v="9.5238095238095237"/>
    <n v="0.94500000000000006"/>
    <n v="0.92252853519340527"/>
  </r>
  <r>
    <x v="3"/>
    <d v="2021-11-11T00:00:00"/>
    <s v="A"/>
    <x v="0"/>
    <x v="60"/>
    <s v="M2"/>
    <s v="L2"/>
    <s v="NIPPLE S TYPE Y SIZE INJECTION"/>
    <s v="HEK11Na"/>
    <s v="Vivek"/>
    <n v="8"/>
    <n v="4815"/>
    <n v="601.875"/>
    <n v="3141"/>
    <n v="2630"/>
    <n v="0"/>
    <n v="465"/>
    <n v="0"/>
    <n v="0"/>
    <n v="38"/>
    <n v="8"/>
    <n v="1"/>
    <n v="2630"/>
    <n v="0.54620976116303221"/>
    <x v="0"/>
    <n v="6.8"/>
    <n v="21.358799999999999"/>
    <n v="0.83731295765679725"/>
    <n v="1.424287856071964E-2"/>
    <n v="0.12895174708818635"/>
    <n v="0.98790194205666981"/>
    <n v="3.5"/>
    <n v="4.5"/>
    <n v="0.5625"/>
    <n v="328.75"/>
    <n v="5.25"/>
    <n v="6.1596958174904941"/>
    <n v="0.85231481481481486"/>
    <n v="0.4736269466995649"/>
  </r>
  <r>
    <x v="3"/>
    <d v="2021-11-11T00:00:00"/>
    <s v="A"/>
    <x v="9"/>
    <x v="31"/>
    <m/>
    <s v="INJ1"/>
    <s v="HOOD S TYPE MOLDED"/>
    <s v="EK11Ha"/>
    <s v="Vivek"/>
    <n v="8"/>
    <n v="4137"/>
    <n v="517.125"/>
    <n v="5008"/>
    <n v="5000"/>
    <n v="0"/>
    <n v="0"/>
    <n v="0"/>
    <n v="0"/>
    <n v="4"/>
    <n v="4"/>
    <n v="1"/>
    <n v="5000"/>
    <n v="1.2086052695189751"/>
    <x v="1"/>
    <n v="8.6"/>
    <n v="43.068800000000003"/>
    <n v="0.99840255591054305"/>
    <n v="7.993605115907274E-4"/>
    <n v="0"/>
    <n v="0.99920127795527158"/>
    <n v="0"/>
    <n v="8"/>
    <n v="1"/>
    <n v="625"/>
    <n v="6"/>
    <n v="5.76"/>
    <n v="1.0416666666666667"/>
    <n v="1.0408346645367412"/>
  </r>
  <r>
    <x v="3"/>
    <d v="2021-11-11T00:00:00"/>
    <s v="A"/>
    <x v="3"/>
    <x v="63"/>
    <m/>
    <s v="P1"/>
    <s v="NIPPLE S TYPE Y SIZE PUNCHED"/>
    <s v="HEK1NCK11Pa"/>
    <s v="Vivek"/>
    <n v="8"/>
    <n v="7000"/>
    <n v="875"/>
    <n v="6000"/>
    <n v="6000"/>
    <n v="0"/>
    <n v="0"/>
    <n v="0"/>
    <n v="0"/>
    <n v="0"/>
    <n v="0"/>
    <n v="1"/>
    <n v="6000"/>
    <n v="0.8571428571428571"/>
    <x v="40"/>
    <n v="0"/>
    <n v="0"/>
    <s v=" "/>
    <n v="0"/>
    <n v="0"/>
    <n v="1"/>
    <n v="1.6666666666666667"/>
    <n v="6.333333333333333"/>
    <n v="0.79166666666666663"/>
    <n v="750"/>
    <n v="3.5"/>
    <n v="3.8"/>
    <n v="0.92105263157894746"/>
    <n v="0.72916666666666674"/>
  </r>
  <r>
    <x v="3"/>
    <d v="2021-11-11T00:00:00"/>
    <s v="A"/>
    <x v="8"/>
    <x v="68"/>
    <m/>
    <s v="LZ1"/>
    <s v="NIPPLE S TYPE Y SIZE PUNCHED LASER MARKED"/>
    <s v="HEK10CH22"/>
    <s v="Vivek"/>
    <n v="8"/>
    <n v="7000"/>
    <n v="875"/>
    <n v="5000"/>
    <n v="5000"/>
    <n v="0"/>
    <n v="0"/>
    <n v="0"/>
    <n v="0"/>
    <n v="0"/>
    <n v="0"/>
    <n v="1"/>
    <n v="5000"/>
    <n v="0.7142857142857143"/>
    <x v="43"/>
    <n v="0"/>
    <n v="0"/>
    <s v=" "/>
    <n v="0"/>
    <n v="0"/>
    <n v="1"/>
    <n v="0.66666666666666663"/>
    <n v="7.333333333333333"/>
    <n v="0.91666666666666663"/>
    <n v="625"/>
    <n v="3.5"/>
    <n v="5.28"/>
    <n v="0.66287878787878785"/>
    <n v="0.60763888888888884"/>
  </r>
  <r>
    <x v="3"/>
    <d v="2021-11-11T00:00:00"/>
    <s v="A"/>
    <x v="6"/>
    <x v="17"/>
    <m/>
    <m/>
    <s v="KPP 200 ML BOTTLE PRINTED"/>
    <s v="EJ08Bc2k11Pa"/>
    <s v="Vivek"/>
    <n v="8"/>
    <n v="5100"/>
    <n v="637.5"/>
    <n v="4996"/>
    <n v="4968"/>
    <n v="0"/>
    <n v="0"/>
    <n v="41"/>
    <n v="0"/>
    <n v="28"/>
    <n v="0"/>
    <n v="5"/>
    <n v="993.6"/>
    <n v="0.97411764705882353"/>
    <x v="14"/>
    <n v="0"/>
    <n v="0"/>
    <s v=" "/>
    <n v="5.6044835868694952E-3"/>
    <n v="0"/>
    <n v="0.99439551641313051"/>
    <n v="0.66666666666666663"/>
    <n v="7.333333333333333"/>
    <n v="0.91666666666666663"/>
    <n v="621"/>
    <n v="32.4"/>
    <n v="26.570048309178745"/>
    <n v="1.2194181818181817"/>
    <n v="1.1115353082465971"/>
  </r>
  <r>
    <x v="3"/>
    <d v="2021-11-11T00:00:00"/>
    <s v="G"/>
    <x v="4"/>
    <x v="69"/>
    <m/>
    <m/>
    <s v="NIPPLE S TYPE Y SIZE PUNCHED INSPECTED"/>
    <s v="HEK11AH22"/>
    <s v="Badelal"/>
    <n v="8"/>
    <n v="14000"/>
    <n v="1750"/>
    <n v="7000"/>
    <n v="6967"/>
    <n v="0"/>
    <n v="0"/>
    <n v="0"/>
    <n v="0"/>
    <n v="33"/>
    <n v="0"/>
    <n v="1"/>
    <n v="6967"/>
    <n v="0.49764285714285716"/>
    <x v="44"/>
    <n v="0"/>
    <n v="0"/>
    <s v=" "/>
    <n v="4.7142857142857143E-3"/>
    <n v="0"/>
    <n v="0.99528571428571433"/>
    <n v="0.83333333333333337"/>
    <n v="7.166666666666667"/>
    <n v="0.89583333333333337"/>
    <n v="870.875"/>
    <n v="4"/>
    <n v="3.7031720970288502"/>
    <n v="1.0801550387596899"/>
    <n v="0.9630771626984127"/>
  </r>
  <r>
    <x v="3"/>
    <d v="2021-11-11T00:00:00"/>
    <s v="B"/>
    <x v="9"/>
    <x v="31"/>
    <m/>
    <s v="INJ1"/>
    <s v="HOOD S TYPE MOLDED"/>
    <s v="EK11Hb"/>
    <s v="Badelal"/>
    <n v="8"/>
    <n v="4137"/>
    <n v="517.125"/>
    <n v="5008"/>
    <n v="5000"/>
    <n v="0"/>
    <n v="4"/>
    <n v="0"/>
    <n v="0"/>
    <n v="4"/>
    <n v="0"/>
    <n v="1"/>
    <n v="5000"/>
    <n v="1.2086052695189751"/>
    <x v="1"/>
    <n v="8.6"/>
    <n v="43.068800000000003"/>
    <n v="0.99840255591054305"/>
    <n v="7.993605115907274E-4"/>
    <n v="7.9808459696727857E-4"/>
    <n v="0.99920127795527158"/>
    <n v="0"/>
    <n v="8"/>
    <n v="1"/>
    <n v="625"/>
    <n v="6"/>
    <n v="5.76"/>
    <n v="1.0416666666666667"/>
    <n v="1.0408346645367412"/>
  </r>
  <r>
    <x v="3"/>
    <d v="2021-11-11T00:00:00"/>
    <s v="B"/>
    <x v="0"/>
    <x v="60"/>
    <s v="M2"/>
    <s v="L2"/>
    <s v="NIPPLE S TYPE Y SIZE INJECTION"/>
    <s v="HEK11Nb"/>
    <s v="Badelal"/>
    <n v="8"/>
    <n v="4815"/>
    <n v="601.875"/>
    <n v="5110"/>
    <n v="5000"/>
    <n v="0"/>
    <n v="70"/>
    <n v="0"/>
    <n v="0"/>
    <n v="40"/>
    <n v="0"/>
    <n v="1"/>
    <n v="5000"/>
    <n v="1.0384215991692627"/>
    <x v="0"/>
    <n v="6.8"/>
    <n v="34.747999999999998"/>
    <n v="0.9784735812133073"/>
    <n v="7.9365079365079361E-3"/>
    <n v="1.3513513513513514E-2"/>
    <n v="0.99217221135029354"/>
    <n v="0"/>
    <n v="8"/>
    <n v="1"/>
    <n v="625"/>
    <n v="5.25"/>
    <n v="5.76"/>
    <n v="0.91145833333333337"/>
    <n v="0.90432363013698636"/>
  </r>
  <r>
    <x v="3"/>
    <d v="2021-11-11T00:00:00"/>
    <s v="B"/>
    <x v="1"/>
    <x v="18"/>
    <s v="BM3"/>
    <s v="B2"/>
    <s v="KPP 240 ML BOTTLE MOLDED"/>
    <s v="EK11Bb2"/>
    <s v="Badelal"/>
    <n v="8"/>
    <n v="2574"/>
    <n v="321.75"/>
    <n v="3130"/>
    <n v="3024"/>
    <n v="0"/>
    <n v="44"/>
    <n v="0"/>
    <n v="0"/>
    <n v="62"/>
    <n v="0"/>
    <n v="1"/>
    <n v="3024"/>
    <n v="1.1748251748251748"/>
    <x v="1"/>
    <n v="32.1"/>
    <n v="100.47300000000001"/>
    <n v="0.96613418530351436"/>
    <n v="2.0090732339598186E-2"/>
    <n v="1.3862633900441084E-2"/>
    <n v="0.98019169329073486"/>
    <n v="0"/>
    <n v="8"/>
    <n v="1"/>
    <n v="378"/>
    <n v="9"/>
    <n v="9.5238095238095237"/>
    <n v="0.94500000000000006"/>
    <n v="0.92628115015974455"/>
  </r>
  <r>
    <x v="3"/>
    <d v="2021-11-11T00:00:00"/>
    <s v="B"/>
    <x v="3"/>
    <x v="63"/>
    <m/>
    <s v="P1"/>
    <s v="NIPPLE S TYPE Y SIZE PUNCHED"/>
    <s v="HEK11NaK11Pb"/>
    <s v="Badelal"/>
    <n v="8"/>
    <n v="7000"/>
    <n v="875"/>
    <n v="5630"/>
    <n v="5630"/>
    <n v="0"/>
    <n v="0"/>
    <n v="0"/>
    <n v="0"/>
    <n v="0"/>
    <n v="0"/>
    <n v="1"/>
    <n v="5630"/>
    <n v="0.80428571428571427"/>
    <x v="40"/>
    <n v="0"/>
    <n v="0"/>
    <s v=" "/>
    <n v="0"/>
    <n v="0"/>
    <n v="1"/>
    <n v="1.6666666666666667"/>
    <n v="6.333333333333333"/>
    <n v="0.79166666666666663"/>
    <n v="703.75"/>
    <n v="3.5"/>
    <n v="4.0497335701598578"/>
    <n v="0.86425438596491233"/>
    <n v="0.68420138888888893"/>
  </r>
  <r>
    <x v="3"/>
    <d v="2021-11-11T00:00:00"/>
    <s v="B"/>
    <x v="8"/>
    <x v="68"/>
    <m/>
    <s v="LZ1"/>
    <s v="NIPPLE S TYPE Y SIZE PUNCHED LASER MARKED"/>
    <s v="HEK11AH22"/>
    <s v="Badelal"/>
    <n v="8"/>
    <n v="7000"/>
    <n v="875"/>
    <n v="5630"/>
    <n v="5630"/>
    <n v="0"/>
    <n v="0"/>
    <n v="0"/>
    <n v="0"/>
    <n v="0"/>
    <n v="0"/>
    <n v="1"/>
    <n v="5630"/>
    <n v="0.80428571428571427"/>
    <x v="43"/>
    <n v="0"/>
    <n v="0"/>
    <s v=" "/>
    <n v="0"/>
    <n v="0"/>
    <n v="1"/>
    <n v="1.6666666666666667"/>
    <n v="6.333333333333333"/>
    <n v="0.79166666666666663"/>
    <n v="703.75"/>
    <n v="3.5"/>
    <n v="4.0497335701598578"/>
    <n v="0.86425438596491233"/>
    <n v="0.68420138888888893"/>
  </r>
  <r>
    <x v="3"/>
    <d v="2021-11-11T00:00:00"/>
    <s v="B"/>
    <x v="6"/>
    <x v="17"/>
    <m/>
    <m/>
    <s v="KPP 200 ML BOTTLE PRINTED"/>
    <s v="EJ09Bc2K11Pb"/>
    <s v="Badelal"/>
    <n v="8"/>
    <n v="5100"/>
    <n v="637.5"/>
    <n v="4783"/>
    <n v="4752"/>
    <n v="0"/>
    <n v="0"/>
    <n v="46"/>
    <n v="0"/>
    <n v="31"/>
    <n v="0"/>
    <n v="4"/>
    <n v="1188"/>
    <n v="0.93176470588235294"/>
    <x v="14"/>
    <n v="0"/>
    <n v="0"/>
    <s v=" "/>
    <n v="6.4812878946268028E-3"/>
    <n v="0"/>
    <n v="0.99351871210537324"/>
    <n v="0.66666666666666663"/>
    <n v="7.333333333333333"/>
    <n v="0.91666666666666663"/>
    <n v="594"/>
    <n v="32.4"/>
    <n v="22.222222222222221"/>
    <n v="1.458"/>
    <n v="1.3278377587288313"/>
  </r>
  <r>
    <x v="3"/>
    <d v="2021-11-11T00:00:00"/>
    <s v="C"/>
    <x v="9"/>
    <x v="31"/>
    <m/>
    <s v="INJ1"/>
    <s v="HOOD S TYPE MOLDED"/>
    <s v="EK11Hc"/>
    <s v="Saurabh"/>
    <n v="8"/>
    <n v="4137"/>
    <n v="517.125"/>
    <n v="1563"/>
    <n v="1550"/>
    <n v="0"/>
    <n v="0"/>
    <n v="0"/>
    <n v="0"/>
    <n v="5"/>
    <n v="8"/>
    <n v="1"/>
    <n v="1550"/>
    <n v="0.37466763355088228"/>
    <x v="1"/>
    <n v="8.6"/>
    <n v="13.441800000000001"/>
    <n v="0.99168266154830453"/>
    <n v="3.2154340836012861E-3"/>
    <n v="0"/>
    <n v="0.99680102367242485"/>
    <n v="5"/>
    <n v="3"/>
    <n v="0.375"/>
    <n v="193.75"/>
    <n v="6"/>
    <n v="6.967741935483871"/>
    <n v="0.86111111111111116"/>
    <n v="0.32188366389422052"/>
  </r>
  <r>
    <x v="3"/>
    <d v="2021-11-11T00:00:00"/>
    <s v="C"/>
    <x v="1"/>
    <x v="18"/>
    <s v="BM3"/>
    <s v="B2"/>
    <s v="KPP 240 ML BOTTLE MOLDED"/>
    <s v="EK11Bc2"/>
    <s v="Saurabh"/>
    <n v="8"/>
    <n v="2574"/>
    <n v="321.75"/>
    <n v="3338"/>
    <n v="3240"/>
    <n v="0"/>
    <n v="30"/>
    <n v="0"/>
    <n v="0"/>
    <n v="60"/>
    <n v="8"/>
    <n v="1"/>
    <n v="3240"/>
    <n v="1.2587412587412588"/>
    <x v="1"/>
    <n v="32.1"/>
    <n v="107.14980000000001"/>
    <n v="0.97064110245656077"/>
    <n v="1.8181818181818181E-2"/>
    <n v="8.9073634204275536E-3"/>
    <n v="0.982025164769323"/>
    <n v="0"/>
    <n v="8"/>
    <n v="1"/>
    <n v="405"/>
    <n v="9"/>
    <n v="8.8888888888888893"/>
    <n v="1.0125"/>
    <n v="0.9943004793289395"/>
  </r>
  <r>
    <x v="3"/>
    <d v="2021-11-11T00:00:00"/>
    <s v="C"/>
    <x v="0"/>
    <x v="60"/>
    <s v="M2"/>
    <s v="L2"/>
    <s v="NIPPLE S TYPE Y SIZE INJECTION"/>
    <s v="HEK11Nc"/>
    <s v="Saurabh"/>
    <n v="8"/>
    <n v="4815"/>
    <n v="601.875"/>
    <n v="5098"/>
    <n v="5000"/>
    <n v="0"/>
    <n v="24"/>
    <n v="0"/>
    <n v="0"/>
    <n v="58"/>
    <n v="16"/>
    <n v="1"/>
    <n v="5000"/>
    <n v="1.0384215991692627"/>
    <x v="0"/>
    <n v="6.8"/>
    <n v="34.666399999999996"/>
    <n v="0.98077677520596329"/>
    <n v="1.1466982997232108E-2"/>
    <n v="4.6856696602889493E-3"/>
    <n v="0.98862298940761084"/>
    <n v="0"/>
    <n v="8"/>
    <n v="1"/>
    <n v="625"/>
    <n v="5.25"/>
    <n v="5.76"/>
    <n v="0.91145833333333337"/>
    <n v="0.90108866222047868"/>
  </r>
  <r>
    <x v="3"/>
    <d v="2021-11-12T00:00:00"/>
    <s v="A"/>
    <x v="1"/>
    <x v="18"/>
    <s v="BM3"/>
    <s v="B2"/>
    <s v="KPP 240 ML BOTTLE MOLDED"/>
    <s v="EK12Ba2"/>
    <s v="Nitin"/>
    <n v="8"/>
    <n v="2574"/>
    <n v="321.75"/>
    <n v="3406"/>
    <n v="3348"/>
    <n v="0"/>
    <n v="0"/>
    <n v="0"/>
    <n v="0"/>
    <n v="50"/>
    <n v="8"/>
    <n v="1"/>
    <n v="3348"/>
    <n v="1.3006993006993006"/>
    <x v="1"/>
    <n v="32.1"/>
    <n v="109.33260000000001"/>
    <n v="0.98297122724603636"/>
    <n v="1.4714537963507945E-2"/>
    <n v="0"/>
    <n v="0.98532002348796244"/>
    <n v="0"/>
    <n v="8"/>
    <n v="1"/>
    <n v="418.5"/>
    <n v="9"/>
    <n v="8.6021505376344081"/>
    <n v="1.0462500000000001"/>
    <n v="1.0308910745742808"/>
  </r>
  <r>
    <x v="3"/>
    <d v="2021-11-12T00:00:00"/>
    <s v="A"/>
    <x v="0"/>
    <x v="60"/>
    <s v="M2"/>
    <s v="L2"/>
    <s v="NIPPLE S TYPE Y SIZE INJECTION"/>
    <s v="HEK12Na"/>
    <s v="Nitin"/>
    <n v="8"/>
    <n v="4815"/>
    <n v="601.875"/>
    <n v="5128"/>
    <n v="5000"/>
    <n v="0"/>
    <n v="72"/>
    <n v="0"/>
    <n v="0"/>
    <n v="48"/>
    <n v="8"/>
    <n v="1"/>
    <n v="5000"/>
    <n v="1.0384215991692627"/>
    <x v="0"/>
    <n v="6.8"/>
    <n v="34.870399999999997"/>
    <n v="0.97503900156006251"/>
    <n v="9.5087163232963554E-3"/>
    <n v="1.3846153846153847E-2"/>
    <n v="0.99063962558502339"/>
    <n v="0"/>
    <n v="8"/>
    <n v="1"/>
    <n v="625"/>
    <n v="5.25"/>
    <n v="5.76"/>
    <n v="0.91145833333333337"/>
    <n v="0.90292674206968282"/>
  </r>
  <r>
    <x v="3"/>
    <d v="2021-11-12T00:00:00"/>
    <s v="A"/>
    <x v="3"/>
    <x v="63"/>
    <m/>
    <s v="P1"/>
    <s v="NIPPLE S TYPE Y SIZE PUNCHED"/>
    <s v="HEK11NcK12Pa"/>
    <s v="Nitin"/>
    <n v="8"/>
    <n v="7000"/>
    <n v="875"/>
    <n v="7000"/>
    <n v="7000"/>
    <n v="0"/>
    <n v="0"/>
    <n v="0"/>
    <n v="0"/>
    <n v="0"/>
    <n v="0"/>
    <n v="1"/>
    <n v="7000"/>
    <n v="1"/>
    <x v="40"/>
    <n v="0"/>
    <n v="0"/>
    <s v=" "/>
    <n v="0"/>
    <n v="0"/>
    <n v="1"/>
    <n v="0.66666666666666663"/>
    <n v="7.333333333333333"/>
    <n v="0.91666666666666663"/>
    <n v="875"/>
    <n v="3.5"/>
    <n v="3.7714285714285714"/>
    <n v="0.92803030303030309"/>
    <n v="0.85069444444444442"/>
  </r>
  <r>
    <x v="3"/>
    <d v="2021-11-12T00:00:00"/>
    <s v="A"/>
    <x v="8"/>
    <x v="68"/>
    <m/>
    <s v="LZ1"/>
    <s v="NIPPLE S TYPE Y SIZE PUNCHED LASER MARKED"/>
    <s v="HEK11CH22"/>
    <s v="Nitin"/>
    <n v="8"/>
    <n v="7000"/>
    <n v="875"/>
    <n v="7000"/>
    <n v="7000"/>
    <n v="0"/>
    <n v="0"/>
    <n v="0"/>
    <n v="0"/>
    <n v="0"/>
    <n v="0"/>
    <n v="1"/>
    <n v="7000"/>
    <n v="1"/>
    <x v="43"/>
    <n v="0"/>
    <n v="0"/>
    <s v=" "/>
    <n v="0"/>
    <n v="0"/>
    <n v="1"/>
    <n v="0.66666666666666663"/>
    <n v="7.333333333333333"/>
    <n v="0.91666666666666663"/>
    <n v="875"/>
    <n v="3.5"/>
    <n v="3.7714285714285714"/>
    <n v="0.92803030303030309"/>
    <n v="0.85069444444444442"/>
  </r>
  <r>
    <x v="3"/>
    <d v="2021-11-12T00:00:00"/>
    <s v="A"/>
    <x v="6"/>
    <x v="17"/>
    <m/>
    <m/>
    <s v="KPP 200 ML BOTTLE PRINTED"/>
    <s v="EJ09Bc2K11Pb"/>
    <s v="Pintu"/>
    <n v="2"/>
    <n v="1280"/>
    <n v="640"/>
    <n v="863"/>
    <n v="854"/>
    <n v="0"/>
    <n v="0"/>
    <n v="9"/>
    <n v="0"/>
    <n v="9"/>
    <n v="0"/>
    <n v="4"/>
    <n v="213.5"/>
    <n v="0.66718750000000004"/>
    <x v="14"/>
    <n v="0"/>
    <n v="0"/>
    <s v=" "/>
    <n v="1.0428736964078795E-2"/>
    <n v="0"/>
    <n v="0.98957126303592124"/>
    <n v="0"/>
    <n v="2"/>
    <n v="1"/>
    <n v="427"/>
    <n v="32.4"/>
    <n v="33.723653395784545"/>
    <n v="0.96074999999999988"/>
    <n v="0.95073059096176127"/>
  </r>
  <r>
    <x v="3"/>
    <d v="2021-11-12T00:00:00"/>
    <s v="A"/>
    <x v="6"/>
    <x v="21"/>
    <m/>
    <m/>
    <s v="KPP 240 ML BOTTLE PRINTED"/>
    <s v="EK02Ba2K12Pa"/>
    <s v="Pintu"/>
    <n v="6"/>
    <n v="3840"/>
    <n v="640"/>
    <n v="3386"/>
    <n v="3348"/>
    <n v="0"/>
    <n v="0"/>
    <n v="31"/>
    <n v="0"/>
    <n v="38"/>
    <n v="0"/>
    <n v="5"/>
    <n v="669.6"/>
    <n v="0.87187499999999996"/>
    <x v="16"/>
    <n v="0"/>
    <n v="0"/>
    <s v=" "/>
    <n v="1.1222681630242174E-2"/>
    <n v="0"/>
    <n v="0.9887773183697578"/>
    <n v="1"/>
    <n v="5"/>
    <n v="0.83333333333333337"/>
    <n v="558"/>
    <n v="32.4"/>
    <n v="26.881720430107528"/>
    <n v="1.2052799999999999"/>
    <n v="0.99312793857058479"/>
  </r>
  <r>
    <x v="3"/>
    <d v="2021-11-12T00:00:00"/>
    <s v="G"/>
    <x v="4"/>
    <x v="69"/>
    <m/>
    <m/>
    <s v="NIPPLE S TYPE Y SIZE PUNCHED INSPECTED"/>
    <s v="HEK11AH22"/>
    <s v="Badelal"/>
    <n v="8"/>
    <n v="12000"/>
    <n v="1500"/>
    <n v="13630"/>
    <n v="13551"/>
    <n v="0"/>
    <n v="0"/>
    <n v="0"/>
    <n v="0"/>
    <n v="79"/>
    <n v="0"/>
    <n v="1"/>
    <n v="13551"/>
    <n v="1.1292500000000001"/>
    <x v="44"/>
    <n v="0"/>
    <n v="0"/>
    <s v=" "/>
    <n v="5.7960381511371973E-3"/>
    <n v="0"/>
    <n v="0.99420396184886284"/>
    <n v="0.83333333333333337"/>
    <n v="7.166666666666667"/>
    <n v="0.89583333333333337"/>
    <n v="1693.875"/>
    <n v="4"/>
    <n v="1.9039185299977861"/>
    <n v="2.1009302325581394"/>
    <n v="1.871174706529714"/>
  </r>
  <r>
    <x v="3"/>
    <d v="2021-11-12T00:00:00"/>
    <s v="G"/>
    <x v="7"/>
    <x v="71"/>
    <m/>
    <s v="WR1"/>
    <s v="NIPPLE S TYPE Y SIZE WITH PRINTED WRAP"/>
    <s v="HEK11AH22"/>
    <s v="Badelal"/>
    <n v="8"/>
    <n v="9000"/>
    <n v="1125"/>
    <n v="13563"/>
    <n v="13552"/>
    <n v="0"/>
    <n v="0"/>
    <n v="0"/>
    <n v="0"/>
    <n v="11"/>
    <n v="0"/>
    <n v="2"/>
    <n v="6776"/>
    <n v="1.5057777777777779"/>
    <x v="43"/>
    <n v="0"/>
    <n v="0"/>
    <s v=" "/>
    <n v="8.110300081103001E-4"/>
    <n v="0"/>
    <n v="0.99918896999188966"/>
    <n v="0.83333333333333337"/>
    <n v="7.166666666666667"/>
    <n v="0.89583333333333337"/>
    <n v="1694"/>
    <n v="2.5"/>
    <n v="3.8075560802833528"/>
    <n v="0.65658914728682172"/>
    <n v="0.58771740109939619"/>
  </r>
  <r>
    <x v="3"/>
    <d v="2021-11-12T00:00:00"/>
    <s v="B"/>
    <x v="0"/>
    <x v="60"/>
    <s v="M2"/>
    <s v="L2"/>
    <s v="NIPPLE S TYPE Y SIZE INJECTION"/>
    <s v="HEK12Nb"/>
    <s v="Badelal"/>
    <n v="8"/>
    <n v="4815"/>
    <n v="601.875"/>
    <n v="5290"/>
    <n v="5200"/>
    <n v="0"/>
    <n v="40"/>
    <n v="0"/>
    <n v="0"/>
    <n v="50"/>
    <n v="0"/>
    <n v="1"/>
    <n v="5200"/>
    <n v="1.0799584631360333"/>
    <x v="0"/>
    <n v="6.8"/>
    <n v="35.972000000000001"/>
    <n v="0.98298676748582225"/>
    <n v="9.5238095238095247E-3"/>
    <n v="7.5046904315196998E-3"/>
    <n v="0.99054820415879019"/>
    <n v="0"/>
    <n v="8"/>
    <n v="1"/>
    <n v="650"/>
    <n v="5.25"/>
    <n v="5.5384615384615383"/>
    <n v="0.94791666666666674"/>
    <n v="0.93895715185885331"/>
  </r>
  <r>
    <x v="3"/>
    <d v="2021-11-12T00:00:00"/>
    <s v="B"/>
    <x v="9"/>
    <x v="31"/>
    <m/>
    <s v="INJ1"/>
    <s v="HOOD S TYPE MOLDED"/>
    <s v="EK12Hb"/>
    <s v="Badelal"/>
    <n v="8"/>
    <n v="4137"/>
    <n v="517.125"/>
    <n v="5016"/>
    <n v="5000"/>
    <n v="0"/>
    <n v="4"/>
    <n v="0"/>
    <n v="0"/>
    <n v="4"/>
    <n v="8"/>
    <n v="1"/>
    <n v="5000"/>
    <n v="1.2086052695189751"/>
    <x v="1"/>
    <n v="8.6"/>
    <n v="43.137599999999999"/>
    <n v="0.99681020733652315"/>
    <n v="7.993605115907274E-4"/>
    <n v="7.9681274900398409E-4"/>
    <n v="0.99920255183413076"/>
    <n v="0"/>
    <n v="8"/>
    <n v="1"/>
    <n v="625"/>
    <n v="6"/>
    <n v="5.76"/>
    <n v="1.0416666666666667"/>
    <n v="1.0408359914938863"/>
  </r>
  <r>
    <x v="3"/>
    <d v="2021-11-12T00:00:00"/>
    <s v="B"/>
    <x v="1"/>
    <x v="18"/>
    <s v="BM3"/>
    <s v="B2"/>
    <s v="KPP 240 ML BOTTLE MOLDED"/>
    <s v="EK12Bb2"/>
    <s v="Badelal"/>
    <n v="8"/>
    <n v="2574"/>
    <n v="321.75"/>
    <n v="3129"/>
    <n v="3024"/>
    <n v="0"/>
    <n v="45"/>
    <n v="0"/>
    <n v="0"/>
    <n v="60"/>
    <n v="0"/>
    <n v="1"/>
    <n v="3024"/>
    <n v="1.1748251748251748"/>
    <x v="1"/>
    <n v="32.1"/>
    <n v="100.44090000000001"/>
    <n v="0.96644295302013417"/>
    <n v="1.9455252918287938E-2"/>
    <n v="1.4177693761814745E-2"/>
    <n v="0.98082454458293389"/>
    <n v="0"/>
    <n v="8"/>
    <n v="1"/>
    <n v="378"/>
    <n v="9"/>
    <n v="9.5238095238095237"/>
    <n v="0.94500000000000006"/>
    <n v="0.92687919463087254"/>
  </r>
  <r>
    <x v="3"/>
    <d v="2021-11-12T00:00:00"/>
    <s v="G"/>
    <x v="1"/>
    <x v="82"/>
    <m/>
    <s v="B1"/>
    <s v="50 ML JUICE BOTTLE MOLDED"/>
    <s v="EK12Bb1"/>
    <s v="Badelal"/>
    <n v="8"/>
    <n v="4597"/>
    <n v="574.625"/>
    <n v="4018"/>
    <n v="3840"/>
    <n v="0.3"/>
    <n v="78"/>
    <n v="0"/>
    <n v="0"/>
    <n v="100"/>
    <n v="0"/>
    <n v="1"/>
    <n v="3840"/>
    <n v="0.83532738742658252"/>
    <x v="1"/>
    <n v="17.015000000000001"/>
    <n v="68.666269999999997"/>
    <n v="0.95152394326938095"/>
    <n v="2.5380710659898477E-2"/>
    <n v="1.904296875E-2"/>
    <n v="0.97511199601791931"/>
    <n v="0"/>
    <n v="8"/>
    <n v="1"/>
    <n v="480"/>
    <n v="9"/>
    <n v="7.5"/>
    <n v="1.2"/>
    <n v="1.1701343952215031"/>
  </r>
  <r>
    <x v="3"/>
    <d v="2021-11-12T00:00:00"/>
    <s v="B"/>
    <x v="3"/>
    <x v="63"/>
    <m/>
    <s v="P1"/>
    <s v="NIPPLE S TYPE Y SIZE PUNCHED"/>
    <s v="HEK12NaK12Pb"/>
    <s v="Badelal"/>
    <n v="8"/>
    <n v="7000"/>
    <n v="875"/>
    <n v="7000"/>
    <n v="7000"/>
    <n v="0"/>
    <n v="0"/>
    <n v="0"/>
    <n v="0"/>
    <n v="0"/>
    <n v="0"/>
    <n v="1"/>
    <n v="7000"/>
    <n v="1"/>
    <x v="40"/>
    <n v="0"/>
    <n v="0"/>
    <s v=" "/>
    <n v="0"/>
    <n v="0"/>
    <n v="1"/>
    <n v="0.66666666666666663"/>
    <n v="7.333333333333333"/>
    <n v="0.91666666666666663"/>
    <n v="875"/>
    <n v="3.5"/>
    <n v="3.7714285714285714"/>
    <n v="0.92803030303030309"/>
    <n v="0.85069444444444442"/>
  </r>
  <r>
    <x v="3"/>
    <d v="2021-11-12T00:00:00"/>
    <s v="B"/>
    <x v="8"/>
    <x v="68"/>
    <m/>
    <s v="LZ1"/>
    <s v="NIPPLE S TYPE Y SIZE PUNCHED LASER MARKED"/>
    <s v="HEK11CH22"/>
    <s v="Badelal"/>
    <n v="8"/>
    <n v="7000"/>
    <n v="875"/>
    <n v="7000"/>
    <n v="7000"/>
    <n v="0"/>
    <n v="0"/>
    <n v="0"/>
    <n v="0"/>
    <n v="0"/>
    <n v="0"/>
    <n v="1"/>
    <n v="7000"/>
    <n v="1"/>
    <x v="43"/>
    <n v="0"/>
    <n v="0"/>
    <s v=" "/>
    <n v="0"/>
    <n v="0"/>
    <n v="1"/>
    <n v="0.66666666666666663"/>
    <n v="7.333333333333333"/>
    <n v="0.91666666666666663"/>
    <n v="875"/>
    <n v="3.5"/>
    <n v="3.7714285714285714"/>
    <n v="0.92803030303030309"/>
    <n v="0.85069444444444442"/>
  </r>
  <r>
    <x v="3"/>
    <d v="2021-11-12T00:00:00"/>
    <s v="B"/>
    <x v="6"/>
    <x v="21"/>
    <m/>
    <m/>
    <s v="KPP 240 ML BOTTLE PRINTED"/>
    <s v="EK01Bc2K12Pb"/>
    <s v="Badelal"/>
    <n v="8"/>
    <n v="5100"/>
    <n v="637.5"/>
    <n v="4366"/>
    <n v="4320"/>
    <n v="0"/>
    <n v="0"/>
    <n v="51"/>
    <n v="0"/>
    <n v="46"/>
    <n v="0"/>
    <n v="4"/>
    <n v="1080"/>
    <n v="0.84705882352941175"/>
    <x v="16"/>
    <n v="0"/>
    <n v="0"/>
    <s v=" "/>
    <n v="1.0535959688502062E-2"/>
    <n v="0"/>
    <n v="0.98946404031149793"/>
    <n v="1.3333333333333333"/>
    <n v="6.666666666666667"/>
    <n v="0.83333333333333337"/>
    <n v="540"/>
    <n v="32.4"/>
    <n v="22.222222222222221"/>
    <n v="1.458"/>
    <n v="1.2021988089784701"/>
  </r>
  <r>
    <x v="3"/>
    <d v="2021-11-12T00:00:00"/>
    <s v="C"/>
    <x v="1"/>
    <x v="18"/>
    <s v="BM3"/>
    <s v="B3"/>
    <s v="KPP 240 ML BOTTLE MOLDED"/>
    <s v="EK12Bc2"/>
    <s v="Saurabh"/>
    <n v="8"/>
    <n v="2574"/>
    <n v="321.75"/>
    <n v="1014"/>
    <n v="972"/>
    <n v="0.15"/>
    <n v="14"/>
    <n v="0"/>
    <n v="0"/>
    <n v="20"/>
    <n v="8"/>
    <n v="1"/>
    <n v="972"/>
    <n v="0.3776223776223776"/>
    <x v="1"/>
    <n v="32.1"/>
    <n v="32.699400000000004"/>
    <n v="0.95418264555312937"/>
    <n v="2.0161290322580645E-2"/>
    <n v="1.3618677042801557E-2"/>
    <n v="0.98027613412228798"/>
    <n v="5"/>
    <n v="3"/>
    <n v="0.375"/>
    <n v="121.5"/>
    <n v="9"/>
    <n v="11.111111111111111"/>
    <n v="0.81"/>
    <n v="0.29775887573964499"/>
  </r>
  <r>
    <x v="3"/>
    <d v="2021-11-12T00:00:00"/>
    <s v="C"/>
    <x v="0"/>
    <x v="60"/>
    <s v="M2"/>
    <s v="L2"/>
    <s v="NIPPLE S TYPE Y SIZE INJECTION"/>
    <s v="HEK12Nc"/>
    <s v="Saurabh"/>
    <n v="8"/>
    <n v="4815"/>
    <n v="601.875"/>
    <n v="5124"/>
    <n v="5000"/>
    <n v="0"/>
    <n v="42"/>
    <n v="0"/>
    <n v="0"/>
    <n v="66"/>
    <n v="16"/>
    <n v="1"/>
    <n v="5000"/>
    <n v="1.0384215991692627"/>
    <x v="0"/>
    <n v="6.8"/>
    <n v="34.843199999999996"/>
    <n v="0.97580015612802506"/>
    <n v="1.3028030003947888E-2"/>
    <n v="8.130081300813009E-3"/>
    <n v="0.98711943793911006"/>
    <n v="0"/>
    <n v="8"/>
    <n v="1"/>
    <n v="625"/>
    <n v="5.25"/>
    <n v="5.76"/>
    <n v="0.91145833333333337"/>
    <n v="0.8997182377049181"/>
  </r>
  <r>
    <x v="3"/>
    <d v="2021-11-12T00:00:00"/>
    <s v="C"/>
    <x v="9"/>
    <x v="31"/>
    <m/>
    <s v="INJ1"/>
    <s v="HOOD S TYPE MOLDED"/>
    <s v="EK12Hc"/>
    <s v="Saurabh"/>
    <n v="8"/>
    <n v="4137"/>
    <n v="517.125"/>
    <n v="4833"/>
    <n v="4800"/>
    <n v="0"/>
    <n v="21"/>
    <n v="0"/>
    <n v="0"/>
    <n v="12"/>
    <n v="0"/>
    <n v="1"/>
    <n v="4800"/>
    <n v="1.1602610587382161"/>
    <x v="1"/>
    <n v="8.6"/>
    <n v="41.563800000000001"/>
    <n v="0.99317194289261335"/>
    <n v="2.4937655860349127E-3"/>
    <n v="4.326328800988875E-3"/>
    <n v="0.99751707014276847"/>
    <n v="0"/>
    <n v="8"/>
    <n v="1"/>
    <n v="600"/>
    <n v="6"/>
    <n v="6"/>
    <n v="1"/>
    <n v="0.99751707014276847"/>
  </r>
  <r>
    <x v="3"/>
    <d v="2021-11-13T00:00:00"/>
    <s v="A"/>
    <x v="1"/>
    <x v="35"/>
    <s v="BM3"/>
    <s v="B2"/>
    <s v="RPP 240 ML BOTTLE MOLDED"/>
    <s v="EK13Ba2"/>
    <s v="Nitin"/>
    <n v="4.5"/>
    <n v="1200"/>
    <n v="266.66666666666669"/>
    <n v="1376"/>
    <n v="1296"/>
    <n v="0"/>
    <n v="45"/>
    <n v="0"/>
    <n v="0"/>
    <n v="27"/>
    <n v="8"/>
    <n v="1"/>
    <n v="1296"/>
    <n v="1.08"/>
    <x v="1"/>
    <n v="32.1"/>
    <n v="44.169600000000003"/>
    <n v="0.94186046511627908"/>
    <n v="2.0408163265306121E-2"/>
    <n v="3.1667839549612949E-2"/>
    <n v="0.98037790697674421"/>
    <n v="1.1666666666666667"/>
    <n v="3.333333333333333"/>
    <n v="0.7407407407407407"/>
    <n v="288"/>
    <n v="9"/>
    <n v="9.2592592592592577"/>
    <n v="0.9720000000000002"/>
    <n v="0.70587209302325593"/>
  </r>
  <r>
    <x v="3"/>
    <d v="2021-11-13T00:00:00"/>
    <s v="A"/>
    <x v="9"/>
    <x v="31"/>
    <m/>
    <s v="INJ1"/>
    <s v="HOOD S TYPE MOLDED"/>
    <s v="EK13Ha"/>
    <s v="Nitin"/>
    <n v="8"/>
    <n v="4137"/>
    <n v="517.125"/>
    <n v="4616"/>
    <n v="4600"/>
    <n v="0"/>
    <n v="0"/>
    <n v="0"/>
    <n v="0"/>
    <n v="8"/>
    <n v="8"/>
    <n v="1"/>
    <n v="4600"/>
    <n v="1.111916847957457"/>
    <x v="1"/>
    <n v="8.6"/>
    <n v="39.697600000000001"/>
    <n v="0.99653379549393417"/>
    <n v="1.736111111111111E-3"/>
    <n v="0"/>
    <n v="0.99826689774696709"/>
    <n v="0"/>
    <n v="8"/>
    <n v="1"/>
    <n v="575"/>
    <n v="6"/>
    <n v="6.2608695652173916"/>
    <n v="0.95833333333333326"/>
    <n v="0.9566724436741767"/>
  </r>
  <r>
    <x v="3"/>
    <d v="2021-11-13T00:00:00"/>
    <s v="A"/>
    <x v="3"/>
    <x v="63"/>
    <m/>
    <s v="P1"/>
    <s v="NIPPLE S TYPE Y SIZE PUNCHED"/>
    <s v="HEK12NbK13Pa"/>
    <s v="Nitin"/>
    <n v="8"/>
    <n v="7000"/>
    <n v="875"/>
    <n v="7200"/>
    <n v="7200"/>
    <n v="0"/>
    <n v="0"/>
    <n v="0"/>
    <n v="0"/>
    <n v="0"/>
    <n v="0"/>
    <n v="1"/>
    <n v="7200"/>
    <n v="1.0285714285714285"/>
    <x v="40"/>
    <n v="0"/>
    <n v="0"/>
    <s v=" "/>
    <n v="0"/>
    <n v="0"/>
    <n v="1"/>
    <n v="0.66666666666666663"/>
    <n v="7.333333333333333"/>
    <n v="0.91666666666666663"/>
    <n v="900"/>
    <n v="3.5"/>
    <n v="3.6666666666666665"/>
    <n v="0.95454545454545459"/>
    <n v="0.875"/>
  </r>
  <r>
    <x v="3"/>
    <d v="2021-11-13T00:00:00"/>
    <s v="A"/>
    <x v="8"/>
    <x v="68"/>
    <m/>
    <s v="LZ1"/>
    <s v="NIPPLE S TYPE Y SIZE PUNCHED LASER MARKED"/>
    <s v="HEK12CH22"/>
    <s v="Nitin"/>
    <n v="8"/>
    <n v="7000"/>
    <n v="875"/>
    <n v="7200"/>
    <n v="7200"/>
    <n v="0"/>
    <n v="0"/>
    <n v="0"/>
    <n v="0"/>
    <n v="0"/>
    <n v="0"/>
    <n v="1"/>
    <n v="7200"/>
    <n v="1.0285714285714285"/>
    <x v="43"/>
    <n v="0"/>
    <n v="0"/>
    <s v=" "/>
    <n v="0"/>
    <n v="0"/>
    <n v="1"/>
    <n v="0.66666666666666663"/>
    <n v="7.333333333333333"/>
    <n v="0.91666666666666663"/>
    <n v="900"/>
    <n v="3.5"/>
    <n v="3.6666666666666665"/>
    <n v="0.95454545454545459"/>
    <n v="0.875"/>
  </r>
  <r>
    <x v="3"/>
    <d v="2021-11-13T00:00:00"/>
    <s v="A"/>
    <x v="0"/>
    <x v="60"/>
    <s v="M2"/>
    <s v="L2"/>
    <s v="NIPPLE S TYPE Y SIZE INJECTION"/>
    <s v="HEK13Na"/>
    <s v="Nitin"/>
    <n v="8"/>
    <n v="4815"/>
    <n v="601.875"/>
    <n v="2120"/>
    <n v="2050"/>
    <n v="7"/>
    <n v="27"/>
    <n v="0"/>
    <n v="0"/>
    <n v="35"/>
    <n v="8"/>
    <n v="1"/>
    <n v="2050"/>
    <n v="0.42575285565939769"/>
    <x v="0"/>
    <n v="6.8"/>
    <n v="21.415999999999997"/>
    <n v="0.65091520358610389"/>
    <n v="1.6786570743405275E-2"/>
    <n v="1.2575687005123428E-2"/>
    <n v="0.98349056603773588"/>
    <n v="5"/>
    <n v="3"/>
    <n v="0.375"/>
    <n v="256.25"/>
    <n v="5.25"/>
    <n v="5.2682926829268295"/>
    <n v="0.99652777777777768"/>
    <n v="0.36752837558962259"/>
  </r>
  <r>
    <x v="3"/>
    <d v="2021-11-13T00:00:00"/>
    <s v="A"/>
    <x v="6"/>
    <x v="21"/>
    <m/>
    <m/>
    <s v="KPP 240 ML BOTTLE PRINTED"/>
    <s v="EK02Bc2K13Pa"/>
    <s v="Pintu"/>
    <n v="8"/>
    <n v="5120"/>
    <n v="640"/>
    <n v="4143"/>
    <n v="4104"/>
    <n v="0"/>
    <n v="0"/>
    <n v="48"/>
    <n v="0"/>
    <n v="39"/>
    <n v="0"/>
    <n v="4.5"/>
    <n v="912"/>
    <n v="0.80156249999999996"/>
    <x v="16"/>
    <n v="0"/>
    <n v="0"/>
    <s v=" "/>
    <n v="9.4134685010861703E-3"/>
    <n v="0"/>
    <n v="0.99058653149891385"/>
    <n v="0"/>
    <n v="8"/>
    <n v="1"/>
    <n v="513"/>
    <n v="32.4"/>
    <n v="31.578947368421051"/>
    <n v="1.026"/>
    <n v="1.0163417813178857"/>
  </r>
  <r>
    <x v="3"/>
    <d v="2021-11-13T00:00:00"/>
    <s v="G"/>
    <x v="4"/>
    <x v="69"/>
    <m/>
    <m/>
    <s v="NIPPLE S TYPE Y SIZE PUNCHED INSPECTED"/>
    <s v="HEK12CH22"/>
    <s v="Badelal"/>
    <n v="8"/>
    <n v="14000"/>
    <n v="1750"/>
    <n v="12200"/>
    <n v="12081"/>
    <n v="0"/>
    <n v="0"/>
    <n v="0"/>
    <n v="0"/>
    <n v="119"/>
    <n v="0"/>
    <n v="2"/>
    <n v="6040.5"/>
    <n v="0.86292857142857138"/>
    <x v="44"/>
    <n v="0"/>
    <n v="0"/>
    <s v=" "/>
    <n v="9.7540983606557372E-3"/>
    <n v="0"/>
    <n v="0.99024590163934423"/>
    <n v="0.83333333333333337"/>
    <n v="7.166666666666667"/>
    <n v="0.89583333333333337"/>
    <n v="1510.125"/>
    <n v="4"/>
    <n v="4.2711696051651353"/>
    <n v="0.93651162790697673"/>
    <n v="0.83077505122950823"/>
  </r>
  <r>
    <x v="3"/>
    <d v="2021-11-13T00:00:00"/>
    <s v="G"/>
    <x v="7"/>
    <x v="71"/>
    <m/>
    <s v="WR1"/>
    <s v="NIPPLE S TYPE Y SIZE WITH PRINTED WRAP"/>
    <s v="HEK12CH22"/>
    <s v="Badelal"/>
    <n v="8"/>
    <n v="16171"/>
    <n v="2021.375"/>
    <n v="18036"/>
    <n v="18026"/>
    <n v="0"/>
    <n v="0"/>
    <n v="0"/>
    <n v="0"/>
    <n v="10"/>
    <n v="0"/>
    <n v="2"/>
    <n v="9013"/>
    <n v="1.114711520623338"/>
    <x v="43"/>
    <n v="0"/>
    <n v="0"/>
    <s v=" "/>
    <n v="5.5444666223109342E-4"/>
    <n v="0"/>
    <n v="0.99944555333776885"/>
    <n v="0.83333333333333337"/>
    <n v="7.166666666666667"/>
    <n v="0.89583333333333337"/>
    <n v="2253.25"/>
    <n v="2.5"/>
    <n v="2.8625318983690224"/>
    <n v="0.87335271317829455"/>
    <n v="0.78194468508969706"/>
  </r>
  <r>
    <x v="3"/>
    <d v="2021-11-13T00:00:00"/>
    <s v="G"/>
    <x v="1"/>
    <x v="82"/>
    <m/>
    <s v="B1"/>
    <s v="50 ML JUICE BOTTLE MOLDED"/>
    <s v="EK13Bb1"/>
    <s v="Badelal"/>
    <n v="7"/>
    <n v="2252"/>
    <n v="321.71428571428572"/>
    <n v="2537"/>
    <n v="2455"/>
    <n v="0.15"/>
    <n v="30"/>
    <n v="0"/>
    <n v="0"/>
    <n v="52"/>
    <n v="0"/>
    <n v="1"/>
    <n v="2455"/>
    <n v="1.0901420959147425"/>
    <x v="1"/>
    <n v="17.015000000000001"/>
    <n v="43.317054999999996"/>
    <n v="0.96432744562159189"/>
    <n v="2.0741922616673316E-2"/>
    <n v="1.168679392286716E-2"/>
    <n v="0.97950335041387471"/>
    <n v="0"/>
    <n v="7"/>
    <n v="1"/>
    <n v="350.71428571428572"/>
    <n v="9"/>
    <n v="10.264765784114052"/>
    <n v="0.87678571428571428"/>
    <n v="0.85881454473787944"/>
  </r>
  <r>
    <x v="3"/>
    <d v="2021-11-13T00:00:00"/>
    <s v="B"/>
    <x v="3"/>
    <x v="63"/>
    <m/>
    <s v="P1"/>
    <s v="NIPPLE S TYPE Y SIZE PUNCHED"/>
    <s v="HEK13NaK13Pb"/>
    <s v="Badelal"/>
    <n v="4"/>
    <n v="3500"/>
    <n v="875"/>
    <n v="3050"/>
    <n v="3050"/>
    <n v="0"/>
    <n v="0"/>
    <n v="0"/>
    <n v="0"/>
    <n v="0"/>
    <n v="0"/>
    <n v="1"/>
    <n v="3050"/>
    <n v="0.87142857142857144"/>
    <x v="40"/>
    <n v="0"/>
    <n v="0"/>
    <s v=" "/>
    <n v="0"/>
    <n v="0"/>
    <n v="1"/>
    <n v="0.66666666666666663"/>
    <n v="3.3333333333333335"/>
    <n v="0.83333333333333337"/>
    <n v="762.5"/>
    <n v="3.5"/>
    <n v="3.9344262295081966"/>
    <n v="0.88958333333333339"/>
    <n v="0.74131944444444453"/>
  </r>
  <r>
    <x v="3"/>
    <d v="2021-11-13T00:00:00"/>
    <s v="B"/>
    <x v="8"/>
    <x v="68"/>
    <m/>
    <s v="LZ1"/>
    <s v="NIPPLE S TYPE Y SIZE PUNCHED LASER MARKED"/>
    <s v="HEK12CH22"/>
    <s v="Badelal"/>
    <n v="5"/>
    <n v="4375"/>
    <n v="875"/>
    <n v="4050"/>
    <n v="4050"/>
    <n v="0"/>
    <n v="0"/>
    <n v="0"/>
    <n v="0"/>
    <n v="0"/>
    <n v="0"/>
    <n v="1"/>
    <n v="4050"/>
    <n v="0.92571428571428571"/>
    <x v="43"/>
    <n v="0"/>
    <n v="0"/>
    <s v=" "/>
    <n v="0"/>
    <n v="0"/>
    <n v="1"/>
    <n v="0.66666666666666663"/>
    <n v="4.333333333333333"/>
    <n v="0.86666666666666659"/>
    <n v="810"/>
    <n v="3.5"/>
    <n v="3.8518518518518512"/>
    <n v="0.90865384615384626"/>
    <n v="0.78749999999999998"/>
  </r>
  <r>
    <x v="3"/>
    <d v="2021-11-13T00:00:00"/>
    <s v="B"/>
    <x v="1"/>
    <x v="35"/>
    <s v="BM3"/>
    <s v="B2"/>
    <s v="RPP 240 ML BOTTLE MOLDED"/>
    <s v="EK13Bb2"/>
    <s v="Badelal"/>
    <n v="8"/>
    <n v="2574"/>
    <n v="321.75"/>
    <n v="2025"/>
    <n v="1920"/>
    <n v="0"/>
    <n v="45"/>
    <n v="0"/>
    <n v="0"/>
    <n v="60"/>
    <n v="0"/>
    <n v="1"/>
    <n v="1920"/>
    <n v="0.74592074592074598"/>
    <x v="1"/>
    <n v="32.1"/>
    <n v="65.002500000000012"/>
    <n v="0.94814814814814807"/>
    <n v="3.0303030303030304E-2"/>
    <n v="2.1739130434782608E-2"/>
    <n v="0.97037037037037033"/>
    <n v="0"/>
    <n v="8"/>
    <n v="1"/>
    <n v="240"/>
    <n v="9"/>
    <n v="15"/>
    <n v="0.6"/>
    <n v="0.5822222222222222"/>
  </r>
  <r>
    <x v="3"/>
    <d v="2021-11-13T00:00:00"/>
    <s v="B"/>
    <x v="0"/>
    <x v="47"/>
    <s v="M2"/>
    <s v="L2"/>
    <s v="NIPPLE S TYPE L SIZE INJECTION"/>
    <s v="HEK13Nb"/>
    <s v="Badelal"/>
    <n v="8"/>
    <n v="4815"/>
    <n v="601.875"/>
    <n v="5375"/>
    <n v="4900"/>
    <n v="0"/>
    <n v="300"/>
    <n v="0"/>
    <n v="0"/>
    <n v="175"/>
    <n v="0"/>
    <n v="1"/>
    <n v="4900"/>
    <n v="1.0176531671858775"/>
    <x v="0"/>
    <n v="6.8"/>
    <n v="36.549999999999997"/>
    <n v="0.91162790697674423"/>
    <n v="3.4482758620689655E-2"/>
    <n v="5.2863436123348019E-2"/>
    <n v="0.96744186046511627"/>
    <n v="0"/>
    <n v="8"/>
    <n v="1"/>
    <n v="612.5"/>
    <n v="5.25"/>
    <n v="5.8775510204081636"/>
    <n v="0.89322916666666663"/>
    <n v="0.86414728682170538"/>
  </r>
  <r>
    <x v="3"/>
    <d v="2021-11-13T00:00:00"/>
    <s v="B"/>
    <x v="9"/>
    <x v="31"/>
    <m/>
    <s v="INJ1"/>
    <s v="HOOD S TYPE MOLDED"/>
    <s v="EK13Hb"/>
    <s v="Badelal"/>
    <n v="8"/>
    <n v="4137"/>
    <n v="517.125"/>
    <n v="5002"/>
    <n v="5000"/>
    <n v="0"/>
    <n v="0"/>
    <n v="0"/>
    <n v="0"/>
    <n v="2"/>
    <n v="0"/>
    <n v="1"/>
    <n v="5000"/>
    <n v="1.2086052695189751"/>
    <x v="1"/>
    <n v="8.6"/>
    <n v="43.017200000000003"/>
    <n v="0.99960015993602558"/>
    <n v="3.9984006397441024E-4"/>
    <n v="0"/>
    <n v="0.99960015993602558"/>
    <n v="0"/>
    <n v="8"/>
    <n v="1"/>
    <n v="625"/>
    <n v="6"/>
    <n v="5.76"/>
    <n v="1.0416666666666667"/>
    <n v="1.0412501666000267"/>
  </r>
  <r>
    <x v="3"/>
    <d v="2021-11-13T00:00:00"/>
    <s v="B"/>
    <x v="6"/>
    <x v="21"/>
    <m/>
    <m/>
    <s v="KPP 240 ML BOTTLE PRINTED"/>
    <s v="EK09Ba2K13Pb"/>
    <s v="Badelal"/>
    <n v="8"/>
    <n v="5100"/>
    <n v="637.5"/>
    <n v="4924"/>
    <n v="4860"/>
    <n v="0"/>
    <n v="0"/>
    <n v="36"/>
    <n v="0"/>
    <n v="64"/>
    <n v="0"/>
    <n v="5"/>
    <n v="972"/>
    <n v="0.95294117647058818"/>
    <x v="16"/>
    <n v="0"/>
    <n v="0"/>
    <s v=" "/>
    <n v="1.2997562956945572E-2"/>
    <n v="0"/>
    <n v="0.98700243704305446"/>
    <n v="0.66666666666666663"/>
    <n v="7.333333333333333"/>
    <n v="0.91666666666666663"/>
    <n v="607.5"/>
    <n v="32.4"/>
    <n v="27.160493827160494"/>
    <n v="1.1929090909090909"/>
    <n v="1.0792871649065801"/>
  </r>
  <r>
    <x v="3"/>
    <d v="2021-11-13T00:00:00"/>
    <s v="C"/>
    <x v="0"/>
    <x v="47"/>
    <s v="M2"/>
    <s v="L2"/>
    <s v="NIPPLE S TYPE L SIZE INJECTION"/>
    <s v="HEK13Nc"/>
    <s v="Saurabh"/>
    <n v="8"/>
    <n v="4815"/>
    <n v="601.875"/>
    <n v="4082"/>
    <n v="4000"/>
    <n v="0.4"/>
    <n v="22"/>
    <n v="0"/>
    <n v="0"/>
    <n v="60"/>
    <n v="0"/>
    <n v="1"/>
    <n v="4000"/>
    <n v="0.83073727933541019"/>
    <x v="0"/>
    <n v="6.8"/>
    <n v="28.157599999999999"/>
    <n v="0.96599141972327185"/>
    <n v="1.4778325123152709E-2"/>
    <n v="5.360623781676413E-3"/>
    <n v="0.98530132288094074"/>
    <n v="0"/>
    <n v="8"/>
    <n v="1"/>
    <n v="500"/>
    <n v="5.25"/>
    <n v="7.2"/>
    <n v="0.72916666666666663"/>
    <n v="0.71844888126735262"/>
  </r>
  <r>
    <x v="3"/>
    <d v="2021-11-13T00:00:00"/>
    <s v="C"/>
    <x v="9"/>
    <x v="31"/>
    <m/>
    <s v="INJ1"/>
    <s v="HOOD S TYPE MOLDED"/>
    <s v="EK13Hc"/>
    <s v="Saurabh"/>
    <n v="8"/>
    <n v="4137"/>
    <n v="517.125"/>
    <n v="4813"/>
    <n v="4800"/>
    <n v="0"/>
    <n v="0"/>
    <n v="0"/>
    <n v="0"/>
    <n v="5"/>
    <n v="8"/>
    <n v="1"/>
    <n v="4800"/>
    <n v="1.1602610587382161"/>
    <x v="1"/>
    <n v="8.6"/>
    <n v="41.391800000000003"/>
    <n v="0.99729898192395594"/>
    <n v="1.0405827263267431E-3"/>
    <n v="0"/>
    <n v="0.9989611468938292"/>
    <n v="0"/>
    <n v="8"/>
    <n v="1"/>
    <n v="600"/>
    <n v="6"/>
    <n v="6"/>
    <n v="1"/>
    <n v="0.9989611468938292"/>
  </r>
  <r>
    <x v="3"/>
    <d v="2021-11-15T00:00:00"/>
    <s v="A"/>
    <x v="0"/>
    <x v="47"/>
    <m/>
    <m/>
    <s v="NIPPLE S TYPE L SIZE INJECTION"/>
    <s v="HEK15Na"/>
    <s v="Nitin"/>
    <n v="8"/>
    <n v="3600"/>
    <n v="450"/>
    <n v="4110"/>
    <n v="4000"/>
    <n v="0.7"/>
    <n v="52"/>
    <n v="0"/>
    <n v="0"/>
    <n v="42"/>
    <n v="16"/>
    <n v="1"/>
    <n v="4000"/>
    <n v="1.1111111111111112"/>
    <x v="0"/>
    <n v="6.8"/>
    <n v="28.647999999999996"/>
    <n v="0.94945545936889142"/>
    <n v="1.0390895596239486E-2"/>
    <n v="1.2493993272465162E-2"/>
    <n v="0.98978102189781025"/>
    <n v="2.5"/>
    <n v="5.5"/>
    <n v="0.6875"/>
    <n v="500"/>
    <n v="5.25"/>
    <n v="4.95"/>
    <n v="1.0606060606060606"/>
    <n v="0.72171532846715325"/>
  </r>
  <r>
    <x v="3"/>
    <d v="2021-11-15T00:00:00"/>
    <s v="A"/>
    <x v="9"/>
    <x v="31"/>
    <m/>
    <m/>
    <s v="HOOD S TYPE MOLDED"/>
    <s v="EK15Ha"/>
    <s v="Nitin"/>
    <n v="8"/>
    <n v="4137"/>
    <n v="517.125"/>
    <n v="4513"/>
    <n v="4500"/>
    <n v="0"/>
    <n v="0"/>
    <n v="0"/>
    <n v="0"/>
    <n v="5"/>
    <n v="8"/>
    <n v="1"/>
    <n v="4500"/>
    <n v="1.0877447425670776"/>
    <x v="1"/>
    <n v="8.6"/>
    <n v="38.811799999999998"/>
    <n v="0.99711943274983394"/>
    <n v="1.1098779134295228E-3"/>
    <n v="0"/>
    <n v="0.99889208951916686"/>
    <n v="1"/>
    <n v="7"/>
    <n v="0.875"/>
    <n v="562.5"/>
    <n v="6"/>
    <n v="5.6"/>
    <n v="1.0714285714285714"/>
    <n v="0.93646133392421893"/>
  </r>
  <r>
    <x v="3"/>
    <d v="2021-11-15T00:00:00"/>
    <s v="A"/>
    <x v="3"/>
    <x v="49"/>
    <m/>
    <s v="P1"/>
    <s v="NIPPLE S TYPE L SIZE PUNCHED"/>
    <s v="HEK13NbK15Pa"/>
    <s v="Nitin"/>
    <n v="8"/>
    <n v="7000"/>
    <n v="875"/>
    <n v="6900"/>
    <n v="6900"/>
    <n v="0"/>
    <n v="0"/>
    <n v="0"/>
    <n v="0"/>
    <n v="0"/>
    <n v="0"/>
    <n v="1"/>
    <n v="6900"/>
    <n v="0.98571428571428577"/>
    <x v="36"/>
    <n v="0"/>
    <n v="0"/>
    <s v=" "/>
    <n v="0"/>
    <n v="0"/>
    <n v="1"/>
    <n v="1.1666666666666667"/>
    <n v="6.833333333333333"/>
    <n v="0.85416666666666663"/>
    <n v="862.5"/>
    <n v="3.5"/>
    <n v="3.5652173913043477"/>
    <n v="0.98170731707317083"/>
    <n v="0.83854166666666674"/>
  </r>
  <r>
    <x v="3"/>
    <d v="2021-11-15T00:00:00"/>
    <s v="A"/>
    <x v="8"/>
    <x v="50"/>
    <m/>
    <s v="LZ1"/>
    <s v="NIPPLE S TYPE L SIZE PUNCHED LASER MARKED"/>
    <s v="HEK13BH22"/>
    <s v="Nitin"/>
    <n v="8"/>
    <n v="7000"/>
    <n v="875"/>
    <n v="5900"/>
    <n v="5900"/>
    <n v="0"/>
    <n v="0"/>
    <n v="0"/>
    <n v="0"/>
    <n v="0"/>
    <n v="0"/>
    <n v="1"/>
    <n v="5900"/>
    <n v="0.84285714285714286"/>
    <x v="22"/>
    <n v="0"/>
    <n v="0"/>
    <s v=" "/>
    <n v="0"/>
    <n v="0"/>
    <n v="1"/>
    <n v="1"/>
    <n v="7"/>
    <n v="0.875"/>
    <n v="737.5"/>
    <n v="3.5"/>
    <n v="4.2711864406779663"/>
    <n v="0.81944444444444442"/>
    <n v="0.71701388888888884"/>
  </r>
  <r>
    <x v="3"/>
    <d v="2021-11-15T00:00:00"/>
    <s v="A"/>
    <x v="6"/>
    <x v="21"/>
    <m/>
    <m/>
    <s v="KPP 240 ML BOTTLE PRINTED"/>
    <s v="EK09Bc2K15Pa"/>
    <s v="Pintu"/>
    <n v="8"/>
    <n v="5120"/>
    <n v="640"/>
    <n v="3058"/>
    <n v="3024"/>
    <n v="0"/>
    <n v="0"/>
    <n v="33"/>
    <n v="0"/>
    <n v="34"/>
    <n v="0"/>
    <n v="4"/>
    <n v="756"/>
    <n v="0.59062499999999996"/>
    <x v="16"/>
    <n v="0"/>
    <n v="0"/>
    <s v=" "/>
    <n v="1.1118378024852845E-2"/>
    <n v="0"/>
    <n v="0.98888162197514717"/>
    <n v="0.66666666666666663"/>
    <n v="7.333333333333333"/>
    <n v="0.91666666666666663"/>
    <n v="378"/>
    <n v="32.4"/>
    <n v="34.920634920634917"/>
    <n v="0.92781818181818188"/>
    <n v="0.84104381948986273"/>
  </r>
  <r>
    <x v="3"/>
    <d v="2021-11-15T00:00:00"/>
    <s v="G"/>
    <x v="4"/>
    <x v="69"/>
    <m/>
    <m/>
    <s v="NIPPLE S TYPE Y SIZE PUNCHED INSPECTED"/>
    <s v="HEK12CH22"/>
    <s v="Badelal"/>
    <n v="3"/>
    <n v="5250"/>
    <n v="1750"/>
    <n v="3050"/>
    <n v="3021"/>
    <n v="0"/>
    <n v="0"/>
    <n v="0"/>
    <n v="0"/>
    <n v="29"/>
    <n v="0"/>
    <n v="2"/>
    <n v="1510.5"/>
    <n v="0.5754285714285714"/>
    <x v="44"/>
    <n v="0"/>
    <n v="0"/>
    <s v=" "/>
    <n v="9.5081967213114758E-3"/>
    <n v="0"/>
    <n v="0.99049180327868858"/>
    <n v="0.83333333333333337"/>
    <n v="2.1666666666666665"/>
    <n v="0.72222222222222221"/>
    <n v="1007"/>
    <n v="4"/>
    <n v="5.1638530287984103"/>
    <n v="0.77461538461538471"/>
    <n v="0.55412513661202201"/>
  </r>
  <r>
    <x v="3"/>
    <d v="2021-11-15T00:00:00"/>
    <s v="G"/>
    <x v="4"/>
    <x v="51"/>
    <m/>
    <m/>
    <s v="NIPPLE S TYPE L SIZE PUNCHED INSPECTED"/>
    <s v="HEK13BH22"/>
    <s v="Badelal"/>
    <n v="5"/>
    <n v="8750"/>
    <n v="1750"/>
    <n v="7900"/>
    <n v="7838"/>
    <n v="0"/>
    <n v="0"/>
    <n v="0"/>
    <n v="0"/>
    <n v="62"/>
    <n v="0"/>
    <n v="2"/>
    <n v="3919"/>
    <n v="0.89577142857142855"/>
    <x v="37"/>
    <n v="0"/>
    <n v="0"/>
    <s v=" "/>
    <n v="7.8481012658227853E-3"/>
    <n v="0"/>
    <n v="0.9921518987341772"/>
    <n v="0"/>
    <n v="5"/>
    <n v="1"/>
    <n v="1567.6"/>
    <n v="4"/>
    <n v="4.5930084205154378"/>
    <n v="0.87088888888888882"/>
    <n v="0.86405406469760893"/>
  </r>
  <r>
    <x v="3"/>
    <d v="2021-11-15T00:00:00"/>
    <s v="B"/>
    <x v="0"/>
    <x v="47"/>
    <s v="M2"/>
    <s v="L2"/>
    <s v="NIPPLE S TYPE L SIZE INJECTION"/>
    <s v="HEK15Nb"/>
    <s v="Badelal"/>
    <n v="8"/>
    <n v="4815"/>
    <n v="601.875"/>
    <n v="3652"/>
    <n v="3500"/>
    <n v="0"/>
    <n v="82"/>
    <n v="0"/>
    <n v="0"/>
    <n v="70"/>
    <n v="0"/>
    <n v="1"/>
    <n v="3500"/>
    <n v="0.72689511941848395"/>
    <x v="0"/>
    <n v="6.8"/>
    <n v="24.833599999999997"/>
    <n v="0.95837897042716325"/>
    <n v="1.9607843137254902E-2"/>
    <n v="2.1960364220674881E-2"/>
    <n v="0.9808324205914567"/>
    <n v="0"/>
    <n v="8"/>
    <n v="1"/>
    <n v="437.5"/>
    <n v="5.25"/>
    <n v="8.2285714285714278"/>
    <n v="0.63802083333333337"/>
    <n v="0.62579151834611169"/>
  </r>
  <r>
    <x v="3"/>
    <d v="2021-11-15T00:00:00"/>
    <s v="B"/>
    <x v="9"/>
    <x v="31"/>
    <m/>
    <s v="INJ1"/>
    <s v="HOOD S TYPE MOLDED"/>
    <s v="EK15Hb"/>
    <s v="Badelal"/>
    <n v="8"/>
    <n v="4137"/>
    <n v="517.125"/>
    <n v="3250"/>
    <n v="3200"/>
    <n v="0"/>
    <n v="30"/>
    <n v="0"/>
    <n v="0"/>
    <n v="20"/>
    <n v="0"/>
    <n v="1"/>
    <n v="3200"/>
    <n v="0.77350737249214407"/>
    <x v="1"/>
    <n v="8.6"/>
    <n v="27.95"/>
    <n v="0.98461538461538467"/>
    <n v="6.2111801242236021E-3"/>
    <n v="9.1463414634146336E-3"/>
    <n v="0.99384615384615382"/>
    <n v="0"/>
    <n v="8"/>
    <n v="1"/>
    <n v="400"/>
    <n v="6"/>
    <n v="9"/>
    <n v="0.66666666666666663"/>
    <n v="0.66256410256410248"/>
  </r>
  <r>
    <x v="3"/>
    <d v="2021-11-15T00:00:00"/>
    <s v="B"/>
    <x v="1"/>
    <x v="35"/>
    <s v="BM3"/>
    <s v="B2"/>
    <s v="RPP 240 ML BOTTLE MOLDED"/>
    <s v="EK15Bb2"/>
    <s v="Badelal"/>
    <n v="8"/>
    <n v="2574"/>
    <n v="321.75"/>
    <n v="3585"/>
    <n v="3480"/>
    <n v="0.91500000000000004"/>
    <n v="45"/>
    <n v="0"/>
    <n v="0"/>
    <n v="60"/>
    <n v="0"/>
    <n v="1"/>
    <n v="3480"/>
    <n v="1.3519813519813519"/>
    <x v="1"/>
    <n v="32.1"/>
    <n v="115.99350000000003"/>
    <n v="0.96305396423075418"/>
    <n v="1.6949152542372881E-2"/>
    <n v="1.2396694214876033E-2"/>
    <n v="0.98326359832635979"/>
    <n v="0"/>
    <n v="8"/>
    <n v="1"/>
    <n v="435"/>
    <n v="9"/>
    <n v="8.2758620689655178"/>
    <n v="1.0874999999999999"/>
    <n v="1.0692991631799162"/>
  </r>
  <r>
    <x v="3"/>
    <d v="2021-11-15T00:00:00"/>
    <s v="B"/>
    <x v="3"/>
    <x v="49"/>
    <m/>
    <s v="P1"/>
    <s v="NIPPLE S TYPE L SIZE PUNCHED"/>
    <s v="HEK15NbK15Pb"/>
    <s v="Badelal"/>
    <n v="8"/>
    <n v="7000"/>
    <n v="875"/>
    <n v="7000"/>
    <n v="7000"/>
    <n v="0"/>
    <n v="0"/>
    <n v="0"/>
    <n v="0"/>
    <n v="0"/>
    <n v="0"/>
    <n v="1"/>
    <n v="7000"/>
    <n v="1"/>
    <x v="36"/>
    <n v="0"/>
    <n v="0"/>
    <s v=" "/>
    <n v="0"/>
    <n v="0"/>
    <n v="1"/>
    <n v="0.66666666666666663"/>
    <n v="7.333333333333333"/>
    <n v="0.91666666666666663"/>
    <n v="875"/>
    <n v="3.5"/>
    <n v="3.7714285714285714"/>
    <n v="0.92803030303030309"/>
    <n v="0.85069444444444442"/>
  </r>
  <r>
    <x v="3"/>
    <d v="2021-11-15T00:00:00"/>
    <s v="B"/>
    <x v="8"/>
    <x v="50"/>
    <m/>
    <s v="LZ1"/>
    <s v="NIPPLE S TYPE L SIZE PUNCHED LASER MARKED"/>
    <s v="HEK13CH22"/>
    <s v="Badelal"/>
    <n v="8"/>
    <n v="7000"/>
    <n v="875"/>
    <n v="6000"/>
    <n v="6000"/>
    <n v="0"/>
    <n v="0"/>
    <n v="0"/>
    <n v="0"/>
    <n v="0"/>
    <n v="0"/>
    <n v="1"/>
    <n v="6000"/>
    <n v="0.8571428571428571"/>
    <x v="22"/>
    <n v="0"/>
    <n v="0"/>
    <s v=" "/>
    <n v="0"/>
    <n v="0"/>
    <n v="1"/>
    <n v="0.66666666666666663"/>
    <n v="7.333333333333333"/>
    <n v="0.91666666666666663"/>
    <n v="750"/>
    <n v="3.5"/>
    <n v="4.4000000000000004"/>
    <n v="0.79545454545454541"/>
    <n v="0.72916666666666663"/>
  </r>
  <r>
    <x v="3"/>
    <d v="2021-11-15T00:00:00"/>
    <s v="B"/>
    <x v="6"/>
    <x v="21"/>
    <m/>
    <m/>
    <s v="KPP 240 ML BOTTLE PRINTED"/>
    <s v="EK10Ba2K15Pb"/>
    <s v="Badelal"/>
    <n v="8"/>
    <n v="5100"/>
    <n v="637.5"/>
    <n v="4479"/>
    <n v="4428"/>
    <n v="0"/>
    <n v="0"/>
    <n v="61"/>
    <n v="0"/>
    <n v="51"/>
    <n v="0"/>
    <n v="5"/>
    <n v="885.6"/>
    <n v="0.86823529411764711"/>
    <x v="16"/>
    <n v="0"/>
    <n v="0"/>
    <s v=" "/>
    <n v="1.1386470194239785E-2"/>
    <n v="0"/>
    <n v="0.98861352980576023"/>
    <n v="0"/>
    <n v="8"/>
    <n v="1"/>
    <n v="553.5"/>
    <n v="32.4"/>
    <n v="32.520325203252035"/>
    <n v="0.99629999999999985"/>
    <n v="0.98495565974547872"/>
  </r>
  <r>
    <x v="3"/>
    <d v="2021-11-15T00:00:00"/>
    <s v="C"/>
    <x v="1"/>
    <x v="35"/>
    <s v="BM5"/>
    <s v="B2"/>
    <s v="RPP 240 ML BOTTLE MOLDED"/>
    <s v="EK15Bc2"/>
    <s v="Saurabh"/>
    <n v="8"/>
    <n v="2574"/>
    <n v="321.75"/>
    <n v="3239"/>
    <n v="3120"/>
    <n v="0.4"/>
    <n v="48"/>
    <n v="0"/>
    <n v="0"/>
    <n v="63"/>
    <n v="8"/>
    <n v="1"/>
    <n v="3120"/>
    <n v="1.2121212121212122"/>
    <x v="1"/>
    <n v="32.1"/>
    <n v="104.37190000000001"/>
    <n v="0.95956861952307093"/>
    <n v="1.9792648444863337E-2"/>
    <n v="1.4602981442044418E-2"/>
    <n v="0.9805495523309663"/>
    <n v="0"/>
    <n v="8"/>
    <n v="1"/>
    <n v="390"/>
    <n v="9"/>
    <n v="9.2307692307692299"/>
    <n v="0.97500000000000009"/>
    <n v="0.95603581352269218"/>
  </r>
  <r>
    <x v="3"/>
    <d v="2021-11-15T00:00:00"/>
    <s v="C"/>
    <x v="0"/>
    <x v="47"/>
    <s v="M2"/>
    <s v="L2"/>
    <s v="NIPPLE S TYPE L SIZE INJECTION"/>
    <s v="HEK15Nc"/>
    <s v="Saurabh"/>
    <n v="8"/>
    <n v="4815"/>
    <n v="601.875"/>
    <n v="4376"/>
    <n v="4200"/>
    <n v="0"/>
    <n v="107"/>
    <n v="0"/>
    <n v="0"/>
    <n v="53"/>
    <n v="16"/>
    <n v="1"/>
    <n v="4200"/>
    <n v="0.87227414330218067"/>
    <x v="0"/>
    <n v="6.8"/>
    <n v="29.756799999999998"/>
    <n v="0.95978062157221211"/>
    <n v="1.2461791676463673E-2"/>
    <n v="2.38679455721615E-2"/>
    <n v="0.98788848263254114"/>
    <n v="1"/>
    <n v="7"/>
    <n v="0.875"/>
    <n v="525"/>
    <n v="5.25"/>
    <n v="6"/>
    <n v="0.875"/>
    <n v="0.75635211951553938"/>
  </r>
  <r>
    <x v="3"/>
    <d v="2021-11-15T00:00:00"/>
    <s v="C"/>
    <x v="9"/>
    <x v="31"/>
    <m/>
    <s v="INJ1"/>
    <s v="HOOD S TYPE MOLDED"/>
    <s v="EK15Hc"/>
    <s v="Saurabh"/>
    <n v="8"/>
    <n v="4137"/>
    <n v="517.125"/>
    <n v="4833"/>
    <n v="4800"/>
    <n v="0"/>
    <n v="0"/>
    <n v="0"/>
    <n v="0"/>
    <n v="25"/>
    <n v="8"/>
    <n v="1"/>
    <n v="4800"/>
    <n v="1.1602610587382161"/>
    <x v="1"/>
    <n v="8.6"/>
    <n v="41.563800000000001"/>
    <n v="0.99317194289261335"/>
    <n v="5.1813471502590676E-3"/>
    <n v="0"/>
    <n v="0.99482722946410096"/>
    <n v="0"/>
    <n v="8"/>
    <n v="1"/>
    <n v="600"/>
    <n v="6"/>
    <n v="6"/>
    <n v="1"/>
    <n v="0.99482722946410096"/>
  </r>
  <r>
    <x v="3"/>
    <d v="2021-11-16T00:00:00"/>
    <s v="A"/>
    <x v="0"/>
    <x v="47"/>
    <s v="M2"/>
    <s v="L2"/>
    <s v="NIPPLE S TYPE L SIZE INJECTION"/>
    <s v="HEK16Na"/>
    <s v="Nitin"/>
    <n v="8"/>
    <n v="4815"/>
    <n v="601.875"/>
    <n v="5488"/>
    <n v="5400"/>
    <n v="0"/>
    <n v="30"/>
    <n v="0"/>
    <n v="0"/>
    <n v="50"/>
    <n v="8"/>
    <n v="1"/>
    <n v="5400"/>
    <n v="1.1214953271028036"/>
    <x v="0"/>
    <n v="6.8"/>
    <n v="37.318399999999997"/>
    <n v="0.98396501457725949"/>
    <n v="9.1743119266055051E-3"/>
    <n v="5.4367524465386008E-3"/>
    <n v="0.99088921282798836"/>
    <n v="0"/>
    <n v="8"/>
    <n v="1"/>
    <n v="675"/>
    <n v="5.25"/>
    <n v="5.333333333333333"/>
    <n v="0.984375"/>
    <n v="0.97540656887755106"/>
  </r>
  <r>
    <x v="3"/>
    <d v="2021-11-16T00:00:00"/>
    <s v="A"/>
    <x v="9"/>
    <x v="31"/>
    <m/>
    <s v="INJ1"/>
    <s v="HOOD S TYPE MOLDED"/>
    <s v="EK16Ha"/>
    <s v="Nitin"/>
    <n v="8"/>
    <n v="4137"/>
    <n v="517.125"/>
    <n v="4148"/>
    <n v="4100"/>
    <n v="0"/>
    <n v="32"/>
    <n v="0"/>
    <n v="0"/>
    <n v="8"/>
    <n v="8"/>
    <n v="1"/>
    <n v="4100"/>
    <n v="0.99105632100555963"/>
    <x v="1"/>
    <n v="8.6"/>
    <n v="35.672800000000002"/>
    <n v="0.98842815814850515"/>
    <n v="1.9474196689386564E-3"/>
    <n v="7.6555023923444978E-3"/>
    <n v="0.99807135969141758"/>
    <n v="0"/>
    <n v="8"/>
    <n v="1"/>
    <n v="512.5"/>
    <n v="6"/>
    <n v="7.024390243902439"/>
    <n v="0.85416666666666663"/>
    <n v="0.85251928640308583"/>
  </r>
  <r>
    <x v="3"/>
    <d v="2021-11-16T00:00:00"/>
    <s v="A"/>
    <x v="3"/>
    <x v="49"/>
    <m/>
    <s v="P1"/>
    <s v="NIPPLE S TYPE L SIZE PUNCHED"/>
    <s v="HEK15NcK16Pa"/>
    <s v="Nitin"/>
    <n v="8"/>
    <n v="7000"/>
    <n v="875"/>
    <n v="6700"/>
    <n v="6700"/>
    <n v="0"/>
    <n v="0"/>
    <n v="0"/>
    <n v="0"/>
    <n v="0"/>
    <n v="0"/>
    <n v="1"/>
    <n v="6700"/>
    <n v="0.95714285714285718"/>
    <x v="36"/>
    <n v="0"/>
    <n v="0"/>
    <s v=" "/>
    <n v="0"/>
    <n v="0"/>
    <n v="1"/>
    <n v="0.66666666666666663"/>
    <n v="7.333333333333333"/>
    <n v="0.91666666666666663"/>
    <n v="837.5"/>
    <n v="3.5"/>
    <n v="3.9402985074626864"/>
    <n v="0.8882575757575758"/>
    <n v="0.81423611111111116"/>
  </r>
  <r>
    <x v="3"/>
    <d v="2021-11-16T00:00:00"/>
    <s v="A"/>
    <x v="8"/>
    <x v="50"/>
    <m/>
    <s v="LZ1"/>
    <s v="NIPPLE S TYPE L SIZE PUNCHED LASER MARKED"/>
    <s v="HEK15CH22"/>
    <s v="Nitin"/>
    <n v="8"/>
    <n v="7000"/>
    <n v="875"/>
    <n v="6700"/>
    <n v="6700"/>
    <n v="0"/>
    <n v="0"/>
    <n v="0"/>
    <n v="0"/>
    <n v="0"/>
    <n v="0"/>
    <n v="1"/>
    <n v="6700"/>
    <n v="0.95714285714285718"/>
    <x v="22"/>
    <n v="0"/>
    <n v="0"/>
    <s v=" "/>
    <n v="0"/>
    <n v="0"/>
    <n v="1"/>
    <n v="0.66666666666666663"/>
    <n v="7.333333333333333"/>
    <n v="0.91666666666666663"/>
    <n v="837.5"/>
    <n v="3.5"/>
    <n v="3.9402985074626864"/>
    <n v="0.8882575757575758"/>
    <n v="0.81423611111111116"/>
  </r>
  <r>
    <x v="3"/>
    <d v="2021-11-16T00:00:00"/>
    <s v="A"/>
    <x v="1"/>
    <x v="35"/>
    <s v="BM5"/>
    <s v="B2"/>
    <s v="RPP 240 ML BOTTLE MOLDED"/>
    <s v="EK16Ba2"/>
    <s v="Nitin"/>
    <n v="8"/>
    <n v="2574"/>
    <n v="321.75"/>
    <n v="3224"/>
    <n v="3120"/>
    <n v="0.25"/>
    <n v="30"/>
    <n v="0"/>
    <n v="0"/>
    <n v="50"/>
    <n v="24"/>
    <n v="1"/>
    <n v="3120"/>
    <n v="1.2121212121212122"/>
    <x v="1"/>
    <n v="32.1"/>
    <n v="103.74040000000001"/>
    <n v="0.9654098114138755"/>
    <n v="1.5772870662460567E-2"/>
    <n v="9.2194222495390298E-3"/>
    <n v="0.98449131513647647"/>
    <n v="0"/>
    <n v="8"/>
    <n v="1"/>
    <n v="390"/>
    <n v="9"/>
    <n v="9.2307692307692299"/>
    <n v="0.97500000000000009"/>
    <n v="0.9598790322580647"/>
  </r>
  <r>
    <x v="3"/>
    <d v="2021-11-16T00:00:00"/>
    <s v="A"/>
    <x v="6"/>
    <x v="21"/>
    <m/>
    <s v="P1"/>
    <s v="KPP 240 ML BOTTLE PRINTED"/>
    <s v="EK10Bc2K16Pa"/>
    <s v="Pintu"/>
    <n v="8"/>
    <n v="5120"/>
    <n v="640"/>
    <n v="3931"/>
    <n v="3888"/>
    <n v="0"/>
    <n v="0"/>
    <n v="27"/>
    <n v="0"/>
    <n v="43"/>
    <n v="0"/>
    <n v="4.5"/>
    <n v="864"/>
    <n v="0.75937500000000002"/>
    <x v="16"/>
    <n v="0"/>
    <n v="0"/>
    <s v=" "/>
    <n v="1.0938692444670568E-2"/>
    <n v="0"/>
    <n v="0.98906130755532939"/>
    <n v="0.66666666666666663"/>
    <n v="7.333333333333333"/>
    <n v="0.91666666666666663"/>
    <n v="486"/>
    <n v="32.4"/>
    <n v="30.555555555555557"/>
    <n v="1.0603636363636362"/>
    <n v="0.96136759094377988"/>
  </r>
  <r>
    <x v="3"/>
    <d v="2021-11-16T00:00:00"/>
    <s v="G"/>
    <x v="4"/>
    <x v="51"/>
    <m/>
    <m/>
    <s v="NIPPLE S TYPE L SIZE PUNCHED INSPECTED"/>
    <s v="HEK13CH22"/>
    <s v="Badelal"/>
    <n v="8"/>
    <n v="14000"/>
    <n v="1750"/>
    <n v="12700"/>
    <n v="12633"/>
    <n v="0"/>
    <n v="0"/>
    <n v="0"/>
    <n v="0"/>
    <n v="67"/>
    <n v="0"/>
    <n v="1"/>
    <n v="12633"/>
    <n v="0.90235714285714286"/>
    <x v="37"/>
    <n v="0"/>
    <n v="0"/>
    <s v=" "/>
    <n v="5.2755905511811026E-3"/>
    <n v="0"/>
    <n v="0.9947244094488189"/>
    <n v="0.83333333333333337"/>
    <n v="7.166666666666667"/>
    <n v="0.89583333333333337"/>
    <n v="1579.125"/>
    <n v="4"/>
    <n v="2.042270244597483"/>
    <n v="1.9586046511627906"/>
    <n v="1.7453268700787403"/>
  </r>
  <r>
    <x v="3"/>
    <d v="2021-11-16T00:00:00"/>
    <s v="G"/>
    <x v="7"/>
    <x v="71"/>
    <m/>
    <s v="WR1"/>
    <s v="NIPPLE S TYPE Y SIZE WITH PRINTED WRAP"/>
    <s v="HEK13AH22"/>
    <s v="Badelal"/>
    <n v="2"/>
    <n v="4042"/>
    <n v="2021"/>
    <n v="4029"/>
    <n v="4025"/>
    <n v="0"/>
    <n v="0"/>
    <n v="0"/>
    <n v="0"/>
    <n v="4"/>
    <n v="0"/>
    <n v="1"/>
    <n v="4025"/>
    <n v="0.99579416130628406"/>
    <x v="43"/>
    <n v="0"/>
    <n v="0"/>
    <s v=" "/>
    <n v="9.9280218416480524E-4"/>
    <n v="0"/>
    <n v="0.99900719781583525"/>
    <n v="0.83333333333333337"/>
    <n v="1.1666666666666665"/>
    <n v="0.58333333333333326"/>
    <n v="2012.5"/>
    <n v="2.5"/>
    <n v="1.043478260869565"/>
    <n v="2.3958333333333339"/>
    <n v="1.3961819344474784"/>
  </r>
  <r>
    <x v="3"/>
    <d v="2021-11-16T00:00:00"/>
    <s v="G"/>
    <x v="7"/>
    <x v="27"/>
    <m/>
    <s v="WR1"/>
    <s v="NIPPLE S TYPE L SIZE WITH PRINTED WRAP"/>
    <s v="HEK15BH22"/>
    <s v="Badelal"/>
    <n v="6"/>
    <n v="12126"/>
    <n v="2021"/>
    <n v="12254"/>
    <n v="12254"/>
    <n v="0"/>
    <n v="0"/>
    <n v="0"/>
    <n v="0"/>
    <n v="0"/>
    <n v="0"/>
    <n v="1"/>
    <n v="12254"/>
    <n v="1.0105558304469735"/>
    <x v="22"/>
    <n v="0"/>
    <n v="0"/>
    <s v=" "/>
    <n v="0"/>
    <n v="0"/>
    <n v="1"/>
    <n v="0"/>
    <n v="6"/>
    <n v="1"/>
    <n v="2042.3333333333333"/>
    <n v="2.5"/>
    <n v="1.7626897339644199"/>
    <n v="1.4182870370370371"/>
    <n v="1.4182870370370371"/>
  </r>
  <r>
    <x v="3"/>
    <d v="2021-11-16T00:00:00"/>
    <s v="B"/>
    <x v="0"/>
    <x v="47"/>
    <s v="M2"/>
    <s v="L2"/>
    <s v="NIPPLE S TYPE L SIZE INJECTION"/>
    <s v="HEK16Nb"/>
    <s v="Badelal"/>
    <n v="8"/>
    <n v="4815"/>
    <n v="601.875"/>
    <n v="5590"/>
    <n v="5500"/>
    <n v="0"/>
    <n v="40"/>
    <n v="0"/>
    <n v="0"/>
    <n v="50"/>
    <n v="0"/>
    <n v="1"/>
    <n v="5500"/>
    <n v="1.142263759086189"/>
    <x v="0"/>
    <n v="6.8"/>
    <n v="38.012"/>
    <n v="0.98389982110912344"/>
    <n v="9.0090090090090089E-3"/>
    <n v="7.104795737122558E-3"/>
    <n v="0.99105545617173529"/>
    <n v="0"/>
    <n v="8"/>
    <n v="1"/>
    <n v="687.5"/>
    <n v="5.25"/>
    <n v="5.2363636363636363"/>
    <n v="1.0026041666666667"/>
    <n v="0.99363632975551597"/>
  </r>
  <r>
    <x v="3"/>
    <d v="2021-11-16T00:00:00"/>
    <s v="B"/>
    <x v="1"/>
    <x v="35"/>
    <s v="BM5"/>
    <s v="B2"/>
    <s v="RPP 240 ML BOTTLE MOLDED"/>
    <s v="EK16Bb2"/>
    <s v="Badelal"/>
    <n v="8"/>
    <n v="2574"/>
    <n v="321.75"/>
    <n v="3315"/>
    <n v="3240"/>
    <n v="0.4"/>
    <n v="30"/>
    <n v="0"/>
    <n v="0"/>
    <n v="45"/>
    <n v="0"/>
    <n v="1"/>
    <n v="3240"/>
    <n v="1.2587412587412588"/>
    <x v="1"/>
    <n v="32.1"/>
    <n v="106.81150000000002"/>
    <n v="0.97371537708954548"/>
    <n v="1.3698630136986301E-2"/>
    <n v="8.9686098654708519E-3"/>
    <n v="0.98642533936651589"/>
    <n v="0"/>
    <n v="8"/>
    <n v="1"/>
    <n v="405"/>
    <n v="9"/>
    <n v="8.8888888888888893"/>
    <n v="1.0125"/>
    <n v="0.99875565610859729"/>
  </r>
  <r>
    <x v="3"/>
    <d v="2021-11-16T00:00:00"/>
    <s v="B"/>
    <x v="9"/>
    <x v="31"/>
    <m/>
    <s v="INJ1"/>
    <s v="HOOD S TYPE MOLDED"/>
    <s v="EK16Hb"/>
    <s v="Badelal"/>
    <n v="8"/>
    <n v="4137"/>
    <n v="517.125"/>
    <n v="4432"/>
    <n v="4400"/>
    <n v="0"/>
    <n v="12"/>
    <n v="0"/>
    <n v="0"/>
    <n v="20"/>
    <n v="0"/>
    <n v="1"/>
    <n v="4400"/>
    <n v="1.063572637176698"/>
    <x v="1"/>
    <n v="8.6"/>
    <n v="38.115200000000002"/>
    <n v="0.99277978339350181"/>
    <n v="4.5248868778280547E-3"/>
    <n v="2.7002700270027003E-3"/>
    <n v="0.99548736462093868"/>
    <n v="0"/>
    <n v="8"/>
    <n v="1"/>
    <n v="550"/>
    <n v="6"/>
    <n v="6.5454545454545459"/>
    <n v="0.91666666666666663"/>
    <n v="0.91253008423586046"/>
  </r>
  <r>
    <x v="3"/>
    <d v="2021-11-16T00:00:00"/>
    <s v="B"/>
    <x v="3"/>
    <x v="49"/>
    <m/>
    <s v="P1"/>
    <s v="NIPPLE S TYPE L SIZE PUNCHED"/>
    <s v="HEK16NbK16Pb"/>
    <s v="Badelal"/>
    <n v="8"/>
    <n v="7000"/>
    <n v="875"/>
    <n v="6400"/>
    <n v="6400"/>
    <n v="0"/>
    <n v="0"/>
    <n v="0"/>
    <n v="0"/>
    <n v="0"/>
    <n v="0"/>
    <n v="1"/>
    <n v="6400"/>
    <n v="0.91428571428571426"/>
    <x v="36"/>
    <n v="0"/>
    <n v="0"/>
    <s v=" "/>
    <n v="0"/>
    <n v="0"/>
    <n v="1"/>
    <n v="0.66666666666666663"/>
    <n v="7.333333333333333"/>
    <n v="0.91666666666666663"/>
    <n v="800"/>
    <n v="3.5"/>
    <n v="4.125"/>
    <n v="0.84848484848484851"/>
    <n v="0.77777777777777779"/>
  </r>
  <r>
    <x v="3"/>
    <d v="2021-11-16T00:00:00"/>
    <s v="B"/>
    <x v="8"/>
    <x v="50"/>
    <m/>
    <s v="LZ1"/>
    <s v="NIPPLE S TYPE L SIZE PUNCHED LASER MARKED"/>
    <s v="HEK15CH22"/>
    <s v="Badelal"/>
    <n v="8"/>
    <n v="7000"/>
    <n v="875"/>
    <n v="6400"/>
    <n v="6400"/>
    <n v="0"/>
    <n v="0"/>
    <n v="0"/>
    <n v="0"/>
    <n v="0"/>
    <n v="0"/>
    <n v="1"/>
    <n v="6400"/>
    <n v="0.91428571428571426"/>
    <x v="22"/>
    <n v="0"/>
    <n v="0"/>
    <s v=" "/>
    <n v="0"/>
    <n v="0"/>
    <n v="1"/>
    <n v="0.66666666666666663"/>
    <n v="7.333333333333333"/>
    <n v="0.91666666666666663"/>
    <n v="800"/>
    <n v="3.5"/>
    <n v="4.125"/>
    <n v="0.84848484848484851"/>
    <n v="0.77777777777777779"/>
  </r>
  <r>
    <x v="3"/>
    <d v="2021-11-16T00:00:00"/>
    <s v="B"/>
    <x v="6"/>
    <x v="21"/>
    <m/>
    <m/>
    <s v="KPP 240 ML BOTTLE PRINTED"/>
    <s v="EK10Bc2k16pB"/>
    <s v="Badelal"/>
    <n v="8"/>
    <n v="5100"/>
    <n v="637.5"/>
    <n v="5442"/>
    <n v="5400"/>
    <n v="0"/>
    <n v="0"/>
    <n v="47"/>
    <n v="0"/>
    <n v="42"/>
    <n v="0"/>
    <n v="5"/>
    <n v="1080"/>
    <n v="1.0588235294117647"/>
    <x v="16"/>
    <n v="0"/>
    <n v="0"/>
    <s v=" "/>
    <n v="7.717750826901874E-3"/>
    <n v="0"/>
    <n v="0.99228224917309815"/>
    <n v="0.66666666666666663"/>
    <n v="7.333333333333333"/>
    <n v="0.91666666666666663"/>
    <n v="675"/>
    <n v="32.4"/>
    <n v="24.444444444444443"/>
    <n v="1.3254545454545454"/>
    <n v="1.2056229327453143"/>
  </r>
  <r>
    <x v="3"/>
    <d v="2021-11-16T00:00:00"/>
    <s v="C"/>
    <x v="1"/>
    <x v="35"/>
    <s v="BM5"/>
    <s v="B2"/>
    <s v="RPP 240 ML BOTTLE MOLDED"/>
    <s v="EK16Bc2"/>
    <s v="Saurabh"/>
    <n v="8"/>
    <n v="2574"/>
    <n v="321.75"/>
    <n v="3203"/>
    <n v="3120"/>
    <n v="0.4"/>
    <n v="16"/>
    <n v="0"/>
    <n v="0"/>
    <n v="59"/>
    <n v="8"/>
    <n v="1"/>
    <n v="3120"/>
    <n v="1.2121212121212122"/>
    <x v="1"/>
    <n v="32.1"/>
    <n v="103.21630000000002"/>
    <n v="0.97031185965782529"/>
    <n v="1.8559295375904374E-2"/>
    <n v="4.9704877291084186E-3"/>
    <n v="0.98157976896659382"/>
    <n v="0"/>
    <n v="8"/>
    <n v="1"/>
    <n v="390"/>
    <n v="9"/>
    <n v="9.2307692307692299"/>
    <n v="0.97500000000000009"/>
    <n v="0.95704027474242903"/>
  </r>
  <r>
    <x v="3"/>
    <d v="2021-11-16T00:00:00"/>
    <s v="C"/>
    <x v="0"/>
    <x v="47"/>
    <s v="M2"/>
    <s v="L2"/>
    <s v="NIPPLE S TYPE L SIZE INJECTION"/>
    <s v="HEK16Nc"/>
    <s v="Saurabh"/>
    <n v="8"/>
    <n v="4815"/>
    <n v="601.875"/>
    <n v="5518"/>
    <n v="5400"/>
    <n v="0"/>
    <n v="32"/>
    <n v="0"/>
    <n v="0"/>
    <n v="70"/>
    <n v="16"/>
    <n v="1"/>
    <n v="5400"/>
    <n v="1.1214953271028036"/>
    <x v="0"/>
    <n v="6.8"/>
    <n v="37.522399999999998"/>
    <n v="0.97861544037694825"/>
    <n v="1.2797074954296161E-2"/>
    <n v="5.7657657657657659E-3"/>
    <n v="0.9873142442914099"/>
    <n v="0"/>
    <n v="8"/>
    <n v="1"/>
    <n v="675"/>
    <n v="5.25"/>
    <n v="5.333333333333333"/>
    <n v="0.984375"/>
    <n v="0.9718874592243566"/>
  </r>
  <r>
    <x v="3"/>
    <d v="2021-11-16T00:00:00"/>
    <s v="C"/>
    <x v="9"/>
    <x v="31"/>
    <m/>
    <s v="INJ1"/>
    <s v="HOOD S TYPE MOLDED"/>
    <s v="EK16Ha"/>
    <s v="Saurabh"/>
    <n v="8"/>
    <n v="4137"/>
    <n v="517.125"/>
    <n v="4642"/>
    <n v="4600"/>
    <n v="0.2"/>
    <n v="0"/>
    <n v="0"/>
    <n v="0"/>
    <n v="34"/>
    <n v="8"/>
    <n v="1"/>
    <n v="4600"/>
    <n v="1.111916847957457"/>
    <x v="1"/>
    <n v="8.6"/>
    <n v="40.121200000000002"/>
    <n v="0.98601238248108236"/>
    <n v="7.3370738023305999E-3"/>
    <n v="0"/>
    <n v="0.99267557087462299"/>
    <n v="0"/>
    <n v="8"/>
    <n v="1"/>
    <n v="575"/>
    <n v="6"/>
    <n v="6.2608695652173916"/>
    <n v="0.95833333333333326"/>
    <n v="0.95131408875484691"/>
  </r>
  <r>
    <x v="3"/>
    <d v="2021-11-17T00:00:00"/>
    <s v="A"/>
    <x v="1"/>
    <x v="35"/>
    <s v="BM5"/>
    <s v="B2"/>
    <s v="RPP 240 ML BOTTLE MOLDED"/>
    <s v="EK17Ba2"/>
    <s v="Nitin"/>
    <n v="4"/>
    <n v="1574"/>
    <n v="393.5"/>
    <n v="1736"/>
    <n v="1656"/>
    <n v="0.2"/>
    <n v="45"/>
    <n v="0"/>
    <n v="0"/>
    <n v="35"/>
    <n v="0"/>
    <n v="1"/>
    <n v="1656"/>
    <n v="1.0520965692503177"/>
    <x v="1"/>
    <n v="32.1"/>
    <n v="55.92560000000001"/>
    <n v="0.95050567182113377"/>
    <n v="2.0697811945594322E-2"/>
    <n v="2.5266704098820886E-2"/>
    <n v="0.97983870967741937"/>
    <n v="0"/>
    <n v="4"/>
    <n v="1"/>
    <n v="414"/>
    <n v="9"/>
    <n v="8.695652173913043"/>
    <n v="1.0350000000000001"/>
    <n v="1.0141330645161293"/>
  </r>
  <r>
    <x v="3"/>
    <d v="2021-11-17T00:00:00"/>
    <s v="A"/>
    <x v="9"/>
    <x v="31"/>
    <m/>
    <s v="INJ1"/>
    <s v="HOOD S TYPE MOLDED"/>
    <s v="EK17Ha"/>
    <s v="Nitin"/>
    <n v="8"/>
    <n v="4137"/>
    <n v="517.125"/>
    <n v="4448"/>
    <n v="4400"/>
    <n v="0.12"/>
    <n v="26"/>
    <n v="0"/>
    <n v="0"/>
    <n v="14"/>
    <n v="8"/>
    <n v="1"/>
    <n v="4400"/>
    <n v="1.063572637176698"/>
    <x v="1"/>
    <n v="8.6"/>
    <n v="38.372799999999998"/>
    <n v="0.98611516490847695"/>
    <n v="3.1717263253285004E-3"/>
    <n v="5.8113544926240504E-3"/>
    <n v="0.99685251798561147"/>
    <n v="0"/>
    <n v="8"/>
    <n v="1"/>
    <n v="550"/>
    <n v="6"/>
    <n v="6.5454545454545459"/>
    <n v="0.91666666666666663"/>
    <n v="0.91378147482014382"/>
  </r>
  <r>
    <x v="3"/>
    <d v="2021-11-17T00:00:00"/>
    <s v="A"/>
    <x v="3"/>
    <x v="49"/>
    <m/>
    <s v="P1"/>
    <s v="NIPPLE S TYPE L SIZE PUNCHED"/>
    <s v="HEK16NcK17Pa"/>
    <s v="Nitin"/>
    <n v="8"/>
    <n v="7000"/>
    <n v="875"/>
    <n v="6900"/>
    <n v="6900"/>
    <n v="0"/>
    <n v="0"/>
    <n v="0"/>
    <n v="0"/>
    <n v="0"/>
    <n v="0"/>
    <n v="1"/>
    <n v="6900"/>
    <n v="0.98571428571428577"/>
    <x v="36"/>
    <n v="0"/>
    <n v="0"/>
    <s v=" "/>
    <n v="0"/>
    <n v="0"/>
    <n v="1"/>
    <n v="0"/>
    <n v="8"/>
    <n v="1"/>
    <n v="862.5"/>
    <n v="3.5"/>
    <n v="4.1739130434782608"/>
    <n v="0.83854166666666674"/>
    <n v="0.83854166666666674"/>
  </r>
  <r>
    <x v="3"/>
    <d v="2021-11-17T00:00:00"/>
    <s v="A"/>
    <x v="8"/>
    <x v="50"/>
    <m/>
    <s v="LZ1"/>
    <s v="NIPPLE S TYPE L SIZE PUNCHED LASER MARKED"/>
    <s v="HEK16CH22"/>
    <s v="Nitin"/>
    <n v="8"/>
    <n v="7000"/>
    <n v="875"/>
    <n v="6900"/>
    <n v="6900"/>
    <n v="0"/>
    <n v="0"/>
    <n v="0"/>
    <n v="0"/>
    <n v="0"/>
    <n v="0"/>
    <n v="1"/>
    <n v="6900"/>
    <n v="0.98571428571428577"/>
    <x v="22"/>
    <n v="0"/>
    <n v="0"/>
    <s v=" "/>
    <n v="0"/>
    <n v="0"/>
    <n v="1"/>
    <n v="0"/>
    <n v="8"/>
    <n v="1"/>
    <n v="862.5"/>
    <n v="3.5"/>
    <n v="4.1739130434782608"/>
    <n v="0.83854166666666674"/>
    <n v="0.83854166666666674"/>
  </r>
  <r>
    <x v="3"/>
    <d v="2021-11-17T00:00:00"/>
    <s v="A"/>
    <x v="0"/>
    <x v="47"/>
    <s v="M2"/>
    <s v="L2"/>
    <s v="NIPPLE S TYPE L SIZE INJECTION"/>
    <s v="HEK17Na"/>
    <s v="Nitin"/>
    <n v="8"/>
    <n v="4815"/>
    <n v="601.875"/>
    <n v="5101"/>
    <n v="5000"/>
    <n v="0"/>
    <n v="53"/>
    <n v="0"/>
    <n v="0"/>
    <n v="40"/>
    <n v="8"/>
    <n v="1"/>
    <n v="5000"/>
    <n v="1.0384215991692627"/>
    <x v="0"/>
    <n v="6.8"/>
    <n v="34.686799999999998"/>
    <n v="0.98019996079200167"/>
    <n v="7.9365079365079361E-3"/>
    <n v="1.0283275126115638E-2"/>
    <n v="0.99215840031366398"/>
    <n v="0"/>
    <n v="8"/>
    <n v="1"/>
    <n v="625"/>
    <n v="5.25"/>
    <n v="5.76"/>
    <n v="0.91145833333333337"/>
    <n v="0.9043110419525584"/>
  </r>
  <r>
    <x v="3"/>
    <d v="2021-11-17T00:00:00"/>
    <s v="A"/>
    <x v="1"/>
    <x v="1"/>
    <s v="BM4"/>
    <s v="B1"/>
    <s v="RPP 120 ML BOTTLE MOLDED"/>
    <s v="EK17Ba1"/>
    <s v="Nitin"/>
    <n v="3"/>
    <n v="1000"/>
    <n v="333.33333333333331"/>
    <n v="795"/>
    <n v="720"/>
    <n v="0.52400000000000002"/>
    <n v="43"/>
    <n v="0"/>
    <n v="0"/>
    <n v="24"/>
    <n v="8"/>
    <n v="1"/>
    <n v="720"/>
    <n v="0.72"/>
    <x v="1"/>
    <n v="21.3"/>
    <n v="17.4575"/>
    <n v="0.87847629958470574"/>
    <n v="3.2258064516129031E-2"/>
    <n v="5.1312649164677801E-2"/>
    <n v="0.96981132075471699"/>
    <n v="0"/>
    <n v="3"/>
    <n v="1"/>
    <n v="240"/>
    <n v="9"/>
    <n v="15"/>
    <n v="0.6"/>
    <n v="0.58188679245283015"/>
  </r>
  <r>
    <x v="3"/>
    <d v="2021-11-17T00:00:00"/>
    <s v="A"/>
    <x v="6"/>
    <x v="21"/>
    <m/>
    <m/>
    <s v="KPP 240 ML BOTTLE PRINTED"/>
    <s v="EK11Bc2K17Pa"/>
    <s v="Pintu"/>
    <n v="8"/>
    <n v="5134"/>
    <n v="641.75"/>
    <n v="5008"/>
    <n v="4968"/>
    <n v="0"/>
    <n v="0"/>
    <n v="38"/>
    <n v="0"/>
    <n v="40"/>
    <n v="0"/>
    <n v="5"/>
    <n v="993.6"/>
    <n v="0.96766653681340087"/>
    <x v="16"/>
    <n v="0"/>
    <n v="0"/>
    <s v=" "/>
    <n v="7.9872204472843447E-3"/>
    <n v="0"/>
    <n v="0.99201277955271561"/>
    <n v="0.66666666666666663"/>
    <n v="7.333333333333333"/>
    <n v="0.91666666666666663"/>
    <n v="621"/>
    <n v="32.4"/>
    <n v="26.570048309178745"/>
    <n v="1.2194181818181817"/>
    <n v="1.1088718849840253"/>
  </r>
  <r>
    <x v="3"/>
    <d v="2021-11-17T00:00:00"/>
    <s v="G"/>
    <x v="4"/>
    <x v="51"/>
    <m/>
    <m/>
    <s v="NIPPLE S TYPE L SIZE PUNCHED INSPECTED"/>
    <s v="HEK16AH22"/>
    <s v="Badelal"/>
    <n v="8"/>
    <n v="14000"/>
    <n v="1750"/>
    <n v="13300"/>
    <n v="13270"/>
    <n v="0"/>
    <n v="0"/>
    <n v="0"/>
    <n v="0"/>
    <n v="30"/>
    <n v="0"/>
    <n v="1"/>
    <n v="13270"/>
    <n v="0.94785714285714284"/>
    <x v="37"/>
    <n v="0"/>
    <n v="0"/>
    <s v=" "/>
    <n v="2.255639097744361E-3"/>
    <n v="0"/>
    <n v="0.9977443609022556"/>
    <n v="0.83333333333333337"/>
    <n v="7.166666666666667"/>
    <n v="0.89583333333333337"/>
    <n v="1658.75"/>
    <n v="4"/>
    <n v="1.9442351168048229"/>
    <n v="2.0573643410852713"/>
    <n v="1.8388982873851294"/>
  </r>
  <r>
    <x v="3"/>
    <d v="2021-11-17T00:00:00"/>
    <s v="G"/>
    <x v="7"/>
    <x v="27"/>
    <m/>
    <s v="WR1"/>
    <s v="NIPPLE S TYPE L SIZE WITH PRINTED WRAP"/>
    <s v="HEK15CH22"/>
    <s v="Badelal"/>
    <n v="8"/>
    <n v="16171"/>
    <n v="2021.375"/>
    <n v="16270"/>
    <n v="16269"/>
    <n v="0"/>
    <n v="0"/>
    <n v="0"/>
    <n v="0"/>
    <n v="1"/>
    <n v="0"/>
    <n v="2"/>
    <n v="8134.5"/>
    <n v="1.0060602312782141"/>
    <x v="22"/>
    <n v="0"/>
    <n v="0"/>
    <s v=" "/>
    <n v="6.1462814996926854E-5"/>
    <n v="0"/>
    <n v="0.99993853718500303"/>
    <n v="0.83333333333333337"/>
    <n v="7.166666666666667"/>
    <n v="0.89583333333333337"/>
    <n v="2033.625"/>
    <n v="2.5"/>
    <n v="3.1716761939885671"/>
    <n v="0.78822674418604655"/>
    <n v="0.70607639155654578"/>
  </r>
  <r>
    <x v="3"/>
    <d v="2021-11-17T00:00:00"/>
    <s v="B"/>
    <x v="0"/>
    <x v="47"/>
    <s v="M2"/>
    <s v="L2"/>
    <s v="NIPPLE S TYPE L SIZE INJECTION"/>
    <s v="HEK17Nb"/>
    <s v="Badelal"/>
    <n v="8"/>
    <n v="4845"/>
    <n v="605.625"/>
    <n v="5400"/>
    <n v="5300"/>
    <n v="0"/>
    <n v="40"/>
    <n v="0"/>
    <n v="0"/>
    <n v="60"/>
    <n v="0"/>
    <n v="1"/>
    <n v="5300"/>
    <n v="1.0939112487100102"/>
    <x v="0"/>
    <n v="6.8"/>
    <n v="36.72"/>
    <n v="0.98148148148148151"/>
    <n v="1.1194029850746268E-2"/>
    <n v="7.3529411764705881E-3"/>
    <n v="0.98888888888888893"/>
    <n v="0"/>
    <n v="8"/>
    <n v="1"/>
    <n v="662.5"/>
    <n v="5.25"/>
    <n v="5.4339622641509431"/>
    <n v="0.96614583333333337"/>
    <n v="0.95541087962962967"/>
  </r>
  <r>
    <x v="3"/>
    <d v="2021-11-17T00:00:00"/>
    <s v="B"/>
    <x v="9"/>
    <x v="31"/>
    <m/>
    <s v="INJ1"/>
    <s v="HOOD S TYPE MOLDED"/>
    <s v="EK17Hb"/>
    <s v="Badelal"/>
    <n v="8"/>
    <n v="4137"/>
    <n v="517.125"/>
    <n v="4220"/>
    <n v="4200"/>
    <n v="0"/>
    <n v="8"/>
    <n v="0"/>
    <n v="0"/>
    <n v="12"/>
    <n v="0"/>
    <n v="1"/>
    <n v="4200"/>
    <n v="1.015228426395939"/>
    <x v="1"/>
    <n v="8.6"/>
    <n v="36.292000000000002"/>
    <n v="0.99526066350710884"/>
    <n v="2.8490028490028491E-3"/>
    <n v="1.8921475875118259E-3"/>
    <n v="0.99715639810426537"/>
    <n v="0"/>
    <n v="8"/>
    <n v="1"/>
    <n v="525"/>
    <n v="6"/>
    <n v="6.8571428571428568"/>
    <n v="0.875"/>
    <n v="0.87251184834123219"/>
  </r>
  <r>
    <x v="3"/>
    <d v="2021-11-17T00:00:00"/>
    <s v="B"/>
    <x v="1"/>
    <x v="1"/>
    <s v="BM4"/>
    <s v="B1"/>
    <s v="RPP 120 ML BOTTLE MOLDED"/>
    <s v="EK17Bb1"/>
    <s v="Badelal"/>
    <n v="8"/>
    <n v="2574"/>
    <n v="321.75"/>
    <n v="2161"/>
    <n v="1980"/>
    <n v="0.2"/>
    <n v="101"/>
    <n v="0"/>
    <n v="0"/>
    <n v="80"/>
    <n v="0"/>
    <n v="1"/>
    <n v="1980"/>
    <n v="0.76923076923076927"/>
    <x v="1"/>
    <n v="21.3"/>
    <n v="46.229300000000002"/>
    <n v="0.91227857657373135"/>
    <n v="3.8834951456310676E-2"/>
    <n v="4.4650751547303275E-2"/>
    <n v="0.96298010180472005"/>
    <n v="0"/>
    <n v="8"/>
    <n v="1"/>
    <n v="247.5"/>
    <n v="9"/>
    <n v="14.545454545454545"/>
    <n v="0.61875000000000002"/>
    <n v="0.59584393799167057"/>
  </r>
  <r>
    <x v="3"/>
    <d v="2021-11-17T00:00:00"/>
    <s v="B"/>
    <x v="3"/>
    <x v="49"/>
    <m/>
    <s v="P1"/>
    <s v="NIPPLE S TYPE L SIZE PUNCHED"/>
    <s v="HEK17NaK17Pb"/>
    <s v="Badelal"/>
    <n v="8"/>
    <n v="7000"/>
    <n v="875"/>
    <n v="7000"/>
    <n v="7000"/>
    <n v="0"/>
    <n v="0"/>
    <n v="0"/>
    <n v="0"/>
    <n v="0"/>
    <n v="0"/>
    <n v="1"/>
    <n v="7000"/>
    <n v="1"/>
    <x v="36"/>
    <n v="0"/>
    <n v="0"/>
    <s v=" "/>
    <n v="0"/>
    <n v="0"/>
    <n v="1"/>
    <n v="0.66666666666666663"/>
    <n v="7.333333333333333"/>
    <n v="0.91666666666666663"/>
    <n v="875"/>
    <n v="3.5"/>
    <n v="3.7714285714285714"/>
    <n v="0.92803030303030309"/>
    <n v="0.85069444444444442"/>
  </r>
  <r>
    <x v="3"/>
    <d v="2021-11-17T00:00:00"/>
    <s v="B"/>
    <x v="8"/>
    <x v="50"/>
    <m/>
    <s v="LZ1"/>
    <s v="NIPPLE S TYPE L SIZE PUNCHED LASER MARKED"/>
    <s v="HEK16CH22"/>
    <s v="Badelal"/>
    <n v="8"/>
    <n v="7000"/>
    <n v="875"/>
    <n v="7000"/>
    <n v="7000"/>
    <n v="0"/>
    <n v="0"/>
    <n v="0"/>
    <n v="0"/>
    <n v="0"/>
    <n v="0"/>
    <n v="1"/>
    <n v="7000"/>
    <n v="1"/>
    <x v="22"/>
    <n v="0"/>
    <n v="0"/>
    <s v=" "/>
    <n v="0"/>
    <n v="0"/>
    <n v="1"/>
    <n v="0.66666666666666663"/>
    <n v="7.333333333333333"/>
    <n v="0.91666666666666663"/>
    <n v="875"/>
    <n v="3.5"/>
    <n v="3.7714285714285714"/>
    <n v="0.92803030303030309"/>
    <n v="0.85069444444444442"/>
  </r>
  <r>
    <x v="3"/>
    <d v="2021-11-17T00:00:00"/>
    <s v="B"/>
    <x v="6"/>
    <x v="21"/>
    <m/>
    <m/>
    <s v="KPP 240 ML BOTTLE PRINTED"/>
    <s v="EK12Ba2K17Pb"/>
    <s v="Badelal"/>
    <n v="8"/>
    <n v="5100"/>
    <n v="637.5"/>
    <n v="5216"/>
    <n v="5184"/>
    <n v="0"/>
    <n v="0"/>
    <n v="51"/>
    <n v="0"/>
    <n v="32"/>
    <m/>
    <n v="5"/>
    <n v="1036.8"/>
    <n v="1.016470588235294"/>
    <x v="16"/>
    <n v="0"/>
    <n v="0"/>
    <s v=" "/>
    <n v="6.1349693251533744E-3"/>
    <n v="0"/>
    <n v="0.99386503067484666"/>
    <n v="0.66666666666666663"/>
    <n v="7.333333333333333"/>
    <n v="0.91666666666666663"/>
    <n v="648"/>
    <n v="32.4"/>
    <n v="25.462962962962962"/>
    <n v="1.2724363636363636"/>
    <n v="1.1592441717791411"/>
  </r>
  <r>
    <x v="3"/>
    <d v="2021-11-17T00:00:00"/>
    <s v="B"/>
    <x v="0"/>
    <x v="0"/>
    <s v="M1"/>
    <s v="L1"/>
    <s v="NIPPLE S TYPE M SIZE INJECTION"/>
    <s v="HEK17Nb"/>
    <s v="Badelal"/>
    <n v="8"/>
    <n v="4815"/>
    <n v="601.875"/>
    <n v="6442"/>
    <n v="6000"/>
    <n v="0"/>
    <n v="282"/>
    <n v="0"/>
    <n v="0"/>
    <n v="142"/>
    <n v="18"/>
    <n v="1"/>
    <n v="6000"/>
    <n v="1.2461059190031152"/>
    <x v="0"/>
    <n v="6.8"/>
    <n v="43.805599999999998"/>
    <n v="0.93138776777398324"/>
    <n v="2.3119505047215889E-2"/>
    <n v="4.1939321832242714E-2"/>
    <n v="0.97795715616268242"/>
    <n v="0"/>
    <n v="8"/>
    <n v="1"/>
    <n v="750"/>
    <n v="5.25"/>
    <n v="4.8"/>
    <n v="1.09375"/>
    <n v="1.0696406395529339"/>
  </r>
  <r>
    <x v="3"/>
    <d v="2021-11-17T00:00:00"/>
    <s v="C"/>
    <x v="1"/>
    <x v="1"/>
    <s v="BM4"/>
    <s v="B1"/>
    <s v="RPP 120 ML BOTTLE MOLDED"/>
    <s v="EK17Bc1"/>
    <s v="Saurabh"/>
    <n v="8"/>
    <n v="2574"/>
    <n v="321.75"/>
    <n v="3115"/>
    <n v="3060"/>
    <n v="0.2"/>
    <n v="0"/>
    <n v="0"/>
    <n v="0"/>
    <n v="47"/>
    <n v="8"/>
    <n v="1"/>
    <n v="3060"/>
    <n v="1.1888111888111887"/>
    <x v="1"/>
    <n v="21.3"/>
    <n v="66.549499999999995"/>
    <n v="0.9793912801749074"/>
    <n v="1.5127132281943997E-2"/>
    <n v="0"/>
    <n v="0.98491171749598716"/>
    <n v="0"/>
    <n v="8"/>
    <n v="1"/>
    <n v="382.5"/>
    <n v="9"/>
    <n v="9.4117647058823533"/>
    <n v="0.95624999999999993"/>
    <n v="0.94182182985553764"/>
  </r>
  <r>
    <x v="3"/>
    <d v="2021-11-17T00:00:00"/>
    <s v="C"/>
    <x v="9"/>
    <x v="31"/>
    <m/>
    <s v="INJ1"/>
    <s v="HOOD S TYPE MOLDED"/>
    <s v="EK17Hc"/>
    <s v="Saurabh"/>
    <n v="8"/>
    <n v="4137"/>
    <n v="517.125"/>
    <n v="5538"/>
    <n v="5500"/>
    <n v="0"/>
    <n v="18"/>
    <n v="0"/>
    <n v="0"/>
    <n v="12"/>
    <n v="8"/>
    <n v="1"/>
    <n v="5500"/>
    <n v="1.3294657964708727"/>
    <x v="1"/>
    <n v="8.6"/>
    <n v="47.626800000000003"/>
    <n v="0.99313831708197897"/>
    <n v="2.1770682148040637E-3"/>
    <n v="3.2397408207343412E-3"/>
    <n v="0.99783315276273021"/>
    <n v="0"/>
    <n v="8"/>
    <n v="1"/>
    <n v="687.5"/>
    <n v="6"/>
    <n v="5.2363636363636363"/>
    <n v="1.1458333333333333"/>
    <n v="1.1433504875406284"/>
  </r>
  <r>
    <x v="3"/>
    <d v="2021-11-17T00:00:00"/>
    <s v="C"/>
    <x v="0"/>
    <x v="47"/>
    <s v="M2"/>
    <s v="L2"/>
    <s v="NIPPLE S TYPE L SIZE INJECTION"/>
    <s v="HEK17Nc"/>
    <s v="Saurabh"/>
    <n v="8"/>
    <n v="4815"/>
    <n v="601.875"/>
    <n v="5696"/>
    <n v="5600"/>
    <n v="0"/>
    <n v="20"/>
    <n v="0"/>
    <n v="0"/>
    <n v="60"/>
    <n v="16"/>
    <n v="1"/>
    <n v="5600"/>
    <n v="1.1630321910695742"/>
    <x v="0"/>
    <n v="6.8"/>
    <n v="38.732799999999997"/>
    <n v="0.98314606741573041"/>
    <n v="1.0600706713780919E-2"/>
    <n v="3.4989503149055285E-3"/>
    <n v="0.9894662921348315"/>
    <n v="0"/>
    <n v="8"/>
    <n v="1"/>
    <n v="700"/>
    <n v="5.25"/>
    <n v="5.1428571428571432"/>
    <n v="1.0208333333333333"/>
    <n v="1.0100801732209737"/>
  </r>
  <r>
    <x v="3"/>
    <d v="2021-11-17T00:00:00"/>
    <s v="C"/>
    <x v="0"/>
    <x v="0"/>
    <s v="M1"/>
    <s v="L1"/>
    <s v="NIPPLE S TYPE M SIZE INJECTION"/>
    <s v="HEK17Nc"/>
    <s v="Saurabh"/>
    <n v="8"/>
    <n v="3611"/>
    <n v="451.375"/>
    <n v="4135"/>
    <n v="4000"/>
    <n v="0"/>
    <n v="50"/>
    <n v="0"/>
    <n v="0"/>
    <n v="85"/>
    <n v="0"/>
    <n v="1"/>
    <n v="4000"/>
    <n v="1.1077263915812794"/>
    <x v="0"/>
    <n v="6.8"/>
    <n v="28.117999999999999"/>
    <n v="0.96735187424425639"/>
    <n v="2.0807833537331701E-2"/>
    <n v="1.1947431302270013E-2"/>
    <n v="0.97944377267230953"/>
    <n v="0"/>
    <n v="8"/>
    <n v="1"/>
    <n v="500"/>
    <n v="5.25"/>
    <n v="7.2"/>
    <n v="0.72916666666666663"/>
    <n v="0.71417775090689228"/>
  </r>
  <r>
    <x v="3"/>
    <d v="2021-11-18T00:00:00"/>
    <s v="A"/>
    <x v="0"/>
    <x v="0"/>
    <s v="M1"/>
    <s v="L1"/>
    <s v="NIPPLE S TYPE M SIZE INJECTION"/>
    <s v="HEK18Na"/>
    <s v="Nitin"/>
    <n v="8"/>
    <n v="3611"/>
    <n v="451.375"/>
    <n v="4210"/>
    <n v="4000"/>
    <n v="0"/>
    <n v="120"/>
    <n v="0"/>
    <n v="0"/>
    <n v="84"/>
    <n v="6"/>
    <n v="1"/>
    <n v="4000"/>
    <n v="1.1077263915812794"/>
    <x v="0"/>
    <n v="6.8"/>
    <n v="28.628"/>
    <n v="0.95011876484560565"/>
    <n v="2.0568070519098921E-2"/>
    <n v="2.771362586605081E-2"/>
    <n v="0.9800475059382423"/>
    <n v="0"/>
    <n v="8"/>
    <n v="1"/>
    <n v="500"/>
    <n v="5.25"/>
    <n v="7.2"/>
    <n v="0.72916666666666663"/>
    <n v="0.71461797307996833"/>
  </r>
  <r>
    <x v="3"/>
    <d v="2021-11-18T00:00:00"/>
    <s v="A"/>
    <x v="9"/>
    <x v="31"/>
    <m/>
    <s v="INJ1"/>
    <s v="HOOD S TYPE MOLDED"/>
    <s v="EK18Ha"/>
    <s v="Nitin"/>
    <n v="8"/>
    <n v="4137"/>
    <n v="517.125"/>
    <n v="4350"/>
    <n v="4300"/>
    <n v="0"/>
    <n v="26"/>
    <n v="0"/>
    <n v="0"/>
    <n v="16"/>
    <n v="8"/>
    <n v="1"/>
    <n v="4300"/>
    <n v="1.0394005317863186"/>
    <x v="1"/>
    <n v="8.6"/>
    <n v="37.409999999999997"/>
    <n v="0.9885057471264368"/>
    <n v="3.7071362372567192E-3"/>
    <n v="5.9414990859232176E-3"/>
    <n v="0.99632183908045979"/>
    <n v="0"/>
    <n v="8"/>
    <n v="1"/>
    <n v="537.5"/>
    <n v="6"/>
    <n v="6.6976744186046515"/>
    <n v="0.89583333333333326"/>
    <n v="0.89253831417624518"/>
  </r>
  <r>
    <x v="3"/>
    <d v="2021-11-18T00:00:00"/>
    <s v="A"/>
    <x v="3"/>
    <x v="49"/>
    <m/>
    <s v="P1"/>
    <s v="NIPPLE S TYPE L SIZE PUNCHED"/>
    <s v="HEK17NaK18Pa"/>
    <s v="Nitin"/>
    <n v="8"/>
    <n v="7000"/>
    <n v="875"/>
    <n v="6300"/>
    <n v="6297"/>
    <n v="0"/>
    <n v="0"/>
    <n v="0"/>
    <n v="0"/>
    <n v="3"/>
    <n v="0"/>
    <n v="1"/>
    <n v="6297"/>
    <n v="0.89957142857142858"/>
    <x v="36"/>
    <n v="0"/>
    <n v="0"/>
    <s v=" "/>
    <n v="4.7619047619047619E-4"/>
    <n v="0"/>
    <n v="0.99952380952380948"/>
    <n v="0.66666666666666663"/>
    <n v="7.333333333333333"/>
    <n v="0.91666666666666663"/>
    <n v="787.125"/>
    <n v="3.5"/>
    <n v="4.1924726060028581"/>
    <n v="0.83482954545454557"/>
    <n v="0.76489600694444448"/>
  </r>
  <r>
    <x v="3"/>
    <d v="2021-11-18T00:00:00"/>
    <s v="A"/>
    <x v="8"/>
    <x v="50"/>
    <m/>
    <s v="LZ1"/>
    <s v="NIPPLE S TYPE L SIZE PUNCHED LASER MARKED"/>
    <s v="HEK17AH22"/>
    <s v="Nitin"/>
    <n v="8"/>
    <n v="7000"/>
    <n v="875"/>
    <n v="5000"/>
    <n v="5000"/>
    <n v="0"/>
    <n v="0"/>
    <n v="0"/>
    <n v="0"/>
    <n v="0"/>
    <n v="0"/>
    <n v="1"/>
    <n v="5000"/>
    <n v="0.7142857142857143"/>
    <x v="22"/>
    <n v="0"/>
    <n v="0"/>
    <s v=" "/>
    <n v="0"/>
    <n v="0"/>
    <n v="1"/>
    <n v="0.66666666666666663"/>
    <n v="7.333333333333333"/>
    <n v="0.91666666666666663"/>
    <n v="625"/>
    <n v="3.5"/>
    <n v="5.28"/>
    <n v="0.66287878787878785"/>
    <n v="0.60763888888888884"/>
  </r>
  <r>
    <x v="3"/>
    <d v="2021-11-18T00:00:00"/>
    <s v="A"/>
    <x v="0"/>
    <x v="47"/>
    <s v="M2"/>
    <s v="L2"/>
    <s v="NIPPLE S TYPE L SIZE INJECTION"/>
    <s v="HEK18Na"/>
    <s v="Nitin"/>
    <n v="8"/>
    <n v="4815"/>
    <n v="601.875"/>
    <n v="4307"/>
    <n v="4200"/>
    <n v="4.5670000000000002"/>
    <n v="58"/>
    <n v="0"/>
    <n v="0"/>
    <n v="41"/>
    <n v="8"/>
    <n v="1"/>
    <n v="4200"/>
    <n v="0.87227414330218067"/>
    <x v="0"/>
    <n v="6.8"/>
    <n v="33.854599999999998"/>
    <n v="0.84360766336037052"/>
    <n v="9.6675312426314549E-3"/>
    <n v="1.3287514318442153E-2"/>
    <n v="0.99048061295565359"/>
    <n v="1.6666666666666667"/>
    <n v="6.333333333333333"/>
    <n v="0.79166666666666663"/>
    <n v="525"/>
    <n v="5.25"/>
    <n v="5.4285714285714288"/>
    <n v="0.96710526315789469"/>
    <n v="0.75833671929417223"/>
  </r>
  <r>
    <x v="3"/>
    <d v="2021-11-18T00:00:00"/>
    <s v="A"/>
    <x v="1"/>
    <x v="1"/>
    <s v="BM4"/>
    <s v="B1"/>
    <s v="RPP 120 ML BOTTLE MOLDED"/>
    <s v="EK18Ba1"/>
    <s v="Nitin"/>
    <n v="8"/>
    <n v="2574"/>
    <n v="321.75"/>
    <n v="2872"/>
    <n v="2700"/>
    <n v="0"/>
    <n v="92"/>
    <n v="0"/>
    <n v="0"/>
    <n v="72"/>
    <n v="8"/>
    <n v="1"/>
    <n v="2700"/>
    <n v="1.048951048951049"/>
    <x v="1"/>
    <n v="21.3"/>
    <n v="61.1736"/>
    <n v="0.94011142061281339"/>
    <n v="2.5974025974025976E-2"/>
    <n v="3.1039136302294199E-2"/>
    <n v="0.97493036211699169"/>
    <n v="0"/>
    <n v="8"/>
    <n v="1"/>
    <n v="337.5"/>
    <n v="9"/>
    <n v="10.666666666666666"/>
    <n v="0.84375"/>
    <n v="0.82259749303621177"/>
  </r>
  <r>
    <x v="3"/>
    <d v="2021-11-18T00:00:00"/>
    <s v="A"/>
    <x v="6"/>
    <x v="21"/>
    <m/>
    <s v="PR1"/>
    <s v="KPP 240 ML BOTTLE PRINTED"/>
    <s v="EK12Bc2K19Pa"/>
    <s v="Pintu"/>
    <n v="3"/>
    <n v="1926"/>
    <n v="642"/>
    <n v="928"/>
    <n v="917"/>
    <n v="0"/>
    <n v="0"/>
    <n v="7"/>
    <n v="0"/>
    <n v="11"/>
    <n v="0"/>
    <n v="4"/>
    <n v="229.25"/>
    <n v="0.47611630321910697"/>
    <x v="16"/>
    <n v="0"/>
    <n v="0"/>
    <s v=" "/>
    <n v="1.1853448275862068E-2"/>
    <n v="0"/>
    <n v="0.9881465517241379"/>
    <n v="0.66666666666666663"/>
    <n v="2.3333333333333335"/>
    <n v="0.77777777777777779"/>
    <n v="305.66666666666669"/>
    <n v="32.4"/>
    <n v="36.641221374045799"/>
    <n v="0.88424999999999998"/>
    <n v="0.67959779094827588"/>
  </r>
  <r>
    <x v="3"/>
    <d v="2021-11-18T00:00:00"/>
    <s v="A"/>
    <x v="6"/>
    <x v="22"/>
    <m/>
    <m/>
    <s v="KPP 240 BOTTLE PRINTED (WMG3B) W/O OZ &amp; W/BIS LOGO"/>
    <s v="EI07Ba2K18Pa"/>
    <s v="Pintu"/>
    <n v="2"/>
    <n v="1284"/>
    <n v="642"/>
    <n v="535"/>
    <n v="524"/>
    <n v="0"/>
    <n v="0"/>
    <n v="6"/>
    <n v="0"/>
    <n v="11"/>
    <n v="0"/>
    <n v="5"/>
    <n v="104.8"/>
    <n v="0.40809968847352024"/>
    <x v="17"/>
    <n v="0"/>
    <n v="0"/>
    <s v=" "/>
    <n v="2.0560747663551402E-2"/>
    <n v="0"/>
    <n v="0.97943925233644857"/>
    <n v="1"/>
    <n v="1"/>
    <n v="0.5"/>
    <n v="262"/>
    <n v="32.4"/>
    <n v="34.351145038167942"/>
    <n v="0.94319999999999982"/>
    <n v="0.46190355140186906"/>
  </r>
  <r>
    <x v="3"/>
    <d v="2021-11-18T00:00:00"/>
    <s v="A"/>
    <x v="6"/>
    <x v="36"/>
    <m/>
    <m/>
    <s v="RPP 240 ML BOTTLE PRINTED"/>
    <s v="EJ07Ba1K18Pa"/>
    <s v="Pintu"/>
    <n v="3"/>
    <n v="1926"/>
    <n v="642"/>
    <n v="2052"/>
    <n v="2040"/>
    <n v="0"/>
    <n v="0"/>
    <n v="17"/>
    <n v="0"/>
    <n v="12"/>
    <n v="0"/>
    <n v="5"/>
    <n v="408"/>
    <n v="1.0591900311526479"/>
    <x v="26"/>
    <n v="0"/>
    <n v="0"/>
    <s v=" "/>
    <n v="5.8479532163742687E-3"/>
    <n v="0"/>
    <n v="0.99415204678362568"/>
    <n v="0"/>
    <n v="3"/>
    <n v="1"/>
    <n v="680"/>
    <n v="32.4"/>
    <n v="26.470588235294116"/>
    <n v="1.224"/>
    <n v="1.2168421052631577"/>
  </r>
  <r>
    <x v="3"/>
    <d v="2021-11-18T00:00:00"/>
    <s v="G"/>
    <x v="4"/>
    <x v="51"/>
    <m/>
    <m/>
    <s v="NIPPLE S TYPE L SIZE PUNCHED INSPECTED"/>
    <s v="HEK16CH22"/>
    <s v="Badelal"/>
    <n v="8"/>
    <n v="14000"/>
    <n v="1750"/>
    <n v="12305"/>
    <n v="12244"/>
    <n v="0"/>
    <n v="0"/>
    <n v="0"/>
    <n v="0"/>
    <n v="53"/>
    <n v="8"/>
    <n v="1"/>
    <n v="12244"/>
    <n v="0.87457142857142856"/>
    <x v="37"/>
    <n v="0"/>
    <n v="0"/>
    <s v=" "/>
    <n v="4.3099943075546885E-3"/>
    <n v="0"/>
    <n v="0.99569280780170666"/>
    <n v="0.83333333333333337"/>
    <n v="7.166666666666667"/>
    <n v="0.89583333333333337"/>
    <n v="1530.5"/>
    <n v="4"/>
    <n v="2.107154524665142"/>
    <n v="1.8982945736434109"/>
    <n v="1.6932309359339024"/>
  </r>
  <r>
    <x v="3"/>
    <d v="2021-11-18T00:00:00"/>
    <s v="G"/>
    <x v="7"/>
    <x v="33"/>
    <m/>
    <s v="WR1"/>
    <s v="NIPPLE S TYPE S SIZE WITH PRINTED WRAP"/>
    <s v="HEK01CH22"/>
    <s v="Badelal"/>
    <n v="2"/>
    <n v="4044"/>
    <n v="2022"/>
    <n v="3000"/>
    <n v="3000"/>
    <n v="0"/>
    <n v="0"/>
    <n v="0"/>
    <n v="0"/>
    <n v="0"/>
    <n v="0"/>
    <n v="2"/>
    <n v="1500"/>
    <n v="0.74183976261127593"/>
    <x v="27"/>
    <n v="0"/>
    <n v="0"/>
    <s v=" "/>
    <n v="0"/>
    <n v="0"/>
    <n v="1"/>
    <n v="0.83333333333333337"/>
    <n v="1.1666666666666665"/>
    <n v="0.58333333333333326"/>
    <n v="1500"/>
    <n v="2.5"/>
    <n v="2.7999999999999994"/>
    <n v="0.89285714285714302"/>
    <n v="0.52083333333333337"/>
  </r>
  <r>
    <x v="3"/>
    <d v="2021-11-18T00:00:00"/>
    <s v="G"/>
    <x v="7"/>
    <x v="27"/>
    <m/>
    <s v="WR1"/>
    <s v="NIPPLE S TYPE L SIZE WITH PRINTED WRAP"/>
    <s v="HEK16CH22"/>
    <s v="Badelal"/>
    <n v="6"/>
    <n v="12126"/>
    <n v="2021"/>
    <n v="9968"/>
    <n v="9958"/>
    <n v="0"/>
    <n v="0"/>
    <n v="0"/>
    <n v="0"/>
    <n v="10"/>
    <n v="0"/>
    <n v="2"/>
    <n v="4979"/>
    <n v="0.82121062180438731"/>
    <x v="22"/>
    <n v="0"/>
    <n v="0"/>
    <s v=" "/>
    <n v="1.0032102728731941E-3"/>
    <n v="0"/>
    <n v="0.9989967897271268"/>
    <n v="0"/>
    <n v="6"/>
    <n v="1"/>
    <n v="1659.6666666666667"/>
    <n v="2.5"/>
    <n v="4.3382205262100824"/>
    <n v="0.57627314814814812"/>
    <n v="0.57569502500594494"/>
  </r>
  <r>
    <x v="3"/>
    <d v="2021-11-18T00:00:00"/>
    <s v="B"/>
    <x v="3"/>
    <x v="49"/>
    <m/>
    <s v="P1"/>
    <s v="NIPPLE S TYPE L SIZE PUNCHED"/>
    <s v="HEK17NcK18Pb"/>
    <s v="Badelal"/>
    <n v="8"/>
    <n v="7000"/>
    <n v="875"/>
    <n v="7600"/>
    <n v="7600"/>
    <n v="0"/>
    <n v="0"/>
    <n v="0"/>
    <n v="0"/>
    <n v="0"/>
    <n v="0"/>
    <n v="1"/>
    <n v="7600"/>
    <n v="1.0857142857142856"/>
    <x v="36"/>
    <n v="0"/>
    <n v="0"/>
    <s v=" "/>
    <n v="0"/>
    <n v="0"/>
    <n v="1"/>
    <n v="0.66666666666666663"/>
    <n v="7.333333333333333"/>
    <n v="0.91666666666666663"/>
    <n v="950"/>
    <n v="3.5"/>
    <n v="3.4736842105263159"/>
    <n v="1.0075757575757576"/>
    <n v="0.92361111111111105"/>
  </r>
  <r>
    <x v="3"/>
    <d v="2021-11-18T00:00:00"/>
    <s v="B"/>
    <x v="8"/>
    <x v="50"/>
    <m/>
    <s v="LZ1"/>
    <s v="NIPPLE S TYPE L SIZE PUNCHED LASER MARKED"/>
    <s v=" HEK17CH22"/>
    <s v="Badelal"/>
    <n v="8"/>
    <n v="7000"/>
    <n v="875"/>
    <n v="6299"/>
    <n v="6299"/>
    <n v="0"/>
    <n v="0"/>
    <n v="0"/>
    <n v="0"/>
    <n v="0"/>
    <n v="0"/>
    <n v="1"/>
    <n v="6299"/>
    <n v="0.89985714285714291"/>
    <x v="22"/>
    <n v="0"/>
    <n v="0"/>
    <s v=" "/>
    <n v="0"/>
    <n v="0"/>
    <n v="1"/>
    <n v="0"/>
    <n v="8"/>
    <n v="1"/>
    <n v="787.375"/>
    <n v="3.5"/>
    <n v="4.5721543102079698"/>
    <n v="0.76550347222222215"/>
    <n v="0.76550347222222215"/>
  </r>
  <r>
    <x v="3"/>
    <d v="2021-11-18T00:00:00"/>
    <s v="B"/>
    <x v="0"/>
    <x v="47"/>
    <s v="M2"/>
    <s v="L2"/>
    <s v="NIPPLE S TYPE L SIZE INJECTION"/>
    <s v="HEK18Nb"/>
    <s v="Badelal"/>
    <n v="8"/>
    <n v="4815"/>
    <n v="601.875"/>
    <n v="3708"/>
    <n v="3500"/>
    <n v="0"/>
    <n v="120"/>
    <n v="0"/>
    <n v="0"/>
    <n v="88"/>
    <n v="0"/>
    <n v="1"/>
    <n v="3500"/>
    <n v="0.72689511941848395"/>
    <x v="0"/>
    <n v="6.8"/>
    <n v="25.214399999999998"/>
    <n v="0.94390507011866231"/>
    <n v="2.4526198439241916E-2"/>
    <n v="3.1347962382445138E-2"/>
    <n v="0.97626752966558794"/>
    <n v="0"/>
    <n v="8"/>
    <n v="1"/>
    <n v="437.5"/>
    <n v="5.25"/>
    <n v="8.2285714285714278"/>
    <n v="0.63802083333333337"/>
    <n v="0.62287902283351315"/>
  </r>
  <r>
    <x v="3"/>
    <d v="2021-11-18T00:00:00"/>
    <s v="B"/>
    <x v="9"/>
    <x v="31"/>
    <m/>
    <s v="INJ1"/>
    <s v="HOOD S TYPE MOLDED"/>
    <s v="EK18Hb"/>
    <s v="Badelal"/>
    <n v="8"/>
    <n v="4137"/>
    <n v="517.125"/>
    <n v="4810"/>
    <n v="4800"/>
    <n v="0"/>
    <n v="2"/>
    <n v="0"/>
    <n v="0"/>
    <n v="8"/>
    <n v="0"/>
    <n v="1"/>
    <n v="4800"/>
    <n v="1.1602610587382161"/>
    <x v="1"/>
    <n v="8.6"/>
    <n v="41.366"/>
    <n v="0.99792099792099798"/>
    <n v="1.6638935108153079E-3"/>
    <n v="4.1562759767248546E-4"/>
    <n v="0.99833679833679834"/>
    <n v="0"/>
    <n v="8"/>
    <n v="1"/>
    <n v="600"/>
    <n v="6"/>
    <n v="6"/>
    <n v="1"/>
    <n v="0.99833679833679834"/>
  </r>
  <r>
    <x v="3"/>
    <d v="2021-11-18T00:00:00"/>
    <s v="B"/>
    <x v="1"/>
    <x v="1"/>
    <s v="BM4"/>
    <s v="B1"/>
    <s v="RPP 120 ML BOTTLE MOLDED"/>
    <s v="EK18Bb1"/>
    <s v="Badelal"/>
    <n v="8"/>
    <n v="2574"/>
    <n v="321.75"/>
    <n v="2721"/>
    <n v="2520"/>
    <n v="0"/>
    <n v="114"/>
    <n v="0"/>
    <n v="0"/>
    <n v="87"/>
    <n v="0"/>
    <n v="1"/>
    <n v="2520"/>
    <n v="0.97902097902097907"/>
    <x v="1"/>
    <n v="21.3"/>
    <n v="57.957299999999996"/>
    <n v="0.92613009922822498"/>
    <n v="3.3371691599539698E-2"/>
    <n v="4.0211640211640212E-2"/>
    <n v="0.9680264608599779"/>
    <n v="0"/>
    <n v="8"/>
    <n v="1"/>
    <n v="315"/>
    <n v="9"/>
    <n v="11.428571428571429"/>
    <n v="0.78749999999999998"/>
    <n v="0.7623208379272326"/>
  </r>
  <r>
    <x v="3"/>
    <d v="2021-11-18T00:00:00"/>
    <s v="B"/>
    <x v="0"/>
    <x v="0"/>
    <s v="M1"/>
    <s v="L1"/>
    <s v="NIPPLE S TYPE M SIZE INJECTION"/>
    <s v="HEK18Nb"/>
    <s v="Badelal"/>
    <n v="8"/>
    <n v="3611"/>
    <n v="451.375"/>
    <n v="4110"/>
    <n v="3910"/>
    <n v="0"/>
    <n v="100"/>
    <n v="0"/>
    <n v="0"/>
    <n v="92"/>
    <n v="8"/>
    <n v="1"/>
    <n v="3910"/>
    <n v="1.0828025477707006"/>
    <x v="0"/>
    <n v="6.8"/>
    <n v="27.947999999999997"/>
    <n v="0.95133819951338205"/>
    <n v="2.2988505747126436E-2"/>
    <n v="2.3752969121140142E-2"/>
    <n v="0.97761557177615577"/>
    <n v="0"/>
    <n v="8"/>
    <n v="1"/>
    <n v="488.75"/>
    <n v="5.25"/>
    <n v="7.3657289002557542"/>
    <n v="0.71276041666666667"/>
    <n v="0.69680568227899442"/>
  </r>
  <r>
    <x v="3"/>
    <d v="2021-11-18T00:00:00"/>
    <s v="B"/>
    <x v="6"/>
    <x v="36"/>
    <m/>
    <m/>
    <s v="RPP 240 ML BOTTLE PRINTED"/>
    <s v="EK13Ba2K18Pb"/>
    <s v="Badelal"/>
    <n v="8"/>
    <n v="5800"/>
    <n v="725"/>
    <n v="6143"/>
    <n v="6100"/>
    <n v="0"/>
    <n v="0"/>
    <n v="43"/>
    <n v="0"/>
    <n v="43"/>
    <n v="0"/>
    <n v="5"/>
    <n v="1220"/>
    <n v="1.0517241379310345"/>
    <x v="26"/>
    <n v="0"/>
    <n v="0"/>
    <s v=" "/>
    <n v="6.9998372130880681E-3"/>
    <n v="0"/>
    <n v="0.99300016278691194"/>
    <n v="0.66666666666666663"/>
    <n v="7.333333333333333"/>
    <n v="0.91666666666666663"/>
    <n v="762.5"/>
    <n v="32.4"/>
    <n v="21.639344262295083"/>
    <n v="1.4972727272727271"/>
    <n v="1.3628927234250363"/>
  </r>
  <r>
    <x v="3"/>
    <d v="2021-11-18T00:00:00"/>
    <s v="C"/>
    <x v="1"/>
    <x v="1"/>
    <s v="BM4"/>
    <s v="B1"/>
    <s v="RPP 120 ML BOTTLE MOLDED"/>
    <s v="EK18Bc1"/>
    <s v="Saurabh"/>
    <n v="8"/>
    <n v="2574"/>
    <n v="321.75"/>
    <n v="2963"/>
    <n v="2880"/>
    <n v="0.15"/>
    <n v="27"/>
    <n v="0"/>
    <n v="0"/>
    <n v="48"/>
    <n v="8"/>
    <n v="1"/>
    <n v="2880"/>
    <n v="1.118881118881119"/>
    <x v="1"/>
    <n v="21.3"/>
    <n v="63.261899999999997"/>
    <n v="0.96968317423283212"/>
    <n v="1.6393442622950821E-2"/>
    <n v="9.0301003344481611E-3"/>
    <n v="0.9838002024974688"/>
    <n v="0"/>
    <n v="8"/>
    <n v="1"/>
    <n v="360"/>
    <n v="9"/>
    <n v="10"/>
    <n v="0.9"/>
    <n v="0.8854201822477219"/>
  </r>
  <r>
    <x v="3"/>
    <d v="2021-11-18T00:00:00"/>
    <s v="C"/>
    <x v="0"/>
    <x v="47"/>
    <s v="M2"/>
    <s v="L2"/>
    <s v="NIPPLE S TYPE L SIZE INJECTION"/>
    <s v="HEK18Nc"/>
    <s v="Saurabh"/>
    <n v="8"/>
    <n v="4815"/>
    <n v="601.875"/>
    <n v="5676"/>
    <n v="5600"/>
    <n v="0"/>
    <n v="0"/>
    <n v="0"/>
    <n v="0"/>
    <n v="60"/>
    <n v="16"/>
    <n v="1"/>
    <n v="5600"/>
    <n v="1.1630321910695742"/>
    <x v="0"/>
    <n v="6.8"/>
    <n v="38.596799999999995"/>
    <n v="0.98661028893587044"/>
    <n v="1.0600706713780919E-2"/>
    <n v="0"/>
    <n v="0.98942917547568709"/>
    <n v="0"/>
    <n v="8"/>
    <n v="1"/>
    <n v="700"/>
    <n v="5.25"/>
    <n v="5.1428571428571432"/>
    <n v="1.0208333333333333"/>
    <n v="1.0100422832980971"/>
  </r>
  <r>
    <x v="3"/>
    <d v="2021-11-18T00:00:00"/>
    <s v="C"/>
    <x v="9"/>
    <x v="31"/>
    <m/>
    <s v="INJ1"/>
    <s v="HOOD S TYPE MOLDED"/>
    <s v="EK18Hc"/>
    <s v="Saurabh"/>
    <n v="8"/>
    <n v="4137"/>
    <n v="517.125"/>
    <n v="4818"/>
    <n v="4800"/>
    <n v="0.1"/>
    <n v="0"/>
    <n v="0"/>
    <n v="0"/>
    <n v="10"/>
    <n v="8"/>
    <n v="1"/>
    <n v="4800"/>
    <n v="1.1602610587382161"/>
    <x v="1"/>
    <n v="8.6"/>
    <n v="41.534800000000004"/>
    <n v="0.9938653851709891"/>
    <n v="2.0790020790020791E-3"/>
    <n v="0"/>
    <n v="0.99792444997924445"/>
    <n v="0"/>
    <n v="8"/>
    <n v="1"/>
    <n v="600"/>
    <n v="6"/>
    <n v="6"/>
    <n v="1"/>
    <n v="0.99792444997924445"/>
  </r>
  <r>
    <x v="3"/>
    <d v="2021-11-18T00:00:00"/>
    <s v="C"/>
    <x v="0"/>
    <x v="0"/>
    <s v="M1"/>
    <s v="L1"/>
    <s v="NIPPLE S TYPE M SIZE INJECTION"/>
    <s v="HEK18Nc"/>
    <s v="Saurabh"/>
    <n v="8"/>
    <n v="3611"/>
    <n v="451.375"/>
    <n v="3993"/>
    <n v="3700"/>
    <n v="0"/>
    <n v="188"/>
    <n v="0"/>
    <n v="0"/>
    <n v="93"/>
    <n v="12"/>
    <n v="1"/>
    <n v="3700"/>
    <n v="1.0246469122126836"/>
    <x v="0"/>
    <n v="6.8"/>
    <n v="27.1524"/>
    <n v="0.92662158777861259"/>
    <n v="2.4518850514104931E-2"/>
    <n v="4.496531930160249E-2"/>
    <n v="0.97670924117205105"/>
    <n v="0"/>
    <n v="8"/>
    <n v="1"/>
    <n v="462.5"/>
    <n v="5.25"/>
    <n v="7.7837837837837842"/>
    <n v="0.67447916666666663"/>
    <n v="0.65877003506135734"/>
  </r>
  <r>
    <x v="3"/>
    <d v="2021-11-19T00:00:00"/>
    <s v="A"/>
    <x v="0"/>
    <x v="0"/>
    <s v="M1"/>
    <s v="L1"/>
    <s v="NIPPLE S TYPE M SIZE INJECTION"/>
    <s v="HEK19Na"/>
    <s v="Nitin"/>
    <n v="8"/>
    <n v="3611"/>
    <n v="451.375"/>
    <n v="3700"/>
    <n v="3350"/>
    <n v="0"/>
    <n v="200"/>
    <n v="0"/>
    <n v="0"/>
    <n v="144"/>
    <n v="6"/>
    <n v="1"/>
    <n v="3350"/>
    <n v="0.9277208529493215"/>
    <x v="0"/>
    <n v="6.8"/>
    <n v="25.16"/>
    <n v="0.90540540540540526"/>
    <n v="4.1213508872352603E-2"/>
    <n v="5.128205128205128E-2"/>
    <n v="0.96108108108108103"/>
    <n v="0"/>
    <n v="8"/>
    <n v="1"/>
    <n v="418.75"/>
    <n v="5.25"/>
    <n v="8.5970149253731343"/>
    <n v="0.61067708333333337"/>
    <n v="0.58691019144144141"/>
  </r>
  <r>
    <x v="3"/>
    <d v="2021-11-19T00:00:00"/>
    <s v="A"/>
    <x v="9"/>
    <x v="31"/>
    <m/>
    <s v="INJ1"/>
    <s v="HOOD S TYPE MOLDED"/>
    <s v="EK19Ha"/>
    <s v="Nitin"/>
    <n v="8"/>
    <n v="4137"/>
    <n v="517.125"/>
    <n v="4850"/>
    <n v="4800"/>
    <n v="0"/>
    <n v="24"/>
    <n v="0"/>
    <n v="0"/>
    <n v="18"/>
    <n v="8"/>
    <n v="1"/>
    <n v="4800"/>
    <n v="1.1602610587382161"/>
    <x v="1"/>
    <n v="8.6"/>
    <n v="41.71"/>
    <n v="0.98969072164948457"/>
    <n v="3.7359900373599006E-3"/>
    <n v="4.9240869922035288E-3"/>
    <n v="0.99628865979381442"/>
    <n v="0"/>
    <n v="8"/>
    <n v="1"/>
    <n v="600"/>
    <n v="6"/>
    <n v="6"/>
    <n v="1"/>
    <n v="0.99628865979381442"/>
  </r>
  <r>
    <x v="3"/>
    <d v="2021-11-19T00:00:00"/>
    <s v="A"/>
    <x v="3"/>
    <x v="49"/>
    <m/>
    <s v="P1"/>
    <s v="NIPPLE S TYPE L SIZE PUNCHED"/>
    <s v="HEK18NbK19Pa"/>
    <s v="Nitin"/>
    <n v="8"/>
    <n v="7000"/>
    <n v="875"/>
    <n v="6200"/>
    <n v="6200"/>
    <n v="0"/>
    <n v="0"/>
    <n v="0"/>
    <n v="0"/>
    <n v="0"/>
    <n v="0"/>
    <n v="1"/>
    <n v="6200"/>
    <n v="0.88571428571428568"/>
    <x v="36"/>
    <n v="0"/>
    <n v="0"/>
    <s v=" "/>
    <n v="0"/>
    <n v="0"/>
    <n v="1"/>
    <n v="0"/>
    <n v="8"/>
    <n v="1"/>
    <n v="775"/>
    <n v="3.5"/>
    <n v="4.645161290322581"/>
    <n v="0.75347222222222221"/>
    <n v="0.75347222222222221"/>
  </r>
  <r>
    <x v="3"/>
    <d v="2021-11-19T00:00:00"/>
    <s v="A"/>
    <x v="8"/>
    <x v="50"/>
    <m/>
    <s v="LZ1"/>
    <s v="NIPPLE S TYPE L SIZE PUNCHED LASER MARKED"/>
    <s v="HEK18AH22"/>
    <s v="Nitin"/>
    <n v="8"/>
    <n v="7000"/>
    <n v="875"/>
    <n v="4600"/>
    <n v="4600"/>
    <n v="0"/>
    <n v="0"/>
    <n v="0"/>
    <n v="0"/>
    <n v="0"/>
    <n v="0"/>
    <n v="1"/>
    <n v="4600"/>
    <n v="0.65714285714285714"/>
    <x v="22"/>
    <n v="0"/>
    <n v="0"/>
    <s v=" "/>
    <n v="0"/>
    <n v="0"/>
    <n v="1"/>
    <n v="0"/>
    <n v="8"/>
    <n v="1"/>
    <n v="575"/>
    <n v="3.5"/>
    <n v="6.2608695652173916"/>
    <n v="0.55902777777777779"/>
    <n v="0.55902777777777779"/>
  </r>
  <r>
    <x v="3"/>
    <d v="2021-11-19T00:00:00"/>
    <s v="A"/>
    <x v="0"/>
    <x v="47"/>
    <s v="M2"/>
    <s v="L2"/>
    <s v="NIPPLE S TYPE L SIZE INJECTION"/>
    <s v="HEK19Na"/>
    <s v="Nitin"/>
    <n v="8"/>
    <n v="4815"/>
    <n v="601.875"/>
    <n v="5748"/>
    <n v="5700"/>
    <n v="0"/>
    <n v="0"/>
    <n v="0"/>
    <n v="0"/>
    <n v="40"/>
    <n v="8"/>
    <n v="1"/>
    <n v="5700"/>
    <n v="1.1838006230529594"/>
    <x v="0"/>
    <n v="6.8"/>
    <n v="39.086399999999998"/>
    <n v="0.99164926931106467"/>
    <n v="6.9686411149825784E-3"/>
    <n v="0"/>
    <n v="0.99304105775922058"/>
    <n v="0"/>
    <n v="8"/>
    <n v="1"/>
    <n v="712.5"/>
    <n v="5.25"/>
    <n v="5.0526315789473681"/>
    <n v="1.0390625"/>
    <n v="1.0318317240779402"/>
  </r>
  <r>
    <x v="3"/>
    <d v="2021-11-19T00:00:00"/>
    <s v="A"/>
    <x v="1"/>
    <x v="1"/>
    <s v="BM4"/>
    <s v="B1"/>
    <s v="RPP 120 ML BOTTLE MOLDED"/>
    <s v="EK19Ba1"/>
    <s v="Nitin"/>
    <n v="5"/>
    <n v="1774"/>
    <n v="354.8"/>
    <n v="2658"/>
    <n v="2615"/>
    <n v="0.2"/>
    <n v="0"/>
    <n v="0"/>
    <n v="0"/>
    <n v="35"/>
    <n v="8"/>
    <n v="1"/>
    <n v="2615"/>
    <n v="1.4740698985343856"/>
    <x v="1"/>
    <n v="21.3"/>
    <n v="56.815400000000004"/>
    <n v="0.98035919838635288"/>
    <n v="1.3207547169811321E-2"/>
    <n v="0"/>
    <n v="0.98683220466516175"/>
    <n v="0"/>
    <n v="5"/>
    <n v="1"/>
    <n v="523"/>
    <n v="9"/>
    <n v="6.8833652007648185"/>
    <n v="1.3074999999999999"/>
    <n v="1.2902831075996988"/>
  </r>
  <r>
    <x v="3"/>
    <d v="2021-11-19T00:00:00"/>
    <s v="A"/>
    <x v="1"/>
    <x v="67"/>
    <s v="BM5"/>
    <s v="B2"/>
    <s v="RPP 240ML BLUE BOTTLE MOLDED (WM3GB)"/>
    <s v="EK19Ba2"/>
    <s v="Nitin"/>
    <n v="3"/>
    <n v="800"/>
    <n v="266.66666666666669"/>
    <n v="1168"/>
    <n v="840"/>
    <n v="1.2"/>
    <n v="241"/>
    <n v="0"/>
    <n v="0"/>
    <n v="79"/>
    <n v="8"/>
    <n v="1"/>
    <n v="840"/>
    <n v="1.05"/>
    <x v="7"/>
    <n v="33.130000000000003"/>
    <n v="39.89584"/>
    <n v="0.69754641085386349"/>
    <n v="8.5963003264417845E-2"/>
    <n v="0.17104329311568489"/>
    <n v="0.93236301369863017"/>
    <n v="0"/>
    <n v="3"/>
    <n v="1"/>
    <n v="280"/>
    <n v="9"/>
    <n v="12.857142857142858"/>
    <n v="0.7"/>
    <n v="0.65265410958904113"/>
  </r>
  <r>
    <x v="3"/>
    <d v="2021-11-19T00:00:00"/>
    <s v="G"/>
    <x v="4"/>
    <x v="51"/>
    <m/>
    <m/>
    <s v="NIPPLE S TYPE L SIZE PUNCHED INSPECTED"/>
    <s v="HEK17CH22"/>
    <s v="Badelal"/>
    <n v="8"/>
    <n v="14000"/>
    <n v="1750"/>
    <n v="10800"/>
    <n v="10756"/>
    <n v="0"/>
    <n v="0"/>
    <n v="0"/>
    <n v="0"/>
    <n v="44"/>
    <n v="0"/>
    <n v="1"/>
    <n v="10756"/>
    <n v="0.76828571428571424"/>
    <x v="37"/>
    <n v="0"/>
    <n v="0"/>
    <s v=" "/>
    <n v="4.0740740740740737E-3"/>
    <n v="0"/>
    <n v="0.99592592592592588"/>
    <n v="0.83333333333333337"/>
    <n v="7.166666666666667"/>
    <n v="0.89583333333333337"/>
    <n v="1344.5"/>
    <n v="4"/>
    <n v="2.3986612123465973"/>
    <n v="1.667596899224806"/>
    <n v="1.4878026748971191"/>
  </r>
  <r>
    <x v="3"/>
    <d v="2021-11-19T00:00:00"/>
    <s v="G"/>
    <x v="6"/>
    <x v="36"/>
    <m/>
    <m/>
    <s v="RPP 240 ML BOTTLE PRINTED"/>
    <s v="EK15Bc2K19Pa"/>
    <s v="Badelal"/>
    <n v="8"/>
    <n v="5800"/>
    <n v="725"/>
    <n v="4644"/>
    <n v="4620"/>
    <n v="0"/>
    <n v="0"/>
    <n v="39"/>
    <n v="0"/>
    <n v="24"/>
    <n v="0"/>
    <n v="5"/>
    <n v="924"/>
    <n v="0.79655172413793107"/>
    <x v="26"/>
    <n v="0"/>
    <n v="0"/>
    <s v=" "/>
    <n v="5.1679586563307496E-3"/>
    <n v="0"/>
    <n v="0.9948320413436692"/>
    <n v="1.8333333333333333"/>
    <n v="6.166666666666667"/>
    <n v="0.77083333333333337"/>
    <n v="577.5"/>
    <n v="32.4"/>
    <n v="24.02597402597403"/>
    <n v="1.3485405405405402"/>
    <n v="1.0341279069767439"/>
  </r>
  <r>
    <x v="3"/>
    <d v="2021-11-19T00:00:00"/>
    <s v="B"/>
    <x v="3"/>
    <x v="49"/>
    <m/>
    <s v="P1"/>
    <s v="NIPPLE S TYPE L SIZE PUNCHED"/>
    <s v="HEK18Nb"/>
    <s v="Badelal"/>
    <n v="8"/>
    <n v="7000"/>
    <n v="875"/>
    <n v="6100"/>
    <n v="6075"/>
    <n v="0"/>
    <n v="0"/>
    <n v="0"/>
    <n v="0"/>
    <n v="25"/>
    <n v="0"/>
    <n v="1"/>
    <n v="6075"/>
    <n v="0.86785714285714288"/>
    <x v="36"/>
    <n v="0"/>
    <n v="0"/>
    <s v=" "/>
    <n v="4.0983606557377051E-3"/>
    <n v="0"/>
    <n v="0.99590163934426235"/>
    <n v="0.66666666666666663"/>
    <n v="7.333333333333333"/>
    <n v="0.91666666666666663"/>
    <n v="759.375"/>
    <n v="3.5"/>
    <n v="4.3456790123456788"/>
    <n v="0.80539772727272729"/>
    <n v="0.73525550717213117"/>
  </r>
  <r>
    <x v="3"/>
    <d v="2021-11-19T00:00:00"/>
    <s v="B"/>
    <x v="8"/>
    <x v="50"/>
    <m/>
    <s v="LZ1"/>
    <s v="NIPPLE S TYPE L SIZE PUNCHED LASER MARKED"/>
    <s v="HEK18AH22"/>
    <s v="Badelal"/>
    <n v="8"/>
    <n v="7000"/>
    <n v="875"/>
    <n v="5200"/>
    <n v="5200"/>
    <n v="0"/>
    <n v="0"/>
    <n v="0"/>
    <n v="0"/>
    <n v="0"/>
    <n v="0"/>
    <n v="1"/>
    <n v="5200"/>
    <n v="0.74285714285714288"/>
    <x v="22"/>
    <n v="0"/>
    <n v="0"/>
    <s v=" "/>
    <n v="0"/>
    <n v="0"/>
    <n v="1"/>
    <n v="0.66666666666666663"/>
    <n v="7.333333333333333"/>
    <n v="0.91666666666666663"/>
    <n v="650"/>
    <n v="3.5"/>
    <n v="5.0769230769230766"/>
    <n v="0.68939393939393945"/>
    <n v="0.63194444444444442"/>
  </r>
  <r>
    <x v="3"/>
    <d v="2021-11-19T00:00:00"/>
    <s v="B"/>
    <x v="0"/>
    <x v="0"/>
    <s v="M1"/>
    <s v="L1"/>
    <s v="NIPPLE S TYPE M SIZE INJECTION"/>
    <s v="HEK19Nb"/>
    <s v="Badelal"/>
    <n v="8"/>
    <n v="3611"/>
    <n v="451.375"/>
    <n v="3400"/>
    <n v="2800"/>
    <n v="0"/>
    <n v="400"/>
    <n v="0"/>
    <n v="0"/>
    <n v="200"/>
    <n v="0"/>
    <n v="1"/>
    <n v="2800"/>
    <n v="0.77540847410689562"/>
    <x v="0"/>
    <n v="6.8"/>
    <n v="23.119999999999997"/>
    <n v="0.82352941176470595"/>
    <n v="6.6666666666666666E-2"/>
    <n v="0.10526315789473684"/>
    <n v="0.94117647058823528"/>
    <n v="0"/>
    <n v="8"/>
    <n v="1"/>
    <n v="350"/>
    <n v="5.25"/>
    <n v="10.285714285714286"/>
    <n v="0.51041666666666663"/>
    <n v="0.48039215686274506"/>
  </r>
  <r>
    <x v="3"/>
    <d v="2021-11-19T00:00:00"/>
    <s v="B"/>
    <x v="0"/>
    <x v="47"/>
    <s v="M2"/>
    <s v="L2"/>
    <s v="NIPPLE S TYPE L SIZE INJECTION"/>
    <s v="HEK19Nb"/>
    <s v="Badelal"/>
    <n v="8"/>
    <n v="4815"/>
    <n v="601.875"/>
    <n v="5590"/>
    <n v="5500"/>
    <n v="0"/>
    <n v="50"/>
    <n v="0"/>
    <n v="0"/>
    <n v="40"/>
    <n v="0"/>
    <n v="1"/>
    <n v="5500"/>
    <n v="1.142263759086189"/>
    <x v="0"/>
    <n v="6.8"/>
    <n v="38.012"/>
    <n v="0.98389982110912344"/>
    <n v="7.2202166064981952E-3"/>
    <n v="8.8652482269503553E-3"/>
    <n v="0.99284436493738815"/>
    <n v="0"/>
    <n v="8"/>
    <n v="1"/>
    <n v="687.5"/>
    <n v="5.25"/>
    <n v="5.2363636363636363"/>
    <n v="1.0026041666666667"/>
    <n v="0.99542989713774599"/>
  </r>
  <r>
    <x v="3"/>
    <d v="2021-11-19T00:00:00"/>
    <s v="B"/>
    <x v="9"/>
    <x v="31"/>
    <m/>
    <s v="INJ1"/>
    <s v="HOOD S TYPE MOLDED"/>
    <s v="EK19Hb"/>
    <s v="Badelal"/>
    <n v="8"/>
    <n v="4137"/>
    <n v="517.125"/>
    <n v="3395"/>
    <n v="3375"/>
    <n v="0"/>
    <n v="10"/>
    <n v="0"/>
    <n v="0"/>
    <n v="10"/>
    <n v="0"/>
    <n v="1"/>
    <n v="3375"/>
    <n v="0.81580855692530818"/>
    <x v="1"/>
    <n v="8.6"/>
    <n v="29.196999999999999"/>
    <n v="0.99410898379970547"/>
    <n v="2.9542097488921715E-3"/>
    <n v="2.936857562408223E-3"/>
    <n v="0.99705449189985274"/>
    <n v="0"/>
    <n v="8"/>
    <n v="1"/>
    <n v="421.875"/>
    <n v="6"/>
    <n v="8.5333333333333332"/>
    <n v="0.703125"/>
    <n v="0.70105393961708395"/>
  </r>
  <r>
    <x v="3"/>
    <d v="2021-11-19T00:00:00"/>
    <s v="B"/>
    <x v="1"/>
    <x v="67"/>
    <s v="BM5"/>
    <s v="B2"/>
    <s v="RPP 240ML BLUE BOTTLE MOLDED (WM3GB)"/>
    <s v="EK19Bb2"/>
    <s v="Badelal"/>
    <n v="8"/>
    <n v="2574"/>
    <n v="321.75"/>
    <n v="3228"/>
    <n v="3000"/>
    <n v="0"/>
    <n v="72"/>
    <n v="0"/>
    <n v="0"/>
    <n v="148"/>
    <n v="8"/>
    <n v="1"/>
    <n v="3000"/>
    <n v="1.1655011655011656"/>
    <x v="7"/>
    <n v="33.130000000000003"/>
    <n v="106.94364"/>
    <n v="0.92936802973977695"/>
    <n v="4.7013977128335452E-2"/>
    <n v="2.181818181818182E-2"/>
    <n v="0.95415117719950437"/>
    <n v="0"/>
    <n v="8"/>
    <n v="1"/>
    <n v="375"/>
    <n v="9"/>
    <n v="9.6"/>
    <n v="0.9375"/>
    <n v="0.89451672862453535"/>
  </r>
  <r>
    <x v="3"/>
    <d v="2021-11-19T00:00:00"/>
    <s v="C"/>
    <x v="1"/>
    <x v="67"/>
    <s v="BM5"/>
    <s v="B2"/>
    <s v="RPP 240ML BLUE BOTTLE MOLDED (WM3GB)"/>
    <s v="EK19Bc2"/>
    <s v="Saurabh"/>
    <n v="8"/>
    <n v="2574"/>
    <n v="321.75"/>
    <n v="3011"/>
    <n v="2880"/>
    <n v="0.5"/>
    <n v="46"/>
    <n v="0"/>
    <n v="0"/>
    <n v="77"/>
    <n v="8"/>
    <n v="1"/>
    <n v="2880"/>
    <n v="1.118881118881119"/>
    <x v="7"/>
    <n v="33.130000000000003"/>
    <n v="100.25443"/>
    <n v="0.95172253236091409"/>
    <n v="2.603990530943524E-2"/>
    <n v="1.5047432122996402E-2"/>
    <n v="0.97442710063101956"/>
    <n v="0"/>
    <n v="8"/>
    <n v="1"/>
    <n v="360"/>
    <n v="9"/>
    <n v="10"/>
    <n v="0.9"/>
    <n v="0.87698439056791766"/>
  </r>
  <r>
    <x v="3"/>
    <d v="2021-11-19T00:00:00"/>
    <s v="C"/>
    <x v="0"/>
    <x v="47"/>
    <s v="M2"/>
    <s v="L2"/>
    <s v="NIPPLE S TYPE L SIZE INJECTION"/>
    <s v="HEK19Nc"/>
    <s v="Saurabh"/>
    <n v="8"/>
    <n v="4815"/>
    <n v="601.875"/>
    <n v="5761"/>
    <n v="5700"/>
    <n v="0"/>
    <n v="0"/>
    <n v="0"/>
    <n v="0"/>
    <n v="45"/>
    <n v="16"/>
    <n v="1"/>
    <n v="5700"/>
    <n v="1.1838006230529594"/>
    <x v="0"/>
    <n v="6.8"/>
    <n v="39.174799999999998"/>
    <n v="0.98941156049296997"/>
    <n v="7.832898172323759E-3"/>
    <n v="0"/>
    <n v="0.99218885610137131"/>
    <n v="0"/>
    <n v="8"/>
    <n v="1"/>
    <n v="712.5"/>
    <n v="5.25"/>
    <n v="5.0526315789473681"/>
    <n v="1.0390625"/>
    <n v="1.0309462332928312"/>
  </r>
  <r>
    <x v="3"/>
    <d v="2021-11-19T00:00:00"/>
    <s v="C"/>
    <x v="9"/>
    <x v="31"/>
    <m/>
    <s v="INJ1"/>
    <s v="HOOD S TYPE MOLDED"/>
    <s v="EK19Hc"/>
    <s v="Saurabh"/>
    <n v="8"/>
    <n v="4137"/>
    <n v="517.125"/>
    <n v="4818"/>
    <n v="4800"/>
    <n v="0"/>
    <n v="0"/>
    <n v="0"/>
    <n v="0"/>
    <n v="10"/>
    <n v="8"/>
    <n v="1"/>
    <n v="4800"/>
    <n v="1.1602610587382161"/>
    <x v="1"/>
    <n v="8.6"/>
    <n v="41.434800000000003"/>
    <n v="0.99626400996264008"/>
    <n v="2.0790020790020791E-3"/>
    <n v="0"/>
    <n v="0.99792444997924445"/>
    <n v="0"/>
    <n v="8"/>
    <n v="1"/>
    <n v="600"/>
    <n v="6"/>
    <n v="6"/>
    <n v="1"/>
    <n v="0.99792444997924445"/>
  </r>
  <r>
    <x v="3"/>
    <d v="2021-11-19T00:00:00"/>
    <s v="C"/>
    <x v="3"/>
    <x v="49"/>
    <m/>
    <s v="P1"/>
    <s v="NIPPLE S TYPE L SIZE PUNCHED"/>
    <s v="HEK19NaK19Pc"/>
    <s v="Saurabh"/>
    <n v="8"/>
    <n v="7000"/>
    <n v="875"/>
    <n v="7200"/>
    <n v="7200"/>
    <n v="0"/>
    <n v="0"/>
    <n v="0"/>
    <n v="0"/>
    <n v="0"/>
    <n v="0"/>
    <n v="1"/>
    <n v="7200"/>
    <n v="1.0285714285714285"/>
    <x v="36"/>
    <n v="0"/>
    <n v="0"/>
    <s v=" "/>
    <n v="0"/>
    <n v="0"/>
    <n v="1"/>
    <n v="0.33333333333333331"/>
    <n v="7.666666666666667"/>
    <n v="0.95833333333333337"/>
    <n v="900"/>
    <n v="3.5"/>
    <n v="3.8333333333333335"/>
    <n v="0.91304347826086951"/>
    <n v="0.875"/>
  </r>
  <r>
    <x v="3"/>
    <d v="2021-11-19T00:00:00"/>
    <s v="C"/>
    <x v="8"/>
    <x v="50"/>
    <m/>
    <s v="LZ1"/>
    <s v="NIPPLE S TYPE L SIZE PUNCHED LASER MARKED"/>
    <s v="HEK18CH22"/>
    <s v="Saurabh"/>
    <n v="8"/>
    <n v="7000"/>
    <n v="875"/>
    <n v="5500"/>
    <n v="5500"/>
    <n v="0"/>
    <n v="0"/>
    <n v="0"/>
    <n v="0"/>
    <n v="0"/>
    <n v="0"/>
    <n v="1"/>
    <n v="5500"/>
    <n v="0.7857142857142857"/>
    <x v="22"/>
    <n v="0"/>
    <n v="0"/>
    <s v=" "/>
    <n v="0"/>
    <n v="0"/>
    <n v="1"/>
    <n v="0.33333333333333331"/>
    <n v="7.666666666666667"/>
    <n v="0.95833333333333337"/>
    <n v="687.5"/>
    <n v="3.5"/>
    <n v="5.0181818181818185"/>
    <n v="0.69746376811594202"/>
    <n v="0.66840277777777779"/>
  </r>
  <r>
    <x v="3"/>
    <d v="2021-11-19T00:00:00"/>
    <s v="C"/>
    <x v="0"/>
    <x v="0"/>
    <s v="M1"/>
    <s v="L1"/>
    <s v="NIPPLE S TYPE M SIZE INJECTION"/>
    <s v="HEK19Nc"/>
    <s v="Saurabh"/>
    <n v="8"/>
    <n v="3611"/>
    <n v="451.375"/>
    <n v="4034"/>
    <n v="3920"/>
    <n v="0"/>
    <n v="22"/>
    <n v="0"/>
    <n v="0"/>
    <n v="80"/>
    <n v="12"/>
    <n v="1"/>
    <n v="3920"/>
    <n v="1.0855718637496539"/>
    <x v="0"/>
    <n v="6.8"/>
    <n v="27.431199999999997"/>
    <n v="0.9717402082300447"/>
    <n v="0.02"/>
    <n v="5.4240631163708086E-3"/>
    <n v="0.98016856717897871"/>
    <n v="0"/>
    <n v="8"/>
    <n v="1"/>
    <n v="490"/>
    <n v="5.25"/>
    <n v="7.3469387755102042"/>
    <n v="0.71458333333333335"/>
    <n v="0.70041212196331193"/>
  </r>
  <r>
    <x v="3"/>
    <d v="2021-11-20T00:00:00"/>
    <s v="A"/>
    <x v="0"/>
    <x v="0"/>
    <s v="M1"/>
    <s v="L1"/>
    <s v="NIPPLE S TYPE M SIZE INJECTION"/>
    <s v="HEK20Na"/>
    <s v="Nitin"/>
    <n v="4.5"/>
    <n v="2400"/>
    <n v="533.33333333333337"/>
    <n v="3010"/>
    <n v="2950"/>
    <n v="0"/>
    <n v="20"/>
    <n v="0"/>
    <n v="0"/>
    <n v="34"/>
    <n v="6"/>
    <n v="1"/>
    <n v="2950"/>
    <n v="1.2291666666666667"/>
    <x v="0"/>
    <n v="6.8"/>
    <n v="20.468"/>
    <n v="0.98006644518272423"/>
    <n v="1.1394101876675604E-2"/>
    <n v="6.6006600660066007E-3"/>
    <n v="0.98870431893687705"/>
    <n v="0"/>
    <n v="4.5"/>
    <n v="1"/>
    <n v="655.55555555555554"/>
    <n v="5.25"/>
    <n v="5.4915254237288131"/>
    <n v="0.9560185185185186"/>
    <n v="0.94521963824289412"/>
  </r>
  <r>
    <x v="3"/>
    <d v="2021-11-20T00:00:00"/>
    <s v="A"/>
    <x v="9"/>
    <x v="31"/>
    <m/>
    <s v="INJ1"/>
    <s v="HOOD S TYPE MOLDED"/>
    <s v="EK20Ha"/>
    <s v="Nitin"/>
    <n v="4.5"/>
    <n v="3600"/>
    <n v="800"/>
    <n v="4018"/>
    <n v="3997"/>
    <n v="0"/>
    <n v="0"/>
    <n v="0"/>
    <n v="0"/>
    <n v="13"/>
    <n v="8"/>
    <n v="1"/>
    <n v="3997"/>
    <n v="1.1102777777777777"/>
    <x v="1"/>
    <n v="8.6"/>
    <n v="34.5548"/>
    <n v="0.99477351916376311"/>
    <n v="3.2418952618453864E-3"/>
    <n v="0"/>
    <n v="0.99676455948232956"/>
    <n v="0"/>
    <n v="4.5"/>
    <n v="1"/>
    <n v="888.22222222222217"/>
    <n v="6"/>
    <n v="4.0530397798348758"/>
    <n v="1.4803703703703706"/>
    <n v="1.4755807200929154"/>
  </r>
  <r>
    <x v="3"/>
    <d v="2021-11-20T00:00:00"/>
    <s v="A"/>
    <x v="3"/>
    <x v="49"/>
    <m/>
    <s v="P1"/>
    <s v="NIPPLE S TYPE L SIZE PUNCHED"/>
    <s v="HEK19NcK20Pa"/>
    <s v="Nitin"/>
    <n v="4.5"/>
    <n v="6000"/>
    <n v="1333.3333333333333"/>
    <n v="6000"/>
    <n v="6000"/>
    <n v="0"/>
    <n v="0"/>
    <n v="0"/>
    <n v="0"/>
    <n v="0"/>
    <n v="0"/>
    <n v="1"/>
    <n v="6000"/>
    <n v="1"/>
    <x v="36"/>
    <n v="0"/>
    <n v="0"/>
    <s v=" "/>
    <n v="0"/>
    <n v="0"/>
    <n v="1"/>
    <n v="0"/>
    <n v="4.5"/>
    <n v="1"/>
    <n v="1333.3333333333333"/>
    <n v="3.5"/>
    <n v="2.7"/>
    <n v="1.2962962962962963"/>
    <n v="1.2962962962962963"/>
  </r>
  <r>
    <x v="3"/>
    <d v="2021-11-20T00:00:00"/>
    <s v="A"/>
    <x v="8"/>
    <x v="50"/>
    <m/>
    <s v="LZ1"/>
    <s v="NIPPLE S TYPE L SIZE PUNCHED LASER MARKED"/>
    <s v="HEK19AH22"/>
    <s v="Nitin"/>
    <n v="4.5"/>
    <n v="6000"/>
    <n v="1333.3333333333333"/>
    <n v="4575"/>
    <n v="4575"/>
    <n v="0"/>
    <n v="0"/>
    <n v="0"/>
    <n v="0"/>
    <n v="0"/>
    <n v="0"/>
    <n v="1"/>
    <n v="4575"/>
    <n v="0.76249999999999996"/>
    <x v="22"/>
    <n v="0"/>
    <n v="0"/>
    <s v=" "/>
    <n v="0"/>
    <n v="0"/>
    <n v="1"/>
    <n v="0"/>
    <n v="4.5"/>
    <n v="1"/>
    <n v="1016.6666666666666"/>
    <n v="3.5"/>
    <n v="3.540983606557377"/>
    <n v="0.98842592592592593"/>
    <n v="0.98842592592592593"/>
  </r>
  <r>
    <x v="3"/>
    <d v="2021-11-20T00:00:00"/>
    <s v="A"/>
    <x v="0"/>
    <x v="47"/>
    <s v="M2"/>
    <s v="L2"/>
    <s v="NIPPLE S TYPE L SIZE INJECTION"/>
    <s v="HEK20Na"/>
    <s v="Nitin"/>
    <n v="4.5"/>
    <n v="3600"/>
    <n v="800"/>
    <n v="4292"/>
    <n v="4250"/>
    <n v="0.48"/>
    <n v="0"/>
    <n v="0"/>
    <n v="0"/>
    <n v="34"/>
    <n v="8"/>
    <n v="1"/>
    <n v="4250"/>
    <n v="1.1805555555555556"/>
    <x v="0"/>
    <n v="6.8"/>
    <n v="29.665599999999998"/>
    <n v="0.97419233051075993"/>
    <n v="7.9365079365079361E-3"/>
    <n v="0"/>
    <n v="0.99207828518173347"/>
    <n v="0"/>
    <n v="4.5"/>
    <n v="1"/>
    <n v="944.44444444444446"/>
    <n v="5.25"/>
    <n v="3.8117647058823527"/>
    <n v="1.3773148148148149"/>
    <n v="1.3664041196368784"/>
  </r>
  <r>
    <x v="3"/>
    <d v="2021-11-20T00:00:00"/>
    <s v="A"/>
    <x v="1"/>
    <x v="67"/>
    <s v="BM5"/>
    <s v="B2"/>
    <s v="RPP 240ML BLUE BOTTLE MOLDED (WM3GB)"/>
    <s v="EK20Ba2"/>
    <s v="Nitin"/>
    <n v="4.5"/>
    <n v="2000"/>
    <n v="444.44444444444446"/>
    <n v="2390"/>
    <n v="2280"/>
    <n v="0.38"/>
    <n v="53"/>
    <n v="0"/>
    <n v="0"/>
    <n v="49"/>
    <n v="8"/>
    <n v="1"/>
    <n v="2280"/>
    <n v="1.1399999999999999"/>
    <x v="7"/>
    <n v="33.130000000000003"/>
    <n v="79.560699999999997"/>
    <n v="0.94941849430686265"/>
    <n v="2.1039072563331901E-2"/>
    <n v="2.1694637740483011E-2"/>
    <n v="0.97949790794979075"/>
    <n v="0"/>
    <n v="4.5"/>
    <n v="1"/>
    <n v="506.66666666666669"/>
    <n v="9"/>
    <n v="7.1052631578947372"/>
    <n v="1.2666666666666666"/>
    <n v="1.2406973500697349"/>
  </r>
  <r>
    <x v="3"/>
    <d v="2021-11-20T00:00:00"/>
    <s v="G"/>
    <x v="4"/>
    <x v="51"/>
    <m/>
    <m/>
    <s v="NIPPLE S TYPE L SIZE PUNCHED INSPECTED"/>
    <s v="HEK18Nak19Pb"/>
    <s v="Nitin"/>
    <n v="4.5"/>
    <n v="7000"/>
    <n v="1555.5555555555557"/>
    <n v="9075"/>
    <n v="9047"/>
    <n v="0"/>
    <n v="0"/>
    <n v="0"/>
    <n v="0"/>
    <n v="28"/>
    <n v="0"/>
    <n v="2"/>
    <n v="4523.5"/>
    <n v="1.2924285714285715"/>
    <x v="37"/>
    <n v="0"/>
    <n v="0"/>
    <s v=" "/>
    <n v="3.0853994490358128E-3"/>
    <n v="0"/>
    <n v="0.99691460055096415"/>
    <n v="0"/>
    <n v="4.5"/>
    <n v="1"/>
    <n v="2010.4444444444443"/>
    <n v="4"/>
    <n v="3.5812976677351607"/>
    <n v="1.1169135802469137"/>
    <n v="1.1134674557017992"/>
  </r>
  <r>
    <x v="3"/>
    <d v="2021-11-20T00:00:00"/>
    <s v="G"/>
    <x v="7"/>
    <x v="27"/>
    <m/>
    <s v="WR1"/>
    <s v="NIPPLE S TYPE L SIZE WITH PRINTED WRAP"/>
    <s v="HEK18AH22"/>
    <s v="Nitin"/>
    <n v="4.5"/>
    <n v="8000"/>
    <n v="1777.7777777777778"/>
    <n v="8178"/>
    <n v="8174"/>
    <n v="0"/>
    <n v="0"/>
    <n v="0"/>
    <n v="0"/>
    <n v="4"/>
    <n v="0"/>
    <n v="2"/>
    <n v="4087"/>
    <n v="1.0217499999999999"/>
    <x v="22"/>
    <n v="0"/>
    <n v="0"/>
    <s v=" "/>
    <n v="4.8911714355588166E-4"/>
    <n v="0"/>
    <n v="0.99951088285644407"/>
    <n v="0"/>
    <n v="4.5"/>
    <n v="1"/>
    <n v="1816.4444444444443"/>
    <n v="2.5"/>
    <n v="3.9637876192806458"/>
    <n v="0.63070987654320987"/>
    <n v="0.63040138552998259"/>
  </r>
  <r>
    <x v="3"/>
    <d v="2021-11-22T00:00:00"/>
    <s v="A"/>
    <x v="8"/>
    <x v="50"/>
    <m/>
    <s v="LZ1"/>
    <s v="NIPPLE S TYPE L SIZE PUNCHED LASER MARKED"/>
    <s v="HEK19AH22"/>
    <s v="Badelal"/>
    <n v="2"/>
    <n v="1750"/>
    <n v="875"/>
    <n v="1698"/>
    <n v="1698"/>
    <n v="0"/>
    <n v="0"/>
    <n v="0"/>
    <n v="0"/>
    <n v="0"/>
    <n v="0"/>
    <n v="1"/>
    <n v="1698"/>
    <n v="0.97028571428571431"/>
    <x v="22"/>
    <n v="0"/>
    <n v="0"/>
    <s v=" "/>
    <n v="0"/>
    <n v="0"/>
    <n v="1"/>
    <n v="0.66666666666666663"/>
    <n v="1.3333333333333335"/>
    <n v="0.66666666666666674"/>
    <n v="849"/>
    <n v="3.5"/>
    <n v="2.8268551236749122"/>
    <n v="1.2381249999999997"/>
    <n v="0.82541666666666658"/>
  </r>
  <r>
    <x v="3"/>
    <d v="2021-11-22T00:00:00"/>
    <s v="A"/>
    <x v="3"/>
    <x v="49"/>
    <m/>
    <s v="P1"/>
    <s v="NIPPLE S TYPE L SIZE PUNCHED"/>
    <s v="HEK19NcK22Pa"/>
    <s v="Badelal"/>
    <n v="3"/>
    <n v="2650"/>
    <n v="883.33333333333337"/>
    <n v="2700"/>
    <n v="2698"/>
    <n v="0"/>
    <n v="0"/>
    <n v="0"/>
    <n v="0"/>
    <n v="2"/>
    <n v="0"/>
    <n v="1"/>
    <n v="2698"/>
    <n v="1.0181132075471697"/>
    <x v="36"/>
    <n v="0"/>
    <n v="0"/>
    <s v=" "/>
    <n v="7.407407407407407E-4"/>
    <n v="0"/>
    <n v="0.99925925925925929"/>
    <n v="0.66666666666666663"/>
    <n v="2.3333333333333335"/>
    <n v="0.77777777777777779"/>
    <n v="899.33333333333337"/>
    <n v="3.5"/>
    <n v="3.1134173461823571"/>
    <n v="1.1241666666666668"/>
    <n v="0.87370418381344328"/>
  </r>
  <r>
    <x v="3"/>
    <d v="2021-11-22T00:00:00"/>
    <s v="A"/>
    <x v="9"/>
    <x v="31"/>
    <m/>
    <s v="INJ1"/>
    <s v="HOOD S TYPE MOLDED"/>
    <s v="EK22Ha"/>
    <s v="Badelal"/>
    <n v="8"/>
    <n v="4137"/>
    <n v="517.125"/>
    <n v="4026"/>
    <n v="4000"/>
    <n v="1.3"/>
    <n v="8"/>
    <n v="0"/>
    <n v="0"/>
    <n v="10"/>
    <n v="8"/>
    <n v="1"/>
    <n v="4000"/>
    <n v="0.96688421561518012"/>
    <x v="1"/>
    <n v="8.6"/>
    <n v="35.9236"/>
    <n v="0.95758776959992864"/>
    <n v="2.4937655860349127E-3"/>
    <n v="1.9831432821021317E-3"/>
    <n v="0.99751614505712871"/>
    <n v="0"/>
    <n v="8"/>
    <n v="1"/>
    <n v="500"/>
    <n v="6"/>
    <n v="7.2"/>
    <n v="0.83333333333333326"/>
    <n v="0.83126345421427383"/>
  </r>
  <r>
    <x v="3"/>
    <d v="2021-11-22T00:00:00"/>
    <s v="A"/>
    <x v="0"/>
    <x v="0"/>
    <s v="M1"/>
    <s v="L1"/>
    <s v="NIPPLE S TYPE M SIZE INJECTION"/>
    <s v="HEK22Na"/>
    <s v="Badelal"/>
    <n v="8"/>
    <n v="3611"/>
    <n v="451.375"/>
    <n v="3376"/>
    <n v="3200"/>
    <n v="0"/>
    <n v="90"/>
    <n v="0"/>
    <n v="0"/>
    <n v="68"/>
    <n v="18"/>
    <n v="1"/>
    <n v="3200"/>
    <n v="0.88618111326502358"/>
    <x v="0"/>
    <n v="6.8"/>
    <n v="22.956799999999998"/>
    <n v="0.94786729857819907"/>
    <n v="2.0807833537331701E-2"/>
    <n v="2.5966532025389497E-2"/>
    <n v="0.97985781990521326"/>
    <n v="0"/>
    <n v="8"/>
    <n v="1"/>
    <n v="400"/>
    <n v="5.25"/>
    <n v="9"/>
    <n v="0.58333333333333337"/>
    <n v="0.57158372827804105"/>
  </r>
  <r>
    <x v="3"/>
    <d v="2021-11-22T00:00:00"/>
    <s v="A"/>
    <x v="0"/>
    <x v="47"/>
    <s v="M2"/>
    <s v="L2"/>
    <s v="NIPPLE S TYPE L SIZE INJECTION"/>
    <s v="HEK22Na"/>
    <s v="Badelal"/>
    <n v="8"/>
    <n v="4815"/>
    <n v="601.875"/>
    <n v="4149"/>
    <n v="4000"/>
    <n v="0"/>
    <n v="70"/>
    <n v="0"/>
    <n v="0"/>
    <n v="55"/>
    <n v="24"/>
    <n v="1"/>
    <n v="4000"/>
    <n v="0.83073727933541019"/>
    <x v="0"/>
    <n v="6.8"/>
    <n v="28.213199999999997"/>
    <n v="0.96408773198361064"/>
    <n v="1.3563501849568433E-2"/>
    <n v="1.6591609386110453E-2"/>
    <n v="0.98674379368522536"/>
    <n v="0"/>
    <n v="8"/>
    <n v="1"/>
    <n v="500"/>
    <n v="5.25"/>
    <n v="7.2"/>
    <n v="0.72916666666666663"/>
    <n v="0.71950068289547675"/>
  </r>
  <r>
    <x v="3"/>
    <d v="2021-11-22T00:00:00"/>
    <s v="A"/>
    <x v="1"/>
    <x v="54"/>
    <s v="BM4"/>
    <s v="B1"/>
    <s v="RPP 120ML BLUE BOTTLE MOLDED (WM3GB)"/>
    <s v="EK22Ba1"/>
    <s v="Badelal"/>
    <n v="8"/>
    <n v="2574"/>
    <n v="321.75"/>
    <n v="1383"/>
    <n v="1260"/>
    <n v="0"/>
    <n v="70"/>
    <n v="0"/>
    <n v="0"/>
    <n v="45"/>
    <n v="8"/>
    <n v="1"/>
    <n v="1260"/>
    <n v="0.48951048951048953"/>
    <x v="7"/>
    <n v="22.7"/>
    <n v="31.394099999999998"/>
    <n v="0.91106290672451185"/>
    <n v="3.4482758620689655E-2"/>
    <n v="4.817618719889883E-2"/>
    <n v="0.96746203904555317"/>
    <n v="4"/>
    <n v="4"/>
    <n v="0.5"/>
    <n v="157.5"/>
    <n v="9"/>
    <n v="11.428571428571429"/>
    <n v="0.78749999999999998"/>
    <n v="0.38093817787418655"/>
  </r>
  <r>
    <x v="3"/>
    <d v="2021-11-22T00:00:00"/>
    <s v="G"/>
    <x v="4"/>
    <x v="51"/>
    <m/>
    <m/>
    <s v="NIPPLE S TYPE L SIZE PUNCHED INSPECTED"/>
    <s v="HEK19AH22"/>
    <s v="Badelal"/>
    <n v="8"/>
    <n v="14000"/>
    <n v="1750"/>
    <n v="8200"/>
    <n v="8181"/>
    <n v="0"/>
    <n v="0"/>
    <n v="0"/>
    <n v="0"/>
    <n v="19"/>
    <n v="0"/>
    <n v="1"/>
    <n v="8181"/>
    <n v="0.58435714285714291"/>
    <x v="37"/>
    <n v="0"/>
    <n v="0"/>
    <s v=" "/>
    <n v="2.3170731707317072E-3"/>
    <n v="0"/>
    <n v="0.99768292682926829"/>
    <n v="0.83333333333333337"/>
    <n v="7.166666666666667"/>
    <n v="0.89583333333333337"/>
    <n v="1022.625"/>
    <n v="4"/>
    <n v="3.1536486982031535"/>
    <n v="1.2683720930232558"/>
    <n v="1.1336172256097561"/>
  </r>
  <r>
    <x v="3"/>
    <d v="2021-11-22T00:00:00"/>
    <s v="G"/>
    <x v="6"/>
    <x v="6"/>
    <m/>
    <m/>
    <s v="50 ML RPP BOTTLE PRINTED - BIRDS"/>
    <s v="EK12Bb1K22Pa"/>
    <s v="Badelal"/>
    <n v="8"/>
    <n v="3400"/>
    <n v="425"/>
    <n v="1981"/>
    <n v="1950"/>
    <n v="0"/>
    <n v="0"/>
    <n v="72"/>
    <n v="0"/>
    <n v="31"/>
    <n v="0"/>
    <n v="5"/>
    <n v="390"/>
    <n v="0.57352941176470584"/>
    <x v="6"/>
    <n v="17.015000000000001"/>
    <n v="33.706714999999996"/>
    <n v="0.98435133770822814"/>
    <n v="1.5648662291771833E-2"/>
    <n v="0"/>
    <n v="0.98435133770822814"/>
    <n v="0.83333333333333337"/>
    <n v="7.166666666666667"/>
    <n v="0.89583333333333337"/>
    <n v="243.75"/>
    <n v="32.4"/>
    <n v="66.15384615384616"/>
    <n v="0.48976744186046506"/>
    <n v="0.43188414941948505"/>
  </r>
  <r>
    <x v="3"/>
    <d v="2021-11-22T00:00:00"/>
    <s v="B"/>
    <x v="1"/>
    <x v="54"/>
    <s v="BM4"/>
    <s v="B1"/>
    <s v="RPP 120ML BLUE BOTTLE MOLDED (WM3GB)"/>
    <s v="EK22Bb1"/>
    <s v="Badelal"/>
    <n v="8"/>
    <n v="2574"/>
    <n v="321.75"/>
    <n v="2600"/>
    <n v="2520"/>
    <n v="0.1"/>
    <n v="35"/>
    <n v="0"/>
    <n v="0"/>
    <n v="45"/>
    <n v="0"/>
    <n v="1"/>
    <n v="2520"/>
    <n v="0.97902097902097907"/>
    <x v="7"/>
    <n v="22.7"/>
    <n v="59.12"/>
    <n v="0.96759133964817312"/>
    <n v="1.7543859649122806E-2"/>
    <n v="1.3282732447817837E-2"/>
    <n v="0.98269230769230764"/>
    <n v="0.5"/>
    <n v="7.5"/>
    <n v="0.9375"/>
    <n v="315"/>
    <n v="9"/>
    <n v="10.714285714285714"/>
    <n v="0.84000000000000008"/>
    <n v="0.77387019230769227"/>
  </r>
  <r>
    <x v="3"/>
    <d v="2021-11-22T00:00:00"/>
    <s v="B"/>
    <x v="9"/>
    <x v="31"/>
    <m/>
    <s v="INJ1"/>
    <s v="HOOD S TYPE MOLDED"/>
    <s v="EK22Hb"/>
    <s v="Badelal"/>
    <n v="8"/>
    <n v="4137"/>
    <n v="517.125"/>
    <n v="4230"/>
    <n v="4200"/>
    <n v="0"/>
    <n v="20"/>
    <n v="0"/>
    <n v="0"/>
    <n v="10"/>
    <n v="0"/>
    <n v="1"/>
    <n v="4200"/>
    <n v="1.015228426395939"/>
    <x v="1"/>
    <n v="8.6"/>
    <n v="36.378"/>
    <n v="0.9929078014184396"/>
    <n v="2.3752969121140144E-3"/>
    <n v="4.7058823529411761E-3"/>
    <n v="0.99763593380614657"/>
    <n v="0"/>
    <n v="8"/>
    <n v="1"/>
    <n v="525"/>
    <n v="6"/>
    <n v="6.8571428571428568"/>
    <n v="0.875"/>
    <n v="0.87293144208037821"/>
  </r>
  <r>
    <x v="3"/>
    <d v="2021-11-22T00:00:00"/>
    <s v="B"/>
    <x v="0"/>
    <x v="0"/>
    <s v="M1"/>
    <s v="L1"/>
    <s v="NIPPLE S TYPE M SIZE INJECTION"/>
    <s v="HEK22Nb"/>
    <s v="Badelal"/>
    <n v="8"/>
    <n v="3611"/>
    <n v="451.375"/>
    <n v="4100"/>
    <n v="4000"/>
    <n v="0"/>
    <n v="30"/>
    <n v="0"/>
    <n v="0"/>
    <n v="70"/>
    <n v="0"/>
    <n v="1"/>
    <n v="4000"/>
    <n v="1.1077263915812794"/>
    <x v="0"/>
    <n v="6.8"/>
    <n v="27.88"/>
    <n v="0.97560975609756095"/>
    <n v="1.7199017199017199E-2"/>
    <n v="7.2639225181598066E-3"/>
    <n v="0.98292682926829267"/>
    <n v="0"/>
    <n v="8"/>
    <n v="1"/>
    <n v="500"/>
    <n v="5.25"/>
    <n v="7.2"/>
    <n v="0.72916666666666663"/>
    <n v="0.71671747967479671"/>
  </r>
  <r>
    <x v="3"/>
    <d v="2021-11-22T00:00:00"/>
    <s v="B"/>
    <x v="0"/>
    <x v="47"/>
    <s v="M2"/>
    <s v="L2"/>
    <s v="NIPPLE S TYPE L SIZE INJECTION"/>
    <s v="HEK22Nb"/>
    <s v="Badelal"/>
    <n v="8"/>
    <n v="4815"/>
    <n v="601.875"/>
    <n v="5720"/>
    <n v="5600"/>
    <n v="0"/>
    <n v="80"/>
    <n v="0"/>
    <n v="0"/>
    <n v="40"/>
    <n v="0"/>
    <n v="1"/>
    <n v="5600"/>
    <n v="1.1630321910695742"/>
    <x v="0"/>
    <n v="6.8"/>
    <n v="38.896000000000001"/>
    <n v="0.97902097902097895"/>
    <n v="7.0921985815602835E-3"/>
    <n v="1.3793103448275862E-2"/>
    <n v="0.99300699300699302"/>
    <n v="0"/>
    <n v="8"/>
    <n v="1"/>
    <n v="700"/>
    <n v="5.25"/>
    <n v="5.1428571428571432"/>
    <n v="1.0208333333333333"/>
    <n v="1.0136946386946386"/>
  </r>
  <r>
    <x v="3"/>
    <d v="2021-11-22T00:00:00"/>
    <s v="B"/>
    <x v="3"/>
    <x v="49"/>
    <m/>
    <s v="P1"/>
    <s v="NIPPLE S TYPE L SIZE PUNCHED"/>
    <s v="HEK20NaK22Pb"/>
    <s v="Badelal"/>
    <n v="8"/>
    <n v="7000"/>
    <n v="875"/>
    <n v="4250"/>
    <n v="4250"/>
    <n v="0"/>
    <n v="0"/>
    <n v="0"/>
    <n v="0"/>
    <n v="0"/>
    <n v="0"/>
    <n v="1"/>
    <n v="4250"/>
    <n v="0.6071428571428571"/>
    <x v="36"/>
    <n v="0"/>
    <n v="0"/>
    <s v=" "/>
    <n v="0"/>
    <n v="0"/>
    <n v="1"/>
    <n v="0.66666666666666663"/>
    <n v="7.333333333333333"/>
    <n v="0.91666666666666663"/>
    <n v="531.25"/>
    <n v="3.5"/>
    <n v="6.2117647058823531"/>
    <n v="0.56344696969696972"/>
    <n v="0.51649305555555558"/>
  </r>
  <r>
    <x v="3"/>
    <d v="2021-11-22T00:00:00"/>
    <s v="B"/>
    <x v="8"/>
    <x v="50"/>
    <m/>
    <s v="LZ1"/>
    <s v="NIPPLE S TYPE L SIZE PUNCHED LASER MARKED"/>
    <s v="HEK19BH22"/>
    <s v="Badelal"/>
    <n v="8"/>
    <n v="7000"/>
    <n v="875"/>
    <n v="6500"/>
    <n v="6500"/>
    <n v="0"/>
    <n v="0"/>
    <n v="0"/>
    <n v="0"/>
    <n v="0"/>
    <n v="0"/>
    <n v="1"/>
    <n v="6500"/>
    <n v="0.9285714285714286"/>
    <x v="22"/>
    <n v="0"/>
    <n v="0"/>
    <s v=" "/>
    <n v="0"/>
    <n v="0"/>
    <n v="1"/>
    <n v="0.66666666666666663"/>
    <n v="7.333333333333333"/>
    <n v="0.91666666666666663"/>
    <n v="812.5"/>
    <n v="3.5"/>
    <n v="4.0615384615384613"/>
    <n v="0.86174242424242431"/>
    <n v="0.78993055555555558"/>
  </r>
  <r>
    <x v="3"/>
    <d v="2021-11-22T00:00:00"/>
    <s v="C"/>
    <x v="1"/>
    <x v="54"/>
    <s v="BM4"/>
    <s v="B1"/>
    <s v="RPP 120ML BLUE BOTTLE MOLDED (WM3GB)"/>
    <s v="EK22Bc1"/>
    <s v="Nitin"/>
    <n v="8"/>
    <n v="1000"/>
    <n v="125"/>
    <n v="614"/>
    <n v="600"/>
    <n v="0"/>
    <n v="0"/>
    <n v="0"/>
    <n v="0"/>
    <n v="14"/>
    <n v="0"/>
    <n v="1"/>
    <n v="600"/>
    <n v="0.6"/>
    <x v="7"/>
    <n v="22.7"/>
    <n v="13.937799999999999"/>
    <n v="0.9771986970684039"/>
    <n v="2.2801302931596091E-2"/>
    <n v="0"/>
    <n v="0.9771986970684039"/>
    <n v="6.166666666666667"/>
    <n v="1.833333333333333"/>
    <n v="0.22916666666666663"/>
    <n v="75"/>
    <n v="9"/>
    <n v="10.999999999999998"/>
    <n v="0.81818181818181834"/>
    <n v="0.18322475570032576"/>
  </r>
  <r>
    <x v="3"/>
    <d v="2021-11-22T00:00:00"/>
    <s v="C"/>
    <x v="9"/>
    <x v="31"/>
    <m/>
    <s v="INJ1"/>
    <s v="HOOD S TYPE MOLDED"/>
    <s v="EK22Ha"/>
    <s v="Nitin"/>
    <n v="8"/>
    <n v="4137"/>
    <n v="517.125"/>
    <n v="4012"/>
    <n v="4000"/>
    <n v="0"/>
    <n v="0"/>
    <n v="0"/>
    <n v="0"/>
    <n v="4"/>
    <n v="8"/>
    <n v="1"/>
    <n v="4000"/>
    <n v="0.96688421561518012"/>
    <x v="1"/>
    <n v="8.6"/>
    <n v="34.5032"/>
    <n v="0.99700897308075764"/>
    <n v="9.99000999000999E-4"/>
    <n v="0"/>
    <n v="0.99900299102691925"/>
    <n v="0"/>
    <n v="8"/>
    <n v="1"/>
    <n v="500"/>
    <n v="6"/>
    <n v="7.2"/>
    <n v="0.83333333333333326"/>
    <n v="0.83250249252243269"/>
  </r>
  <r>
    <x v="3"/>
    <d v="2021-11-22T00:00:00"/>
    <s v="C"/>
    <x v="0"/>
    <x v="0"/>
    <s v="M1"/>
    <s v="L1"/>
    <s v="NIPPLE S TYPE M SIZE INJECTION"/>
    <s v="HEK22Nc"/>
    <s v="Nitin"/>
    <n v="8"/>
    <n v="3611"/>
    <n v="451.375"/>
    <n v="1239"/>
    <n v="1220"/>
    <n v="0"/>
    <n v="0"/>
    <n v="0"/>
    <n v="0"/>
    <n v="19"/>
    <n v="0"/>
    <n v="1"/>
    <n v="1220"/>
    <n v="0.33785654943229021"/>
    <x v="0"/>
    <n v="6.8"/>
    <n v="8.4252000000000002"/>
    <n v="0.98466505246166258"/>
    <n v="1.5334947538337369E-2"/>
    <n v="0"/>
    <n v="0.98466505246166258"/>
    <n v="6"/>
    <n v="2"/>
    <n v="0.25"/>
    <n v="152.5"/>
    <n v="5.25"/>
    <n v="5.9016393442622954"/>
    <n v="0.88958333333333328"/>
    <n v="0.21898540489642182"/>
  </r>
  <r>
    <x v="3"/>
    <d v="2021-11-22T00:00:00"/>
    <s v="C"/>
    <x v="0"/>
    <x v="47"/>
    <s v="M2"/>
    <s v="L2"/>
    <s v="NIPPLE S TYPE L SIZE INJECTION"/>
    <s v="HEK22Nc"/>
    <s v="Nitin"/>
    <n v="8"/>
    <n v="4815"/>
    <n v="601.875"/>
    <n v="5659"/>
    <n v="5600"/>
    <n v="0"/>
    <n v="0"/>
    <n v="0"/>
    <n v="0"/>
    <n v="51"/>
    <n v="8"/>
    <n v="1"/>
    <n v="5600"/>
    <n v="1.1630321910695742"/>
    <x v="0"/>
    <n v="6.8"/>
    <n v="38.481200000000001"/>
    <n v="0.98957412970489478"/>
    <n v="9.024951336046718E-3"/>
    <n v="0"/>
    <n v="0.99098780703304468"/>
    <n v="0"/>
    <n v="8"/>
    <n v="1"/>
    <n v="700"/>
    <n v="5.25"/>
    <n v="5.1428571428571432"/>
    <n v="1.0208333333333333"/>
    <n v="1.011633386346233"/>
  </r>
  <r>
    <x v="3"/>
    <d v="2021-11-22T00:00:00"/>
    <s v="C"/>
    <x v="3"/>
    <x v="49"/>
    <m/>
    <s v="P1"/>
    <s v="NIPPLE S TYPE L SIZE PUNCHED"/>
    <s v="HEK22NaK22Pc"/>
    <s v="Nitin"/>
    <n v="8"/>
    <n v="7000"/>
    <n v="875"/>
    <n v="3000"/>
    <n v="3000"/>
    <n v="0"/>
    <n v="0"/>
    <n v="0"/>
    <n v="0"/>
    <n v="0"/>
    <n v="0"/>
    <n v="1"/>
    <n v="3000"/>
    <n v="0.42857142857142855"/>
    <x v="36"/>
    <n v="0"/>
    <n v="0"/>
    <s v=" "/>
    <n v="0"/>
    <n v="0"/>
    <n v="1"/>
    <n v="4.333333333333333"/>
    <n v="3.666666666666667"/>
    <n v="0.45833333333333337"/>
    <n v="375"/>
    <n v="3.5"/>
    <n v="4.4000000000000004"/>
    <n v="0.79545454545454541"/>
    <n v="0.36458333333333337"/>
  </r>
  <r>
    <x v="3"/>
    <d v="2021-11-22T00:00:00"/>
    <s v="C"/>
    <x v="8"/>
    <x v="50"/>
    <m/>
    <s v="LZ1"/>
    <s v="NIPPLE S TYPE L SIZE PUNCHED LASER MARKED"/>
    <s v="HEK19CH22"/>
    <s v="Nitin"/>
    <n v="8"/>
    <n v="7000"/>
    <n v="875"/>
    <n v="4698"/>
    <n v="4698"/>
    <n v="0"/>
    <n v="0"/>
    <n v="0"/>
    <n v="0"/>
    <n v="0"/>
    <n v="0"/>
    <n v="1"/>
    <n v="4698"/>
    <n v="0.67114285714285715"/>
    <x v="22"/>
    <n v="0"/>
    <n v="0"/>
    <s v=" "/>
    <n v="0"/>
    <n v="0"/>
    <n v="1"/>
    <n v="0.33333333333333331"/>
    <n v="7.666666666666667"/>
    <n v="0.95833333333333337"/>
    <n v="587.25"/>
    <n v="3.5"/>
    <n v="5.8748403575989787"/>
    <n v="0.59576086956521734"/>
    <n v="0.57093749999999999"/>
  </r>
  <r>
    <x v="3"/>
    <d v="2021-11-23T00:00:00"/>
    <s v="A"/>
    <x v="0"/>
    <x v="47"/>
    <s v="M2"/>
    <s v="L2"/>
    <s v="NIPPLE S TYPE L SIZE INJECTION"/>
    <s v="HEK23Na"/>
    <s v="Badelal"/>
    <n v="8"/>
    <n v="4815"/>
    <n v="601.875"/>
    <n v="5649"/>
    <n v="5600"/>
    <n v="0"/>
    <n v="0"/>
    <n v="0"/>
    <n v="0"/>
    <n v="41"/>
    <n v="8"/>
    <n v="1"/>
    <n v="5600"/>
    <n v="1.1630321910695742"/>
    <x v="0"/>
    <n v="6.8"/>
    <n v="38.413199999999996"/>
    <n v="0.99132589838909546"/>
    <n v="7.2682148555220701E-3"/>
    <n v="0"/>
    <n v="0.99274207824393701"/>
    <n v="0"/>
    <n v="8"/>
    <n v="1"/>
    <n v="700"/>
    <n v="5.25"/>
    <n v="5.1428571428571432"/>
    <n v="1.0208333333333333"/>
    <n v="1.013424204874019"/>
  </r>
  <r>
    <x v="3"/>
    <d v="2021-11-23T00:00:00"/>
    <s v="A"/>
    <x v="3"/>
    <x v="49"/>
    <m/>
    <s v="P1"/>
    <s v="NIPPLE S TYPE L SIZE PUNCHED"/>
    <s v="HEK22NbK23Pa"/>
    <s v="Badelal"/>
    <n v="8"/>
    <n v="7000"/>
    <n v="875"/>
    <n v="2000"/>
    <n v="2000"/>
    <n v="0"/>
    <n v="0"/>
    <n v="0"/>
    <n v="0"/>
    <n v="0"/>
    <n v="0"/>
    <n v="1"/>
    <n v="2000"/>
    <n v="0.2857142857142857"/>
    <x v="36"/>
    <n v="0"/>
    <n v="0"/>
    <s v=" "/>
    <n v="0"/>
    <n v="0"/>
    <n v="1"/>
    <n v="0.66666666666666663"/>
    <n v="7.333333333333333"/>
    <n v="0.91666666666666663"/>
    <n v="250"/>
    <n v="3.5"/>
    <n v="13.2"/>
    <n v="0.26515151515151514"/>
    <n v="0.24305555555555552"/>
  </r>
  <r>
    <x v="3"/>
    <d v="2021-11-23T00:00:00"/>
    <s v="A"/>
    <x v="8"/>
    <x v="50"/>
    <m/>
    <s v="LZ1"/>
    <s v="NIPPLE S TYPE L SIZE PUNCHED LASER MARKED"/>
    <s v="HEK20AH22"/>
    <s v="Badelal"/>
    <n v="8"/>
    <n v="3500"/>
    <n v="437.5"/>
    <n v="3000"/>
    <n v="3000"/>
    <n v="0"/>
    <n v="0"/>
    <n v="0"/>
    <n v="0"/>
    <n v="0"/>
    <n v="0"/>
    <n v="1"/>
    <n v="3000"/>
    <n v="0.8571428571428571"/>
    <x v="22"/>
    <n v="0"/>
    <n v="0"/>
    <s v=" "/>
    <n v="0"/>
    <n v="0"/>
    <n v="1"/>
    <n v="4.666666666666667"/>
    <n v="3.333333333333333"/>
    <n v="0.41666666666666663"/>
    <n v="375"/>
    <n v="3.5"/>
    <n v="3.9999999999999996"/>
    <n v="0.87500000000000011"/>
    <n v="0.36458333333333337"/>
  </r>
  <r>
    <x v="3"/>
    <d v="2021-11-23T00:00:00"/>
    <s v="G"/>
    <x v="4"/>
    <x v="51"/>
    <m/>
    <m/>
    <s v="NIPPLE S TYPE L SIZE PUNCHED INSPECTED"/>
    <s v=" HEK19BH22"/>
    <s v="Badelal"/>
    <n v="8"/>
    <n v="19000"/>
    <n v="2375"/>
    <n v="13948"/>
    <n v="13893"/>
    <n v="0"/>
    <n v="0"/>
    <n v="0"/>
    <n v="0"/>
    <n v="55"/>
    <n v="0"/>
    <n v="2"/>
    <n v="6946.5"/>
    <n v="0.73121052631578942"/>
    <x v="37"/>
    <n v="0"/>
    <n v="0"/>
    <s v=" "/>
    <n v="3.9432176656151417E-3"/>
    <n v="0"/>
    <n v="0.99605678233438488"/>
    <n v="0.83333333333333337"/>
    <n v="7.166666666666667"/>
    <n v="0.89583333333333337"/>
    <n v="1736.625"/>
    <n v="4"/>
    <n v="3.7141006262146403"/>
    <n v="1.0769767441860465"/>
    <n v="0.9609872831230285"/>
  </r>
  <r>
    <x v="3"/>
    <d v="2021-11-23T00:00:00"/>
    <s v="G"/>
    <x v="6"/>
    <x v="83"/>
    <m/>
    <m/>
    <s v="50 ML RPP BOTTLE PRINTED - WHALES"/>
    <s v="EK12Bb2K23Pa"/>
    <s v="Badelal"/>
    <n v="8"/>
    <n v="2600"/>
    <n v="325"/>
    <n v="2006"/>
    <n v="1970"/>
    <n v="0"/>
    <n v="0"/>
    <n v="42"/>
    <n v="0"/>
    <n v="36"/>
    <n v="0"/>
    <n v="5"/>
    <n v="394"/>
    <n v="0.75769230769230766"/>
    <x v="6"/>
    <n v="17.015000000000001"/>
    <n v="34.132089999999998"/>
    <n v="0.9820538384845463"/>
    <n v="1.794616151545364E-2"/>
    <n v="0"/>
    <n v="0.98205383848454642"/>
    <n v="3.1666666666666665"/>
    <n v="4.8333333333333339"/>
    <n v="0.60416666666666674"/>
    <n v="246.25"/>
    <n v="32.4"/>
    <n v="44.162436548223354"/>
    <n v="0.73365517241379297"/>
    <n v="0.43529536390827517"/>
  </r>
  <r>
    <x v="3"/>
    <d v="2021-11-23T00:00:00"/>
    <s v="B"/>
    <x v="3"/>
    <x v="49"/>
    <m/>
    <s v="P1"/>
    <s v="NIPPLE S TYPE L SIZE PUNCHED"/>
    <s v="HEK22NbK23Pb"/>
    <s v="Badelal"/>
    <n v="4"/>
    <n v="3500"/>
    <n v="875"/>
    <n v="2000"/>
    <n v="2000"/>
    <n v="0"/>
    <n v="0"/>
    <n v="0"/>
    <n v="0"/>
    <n v="0"/>
    <n v="0"/>
    <n v="1"/>
    <n v="2000"/>
    <n v="0.5714285714285714"/>
    <x v="36"/>
    <n v="0"/>
    <n v="0"/>
    <s v=" "/>
    <n v="0"/>
    <n v="0"/>
    <n v="1"/>
    <n v="0.66666666666666663"/>
    <n v="3.3333333333333335"/>
    <n v="0.83333333333333337"/>
    <n v="500"/>
    <n v="3.5"/>
    <n v="6"/>
    <n v="0.58333333333333337"/>
    <n v="0.48611111111111116"/>
  </r>
  <r>
    <x v="3"/>
    <d v="2021-11-23T00:00:00"/>
    <s v="B"/>
    <x v="8"/>
    <x v="50"/>
    <m/>
    <s v="LZ1"/>
    <s v="NIPPLE S TYPE L SIZE PUNCHED LASER MARKED"/>
    <s v="HEK20AH22"/>
    <s v="Badelal"/>
    <n v="4"/>
    <n v="3500"/>
    <n v="875"/>
    <n v="4250"/>
    <n v="4250"/>
    <n v="0"/>
    <n v="0"/>
    <n v="0"/>
    <n v="0"/>
    <n v="0"/>
    <n v="0"/>
    <n v="1"/>
    <n v="4250"/>
    <n v="1.2142857142857142"/>
    <x v="22"/>
    <n v="0"/>
    <n v="0"/>
    <s v=" "/>
    <n v="0"/>
    <n v="0"/>
    <n v="1"/>
    <n v="0"/>
    <n v="4"/>
    <n v="1"/>
    <n v="1062.5"/>
    <n v="3.5"/>
    <n v="3.388235294117647"/>
    <n v="1.0329861111111112"/>
    <n v="1.0329861111111112"/>
  </r>
  <r>
    <x v="3"/>
    <d v="2021-11-23T00:00:00"/>
    <s v="B"/>
    <x v="3"/>
    <x v="3"/>
    <m/>
    <s v="P1"/>
    <s v="NIPPLE S TYPE M SIZE PUNCHED"/>
    <s v="HEK18NaK23Pa"/>
    <s v="Badelal"/>
    <n v="4"/>
    <n v="3500"/>
    <n v="875"/>
    <n v="2000"/>
    <n v="2000"/>
    <n v="0"/>
    <n v="0"/>
    <n v="0"/>
    <n v="0"/>
    <n v="0"/>
    <n v="0"/>
    <n v="1"/>
    <n v="2000"/>
    <n v="0.5714285714285714"/>
    <x v="3"/>
    <n v="0"/>
    <n v="0"/>
    <s v=" "/>
    <n v="0"/>
    <n v="0"/>
    <n v="1"/>
    <n v="0.66666666666666663"/>
    <n v="3.3333333333333335"/>
    <n v="0.83333333333333337"/>
    <n v="500"/>
    <n v="3.5"/>
    <n v="6"/>
    <n v="0.58333333333333337"/>
    <n v="0.48611111111111116"/>
  </r>
  <r>
    <x v="3"/>
    <d v="2021-11-23T00:00:00"/>
    <s v="B"/>
    <x v="8"/>
    <x v="70"/>
    <m/>
    <s v="LZ1"/>
    <s v="NIPPLE S TYPE M SIZE PUNCHED LASER MARKED"/>
    <s v="HEK18AH11"/>
    <s v="Badelal"/>
    <n v="4"/>
    <n v="3500"/>
    <n v="875"/>
    <n v="2000"/>
    <n v="2000"/>
    <n v="0"/>
    <n v="0"/>
    <n v="0"/>
    <n v="0"/>
    <n v="0"/>
    <n v="0"/>
    <n v="1"/>
    <n v="2000"/>
    <n v="0.5714285714285714"/>
    <x v="19"/>
    <n v="0"/>
    <n v="0"/>
    <s v=" "/>
    <n v="0"/>
    <n v="0"/>
    <n v="1"/>
    <n v="0.66666666666666663"/>
    <n v="3.3333333333333335"/>
    <n v="0.83333333333333337"/>
    <n v="500"/>
    <n v="3.5"/>
    <n v="6"/>
    <n v="0.58333333333333337"/>
    <n v="0.48611111111111116"/>
  </r>
  <r>
    <x v="3"/>
    <d v="2021-11-23T00:00:00"/>
    <s v="B"/>
    <x v="0"/>
    <x v="47"/>
    <s v="M2"/>
    <s v="L2"/>
    <s v="NIPPLE S TYPE L SIZE INJECTION"/>
    <s v="HEK23Nb"/>
    <s v="Badelal"/>
    <n v="8"/>
    <n v="4815"/>
    <n v="602"/>
    <n v="5310"/>
    <n v="5200"/>
    <n v="0"/>
    <n v="44"/>
    <n v="0"/>
    <n v="0"/>
    <n v="66"/>
    <n v="0"/>
    <n v="1"/>
    <n v="5200"/>
    <n v="1.0799584631360333"/>
    <x v="0"/>
    <n v="6.8"/>
    <n v="36.107999999999997"/>
    <n v="0.97928436911487771"/>
    <n v="1.2533232054690467E-2"/>
    <n v="8.2181546507284278E-3"/>
    <n v="0.9875706214689266"/>
    <n v="0"/>
    <n v="8"/>
    <n v="1"/>
    <n v="650"/>
    <n v="5.25"/>
    <n v="5.5384615384615383"/>
    <n v="0.94791666666666674"/>
    <n v="0.93613465160075338"/>
  </r>
  <r>
    <x v="3"/>
    <d v="2021-11-23T00:00:00"/>
    <s v="B"/>
    <x v="0"/>
    <x v="28"/>
    <s v="M1"/>
    <s v="L1"/>
    <s v="NIPPLE S TYPE LL SIZE INJECTION"/>
    <s v="HEK23Nb"/>
    <s v="Badelal"/>
    <n v="8"/>
    <n v="3611"/>
    <n v="451.375"/>
    <n v="4254"/>
    <n v="4000"/>
    <n v="0"/>
    <n v="150"/>
    <n v="0"/>
    <n v="0"/>
    <n v="104"/>
    <n v="0"/>
    <n v="1"/>
    <n v="4000"/>
    <n v="1.1077263915812794"/>
    <x v="23"/>
    <n v="6.8"/>
    <n v="28.927199999999999"/>
    <n v="0.94029149036201221"/>
    <n v="2.5341130604288498E-2"/>
    <n v="3.4059945504087197E-2"/>
    <n v="0.97555242125058772"/>
    <n v="0"/>
    <n v="8"/>
    <n v="1"/>
    <n v="500"/>
    <n v="5.25"/>
    <n v="7.2"/>
    <n v="0.72916666666666663"/>
    <n v="0.7113403071618869"/>
  </r>
  <r>
    <x v="3"/>
    <d v="2021-11-23T00:00:00"/>
    <s v="B"/>
    <x v="5"/>
    <x v="5"/>
    <s v="RECYCLE"/>
    <s v="INJ1"/>
    <s v="CAP S TYPE MOLDED RED"/>
    <s v="EK23CRb"/>
    <s v="Badelal"/>
    <n v="8"/>
    <n v="4137"/>
    <n v="517.125"/>
    <n v="4504"/>
    <n v="4500"/>
    <n v="0"/>
    <n v="2"/>
    <n v="0"/>
    <n v="0"/>
    <n v="2"/>
    <n v="0"/>
    <n v="1"/>
    <n v="4500"/>
    <n v="1.0877447425670776"/>
    <x v="5"/>
    <n v="7.3"/>
    <n v="32.879199999999997"/>
    <n v="0.99911190053285981"/>
    <n v="4.4424700133274098E-4"/>
    <n v="4.4385264092321349E-4"/>
    <n v="0.99955595026642985"/>
    <n v="0"/>
    <n v="8"/>
    <n v="1"/>
    <n v="562.5"/>
    <n v="6"/>
    <n v="6.4"/>
    <n v="0.9375"/>
    <n v="0.93708370337477798"/>
  </r>
  <r>
    <x v="3"/>
    <d v="2021-11-23T00:00:00"/>
    <s v="C"/>
    <x v="0"/>
    <x v="28"/>
    <s v="M1"/>
    <s v="L1"/>
    <s v="NIPPLE S TYPE LL SIZE INJECTION"/>
    <s v="HEK23Nc"/>
    <s v="Nitin"/>
    <n v="8"/>
    <n v="3611"/>
    <n v="451.375"/>
    <n v="4051"/>
    <n v="4000"/>
    <n v="0"/>
    <n v="0"/>
    <n v="0"/>
    <n v="0"/>
    <n v="45"/>
    <n v="6"/>
    <n v="1"/>
    <n v="4000"/>
    <n v="1.1077263915812794"/>
    <x v="23"/>
    <n v="6.8"/>
    <n v="27.546799999999998"/>
    <n v="0.98741051592199458"/>
    <n v="1.1124845488257108E-2"/>
    <n v="0"/>
    <n v="0.98889163169587757"/>
    <n v="0"/>
    <n v="8"/>
    <n v="1"/>
    <n v="500"/>
    <n v="5.25"/>
    <n v="7.2"/>
    <n v="0.72916666666666663"/>
    <n v="0.72106681477824408"/>
  </r>
  <r>
    <x v="3"/>
    <d v="2021-11-23T00:00:00"/>
    <s v="C"/>
    <x v="0"/>
    <x v="47"/>
    <s v="M2"/>
    <s v="L2"/>
    <s v="NIPPLE S TYPE L SIZE INJECTION"/>
    <s v="HEK23Nc"/>
    <s v="Nitin"/>
    <n v="8"/>
    <n v="4815"/>
    <n v="601.875"/>
    <n v="4418"/>
    <n v="4300"/>
    <n v="5.91"/>
    <n v="70"/>
    <n v="0"/>
    <n v="0"/>
    <n v="40"/>
    <n v="8"/>
    <n v="1"/>
    <n v="4300"/>
    <n v="0.89304257528556596"/>
    <x v="0"/>
    <n v="6.8"/>
    <n v="35.952399999999997"/>
    <n v="0.81329758235889682"/>
    <n v="9.2165898617511521E-3"/>
    <n v="1.5597147950089126E-2"/>
    <n v="0.99094612947034855"/>
    <n v="0"/>
    <n v="8"/>
    <n v="1"/>
    <n v="537.5"/>
    <n v="5.25"/>
    <n v="6.6976744186046515"/>
    <n v="0.78385416666666663"/>
    <n v="0.7767572525275388"/>
  </r>
  <r>
    <x v="3"/>
    <d v="2021-11-23T00:00:00"/>
    <s v="C"/>
    <x v="3"/>
    <x v="3"/>
    <m/>
    <s v="P1"/>
    <s v="NIPPLE S TYPE M SIZE PUNCHED"/>
    <s v="HEK17NbK23Pc"/>
    <s v="Nitin"/>
    <n v="8"/>
    <n v="7000"/>
    <n v="875"/>
    <n v="5924"/>
    <n v="5924"/>
    <n v="0"/>
    <n v="0"/>
    <n v="0"/>
    <n v="0"/>
    <n v="0"/>
    <n v="0"/>
    <n v="1"/>
    <n v="5924"/>
    <n v="0.84628571428571431"/>
    <x v="3"/>
    <n v="0"/>
    <n v="0"/>
    <s v=" "/>
    <n v="0"/>
    <n v="0"/>
    <n v="1"/>
    <n v="0"/>
    <n v="8"/>
    <n v="1"/>
    <n v="740.5"/>
    <n v="3.5"/>
    <n v="4.8615800135043887"/>
    <n v="0.71993055555555563"/>
    <n v="0.71993055555555563"/>
  </r>
  <r>
    <x v="3"/>
    <d v="2021-11-23T00:00:00"/>
    <s v="C"/>
    <x v="8"/>
    <x v="70"/>
    <m/>
    <s v="LZ1"/>
    <s v="NIPPLE S TYPE M SIZE PUNCHED LASER MARKED"/>
    <s v="HEK17BH22"/>
    <s v="Nitin"/>
    <n v="8"/>
    <n v="7000"/>
    <n v="875"/>
    <n v="4924"/>
    <n v="4924"/>
    <n v="0"/>
    <n v="0"/>
    <n v="0"/>
    <n v="0"/>
    <n v="0"/>
    <n v="0"/>
    <n v="1"/>
    <n v="4924"/>
    <n v="0.7034285714285714"/>
    <x v="19"/>
    <n v="0"/>
    <n v="0"/>
    <s v=" "/>
    <n v="0"/>
    <n v="0"/>
    <n v="1"/>
    <n v="0"/>
    <n v="8"/>
    <n v="1"/>
    <n v="615.5"/>
    <n v="3.5"/>
    <n v="5.8489033306255074"/>
    <n v="0.59840277777777784"/>
    <n v="0.59840277777777784"/>
  </r>
  <r>
    <x v="3"/>
    <d v="2021-11-23T00:00:00"/>
    <s v="C"/>
    <x v="5"/>
    <x v="5"/>
    <s v="RECYCLE"/>
    <s v="INJ1"/>
    <s v="CAP S TYPE MOLDED RED"/>
    <s v="EH23CRc"/>
    <s v="Nitin"/>
    <n v="8"/>
    <n v="4137"/>
    <n v="517.125"/>
    <n v="3400"/>
    <n v="3400"/>
    <n v="0"/>
    <n v="0"/>
    <n v="0"/>
    <n v="0"/>
    <n v="0"/>
    <n v="0"/>
    <n v="1"/>
    <n v="3400"/>
    <n v="0.82185158327290309"/>
    <x v="5"/>
    <n v="7.3"/>
    <n v="24.82"/>
    <n v="1"/>
    <n v="0"/>
    <n v="0"/>
    <n v="1"/>
    <n v="2"/>
    <n v="6"/>
    <n v="0.75"/>
    <n v="425"/>
    <n v="6"/>
    <n v="6.3529411764705879"/>
    <n v="0.94444444444444453"/>
    <n v="0.70833333333333337"/>
  </r>
  <r>
    <x v="3"/>
    <d v="2021-11-24T00:00:00"/>
    <s v="A"/>
    <x v="0"/>
    <x v="47"/>
    <s v="M2"/>
    <s v="L2"/>
    <s v="NIPPLE S TYPE L SIZE INJECTION"/>
    <s v="HEK24Na"/>
    <s v="Himanshu"/>
    <n v="8"/>
    <n v="4815"/>
    <n v="601.875"/>
    <n v="5525"/>
    <n v="5400"/>
    <n v="0"/>
    <n v="40"/>
    <n v="0"/>
    <n v="0"/>
    <n v="77"/>
    <n v="8"/>
    <n v="1"/>
    <n v="5400"/>
    <n v="1.1214953271028036"/>
    <x v="0"/>
    <n v="6.8"/>
    <n v="37.57"/>
    <n v="0.9773755656108597"/>
    <n v="1.4058791309110827E-2"/>
    <n v="7.1877807726864335E-3"/>
    <n v="0.98606334841628962"/>
    <n v="0"/>
    <n v="8"/>
    <n v="1"/>
    <n v="675"/>
    <n v="5.25"/>
    <n v="5.333333333333333"/>
    <n v="0.984375"/>
    <n v="0.97065610859728513"/>
  </r>
  <r>
    <x v="3"/>
    <d v="2021-11-24T00:00:00"/>
    <s v="A"/>
    <x v="0"/>
    <x v="28"/>
    <s v="M1"/>
    <s v="L1"/>
    <s v="NIPPLE S TYPE LL SIZE INJECTION"/>
    <s v="HEK24Na"/>
    <s v="Himanshu"/>
    <n v="8"/>
    <n v="3611"/>
    <n v="451.375"/>
    <n v="3138"/>
    <n v="3000"/>
    <n v="6.1"/>
    <n v="40"/>
    <n v="0"/>
    <n v="0"/>
    <n v="90"/>
    <n v="8"/>
    <n v="1"/>
    <n v="3000"/>
    <n v="0.83079479368595954"/>
    <x v="23"/>
    <n v="6.8"/>
    <n v="27.438400000000001"/>
    <n v="0.74348358504869083"/>
    <n v="2.9126213592233011E-2"/>
    <n v="1.2586532410320957E-2"/>
    <n v="0.97131931166347996"/>
    <n v="0"/>
    <n v="8"/>
    <n v="1"/>
    <n v="375"/>
    <n v="5.25"/>
    <n v="9.6"/>
    <n v="0.546875"/>
    <n v="0.53119024856596564"/>
  </r>
  <r>
    <x v="3"/>
    <d v="2021-11-24T00:00:00"/>
    <s v="A"/>
    <x v="5"/>
    <x v="5"/>
    <s v="RECYCLE"/>
    <s v="INJ1"/>
    <s v="CAP S TYPE MOLDED RED"/>
    <s v="EK24CRa"/>
    <s v="Himanshu"/>
    <n v="8"/>
    <n v="4137"/>
    <n v="517.125"/>
    <n v="3608"/>
    <n v="3600"/>
    <n v="0"/>
    <n v="0"/>
    <n v="0"/>
    <n v="0"/>
    <n v="0"/>
    <n v="8"/>
    <n v="1"/>
    <n v="3600"/>
    <n v="0.8701957940536621"/>
    <x v="5"/>
    <n v="7.3"/>
    <n v="26.3384"/>
    <n v="0.99778270509977829"/>
    <n v="0"/>
    <n v="0"/>
    <n v="1"/>
    <n v="0"/>
    <n v="8"/>
    <n v="1"/>
    <n v="450"/>
    <n v="6"/>
    <n v="8"/>
    <n v="0.75"/>
    <n v="0.75"/>
  </r>
  <r>
    <x v="3"/>
    <d v="2021-11-24T00:00:00"/>
    <s v="A"/>
    <x v="1"/>
    <x v="20"/>
    <s v="M1"/>
    <s v="B1"/>
    <s v="KPP 120 ML BOTTLE MOLDED"/>
    <s v="EK24Ba1"/>
    <s v="Himanshu"/>
    <n v="8"/>
    <n v="2574"/>
    <n v="321.75"/>
    <n v="945"/>
    <n v="720"/>
    <n v="0"/>
    <n v="167"/>
    <n v="0"/>
    <n v="0"/>
    <n v="40"/>
    <n v="18"/>
    <n v="1"/>
    <n v="720"/>
    <n v="0.27972027972027974"/>
    <x v="1"/>
    <n v="21.3"/>
    <n v="20.128499999999999"/>
    <n v="0.76190476190476197"/>
    <n v="5.2631578947368418E-2"/>
    <n v="0.15017985611510792"/>
    <n v="0.95767195767195767"/>
    <n v="0"/>
    <n v="8"/>
    <n v="1"/>
    <n v="90"/>
    <n v="9"/>
    <n v="40"/>
    <n v="0.22500000000000001"/>
    <n v="0.21547619047619049"/>
  </r>
  <r>
    <x v="3"/>
    <d v="2021-11-24T00:00:00"/>
    <s v="A"/>
    <x v="3"/>
    <x v="3"/>
    <m/>
    <s v="P1"/>
    <s v="NIPPLE S TYPE M SIZE PUNCHED"/>
    <s v="HEK19NaK24Pa"/>
    <s v="Himanshu"/>
    <n v="8"/>
    <n v="7000"/>
    <n v="875"/>
    <n v="4946"/>
    <n v="4936"/>
    <n v="0"/>
    <n v="0"/>
    <n v="0"/>
    <n v="0"/>
    <n v="10"/>
    <n v="0"/>
    <n v="1"/>
    <n v="4936"/>
    <n v="0.70514285714285718"/>
    <x v="3"/>
    <n v="0"/>
    <n v="0"/>
    <s v=" "/>
    <n v="2.0218358269308533E-3"/>
    <n v="0"/>
    <n v="0.99797816417306917"/>
    <n v="0.71666666666666667"/>
    <n v="7.2833333333333332"/>
    <n v="0.91041666666666665"/>
    <n v="617"/>
    <n v="3.5"/>
    <n v="5.3119935170178278"/>
    <n v="0.658886346300534"/>
    <n v="0.59864829042548418"/>
  </r>
  <r>
    <x v="3"/>
    <d v="2021-11-24T00:00:00"/>
    <s v="A"/>
    <x v="8"/>
    <x v="70"/>
    <m/>
    <s v="LZ1"/>
    <s v="NIPPLE S TYPE M SIZE PUNCHED LASER MARKED"/>
    <s v="HEK18BH11"/>
    <s v="Himanshu"/>
    <n v="8"/>
    <n v="7000"/>
    <n v="875"/>
    <n v="4000"/>
    <n v="4000"/>
    <n v="0"/>
    <n v="0"/>
    <n v="0"/>
    <n v="0"/>
    <n v="0"/>
    <n v="0"/>
    <n v="1"/>
    <n v="4000"/>
    <n v="0.5714285714285714"/>
    <x v="19"/>
    <n v="0"/>
    <n v="0"/>
    <s v=" "/>
    <n v="0"/>
    <n v="0"/>
    <n v="1"/>
    <n v="0.66666666666666663"/>
    <n v="7.333333333333333"/>
    <n v="0.91666666666666663"/>
    <n v="500"/>
    <n v="3.5"/>
    <n v="6.6"/>
    <n v="0.53030303030303028"/>
    <n v="0.48611111111111105"/>
  </r>
  <r>
    <x v="3"/>
    <d v="2021-11-24T00:00:00"/>
    <s v="G"/>
    <x v="4"/>
    <x v="51"/>
    <m/>
    <m/>
    <s v="NIPPLE S TYPE L SIZE PUNCHED INSPECTED"/>
    <s v="HEK22AH22"/>
    <s v="Vivek"/>
    <n v="1"/>
    <n v="1750"/>
    <n v="1750"/>
    <n v="2000"/>
    <n v="1983"/>
    <n v="0"/>
    <n v="0"/>
    <n v="0"/>
    <n v="0"/>
    <n v="17"/>
    <n v="0"/>
    <n v="2"/>
    <n v="991.5"/>
    <n v="1.1331428571428572"/>
    <x v="37"/>
    <n v="0"/>
    <n v="0"/>
    <s v=" "/>
    <n v="8.5000000000000006E-3"/>
    <n v="0"/>
    <n v="0.99150000000000005"/>
    <n v="0"/>
    <n v="1"/>
    <n v="1"/>
    <n v="1983"/>
    <n v="4"/>
    <n v="3.6308623298033282"/>
    <n v="1.1016666666666668"/>
    <n v="1.0923025000000002"/>
  </r>
  <r>
    <x v="3"/>
    <d v="2021-11-24T00:00:00"/>
    <s v="G"/>
    <x v="4"/>
    <x v="4"/>
    <m/>
    <m/>
    <s v="NIPPLE S TYPE M SIZE PUNCHED INSPECTED"/>
    <s v="HEK18CH11"/>
    <s v="Vivek"/>
    <n v="7"/>
    <n v="12250"/>
    <n v="1750"/>
    <n v="13860"/>
    <n v="13791"/>
    <n v="0"/>
    <n v="0"/>
    <n v="0"/>
    <n v="0"/>
    <n v="69"/>
    <n v="0"/>
    <n v="2"/>
    <n v="6895.5"/>
    <n v="1.1257959183673469"/>
    <x v="4"/>
    <n v="0"/>
    <n v="0"/>
    <s v=" "/>
    <n v="4.9783549783549786E-3"/>
    <n v="0"/>
    <n v="0.99502164502164503"/>
    <n v="0.83333333333333337"/>
    <n v="6.166666666666667"/>
    <n v="0.88095238095238104"/>
    <n v="1970.1428571428571"/>
    <n v="4"/>
    <n v="3.2194909723732867"/>
    <n v="1.2424324324324325"/>
    <n v="1.0890748814677387"/>
  </r>
  <r>
    <x v="3"/>
    <d v="2021-11-24T00:00:00"/>
    <s v="G"/>
    <x v="6"/>
    <x v="84"/>
    <m/>
    <m/>
    <s v="50 ML RPP BOTTLE PRINTED - RABBIT"/>
    <s v="EK13Bb2K24Pa"/>
    <s v="Pintu"/>
    <n v="8"/>
    <n v="3400"/>
    <n v="425"/>
    <n v="2280"/>
    <n v="2248"/>
    <n v="0"/>
    <n v="0"/>
    <n v="41"/>
    <n v="0"/>
    <n v="32"/>
    <n v="0"/>
    <n v="5"/>
    <n v="449.6"/>
    <n v="0.66117647058823525"/>
    <x v="6"/>
    <n v="17.015000000000001"/>
    <n v="38.794199999999996"/>
    <n v="0.98596491228070171"/>
    <n v="1.4035087719298246E-2"/>
    <n v="0"/>
    <n v="0.98596491228070171"/>
    <n v="0.83333333333333337"/>
    <n v="7.166666666666667"/>
    <n v="0.89583333333333337"/>
    <n v="281"/>
    <n v="32.4"/>
    <n v="57.384341637010685"/>
    <n v="0.56461395348837196"/>
    <n v="0.49870105263157882"/>
  </r>
  <r>
    <x v="3"/>
    <d v="2021-11-24T00:00:00"/>
    <s v="B"/>
    <x v="3"/>
    <x v="3"/>
    <m/>
    <s v="P1"/>
    <s v="NIPPLE S TYPE M SIZE PUNCHED"/>
    <s v="HEK19NbK24Pb"/>
    <s v="Badelal"/>
    <n v="8"/>
    <n v="7000"/>
    <n v="875"/>
    <n v="5013"/>
    <n v="5013"/>
    <n v="0"/>
    <n v="0"/>
    <n v="0"/>
    <n v="0"/>
    <n v="0"/>
    <n v="0"/>
    <n v="1"/>
    <n v="5013"/>
    <n v="0.71614285714285719"/>
    <x v="3"/>
    <n v="0"/>
    <n v="0"/>
    <s v=" "/>
    <n v="0"/>
    <n v="0"/>
    <n v="1"/>
    <n v="2.6666666666666665"/>
    <n v="5.3333333333333339"/>
    <n v="0.66666666666666674"/>
    <n v="626.625"/>
    <n v="3.5"/>
    <n v="3.8300418910831846"/>
    <n v="0.91382812499999977"/>
    <n v="0.60921874999999992"/>
  </r>
  <r>
    <x v="3"/>
    <d v="2021-11-24T00:00:00"/>
    <s v="B"/>
    <x v="8"/>
    <x v="70"/>
    <m/>
    <s v="LZ1"/>
    <s v="NIPPLE S TYPE M SIZE PUNCHED LASER MARKED"/>
    <s v="HEK19AH11"/>
    <s v="Badelal"/>
    <n v="8"/>
    <n v="7000"/>
    <n v="875"/>
    <n v="6949"/>
    <n v="6949"/>
    <n v="0"/>
    <n v="0"/>
    <n v="0"/>
    <n v="0"/>
    <n v="0"/>
    <n v="0"/>
    <n v="1"/>
    <n v="6949"/>
    <n v="0.99271428571428566"/>
    <x v="19"/>
    <n v="0"/>
    <n v="0"/>
    <s v=" "/>
    <n v="0"/>
    <n v="0"/>
    <n v="1"/>
    <n v="0.66666666666666663"/>
    <n v="7.333333333333333"/>
    <n v="0.91666666666666663"/>
    <n v="868.625"/>
    <n v="3.5"/>
    <n v="3.7991077852928479"/>
    <n v="0.92126893939393939"/>
    <n v="0.84449652777777773"/>
  </r>
  <r>
    <x v="3"/>
    <d v="2021-11-24T00:00:00"/>
    <s v="B"/>
    <x v="5"/>
    <x v="5"/>
    <s v="RECYCLE"/>
    <s v="INJ1"/>
    <s v="CAP S TYPE MOLDED RED"/>
    <s v="EK24CRb"/>
    <s v="Badelal"/>
    <n v="8"/>
    <n v="4137"/>
    <n v="517.125"/>
    <n v="4015"/>
    <n v="4000"/>
    <n v="0"/>
    <n v="5"/>
    <n v="0"/>
    <n v="0"/>
    <n v="10"/>
    <n v="0"/>
    <n v="1"/>
    <n v="4000"/>
    <n v="0.96688421561518012"/>
    <x v="5"/>
    <n v="7.3"/>
    <n v="29.3095"/>
    <n v="0.99626400996264008"/>
    <n v="2.4937655860349127E-3"/>
    <n v="1.2437810945273632E-3"/>
    <n v="0.99750933997509339"/>
    <n v="0"/>
    <n v="8"/>
    <n v="1"/>
    <n v="500"/>
    <n v="6"/>
    <n v="7.2"/>
    <n v="0.83333333333333326"/>
    <n v="0.83125778331257771"/>
  </r>
  <r>
    <x v="3"/>
    <d v="2021-11-24T00:00:00"/>
    <s v="B"/>
    <x v="0"/>
    <x v="28"/>
    <s v="M1"/>
    <s v="L1"/>
    <s v="NIPPLE S TYPE LL SIZE INJECTION"/>
    <s v="HEK24Nb"/>
    <s v="Badelal"/>
    <n v="8"/>
    <n v="3611"/>
    <n v="451.375"/>
    <n v="3150"/>
    <n v="3000"/>
    <n v="0"/>
    <n v="70"/>
    <n v="0"/>
    <n v="0"/>
    <n v="80"/>
    <n v="0"/>
    <n v="1"/>
    <n v="3000"/>
    <n v="0.83079479368595954"/>
    <x v="23"/>
    <n v="6.8"/>
    <n v="21.419999999999998"/>
    <n v="0.95238095238095244"/>
    <n v="2.5974025974025976E-2"/>
    <n v="2.1739130434782608E-2"/>
    <n v="0.97460317460317458"/>
    <n v="0"/>
    <n v="8"/>
    <n v="1"/>
    <n v="375"/>
    <n v="5.25"/>
    <n v="9.6"/>
    <n v="0.546875"/>
    <n v="0.53298611111111105"/>
  </r>
  <r>
    <x v="3"/>
    <d v="2021-11-24T00:00:00"/>
    <s v="B"/>
    <x v="0"/>
    <x v="47"/>
    <s v="M2"/>
    <s v="L2"/>
    <s v="NIPPLE S TYPE L SIZE INJECTION"/>
    <s v="HEK24Nb"/>
    <s v="Badelal"/>
    <n v="8"/>
    <n v="4815"/>
    <n v="601.875"/>
    <n v="5482"/>
    <n v="5400"/>
    <n v="0"/>
    <n v="20"/>
    <n v="0"/>
    <n v="0"/>
    <n v="62"/>
    <n v="0"/>
    <n v="1"/>
    <n v="5400"/>
    <n v="1.1214953271028036"/>
    <x v="0"/>
    <n v="6.8"/>
    <n v="37.2776"/>
    <n v="0.98504195549069684"/>
    <n v="1.1351153423654338E-2"/>
    <n v="3.6350418029807343E-3"/>
    <n v="0.98869025902955121"/>
    <n v="0"/>
    <n v="8"/>
    <n v="1"/>
    <n v="675"/>
    <n v="5.25"/>
    <n v="5.333333333333333"/>
    <n v="0.984375"/>
    <n v="0.97324197373221444"/>
  </r>
  <r>
    <x v="3"/>
    <d v="2021-11-24T00:00:00"/>
    <s v="C"/>
    <x v="0"/>
    <x v="28"/>
    <s v="M1"/>
    <s v="L1"/>
    <s v="NIPPLE S TYPE LL SIZE INJECTION"/>
    <s v="HEK24Nc"/>
    <s v="Nitin"/>
    <n v="8"/>
    <n v="3611"/>
    <n v="451.375"/>
    <n v="3990"/>
    <n v="3900"/>
    <n v="0"/>
    <n v="0"/>
    <n v="0"/>
    <n v="0"/>
    <n v="74"/>
    <n v="16"/>
    <n v="1"/>
    <n v="3900"/>
    <n v="1.0800332317917474"/>
    <x v="23"/>
    <n v="6.8"/>
    <n v="27.131999999999998"/>
    <n v="0.97744360902255645"/>
    <n v="1.8621036738802214E-2"/>
    <n v="0"/>
    <n v="0.98145363408521302"/>
    <n v="0"/>
    <n v="8"/>
    <n v="1"/>
    <n v="487.5"/>
    <n v="5.25"/>
    <n v="7.384615384615385"/>
    <n v="0.7109375"/>
    <n v="0.69775219298245617"/>
  </r>
  <r>
    <x v="3"/>
    <d v="2021-11-24T00:00:00"/>
    <s v="C"/>
    <x v="0"/>
    <x v="47"/>
    <s v="M2"/>
    <s v="L2"/>
    <s v="NIPPLE S TYPE L SIZE INJECTION"/>
    <s v="HEK24Nc"/>
    <s v="Nitin"/>
    <n v="8"/>
    <n v="4815"/>
    <n v="601.875"/>
    <n v="5516"/>
    <n v="5400"/>
    <n v="0"/>
    <n v="30"/>
    <n v="0"/>
    <n v="0"/>
    <n v="70"/>
    <n v="16"/>
    <n v="1"/>
    <n v="5400"/>
    <n v="1.1214953271028036"/>
    <x v="0"/>
    <n v="6.8"/>
    <n v="37.508800000000001"/>
    <n v="0.97897026831036982"/>
    <n v="1.2797074954296161E-2"/>
    <n v="5.4093040028849624E-3"/>
    <n v="0.98730964467005078"/>
    <n v="0"/>
    <n v="8"/>
    <n v="1"/>
    <n v="675"/>
    <n v="5.25"/>
    <n v="5.333333333333333"/>
    <n v="0.984375"/>
    <n v="0.97188293147208127"/>
  </r>
  <r>
    <x v="3"/>
    <d v="2021-11-24T00:00:00"/>
    <s v="C"/>
    <x v="3"/>
    <x v="3"/>
    <m/>
    <s v="P1"/>
    <s v="NIPPLE S TYPE M SIZE PUNCHED"/>
    <s v="HEK18NcK24Pc"/>
    <s v="Nitin"/>
    <n v="6"/>
    <n v="5000"/>
    <n v="833.33333333333337"/>
    <n v="4820"/>
    <n v="4820"/>
    <n v="0"/>
    <n v="0"/>
    <n v="0"/>
    <n v="0"/>
    <n v="0"/>
    <n v="0"/>
    <n v="1"/>
    <n v="4820"/>
    <n v="0.96399999999999997"/>
    <x v="3"/>
    <n v="0"/>
    <n v="0"/>
    <s v=" "/>
    <n v="0"/>
    <n v="0"/>
    <n v="1"/>
    <n v="0.66666666666666663"/>
    <n v="5.333333333333333"/>
    <n v="0.88888888888888884"/>
    <n v="803.33333333333337"/>
    <n v="3.5"/>
    <n v="3.9834024896265561"/>
    <n v="0.87864583333333335"/>
    <n v="0.78101851851851845"/>
  </r>
  <r>
    <x v="3"/>
    <d v="2021-11-24T00:00:00"/>
    <s v="C"/>
    <x v="3"/>
    <x v="49"/>
    <m/>
    <s v="P1"/>
    <s v="NIPPLE S TYPE L SIZE PUNCHED"/>
    <s v="HEK22NbK24Pc"/>
    <s v="Nitin"/>
    <n v="2"/>
    <n v="2000"/>
    <n v="1000"/>
    <n v="2000"/>
    <n v="2000"/>
    <n v="0"/>
    <n v="0"/>
    <n v="0"/>
    <n v="0"/>
    <n v="0"/>
    <n v="0"/>
    <n v="1"/>
    <n v="2000"/>
    <n v="1"/>
    <x v="36"/>
    <n v="0"/>
    <n v="0"/>
    <s v=" "/>
    <n v="0"/>
    <n v="0"/>
    <n v="1"/>
    <n v="0.33333333333333331"/>
    <n v="1.6666666666666667"/>
    <n v="0.83333333333333337"/>
    <n v="1000"/>
    <n v="3.5"/>
    <n v="3"/>
    <n v="1.1666666666666667"/>
    <n v="0.97222222222222232"/>
  </r>
  <r>
    <x v="3"/>
    <d v="2021-11-24T00:00:00"/>
    <s v="C"/>
    <x v="8"/>
    <x v="70"/>
    <m/>
    <s v="LZ1"/>
    <s v="NIPPLE S TYPE M SIZE PUNCHED LASER MARKED"/>
    <s v="HEK18CH11"/>
    <s v="Nitin"/>
    <n v="6"/>
    <n v="5000"/>
    <n v="833.33333333333337"/>
    <n v="4820"/>
    <n v="4820"/>
    <n v="0"/>
    <n v="0"/>
    <n v="0"/>
    <n v="0"/>
    <n v="0"/>
    <n v="0"/>
    <n v="1"/>
    <n v="4820"/>
    <n v="0.96399999999999997"/>
    <x v="19"/>
    <n v="0"/>
    <n v="0"/>
    <s v=" "/>
    <n v="0"/>
    <n v="0"/>
    <n v="1"/>
    <n v="0"/>
    <n v="6"/>
    <n v="1"/>
    <n v="803.33333333333337"/>
    <n v="3.5"/>
    <n v="4.4813278008298756"/>
    <n v="0.78101851851851856"/>
    <n v="0.78101851851851856"/>
  </r>
  <r>
    <x v="3"/>
    <d v="2021-11-24T00:00:00"/>
    <s v="C"/>
    <x v="8"/>
    <x v="50"/>
    <m/>
    <s v="LZ1"/>
    <s v="NIPPLE S TYPE L SIZE PUNCHED LASER MARKED"/>
    <s v="HEK22AH22"/>
    <s v="Nitin"/>
    <n v="2"/>
    <n v="2000"/>
    <n v="1000"/>
    <n v="1000"/>
    <n v="1000"/>
    <n v="0"/>
    <n v="0"/>
    <n v="0"/>
    <n v="0"/>
    <n v="0"/>
    <n v="0"/>
    <n v="1"/>
    <n v="1000"/>
    <n v="0.5"/>
    <x v="22"/>
    <n v="0"/>
    <n v="0"/>
    <s v=" "/>
    <n v="0"/>
    <n v="0"/>
    <n v="1"/>
    <n v="0.66666666666666663"/>
    <n v="1.3333333333333335"/>
    <n v="0.66666666666666674"/>
    <n v="500"/>
    <n v="3.5"/>
    <n v="4.8000000000000007"/>
    <n v="0.72916666666666652"/>
    <n v="0.48611111111111105"/>
  </r>
  <r>
    <x v="3"/>
    <d v="2021-11-24T00:00:00"/>
    <s v="C"/>
    <x v="5"/>
    <x v="5"/>
    <s v="RECYCLE"/>
    <s v="INJ1"/>
    <s v="CAP S TYPE MOLDED RED"/>
    <s v="EK24CRc"/>
    <s v="Nitin"/>
    <n v="8"/>
    <n v="4137"/>
    <n v="517.125"/>
    <n v="4010"/>
    <n v="4000"/>
    <n v="0"/>
    <n v="0"/>
    <n v="0"/>
    <n v="0"/>
    <n v="2"/>
    <n v="8"/>
    <n v="1"/>
    <n v="4000"/>
    <n v="0.96688421561518012"/>
    <x v="5"/>
    <n v="7.3"/>
    <n v="29.273"/>
    <n v="0.99750623441396502"/>
    <n v="4.9975012493753122E-4"/>
    <n v="0"/>
    <n v="0.99950124688279307"/>
    <n v="0"/>
    <n v="8"/>
    <n v="1"/>
    <n v="500"/>
    <n v="6"/>
    <n v="7.2"/>
    <n v="0.83333333333333326"/>
    <n v="0.83291770573566082"/>
  </r>
  <r>
    <x v="3"/>
    <d v="2021-11-25T00:00:00"/>
    <s v="A"/>
    <x v="5"/>
    <x v="5"/>
    <s v="RECYCLE"/>
    <s v="INJ1"/>
    <s v="CAP S TYPE MOLDED RED"/>
    <s v="EK25CRb"/>
    <s v="Himanshu"/>
    <n v="8"/>
    <n v="4137"/>
    <n v="517.125"/>
    <n v="4508"/>
    <n v="4500"/>
    <n v="0"/>
    <n v="0"/>
    <n v="0"/>
    <n v="0"/>
    <n v="0"/>
    <n v="8"/>
    <n v="1"/>
    <n v="4500"/>
    <n v="1.0877447425670776"/>
    <x v="5"/>
    <n v="7.3"/>
    <n v="32.9084"/>
    <n v="0.9982253771073647"/>
    <n v="0"/>
    <n v="0"/>
    <n v="1"/>
    <n v="0"/>
    <n v="8"/>
    <n v="1"/>
    <n v="562.5"/>
    <n v="6"/>
    <n v="6.4"/>
    <n v="0.9375"/>
    <n v="0.9375"/>
  </r>
  <r>
    <x v="3"/>
    <d v="2021-11-25T00:00:00"/>
    <s v="A"/>
    <x v="0"/>
    <x v="28"/>
    <s v="M1"/>
    <s v="L1"/>
    <s v="NIPPLE S TYPE LL SIZE INJECTION"/>
    <s v="HEK25Na"/>
    <s v="Himanshu"/>
    <n v="8"/>
    <n v="3611"/>
    <n v="451.375"/>
    <n v="3160"/>
    <n v="3000"/>
    <n v="0"/>
    <n v="100"/>
    <n v="0"/>
    <n v="0"/>
    <n v="48"/>
    <n v="12"/>
    <n v="1"/>
    <n v="3000"/>
    <n v="0.83079479368595954"/>
    <x v="23"/>
    <n v="6.8"/>
    <n v="21.488"/>
    <n v="0.94936708860759489"/>
    <n v="1.5748031496062992E-2"/>
    <n v="3.0674846625766871E-2"/>
    <n v="0.98481012658227851"/>
    <n v="0"/>
    <n v="8"/>
    <n v="1"/>
    <n v="375"/>
    <n v="5.25"/>
    <n v="9.6"/>
    <n v="0.546875"/>
    <n v="0.53856803797468356"/>
  </r>
  <r>
    <x v="3"/>
    <d v="2021-11-25T00:00:00"/>
    <s v="A"/>
    <x v="0"/>
    <x v="47"/>
    <s v="M2"/>
    <s v="L2"/>
    <s v="NIPPLE S TYPE L SIZE INJECTION"/>
    <s v="HEK25Na"/>
    <s v="Himanshu"/>
    <n v="8"/>
    <n v="4815"/>
    <n v="601.875"/>
    <n v="4741"/>
    <n v="4600"/>
    <n v="0"/>
    <n v="80"/>
    <n v="0"/>
    <n v="0"/>
    <n v="45"/>
    <n v="16"/>
    <n v="1"/>
    <n v="4600"/>
    <n v="0.95534787123572174"/>
    <x v="0"/>
    <n v="6.8"/>
    <n v="32.238799999999998"/>
    <n v="0.97025943893693312"/>
    <n v="9.6878363832077503E-3"/>
    <n v="1.6594067620825555E-2"/>
    <n v="0.99050833157561691"/>
    <n v="0"/>
    <n v="8"/>
    <n v="1"/>
    <n v="575"/>
    <n v="5.25"/>
    <n v="6.2608695652173916"/>
    <n v="0.83854166666666663"/>
    <n v="0.83058250720663707"/>
  </r>
  <r>
    <x v="3"/>
    <d v="2021-11-25T00:00:00"/>
    <s v="A"/>
    <x v="1"/>
    <x v="9"/>
    <s v="BM5"/>
    <s v="B2"/>
    <s v="KPP 200 ML BOTTLE MOLDED"/>
    <s v="EK25Ba2"/>
    <s v="Himanshu"/>
    <n v="8"/>
    <n v="2574"/>
    <n v="321.75"/>
    <n v="3360"/>
    <n v="3240"/>
    <n v="0.92"/>
    <n v="70"/>
    <n v="0"/>
    <n v="0"/>
    <n v="42"/>
    <n v="8"/>
    <n v="1"/>
    <n v="3240"/>
    <n v="1.2587412587412588"/>
    <x v="1"/>
    <n v="28.1"/>
    <n v="95.335999999999999"/>
    <n v="0.95498028027188053"/>
    <n v="1.2797074954296161E-2"/>
    <n v="2.0408163265306121E-2"/>
    <n v="0.98750000000000004"/>
    <n v="0"/>
    <n v="8"/>
    <n v="1"/>
    <n v="405"/>
    <n v="9"/>
    <n v="8.8888888888888893"/>
    <n v="1.0125"/>
    <n v="0.99984375000000003"/>
  </r>
  <r>
    <x v="3"/>
    <d v="2021-11-25T00:00:00"/>
    <s v="A"/>
    <x v="3"/>
    <x v="49"/>
    <m/>
    <s v="P1"/>
    <s v="NIPPLE S TYPE L SIZE PUNCHED"/>
    <s v="HEK22NbK25Pa"/>
    <s v="Himanshu"/>
    <n v="4"/>
    <n v="3500"/>
    <n v="875"/>
    <n v="3600"/>
    <n v="3580"/>
    <n v="0"/>
    <n v="0"/>
    <n v="0"/>
    <n v="0"/>
    <n v="20"/>
    <n v="0"/>
    <n v="1"/>
    <n v="3580"/>
    <n v="1.0228571428571429"/>
    <x v="36"/>
    <n v="0"/>
    <n v="0"/>
    <s v=" "/>
    <n v="5.5555555555555558E-3"/>
    <n v="0"/>
    <n v="0.99444444444444446"/>
    <n v="0"/>
    <n v="4"/>
    <n v="1"/>
    <n v="895"/>
    <n v="3.5"/>
    <n v="4.022346368715084"/>
    <n v="0.8701388888888888"/>
    <n v="0.86530478395061716"/>
  </r>
  <r>
    <x v="3"/>
    <d v="2021-11-25T00:00:00"/>
    <s v="A"/>
    <x v="3"/>
    <x v="34"/>
    <m/>
    <s v="P1"/>
    <s v="NIPPLE S TYPE LL SIZE PUNCHED"/>
    <s v="HEK23NbK25Pa"/>
    <s v="Himanshu"/>
    <n v="4"/>
    <n v="3500"/>
    <n v="875"/>
    <n v="2000"/>
    <n v="2000"/>
    <n v="0"/>
    <n v="0"/>
    <n v="0"/>
    <n v="0"/>
    <n v="0"/>
    <n v="0"/>
    <n v="1"/>
    <n v="2000"/>
    <n v="0.5714285714285714"/>
    <x v="28"/>
    <n v="0"/>
    <n v="0"/>
    <s v=" "/>
    <n v="0"/>
    <n v="0"/>
    <n v="1"/>
    <n v="0.66666666666666663"/>
    <n v="3.3333333333333335"/>
    <n v="0.83333333333333337"/>
    <n v="500"/>
    <n v="3.5"/>
    <n v="6"/>
    <n v="0.58333333333333337"/>
    <n v="0.48611111111111116"/>
  </r>
  <r>
    <x v="3"/>
    <d v="2021-11-25T00:00:00"/>
    <s v="A"/>
    <x v="8"/>
    <x v="50"/>
    <m/>
    <s v="LZ1"/>
    <s v="NIPPLE S TYPE L SIZE PUNCHED LASER MARKED"/>
    <s v="HEK22BH22"/>
    <s v="Himanshu"/>
    <n v="7"/>
    <n v="6125"/>
    <n v="875"/>
    <n v="5000"/>
    <n v="5000"/>
    <n v="0"/>
    <n v="0"/>
    <n v="0"/>
    <n v="0"/>
    <n v="0"/>
    <n v="0"/>
    <n v="1"/>
    <n v="5000"/>
    <n v="0.81632653061224492"/>
    <x v="22"/>
    <n v="0"/>
    <n v="0"/>
    <s v=" "/>
    <n v="0"/>
    <n v="0"/>
    <n v="1"/>
    <n v="0.66666666666666663"/>
    <n v="6.333333333333333"/>
    <n v="0.90476190476190477"/>
    <n v="714.28571428571433"/>
    <n v="3.5"/>
    <n v="4.5599999999999996"/>
    <n v="0.76754385964912286"/>
    <n v="0.69444444444444453"/>
  </r>
  <r>
    <x v="3"/>
    <d v="2021-11-25T00:00:00"/>
    <s v="A"/>
    <x v="8"/>
    <x v="38"/>
    <m/>
    <s v="LZ1"/>
    <s v="NIPPLE S TYPE LL SIZE LASER MARKED"/>
    <s v="HEK23BH11"/>
    <s v="Himanshu"/>
    <n v="1"/>
    <n v="875"/>
    <n v="875"/>
    <n v="1000"/>
    <n v="1000"/>
    <n v="0"/>
    <n v="0"/>
    <n v="0"/>
    <n v="0"/>
    <n v="0"/>
    <n v="0"/>
    <n v="1"/>
    <n v="1000"/>
    <n v="1.1428571428571428"/>
    <x v="29"/>
    <n v="0"/>
    <n v="0"/>
    <s v=" "/>
    <n v="0"/>
    <n v="0"/>
    <n v="1"/>
    <n v="0"/>
    <n v="1"/>
    <n v="1"/>
    <n v="1000"/>
    <n v="3.5"/>
    <n v="3.6"/>
    <n v="0.97222222222222221"/>
    <n v="0.97222222222222221"/>
  </r>
  <r>
    <x v="3"/>
    <d v="2021-11-25T00:00:00"/>
    <s v="G"/>
    <x v="4"/>
    <x v="4"/>
    <m/>
    <m/>
    <s v="NIPPLE S TYPE M SIZE PUNCHED INSPECTED"/>
    <s v="HEK19BH11"/>
    <s v="Badelal"/>
    <n v="3"/>
    <n v="7125"/>
    <n v="2375"/>
    <n v="8833"/>
    <n v="8782"/>
    <n v="0"/>
    <n v="0"/>
    <n v="0"/>
    <n v="0"/>
    <n v="51"/>
    <n v="0"/>
    <n v="1"/>
    <n v="8782"/>
    <n v="1.232561403508772"/>
    <x v="4"/>
    <n v="0"/>
    <n v="0"/>
    <s v=" "/>
    <n v="5.7738027850107549E-3"/>
    <n v="0"/>
    <n v="0.99422619721498928"/>
    <n v="0"/>
    <n v="3"/>
    <n v="1"/>
    <n v="2927.3333333333335"/>
    <n v="4"/>
    <n v="1.229788203142792"/>
    <n v="3.2525925925925927"/>
    <n v="3.2338127644229764"/>
  </r>
  <r>
    <x v="3"/>
    <d v="2021-11-25T00:00:00"/>
    <s v="G"/>
    <x v="4"/>
    <x v="51"/>
    <m/>
    <m/>
    <s v="NIPPLE S TYPE L SIZE PUNCHED INSPECTED"/>
    <s v="HEK22AH22"/>
    <s v="Badelal"/>
    <n v="3"/>
    <n v="7125"/>
    <n v="2375"/>
    <n v="6000"/>
    <n v="5934"/>
    <n v="0"/>
    <n v="0"/>
    <n v="0"/>
    <n v="0"/>
    <n v="66"/>
    <n v="0"/>
    <n v="1"/>
    <n v="5934"/>
    <n v="0.83284210526315794"/>
    <x v="37"/>
    <n v="0"/>
    <n v="0"/>
    <s v=" "/>
    <n v="1.0999999999999999E-2"/>
    <n v="0"/>
    <n v="0.98899999999999999"/>
    <n v="0.83333333333333337"/>
    <n v="2.1666666666666665"/>
    <n v="0.72222222222222221"/>
    <n v="1978"/>
    <n v="4"/>
    <n v="1.3144590495449948"/>
    <n v="3.0430769230769235"/>
    <n v="2.1736022222222222"/>
  </r>
  <r>
    <x v="3"/>
    <d v="2021-11-25T00:00:00"/>
    <s v="G"/>
    <x v="4"/>
    <x v="42"/>
    <m/>
    <m/>
    <s v="NIPPLE S TYPE LL SIZE INSPECTED"/>
    <s v="HEK23BH11"/>
    <s v="Badelal"/>
    <n v="2"/>
    <n v="4750"/>
    <n v="2375"/>
    <n v="4000"/>
    <n v="3984"/>
    <n v="0"/>
    <n v="0"/>
    <n v="0"/>
    <n v="0"/>
    <n v="16"/>
    <n v="0"/>
    <n v="1"/>
    <n v="3984"/>
    <n v="0.83873684210526311"/>
    <x v="32"/>
    <n v="0"/>
    <n v="0"/>
    <s v=" "/>
    <n v="4.0000000000000001E-3"/>
    <n v="0"/>
    <n v="0.996"/>
    <n v="0"/>
    <n v="2"/>
    <n v="1"/>
    <n v="1992"/>
    <n v="4"/>
    <n v="1.8072289156626506"/>
    <n v="2.2133333333333334"/>
    <n v="2.2044800000000002"/>
  </r>
  <r>
    <x v="3"/>
    <d v="2021-11-25T00:00:00"/>
    <s v="G"/>
    <x v="7"/>
    <x v="24"/>
    <m/>
    <s v="WR1"/>
    <s v="NIPPLE S TYPE M SIZE WITH PRINTED WRAP"/>
    <s v="HEK19CH11"/>
    <s v="Badelal"/>
    <n v="8"/>
    <n v="10000"/>
    <n v="1250"/>
    <n v="4405"/>
    <n v="4405"/>
    <n v="0"/>
    <n v="0"/>
    <m/>
    <n v="0"/>
    <n v="0"/>
    <n v="0"/>
    <n v="2"/>
    <n v="2202.5"/>
    <n v="0.4405"/>
    <x v="19"/>
    <n v="0"/>
    <n v="0"/>
    <s v=" "/>
    <n v="0"/>
    <n v="0"/>
    <n v="1"/>
    <n v="0.83333333333333337"/>
    <n v="7.166666666666667"/>
    <n v="0.89583333333333337"/>
    <n v="550.625"/>
    <n v="2.5"/>
    <n v="11.713961407491487"/>
    <n v="0.21342054263565891"/>
    <n v="0.1911892361111111"/>
  </r>
  <r>
    <x v="3"/>
    <d v="2021-11-25T00:00:00"/>
    <s v="G"/>
    <x v="6"/>
    <x v="76"/>
    <m/>
    <m/>
    <s v="RPP 120ML ABSTRCT BLU BOTLE PNTD WM3GB W/BIS LOGO"/>
    <s v="EK22Ba1K25Pa"/>
    <s v="Badelal"/>
    <n v="2"/>
    <n v="992"/>
    <n v="496"/>
    <n v="552"/>
    <n v="542"/>
    <n v="0"/>
    <n v="0"/>
    <n v="12"/>
    <n v="0"/>
    <n v="10"/>
    <n v="0"/>
    <n v="5"/>
    <n v="108.4"/>
    <n v="0.5463709677419355"/>
    <x v="30"/>
    <n v="0"/>
    <n v="0"/>
    <s v=" "/>
    <n v="1.8115942028985508E-2"/>
    <n v="0"/>
    <n v="0.98188405797101452"/>
    <n v="1"/>
    <n v="1"/>
    <n v="0.5"/>
    <n v="271"/>
    <n v="32.4"/>
    <n v="33.210332103321036"/>
    <n v="0.97559999999999991"/>
    <n v="0.47896304347826085"/>
  </r>
  <r>
    <x v="3"/>
    <d v="2021-11-25T00:00:00"/>
    <s v="G"/>
    <x v="6"/>
    <x v="32"/>
    <m/>
    <m/>
    <s v="RPP 240 ML RPP PRINTED ELEPHANT"/>
    <s v="EK16Ba2K25Pa"/>
    <s v="Badelal"/>
    <n v="2"/>
    <n v="850"/>
    <n v="425"/>
    <n v="418"/>
    <n v="410"/>
    <n v="0"/>
    <n v="0"/>
    <n v="16"/>
    <n v="0"/>
    <n v="8"/>
    <n v="0"/>
    <n v="5"/>
    <n v="82"/>
    <n v="0.4823529411764706"/>
    <x v="26"/>
    <n v="32"/>
    <n v="13.375999999999999"/>
    <n v="0.98086124401913888"/>
    <n v="1.9138755980861243E-2"/>
    <n v="0"/>
    <n v="0.98086124401913877"/>
    <n v="1.1666666666666667"/>
    <n v="0.83333333333333326"/>
    <n v="0.41666666666666663"/>
    <n v="205"/>
    <n v="32.4"/>
    <n v="36.58536585365853"/>
    <n v="0.88560000000000016"/>
    <n v="0.36193779904306222"/>
  </r>
  <r>
    <x v="3"/>
    <d v="2021-11-25T00:00:00"/>
    <s v="G"/>
    <x v="6"/>
    <x v="39"/>
    <m/>
    <m/>
    <s v="RPP 120ML BOY BLUE BOTLE PNTD WM3GB W/BIS LOGO"/>
    <s v="EH28Bc1K25Pa"/>
    <s v="Badelal"/>
    <n v="4"/>
    <n v="1558"/>
    <n v="389.5"/>
    <n v="1045"/>
    <n v="1032"/>
    <n v="0"/>
    <n v="0"/>
    <n v="0"/>
    <n v="0"/>
    <n v="13"/>
    <n v="0"/>
    <n v="5"/>
    <n v="206.4"/>
    <n v="0.66238767650834407"/>
    <x v="30"/>
    <n v="0"/>
    <n v="0"/>
    <s v=" "/>
    <n v="1.2440191387559809E-2"/>
    <n v="0"/>
    <n v="0.98755980861244019"/>
    <n v="2.5"/>
    <n v="1.5"/>
    <n v="0.375"/>
    <n v="258"/>
    <n v="32.4"/>
    <n v="26.162790697674417"/>
    <n v="1.2383999999999999"/>
    <n v="0.45862277511961719"/>
  </r>
  <r>
    <x v="3"/>
    <d v="2021-11-25T00:00:00"/>
    <s v="B"/>
    <x v="5"/>
    <x v="5"/>
    <s v="RECYCLE"/>
    <s v="INJ1"/>
    <s v="CAP S TYPE MOLDED RED"/>
    <s v="EK25CRb"/>
    <s v="Badelal"/>
    <n v="8"/>
    <n v="4137"/>
    <n v="517.125"/>
    <n v="4516"/>
    <n v="4500"/>
    <n v="0"/>
    <n v="8"/>
    <n v="0"/>
    <n v="0"/>
    <n v="8"/>
    <n v="0"/>
    <n v="1"/>
    <n v="4500"/>
    <n v="1.0877447425670776"/>
    <x v="5"/>
    <n v="7.3"/>
    <n v="32.966799999999999"/>
    <n v="0.9964570416297609"/>
    <n v="1.7746228926353151E-3"/>
    <n v="1.7683465959328027E-3"/>
    <n v="0.99822852081488045"/>
    <n v="0"/>
    <n v="8"/>
    <n v="1"/>
    <n v="562.5"/>
    <n v="6"/>
    <n v="6.4"/>
    <n v="0.9375"/>
    <n v="0.93583923826395043"/>
  </r>
  <r>
    <x v="3"/>
    <d v="2021-11-25T00:00:00"/>
    <s v="B"/>
    <x v="0"/>
    <x v="47"/>
    <s v="M2"/>
    <s v="L2"/>
    <s v="NIPPLE S TYPE L SIZE INJECTION"/>
    <s v="HEK25Nb"/>
    <s v="Badelal"/>
    <n v="8"/>
    <n v="4815"/>
    <n v="601.875"/>
    <n v="5310"/>
    <n v="5200"/>
    <n v="0"/>
    <n v="40"/>
    <n v="0"/>
    <n v="0"/>
    <n v="70"/>
    <n v="0"/>
    <n v="1"/>
    <n v="5200"/>
    <n v="1.0799584631360333"/>
    <x v="0"/>
    <n v="6.8"/>
    <n v="36.107999999999997"/>
    <n v="0.97928436911487771"/>
    <n v="1.3282732447817837E-2"/>
    <n v="7.4766355140186919E-3"/>
    <n v="0.98681732580037662"/>
    <n v="0"/>
    <n v="8"/>
    <n v="1"/>
    <n v="650"/>
    <n v="5.25"/>
    <n v="5.5384615384615383"/>
    <n v="0.94791666666666674"/>
    <n v="0.93542059008160705"/>
  </r>
  <r>
    <x v="3"/>
    <d v="2021-11-25T00:00:00"/>
    <s v="B"/>
    <x v="0"/>
    <x v="28"/>
    <s v="M1"/>
    <s v="L1"/>
    <s v="NIPPLE S TYPE LL SIZE INJECTION"/>
    <s v="HEK25Nb"/>
    <s v="Badelal"/>
    <n v="8"/>
    <n v="3611"/>
    <n v="451.375"/>
    <n v="2670"/>
    <n v="2500"/>
    <n v="0"/>
    <n v="102"/>
    <n v="0"/>
    <n v="0"/>
    <n v="68"/>
    <n v="0"/>
    <n v="1"/>
    <n v="2500"/>
    <n v="0.69232899473829967"/>
    <x v="23"/>
    <n v="6.8"/>
    <n v="18.155999999999999"/>
    <n v="0.93632958801498134"/>
    <n v="2.6479750778816199E-2"/>
    <n v="3.67965367965368E-2"/>
    <n v="0.97453183520599251"/>
    <n v="0"/>
    <n v="8"/>
    <n v="1"/>
    <n v="312.5"/>
    <n v="5.25"/>
    <n v="11.52"/>
    <n v="0.45572916666666669"/>
    <n v="0.44412258114856429"/>
  </r>
  <r>
    <x v="3"/>
    <d v="2021-11-25T00:00:00"/>
    <s v="B"/>
    <x v="1"/>
    <x v="9"/>
    <s v="BM5"/>
    <s v="B2"/>
    <s v="KPP 200 ML BOTTLE MOLDED"/>
    <s v="EK25Bb2"/>
    <s v="Badelal"/>
    <n v="8"/>
    <n v="2574"/>
    <n v="321.75"/>
    <n v="2976"/>
    <n v="2916"/>
    <n v="0.4"/>
    <n v="20"/>
    <n v="0"/>
    <n v="0"/>
    <n v="40"/>
    <n v="0"/>
    <n v="1"/>
    <n v="2916"/>
    <n v="1.1328671328671329"/>
    <x v="1"/>
    <n v="28.1"/>
    <n v="84.025600000000011"/>
    <n v="0.97517423261482206"/>
    <n v="1.3531799729364006E-2"/>
    <n v="6.6755674232309749E-3"/>
    <n v="0.98655913978494625"/>
    <n v="0"/>
    <n v="8"/>
    <n v="1"/>
    <n v="364.5"/>
    <n v="9"/>
    <n v="9.8765432098765427"/>
    <n v="0.91125"/>
    <n v="0.8990020161290323"/>
  </r>
  <r>
    <x v="3"/>
    <d v="2021-11-25T00:00:00"/>
    <s v="B"/>
    <x v="3"/>
    <x v="34"/>
    <m/>
    <s v="P1"/>
    <s v="NIPPLE S TYPE LL SIZE PUNCHED"/>
    <s v="HEK23NbK25Pb"/>
    <s v="Badelal"/>
    <n v="8"/>
    <n v="7000"/>
    <n v="875"/>
    <n v="7000"/>
    <n v="7000"/>
    <n v="0"/>
    <n v="0"/>
    <n v="0"/>
    <n v="0"/>
    <n v="0"/>
    <n v="0"/>
    <n v="1"/>
    <n v="7000"/>
    <n v="1"/>
    <x v="28"/>
    <n v="0"/>
    <n v="0"/>
    <s v=" "/>
    <n v="0"/>
    <n v="0"/>
    <n v="1"/>
    <n v="0.66666666666666663"/>
    <n v="7.333333333333333"/>
    <n v="0.91666666666666663"/>
    <n v="875"/>
    <n v="3.5"/>
    <n v="3.7714285714285714"/>
    <n v="0.92803030303030309"/>
    <n v="0.85069444444444442"/>
  </r>
  <r>
    <x v="3"/>
    <d v="2021-11-25T00:00:00"/>
    <s v="B"/>
    <x v="8"/>
    <x v="38"/>
    <m/>
    <s v="LZ1"/>
    <s v="NIPPLE S TYPE LL SIZE LASER MARKED"/>
    <s v="HEK23BH11"/>
    <s v="Badelal"/>
    <n v="8"/>
    <n v="7000"/>
    <n v="875"/>
    <n v="7000"/>
    <n v="7000"/>
    <n v="0"/>
    <n v="0"/>
    <n v="0"/>
    <n v="0"/>
    <n v="0"/>
    <n v="0"/>
    <n v="1"/>
    <n v="7000"/>
    <n v="1"/>
    <x v="29"/>
    <n v="0"/>
    <n v="0"/>
    <s v=" "/>
    <n v="0"/>
    <n v="0"/>
    <n v="1"/>
    <n v="0.66666666666666663"/>
    <n v="7.333333333333333"/>
    <n v="0.91666666666666663"/>
    <n v="875"/>
    <n v="3.5"/>
    <n v="3.7714285714285714"/>
    <n v="0.92803030303030309"/>
    <n v="0.85069444444444442"/>
  </r>
  <r>
    <x v="3"/>
    <d v="2021-11-25T00:00:00"/>
    <s v="C"/>
    <x v="5"/>
    <x v="5"/>
    <s v="RECYCLE"/>
    <s v="INJ1"/>
    <s v="CAP S TYPE MOLDED RED"/>
    <s v="EK25CRc"/>
    <s v="Nitin"/>
    <n v="2"/>
    <n v="1034"/>
    <n v="517"/>
    <n v="1400"/>
    <n v="1390"/>
    <n v="0.7"/>
    <n v="0"/>
    <n v="0"/>
    <n v="0"/>
    <n v="2"/>
    <n v="8"/>
    <n v="1"/>
    <n v="1390"/>
    <n v="1.3442940038684719"/>
    <x v="5"/>
    <n v="7.3"/>
    <n v="10.92"/>
    <n v="0.92921245421245424"/>
    <n v="1.4367816091954023E-3"/>
    <n v="0"/>
    <n v="0.99857142857142855"/>
    <n v="0"/>
    <n v="2"/>
    <n v="1"/>
    <n v="695"/>
    <n v="6"/>
    <n v="5.1798561151079134"/>
    <n v="1.1583333333333334"/>
    <n v="1.1566785714285714"/>
  </r>
  <r>
    <x v="3"/>
    <d v="2021-11-25T00:00:00"/>
    <s v="C"/>
    <x v="5"/>
    <x v="12"/>
    <s v="VERGIN"/>
    <s v="INJ1"/>
    <s v="CAP S TYPE MOLDED PINK"/>
    <s v="EK25Cc"/>
    <s v="Nitin"/>
    <n v="6"/>
    <n v="3103"/>
    <n v="517.16666666666663"/>
    <n v="3616"/>
    <n v="3600"/>
    <n v="0"/>
    <n v="0"/>
    <n v="0"/>
    <n v="0"/>
    <n v="8"/>
    <n v="8"/>
    <n v="1"/>
    <n v="3600"/>
    <n v="1.1601675797615212"/>
    <x v="10"/>
    <n v="7.3"/>
    <n v="26.396799999999999"/>
    <n v="0.99557522123893816"/>
    <n v="2.2172949002217295E-3"/>
    <n v="0"/>
    <n v="0.99778761061946908"/>
    <n v="0.91666666666666663"/>
    <n v="5.083333333333333"/>
    <n v="0.84722222222222221"/>
    <n v="600"/>
    <n v="6"/>
    <n v="5.083333333333333"/>
    <n v="1.180327868852459"/>
    <n v="0.99778761061946897"/>
  </r>
  <r>
    <x v="3"/>
    <d v="2021-11-25T00:00:00"/>
    <s v="C"/>
    <x v="0"/>
    <x v="28"/>
    <s v="M1"/>
    <s v="L1"/>
    <s v="NIPPLE S TYPE LL SIZE INJECTION"/>
    <s v="HEK25Nc"/>
    <s v="Nitin"/>
    <n v="8"/>
    <n v="3611"/>
    <n v="451.375"/>
    <n v="4001"/>
    <n v="3900"/>
    <n v="0"/>
    <n v="40"/>
    <n v="0"/>
    <n v="0"/>
    <n v="55"/>
    <n v="6"/>
    <n v="1"/>
    <n v="3900"/>
    <n v="1.0800332317917474"/>
    <x v="23"/>
    <n v="6.8"/>
    <n v="27.206799999999998"/>
    <n v="0.97475631092226955"/>
    <n v="1.3906447534766119E-2"/>
    <n v="9.8985399653551097E-3"/>
    <n v="0.98625343664083975"/>
    <n v="0"/>
    <n v="8"/>
    <n v="1"/>
    <n v="487.5"/>
    <n v="5.25"/>
    <n v="7.384615384615385"/>
    <n v="0.7109375"/>
    <n v="0.70116455261184696"/>
  </r>
  <r>
    <x v="3"/>
    <d v="2021-11-25T00:00:00"/>
    <s v="C"/>
    <x v="0"/>
    <x v="47"/>
    <s v="M2"/>
    <s v="L2"/>
    <s v="NIPPLE S TYPE L SIZE INJECTION"/>
    <s v="HEK25Nc"/>
    <s v="Nitin"/>
    <n v="8"/>
    <n v="4815"/>
    <n v="601.875"/>
    <n v="5095"/>
    <n v="5000"/>
    <n v="0"/>
    <n v="35"/>
    <n v="0"/>
    <n v="0"/>
    <n v="52"/>
    <n v="8"/>
    <n v="1"/>
    <n v="5000"/>
    <n v="1.0384215991692627"/>
    <x v="0"/>
    <n v="6.8"/>
    <n v="34.646000000000001"/>
    <n v="0.98135426889106969"/>
    <n v="1.0292953285827395E-2"/>
    <n v="6.8226120857699801E-3"/>
    <n v="0.98979391560353291"/>
    <n v="0"/>
    <n v="8"/>
    <n v="1"/>
    <n v="625"/>
    <n v="5.25"/>
    <n v="5.76"/>
    <n v="0.91145833333333337"/>
    <n v="0.90215591265947015"/>
  </r>
  <r>
    <x v="3"/>
    <d v="2021-11-25T00:00:00"/>
    <s v="C"/>
    <x v="1"/>
    <x v="9"/>
    <s v="BM5"/>
    <s v="B2"/>
    <s v="KPP 200 ML BOTTLE MOLDED"/>
    <s v="EK25Bc2"/>
    <s v="Nitin"/>
    <n v="8"/>
    <n v="2574"/>
    <n v="321.75"/>
    <n v="3082"/>
    <n v="3024"/>
    <n v="0.7"/>
    <n v="15"/>
    <n v="0"/>
    <n v="0"/>
    <n v="35"/>
    <n v="8"/>
    <n v="1"/>
    <n v="3024"/>
    <n v="1.1748251748251748"/>
    <x v="1"/>
    <n v="28.1"/>
    <n v="87.304200000000009"/>
    <n v="0.97331399863924062"/>
    <n v="1.1441647597254004E-2"/>
    <n v="4.8433968356474009E-3"/>
    <n v="0.9886437378325762"/>
    <n v="0"/>
    <n v="8"/>
    <n v="1"/>
    <n v="378"/>
    <n v="9"/>
    <n v="9.5238095238095237"/>
    <n v="0.94500000000000006"/>
    <n v="0.93426833225178452"/>
  </r>
  <r>
    <x v="3"/>
    <d v="2021-11-25T00:00:00"/>
    <s v="C"/>
    <x v="3"/>
    <x v="34"/>
    <m/>
    <s v="P1"/>
    <s v="NIPPLE S TYPE LL SIZE PUNCHED"/>
    <s v="HEK24NbK25Pc"/>
    <s v="Nitin"/>
    <n v="8"/>
    <n v="7000"/>
    <n v="875"/>
    <n v="6900"/>
    <n v="6900"/>
    <n v="0"/>
    <n v="0"/>
    <n v="0"/>
    <n v="0"/>
    <n v="0"/>
    <n v="0"/>
    <n v="1"/>
    <n v="6900"/>
    <n v="0.98571428571428577"/>
    <x v="28"/>
    <n v="0"/>
    <n v="0"/>
    <s v=" "/>
    <n v="0"/>
    <n v="0"/>
    <n v="1"/>
    <n v="0"/>
    <n v="8"/>
    <n v="1"/>
    <n v="862.5"/>
    <n v="3.5"/>
    <n v="4.1739130434782608"/>
    <n v="0.83854166666666674"/>
    <n v="0.83854166666666674"/>
  </r>
  <r>
    <x v="3"/>
    <d v="2021-11-25T00:00:00"/>
    <s v="C"/>
    <x v="8"/>
    <x v="38"/>
    <m/>
    <s v="LZ1"/>
    <s v="NIPPLE S TYPE LL SIZE LASER MARKED"/>
    <s v="HEK24AH11"/>
    <s v="Nitin"/>
    <n v="8"/>
    <n v="7000"/>
    <n v="875"/>
    <n v="6000"/>
    <n v="6000"/>
    <n v="0"/>
    <n v="0"/>
    <n v="0"/>
    <n v="0"/>
    <n v="0"/>
    <n v="0"/>
    <n v="1"/>
    <n v="6000"/>
    <n v="0.8571428571428571"/>
    <x v="29"/>
    <n v="0"/>
    <n v="0"/>
    <s v=" "/>
    <n v="0"/>
    <n v="0"/>
    <n v="1"/>
    <n v="0"/>
    <n v="8"/>
    <n v="1"/>
    <n v="750"/>
    <n v="3.5"/>
    <n v="4.8"/>
    <n v="0.72916666666666674"/>
    <n v="0.72916666666666674"/>
  </r>
  <r>
    <x v="3"/>
    <d v="2021-11-26T00:00:00"/>
    <s v="A"/>
    <x v="5"/>
    <x v="12"/>
    <s v="VERGIN"/>
    <s v="INJ1"/>
    <s v="CAP S TYPE MOLDED PINK"/>
    <s v="EK26Ca"/>
    <s v="Nitin"/>
    <n v="6"/>
    <n v="3103"/>
    <n v="517.16666666666663"/>
    <n v="3223"/>
    <n v="3215"/>
    <n v="0"/>
    <n v="0"/>
    <n v="0"/>
    <n v="0"/>
    <n v="0"/>
    <n v="8"/>
    <n v="1"/>
    <n v="3215"/>
    <n v="1.0360941024814696"/>
    <x v="10"/>
    <n v="7.3"/>
    <n v="23.527899999999999"/>
    <n v="0.99751784052125358"/>
    <n v="0"/>
    <n v="0"/>
    <n v="1"/>
    <n v="0"/>
    <n v="6"/>
    <n v="1"/>
    <n v="535.83333333333337"/>
    <n v="6"/>
    <n v="6.7185069984447905"/>
    <n v="0.89305555555555549"/>
    <n v="0.89305555555555549"/>
  </r>
  <r>
    <x v="3"/>
    <d v="2021-11-26T00:00:00"/>
    <s v="A"/>
    <x v="5"/>
    <x v="12"/>
    <s v="RECYCLE"/>
    <s v="INJ1"/>
    <s v="CAP S TYPE MOLDED PINK"/>
    <s v="EK26CRa"/>
    <s v="Nitin"/>
    <n v="2"/>
    <n v="1034"/>
    <n v="517"/>
    <n v="1906"/>
    <n v="1900"/>
    <n v="0"/>
    <n v="0"/>
    <n v="0"/>
    <n v="0"/>
    <n v="6"/>
    <n v="0"/>
    <n v="1"/>
    <n v="1900"/>
    <n v="1.8375241779497098"/>
    <x v="10"/>
    <n v="7.3"/>
    <n v="13.9138"/>
    <n v="0.99685204616998957"/>
    <n v="3.1479538300104933E-3"/>
    <n v="0"/>
    <n v="0.99685204616998946"/>
    <n v="0"/>
    <n v="2"/>
    <n v="1"/>
    <n v="950"/>
    <n v="6"/>
    <n v="3.7894736842105261"/>
    <n v="1.5833333333333335"/>
    <n v="1.5783490731024834"/>
  </r>
  <r>
    <x v="3"/>
    <d v="2021-11-26T00:00:00"/>
    <s v="A"/>
    <x v="0"/>
    <x v="28"/>
    <s v="M1"/>
    <s v="L1"/>
    <s v="NIPPLE S TYPE LL SIZE INJECTION"/>
    <s v="HEK26Na"/>
    <s v="Nitin"/>
    <n v="8"/>
    <n v="3611"/>
    <n v="451.375"/>
    <n v="3686"/>
    <n v="3600"/>
    <n v="0"/>
    <n v="45"/>
    <n v="0"/>
    <n v="0"/>
    <n v="35"/>
    <n v="6"/>
    <n v="1"/>
    <n v="3600"/>
    <n v="0.99695375242315143"/>
    <x v="23"/>
    <n v="6.8"/>
    <n v="25.064799999999998"/>
    <n v="0.9766684753119913"/>
    <n v="9.6286107290233843E-3"/>
    <n v="1.2061109622085233E-2"/>
    <n v="0.99050461204557783"/>
    <n v="0"/>
    <n v="8"/>
    <n v="1"/>
    <n v="450"/>
    <n v="5.25"/>
    <n v="8"/>
    <n v="0.65625"/>
    <n v="0.65001865165491046"/>
  </r>
  <r>
    <x v="3"/>
    <d v="2021-11-26T00:00:00"/>
    <s v="A"/>
    <x v="0"/>
    <x v="47"/>
    <s v="M2"/>
    <s v="L2"/>
    <s v="NIPPLE S TYPE L SIZE INJECTION"/>
    <s v="HEK26Na"/>
    <s v="Nitin"/>
    <n v="8"/>
    <n v="4815"/>
    <n v="601.875"/>
    <n v="5358"/>
    <n v="5300"/>
    <n v="0"/>
    <n v="0"/>
    <n v="0"/>
    <n v="0"/>
    <n v="50"/>
    <n v="8"/>
    <n v="1"/>
    <n v="5300"/>
    <n v="1.1007268951194185"/>
    <x v="0"/>
    <n v="6.8"/>
    <n v="36.434399999999997"/>
    <n v="0.9891750653228818"/>
    <n v="9.3457943925233638E-3"/>
    <n v="0"/>
    <n v="0.99066815976110489"/>
    <n v="0"/>
    <n v="8"/>
    <n v="1"/>
    <n v="662.5"/>
    <n v="5.25"/>
    <n v="5.4339622641509431"/>
    <n v="0.96614583333333337"/>
    <n v="0.95712991476919251"/>
  </r>
  <r>
    <x v="3"/>
    <d v="2021-11-26T00:00:00"/>
    <s v="A"/>
    <x v="1"/>
    <x v="9"/>
    <s v="BM5"/>
    <s v="B2"/>
    <s v="KPP 200 ML BOTTLE MOLDED"/>
    <s v="EK26Ba2"/>
    <s v="Nitin"/>
    <n v="8"/>
    <n v="2574"/>
    <n v="321.75"/>
    <n v="2974"/>
    <n v="2916"/>
    <n v="0.3"/>
    <n v="18"/>
    <n v="0"/>
    <n v="0"/>
    <n v="32"/>
    <n v="8"/>
    <n v="1"/>
    <n v="2916"/>
    <n v="1.1328671328671329"/>
    <x v="1"/>
    <n v="28.1"/>
    <n v="83.869399999999999"/>
    <n v="0.97699041605162307"/>
    <n v="1.0854816824966078E-2"/>
    <n v="6.0160427807486629E-3"/>
    <n v="0.98924008069939473"/>
    <n v="0"/>
    <n v="8"/>
    <n v="1"/>
    <n v="364.5"/>
    <n v="9"/>
    <n v="9.8765432098765427"/>
    <n v="0.91125"/>
    <n v="0.90144502353732348"/>
  </r>
  <r>
    <x v="3"/>
    <d v="2021-11-26T00:00:00"/>
    <s v="A"/>
    <x v="3"/>
    <x v="34"/>
    <m/>
    <s v="P1"/>
    <s v="NIPPLE S TYPE LL SIZE PUNCHED"/>
    <s v="HEK25NbK26Pa"/>
    <s v="Nitin"/>
    <n v="8"/>
    <n v="7000"/>
    <n v="875"/>
    <n v="7000"/>
    <n v="7000"/>
    <n v="0"/>
    <n v="0"/>
    <n v="0"/>
    <n v="0"/>
    <n v="0"/>
    <n v="0"/>
    <n v="1"/>
    <n v="7000"/>
    <n v="1"/>
    <x v="28"/>
    <n v="0"/>
    <n v="0"/>
    <s v=" "/>
    <n v="0"/>
    <n v="0"/>
    <n v="1"/>
    <n v="0"/>
    <n v="8"/>
    <n v="1"/>
    <n v="875"/>
    <n v="3.5"/>
    <n v="4.1142857142857139"/>
    <n v="0.85069444444444453"/>
    <n v="0.85069444444444453"/>
  </r>
  <r>
    <x v="3"/>
    <d v="2021-11-26T00:00:00"/>
    <s v="A"/>
    <x v="8"/>
    <x v="38"/>
    <m/>
    <s v="LZ1"/>
    <s v="NIPPLE S TYPE LL SIZE LASER MARKED"/>
    <s v="HEK24CH11"/>
    <s v="Nitin"/>
    <n v="8"/>
    <n v="7000"/>
    <n v="875"/>
    <n v="6900"/>
    <n v="6900"/>
    <n v="0"/>
    <n v="0"/>
    <n v="0"/>
    <n v="0"/>
    <n v="0"/>
    <n v="0"/>
    <n v="1"/>
    <n v="6900"/>
    <n v="0.98571428571428577"/>
    <x v="29"/>
    <n v="0"/>
    <n v="0"/>
    <s v=" "/>
    <n v="0"/>
    <n v="0"/>
    <n v="1"/>
    <n v="0"/>
    <n v="8"/>
    <n v="1"/>
    <n v="862.5"/>
    <n v="3.5"/>
    <n v="4.1739130434782608"/>
    <n v="0.83854166666666674"/>
    <n v="0.83854166666666674"/>
  </r>
  <r>
    <x v="3"/>
    <d v="2021-11-26T00:00:00"/>
    <s v="A"/>
    <x v="1"/>
    <x v="20"/>
    <m/>
    <s v="B1"/>
    <s v="KPP 120 ML BOTTLE MOLDED"/>
    <s v="EH26Ba1"/>
    <s v="Nitin"/>
    <n v="5"/>
    <n v="1440"/>
    <n v="288"/>
    <n v="1560"/>
    <n v="1440"/>
    <n v="0.4"/>
    <n v="82"/>
    <n v="0"/>
    <n v="0"/>
    <n v="30"/>
    <n v="8"/>
    <n v="1"/>
    <n v="1440"/>
    <n v="1"/>
    <x v="1"/>
    <n v="21.3"/>
    <n v="33.628"/>
    <n v="0.91209706197216611"/>
    <n v="2.0408163265306121E-2"/>
    <n v="4.9939098660170524E-2"/>
    <n v="0.98076923076923073"/>
    <n v="1.1666666666666667"/>
    <n v="3.833333333333333"/>
    <n v="0.76666666666666661"/>
    <n v="288"/>
    <n v="9"/>
    <n v="9.5833333333333321"/>
    <n v="0.93913043478260883"/>
    <n v="0.70615384615384613"/>
  </r>
  <r>
    <x v="3"/>
    <d v="2021-11-26T00:00:00"/>
    <s v="G"/>
    <x v="4"/>
    <x v="42"/>
    <m/>
    <m/>
    <s v="NIPPLE S TYPE LL SIZE INSPECTED"/>
    <s v="HEK23CH11"/>
    <s v="Badelal"/>
    <n v="8"/>
    <n v="19000"/>
    <n v="2375"/>
    <n v="19400"/>
    <n v="19200"/>
    <n v="0"/>
    <n v="0"/>
    <n v="0"/>
    <n v="0"/>
    <n v="200"/>
    <n v="0"/>
    <n v="2"/>
    <n v="9600"/>
    <n v="1.0105263157894737"/>
    <x v="32"/>
    <n v="0"/>
    <n v="0"/>
    <s v=" "/>
    <n v="1.0309278350515464E-2"/>
    <n v="0"/>
    <n v="0.98969072164948457"/>
    <n v="0.83333333333333337"/>
    <n v="7.166666666666667"/>
    <n v="0.89583333333333337"/>
    <n v="2400"/>
    <n v="4"/>
    <n v="2.6875"/>
    <n v="1.4883720930232558"/>
    <n v="1.3195876288659796"/>
  </r>
  <r>
    <x v="3"/>
    <d v="2021-11-26T00:00:00"/>
    <s v="G"/>
    <x v="6"/>
    <x v="14"/>
    <m/>
    <m/>
    <s v="RPP 120 ML BOTTLE PRINTED"/>
    <s v="EJ06Bb2K26Pa"/>
    <s v="Badelal"/>
    <n v="8"/>
    <n v="5800"/>
    <n v="725"/>
    <n v="6189"/>
    <n v="6116"/>
    <n v="0"/>
    <n v="0"/>
    <n v="42"/>
    <n v="0"/>
    <n v="73"/>
    <n v="0"/>
    <n v="6"/>
    <n v="1019.3333333333334"/>
    <n v="1.0544827586206897"/>
    <x v="11"/>
    <n v="0"/>
    <n v="0"/>
    <s v=" "/>
    <n v="1.1795120374858621E-2"/>
    <n v="0"/>
    <n v="0.98820487962514136"/>
    <n v="0.83333333333333337"/>
    <n v="7.166666666666667"/>
    <n v="0.89583333333333337"/>
    <n v="764.5"/>
    <n v="32.4"/>
    <n v="25.310660562459123"/>
    <n v="1.2800930232558139"/>
    <n v="1.133223945710131"/>
  </r>
  <r>
    <x v="3"/>
    <d v="2021-11-26T00:00:00"/>
    <s v="B"/>
    <x v="3"/>
    <x v="34"/>
    <m/>
    <s v="P1"/>
    <s v="NIPPLE S TYPE LL SIZE PUNCHED"/>
    <s v="HEK26NaK26Pb"/>
    <s v="Badelal"/>
    <n v="8"/>
    <n v="7000"/>
    <n v="875"/>
    <n v="7000"/>
    <n v="7000"/>
    <n v="0"/>
    <n v="0"/>
    <n v="0"/>
    <n v="0"/>
    <n v="0"/>
    <n v="0"/>
    <n v="1"/>
    <n v="7000"/>
    <n v="1"/>
    <x v="28"/>
    <n v="0"/>
    <n v="0"/>
    <s v=" "/>
    <n v="0"/>
    <n v="0"/>
    <n v="1"/>
    <n v="0.66666666666666663"/>
    <n v="7.333333333333333"/>
    <n v="0.91666666666666663"/>
    <n v="875"/>
    <n v="3.5"/>
    <n v="3.7714285714285714"/>
    <n v="0.92803030303030309"/>
    <n v="0.85069444444444442"/>
  </r>
  <r>
    <x v="3"/>
    <d v="2021-11-26T00:00:00"/>
    <s v="B"/>
    <x v="8"/>
    <x v="38"/>
    <m/>
    <s v="LZ1"/>
    <s v="NIPPLE S TYPE LL SIZE LASER MARKED"/>
    <s v="HEK25BH11"/>
    <s v="Badelal"/>
    <n v="8"/>
    <n v="7000"/>
    <n v="875"/>
    <n v="7000"/>
    <n v="7000"/>
    <n v="0"/>
    <n v="0"/>
    <n v="0"/>
    <n v="0"/>
    <n v="0"/>
    <n v="0"/>
    <n v="1"/>
    <n v="7000"/>
    <n v="1"/>
    <x v="29"/>
    <n v="0"/>
    <n v="0"/>
    <s v=" "/>
    <n v="0"/>
    <n v="0"/>
    <n v="1"/>
    <n v="0.66666666666666663"/>
    <n v="7.333333333333333"/>
    <n v="0.91666666666666663"/>
    <n v="875"/>
    <n v="3.5"/>
    <n v="3.7714285714285714"/>
    <n v="0.92803030303030309"/>
    <n v="0.85069444444444442"/>
  </r>
  <r>
    <x v="3"/>
    <d v="2021-11-26T00:00:00"/>
    <s v="B"/>
    <x v="0"/>
    <x v="47"/>
    <s v="M2"/>
    <s v="L2"/>
    <s v="NIPPLE S TYPE L SIZE INJECTION"/>
    <s v="HEK26Nb"/>
    <s v="Badelal"/>
    <n v="8"/>
    <n v="4815"/>
    <n v="601.875"/>
    <n v="5660"/>
    <n v="5600"/>
    <n v="0"/>
    <n v="0"/>
    <n v="0"/>
    <n v="0"/>
    <n v="60"/>
    <n v="0"/>
    <n v="1"/>
    <n v="5600"/>
    <n v="1.1630321910695742"/>
    <x v="0"/>
    <n v="6.8"/>
    <n v="38.488"/>
    <n v="0.98939929328621901"/>
    <n v="1.0600706713780919E-2"/>
    <n v="0"/>
    <n v="0.98939929328621912"/>
    <n v="0"/>
    <n v="8"/>
    <n v="1"/>
    <n v="700"/>
    <n v="5.25"/>
    <n v="5.1428571428571432"/>
    <n v="1.0208333333333333"/>
    <n v="1.0100117785630154"/>
  </r>
  <r>
    <x v="3"/>
    <d v="2021-11-26T00:00:00"/>
    <s v="B"/>
    <x v="5"/>
    <x v="12"/>
    <s v="RECYCLE"/>
    <s v="INJ1"/>
    <s v="CAP S TYPE MOLDED PINK"/>
    <s v="EK26CRb"/>
    <s v="Badelal"/>
    <n v="8"/>
    <n v="4137"/>
    <n v="517.125"/>
    <n v="5008"/>
    <n v="5000"/>
    <n v="0"/>
    <n v="0"/>
    <n v="0"/>
    <n v="0"/>
    <n v="8"/>
    <n v="0"/>
    <n v="1"/>
    <n v="5000"/>
    <n v="1.2086052695189751"/>
    <x v="10"/>
    <n v="7.3"/>
    <n v="36.558399999999999"/>
    <n v="0.99840255591054317"/>
    <n v="1.5974440894568689E-3"/>
    <n v="0"/>
    <n v="0.99840255591054317"/>
    <n v="0"/>
    <n v="8"/>
    <n v="1"/>
    <n v="625"/>
    <n v="6"/>
    <n v="5.76"/>
    <n v="1.0416666666666667"/>
    <n v="1.0400026624068159"/>
  </r>
  <r>
    <x v="3"/>
    <d v="2021-11-26T00:00:00"/>
    <s v="B"/>
    <x v="1"/>
    <x v="20"/>
    <s v="BM4"/>
    <s v="B1"/>
    <s v="KPP 120 ML BOTTLE MOLDED"/>
    <s v="EK26Bb1"/>
    <s v="Badelal"/>
    <n v="8"/>
    <n v="2574"/>
    <n v="321.75"/>
    <n v="2770"/>
    <n v="2700"/>
    <n v="0.1"/>
    <n v="30"/>
    <n v="0"/>
    <n v="0"/>
    <n v="40"/>
    <n v="0"/>
    <n v="1"/>
    <n v="2700"/>
    <n v="1.048951048951049"/>
    <x v="1"/>
    <n v="21.3"/>
    <n v="59.100999999999999"/>
    <n v="0.97307998172619747"/>
    <n v="1.4598540145985401E-2"/>
    <n v="1.0714285714285714E-2"/>
    <n v="0.98555956678700363"/>
    <n v="0"/>
    <n v="8"/>
    <n v="1"/>
    <n v="337.5"/>
    <n v="9"/>
    <n v="10.666666666666666"/>
    <n v="0.84375"/>
    <n v="0.83156588447653434"/>
  </r>
  <r>
    <x v="3"/>
    <d v="2021-11-26T00:00:00"/>
    <s v="B"/>
    <x v="1"/>
    <x v="9"/>
    <s v="BM5"/>
    <s v="B2"/>
    <s v="KPP 200 ML BOTTLE MOLDED"/>
    <s v="EK26Bb2"/>
    <s v="Badelal"/>
    <n v="8"/>
    <n v="2574"/>
    <n v="321.75"/>
    <n v="3078"/>
    <n v="3024"/>
    <n v="0.6"/>
    <n v="24"/>
    <n v="0"/>
    <n v="0"/>
    <n v="30"/>
    <n v="0"/>
    <n v="1"/>
    <n v="3024"/>
    <n v="1.1748251748251748"/>
    <x v="1"/>
    <n v="28.1"/>
    <n v="87.091799999999992"/>
    <n v="0.97568772260993586"/>
    <n v="9.823182711198428E-3"/>
    <n v="7.7369439071566732E-3"/>
    <n v="0.99025341130604283"/>
    <n v="0"/>
    <n v="8"/>
    <n v="1"/>
    <n v="378"/>
    <n v="9"/>
    <n v="9.5238095238095237"/>
    <n v="0.94500000000000006"/>
    <n v="0.9357894736842105"/>
  </r>
  <r>
    <x v="3"/>
    <d v="2021-11-26T00:00:00"/>
    <s v="B"/>
    <x v="0"/>
    <x v="28"/>
    <s v="M1"/>
    <s v="L1"/>
    <s v="NIPPLE S TYPE LL SIZE INJECTION"/>
    <s v="HEK26Nb"/>
    <s v="Badelal"/>
    <n v="8"/>
    <n v="3611"/>
    <n v="451.375"/>
    <n v="4090"/>
    <n v="4000"/>
    <n v="0"/>
    <n v="40"/>
    <n v="0"/>
    <n v="0"/>
    <n v="50"/>
    <n v="0"/>
    <n v="1"/>
    <n v="4000"/>
    <n v="1.1077263915812794"/>
    <x v="23"/>
    <n v="6.8"/>
    <n v="27.811999999999998"/>
    <n v="0.97799511002444994"/>
    <n v="1.2345679012345678E-2"/>
    <n v="9.6852300242130755E-3"/>
    <n v="0.98777506112469438"/>
    <n v="0"/>
    <n v="8"/>
    <n v="1"/>
    <n v="500"/>
    <n v="5.25"/>
    <n v="7.2"/>
    <n v="0.72916666666666663"/>
    <n v="0.72025264873675632"/>
  </r>
  <r>
    <x v="3"/>
    <d v="2021-11-26T00:00:00"/>
    <s v="C"/>
    <x v="1"/>
    <x v="20"/>
    <s v="BM1"/>
    <s v="B1"/>
    <s v="KPP 120 ML BOTTLE MOLDED"/>
    <s v="EK26Bc1"/>
    <s v="Saurabh"/>
    <n v="8"/>
    <n v="2574"/>
    <n v="321.75"/>
    <n v="956"/>
    <n v="900"/>
    <n v="0.2"/>
    <n v="21"/>
    <n v="0"/>
    <n v="0"/>
    <n v="27"/>
    <n v="8"/>
    <n v="1"/>
    <n v="900"/>
    <n v="0.34965034965034963"/>
    <x v="1"/>
    <n v="21.3"/>
    <n v="20.562799999999999"/>
    <n v="0.93226603380862527"/>
    <n v="2.9126213592233011E-2"/>
    <n v="2.1494370522006142E-2"/>
    <n v="0.97175732217573219"/>
    <n v="5.5"/>
    <n v="2.5"/>
    <n v="0.3125"/>
    <n v="112.5"/>
    <n v="9"/>
    <n v="10"/>
    <n v="0.9"/>
    <n v="0.27330674686192469"/>
  </r>
  <r>
    <x v="3"/>
    <d v="2021-11-26T00:00:00"/>
    <s v="C"/>
    <x v="5"/>
    <x v="12"/>
    <s v="RECYCLE"/>
    <m/>
    <s v="CAP S TYPE MOLDED PINK"/>
    <s v="EK26CRc"/>
    <s v="Saurabh"/>
    <n v="2.8"/>
    <n v="1450"/>
    <n v="517.85714285714289"/>
    <n v="1452"/>
    <n v="1450"/>
    <n v="0"/>
    <n v="0"/>
    <n v="0"/>
    <n v="0"/>
    <n v="2"/>
    <n v="0"/>
    <n v="1"/>
    <n v="1450"/>
    <n v="1"/>
    <x v="10"/>
    <n v="7.3"/>
    <n v="10.599600000000001"/>
    <n v="0.99862258953168048"/>
    <n v="1.3774104683195593E-3"/>
    <n v="0"/>
    <n v="0.99862258953168048"/>
    <n v="0"/>
    <n v="2.8"/>
    <n v="1"/>
    <n v="517.85714285714289"/>
    <n v="6"/>
    <n v="6.9517241379310342"/>
    <n v="0.86309523809523814"/>
    <n v="0.86190640167912902"/>
  </r>
  <r>
    <x v="3"/>
    <d v="2021-11-26T00:00:00"/>
    <s v="C"/>
    <x v="0"/>
    <x v="28"/>
    <s v="M1"/>
    <s v="L1"/>
    <s v="NIPPLE S TYPE LL SIZE INJECTION"/>
    <s v="HEK26Nc"/>
    <s v="Saurabh"/>
    <n v="8"/>
    <n v="3611"/>
    <n v="451.375"/>
    <n v="4060"/>
    <n v="4000"/>
    <n v="0"/>
    <n v="15"/>
    <n v="0"/>
    <n v="0"/>
    <n v="45"/>
    <n v="0"/>
    <n v="1"/>
    <n v="4000"/>
    <n v="1.1077263915812794"/>
    <x v="23"/>
    <n v="6.8"/>
    <n v="27.607999999999997"/>
    <n v="0.98522167487684742"/>
    <n v="1.1124845488257108E-2"/>
    <n v="3.6809815950920245E-3"/>
    <n v="0.98891625615763545"/>
    <n v="0"/>
    <n v="8"/>
    <n v="1"/>
    <n v="500"/>
    <n v="5.25"/>
    <n v="7.2"/>
    <n v="0.72916666666666663"/>
    <n v="0.72108477011494243"/>
  </r>
  <r>
    <x v="3"/>
    <d v="2021-11-26T00:00:00"/>
    <s v="C"/>
    <x v="3"/>
    <x v="34"/>
    <m/>
    <s v="P1"/>
    <s v="NIPPLE S TYPE LL SIZE PUNCHED"/>
    <s v="HEK26NbK26Pc"/>
    <s v="Saurabh"/>
    <n v="8"/>
    <n v="7000"/>
    <n v="875"/>
    <n v="7000"/>
    <n v="7000"/>
    <n v="0"/>
    <n v="0"/>
    <n v="0"/>
    <n v="0"/>
    <n v="0"/>
    <n v="0"/>
    <n v="1"/>
    <n v="7000"/>
    <n v="1"/>
    <x v="28"/>
    <n v="0"/>
    <n v="0"/>
    <s v=" "/>
    <n v="0"/>
    <n v="0"/>
    <n v="1"/>
    <n v="0.33333333333333331"/>
    <n v="7.666666666666667"/>
    <n v="0.95833333333333337"/>
    <n v="875"/>
    <n v="3.5"/>
    <n v="3.9428571428571431"/>
    <n v="0.8876811594202898"/>
    <n v="0.85069444444444442"/>
  </r>
  <r>
    <x v="3"/>
    <d v="2021-11-26T00:00:00"/>
    <s v="C"/>
    <x v="8"/>
    <x v="38"/>
    <m/>
    <s v="LZ1"/>
    <s v="NIPPLE S TYPE LL SIZE LASER MARKED"/>
    <s v="HEK26BH11"/>
    <s v="Saurabh"/>
    <n v="8"/>
    <n v="7000"/>
    <n v="875"/>
    <n v="6000"/>
    <n v="6000"/>
    <n v="0"/>
    <n v="0"/>
    <n v="0"/>
    <n v="0"/>
    <n v="0"/>
    <n v="0"/>
    <n v="1"/>
    <n v="6000"/>
    <n v="0.8571428571428571"/>
    <x v="29"/>
    <n v="0"/>
    <n v="0"/>
    <s v=" "/>
    <n v="0"/>
    <n v="0"/>
    <n v="1"/>
    <n v="0.33333333333333331"/>
    <n v="7.666666666666667"/>
    <n v="0.95833333333333337"/>
    <n v="750"/>
    <n v="3.5"/>
    <n v="4.5999999999999996"/>
    <n v="0.76086956521739135"/>
    <n v="0.72916666666666674"/>
  </r>
  <r>
    <x v="3"/>
    <d v="2021-11-26T00:00:00"/>
    <s v="C"/>
    <x v="0"/>
    <x v="47"/>
    <s v="M2"/>
    <s v="L2"/>
    <s v="NIPPLE S TYPE L SIZE INJECTION"/>
    <s v="HEK26Nc"/>
    <s v="Saurabh"/>
    <n v="8"/>
    <n v="4815"/>
    <n v="601.875"/>
    <n v="5665"/>
    <n v="5600"/>
    <n v="0"/>
    <n v="0"/>
    <n v="0"/>
    <n v="0"/>
    <n v="65"/>
    <n v="0"/>
    <n v="1"/>
    <n v="5600"/>
    <n v="1.1630321910695742"/>
    <x v="0"/>
    <n v="6.8"/>
    <n v="38.521999999999998"/>
    <n v="0.98852603706972642"/>
    <n v="1.1473962930273611E-2"/>
    <n v="0"/>
    <n v="0.98852603706972642"/>
    <n v="0"/>
    <n v="8"/>
    <n v="1"/>
    <n v="700"/>
    <n v="5.25"/>
    <n v="5.1428571428571432"/>
    <n v="1.0208333333333333"/>
    <n v="1.009120329508679"/>
  </r>
  <r>
    <x v="3"/>
    <d v="2021-11-26T00:00:00"/>
    <s v="C"/>
    <x v="1"/>
    <x v="9"/>
    <s v="BM2"/>
    <s v="B2"/>
    <s v="KPP 200 ML BOTTLE MOLDED"/>
    <s v="EK26Bc2"/>
    <s v="Saurabh"/>
    <n v="8"/>
    <n v="2574"/>
    <n v="321.75"/>
    <n v="2439"/>
    <n v="2376"/>
    <n v="0.15"/>
    <n v="20"/>
    <n v="0"/>
    <n v="0"/>
    <n v="35"/>
    <n v="8"/>
    <n v="1"/>
    <n v="2376"/>
    <n v="0.92307692307692313"/>
    <x v="1"/>
    <n v="28.1"/>
    <n v="68.685900000000004"/>
    <n v="0.97204229689062827"/>
    <n v="1.4516798009124844E-2"/>
    <n v="8.1333875559170387E-3"/>
    <n v="0.98564985649856496"/>
    <n v="0"/>
    <n v="8"/>
    <n v="1"/>
    <n v="297"/>
    <n v="9"/>
    <n v="12.121212121212121"/>
    <n v="0.74250000000000005"/>
    <n v="0.73184501845018457"/>
  </r>
  <r>
    <x v="3"/>
    <d v="2021-11-26T00:00:00"/>
    <s v="C"/>
    <x v="5"/>
    <x v="12"/>
    <s v="VERGIN"/>
    <m/>
    <s v="CAP S TYPE MOLDED PINK"/>
    <s v="EK26Cc"/>
    <s v="Saurabh"/>
    <n v="5.2"/>
    <n v="2687"/>
    <n v="516.73076923076917"/>
    <n v="3350"/>
    <n v="3350"/>
    <n v="0"/>
    <n v="0"/>
    <n v="0"/>
    <n v="0"/>
    <n v="0"/>
    <n v="0"/>
    <n v="1"/>
    <n v="3350"/>
    <n v="1.2467435802009676"/>
    <x v="10"/>
    <n v="7.3"/>
    <n v="24.455000000000002"/>
    <n v="1"/>
    <n v="0"/>
    <n v="0"/>
    <n v="1"/>
    <n v="0"/>
    <n v="5.2"/>
    <n v="1"/>
    <n v="644.23076923076917"/>
    <n v="6"/>
    <n v="5.5880597014925373"/>
    <n v="1.0737179487179487"/>
    <n v="1.0737179487179487"/>
  </r>
  <r>
    <x v="3"/>
    <d v="2021-11-27T00:00:00"/>
    <s v="A"/>
    <x v="0"/>
    <x v="28"/>
    <s v="M1"/>
    <s v="L1"/>
    <s v="NIPPLE S TYPE LL SIZE INJECTION"/>
    <s v="HEK27Na"/>
    <s v="Nitin"/>
    <n v="8"/>
    <n v="3611"/>
    <n v="451.375"/>
    <n v="1032"/>
    <n v="1000"/>
    <n v="0"/>
    <n v="0"/>
    <n v="0"/>
    <n v="0"/>
    <n v="20"/>
    <n v="12"/>
    <n v="1"/>
    <n v="1000"/>
    <n v="0.27693159789531985"/>
    <x v="23"/>
    <n v="6.8"/>
    <n v="7.0175999999999998"/>
    <n v="0.96899224806201545"/>
    <n v="1.9607843137254902E-2"/>
    <n v="0"/>
    <n v="0.98062015503875966"/>
    <n v="4"/>
    <n v="4"/>
    <n v="0.5"/>
    <n v="125"/>
    <n v="5.25"/>
    <n v="14.4"/>
    <n v="0.36458333333333331"/>
    <n v="0.17875888242894056"/>
  </r>
  <r>
    <x v="3"/>
    <d v="2021-11-27T00:00:00"/>
    <s v="A"/>
    <x v="0"/>
    <x v="47"/>
    <s v="M2"/>
    <s v="L2"/>
    <s v="NIPPLE S TYPE L SIZE INJECTION"/>
    <s v="HEK27Na"/>
    <s v="Nitin"/>
    <n v="8"/>
    <n v="4815"/>
    <n v="601.875"/>
    <n v="5805"/>
    <n v="5700"/>
    <n v="0"/>
    <n v="50"/>
    <n v="0"/>
    <n v="0"/>
    <n v="39"/>
    <n v="16"/>
    <n v="1"/>
    <n v="5700"/>
    <n v="1.1838006230529594"/>
    <x v="0"/>
    <n v="6.8"/>
    <n v="39.473999999999997"/>
    <n v="0.98191214470284238"/>
    <n v="6.7956089911134342E-3"/>
    <n v="8.539709649871904E-3"/>
    <n v="0.99328165374677002"/>
    <n v="0"/>
    <n v="8"/>
    <n v="1"/>
    <n v="712.5"/>
    <n v="5.25"/>
    <n v="5.0526315789473681"/>
    <n v="1.0390625"/>
    <n v="1.0320817183462532"/>
  </r>
  <r>
    <x v="3"/>
    <d v="2021-11-27T00:00:00"/>
    <s v="A"/>
    <x v="1"/>
    <x v="9"/>
    <s v="BM5"/>
    <s v="B2"/>
    <s v="KPP 200 ML BOTTLE MOLDED"/>
    <s v="EK27Bb2"/>
    <s v="Nitin"/>
    <n v="8"/>
    <n v="2574"/>
    <n v="321.75"/>
    <n v="2983"/>
    <n v="2916"/>
    <n v="0"/>
    <n v="19"/>
    <n v="0"/>
    <n v="0"/>
    <n v="40"/>
    <n v="8"/>
    <n v="1"/>
    <n v="2916"/>
    <n v="1.1328671328671329"/>
    <x v="1"/>
    <n v="28.1"/>
    <n v="83.822299999999998"/>
    <n v="0.97753938987596378"/>
    <n v="1.3531799729364006E-2"/>
    <n v="6.3291139240506328E-3"/>
    <n v="0.9865906805229635"/>
    <n v="0"/>
    <n v="8"/>
    <n v="1"/>
    <n v="364.5"/>
    <n v="9"/>
    <n v="9.8765432098765427"/>
    <n v="0.91125"/>
    <n v="0.89903075762655049"/>
  </r>
  <r>
    <x v="3"/>
    <d v="2021-11-27T00:00:00"/>
    <s v="A"/>
    <x v="3"/>
    <x v="34"/>
    <m/>
    <s v="P1"/>
    <s v="NIPPLE S TYPE LL SIZE PUNCHED"/>
    <s v="HEK26NcK27Pa"/>
    <s v="Nitin"/>
    <n v="2"/>
    <n v="1750"/>
    <n v="875"/>
    <n v="2000"/>
    <n v="2000"/>
    <n v="0"/>
    <n v="0"/>
    <n v="0"/>
    <n v="0"/>
    <n v="0"/>
    <n v="0"/>
    <n v="1"/>
    <n v="2000"/>
    <n v="1.1428571428571428"/>
    <x v="28"/>
    <n v="0"/>
    <n v="0"/>
    <s v=" "/>
    <n v="0"/>
    <n v="0"/>
    <n v="1"/>
    <n v="0"/>
    <n v="2"/>
    <n v="1"/>
    <n v="1000"/>
    <n v="3.5"/>
    <n v="3.6"/>
    <n v="0.97222222222222221"/>
    <n v="0.97222222222222221"/>
  </r>
  <r>
    <x v="3"/>
    <d v="2021-11-27T00:00:00"/>
    <s v="A"/>
    <x v="8"/>
    <x v="38"/>
    <m/>
    <s v="LZ1"/>
    <s v="NIPPLE S TYPE LL SIZE LASER MARKED"/>
    <s v="HEK26CH11"/>
    <s v="Nitin"/>
    <n v="6"/>
    <n v="5250"/>
    <n v="875"/>
    <n v="5000"/>
    <n v="5000"/>
    <n v="0"/>
    <n v="0"/>
    <n v="0"/>
    <n v="0"/>
    <n v="0"/>
    <n v="0"/>
    <n v="1"/>
    <n v="5000"/>
    <n v="0.95238095238095233"/>
    <x v="29"/>
    <n v="0"/>
    <n v="0"/>
    <s v=" "/>
    <n v="0"/>
    <n v="0"/>
    <n v="1"/>
    <n v="0.66666666666666663"/>
    <n v="5.333333333333333"/>
    <n v="0.88888888888888884"/>
    <n v="833.33333333333337"/>
    <n v="3.5"/>
    <n v="3.84"/>
    <n v="0.91145833333333337"/>
    <n v="0.81018518518518512"/>
  </r>
  <r>
    <x v="3"/>
    <d v="2021-11-27T00:00:00"/>
    <s v="A"/>
    <x v="8"/>
    <x v="50"/>
    <m/>
    <s v="LZ1"/>
    <s v="NIPPLE S TYPE L SIZE PUNCHED LASER MARKED"/>
    <s v="HEK22BH22"/>
    <s v="Nitin"/>
    <n v="2"/>
    <n v="1750"/>
    <n v="875"/>
    <n v="1580"/>
    <n v="1580"/>
    <n v="0"/>
    <n v="0"/>
    <n v="0"/>
    <n v="0"/>
    <n v="0"/>
    <n v="0"/>
    <n v="1"/>
    <n v="1580"/>
    <n v="0.9028571428571428"/>
    <x v="22"/>
    <n v="0"/>
    <n v="0"/>
    <s v=" "/>
    <n v="0"/>
    <n v="0"/>
    <n v="1"/>
    <n v="0.33333333333333331"/>
    <n v="1.6666666666666667"/>
    <n v="0.83333333333333337"/>
    <n v="790"/>
    <n v="3.5"/>
    <n v="3.7974683544303796"/>
    <n v="0.92166666666666675"/>
    <n v="0.7680555555555556"/>
  </r>
  <r>
    <x v="3"/>
    <d v="2021-11-27T00:00:00"/>
    <s v="A"/>
    <x v="3"/>
    <x v="49"/>
    <m/>
    <s v="P1"/>
    <s v="NIPPLE S TYPE L SIZE PUNCHED"/>
    <s v="HEK22NcK27Pa"/>
    <s v="Nitin"/>
    <n v="6"/>
    <n v="5250"/>
    <n v="875"/>
    <n v="5200"/>
    <n v="5200"/>
    <n v="0"/>
    <n v="0"/>
    <n v="0"/>
    <n v="0"/>
    <n v="0"/>
    <n v="0"/>
    <n v="1"/>
    <n v="5200"/>
    <n v="0.99047619047619051"/>
    <x v="36"/>
    <n v="0"/>
    <n v="0"/>
    <s v=" "/>
    <n v="0"/>
    <n v="0"/>
    <n v="1"/>
    <n v="0.33333333333333331"/>
    <n v="5.666666666666667"/>
    <n v="0.94444444444444453"/>
    <n v="866.66666666666663"/>
    <n v="3.5"/>
    <n v="3.9230769230769229"/>
    <n v="0.89215686274509809"/>
    <n v="0.84259259259259267"/>
  </r>
  <r>
    <x v="3"/>
    <d v="2021-11-27T00:00:00"/>
    <s v="A"/>
    <x v="1"/>
    <x v="20"/>
    <s v="BM2"/>
    <s v="B1"/>
    <s v="KPP 120 ML BOTTLE MOLDED"/>
    <s v="EK27Ba1"/>
    <s v="Nitin"/>
    <n v="8"/>
    <n v="2574"/>
    <n v="321.75"/>
    <n v="1533"/>
    <n v="1440"/>
    <n v="0"/>
    <n v="50"/>
    <n v="0"/>
    <n v="0"/>
    <n v="35"/>
    <n v="8"/>
    <n v="1"/>
    <n v="1440"/>
    <n v="0.55944055944055948"/>
    <x v="1"/>
    <n v="21.3"/>
    <n v="32.652900000000002"/>
    <n v="0.9393346379647749"/>
    <n v="2.3728813559322035E-2"/>
    <n v="3.1585596967782688E-2"/>
    <n v="0.97716894977168944"/>
    <n v="0"/>
    <n v="8"/>
    <n v="1"/>
    <n v="180"/>
    <n v="9"/>
    <n v="20"/>
    <n v="0.45"/>
    <n v="0.43972602739726024"/>
  </r>
  <r>
    <x v="3"/>
    <d v="2021-11-27T00:00:00"/>
    <s v="A"/>
    <x v="5"/>
    <x v="12"/>
    <s v="RECYCLE"/>
    <s v="INJ1"/>
    <s v="CAP S TYPE MOLDED PINK"/>
    <s v="EK27CRa"/>
    <s v="Nitin"/>
    <n v="8"/>
    <n v="4137"/>
    <n v="517.125"/>
    <n v="5008"/>
    <n v="5000"/>
    <n v="0"/>
    <n v="0"/>
    <n v="0"/>
    <n v="0"/>
    <n v="0"/>
    <n v="8"/>
    <n v="1"/>
    <n v="5000"/>
    <n v="1.2086052695189751"/>
    <x v="10"/>
    <n v="7.3"/>
    <n v="36.558399999999999"/>
    <n v="0.99840255591054317"/>
    <n v="0"/>
    <n v="0"/>
    <n v="1"/>
    <n v="0"/>
    <n v="8"/>
    <n v="1"/>
    <n v="625"/>
    <n v="6"/>
    <n v="5.76"/>
    <n v="1.0416666666666667"/>
    <n v="1.0416666666666667"/>
  </r>
  <r>
    <x v="3"/>
    <d v="2021-11-27T00:00:00"/>
    <s v="G"/>
    <x v="6"/>
    <x v="52"/>
    <m/>
    <m/>
    <s v="KPP 120 ML BOTTLE PRINTED"/>
    <s v="EK26Bb1K27Pa"/>
    <s v="Badelal"/>
    <n v="8"/>
    <n v="5100"/>
    <n v="637.5"/>
    <n v="5459"/>
    <n v="5400"/>
    <n v="0"/>
    <n v="0"/>
    <n v="53"/>
    <n v="0"/>
    <n v="59"/>
    <n v="0"/>
    <n v="5"/>
    <n v="1080"/>
    <n v="1.0588235294117647"/>
    <x v="38"/>
    <n v="0"/>
    <n v="0"/>
    <s v=" "/>
    <n v="1.0807840263784577E-2"/>
    <n v="0"/>
    <n v="0.98919215973621544"/>
    <n v="0.83333333333333337"/>
    <n v="7.166666666666667"/>
    <n v="0.89583333333333337"/>
    <n v="675"/>
    <n v="32.4"/>
    <n v="23.888888888888893"/>
    <n v="1.3562790697674416"/>
    <n v="1.2018684740795016"/>
  </r>
  <r>
    <x v="3"/>
    <d v="2021-11-27T00:00:00"/>
    <s v="G"/>
    <x v="7"/>
    <x v="27"/>
    <m/>
    <s v="WR1"/>
    <s v="NIPPLE S TYPE L SIZE WITH PRINTED WRAP"/>
    <s v="HEK19BH11"/>
    <s v="Badelal"/>
    <n v="8"/>
    <n v="16171"/>
    <n v="2021.375"/>
    <n v="16741"/>
    <n v="16741"/>
    <n v="0"/>
    <n v="0"/>
    <n v="0"/>
    <n v="0"/>
    <n v="0"/>
    <n v="0"/>
    <n v="2"/>
    <n v="8370.5"/>
    <n v="1.0352482839651227"/>
    <x v="22"/>
    <n v="0"/>
    <n v="0"/>
    <s v=" "/>
    <n v="0"/>
    <n v="0"/>
    <n v="1"/>
    <n v="0.83333333333333337"/>
    <n v="7.166666666666667"/>
    <n v="0.89583333333333337"/>
    <n v="2092.625"/>
    <n v="2.5"/>
    <n v="3.0822531509467774"/>
    <n v="0.81109496124031011"/>
    <n v="0.72660590277777781"/>
  </r>
  <r>
    <x v="3"/>
    <d v="2021-11-27T00:00:00"/>
    <s v="G"/>
    <x v="4"/>
    <x v="51"/>
    <m/>
    <m/>
    <s v="NIPPLE S TYPE L SIZE PUNCHED INSPECTED"/>
    <s v="HEK23BH22"/>
    <s v="Badelal"/>
    <n v="2"/>
    <n v="4750"/>
    <n v="2375"/>
    <n v="3580"/>
    <n v="3556"/>
    <n v="0"/>
    <n v="0"/>
    <n v="0"/>
    <n v="0"/>
    <n v="24"/>
    <n v="0"/>
    <n v="2"/>
    <n v="1778"/>
    <n v="0.74863157894736843"/>
    <x v="37"/>
    <n v="0"/>
    <n v="0"/>
    <s v=" "/>
    <n v="6.7039106145251395E-3"/>
    <n v="0"/>
    <n v="0.99329608938547487"/>
    <n v="0.83333333333333337"/>
    <n v="1.1666666666666665"/>
    <n v="0.58333333333333326"/>
    <n v="1778"/>
    <n v="4"/>
    <n v="2.3622047244094482"/>
    <n v="1.6933333333333338"/>
    <n v="0.98115580384854151"/>
  </r>
  <r>
    <x v="3"/>
    <d v="2021-11-27T00:00:00"/>
    <s v="G"/>
    <x v="4"/>
    <x v="42"/>
    <m/>
    <m/>
    <s v="NIPPLE S TYPE LL SIZE INSPECTED"/>
    <s v="HEK25CH11"/>
    <s v="Badelal"/>
    <n v="6"/>
    <n v="14250"/>
    <n v="2375"/>
    <n v="15500"/>
    <n v="15183"/>
    <n v="0"/>
    <n v="0"/>
    <n v="0"/>
    <n v="0"/>
    <n v="317"/>
    <n v="0"/>
    <n v="2"/>
    <n v="7591.5"/>
    <n v="1.0654736842105264"/>
    <x v="32"/>
    <n v="0"/>
    <n v="0"/>
    <s v=" "/>
    <n v="2.0451612903225808E-2"/>
    <n v="0"/>
    <n v="0.97954838709677416"/>
    <n v="0"/>
    <n v="6"/>
    <n v="1"/>
    <n v="2530.5"/>
    <n v="4"/>
    <n v="2.8452874925903973"/>
    <n v="1.4058333333333333"/>
    <n v="1.3770817741935484"/>
  </r>
  <r>
    <x v="3"/>
    <d v="2021-11-27T00:00:00"/>
    <s v="B"/>
    <x v="3"/>
    <x v="49"/>
    <m/>
    <s v="P1"/>
    <s v="NIPPLE S TYPE L SIZE PUNCHED"/>
    <s v="HEK23NbK27Pb"/>
    <s v="Badelal"/>
    <n v="8"/>
    <n v="7000"/>
    <n v="875"/>
    <n v="7000"/>
    <n v="7000"/>
    <n v="0"/>
    <n v="0"/>
    <n v="0"/>
    <n v="0"/>
    <n v="0"/>
    <n v="0"/>
    <n v="1"/>
    <n v="7000"/>
    <n v="1"/>
    <x v="36"/>
    <n v="0"/>
    <n v="0"/>
    <s v=" "/>
    <n v="0"/>
    <n v="0"/>
    <n v="1"/>
    <n v="0.66666666666666663"/>
    <n v="7.333333333333333"/>
    <n v="0.91666666666666663"/>
    <n v="875"/>
    <n v="3.5"/>
    <n v="3.7714285714285714"/>
    <n v="0.92803030303030309"/>
    <n v="0.85069444444444442"/>
  </r>
  <r>
    <x v="3"/>
    <d v="2021-11-27T00:00:00"/>
    <s v="B"/>
    <x v="8"/>
    <x v="50"/>
    <m/>
    <s v="LZ1"/>
    <s v="NIPPLE S TYPE L SIZE PUNCHED LASER MARKED"/>
    <s v="HEK23CH22"/>
    <s v="Badelal"/>
    <n v="8"/>
    <n v="7000"/>
    <n v="875"/>
    <n v="7200"/>
    <n v="7200"/>
    <n v="0"/>
    <n v="0"/>
    <n v="0"/>
    <n v="0"/>
    <n v="0"/>
    <n v="0"/>
    <n v="1"/>
    <n v="7200"/>
    <n v="1.0285714285714285"/>
    <x v="22"/>
    <n v="0"/>
    <n v="0"/>
    <s v=" "/>
    <n v="0"/>
    <n v="0"/>
    <n v="1"/>
    <n v="0.66666666666666663"/>
    <n v="7.333333333333333"/>
    <n v="0.91666666666666663"/>
    <n v="900"/>
    <n v="3.5"/>
    <n v="3.6666666666666665"/>
    <n v="0.95454545454545459"/>
    <n v="0.875"/>
  </r>
  <r>
    <x v="3"/>
    <d v="2021-11-27T00:00:00"/>
    <s v="B"/>
    <x v="5"/>
    <x v="12"/>
    <s v="RECYCLE"/>
    <s v="INJ1"/>
    <s v="CAP S TYPE MOLDED PINK"/>
    <s v="EK27CRb"/>
    <s v="Badelal"/>
    <n v="8"/>
    <n v="4137"/>
    <n v="517.125"/>
    <n v="4612"/>
    <n v="4600"/>
    <n v="0.2"/>
    <n v="4"/>
    <n v="0"/>
    <n v="0"/>
    <n v="8"/>
    <n v="0"/>
    <n v="1"/>
    <n v="4600"/>
    <n v="1.111916847957457"/>
    <x v="10"/>
    <n v="7.3"/>
    <n v="33.867600000000003"/>
    <n v="0.99150810804426637"/>
    <n v="1.736111111111111E-3"/>
    <n v="8.6655112651646442E-4"/>
    <n v="0.99826539462272335"/>
    <n v="0"/>
    <n v="8"/>
    <n v="1"/>
    <n v="575"/>
    <n v="6"/>
    <n v="6.2608695652173916"/>
    <n v="0.95833333333333326"/>
    <n v="0.95667100318010978"/>
  </r>
  <r>
    <x v="3"/>
    <d v="2021-11-27T00:00:00"/>
    <s v="B"/>
    <x v="0"/>
    <x v="47"/>
    <s v="M2"/>
    <s v="L2"/>
    <s v="NIPPLE S TYPE L SIZE INJECTION"/>
    <s v="HEK27Nb"/>
    <s v="Badelal"/>
    <n v="8"/>
    <n v="4815"/>
    <n v="601.875"/>
    <n v="4690"/>
    <n v="4500"/>
    <n v="8.8000000000000007"/>
    <n v="110"/>
    <n v="0"/>
    <n v="0"/>
    <n v="80"/>
    <n v="0"/>
    <n v="1"/>
    <n v="4500"/>
    <n v="0.93457943925233644"/>
    <x v="0"/>
    <n v="6.8"/>
    <n v="40.692"/>
    <n v="0.7519905632556767"/>
    <n v="1.7467248908296942E-2"/>
    <n v="2.2916666666666665E-2"/>
    <n v="0.98294243070362475"/>
    <n v="1.5"/>
    <n v="6.5"/>
    <n v="0.8125"/>
    <n v="562.5"/>
    <n v="5.25"/>
    <n v="5.2"/>
    <n v="1.0096153846153846"/>
    <n v="0.80631996268656714"/>
  </r>
  <r>
    <x v="3"/>
    <d v="2021-11-27T00:00:00"/>
    <s v="B"/>
    <x v="0"/>
    <x v="60"/>
    <s v="M1"/>
    <s v="L1"/>
    <s v="NIPPLE S TYPE Y SIZE INJECTION"/>
    <s v="HEK27Nb"/>
    <s v="Badelal"/>
    <n v="8"/>
    <n v="3611"/>
    <n v="451.375"/>
    <n v="2666"/>
    <n v="2400"/>
    <n v="0"/>
    <n v="160"/>
    <n v="0"/>
    <n v="0"/>
    <n v="106"/>
    <n v="0"/>
    <n v="1"/>
    <n v="2400"/>
    <n v="0.66463583494876766"/>
    <x v="0"/>
    <n v="6.8"/>
    <n v="18.128799999999998"/>
    <n v="0.90022505626406613"/>
    <n v="4.2298483639265763E-2"/>
    <n v="5.6617126680820945E-2"/>
    <n v="0.96024006001500373"/>
    <n v="0"/>
    <n v="8"/>
    <n v="1"/>
    <n v="300"/>
    <n v="5.25"/>
    <n v="12"/>
    <n v="0.4375"/>
    <n v="0.42010502625656415"/>
  </r>
  <r>
    <x v="3"/>
    <d v="2021-11-27T00:00:00"/>
    <s v="B"/>
    <x v="1"/>
    <x v="20"/>
    <s v="BM2"/>
    <s v="B1"/>
    <s v="KPP 120 ML BOTTLE MOLDED"/>
    <s v="EK27Bb1"/>
    <s v="Badelal"/>
    <n v="8"/>
    <n v="2574"/>
    <n v="321.75"/>
    <n v="2250"/>
    <n v="2160"/>
    <n v="0"/>
    <n v="55"/>
    <n v="0"/>
    <n v="0"/>
    <n v="35"/>
    <n v="0"/>
    <n v="1"/>
    <n v="2160"/>
    <n v="0.83916083916083917"/>
    <x v="1"/>
    <n v="21.3"/>
    <n v="47.924999999999997"/>
    <n v="0.96"/>
    <n v="1.5945330296127564E-2"/>
    <n v="2.3861171366594359E-2"/>
    <n v="0.98444444444444446"/>
    <n v="0"/>
    <n v="8"/>
    <n v="1"/>
    <n v="270"/>
    <n v="9"/>
    <n v="13.333333333333334"/>
    <n v="0.67499999999999993"/>
    <n v="0.66449999999999998"/>
  </r>
  <r>
    <x v="3"/>
    <d v="2021-11-27T00:00:00"/>
    <s v="B"/>
    <x v="1"/>
    <x v="9"/>
    <s v="BM5"/>
    <s v="B2"/>
    <s v="KPP 200 ML BOTTLE MOLDED"/>
    <s v="EK27Bb2"/>
    <s v="Badelal"/>
    <n v="8"/>
    <n v="2574"/>
    <n v="321.75"/>
    <n v="3280"/>
    <n v="3240"/>
    <n v="0"/>
    <n v="0"/>
    <n v="0"/>
    <n v="0"/>
    <n v="40"/>
    <n v="0"/>
    <n v="1"/>
    <n v="3240"/>
    <n v="1.2587412587412588"/>
    <x v="1"/>
    <n v="28.1"/>
    <n v="92.168000000000006"/>
    <n v="0.98780487804878037"/>
    <n v="1.2195121951219513E-2"/>
    <n v="0"/>
    <n v="0.98780487804878048"/>
    <n v="0"/>
    <n v="8"/>
    <n v="1"/>
    <n v="405"/>
    <n v="9"/>
    <n v="8.8888888888888893"/>
    <n v="1.0125"/>
    <n v="1.0001524390243901"/>
  </r>
  <r>
    <x v="3"/>
    <d v="2021-11-27T00:00:00"/>
    <s v="C"/>
    <x v="3"/>
    <x v="49"/>
    <m/>
    <s v="P1"/>
    <s v="NIPPLE S TYPE L SIZE PUNCHED"/>
    <s v="HEK24NaK27Pc"/>
    <s v="Saurabh"/>
    <n v="8"/>
    <n v="7000"/>
    <n v="875"/>
    <n v="6500"/>
    <n v="6500"/>
    <n v="0"/>
    <n v="0"/>
    <n v="0"/>
    <n v="0"/>
    <n v="0"/>
    <n v="0"/>
    <n v="1"/>
    <n v="6500"/>
    <n v="0.9285714285714286"/>
    <x v="36"/>
    <n v="0"/>
    <n v="0"/>
    <s v=" "/>
    <n v="0"/>
    <n v="0"/>
    <n v="1"/>
    <n v="0.33333333333333331"/>
    <n v="7.666666666666667"/>
    <n v="0.95833333333333337"/>
    <n v="812.5"/>
    <n v="3.5"/>
    <n v="4.2461538461538462"/>
    <n v="0.82427536231884058"/>
    <n v="0.78993055555555558"/>
  </r>
  <r>
    <x v="3"/>
    <d v="2021-11-27T00:00:00"/>
    <s v="C"/>
    <x v="8"/>
    <x v="50"/>
    <m/>
    <s v="LZ1"/>
    <s v="NIPPLE S TYPE L SIZE PUNCHED LASER MARKED"/>
    <s v="HEK23AH22"/>
    <s v="Saurabh"/>
    <n v="8"/>
    <n v="7000"/>
    <n v="875"/>
    <n v="6000"/>
    <n v="6000"/>
    <n v="0"/>
    <n v="0"/>
    <n v="0"/>
    <n v="0"/>
    <n v="0"/>
    <n v="0"/>
    <n v="1"/>
    <n v="6000"/>
    <n v="0.8571428571428571"/>
    <x v="22"/>
    <n v="0"/>
    <n v="0"/>
    <s v=" "/>
    <n v="0"/>
    <n v="0"/>
    <n v="1"/>
    <n v="0.33333333333333331"/>
    <n v="7.666666666666667"/>
    <n v="0.95833333333333337"/>
    <n v="750"/>
    <n v="3.5"/>
    <n v="4.5999999999999996"/>
    <n v="0.76086956521739135"/>
    <n v="0.72916666666666674"/>
  </r>
  <r>
    <x v="3"/>
    <d v="2021-11-27T00:00:00"/>
    <s v="C"/>
    <x v="0"/>
    <x v="47"/>
    <s v="M2"/>
    <s v="L2"/>
    <s v="NIPPLE S TYPE L SIZE INJECTION"/>
    <s v="HEK27Nc"/>
    <s v="Saurabh"/>
    <n v="8"/>
    <n v="4815"/>
    <n v="601.875"/>
    <n v="4075"/>
    <n v="4000"/>
    <n v="0"/>
    <n v="30"/>
    <n v="0"/>
    <n v="0"/>
    <n v="45"/>
    <n v="0"/>
    <n v="1"/>
    <n v="4000"/>
    <n v="0.83073727933541019"/>
    <x v="0"/>
    <n v="6.8"/>
    <n v="27.709999999999997"/>
    <n v="0.98159509202453998"/>
    <n v="1.1124845488257108E-2"/>
    <n v="7.3081607795371494E-3"/>
    <n v="0.98895705521472388"/>
    <n v="2.5"/>
    <n v="5.5"/>
    <n v="0.6875"/>
    <n v="500"/>
    <n v="5.25"/>
    <n v="4.95"/>
    <n v="1.0606060606060606"/>
    <n v="0.72111451942740268"/>
  </r>
  <r>
    <x v="3"/>
    <d v="2021-11-27T00:00:00"/>
    <s v="C"/>
    <x v="0"/>
    <x v="60"/>
    <s v="M1"/>
    <s v="L1"/>
    <s v="NIPPLE S TYPE Y SIZE INJECTION"/>
    <s v="HEK27Nc"/>
    <s v="Saurabh"/>
    <n v="8"/>
    <n v="3611"/>
    <n v="451.375"/>
    <n v="3052"/>
    <n v="3000"/>
    <n v="0"/>
    <n v="0"/>
    <n v="0"/>
    <n v="0"/>
    <n v="52"/>
    <n v="0"/>
    <n v="1"/>
    <n v="3000"/>
    <n v="0.83079479368595954"/>
    <x v="0"/>
    <n v="6.8"/>
    <n v="20.753599999999999"/>
    <n v="0.98296199213630409"/>
    <n v="1.7038007863695939E-2"/>
    <n v="0"/>
    <n v="0.98296199213630409"/>
    <n v="1.5"/>
    <n v="6.5"/>
    <n v="0.8125"/>
    <n v="375"/>
    <n v="5.25"/>
    <n v="7.8"/>
    <n v="0.67307692307692313"/>
    <n v="0.53755733944954132"/>
  </r>
  <r>
    <x v="3"/>
    <d v="2021-11-27T00:00:00"/>
    <s v="C"/>
    <x v="1"/>
    <x v="20"/>
    <s v="BM1"/>
    <s v="B1"/>
    <s v="KPP 120 ML BOTTLE MOLDED"/>
    <s v="EK27Bc1"/>
    <s v="Saurabh"/>
    <n v="8"/>
    <n v="2574"/>
    <n v="321.75"/>
    <n v="2608"/>
    <n v="2520"/>
    <n v="0.2"/>
    <n v="32"/>
    <n v="0"/>
    <n v="0"/>
    <n v="48"/>
    <n v="8"/>
    <n v="1"/>
    <n v="2520"/>
    <n v="0.97902097902097907"/>
    <x v="1"/>
    <n v="21.3"/>
    <n v="55.750399999999999"/>
    <n v="0.9627912983583975"/>
    <n v="1.8691588785046728E-2"/>
    <n v="1.2121212121212121E-2"/>
    <n v="0.98159509202453987"/>
    <n v="0"/>
    <n v="8"/>
    <n v="1"/>
    <n v="315"/>
    <n v="9"/>
    <n v="11.428571428571429"/>
    <n v="0.78749999999999998"/>
    <n v="0.77300613496932513"/>
  </r>
  <r>
    <x v="3"/>
    <d v="2021-11-27T00:00:00"/>
    <s v="C"/>
    <x v="5"/>
    <x v="12"/>
    <s v="RECYCLE"/>
    <m/>
    <s v="CAP S TYPE MOLDED PINK"/>
    <s v="EK27CRc"/>
    <s v="Saurabh"/>
    <n v="6.2"/>
    <n v="3200"/>
    <n v="516.12903225806451"/>
    <n v="4000"/>
    <n v="4000"/>
    <n v="0"/>
    <n v="0"/>
    <n v="0"/>
    <n v="0"/>
    <n v="0"/>
    <n v="0"/>
    <n v="1"/>
    <n v="4000"/>
    <n v="1.25"/>
    <x v="10"/>
    <n v="7.3"/>
    <n v="29.2"/>
    <n v="1"/>
    <n v="0"/>
    <n v="0"/>
    <n v="1"/>
    <n v="0"/>
    <n v="6.2"/>
    <n v="1"/>
    <n v="645.16129032258061"/>
    <n v="6"/>
    <n v="5.58"/>
    <n v="1.075268817204301"/>
    <n v="1.075268817204301"/>
  </r>
  <r>
    <x v="3"/>
    <d v="2021-11-27T00:00:00"/>
    <s v="C"/>
    <x v="5"/>
    <x v="12"/>
    <s v="VERGIN"/>
    <m/>
    <s v="CAP S TYPE MOLDED PINK"/>
    <s v="EK27Cc"/>
    <s v="Saurabh"/>
    <n v="1.8"/>
    <n v="937"/>
    <n v="520.55555555555554"/>
    <n v="1000"/>
    <n v="1000"/>
    <n v="0"/>
    <n v="0"/>
    <n v="0"/>
    <n v="0"/>
    <n v="0"/>
    <n v="0"/>
    <n v="1"/>
    <n v="1000"/>
    <n v="1.0672358591248665"/>
    <x v="10"/>
    <n v="7.3"/>
    <n v="7.3"/>
    <n v="1"/>
    <n v="0"/>
    <n v="0"/>
    <n v="1"/>
    <n v="0"/>
    <n v="1.8"/>
    <n v="1"/>
    <n v="555.55555555555554"/>
    <n v="6"/>
    <n v="6.48"/>
    <n v="0.92592592592592582"/>
    <n v="0.92592592592592582"/>
  </r>
  <r>
    <x v="3"/>
    <d v="2021-11-29T00:00:00"/>
    <s v="A"/>
    <x v="0"/>
    <x v="60"/>
    <s v="M1"/>
    <s v="L1"/>
    <s v="NIPPLE S TYPE Y SIZE INJECTION"/>
    <s v="HEK29Na"/>
    <s v="Nitin"/>
    <n v="8"/>
    <n v="2400"/>
    <n v="300"/>
    <n v="2790"/>
    <n v="2600"/>
    <n v="1"/>
    <n v="120"/>
    <n v="0"/>
    <n v="0"/>
    <n v="58"/>
    <n v="12"/>
    <n v="1"/>
    <n v="2600"/>
    <n v="1.0833333333333333"/>
    <x v="0"/>
    <n v="6.8"/>
    <n v="19.971999999999998"/>
    <n v="0.8852393350690968"/>
    <n v="2.1820917983446202E-2"/>
    <n v="4.1237113402061855E-2"/>
    <n v="0.97921146953405014"/>
    <n v="3.3333333333333335"/>
    <n v="4.6666666666666661"/>
    <n v="0.58333333333333326"/>
    <n v="325"/>
    <n v="5.25"/>
    <n v="6.4615384615384599"/>
    <n v="0.81250000000000022"/>
    <n v="0.46410543608124261"/>
  </r>
  <r>
    <x v="3"/>
    <d v="2021-11-29T00:00:00"/>
    <s v="A"/>
    <x v="0"/>
    <x v="10"/>
    <s v="M2"/>
    <s v="L2"/>
    <s v="NIPPLE S TYPE S SIZE INJECTION"/>
    <s v="HEK29Na"/>
    <s v="Nitin"/>
    <n v="8"/>
    <n v="3600"/>
    <n v="450"/>
    <n v="4360"/>
    <n v="4200"/>
    <n v="0"/>
    <n v="73"/>
    <n v="0"/>
    <n v="0"/>
    <n v="55"/>
    <n v="32"/>
    <n v="1"/>
    <n v="4200"/>
    <n v="1.1666666666666667"/>
    <x v="0"/>
    <n v="6.8"/>
    <n v="29.648"/>
    <n v="0.96330275229357798"/>
    <n v="1.2925969447708578E-2"/>
    <n v="1.6467403564177759E-2"/>
    <n v="0.98738532110091748"/>
    <n v="2.3333333333333335"/>
    <n v="5.6666666666666661"/>
    <n v="0.70833333333333326"/>
    <n v="525"/>
    <n v="5.25"/>
    <n v="4.8571428571428559"/>
    <n v="1.0808823529411768"/>
    <n v="0.75596688646789012"/>
  </r>
  <r>
    <x v="3"/>
    <d v="2021-11-29T00:00:00"/>
    <s v="A"/>
    <x v="1"/>
    <x v="20"/>
    <s v="BM1"/>
    <s v="B1"/>
    <s v="KPP 120 ML BOTTLE MOLDED"/>
    <s v="EK29Ba1"/>
    <s v="Nitin"/>
    <n v="8"/>
    <n v="2000"/>
    <n v="250"/>
    <n v="2280"/>
    <n v="2160"/>
    <n v="0"/>
    <n v="70"/>
    <n v="0"/>
    <n v="0"/>
    <n v="42"/>
    <n v="8"/>
    <n v="1"/>
    <n v="2160"/>
    <n v="1.08"/>
    <x v="1"/>
    <n v="21.3"/>
    <n v="48.564"/>
    <n v="0.94736842105263153"/>
    <n v="1.9073569482288829E-2"/>
    <n v="2.9787234042553193E-2"/>
    <n v="0.98157894736842111"/>
    <n v="2.1666666666666665"/>
    <n v="5.8333333333333339"/>
    <n v="0.72916666666666674"/>
    <n v="270"/>
    <n v="9"/>
    <n v="9.7222222222222232"/>
    <n v="0.9257142857142856"/>
    <n v="0.66256578947368427"/>
  </r>
  <r>
    <x v="3"/>
    <d v="2021-11-29T00:00:00"/>
    <s v="A"/>
    <x v="3"/>
    <x v="49"/>
    <m/>
    <s v="P1"/>
    <s v="NIPPLE S TYPE L SIZE PUNCHED"/>
    <s v="HEK24NaK29Pa"/>
    <s v="Nitin"/>
    <n v="8"/>
    <n v="7000"/>
    <n v="875"/>
    <n v="6800"/>
    <n v="6800"/>
    <n v="0"/>
    <n v="0"/>
    <n v="0"/>
    <n v="0"/>
    <n v="0"/>
    <n v="0"/>
    <n v="1"/>
    <n v="6800"/>
    <n v="0.97142857142857142"/>
    <x v="36"/>
    <n v="0"/>
    <n v="0"/>
    <s v=" "/>
    <n v="0"/>
    <n v="0"/>
    <n v="1"/>
    <n v="0"/>
    <n v="8"/>
    <n v="1"/>
    <n v="850"/>
    <n v="3.5"/>
    <n v="4.2352941176470589"/>
    <n v="0.82638888888888884"/>
    <n v="0.82638888888888884"/>
  </r>
  <r>
    <x v="3"/>
    <d v="2021-11-29T00:00:00"/>
    <s v="A"/>
    <x v="8"/>
    <x v="50"/>
    <m/>
    <m/>
    <s v="NIPPLE S TYPE L SIZE PUNCHED LASER MARKED"/>
    <s v="HEK23BH22"/>
    <s v="Nitin"/>
    <n v="8"/>
    <n v="7000"/>
    <n v="875"/>
    <n v="5500"/>
    <n v="5500"/>
    <n v="0"/>
    <n v="0"/>
    <n v="0"/>
    <n v="0"/>
    <n v="0"/>
    <n v="0"/>
    <n v="1"/>
    <n v="5500"/>
    <n v="0.7857142857142857"/>
    <x v="22"/>
    <n v="0"/>
    <n v="0"/>
    <s v=" "/>
    <n v="0"/>
    <n v="0"/>
    <n v="1"/>
    <n v="0"/>
    <n v="8"/>
    <n v="1"/>
    <n v="687.5"/>
    <n v="3.5"/>
    <n v="5.2363636363636363"/>
    <n v="0.66840277777777779"/>
    <n v="0.66840277777777779"/>
  </r>
  <r>
    <x v="3"/>
    <d v="2021-11-29T00:00:00"/>
    <s v="A"/>
    <x v="5"/>
    <x v="19"/>
    <m/>
    <s v="INJ1"/>
    <s v="CAP S TYPE MOLDED BLUE"/>
    <s v="EK29CRa"/>
    <s v="Nitin"/>
    <n v="3"/>
    <n v="1730"/>
    <n v="576.66666666666663"/>
    <n v="1648"/>
    <n v="1640"/>
    <n v="0"/>
    <n v="0"/>
    <n v="0"/>
    <n v="0"/>
    <n v="0"/>
    <n v="8"/>
    <n v="1"/>
    <n v="1640"/>
    <n v="0.94797687861271673"/>
    <x v="15"/>
    <n v="7.3"/>
    <n v="12.0304"/>
    <n v="0.99514563106796106"/>
    <n v="0"/>
    <n v="0"/>
    <n v="1"/>
    <n v="0"/>
    <n v="3"/>
    <n v="1"/>
    <n v="546.66666666666663"/>
    <n v="6"/>
    <n v="6.5853658536585362"/>
    <n v="0.9111111111111112"/>
    <n v="0.9111111111111112"/>
  </r>
  <r>
    <x v="3"/>
    <d v="2021-11-29T00:00:00"/>
    <s v="A"/>
    <x v="5"/>
    <x v="12"/>
    <m/>
    <s v="INJ1"/>
    <s v="CAP S TYPE MOLDED PINK"/>
    <s v="EK29Ca"/>
    <s v="Nitin"/>
    <n v="5"/>
    <n v="2407"/>
    <n v="481.4"/>
    <n v="2688"/>
    <n v="2670"/>
    <n v="0"/>
    <n v="0"/>
    <n v="0"/>
    <n v="0"/>
    <n v="10"/>
    <n v="8"/>
    <n v="1"/>
    <n v="2670"/>
    <n v="1.1092646447860408"/>
    <x v="10"/>
    <n v="7.3"/>
    <n v="19.622399999999999"/>
    <n v="0.99330357142857151"/>
    <n v="3.7313432835820895E-3"/>
    <n v="0"/>
    <n v="0.99627976190476186"/>
    <n v="0"/>
    <n v="5"/>
    <n v="1"/>
    <n v="534"/>
    <n v="6"/>
    <n v="6.7415730337078648"/>
    <n v="0.89"/>
    <n v="0.88668898809523811"/>
  </r>
  <r>
    <x v="3"/>
    <d v="2021-11-29T00:00:00"/>
    <s v="G"/>
    <x v="6"/>
    <x v="52"/>
    <m/>
    <m/>
    <s v="KPP 120 ML BOTTLE PRINTED"/>
    <s v="EK26Bc1K29Pa"/>
    <s v="Badelal"/>
    <n v="8"/>
    <n v="5100"/>
    <n v="638"/>
    <n v="6012"/>
    <n v="5940"/>
    <n v="0"/>
    <n v="0"/>
    <n v="47"/>
    <n v="0"/>
    <n v="72"/>
    <n v="0"/>
    <n v="5"/>
    <n v="1188"/>
    <n v="1.1647058823529413"/>
    <x v="38"/>
    <n v="0"/>
    <n v="0"/>
    <s v=" "/>
    <n v="1.1976047904191617E-2"/>
    <n v="0"/>
    <n v="0.9880239520958084"/>
    <n v="0.83333333333333337"/>
    <n v="7.166666666666667"/>
    <n v="0.89583333333333337"/>
    <n v="742.5"/>
    <n v="32.4"/>
    <n v="21.71717171717172"/>
    <n v="1.4919069767441857"/>
    <n v="1.3204940119760475"/>
  </r>
  <r>
    <x v="3"/>
    <d v="2021-11-29T00:00:00"/>
    <s v="G"/>
    <x v="4"/>
    <x v="51"/>
    <m/>
    <m/>
    <s v="NIPPLE S TYPE L SIZE PUNCHED INSPECTED"/>
    <s v="HEK23AH22"/>
    <s v="Badelal"/>
    <n v="8"/>
    <n v="19000"/>
    <n v="2375"/>
    <n v="17700"/>
    <n v="17640"/>
    <n v="0"/>
    <n v="0"/>
    <n v="0"/>
    <n v="0"/>
    <n v="60"/>
    <n v="0"/>
    <n v="2"/>
    <n v="8820"/>
    <n v="0.92842105263157892"/>
    <x v="37"/>
    <n v="0"/>
    <n v="0"/>
    <s v=" "/>
    <n v="3.3898305084745762E-3"/>
    <n v="0"/>
    <n v="0.99661016949152548"/>
    <n v="0.83333333333333337"/>
    <n v="7.166666666666667"/>
    <n v="0.89583333333333337"/>
    <n v="2205"/>
    <n v="4"/>
    <n v="2.925170068027211"/>
    <n v="1.3674418604651162"/>
    <n v="1.2208474576271187"/>
  </r>
  <r>
    <x v="3"/>
    <d v="2021-11-29T00:00:00"/>
    <s v="B"/>
    <x v="3"/>
    <x v="49"/>
    <m/>
    <s v="P1"/>
    <s v="NIPPLE S TYPE L SIZE PUNCHED"/>
    <s v="HEK24NbK29Pb"/>
    <s v="Badelal"/>
    <n v="8"/>
    <n v="7000"/>
    <n v="875"/>
    <n v="7000"/>
    <n v="7000"/>
    <n v="0"/>
    <n v="0"/>
    <n v="0"/>
    <n v="0"/>
    <n v="0"/>
    <n v="0"/>
    <n v="1"/>
    <n v="7000"/>
    <n v="1"/>
    <x v="36"/>
    <n v="0"/>
    <n v="0"/>
    <s v=" "/>
    <n v="0"/>
    <n v="0"/>
    <n v="1"/>
    <n v="0.66666666666666663"/>
    <n v="7.333333333333333"/>
    <n v="0.91666666666666663"/>
    <n v="875"/>
    <n v="3.5"/>
    <n v="3.7714285714285714"/>
    <n v="0.92803030303030309"/>
    <n v="0.85069444444444442"/>
  </r>
  <r>
    <x v="3"/>
    <d v="2021-11-29T00:00:00"/>
    <s v="B"/>
    <x v="8"/>
    <x v="50"/>
    <m/>
    <s v="LZ1"/>
    <s v="NIPPLE S TYPE L SIZE PUNCHED LASER MARKED"/>
    <s v="HEK23CH22"/>
    <s v="Badelal"/>
    <n v="8"/>
    <n v="7000"/>
    <n v="875"/>
    <n v="6800"/>
    <n v="6800"/>
    <n v="0"/>
    <n v="0"/>
    <n v="0"/>
    <n v="0"/>
    <n v="0"/>
    <n v="0"/>
    <n v="1"/>
    <n v="6800"/>
    <n v="0.97142857142857142"/>
    <x v="22"/>
    <n v="0"/>
    <n v="0"/>
    <s v=" "/>
    <n v="0"/>
    <n v="0"/>
    <n v="1"/>
    <n v="0.66666666666666663"/>
    <n v="7.333333333333333"/>
    <n v="0.91666666666666663"/>
    <n v="850"/>
    <n v="3.5"/>
    <n v="3.8823529411764706"/>
    <n v="0.90151515151515149"/>
    <n v="0.82638888888888884"/>
  </r>
  <r>
    <x v="3"/>
    <d v="2021-11-29T00:00:00"/>
    <s v="B"/>
    <x v="1"/>
    <x v="20"/>
    <s v="BM1"/>
    <s v="B1"/>
    <s v="KPP 120 ML BOTTLE MOLDED"/>
    <s v="HEK29Bb1"/>
    <s v="Badelal"/>
    <n v="8"/>
    <n v="2574"/>
    <n v="321.75"/>
    <n v="2940"/>
    <n v="2880"/>
    <n v="0.1"/>
    <n v="20"/>
    <n v="0"/>
    <n v="0"/>
    <n v="40"/>
    <n v="0"/>
    <n v="1"/>
    <n v="2880"/>
    <n v="1.118881118881119"/>
    <x v="1"/>
    <n v="21.3"/>
    <n v="62.722000000000001"/>
    <n v="0.97803003730748383"/>
    <n v="1.3698630136986301E-2"/>
    <n v="6.7567567567567571E-3"/>
    <n v="0.98639455782312924"/>
    <n v="0"/>
    <n v="8"/>
    <n v="1"/>
    <n v="360"/>
    <n v="9"/>
    <n v="10"/>
    <n v="0.9"/>
    <n v="0.88775510204081631"/>
  </r>
  <r>
    <x v="3"/>
    <d v="2021-11-29T00:00:00"/>
    <s v="B"/>
    <x v="0"/>
    <x v="10"/>
    <s v="M2"/>
    <s v="L2"/>
    <s v="NIPPLE S TYPE S SIZE INJECTION"/>
    <s v="HEK29Nb"/>
    <s v="Badelal"/>
    <n v="8"/>
    <n v="4815"/>
    <n v="601.875"/>
    <n v="5377"/>
    <n v="5300"/>
    <n v="0"/>
    <n v="25"/>
    <n v="0"/>
    <n v="0"/>
    <n v="52"/>
    <n v="0"/>
    <n v="1"/>
    <n v="5300"/>
    <n v="1.1007268951194185"/>
    <x v="0"/>
    <n v="6.8"/>
    <n v="36.563600000000001"/>
    <n v="0.98567974707085726"/>
    <n v="9.7159940209267555E-3"/>
    <n v="4.6279155868196968E-3"/>
    <n v="0.99032917984005953"/>
    <n v="0"/>
    <n v="8"/>
    <n v="1"/>
    <n v="662.5"/>
    <n v="5.25"/>
    <n v="5.4339622641509431"/>
    <n v="0.96614583333333337"/>
    <n v="0.9568024107308909"/>
  </r>
  <r>
    <x v="3"/>
    <d v="2021-11-29T00:00:00"/>
    <s v="B"/>
    <x v="0"/>
    <x v="60"/>
    <s v="M1"/>
    <s v="L1"/>
    <s v="NIPPLE S TYPE Y SIZE INJECTION"/>
    <s v="HEK29Nb"/>
    <s v="Badelal"/>
    <n v="8"/>
    <n v="3611"/>
    <n v="451.375"/>
    <n v="3965"/>
    <n v="3900"/>
    <n v="0"/>
    <n v="35"/>
    <n v="0"/>
    <n v="0"/>
    <n v="30"/>
    <n v="0"/>
    <n v="1"/>
    <n v="3900"/>
    <n v="1.0800332317917474"/>
    <x v="0"/>
    <n v="6.8"/>
    <n v="26.962"/>
    <n v="0.98360655737704916"/>
    <n v="7.6335877862595417E-3"/>
    <n v="8.7500000000000008E-3"/>
    <n v="0.99243379571248425"/>
    <n v="0"/>
    <n v="8"/>
    <n v="1"/>
    <n v="487.5"/>
    <n v="5.25"/>
    <n v="7.384615384615385"/>
    <n v="0.7109375"/>
    <n v="0.70555840163934425"/>
  </r>
  <r>
    <x v="3"/>
    <d v="2021-11-29T00:00:00"/>
    <s v="B"/>
    <x v="5"/>
    <x v="19"/>
    <s v="RECYCLE"/>
    <m/>
    <s v="CAP S TYPE MOLDED BLUE"/>
    <s v="EK29CRb"/>
    <s v="Badelal"/>
    <n v="8"/>
    <n v="4137"/>
    <n v="517.125"/>
    <n v="4512"/>
    <n v="4500"/>
    <n v="0.4"/>
    <n v="4"/>
    <n v="0"/>
    <n v="0"/>
    <n v="8"/>
    <n v="0"/>
    <n v="1"/>
    <n v="4500"/>
    <n v="1.0877447425670776"/>
    <x v="15"/>
    <n v="7.3"/>
    <n v="33.337600000000002"/>
    <n v="0.98537387214436556"/>
    <n v="1.7746228926353151E-3"/>
    <n v="8.8573959255978745E-4"/>
    <n v="0.99822695035460995"/>
    <n v="0"/>
    <n v="8"/>
    <n v="1"/>
    <n v="562.5"/>
    <n v="6"/>
    <n v="6.4"/>
    <n v="0.9375"/>
    <n v="0.93583776595744683"/>
  </r>
  <r>
    <x v="3"/>
    <d v="2021-11-29T00:00:00"/>
    <s v="C"/>
    <x v="3"/>
    <x v="49"/>
    <m/>
    <s v="P1"/>
    <s v="NIPPLE S TYPE L SIZE PUNCHED"/>
    <s v="HEK25NbK29Pc"/>
    <s v="Saurabh"/>
    <n v="8"/>
    <n v="7000"/>
    <n v="875"/>
    <n v="7000"/>
    <n v="7000"/>
    <n v="0"/>
    <n v="0"/>
    <n v="0"/>
    <n v="0"/>
    <n v="0"/>
    <n v="0"/>
    <n v="1"/>
    <n v="7000"/>
    <n v="1"/>
    <x v="36"/>
    <n v="0"/>
    <n v="0"/>
    <s v=" "/>
    <n v="0"/>
    <n v="0"/>
    <n v="1"/>
    <n v="0.33333333333333331"/>
    <n v="7.666666666666667"/>
    <n v="0.95833333333333337"/>
    <n v="875"/>
    <n v="3.5"/>
    <n v="3.9428571428571431"/>
    <n v="0.8876811594202898"/>
    <n v="0.85069444444444442"/>
  </r>
  <r>
    <x v="3"/>
    <d v="2021-11-29T00:00:00"/>
    <s v="C"/>
    <x v="8"/>
    <x v="50"/>
    <m/>
    <s v="LZ1"/>
    <s v="NIPPLE S TYPE L SIZE PUNCHED LASER MARKED"/>
    <s v="HEK24CH22"/>
    <s v="Saurabh"/>
    <n v="8"/>
    <n v="7000"/>
    <n v="875"/>
    <n v="7000"/>
    <n v="7000"/>
    <n v="0"/>
    <n v="0"/>
    <n v="0"/>
    <n v="0"/>
    <n v="0"/>
    <n v="0"/>
    <n v="1"/>
    <n v="7000"/>
    <n v="1"/>
    <x v="22"/>
    <n v="0"/>
    <n v="0"/>
    <s v=" "/>
    <n v="0"/>
    <n v="0"/>
    <n v="1"/>
    <n v="0.33333333333333331"/>
    <n v="7.666666666666667"/>
    <n v="0.95833333333333337"/>
    <n v="875"/>
    <n v="3.5"/>
    <n v="3.9428571428571431"/>
    <n v="0.8876811594202898"/>
    <n v="0.85069444444444442"/>
  </r>
  <r>
    <x v="3"/>
    <d v="2021-11-29T00:00:00"/>
    <s v="C"/>
    <x v="0"/>
    <x v="10"/>
    <s v="M2"/>
    <s v="L2"/>
    <s v="NIPPLE S TYPE S SIZE INJECTION"/>
    <s v="HEK29Nc"/>
    <s v="Saurabh"/>
    <n v="8"/>
    <n v="4815"/>
    <n v="601.875"/>
    <n v="5110"/>
    <n v="5000"/>
    <n v="0"/>
    <n v="32"/>
    <n v="0"/>
    <n v="0"/>
    <n v="62"/>
    <n v="16"/>
    <n v="1"/>
    <n v="5000"/>
    <n v="1.0384215991692627"/>
    <x v="0"/>
    <n v="6.8"/>
    <n v="34.747999999999998"/>
    <n v="0.9784735812133073"/>
    <n v="1.2248123271434215E-2"/>
    <n v="6.2232594321275769E-3"/>
    <n v="0.98786692759295502"/>
    <n v="0"/>
    <n v="8"/>
    <n v="1"/>
    <n v="625"/>
    <n v="5.25"/>
    <n v="5.76"/>
    <n v="0.91145833333333337"/>
    <n v="0.90039954337899553"/>
  </r>
  <r>
    <x v="3"/>
    <d v="2021-11-29T00:00:00"/>
    <s v="C"/>
    <x v="0"/>
    <x v="60"/>
    <s v="M1"/>
    <s v="L1"/>
    <s v="NIPPLE S TYPE Y SIZE INJECTION"/>
    <s v="HEK29Nc"/>
    <s v="Saurabh"/>
    <n v="8"/>
    <n v="3611"/>
    <n v="451.375"/>
    <n v="4065"/>
    <n v="4000"/>
    <n v="0"/>
    <n v="22"/>
    <n v="0"/>
    <n v="0"/>
    <n v="31"/>
    <n v="12"/>
    <n v="1"/>
    <n v="4000"/>
    <n v="1.1077263915812794"/>
    <x v="0"/>
    <n v="6.8"/>
    <n v="27.641999999999999"/>
    <n v="0.98400984009840098"/>
    <n v="7.6903994046142394E-3"/>
    <n v="5.3829214582823588E-3"/>
    <n v="0.99237392373923738"/>
    <n v="0"/>
    <n v="8"/>
    <n v="1"/>
    <n v="500"/>
    <n v="5.25"/>
    <n v="7.2"/>
    <n v="0.72916666666666663"/>
    <n v="0.7236059860598606"/>
  </r>
  <r>
    <x v="3"/>
    <d v="2021-11-29T00:00:00"/>
    <s v="C"/>
    <x v="5"/>
    <x v="19"/>
    <s v="RECYCLE"/>
    <m/>
    <s v="CAP S TYPE MOLDED BLUE"/>
    <s v="EK29CRc"/>
    <s v="Saurabh"/>
    <n v="8"/>
    <n v="4137"/>
    <n v="517.125"/>
    <n v="5020"/>
    <n v="5000"/>
    <n v="0"/>
    <n v="0"/>
    <n v="0"/>
    <n v="0"/>
    <n v="12"/>
    <n v="8"/>
    <n v="1"/>
    <n v="5000"/>
    <n v="1.2086052695189751"/>
    <x v="15"/>
    <n v="7.3"/>
    <n v="36.646000000000001"/>
    <n v="0.99601593625498008"/>
    <n v="2.3942537909018356E-3"/>
    <n v="0"/>
    <n v="0.99760956175298809"/>
    <n v="0"/>
    <n v="8"/>
    <n v="1"/>
    <n v="625"/>
    <n v="6"/>
    <n v="5.76"/>
    <n v="1.0416666666666667"/>
    <n v="1.0391766268260294"/>
  </r>
  <r>
    <x v="3"/>
    <d v="2021-11-29T00:00:00"/>
    <s v="C"/>
    <x v="1"/>
    <x v="20"/>
    <s v="BM1"/>
    <s v="B1"/>
    <s v="KPP 120 ML BOTTLE MOLDED"/>
    <s v="EK29Ba1"/>
    <s v="Saurabh"/>
    <n v="8"/>
    <n v="2574"/>
    <n v="321.75"/>
    <n v="2443"/>
    <n v="2340"/>
    <n v="0"/>
    <n v="41"/>
    <n v="0"/>
    <m/>
    <n v="54"/>
    <n v="8"/>
    <n v="1"/>
    <n v="2340"/>
    <n v="0.90909090909090906"/>
    <x v="1"/>
    <n v="21.3"/>
    <n v="52.035899999999998"/>
    <n v="0.9578387228817028"/>
    <n v="2.2556390977443608E-2"/>
    <n v="1.6505636070853463E-2"/>
    <n v="0.97789602947196075"/>
    <n v="0"/>
    <n v="8"/>
    <n v="1"/>
    <n v="292.5"/>
    <n v="9"/>
    <n v="12.307692307692308"/>
    <n v="0.73124999999999996"/>
    <n v="0.71508647155137128"/>
  </r>
  <r>
    <x v="3"/>
    <d v="2021-11-30T00:00:00"/>
    <s v="A"/>
    <x v="0"/>
    <x v="60"/>
    <s v="M1"/>
    <s v="L1"/>
    <s v="NIPPLE S TYPE Y SIZE INJECTION"/>
    <s v="HEK30Na"/>
    <s v="Nitin"/>
    <n v="8"/>
    <n v="3611"/>
    <n v="451.375"/>
    <n v="4300"/>
    <n v="4200"/>
    <n v="0"/>
    <n v="48"/>
    <n v="0"/>
    <n v="0"/>
    <n v="40"/>
    <n v="12"/>
    <n v="1"/>
    <n v="4200"/>
    <n v="1.1631127111603434"/>
    <x v="0"/>
    <n v="6.8"/>
    <n v="29.24"/>
    <n v="0.97674418604651159"/>
    <n v="9.433962264150943E-3"/>
    <n v="1.1039558417663294E-2"/>
    <n v="0.99069767441860468"/>
    <n v="0"/>
    <n v="8"/>
    <n v="1"/>
    <n v="525"/>
    <n v="5.25"/>
    <n v="6.8571428571428568"/>
    <n v="0.765625"/>
    <n v="0.75850290697674416"/>
  </r>
  <r>
    <x v="3"/>
    <d v="2021-11-30T00:00:00"/>
    <s v="A"/>
    <x v="0"/>
    <x v="10"/>
    <s v="M2"/>
    <s v="L2"/>
    <s v="NIPPLE S TYPE S SIZE INJECTION"/>
    <s v="HEK30Na"/>
    <s v="Nitin"/>
    <n v="8"/>
    <n v="4815"/>
    <n v="601.875"/>
    <n v="4702"/>
    <n v="4600"/>
    <n v="0"/>
    <n v="48"/>
    <n v="0"/>
    <n v="0"/>
    <n v="38"/>
    <n v="16"/>
    <n v="1"/>
    <n v="4600"/>
    <n v="0.95534787123572174"/>
    <x v="0"/>
    <n v="6.8"/>
    <n v="31.973599999999998"/>
    <n v="0.97830710336027227"/>
    <n v="8.1931867184131084E-3"/>
    <n v="1.0105263157894737E-2"/>
    <n v="0.99191833262441509"/>
    <n v="0"/>
    <n v="8"/>
    <n v="1"/>
    <n v="575"/>
    <n v="5.25"/>
    <n v="6.2608695652173916"/>
    <n v="0.83854166666666663"/>
    <n v="0.83176485183609805"/>
  </r>
  <r>
    <x v="3"/>
    <d v="2021-11-30T00:00:00"/>
    <s v="A"/>
    <x v="1"/>
    <x v="20"/>
    <s v="BM1"/>
    <s v="B1"/>
    <s v="KPP 120 ML BOTTLE MOLDED"/>
    <s v="EK30Ba1"/>
    <s v="Nitin"/>
    <n v="8"/>
    <n v="2574"/>
    <n v="321.75"/>
    <n v="2754"/>
    <n v="2700"/>
    <n v="0.2"/>
    <n v="18"/>
    <n v="0"/>
    <n v="0"/>
    <n v="28"/>
    <n v="8"/>
    <n v="1"/>
    <n v="2700"/>
    <n v="1.048951048951049"/>
    <x v="1"/>
    <n v="21.3"/>
    <n v="58.860199999999999"/>
    <n v="0.97706090023479364"/>
    <n v="1.0263929618768328E-2"/>
    <n v="6.4935064935064939E-3"/>
    <n v="0.98983297022512706"/>
    <n v="0"/>
    <n v="8"/>
    <n v="1"/>
    <n v="337.5"/>
    <n v="9"/>
    <n v="10.666666666666666"/>
    <n v="0.84375"/>
    <n v="0.83517156862745101"/>
  </r>
  <r>
    <x v="3"/>
    <d v="2021-11-30T00:00:00"/>
    <s v="A"/>
    <x v="3"/>
    <x v="49"/>
    <m/>
    <s v="P1"/>
    <s v="NIPPLE S TYPE L SIZE PUNCHED"/>
    <s v="HEK25NCk30Pa"/>
    <s v="Nitin"/>
    <n v="8"/>
    <n v="7000"/>
    <n v="875"/>
    <n v="7200"/>
    <n v="7200"/>
    <n v="0"/>
    <n v="0"/>
    <n v="0"/>
    <n v="0"/>
    <n v="0"/>
    <n v="0"/>
    <n v="1"/>
    <n v="7200"/>
    <n v="1.0285714285714285"/>
    <x v="36"/>
    <n v="0"/>
    <n v="0"/>
    <s v=" "/>
    <n v="0"/>
    <n v="0"/>
    <n v="1"/>
    <n v="0.66666666666666663"/>
    <n v="7.333333333333333"/>
    <n v="0.91666666666666663"/>
    <n v="900"/>
    <n v="3.5"/>
    <n v="3.6666666666666665"/>
    <n v="0.95454545454545459"/>
    <n v="0.875"/>
  </r>
  <r>
    <x v="3"/>
    <d v="2021-11-30T00:00:00"/>
    <s v="A"/>
    <x v="8"/>
    <x v="50"/>
    <m/>
    <s v="LZ1"/>
    <s v="NIPPLE S TYPE L SIZE PUNCHED LASER MARKED"/>
    <s v="HEK25AH22"/>
    <s v="Nitin"/>
    <n v="8"/>
    <n v="7000"/>
    <n v="875"/>
    <n v="6000"/>
    <n v="6000"/>
    <n v="0"/>
    <n v="0"/>
    <n v="0"/>
    <n v="0"/>
    <n v="0"/>
    <n v="0"/>
    <n v="1"/>
    <n v="6000"/>
    <n v="0.8571428571428571"/>
    <x v="22"/>
    <n v="0"/>
    <n v="0"/>
    <s v=" "/>
    <n v="0"/>
    <n v="0"/>
    <n v="1"/>
    <n v="0.66666666666666663"/>
    <n v="7.333333333333333"/>
    <n v="0.91666666666666663"/>
    <n v="750"/>
    <n v="3.5"/>
    <n v="4.4000000000000004"/>
    <n v="0.79545454545454541"/>
    <n v="0.72916666666666663"/>
  </r>
  <r>
    <x v="3"/>
    <d v="2021-11-30T00:00:00"/>
    <s v="A"/>
    <x v="5"/>
    <x v="19"/>
    <s v="RECYCLE"/>
    <m/>
    <s v="CAP S TYPE MOLDED BLUE"/>
    <s v="EK30CRa"/>
    <s v="Nitin"/>
    <n v="8"/>
    <n v="4137"/>
    <n v="517.125"/>
    <n v="5008"/>
    <n v="5000"/>
    <n v="0"/>
    <n v="0"/>
    <n v="0"/>
    <n v="0"/>
    <n v="0"/>
    <n v="8"/>
    <n v="1"/>
    <n v="5000"/>
    <n v="1.2086052695189751"/>
    <x v="15"/>
    <n v="7.3"/>
    <n v="36.558399999999999"/>
    <n v="0.99840255591054317"/>
    <n v="0"/>
    <n v="0"/>
    <n v="1"/>
    <n v="0"/>
    <n v="8"/>
    <n v="1"/>
    <n v="625"/>
    <n v="6"/>
    <n v="5.76"/>
    <n v="1.0416666666666667"/>
    <n v="1.0416666666666667"/>
  </r>
  <r>
    <x v="3"/>
    <d v="2021-11-30T00:00:00"/>
    <s v="G"/>
    <x v="6"/>
    <x v="52"/>
    <m/>
    <m/>
    <s v="KPP 120 ML BOTTLE PRINTED"/>
    <s v="EK29Bb1k30Pa"/>
    <s v="Badelal"/>
    <n v="8"/>
    <n v="5100"/>
    <n v="637.5"/>
    <n v="5634"/>
    <n v="5580"/>
    <n v="0"/>
    <n v="0"/>
    <n v="52"/>
    <n v="0"/>
    <n v="54"/>
    <n v="0"/>
    <n v="1"/>
    <n v="5580"/>
    <n v="1.0941176470588236"/>
    <x v="38"/>
    <n v="0"/>
    <n v="0"/>
    <s v=" "/>
    <n v="9.5846645367412137E-3"/>
    <n v="0"/>
    <n v="0.99041533546325877"/>
    <n v="0.83333333333333337"/>
    <n v="7.166666666666667"/>
    <n v="0.89583333333333337"/>
    <n v="697.5"/>
    <n v="32.4"/>
    <n v="4.623655913978495"/>
    <n v="7.0074418604651152"/>
    <n v="6.2173322683706065"/>
  </r>
  <r>
    <x v="3"/>
    <d v="2021-11-30T00:00:00"/>
    <s v="G"/>
    <x v="4"/>
    <x v="51"/>
    <m/>
    <m/>
    <s v="NIPPLE S TYPE L SIZE PUNCHED INSPECTED"/>
    <s v="HEK24BH22"/>
    <s v="Badelal"/>
    <n v="8"/>
    <n v="19000"/>
    <n v="2375"/>
    <n v="20800"/>
    <n v="20691"/>
    <n v="0"/>
    <n v="0"/>
    <n v="0"/>
    <n v="0"/>
    <n v="109"/>
    <n v="0"/>
    <n v="2"/>
    <n v="10345.5"/>
    <n v="1.089"/>
    <x v="37"/>
    <n v="0"/>
    <n v="0"/>
    <s v=" "/>
    <n v="5.2403846153846155E-3"/>
    <n v="0"/>
    <n v="0.99475961538461544"/>
    <n v="0.83333333333333337"/>
    <n v="7.166666666666667"/>
    <n v="0.89583333333333337"/>
    <n v="2586.375"/>
    <n v="4"/>
    <n v="2.493837900536465"/>
    <n v="1.6039534883720932"/>
    <n v="1.4293452223557694"/>
  </r>
  <r>
    <x v="3"/>
    <d v="2021-11-30T00:00:00"/>
    <s v="G"/>
    <x v="7"/>
    <x v="29"/>
    <m/>
    <s v="WR1"/>
    <s v="NIPPLE S TYPE LL SIZE WRAPPED"/>
    <s v="HEK24CH11"/>
    <s v="Badelal"/>
    <n v="8"/>
    <n v="16171"/>
    <n v="2021.375"/>
    <n v="16748"/>
    <n v="16740"/>
    <n v="0"/>
    <n v="0"/>
    <n v="0"/>
    <n v="0"/>
    <n v="8"/>
    <n v="0"/>
    <n v="2"/>
    <n v="8370"/>
    <n v="1.0351864448704471"/>
    <x v="24"/>
    <n v="0"/>
    <n v="0"/>
    <s v=" "/>
    <n v="4.7766897540004778E-4"/>
    <n v="0"/>
    <n v="0.99952233102459997"/>
    <n v="0.83333333333333337"/>
    <n v="7.166666666666667"/>
    <n v="0.89583333333333337"/>
    <n v="2092.5"/>
    <n v="2.5"/>
    <n v="3.0824372759856629"/>
    <n v="0.81104651162790709"/>
    <n v="0.72621544363506108"/>
  </r>
  <r>
    <x v="3"/>
    <d v="2021-11-30T00:00:00"/>
    <s v="B"/>
    <x v="5"/>
    <x v="19"/>
    <s v="RECYCLE"/>
    <s v="INJ1"/>
    <s v="CAP S TYPE MOLDED BLUE"/>
    <s v="EK30CRb"/>
    <s v="Badelal"/>
    <n v="8"/>
    <n v="4137"/>
    <n v="517.125"/>
    <n v="5008"/>
    <n v="5000"/>
    <n v="0"/>
    <n v="4"/>
    <n v="0"/>
    <n v="0"/>
    <n v="4"/>
    <n v="0"/>
    <n v="1"/>
    <n v="5000"/>
    <n v="1.2086052695189751"/>
    <x v="15"/>
    <n v="7.3"/>
    <n v="36.558399999999999"/>
    <n v="0.99840255591054317"/>
    <n v="7.993605115907274E-4"/>
    <n v="7.9808459696727857E-4"/>
    <n v="0.99920127795527158"/>
    <n v="0"/>
    <n v="8"/>
    <n v="1"/>
    <n v="625"/>
    <n v="6"/>
    <n v="5.76"/>
    <n v="1.0416666666666667"/>
    <n v="1.0408346645367412"/>
  </r>
  <r>
    <x v="3"/>
    <d v="2021-11-30T00:00:00"/>
    <s v="B"/>
    <x v="0"/>
    <x v="60"/>
    <s v="M1"/>
    <s v="L1"/>
    <s v="NIPPLE S TYPE Y SIZE INJECTION"/>
    <s v="HEK30Nb"/>
    <s v="Badelal"/>
    <n v="8"/>
    <n v="3611"/>
    <n v="451.375"/>
    <n v="3633"/>
    <n v="3590"/>
    <n v="0"/>
    <n v="0"/>
    <n v="0"/>
    <n v="0"/>
    <n v="43"/>
    <n v="0"/>
    <n v="1"/>
    <n v="3590"/>
    <n v="0.99418443644419829"/>
    <x v="0"/>
    <n v="6.8"/>
    <n v="24.7044"/>
    <n v="0.9881640517478667"/>
    <n v="1.1835948252133223E-2"/>
    <n v="0"/>
    <n v="0.98816405174786681"/>
    <n v="0"/>
    <n v="8"/>
    <n v="1"/>
    <n v="448.75"/>
    <n v="5.25"/>
    <n v="8.0222841225626738"/>
    <n v="0.65442708333333333"/>
    <n v="0.64668131824020558"/>
  </r>
  <r>
    <x v="3"/>
    <d v="2021-11-30T00:00:00"/>
    <s v="B"/>
    <x v="0"/>
    <x v="10"/>
    <s v="M2"/>
    <s v="L2"/>
    <s v="NIPPLE S TYPE S SIZE INJECTION"/>
    <s v="HEK30Nb"/>
    <s v="Badelal"/>
    <n v="8"/>
    <n v="4815"/>
    <n v="601.875"/>
    <n v="5547"/>
    <n v="5500"/>
    <n v="0"/>
    <n v="0"/>
    <n v="0"/>
    <n v="0"/>
    <n v="47"/>
    <n v="0"/>
    <n v="1"/>
    <n v="5500"/>
    <n v="1.142263759086189"/>
    <x v="0"/>
    <n v="6.8"/>
    <n v="37.7196"/>
    <n v="0.99152695150531811"/>
    <n v="8.4730484946818098E-3"/>
    <n v="0"/>
    <n v="0.99152695150531822"/>
    <n v="0"/>
    <n v="8"/>
    <n v="1"/>
    <n v="687.5"/>
    <n v="5.25"/>
    <n v="5.2363636363636363"/>
    <n v="1.0026041666666667"/>
    <n v="0.99410905294153007"/>
  </r>
  <r>
    <x v="3"/>
    <d v="2021-11-30T00:00:00"/>
    <s v="B"/>
    <x v="1"/>
    <x v="20"/>
    <s v="BM1"/>
    <s v="B1"/>
    <s v="KPP 120 ML BOTTLE MOLDED"/>
    <s v="EK30Bb1"/>
    <s v="Badelal"/>
    <n v="8"/>
    <n v="2574"/>
    <n v="321.75"/>
    <n v="2930"/>
    <n v="2880"/>
    <n v="0"/>
    <n v="20"/>
    <n v="0"/>
    <n v="0"/>
    <n v="30"/>
    <n v="0"/>
    <n v="1"/>
    <n v="2880"/>
    <n v="1.118881118881119"/>
    <x v="1"/>
    <n v="21.3"/>
    <n v="62.408999999999999"/>
    <n v="0.98293515358361783"/>
    <n v="1.0309278350515464E-2"/>
    <n v="6.7796610169491523E-3"/>
    <n v="0.98976109215017061"/>
    <n v="0"/>
    <n v="8"/>
    <n v="1"/>
    <n v="360"/>
    <n v="9"/>
    <n v="10"/>
    <n v="0.9"/>
    <n v="0.89078498293515351"/>
  </r>
  <r>
    <x v="3"/>
    <d v="2021-11-30T00:00:00"/>
    <s v="B"/>
    <x v="3"/>
    <x v="49"/>
    <m/>
    <s v="P1"/>
    <s v="NIPPLE S TYPE L SIZE PUNCHED"/>
    <s v="HEK26NaK30Pb"/>
    <s v="Badelal"/>
    <n v="8"/>
    <n v="7000"/>
    <n v="875"/>
    <n v="7000"/>
    <n v="7000"/>
    <n v="0"/>
    <n v="0"/>
    <n v="0"/>
    <n v="0"/>
    <n v="0"/>
    <n v="0"/>
    <n v="1"/>
    <n v="7000"/>
    <n v="1"/>
    <x v="36"/>
    <n v="0"/>
    <n v="0"/>
    <s v=" "/>
    <n v="0"/>
    <n v="0"/>
    <n v="1"/>
    <n v="0.66666666666666663"/>
    <n v="7.333333333333333"/>
    <n v="0.91666666666666663"/>
    <n v="875"/>
    <n v="3.5"/>
    <n v="3.7714285714285714"/>
    <n v="0.92803030303030309"/>
    <n v="0.85069444444444442"/>
  </r>
  <r>
    <x v="3"/>
    <d v="2021-11-30T00:00:00"/>
    <s v="B"/>
    <x v="8"/>
    <x v="50"/>
    <m/>
    <s v="LZ1"/>
    <s v="NIPPLE S TYPE L SIZE PUNCHED LASER MARKED"/>
    <s v="HEK25AH22"/>
    <s v="Badelal"/>
    <n v="8"/>
    <n v="7000"/>
    <n v="875"/>
    <n v="7000"/>
    <n v="7000"/>
    <n v="0"/>
    <n v="0"/>
    <n v="0"/>
    <n v="0"/>
    <n v="0"/>
    <n v="0"/>
    <n v="1"/>
    <n v="7000"/>
    <n v="1"/>
    <x v="22"/>
    <n v="0"/>
    <n v="0"/>
    <s v=" "/>
    <n v="0"/>
    <n v="0"/>
    <n v="1"/>
    <n v="0.66666666666666663"/>
    <n v="7.333333333333333"/>
    <n v="0.91666666666666663"/>
    <n v="875"/>
    <n v="3.5"/>
    <n v="3.7714285714285714"/>
    <n v="0.92803030303030309"/>
    <n v="0.85069444444444442"/>
  </r>
  <r>
    <x v="3"/>
    <d v="2021-11-30T00:00:00"/>
    <s v="C"/>
    <x v="3"/>
    <x v="49"/>
    <m/>
    <s v="P1"/>
    <s v="NIPPLE S TYPE L SIZE PUNCHED"/>
    <s v="HEK26NbK230Pc"/>
    <s v="Saurabh"/>
    <n v="8"/>
    <n v="7000"/>
    <n v="875"/>
    <n v="6900"/>
    <n v="6900"/>
    <n v="0"/>
    <n v="0"/>
    <n v="0"/>
    <n v="0"/>
    <n v="0"/>
    <n v="0"/>
    <n v="1"/>
    <n v="6900"/>
    <n v="0.98571428571428577"/>
    <x v="36"/>
    <n v="0"/>
    <n v="0"/>
    <s v=" "/>
    <n v="0"/>
    <n v="0"/>
    <n v="1"/>
    <n v="0.33333333333333331"/>
    <n v="7.666666666666667"/>
    <n v="0.95833333333333337"/>
    <n v="862.5"/>
    <n v="3.5"/>
    <n v="4"/>
    <n v="0.875"/>
    <n v="0.83854166666666674"/>
  </r>
  <r>
    <x v="3"/>
    <d v="2021-11-30T00:00:00"/>
    <s v="C"/>
    <x v="8"/>
    <x v="50"/>
    <m/>
    <s v="LZ1"/>
    <s v="NIPPLE S TYPE L SIZE PUNCHED LASER MARKED"/>
    <s v="HEK25CH22"/>
    <s v="Saurabh"/>
    <n v="8"/>
    <n v="7000"/>
    <n v="875"/>
    <n v="6200"/>
    <n v="6200"/>
    <n v="0"/>
    <n v="0"/>
    <n v="0"/>
    <n v="0"/>
    <n v="0"/>
    <n v="0"/>
    <n v="1"/>
    <n v="6200"/>
    <n v="0.88571428571428568"/>
    <x v="22"/>
    <n v="0"/>
    <n v="0"/>
    <s v=" "/>
    <n v="0"/>
    <n v="0"/>
    <n v="1"/>
    <n v="0.33333333333333331"/>
    <n v="7.666666666666667"/>
    <n v="0.95833333333333337"/>
    <n v="775"/>
    <n v="3.5"/>
    <n v="4.4516129032258061"/>
    <n v="0.78623188405797106"/>
    <n v="0.75347222222222232"/>
  </r>
  <r>
    <x v="3"/>
    <d v="2021-11-30T00:00:00"/>
    <s v="C"/>
    <x v="0"/>
    <x v="10"/>
    <s v="M2"/>
    <s v="L2"/>
    <s v="NIPPLE S TYPE S SIZE INJECTION"/>
    <s v="HEK30Nc"/>
    <s v="Saurabh"/>
    <n v="8"/>
    <n v="4815"/>
    <n v="601.875"/>
    <n v="5401"/>
    <n v="5300"/>
    <n v="0"/>
    <n v="30"/>
    <n v="0"/>
    <n v="0"/>
    <n v="55"/>
    <n v="16"/>
    <n v="1"/>
    <n v="5300"/>
    <n v="1.1007268951194185"/>
    <x v="0"/>
    <n v="6.8"/>
    <n v="36.726799999999997"/>
    <n v="0.98129975930383262"/>
    <n v="1.027077497665733E-2"/>
    <n v="5.5238445958387039E-3"/>
    <n v="0.98981670061099791"/>
    <n v="0"/>
    <n v="8"/>
    <n v="1"/>
    <n v="662.5"/>
    <n v="5.25"/>
    <n v="5.4339622641509431"/>
    <n v="0.96614583333333337"/>
    <n v="0.95630728105906315"/>
  </r>
  <r>
    <x v="3"/>
    <d v="2021-11-30T00:00:00"/>
    <s v="C"/>
    <x v="0"/>
    <x v="60"/>
    <s v="M1"/>
    <s v="L1"/>
    <s v="NIPPLE S TYPE Y SIZE INJECTION"/>
    <s v="HEK30Nc"/>
    <s v="Saurabh"/>
    <n v="8"/>
    <n v="3611"/>
    <n v="451.375"/>
    <n v="2843"/>
    <n v="2700"/>
    <n v="0"/>
    <n v="70"/>
    <n v="0"/>
    <n v="0"/>
    <n v="61"/>
    <n v="12"/>
    <n v="1"/>
    <n v="2700"/>
    <n v="0.7477153143173636"/>
    <x v="0"/>
    <n v="6.8"/>
    <n v="19.3324"/>
    <n v="0.94970102004924373"/>
    <n v="2.2093444404201378E-2"/>
    <n v="2.4030209406110538E-2"/>
    <n v="0.97854379176925788"/>
    <n v="2"/>
    <n v="6"/>
    <n v="0.75"/>
    <n v="337.5"/>
    <n v="5.25"/>
    <n v="8"/>
    <n v="0.65625"/>
    <n v="0.48162702251143158"/>
  </r>
  <r>
    <x v="3"/>
    <d v="2021-11-30T00:00:00"/>
    <s v="C"/>
    <x v="1"/>
    <x v="20"/>
    <s v="BM1"/>
    <s v="B1"/>
    <s v="KPP 120 ML BOTTLE MOLDED"/>
    <s v="EK30Bc1"/>
    <s v="Saurabh"/>
    <n v="8"/>
    <n v="2574"/>
    <n v="321.75"/>
    <n v="2778"/>
    <n v="2700"/>
    <n v="0"/>
    <n v="27"/>
    <n v="0"/>
    <n v="0"/>
    <n v="43"/>
    <n v="8"/>
    <n v="1"/>
    <n v="2700"/>
    <n v="1.048951048951049"/>
    <x v="1"/>
    <n v="21.3"/>
    <n v="59.171399999999998"/>
    <n v="0.97192224622030232"/>
    <n v="1.5676266861100983E-2"/>
    <n v="9.6256684491978616E-3"/>
    <n v="0.98452123830093596"/>
    <n v="0"/>
    <n v="8"/>
    <n v="1"/>
    <n v="337.5"/>
    <n v="9"/>
    <n v="10.666666666666666"/>
    <n v="0.84375"/>
    <n v="0.83068979481641469"/>
  </r>
  <r>
    <x v="3"/>
    <d v="2021-11-30T00:00:00"/>
    <s v="C"/>
    <x v="5"/>
    <x v="19"/>
    <s v="RECYCLE"/>
    <m/>
    <s v="CAP S TYPE MOLDED BLUE"/>
    <s v="EK30CRc"/>
    <s v="Saurabh"/>
    <n v="8"/>
    <n v="4137"/>
    <n v="517.125"/>
    <n v="5016"/>
    <n v="5000"/>
    <n v="0"/>
    <n v="0"/>
    <n v="0"/>
    <n v="0"/>
    <n v="8"/>
    <n v="8"/>
    <n v="1"/>
    <n v="5000"/>
    <n v="1.2086052695189751"/>
    <x v="15"/>
    <n v="7.3"/>
    <n v="36.616799999999998"/>
    <n v="0.99681020733652315"/>
    <n v="1.5974440894568689E-3"/>
    <n v="0"/>
    <n v="0.99840510366826152"/>
    <n v="0"/>
    <n v="8"/>
    <n v="1"/>
    <n v="625"/>
    <n v="6"/>
    <n v="5.76"/>
    <n v="1.0416666666666667"/>
    <n v="1.04000531632110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Material">
  <location ref="B154:G159" firstHeaderRow="1" firstDataRow="2" firstDataCol="1"/>
  <pivotFields count="39">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axis="axisRow" showAll="0">
      <items count="451">
        <item h="1" m="1" x="123"/>
        <item h="1" m="1" x="314"/>
        <item h="1" m="1" x="176"/>
        <item h="1" m="1" x="356"/>
        <item h="1" m="1" x="324"/>
        <item h="1" m="1" x="160"/>
        <item h="1" m="1" x="261"/>
        <item h="1" m="1" x="112"/>
        <item h="1" m="1" x="441"/>
        <item h="1" m="1" x="426"/>
        <item h="1" m="1" x="52"/>
        <item h="1" m="1" x="332"/>
        <item h="1" m="1" x="217"/>
        <item h="1" m="1" x="292"/>
        <item h="1" m="1" x="298"/>
        <item h="1" m="1" x="46"/>
        <item h="1" m="1" x="166"/>
        <item h="1" m="1" x="315"/>
        <item h="1" m="1" x="442"/>
        <item h="1" m="1" x="135"/>
        <item h="1" m="1" x="148"/>
        <item h="1" m="1" x="427"/>
        <item h="1" m="1" x="299"/>
        <item h="1" m="1" x="177"/>
        <item h="1" m="1" x="252"/>
        <item h="1" m="1" x="59"/>
        <item h="1" m="1" x="420"/>
        <item h="1" m="1" x="190"/>
        <item h="1" m="1" x="228"/>
        <item h="1" m="1" x="218"/>
        <item h="1" m="1" x="325"/>
        <item h="1" m="1" x="102"/>
        <item h="1" m="1" x="344"/>
        <item h="1" m="1" x="195"/>
        <item h="1" m="1" x="142"/>
        <item h="1" m="1" x="413"/>
        <item h="1" m="1" x="53"/>
        <item h="1" m="1" x="270"/>
        <item h="1" m="1" x="95"/>
        <item h="1" m="1" x="428"/>
        <item h="1" m="1" x="400"/>
        <item h="1" m="1" x="149"/>
        <item h="1" m="1" x="309"/>
        <item h="1" m="1" x="68"/>
        <item h="1" m="1" x="326"/>
        <item h="1" m="1" x="167"/>
        <item h="1" m="1" x="284"/>
        <item h="1" m="1" x="271"/>
        <item h="1" m="1" x="87"/>
        <item h="1" m="1" x="230"/>
        <item h="1" m="1" x="185"/>
        <item h="1" m="1" x="54"/>
        <item h="1" m="1" x="408"/>
        <item h="1" m="1" x="143"/>
        <item h="1" m="1" x="443"/>
        <item h="1" m="1" x="234"/>
        <item h="1" m="1" x="382"/>
        <item h="1" m="1" x="253"/>
        <item h="1" m="1" x="257"/>
        <item h="1" m="1" x="196"/>
        <item h="1" m="1" x="316"/>
        <item h="1" m="1" x="345"/>
        <item h="1" m="1" x="243"/>
        <item h="1" m="1" x="353"/>
        <item h="1" m="1" x="202"/>
        <item h="1" m="1" x="60"/>
        <item h="1" m="1" x="327"/>
        <item h="1" m="1" x="244"/>
        <item h="1" m="1" x="304"/>
        <item h="1" m="1" x="156"/>
        <item h="1" m="1" x="300"/>
        <item h="1" m="1" x="88"/>
        <item h="1" m="1" x="369"/>
        <item h="1" m="1" x="247"/>
        <item h="1" m="1" x="235"/>
        <item h="1" m="1" x="301"/>
        <item h="1" m="1" x="245"/>
        <item h="1" m="1" x="144"/>
        <item h="1" m="1" x="383"/>
        <item h="1" m="1" x="47"/>
        <item h="1" m="1" x="333"/>
        <item h="1" m="1" x="178"/>
        <item h="1" m="1" x="359"/>
        <item h="1" m="1" x="197"/>
        <item h="1" m="1" x="414"/>
        <item h="1" m="1" x="392"/>
        <item h="1" m="1" x="168"/>
        <item h="1" m="1" x="393"/>
        <item h="1" m="1" x="150"/>
        <item h="1" m="1" x="276"/>
        <item h="1" m="1" x="285"/>
        <item h="1" m="1" x="109"/>
        <item h="1" m="1" x="401"/>
        <item h="1" m="1" x="169"/>
        <item h="1" m="1" x="444"/>
        <item h="1" m="1" x="421"/>
        <item h="1" m="1" x="55"/>
        <item h="1" m="1" x="360"/>
        <item h="1" m="1" x="208"/>
        <item h="1" m="1" x="262"/>
        <item h="1" m="1" x="157"/>
        <item h="1" m="1" x="402"/>
        <item h="1" m="1" x="354"/>
        <item h="1" m="1" x="186"/>
        <item h="1" m="1" x="370"/>
        <item h="1" m="1" x="113"/>
        <item h="1" m="1" x="161"/>
        <item h="1" m="1" x="277"/>
        <item h="1" m="1" x="394"/>
        <item h="1" m="1" x="371"/>
        <item h="1" m="1" x="415"/>
        <item h="1" m="1" x="377"/>
        <item h="1" m="1" x="278"/>
        <item h="1" m="1" x="361"/>
        <item h="1" m="1" x="384"/>
        <item h="1" m="1" x="91"/>
        <item h="1" m="1" x="136"/>
        <item h="1" m="1" x="372"/>
        <item h="1" m="1" x="103"/>
        <item h="1" m="1" x="96"/>
        <item h="1" m="1" x="114"/>
        <item h="1" m="1" x="203"/>
        <item h="1" m="1" x="310"/>
        <item h="1" m="1" x="263"/>
        <item h="1" m="1" x="357"/>
        <item h="1" m="1" x="334"/>
        <item h="1" m="1" x="170"/>
        <item h="1" m="1" x="422"/>
        <item h="1" m="1" x="236"/>
        <item h="1" m="1" x="56"/>
        <item h="1" m="1" x="286"/>
        <item h="1" m="1" x="231"/>
        <item h="1" m="1" x="69"/>
        <item h="1" m="1" x="433"/>
        <item h="1" m="1" x="151"/>
        <item h="1" m="1" x="198"/>
        <item h="1" m="1" x="104"/>
        <item h="1" m="1" x="224"/>
        <item h="1" m="1" x="237"/>
        <item h="1" m="1" x="373"/>
        <item h="1" m="1" x="409"/>
        <item h="1" m="1" x="385"/>
        <item h="1" m="1" x="77"/>
        <item h="1" m="1" x="137"/>
        <item h="1" m="1" x="124"/>
        <item h="1" m="1" x="248"/>
        <item h="1" m="1" x="209"/>
        <item h="1" m="1" x="254"/>
        <item h="1" m="1" x="78"/>
        <item h="1" m="1" x="162"/>
        <item h="1" m="1" x="317"/>
        <item h="1" m="1" x="145"/>
        <item h="1" m="1" x="346"/>
        <item h="1" m="1" x="305"/>
        <item h="1" m="1" x="129"/>
        <item h="1" m="1" x="238"/>
        <item h="1" m="1" x="146"/>
        <item h="1" m="1" x="416"/>
        <item h="1" m="1" x="48"/>
        <item h="1" m="1" x="182"/>
        <item h="1" m="1" x="438"/>
        <item h="1" m="1" x="366"/>
        <item h="1" m="1" x="171"/>
        <item h="1" m="1" x="57"/>
        <item h="1" m="1" x="70"/>
        <item h="1" m="1" x="423"/>
        <item h="1" m="1" x="115"/>
        <item h="1" m="1" x="386"/>
        <item h="1" m="1" x="130"/>
        <item h="1" m="1" x="349"/>
        <item h="1" m="1" x="97"/>
        <item h="1" m="1" x="138"/>
        <item h="1" m="1" x="287"/>
        <item h="1" m="1" x="264"/>
        <item h="1" m="1" x="58"/>
        <item h="1" m="1" x="172"/>
        <item h="1" m="1" x="288"/>
        <item h="1" m="1" x="179"/>
        <item h="1" m="1" x="362"/>
        <item h="1" m="1" x="229"/>
        <item h="1" m="1" x="434"/>
        <item h="1" m="1" x="79"/>
        <item h="1" m="1" x="219"/>
        <item h="1" m="1" x="260"/>
        <item h="1" m="1" x="191"/>
        <item h="1" m="1" x="81"/>
        <item h="1" m="1" x="387"/>
        <item h="1" m="1" x="71"/>
        <item h="1" m="1" x="210"/>
        <item h="1" m="1" x="279"/>
        <item h="1" m="1" x="139"/>
        <item h="1" m="1" x="49"/>
        <item h="1" m="1" x="204"/>
        <item h="1" m="1" x="339"/>
        <item h="1" m="1" x="89"/>
        <item h="1" m="1" x="410"/>
        <item h="1" m="1" x="265"/>
        <item h="1" m="1" x="388"/>
        <item h="1" m="1" x="280"/>
        <item h="1" m="1" x="363"/>
        <item h="1" m="1" x="403"/>
        <item h="1" m="1" x="389"/>
        <item h="1" m="1" x="125"/>
        <item h="1" m="1" x="187"/>
        <item h="1" m="1" x="192"/>
        <item h="1" m="1" x="340"/>
        <item h="1" m="1" x="211"/>
        <item h="1" m="1" x="212"/>
        <item h="1" m="1" x="281"/>
        <item h="1" m="1" x="239"/>
        <item h="1" m="1" x="131"/>
        <item h="1" m="1" x="205"/>
        <item h="1" m="1" x="429"/>
        <item h="1" m="1" x="221"/>
        <item h="1" m="1" x="272"/>
        <item h="1" m="1" x="180"/>
        <item h="1" m="1" x="378"/>
        <item h="1" m="1" x="80"/>
        <item h="1" m="1" x="282"/>
        <item h="1" m="1" x="255"/>
        <item h="1" m="1" x="350"/>
        <item h="1" m="1" x="147"/>
        <item h="1" m="1" x="116"/>
        <item h="1" m="1" x="351"/>
        <item h="1" m="1" x="445"/>
        <item h="1" m="1" x="335"/>
        <item h="1" m="1" x="183"/>
        <item h="1" m="1" x="240"/>
        <item h="1" m="1" x="222"/>
        <item h="1" m="1" x="213"/>
        <item h="1" m="1" x="225"/>
        <item h="1" m="1" x="318"/>
        <item h="1" m="1" x="152"/>
        <item h="1" m="1" x="311"/>
        <item h="1" m="1" x="293"/>
        <item h="1" m="1" x="92"/>
        <item h="1" m="1" x="347"/>
        <item h="1" m="1" x="132"/>
        <item h="1" m="1" x="435"/>
        <item h="1" m="1" x="93"/>
        <item h="1" m="1" x="374"/>
        <item h="1" m="1" x="341"/>
        <item h="1" m="1" x="273"/>
        <item h="1" m="1" x="163"/>
        <item h="1" m="1" x="319"/>
        <item h="1" m="1" x="417"/>
        <item h="1" m="1" x="72"/>
        <item h="1" m="1" x="379"/>
        <item h="1" m="1" x="336"/>
        <item h="1" m="1" x="418"/>
        <item h="1" m="1" x="214"/>
        <item h="1" m="1" x="266"/>
        <item h="1" m="1" x="294"/>
        <item h="1" m="1" x="82"/>
        <item h="1" m="1" x="439"/>
        <item h="1" m="1" x="358"/>
        <item h="1" m="1" x="117"/>
        <item h="1" m="1" x="226"/>
        <item h="1" m="1" x="348"/>
        <item h="1" m="1" x="395"/>
        <item h="1" m="1" x="337"/>
        <item h="1" m="1" x="440"/>
        <item h="1" m="1" x="380"/>
        <item h="1" m="1" x="302"/>
        <item h="1" m="1" x="328"/>
        <item h="1" m="1" x="306"/>
        <item h="1" m="1" x="274"/>
        <item h="1" m="1" x="424"/>
        <item h="1" m="1" x="140"/>
        <item h="1" m="1" x="419"/>
        <item h="1" m="1" x="396"/>
        <item h="1" m="1" x="153"/>
        <item h="1" m="1" x="133"/>
        <item h="1" m="1" x="73"/>
        <item h="1" m="1" x="397"/>
        <item h="1" m="1" x="446"/>
        <item h="1" m="1" x="94"/>
        <item h="1" m="1" x="181"/>
        <item h="1" m="1" x="352"/>
        <item h="1" m="1" x="436"/>
        <item h="1" m="1" x="164"/>
        <item h="1" m="1" x="232"/>
        <item h="1" m="1" x="83"/>
        <item h="1" m="1" x="154"/>
        <item h="1" m="1" x="84"/>
        <item h="1" m="1" x="134"/>
        <item h="1" m="1" x="98"/>
        <item h="1" m="1" x="367"/>
        <item h="1" m="1" x="411"/>
        <item h="1" m="1" x="227"/>
        <item h="1" m="1" x="390"/>
        <item h="1" m="1" x="375"/>
        <item h="1" m="1" x="233"/>
        <item h="1" m="1" x="105"/>
        <item h="1" m="1" x="106"/>
        <item h="1" m="1" x="199"/>
        <item h="1" m="1" x="249"/>
        <item h="1" m="1" x="355"/>
        <item h="1" m="1" x="246"/>
        <item h="1" m="1" x="342"/>
        <item h="1" m="1" x="295"/>
        <item h="1" m="1" x="61"/>
        <item h="1" m="1" x="173"/>
        <item h="1" m="1" x="193"/>
        <item h="1" m="1" x="447"/>
        <item h="1" m="1" x="329"/>
        <item h="1" m="1" x="85"/>
        <item h="1" m="1" x="338"/>
        <item h="1" m="1" x="391"/>
        <item h="1" m="1" x="118"/>
        <item h="1" m="1" x="200"/>
        <item h="1" m="1" x="99"/>
        <item h="1" m="1" x="312"/>
        <item h="1" m="1" x="74"/>
        <item h="1" m="1" x="62"/>
        <item h="1" m="1" x="296"/>
        <item h="1" m="1" x="267"/>
        <item h="1" m="1" x="63"/>
        <item h="1" m="1" x="398"/>
        <item h="1" m="1" x="330"/>
        <item h="1" m="1" x="320"/>
        <item h="1" m="1" x="283"/>
        <item h="1" m="1" x="399"/>
        <item h="1" m="1" x="364"/>
        <item h="1" m="1" x="289"/>
        <item h="1" m="1" x="404"/>
        <item h="1" m="1" x="64"/>
        <item h="1" m="1" x="107"/>
        <item h="1" m="1" x="201"/>
        <item h="1" m="1" x="250"/>
        <item h="1" m="1" x="158"/>
        <item h="1" m="1" x="206"/>
        <item h="1" m="1" x="108"/>
        <item h="1" m="1" x="220"/>
        <item h="1" m="1" x="215"/>
        <item h="1" m="1" x="321"/>
        <item h="1" m="1" x="75"/>
        <item h="1" m="1" x="100"/>
        <item h="1" m="1" x="376"/>
        <item h="1" m="1" x="188"/>
        <item h="1" m="1" x="381"/>
        <item h="1" m="1" x="76"/>
        <item h="1" m="1" x="258"/>
        <item h="1" m="1" x="65"/>
        <item h="1" m="1" x="448"/>
        <item h="1" m="1" x="405"/>
        <item h="1" m="1" x="241"/>
        <item h="1" m="1" x="165"/>
        <item h="1" m="1" x="259"/>
        <item h="1" m="1" x="275"/>
        <item h="1" m="1" x="126"/>
        <item h="1" m="1" x="155"/>
        <item h="1" m="1" x="268"/>
        <item h="1" m="1" x="425"/>
        <item h="1" m="1" x="297"/>
        <item h="1" m="1" x="207"/>
        <item h="1" m="1" x="50"/>
        <item h="1" m="1" x="101"/>
        <item h="1" m="1" x="303"/>
        <item h="1" m="1" x="251"/>
        <item h="1" m="1" x="307"/>
        <item h="1" m="1" x="127"/>
        <item h="1" m="1" x="269"/>
        <item h="1" m="1" x="66"/>
        <item h="1" m="1" x="449"/>
        <item h="1" m="1" x="189"/>
        <item h="1" m="1" x="313"/>
        <item h="1" m="1" x="331"/>
        <item h="1" m="1" x="322"/>
        <item h="1" m="1" x="308"/>
        <item h="1" m="1" x="242"/>
        <item h="1" m="1" x="437"/>
        <item h="1" m="1" x="184"/>
        <item h="1" m="1" x="223"/>
        <item h="1" m="1" x="194"/>
        <item h="1" m="1" x="119"/>
        <item h="1" m="1" x="128"/>
        <item h="1" m="1" x="51"/>
        <item h="1" m="1" x="216"/>
        <item h="1" m="1" x="430"/>
        <item h="1" m="1" x="290"/>
        <item h="1" m="1" x="256"/>
        <item h="1" m="1" x="120"/>
        <item h="1" m="1" x="291"/>
        <item h="1" m="1" x="174"/>
        <item h="1" m="1" x="431"/>
        <item h="1" m="1" x="406"/>
        <item h="1" m="1" x="365"/>
        <item h="1" m="1" x="121"/>
        <item h="1" m="1" x="323"/>
        <item h="1" m="1" x="122"/>
        <item h="1" m="1" x="110"/>
        <item h="1" m="1" x="90"/>
        <item h="1" m="1" x="86"/>
        <item h="1" m="1" x="343"/>
        <item h="1" m="1" x="111"/>
        <item h="1" m="1" x="67"/>
        <item h="1" m="1" x="368"/>
        <item h="1" m="1" x="159"/>
        <item h="1" m="1" x="432"/>
        <item h="1" m="1" x="412"/>
        <item h="1" m="1" x="175"/>
        <item h="1" m="1" x="407"/>
        <item h="1" m="1" x="141"/>
        <item h="1" x="38"/>
        <item h="1" x="14"/>
        <item h="1" x="16"/>
        <item h="1" x="11"/>
        <item h="1" x="26"/>
        <item h="1" x="9"/>
        <item h="1" x="2"/>
        <item h="1" x="35"/>
        <item h="1" x="41"/>
        <item h="1" x="12"/>
        <item h="1" x="3"/>
        <item h="1" x="36"/>
        <item h="1" x="40"/>
        <item h="1" x="20"/>
        <item h="1" x="19"/>
        <item h="1" x="22"/>
        <item h="1" x="43"/>
        <item h="1" x="39"/>
        <item h="1" x="8"/>
        <item h="1" x="17"/>
        <item h="1" x="34"/>
        <item h="1" x="33"/>
        <item h="1" x="30"/>
        <item h="1" x="42"/>
        <item h="1" x="31"/>
        <item h="1" x="13"/>
        <item h="1" x="4"/>
        <item h="1" x="37"/>
        <item h="1" x="44"/>
        <item h="1" x="27"/>
        <item h="1" x="6"/>
        <item h="1" x="24"/>
        <item h="1" x="23"/>
        <item h="1" x="25"/>
        <item h="1" x="28"/>
        <item h="1" x="29"/>
        <item h="1" x="32"/>
        <item h="1" x="5"/>
        <item x="1"/>
        <item h="1" x="21"/>
        <item h="1" x="15"/>
        <item h="1" x="18"/>
        <item h="1" x="10"/>
        <item x="0"/>
        <item x="7"/>
        <item h="1" x="45"/>
        <item t="default"/>
      </items>
    </pivotField>
    <pivotField showAll="0"/>
    <pivotField showAll="0"/>
    <pivotField dataField="1" showAll="0"/>
    <pivotField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1">
    <field x="24"/>
  </rowFields>
  <rowItems count="4">
    <i>
      <x v="442"/>
    </i>
    <i>
      <x v="447"/>
    </i>
    <i>
      <x v="448"/>
    </i>
    <i t="grand">
      <x/>
    </i>
  </rowItems>
  <colFields count="1">
    <field x="0"/>
  </colFields>
  <colItems count="5">
    <i>
      <x/>
    </i>
    <i>
      <x v="1"/>
    </i>
    <i>
      <x v="2"/>
    </i>
    <i>
      <x v="3"/>
    </i>
    <i t="grand">
      <x/>
    </i>
  </colItems>
  <dataFields count="1">
    <dataField name=" Material Yield %" fld="27" subtotal="average" baseField="24" baseItem="442" numFmtId="10"/>
  </dataFields>
  <formats count="4">
    <format dxfId="107">
      <pivotArea outline="0" collapsedLevelsAreSubtotals="1" fieldPosition="0"/>
    </format>
    <format dxfId="106">
      <pivotArea outline="0" collapsedLevelsAreSubtotals="1" fieldPosition="0"/>
    </format>
    <format dxfId="105">
      <pivotArea outline="0" collapsedLevelsAreSubtotals="1" fieldPosition="0"/>
    </format>
    <format dxfId="104">
      <pivotArea outline="0" fieldPosition="0">
        <references count="1">
          <reference field="4294967294" count="1">
            <x v="0"/>
          </reference>
        </references>
      </pivotArea>
    </format>
  </formats>
  <chartFormats count="4">
    <chartFormat chart="4" format="4" series="1">
      <pivotArea type="data" outline="0" fieldPosition="0">
        <references count="2">
          <reference field="4294967294" count="1" selected="0">
            <x v="0"/>
          </reference>
          <reference field="0" count="1" selected="0">
            <x v="0"/>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2">
          <reference field="4294967294" count="1" selected="0">
            <x v="0"/>
          </reference>
          <reference field="0" count="1" selected="0">
            <x v="2"/>
          </reference>
        </references>
      </pivotArea>
    </chartFormat>
    <chartFormat chart="4" format="7"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rowHeaderCaption="Section">
  <location ref="B212:G223" firstHeaderRow="1" firstDataRow="2" firstDataCol="1"/>
  <pivotFields count="39">
    <pivotField axis="axisCol" showAll="0">
      <items count="5">
        <item x="0"/>
        <item x="1"/>
        <item x="2"/>
        <item x="3"/>
        <item t="default"/>
      </items>
    </pivotField>
    <pivotField showAll="0"/>
    <pivotField showAll="0"/>
    <pivotField axis="axisRow" showAll="0">
      <items count="12">
        <item x="1"/>
        <item x="6"/>
        <item x="5"/>
        <item x="9"/>
        <item h="1" m="1" x="10"/>
        <item x="8"/>
        <item x="0"/>
        <item h="1" x="2"/>
        <item x="3"/>
        <item x="4"/>
        <item x="7"/>
        <item t="default"/>
      </items>
    </pivotField>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85" showAll="0"/>
    <pivotField numFmtId="9" showAll="0"/>
    <pivotField dataField="1" numFmtId="2" showAll="0"/>
    <pivotField numFmtId="2" showAll="0"/>
    <pivotField numFmtId="9" showAll="0"/>
    <pivotField numFmtId="1" showAll="0"/>
    <pivotField numFmtId="187" showAll="0"/>
    <pivotField showAll="0"/>
    <pivotField numFmtId="9" showAll="0"/>
    <pivotField numFmtId="9" showAll="0"/>
  </pivotFields>
  <rowFields count="1">
    <field x="3"/>
  </rowFields>
  <rowItems count="10">
    <i>
      <x/>
    </i>
    <i>
      <x v="1"/>
    </i>
    <i>
      <x v="2"/>
    </i>
    <i>
      <x v="3"/>
    </i>
    <i>
      <x v="5"/>
    </i>
    <i>
      <x v="6"/>
    </i>
    <i>
      <x v="8"/>
    </i>
    <i>
      <x v="9"/>
    </i>
    <i>
      <x v="10"/>
    </i>
    <i t="grand">
      <x/>
    </i>
  </rowItems>
  <colFields count="1">
    <field x="0"/>
  </colFields>
  <colItems count="5">
    <i>
      <x/>
    </i>
    <i>
      <x v="1"/>
    </i>
    <i>
      <x v="2"/>
    </i>
    <i>
      <x v="3"/>
    </i>
    <i t="grand">
      <x/>
    </i>
  </colItems>
  <dataFields count="1">
    <dataField name="Break Down Hrs." fld="31" baseField="3" baseItem="0"/>
  </dataFields>
  <formats count="9">
    <format dxfId="116">
      <pivotArea outline="0" collapsedLevelsAreSubtotals="1" fieldPosition="0"/>
    </format>
    <format dxfId="115">
      <pivotArea outline="0" collapsedLevelsAreSubtotals="1" fieldPosition="0"/>
    </format>
    <format dxfId="114">
      <pivotArea outline="0" collapsedLevelsAreSubtotals="1" fieldPosition="0"/>
    </format>
    <format dxfId="113">
      <pivotArea outline="0" collapsedLevelsAreSubtotals="1" fieldPosition="0"/>
    </format>
    <format dxfId="112">
      <pivotArea outline="0" collapsedLevelsAreSubtotals="1" fieldPosition="0"/>
    </format>
    <format dxfId="111">
      <pivotArea outline="0" collapsedLevelsAreSubtotals="1" fieldPosition="0"/>
    </format>
    <format dxfId="110">
      <pivotArea outline="0" collapsedLevelsAreSubtotals="1" fieldPosition="0"/>
    </format>
    <format dxfId="109">
      <pivotArea outline="0" collapsedLevelsAreSubtotals="1" fieldPosition="0"/>
    </format>
    <format dxfId="108">
      <pivotArea outline="0" collapsedLevelsAreSubtotals="1" fieldPosition="0"/>
    </format>
  </formats>
  <chartFormats count="8">
    <chartFormat chart="15" format="4" series="1">
      <pivotArea type="data" outline="0" fieldPosition="0">
        <references count="1">
          <reference field="0" count="1" selected="0">
            <x v="0"/>
          </reference>
        </references>
      </pivotArea>
    </chartFormat>
    <chartFormat chart="15" format="5" series="1">
      <pivotArea type="data" outline="0" fieldPosition="0">
        <references count="1">
          <reference field="0" count="1" selected="0">
            <x v="1"/>
          </reference>
        </references>
      </pivotArea>
    </chartFormat>
    <chartFormat chart="15" format="6" series="1">
      <pivotArea type="data" outline="0" fieldPosition="0">
        <references count="1">
          <reference field="0" count="1" selected="0">
            <x v="2"/>
          </reference>
        </references>
      </pivotArea>
    </chartFormat>
    <chartFormat chart="15" format="7" series="1">
      <pivotArea type="data" outline="0" fieldPosition="0">
        <references count="1">
          <reference field="0" count="1" selected="0">
            <x v="3"/>
          </reference>
        </references>
      </pivotArea>
    </chartFormat>
    <chartFormat chart="21" format="0" series="1">
      <pivotArea type="data" outline="0" fieldPosition="0">
        <references count="2">
          <reference field="4294967294" count="1" selected="0">
            <x v="0"/>
          </reference>
          <reference field="0" count="1" selected="0">
            <x v="0"/>
          </reference>
        </references>
      </pivotArea>
    </chartFormat>
    <chartFormat chart="21" format="1" series="1">
      <pivotArea type="data" outline="0" fieldPosition="0">
        <references count="2">
          <reference field="4294967294" count="1" selected="0">
            <x v="0"/>
          </reference>
          <reference field="0" count="1" selected="0">
            <x v="1"/>
          </reference>
        </references>
      </pivotArea>
    </chartFormat>
    <chartFormat chart="21" format="2" series="1">
      <pivotArea type="data" outline="0" fieldPosition="0">
        <references count="2">
          <reference field="4294967294" count="1" selected="0">
            <x v="0"/>
          </reference>
          <reference field="0" count="1" selected="0">
            <x v="2"/>
          </reference>
        </references>
      </pivotArea>
    </chartFormat>
    <chartFormat chart="21"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aterial">
  <location ref="B147:G152" firstHeaderRow="1" firstDataRow="2" firstDataCol="1"/>
  <pivotFields count="39">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axis="axisRow" showAll="0">
      <items count="451">
        <item h="1" m="1" x="123"/>
        <item h="1" m="1" x="314"/>
        <item h="1" m="1" x="176"/>
        <item h="1" m="1" x="356"/>
        <item h="1" m="1" x="324"/>
        <item h="1" m="1" x="160"/>
        <item h="1" m="1" x="261"/>
        <item h="1" m="1" x="112"/>
        <item h="1" m="1" x="441"/>
        <item h="1" m="1" x="426"/>
        <item h="1" m="1" x="52"/>
        <item h="1" m="1" x="332"/>
        <item h="1" m="1" x="217"/>
        <item h="1" m="1" x="292"/>
        <item h="1" m="1" x="298"/>
        <item h="1" m="1" x="46"/>
        <item h="1" m="1" x="166"/>
        <item h="1" m="1" x="315"/>
        <item h="1" m="1" x="442"/>
        <item h="1" m="1" x="135"/>
        <item h="1" m="1" x="148"/>
        <item h="1" m="1" x="427"/>
        <item h="1" m="1" x="299"/>
        <item h="1" m="1" x="177"/>
        <item h="1" m="1" x="252"/>
        <item h="1" m="1" x="59"/>
        <item h="1" m="1" x="420"/>
        <item h="1" m="1" x="190"/>
        <item h="1" m="1" x="228"/>
        <item h="1" m="1" x="218"/>
        <item h="1" m="1" x="325"/>
        <item h="1" m="1" x="102"/>
        <item h="1" m="1" x="344"/>
        <item h="1" m="1" x="195"/>
        <item h="1" m="1" x="142"/>
        <item h="1" m="1" x="413"/>
        <item h="1" m="1" x="53"/>
        <item h="1" m="1" x="270"/>
        <item h="1" m="1" x="95"/>
        <item h="1" m="1" x="428"/>
        <item h="1" m="1" x="400"/>
        <item h="1" m="1" x="149"/>
        <item h="1" m="1" x="309"/>
        <item h="1" m="1" x="68"/>
        <item h="1" m="1" x="326"/>
        <item h="1" m="1" x="167"/>
        <item h="1" m="1" x="284"/>
        <item h="1" m="1" x="271"/>
        <item h="1" m="1" x="87"/>
        <item h="1" m="1" x="230"/>
        <item h="1" m="1" x="185"/>
        <item h="1" m="1" x="54"/>
        <item h="1" m="1" x="408"/>
        <item h="1" m="1" x="143"/>
        <item h="1" m="1" x="443"/>
        <item h="1" m="1" x="234"/>
        <item h="1" m="1" x="382"/>
        <item h="1" m="1" x="253"/>
        <item h="1" m="1" x="257"/>
        <item h="1" m="1" x="196"/>
        <item h="1" m="1" x="316"/>
        <item h="1" m="1" x="345"/>
        <item h="1" m="1" x="243"/>
        <item h="1" m="1" x="353"/>
        <item h="1" m="1" x="202"/>
        <item h="1" m="1" x="60"/>
        <item h="1" m="1" x="327"/>
        <item h="1" m="1" x="244"/>
        <item h="1" m="1" x="304"/>
        <item h="1" m="1" x="156"/>
        <item h="1" m="1" x="300"/>
        <item h="1" m="1" x="88"/>
        <item h="1" m="1" x="369"/>
        <item h="1" m="1" x="247"/>
        <item h="1" m="1" x="235"/>
        <item h="1" m="1" x="301"/>
        <item h="1" m="1" x="245"/>
        <item h="1" m="1" x="144"/>
        <item h="1" m="1" x="383"/>
        <item h="1" m="1" x="47"/>
        <item h="1" m="1" x="333"/>
        <item h="1" m="1" x="178"/>
        <item h="1" m="1" x="359"/>
        <item h="1" m="1" x="197"/>
        <item h="1" m="1" x="414"/>
        <item h="1" m="1" x="392"/>
        <item h="1" m="1" x="168"/>
        <item h="1" m="1" x="393"/>
        <item h="1" m="1" x="150"/>
        <item h="1" m="1" x="276"/>
        <item h="1" m="1" x="285"/>
        <item h="1" m="1" x="109"/>
        <item h="1" m="1" x="401"/>
        <item h="1" m="1" x="169"/>
        <item h="1" m="1" x="444"/>
        <item h="1" m="1" x="421"/>
        <item h="1" m="1" x="55"/>
        <item h="1" m="1" x="360"/>
        <item h="1" m="1" x="208"/>
        <item h="1" m="1" x="262"/>
        <item h="1" m="1" x="157"/>
        <item h="1" m="1" x="402"/>
        <item h="1" m="1" x="354"/>
        <item h="1" m="1" x="186"/>
        <item h="1" m="1" x="370"/>
        <item h="1" m="1" x="113"/>
        <item h="1" m="1" x="161"/>
        <item h="1" m="1" x="277"/>
        <item h="1" m="1" x="394"/>
        <item h="1" m="1" x="371"/>
        <item h="1" m="1" x="415"/>
        <item h="1" m="1" x="377"/>
        <item h="1" m="1" x="278"/>
        <item h="1" m="1" x="361"/>
        <item h="1" m="1" x="384"/>
        <item h="1" m="1" x="91"/>
        <item h="1" m="1" x="136"/>
        <item h="1" m="1" x="372"/>
        <item h="1" m="1" x="103"/>
        <item h="1" m="1" x="96"/>
        <item h="1" m="1" x="114"/>
        <item h="1" m="1" x="203"/>
        <item h="1" m="1" x="310"/>
        <item h="1" m="1" x="263"/>
        <item h="1" m="1" x="357"/>
        <item h="1" m="1" x="334"/>
        <item h="1" m="1" x="170"/>
        <item h="1" m="1" x="422"/>
        <item h="1" m="1" x="236"/>
        <item h="1" m="1" x="56"/>
        <item h="1" m="1" x="286"/>
        <item h="1" m="1" x="231"/>
        <item h="1" m="1" x="69"/>
        <item h="1" m="1" x="433"/>
        <item h="1" m="1" x="151"/>
        <item h="1" m="1" x="198"/>
        <item h="1" m="1" x="104"/>
        <item h="1" m="1" x="224"/>
        <item h="1" m="1" x="237"/>
        <item h="1" m="1" x="373"/>
        <item h="1" m="1" x="409"/>
        <item h="1" m="1" x="385"/>
        <item h="1" m="1" x="77"/>
        <item h="1" m="1" x="137"/>
        <item h="1" m="1" x="124"/>
        <item h="1" m="1" x="248"/>
        <item h="1" m="1" x="209"/>
        <item h="1" m="1" x="254"/>
        <item h="1" m="1" x="78"/>
        <item h="1" m="1" x="162"/>
        <item h="1" m="1" x="317"/>
        <item h="1" m="1" x="145"/>
        <item h="1" m="1" x="346"/>
        <item h="1" m="1" x="305"/>
        <item h="1" m="1" x="129"/>
        <item h="1" m="1" x="238"/>
        <item h="1" m="1" x="146"/>
        <item h="1" m="1" x="416"/>
        <item h="1" m="1" x="48"/>
        <item h="1" m="1" x="182"/>
        <item h="1" m="1" x="438"/>
        <item h="1" m="1" x="366"/>
        <item h="1" m="1" x="171"/>
        <item h="1" m="1" x="57"/>
        <item h="1" m="1" x="70"/>
        <item h="1" m="1" x="423"/>
        <item h="1" m="1" x="115"/>
        <item h="1" m="1" x="386"/>
        <item h="1" m="1" x="130"/>
        <item h="1" m="1" x="349"/>
        <item h="1" m="1" x="97"/>
        <item h="1" m="1" x="138"/>
        <item h="1" m="1" x="287"/>
        <item h="1" m="1" x="264"/>
        <item h="1" m="1" x="58"/>
        <item h="1" m="1" x="172"/>
        <item h="1" m="1" x="288"/>
        <item h="1" m="1" x="179"/>
        <item h="1" m="1" x="362"/>
        <item h="1" m="1" x="229"/>
        <item h="1" m="1" x="434"/>
        <item h="1" m="1" x="79"/>
        <item h="1" m="1" x="219"/>
        <item h="1" m="1" x="260"/>
        <item h="1" m="1" x="191"/>
        <item h="1" m="1" x="81"/>
        <item h="1" m="1" x="387"/>
        <item h="1" m="1" x="71"/>
        <item h="1" m="1" x="210"/>
        <item h="1" m="1" x="279"/>
        <item h="1" m="1" x="139"/>
        <item h="1" m="1" x="49"/>
        <item h="1" m="1" x="204"/>
        <item h="1" m="1" x="339"/>
        <item h="1" m="1" x="89"/>
        <item h="1" m="1" x="410"/>
        <item h="1" m="1" x="265"/>
        <item h="1" m="1" x="388"/>
        <item h="1" m="1" x="280"/>
        <item h="1" m="1" x="363"/>
        <item h="1" m="1" x="403"/>
        <item h="1" m="1" x="389"/>
        <item h="1" m="1" x="125"/>
        <item h="1" m="1" x="187"/>
        <item h="1" m="1" x="192"/>
        <item h="1" m="1" x="340"/>
        <item h="1" m="1" x="211"/>
        <item h="1" m="1" x="212"/>
        <item h="1" m="1" x="281"/>
        <item h="1" m="1" x="239"/>
        <item h="1" m="1" x="131"/>
        <item h="1" m="1" x="205"/>
        <item h="1" m="1" x="429"/>
        <item h="1" m="1" x="221"/>
        <item h="1" m="1" x="272"/>
        <item h="1" m="1" x="180"/>
        <item h="1" m="1" x="378"/>
        <item h="1" m="1" x="80"/>
        <item h="1" m="1" x="282"/>
        <item h="1" m="1" x="255"/>
        <item h="1" m="1" x="350"/>
        <item h="1" m="1" x="147"/>
        <item h="1" m="1" x="116"/>
        <item h="1" m="1" x="351"/>
        <item h="1" m="1" x="445"/>
        <item h="1" m="1" x="335"/>
        <item h="1" m="1" x="183"/>
        <item h="1" m="1" x="240"/>
        <item h="1" m="1" x="222"/>
        <item h="1" m="1" x="213"/>
        <item h="1" m="1" x="225"/>
        <item h="1" m="1" x="318"/>
        <item h="1" m="1" x="152"/>
        <item h="1" m="1" x="311"/>
        <item h="1" m="1" x="293"/>
        <item h="1" m="1" x="92"/>
        <item h="1" m="1" x="347"/>
        <item h="1" m="1" x="132"/>
        <item h="1" m="1" x="435"/>
        <item h="1" m="1" x="93"/>
        <item h="1" m="1" x="374"/>
        <item h="1" m="1" x="341"/>
        <item h="1" m="1" x="273"/>
        <item h="1" m="1" x="163"/>
        <item h="1" m="1" x="319"/>
        <item h="1" m="1" x="417"/>
        <item h="1" m="1" x="72"/>
        <item h="1" m="1" x="379"/>
        <item h="1" m="1" x="336"/>
        <item h="1" m="1" x="418"/>
        <item h="1" m="1" x="214"/>
        <item h="1" m="1" x="266"/>
        <item h="1" m="1" x="294"/>
        <item h="1" m="1" x="82"/>
        <item h="1" m="1" x="439"/>
        <item h="1" m="1" x="358"/>
        <item h="1" m="1" x="117"/>
        <item h="1" m="1" x="226"/>
        <item h="1" m="1" x="348"/>
        <item h="1" m="1" x="395"/>
        <item h="1" m="1" x="337"/>
        <item h="1" m="1" x="440"/>
        <item h="1" m="1" x="380"/>
        <item h="1" m="1" x="302"/>
        <item h="1" m="1" x="328"/>
        <item h="1" m="1" x="306"/>
        <item h="1" m="1" x="274"/>
        <item h="1" m="1" x="424"/>
        <item h="1" m="1" x="140"/>
        <item h="1" m="1" x="419"/>
        <item h="1" m="1" x="396"/>
        <item h="1" m="1" x="153"/>
        <item h="1" m="1" x="133"/>
        <item h="1" m="1" x="73"/>
        <item h="1" m="1" x="397"/>
        <item h="1" m="1" x="446"/>
        <item h="1" m="1" x="94"/>
        <item h="1" m="1" x="181"/>
        <item h="1" m="1" x="352"/>
        <item h="1" m="1" x="436"/>
        <item h="1" m="1" x="164"/>
        <item h="1" m="1" x="232"/>
        <item h="1" m="1" x="83"/>
        <item h="1" m="1" x="154"/>
        <item h="1" m="1" x="84"/>
        <item h="1" m="1" x="134"/>
        <item h="1" m="1" x="98"/>
        <item h="1" m="1" x="367"/>
        <item h="1" m="1" x="411"/>
        <item h="1" m="1" x="227"/>
        <item h="1" m="1" x="390"/>
        <item h="1" m="1" x="375"/>
        <item h="1" m="1" x="233"/>
        <item h="1" m="1" x="105"/>
        <item h="1" m="1" x="106"/>
        <item h="1" m="1" x="199"/>
        <item h="1" m="1" x="249"/>
        <item h="1" m="1" x="355"/>
        <item h="1" m="1" x="246"/>
        <item h="1" m="1" x="342"/>
        <item h="1" m="1" x="295"/>
        <item h="1" m="1" x="61"/>
        <item h="1" m="1" x="173"/>
        <item h="1" m="1" x="193"/>
        <item h="1" m="1" x="447"/>
        <item h="1" m="1" x="329"/>
        <item h="1" m="1" x="85"/>
        <item h="1" m="1" x="338"/>
        <item h="1" m="1" x="391"/>
        <item h="1" m="1" x="118"/>
        <item h="1" m="1" x="200"/>
        <item h="1" m="1" x="99"/>
        <item h="1" m="1" x="312"/>
        <item h="1" m="1" x="74"/>
        <item h="1" m="1" x="62"/>
        <item h="1" m="1" x="296"/>
        <item h="1" m="1" x="267"/>
        <item h="1" m="1" x="63"/>
        <item h="1" m="1" x="398"/>
        <item h="1" m="1" x="330"/>
        <item h="1" m="1" x="320"/>
        <item h="1" m="1" x="283"/>
        <item h="1" m="1" x="399"/>
        <item h="1" m="1" x="364"/>
        <item h="1" m="1" x="289"/>
        <item h="1" m="1" x="404"/>
        <item h="1" m="1" x="64"/>
        <item h="1" m="1" x="107"/>
        <item h="1" m="1" x="201"/>
        <item h="1" m="1" x="250"/>
        <item h="1" m="1" x="158"/>
        <item h="1" m="1" x="206"/>
        <item h="1" m="1" x="108"/>
        <item h="1" m="1" x="220"/>
        <item h="1" m="1" x="215"/>
        <item h="1" m="1" x="321"/>
        <item h="1" m="1" x="75"/>
        <item h="1" m="1" x="100"/>
        <item h="1" m="1" x="376"/>
        <item h="1" m="1" x="188"/>
        <item h="1" m="1" x="381"/>
        <item h="1" m="1" x="76"/>
        <item h="1" m="1" x="258"/>
        <item h="1" m="1" x="65"/>
        <item h="1" m="1" x="448"/>
        <item h="1" m="1" x="405"/>
        <item h="1" m="1" x="241"/>
        <item h="1" m="1" x="165"/>
        <item h="1" m="1" x="259"/>
        <item h="1" m="1" x="275"/>
        <item h="1" m="1" x="126"/>
        <item h="1" m="1" x="155"/>
        <item h="1" m="1" x="268"/>
        <item h="1" m="1" x="425"/>
        <item h="1" m="1" x="297"/>
        <item h="1" m="1" x="207"/>
        <item h="1" m="1" x="50"/>
        <item h="1" m="1" x="101"/>
        <item h="1" m="1" x="303"/>
        <item h="1" m="1" x="251"/>
        <item h="1" m="1" x="307"/>
        <item h="1" m="1" x="127"/>
        <item h="1" m="1" x="269"/>
        <item h="1" m="1" x="66"/>
        <item h="1" m="1" x="449"/>
        <item h="1" m="1" x="189"/>
        <item h="1" m="1" x="313"/>
        <item h="1" m="1" x="331"/>
        <item h="1" m="1" x="322"/>
        <item h="1" m="1" x="308"/>
        <item h="1" m="1" x="242"/>
        <item h="1" m="1" x="437"/>
        <item h="1" m="1" x="184"/>
        <item h="1" m="1" x="223"/>
        <item h="1" m="1" x="194"/>
        <item h="1" m="1" x="119"/>
        <item h="1" m="1" x="128"/>
        <item h="1" m="1" x="51"/>
        <item h="1" m="1" x="216"/>
        <item h="1" m="1" x="430"/>
        <item h="1" m="1" x="290"/>
        <item h="1" m="1" x="256"/>
        <item h="1" m="1" x="120"/>
        <item h="1" m="1" x="291"/>
        <item h="1" m="1" x="174"/>
        <item h="1" m="1" x="431"/>
        <item h="1" m="1" x="406"/>
        <item h="1" m="1" x="365"/>
        <item h="1" m="1" x="121"/>
        <item h="1" m="1" x="323"/>
        <item h="1" m="1" x="122"/>
        <item h="1" m="1" x="110"/>
        <item h="1" m="1" x="90"/>
        <item h="1" m="1" x="86"/>
        <item h="1" m="1" x="343"/>
        <item h="1" m="1" x="111"/>
        <item h="1" m="1" x="67"/>
        <item h="1" m="1" x="368"/>
        <item h="1" m="1" x="159"/>
        <item h="1" m="1" x="432"/>
        <item h="1" m="1" x="412"/>
        <item h="1" m="1" x="175"/>
        <item h="1" m="1" x="407"/>
        <item h="1" m="1" x="141"/>
        <item h="1" x="38"/>
        <item h="1" x="14"/>
        <item h="1" x="16"/>
        <item h="1" x="11"/>
        <item h="1" x="26"/>
        <item h="1" x="9"/>
        <item h="1" x="2"/>
        <item h="1" x="35"/>
        <item h="1" x="41"/>
        <item h="1" x="12"/>
        <item h="1" x="3"/>
        <item h="1" x="36"/>
        <item h="1" x="40"/>
        <item h="1" x="20"/>
        <item h="1" x="19"/>
        <item h="1" x="22"/>
        <item h="1" x="43"/>
        <item h="1" x="39"/>
        <item h="1" x="8"/>
        <item h="1" x="17"/>
        <item h="1" x="34"/>
        <item h="1" x="33"/>
        <item h="1" x="30"/>
        <item h="1" x="42"/>
        <item h="1" x="31"/>
        <item h="1" x="13"/>
        <item h="1" x="4"/>
        <item h="1" x="37"/>
        <item h="1" x="44"/>
        <item h="1" x="27"/>
        <item h="1" x="6"/>
        <item h="1" x="24"/>
        <item h="1" x="23"/>
        <item h="1" x="25"/>
        <item h="1" x="28"/>
        <item h="1" x="29"/>
        <item h="1" x="32"/>
        <item h="1" x="5"/>
        <item x="1"/>
        <item h="1" x="21"/>
        <item h="1" x="15"/>
        <item h="1" x="18"/>
        <item h="1" x="10"/>
        <item x="0"/>
        <item x="7"/>
        <item h="1" x="45"/>
        <item t="default"/>
      </items>
    </pivotField>
    <pivotField showAll="0"/>
    <pivotField dataField="1" showAll="0"/>
    <pivotField showAll="0"/>
    <pivotField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1">
    <field x="24"/>
  </rowFields>
  <rowItems count="4">
    <i>
      <x v="442"/>
    </i>
    <i>
      <x v="447"/>
    </i>
    <i>
      <x v="448"/>
    </i>
    <i t="grand">
      <x/>
    </i>
  </rowItems>
  <colFields count="1">
    <field x="0"/>
  </colFields>
  <colItems count="5">
    <i>
      <x/>
    </i>
    <i>
      <x v="1"/>
    </i>
    <i>
      <x v="2"/>
    </i>
    <i>
      <x v="3"/>
    </i>
    <i t="grand">
      <x/>
    </i>
  </colItems>
  <dataFields count="1">
    <dataField name="Material Consumption (KG)" fld="26" baseField="24" baseItem="0" numFmtId="189"/>
  </dataFields>
  <formats count="3">
    <format dxfId="119">
      <pivotArea outline="0" collapsedLevelsAreSubtotals="1" fieldPosition="0"/>
    </format>
    <format dxfId="118">
      <pivotArea outline="0" collapsedLevelsAreSubtotals="1" fieldPosition="0"/>
    </format>
    <format dxfId="117">
      <pivotArea outline="0" collapsedLevelsAreSubtotals="1"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Section">
  <location ref="B201:G209" firstHeaderRow="1" firstDataRow="2" firstDataCol="1"/>
  <pivotFields count="39">
    <pivotField axis="axisCol" showAll="0">
      <items count="5">
        <item x="0"/>
        <item x="1"/>
        <item x="2"/>
        <item x="3"/>
        <item t="default"/>
      </items>
    </pivotField>
    <pivotField showAll="0"/>
    <pivotField showAll="0"/>
    <pivotField axis="axisRow" showAll="0">
      <items count="12">
        <item x="1"/>
        <item x="6"/>
        <item x="5"/>
        <item x="9"/>
        <item h="1" m="1" x="10"/>
        <item h="1" x="8"/>
        <item x="0"/>
        <item h="1" x="2"/>
        <item h="1" x="3"/>
        <item x="4"/>
        <item h="1" x="7"/>
        <item t="default"/>
      </items>
    </pivotField>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dataField="1"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1">
    <field x="3"/>
  </rowFields>
  <rowItems count="7">
    <i>
      <x/>
    </i>
    <i>
      <x v="1"/>
    </i>
    <i>
      <x v="2"/>
    </i>
    <i>
      <x v="3"/>
    </i>
    <i>
      <x v="6"/>
    </i>
    <i>
      <x v="9"/>
    </i>
    <i t="grand">
      <x/>
    </i>
  </rowItems>
  <colFields count="1">
    <field x="0"/>
  </colFields>
  <colItems count="5">
    <i>
      <x/>
    </i>
    <i>
      <x v="1"/>
    </i>
    <i>
      <x v="2"/>
    </i>
    <i>
      <x v="3"/>
    </i>
    <i t="grand">
      <x/>
    </i>
  </colItems>
  <dataFields count="1">
    <dataField name="Setup rej " fld="29" subtotal="average" baseField="3" baseItem="3" numFmtId="10"/>
  </dataFields>
  <formats count="10">
    <format dxfId="129">
      <pivotArea outline="0" collapsedLevelsAreSubtotals="1" fieldPosition="0"/>
    </format>
    <format dxfId="128">
      <pivotArea outline="0" collapsedLevelsAreSubtotals="1" fieldPosition="0"/>
    </format>
    <format dxfId="127">
      <pivotArea outline="0" collapsedLevelsAreSubtotals="1" fieldPosition="0"/>
    </format>
    <format dxfId="126">
      <pivotArea outline="0" collapsedLevelsAreSubtotals="1" fieldPosition="0"/>
    </format>
    <format dxfId="125">
      <pivotArea outline="0" collapsedLevelsAreSubtotals="1" fieldPosition="0"/>
    </format>
    <format dxfId="124">
      <pivotArea outline="0" collapsedLevelsAreSubtotals="1" fieldPosition="0"/>
    </format>
    <format dxfId="123">
      <pivotArea outline="0" collapsedLevelsAreSubtotals="1" fieldPosition="0"/>
    </format>
    <format dxfId="122">
      <pivotArea outline="0" collapsedLevelsAreSubtotals="1" fieldPosition="0"/>
    </format>
    <format dxfId="121">
      <pivotArea outline="0" collapsedLevelsAreSubtotals="1" fieldPosition="0"/>
    </format>
    <format dxfId="120">
      <pivotArea outline="0" fieldPosition="0">
        <references count="1">
          <reference field="4294967294" count="1">
            <x v="0"/>
          </reference>
        </references>
      </pivotArea>
    </format>
  </formats>
  <chartFormats count="7">
    <chartFormat chart="15" format="4" series="1">
      <pivotArea type="data" outline="0" fieldPosition="0">
        <references count="1">
          <reference field="0" count="1" selected="0">
            <x v="0"/>
          </reference>
        </references>
      </pivotArea>
    </chartFormat>
    <chartFormat chart="15" format="5" series="1">
      <pivotArea type="data" outline="0" fieldPosition="0">
        <references count="1">
          <reference field="0" count="1" selected="0">
            <x v="1"/>
          </reference>
        </references>
      </pivotArea>
    </chartFormat>
    <chartFormat chart="15" format="6" series="1">
      <pivotArea type="data" outline="0" fieldPosition="0">
        <references count="1">
          <reference field="0" count="1" selected="0">
            <x v="2"/>
          </reference>
        </references>
      </pivotArea>
    </chartFormat>
    <chartFormat chart="15" format="7" series="1">
      <pivotArea type="data" outline="0" fieldPosition="0">
        <references count="1">
          <reference field="0" count="1" selected="0">
            <x v="3"/>
          </reference>
        </references>
      </pivotArea>
    </chartFormat>
    <chartFormat chart="15" format="8" series="1">
      <pivotArea type="data" outline="0" fieldPosition="0">
        <references count="2">
          <reference field="4294967294" count="1" selected="0">
            <x v="0"/>
          </reference>
          <reference field="0" count="1" selected="0">
            <x v="1"/>
          </reference>
        </references>
      </pivotArea>
    </chartFormat>
    <chartFormat chart="15" format="9" series="1">
      <pivotArea type="data" outline="0" fieldPosition="0">
        <references count="2">
          <reference field="4294967294" count="1" selected="0">
            <x v="0"/>
          </reference>
          <reference field="0" count="1" selected="0">
            <x v="2"/>
          </reference>
        </references>
      </pivotArea>
    </chartFormat>
    <chartFormat chart="15" format="1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Section">
  <location ref="B47:G144" firstHeaderRow="1" firstDataRow="2" firstDataCol="1"/>
  <pivotFields count="39">
    <pivotField axis="axisCol" showAll="0">
      <items count="5">
        <item n="Aug" x="0"/>
        <item n="Sep" x="1"/>
        <item n="Oct" x="2"/>
        <item n="Nov" x="3"/>
        <item t="default"/>
      </items>
    </pivotField>
    <pivotField showAll="0"/>
    <pivotField showAll="0"/>
    <pivotField axis="axisRow" showAll="0">
      <items count="12">
        <item x="1"/>
        <item x="6"/>
        <item x="5"/>
        <item x="9"/>
        <item m="1" x="10"/>
        <item x="8"/>
        <item x="0"/>
        <item x="2"/>
        <item x="3"/>
        <item x="4"/>
        <item x="7"/>
        <item t="default"/>
      </items>
    </pivotField>
    <pivotField axis="axisRow" showAll="0">
      <items count="86">
        <item x="20"/>
        <item x="9"/>
        <item x="18"/>
        <item x="1"/>
        <item x="35"/>
        <item x="52"/>
        <item x="17"/>
        <item x="21"/>
        <item x="14"/>
        <item x="36"/>
        <item x="10"/>
        <item x="0"/>
        <item x="47"/>
        <item x="60"/>
        <item x="11"/>
        <item x="2"/>
        <item x="48"/>
        <item x="64"/>
        <item x="15"/>
        <item x="3"/>
        <item x="49"/>
        <item x="63"/>
        <item x="33"/>
        <item x="24"/>
        <item x="27"/>
        <item x="71"/>
        <item x="62"/>
        <item x="61"/>
        <item x="77"/>
        <item x="7"/>
        <item x="72"/>
        <item x="8"/>
        <item x="73"/>
        <item x="53"/>
        <item x="43"/>
        <item x="54"/>
        <item x="67"/>
        <item x="58"/>
        <item x="65"/>
        <item x="57"/>
        <item x="66"/>
        <item x="55"/>
        <item x="13"/>
        <item x="22"/>
        <item x="59"/>
        <item x="41"/>
        <item x="39"/>
        <item x="74"/>
        <item x="46"/>
        <item x="79"/>
        <item x="76"/>
        <item x="75"/>
        <item x="45"/>
        <item x="44"/>
        <item x="56"/>
        <item x="78"/>
        <item x="25"/>
        <item x="70"/>
        <item x="50"/>
        <item x="68"/>
        <item x="16"/>
        <item x="4"/>
        <item x="51"/>
        <item x="69"/>
        <item x="82"/>
        <item x="6"/>
        <item x="83"/>
        <item x="84"/>
        <item x="37"/>
        <item x="32"/>
        <item x="80"/>
        <item x="40"/>
        <item x="31"/>
        <item x="29"/>
        <item x="5"/>
        <item x="12"/>
        <item x="19"/>
        <item x="23"/>
        <item x="26"/>
        <item x="81"/>
        <item x="28"/>
        <item x="30"/>
        <item x="34"/>
        <item x="38"/>
        <item x="42"/>
        <item t="default"/>
      </items>
    </pivotField>
    <pivotField showAll="0"/>
    <pivotField showAll="0"/>
    <pivotField subtotalTop="0" showAll="0" defaultSubtotal="0"/>
    <pivotField showAll="0"/>
    <pivotField showAll="0"/>
    <pivotField showAll="0"/>
    <pivotField numFmtId="188" showAll="0"/>
    <pivotField numFmtId="1" showAll="0"/>
    <pivotField showAll="0"/>
    <pivotField dataField="1"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2">
    <field x="3"/>
    <field x="4"/>
  </rowFields>
  <rowItems count="96">
    <i>
      <x/>
    </i>
    <i r="1">
      <x/>
    </i>
    <i r="1">
      <x v="1"/>
    </i>
    <i r="1">
      <x v="2"/>
    </i>
    <i r="1">
      <x v="3"/>
    </i>
    <i r="1">
      <x v="4"/>
    </i>
    <i r="1">
      <x v="28"/>
    </i>
    <i r="1">
      <x v="29"/>
    </i>
    <i r="1">
      <x v="30"/>
    </i>
    <i r="1">
      <x v="33"/>
    </i>
    <i r="1">
      <x v="34"/>
    </i>
    <i r="1">
      <x v="35"/>
    </i>
    <i r="1">
      <x v="36"/>
    </i>
    <i r="1">
      <x v="64"/>
    </i>
    <i>
      <x v="1"/>
    </i>
    <i r="1">
      <x v="5"/>
    </i>
    <i r="1">
      <x v="6"/>
    </i>
    <i r="1">
      <x v="7"/>
    </i>
    <i r="1">
      <x v="8"/>
    </i>
    <i r="1">
      <x v="9"/>
    </i>
    <i r="1">
      <x v="26"/>
    </i>
    <i r="1">
      <x v="27"/>
    </i>
    <i r="1">
      <x v="31"/>
    </i>
    <i r="1">
      <x v="32"/>
    </i>
    <i r="1">
      <x v="37"/>
    </i>
    <i r="1">
      <x v="38"/>
    </i>
    <i r="1">
      <x v="39"/>
    </i>
    <i r="1">
      <x v="40"/>
    </i>
    <i r="1">
      <x v="41"/>
    </i>
    <i r="1">
      <x v="42"/>
    </i>
    <i r="1">
      <x v="43"/>
    </i>
    <i r="1">
      <x v="44"/>
    </i>
    <i r="1">
      <x v="45"/>
    </i>
    <i r="1">
      <x v="46"/>
    </i>
    <i r="1">
      <x v="47"/>
    </i>
    <i r="1">
      <x v="48"/>
    </i>
    <i r="1">
      <x v="49"/>
    </i>
    <i r="1">
      <x v="50"/>
    </i>
    <i r="1">
      <x v="51"/>
    </i>
    <i r="1">
      <x v="52"/>
    </i>
    <i r="1">
      <x v="53"/>
    </i>
    <i r="1">
      <x v="54"/>
    </i>
    <i r="1">
      <x v="55"/>
    </i>
    <i r="1">
      <x v="65"/>
    </i>
    <i r="1">
      <x v="66"/>
    </i>
    <i r="1">
      <x v="67"/>
    </i>
    <i r="1">
      <x v="68"/>
    </i>
    <i r="1">
      <x v="69"/>
    </i>
    <i r="1">
      <x v="70"/>
    </i>
    <i r="1">
      <x v="71"/>
    </i>
    <i>
      <x v="2"/>
    </i>
    <i r="1">
      <x v="74"/>
    </i>
    <i r="1">
      <x v="75"/>
    </i>
    <i r="1">
      <x v="76"/>
    </i>
    <i r="1">
      <x v="77"/>
    </i>
    <i r="1">
      <x v="78"/>
    </i>
    <i r="1">
      <x v="79"/>
    </i>
    <i>
      <x v="3"/>
    </i>
    <i r="1">
      <x v="72"/>
    </i>
    <i>
      <x v="5"/>
    </i>
    <i r="1">
      <x v="56"/>
    </i>
    <i r="1">
      <x v="57"/>
    </i>
    <i r="1">
      <x v="58"/>
    </i>
    <i r="1">
      <x v="59"/>
    </i>
    <i r="1">
      <x v="83"/>
    </i>
    <i>
      <x v="6"/>
    </i>
    <i r="1">
      <x v="10"/>
    </i>
    <i r="1">
      <x v="11"/>
    </i>
    <i r="1">
      <x v="12"/>
    </i>
    <i r="1">
      <x v="13"/>
    </i>
    <i r="1">
      <x v="80"/>
    </i>
    <i>
      <x v="7"/>
    </i>
    <i r="1">
      <x v="14"/>
    </i>
    <i r="1">
      <x v="15"/>
    </i>
    <i r="1">
      <x v="16"/>
    </i>
    <i r="1">
      <x v="17"/>
    </i>
    <i r="1">
      <x v="81"/>
    </i>
    <i>
      <x v="8"/>
    </i>
    <i r="1">
      <x v="18"/>
    </i>
    <i r="1">
      <x v="19"/>
    </i>
    <i r="1">
      <x v="20"/>
    </i>
    <i r="1">
      <x v="21"/>
    </i>
    <i r="1">
      <x v="82"/>
    </i>
    <i>
      <x v="9"/>
    </i>
    <i r="1">
      <x v="60"/>
    </i>
    <i r="1">
      <x v="61"/>
    </i>
    <i r="1">
      <x v="62"/>
    </i>
    <i r="1">
      <x v="63"/>
    </i>
    <i r="1">
      <x v="84"/>
    </i>
    <i>
      <x v="10"/>
    </i>
    <i r="1">
      <x v="22"/>
    </i>
    <i r="1">
      <x v="23"/>
    </i>
    <i r="1">
      <x v="24"/>
    </i>
    <i r="1">
      <x v="25"/>
    </i>
    <i r="1">
      <x v="73"/>
    </i>
    <i t="grand">
      <x/>
    </i>
  </rowItems>
  <colFields count="1">
    <field x="0"/>
  </colFields>
  <colItems count="5">
    <i>
      <x/>
    </i>
    <i>
      <x v="1"/>
    </i>
    <i>
      <x v="2"/>
    </i>
    <i>
      <x v="3"/>
    </i>
    <i t="grand">
      <x/>
    </i>
  </colItems>
  <dataFields count="1">
    <dataField name="Good Production" fld="14" baseField="0" baseItem="0" numFmtId="189"/>
  </dataFields>
  <formats count="7">
    <format dxfId="136">
      <pivotArea dataOnly="0" fieldPosition="0">
        <references count="1">
          <reference field="3" count="0"/>
        </references>
      </pivotArea>
    </format>
    <format dxfId="135">
      <pivotArea grandRow="1" outline="0" collapsedLevelsAreSubtotals="1" fieldPosition="0"/>
    </format>
    <format dxfId="134">
      <pivotArea outline="0" collapsedLevelsAreSubtotals="1" fieldPosition="0"/>
    </format>
    <format dxfId="133">
      <pivotArea outline="0" collapsedLevelsAreSubtotals="1" fieldPosition="0"/>
    </format>
    <format dxfId="132">
      <pivotArea outline="0" collapsedLevelsAreSubtotals="1" fieldPosition="0"/>
    </format>
    <format dxfId="131">
      <pivotArea outline="0" collapsedLevelsAreSubtotals="1" fieldPosition="0"/>
    </format>
    <format dxfId="130">
      <pivotArea outline="0" collapsedLevelsAreSubtotals="1" fieldPosition="0"/>
    </format>
  </formats>
  <chartFormats count="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Section">
  <location ref="B190:G198" firstHeaderRow="1" firstDataRow="2" firstDataCol="1"/>
  <pivotFields count="39">
    <pivotField axis="axisCol" showAll="0">
      <items count="5">
        <item x="0"/>
        <item x="1"/>
        <item x="2"/>
        <item x="3"/>
        <item t="default"/>
      </items>
    </pivotField>
    <pivotField showAll="0"/>
    <pivotField showAll="0"/>
    <pivotField axis="axisRow" showAll="0">
      <items count="12">
        <item x="1"/>
        <item x="6"/>
        <item x="5"/>
        <item x="9"/>
        <item h="1" m="1" x="10"/>
        <item h="1" x="8"/>
        <item x="0"/>
        <item h="1" x="2"/>
        <item h="1" x="3"/>
        <item x="4"/>
        <item h="1" x="7"/>
        <item t="default"/>
      </items>
    </pivotField>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dataField="1"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1">
    <field x="3"/>
  </rowFields>
  <rowItems count="7">
    <i>
      <x/>
    </i>
    <i>
      <x v="1"/>
    </i>
    <i>
      <x v="2"/>
    </i>
    <i>
      <x v="3"/>
    </i>
    <i>
      <x v="6"/>
    </i>
    <i>
      <x v="9"/>
    </i>
    <i t="grand">
      <x/>
    </i>
  </rowItems>
  <colFields count="1">
    <field x="0"/>
  </colFields>
  <colItems count="5">
    <i>
      <x/>
    </i>
    <i>
      <x v="1"/>
    </i>
    <i>
      <x v="2"/>
    </i>
    <i>
      <x v="3"/>
    </i>
    <i t="grand">
      <x/>
    </i>
  </colItems>
  <dataFields count="1">
    <dataField name="Rejection %" fld="28" subtotal="average" baseField="3" baseItem="0" numFmtId="10"/>
  </dataFields>
  <formats count="10">
    <format dxfId="146">
      <pivotArea outline="0" collapsedLevelsAreSubtotals="1" fieldPosition="0"/>
    </format>
    <format dxfId="145">
      <pivotArea outline="0" collapsedLevelsAreSubtotals="1" fieldPosition="0"/>
    </format>
    <format dxfId="144">
      <pivotArea outline="0" collapsedLevelsAreSubtotals="1" fieldPosition="0"/>
    </format>
    <format dxfId="143">
      <pivotArea outline="0" collapsedLevelsAreSubtotals="1" fieldPosition="0"/>
    </format>
    <format dxfId="142">
      <pivotArea outline="0" collapsedLevelsAreSubtotals="1" fieldPosition="0"/>
    </format>
    <format dxfId="141">
      <pivotArea outline="0" collapsedLevelsAreSubtotals="1" fieldPosition="0"/>
    </format>
    <format dxfId="140">
      <pivotArea outline="0" collapsedLevelsAreSubtotals="1" fieldPosition="0"/>
    </format>
    <format dxfId="139">
      <pivotArea outline="0" collapsedLevelsAreSubtotals="1" fieldPosition="0"/>
    </format>
    <format dxfId="138">
      <pivotArea outline="0" collapsedLevelsAreSubtotals="1" fieldPosition="0"/>
    </format>
    <format dxfId="137">
      <pivotArea outline="0" fieldPosition="0">
        <references count="1">
          <reference field="4294967294" count="1">
            <x v="0"/>
          </reference>
        </references>
      </pivotArea>
    </format>
  </formats>
  <chartFormats count="4">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2" format="2" series="1">
      <pivotArea type="data" outline="0" fieldPosition="0">
        <references count="2">
          <reference field="4294967294" count="1" selected="0">
            <x v="0"/>
          </reference>
          <reference field="0" count="1" selected="0">
            <x v="2"/>
          </reference>
        </references>
      </pivotArea>
    </chartFormat>
    <chartFormat chart="12"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Section">
  <location ref="B31:G43" firstHeaderRow="1" firstDataRow="2" firstDataCol="1"/>
  <pivotFields count="39">
    <pivotField axis="axisCol" showAll="0">
      <items count="5">
        <item n="Aug" x="0"/>
        <item n="Sep" x="1"/>
        <item n="Oct" x="2"/>
        <item n="Nov" x="3"/>
        <item t="default"/>
      </items>
    </pivotField>
    <pivotField showAll="0"/>
    <pivotField showAll="0"/>
    <pivotField axis="axisRow" showAll="0">
      <items count="12">
        <item x="1"/>
        <item x="6"/>
        <item x="5"/>
        <item x="9"/>
        <item m="1" x="10"/>
        <item x="8"/>
        <item x="0"/>
        <item x="2"/>
        <item x="3"/>
        <item x="4"/>
        <item x="7"/>
        <item t="default"/>
      </items>
    </pivotField>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1">
    <field x="3"/>
  </rowFields>
  <rowItems count="11">
    <i>
      <x/>
    </i>
    <i>
      <x v="1"/>
    </i>
    <i>
      <x v="2"/>
    </i>
    <i>
      <x v="3"/>
    </i>
    <i>
      <x v="5"/>
    </i>
    <i>
      <x v="6"/>
    </i>
    <i>
      <x v="7"/>
    </i>
    <i>
      <x v="8"/>
    </i>
    <i>
      <x v="9"/>
    </i>
    <i>
      <x v="10"/>
    </i>
    <i t="grand">
      <x/>
    </i>
  </rowItems>
  <colFields count="1">
    <field x="0"/>
  </colFields>
  <colItems count="5">
    <i>
      <x/>
    </i>
    <i>
      <x v="1"/>
    </i>
    <i>
      <x v="2"/>
    </i>
    <i>
      <x v="3"/>
    </i>
    <i t="grand">
      <x/>
    </i>
  </colItems>
  <dataFields count="1">
    <dataField name="Plan vs Actual" fld="23" subtotal="average" baseField="3" baseItem="0" numFmtId="10"/>
  </dataFields>
  <formats count="8">
    <format dxfId="154">
      <pivotArea dataOnly="0" fieldPosition="0">
        <references count="1">
          <reference field="3" count="0"/>
        </references>
      </pivotArea>
    </format>
    <format dxfId="153">
      <pivotArea grandRow="1" outline="0" collapsedLevelsAreSubtotals="1" fieldPosition="0"/>
    </format>
    <format dxfId="152">
      <pivotArea outline="0" collapsedLevelsAreSubtotals="1" fieldPosition="0"/>
    </format>
    <format dxfId="151">
      <pivotArea outline="0" collapsedLevelsAreSubtotals="1" fieldPosition="0"/>
    </format>
    <format dxfId="150">
      <pivotArea outline="0" collapsedLevelsAreSubtotals="1" fieldPosition="0"/>
    </format>
    <format dxfId="149">
      <pivotArea outline="0" collapsedLevelsAreSubtotals="1" fieldPosition="0"/>
    </format>
    <format dxfId="148">
      <pivotArea outline="0" collapsedLevelsAreSubtotals="1" fieldPosition="0"/>
    </format>
    <format dxfId="147">
      <pivotArea outline="0" fieldPosition="0">
        <references count="1">
          <reference field="4294967294" count="1">
            <x v="0"/>
          </reference>
        </references>
      </pivotArea>
    </format>
  </formats>
  <chartFormats count="4">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2">
          <reference field="4294967294" count="1" selected="0">
            <x v="0"/>
          </reference>
          <reference field="0" count="1" selected="0">
            <x v="2"/>
          </reference>
        </references>
      </pivotArea>
    </chartFormat>
    <chartFormat chart="6" format="7"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Section">
  <location ref="B1:G13" firstHeaderRow="1" firstDataRow="2" firstDataCol="1"/>
  <pivotFields count="39">
    <pivotField axis="axisCol" showAll="0">
      <items count="5">
        <item n="Aug" x="0"/>
        <item n="Sep" x="1"/>
        <item n="Oct" x="2"/>
        <item n="Nov" x="3"/>
        <item t="default"/>
      </items>
    </pivotField>
    <pivotField showAll="0"/>
    <pivotField showAll="0"/>
    <pivotField axis="axisRow" showAll="0">
      <items count="12">
        <item x="1"/>
        <item x="6"/>
        <item x="5"/>
        <item x="9"/>
        <item m="1" x="10"/>
        <item x="8"/>
        <item x="0"/>
        <item x="2"/>
        <item x="3"/>
        <item x="4"/>
        <item x="7"/>
        <item t="default"/>
      </items>
    </pivotField>
    <pivotField showAll="0"/>
    <pivotField showAll="0"/>
    <pivotField showAll="0"/>
    <pivotField showAll="0"/>
    <pivotField showAll="0"/>
    <pivotField showAll="0"/>
    <pivotField showAll="0"/>
    <pivotField dataField="1" numFmtId="188"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1">
    <field x="3"/>
  </rowFields>
  <rowItems count="11">
    <i>
      <x/>
    </i>
    <i>
      <x v="1"/>
    </i>
    <i>
      <x v="2"/>
    </i>
    <i>
      <x v="3"/>
    </i>
    <i>
      <x v="5"/>
    </i>
    <i>
      <x v="6"/>
    </i>
    <i>
      <x v="7"/>
    </i>
    <i>
      <x v="8"/>
    </i>
    <i>
      <x v="9"/>
    </i>
    <i>
      <x v="10"/>
    </i>
    <i t="grand">
      <x/>
    </i>
  </rowItems>
  <colFields count="1">
    <field x="0"/>
  </colFields>
  <colItems count="5">
    <i>
      <x/>
    </i>
    <i>
      <x v="1"/>
    </i>
    <i>
      <x v="2"/>
    </i>
    <i>
      <x v="3"/>
    </i>
    <i t="grand">
      <x/>
    </i>
  </colItems>
  <dataFields count="1">
    <dataField name="Monthly Plan Qty" fld="11" baseField="0" baseItem="0"/>
  </dataFields>
  <formats count="7">
    <format dxfId="161">
      <pivotArea dataOnly="0" fieldPosition="0">
        <references count="1">
          <reference field="3" count="0"/>
        </references>
      </pivotArea>
    </format>
    <format dxfId="160">
      <pivotArea grandRow="1" outline="0" collapsedLevelsAreSubtotals="1" fieldPosition="0"/>
    </format>
    <format dxfId="159">
      <pivotArea outline="0" collapsedLevelsAreSubtotals="1" fieldPosition="0"/>
    </format>
    <format dxfId="158">
      <pivotArea outline="0" collapsedLevelsAreSubtotals="1" fieldPosition="0"/>
    </format>
    <format dxfId="157">
      <pivotArea outline="0" collapsedLevelsAreSubtotals="1" fieldPosition="0"/>
    </format>
    <format dxfId="156">
      <pivotArea outline="0" collapsedLevelsAreSubtotals="1" fieldPosition="0"/>
    </format>
    <format dxfId="155">
      <pivotArea outline="0" collapsedLevelsAreSubtotals="1" fieldPosition="0"/>
    </format>
  </format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2"/>
          </reference>
        </references>
      </pivotArea>
    </chartFormat>
    <chartFormat chart="6"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Section">
  <location ref="B17:G29" firstHeaderRow="1" firstDataRow="2" firstDataCol="1"/>
  <pivotFields count="39">
    <pivotField axis="axisCol" showAll="0">
      <items count="5">
        <item n="Aug" x="0"/>
        <item n="Sep" x="1"/>
        <item n="Oct" x="2"/>
        <item n="Nov" x="3"/>
        <item t="default"/>
      </items>
    </pivotField>
    <pivotField showAll="0"/>
    <pivotField showAll="0"/>
    <pivotField axis="axisRow" showAll="0">
      <items count="12">
        <item x="1"/>
        <item x="6"/>
        <item x="5"/>
        <item x="9"/>
        <item m="1" x="10"/>
        <item x="8"/>
        <item x="0"/>
        <item x="2"/>
        <item x="3"/>
        <item x="4"/>
        <item x="7"/>
        <item t="default"/>
      </items>
    </pivotField>
    <pivotField showAll="0"/>
    <pivotField showAll="0"/>
    <pivotField showAll="0"/>
    <pivotField showAll="0"/>
    <pivotField showAll="0"/>
    <pivotField showAll="0"/>
    <pivotField showAll="0"/>
    <pivotField numFmtId="188" showAll="0"/>
    <pivotField numFmtId="1" showAll="0"/>
    <pivotField showAll="0"/>
    <pivotField dataField="1"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1">
    <field x="3"/>
  </rowFields>
  <rowItems count="11">
    <i>
      <x/>
    </i>
    <i>
      <x v="1"/>
    </i>
    <i>
      <x v="2"/>
    </i>
    <i>
      <x v="3"/>
    </i>
    <i>
      <x v="5"/>
    </i>
    <i>
      <x v="6"/>
    </i>
    <i>
      <x v="7"/>
    </i>
    <i>
      <x v="8"/>
    </i>
    <i>
      <x v="9"/>
    </i>
    <i>
      <x v="10"/>
    </i>
    <i t="grand">
      <x/>
    </i>
  </rowItems>
  <colFields count="1">
    <field x="0"/>
  </colFields>
  <colItems count="5">
    <i>
      <x/>
    </i>
    <i>
      <x v="1"/>
    </i>
    <i>
      <x v="2"/>
    </i>
    <i>
      <x v="3"/>
    </i>
    <i t="grand">
      <x/>
    </i>
  </colItems>
  <dataFields count="1">
    <dataField name="Good Production" fld="14" baseField="0" baseItem="0" numFmtId="189"/>
  </dataFields>
  <formats count="7">
    <format dxfId="168">
      <pivotArea dataOnly="0" fieldPosition="0">
        <references count="1">
          <reference field="3" count="0"/>
        </references>
      </pivotArea>
    </format>
    <format dxfId="167">
      <pivotArea grandRow="1" outline="0" collapsedLevelsAreSubtotals="1" fieldPosition="0"/>
    </format>
    <format dxfId="166">
      <pivotArea outline="0" collapsedLevelsAreSubtotals="1" fieldPosition="0"/>
    </format>
    <format dxfId="165">
      <pivotArea outline="0" collapsedLevelsAreSubtotals="1" fieldPosition="0"/>
    </format>
    <format dxfId="164">
      <pivotArea outline="0" collapsedLevelsAreSubtotals="1" fieldPosition="0"/>
    </format>
    <format dxfId="163">
      <pivotArea outline="0" collapsedLevelsAreSubtotals="1" fieldPosition="0"/>
    </format>
    <format dxfId="162">
      <pivotArea outline="0" collapsedLevelsAreSubtotals="1" fieldPosition="0"/>
    </format>
  </formats>
  <chartFormats count="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Section">
  <location ref="B175:G187" firstHeaderRow="1" firstDataRow="2" firstDataCol="1"/>
  <pivotFields count="39">
    <pivotField axis="axisCol" showAll="0">
      <items count="5">
        <item x="0"/>
        <item x="1"/>
        <item x="2"/>
        <item x="3"/>
        <item t="default"/>
      </items>
    </pivotField>
    <pivotField showAll="0"/>
    <pivotField showAll="0"/>
    <pivotField axis="axisRow" showAll="0">
      <items count="12">
        <item x="1"/>
        <item x="6"/>
        <item x="5"/>
        <item x="9"/>
        <item m="1" x="10"/>
        <item x="8"/>
        <item x="0"/>
        <item x="2"/>
        <item x="3"/>
        <item x="4"/>
        <item x="7"/>
        <item t="default"/>
      </items>
    </pivotField>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dataField="1" showAll="0"/>
    <pivotField numFmtId="9" showAll="0"/>
    <pivotField showAll="0"/>
    <pivotField showAll="0"/>
    <pivotField showAll="0"/>
    <pivotField showAll="0"/>
    <pivotField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numFmtId="9" showAll="0"/>
  </pivotFields>
  <rowFields count="1">
    <field x="3"/>
  </rowFields>
  <rowItems count="11">
    <i>
      <x/>
    </i>
    <i>
      <x v="1"/>
    </i>
    <i>
      <x v="2"/>
    </i>
    <i>
      <x v="3"/>
    </i>
    <i>
      <x v="5"/>
    </i>
    <i>
      <x v="6"/>
    </i>
    <i>
      <x v="7"/>
    </i>
    <i>
      <x v="8"/>
    </i>
    <i>
      <x v="9"/>
    </i>
    <i>
      <x v="10"/>
    </i>
    <i t="grand">
      <x/>
    </i>
  </rowItems>
  <colFields count="1">
    <field x="0"/>
  </colFields>
  <colItems count="5">
    <i>
      <x/>
    </i>
    <i>
      <x v="1"/>
    </i>
    <i>
      <x v="2"/>
    </i>
    <i>
      <x v="3"/>
    </i>
    <i t="grand">
      <x/>
    </i>
  </colItems>
  <dataFields count="1">
    <dataField name="P.P. Output  " fld="22" subtotal="average" baseField="3" baseItem="0" numFmtId="1"/>
  </dataFields>
  <formats count="11">
    <format dxfId="179">
      <pivotArea outline="0" collapsedLevelsAreSubtotals="1" fieldPosition="0"/>
    </format>
    <format dxfId="178">
      <pivotArea outline="0" collapsedLevelsAreSubtotals="1" fieldPosition="0"/>
    </format>
    <format dxfId="177">
      <pivotArea outline="0" collapsedLevelsAreSubtotals="1" fieldPosition="0"/>
    </format>
    <format dxfId="176">
      <pivotArea outline="0" fieldPosition="0">
        <references count="1">
          <reference field="4294967294" count="1">
            <x v="0"/>
          </reference>
        </references>
      </pivotArea>
    </format>
    <format dxfId="175">
      <pivotArea outline="0" fieldPosition="0">
        <references count="1">
          <reference field="4294967294" count="1">
            <x v="0"/>
          </reference>
        </references>
      </pivotArea>
    </format>
    <format dxfId="174">
      <pivotArea outline="0" collapsedLevelsAreSubtotals="1" fieldPosition="0"/>
    </format>
    <format dxfId="173">
      <pivotArea outline="0" collapsedLevelsAreSubtotals="1" fieldPosition="0"/>
    </format>
    <format dxfId="172">
      <pivotArea outline="0" collapsedLevelsAreSubtotals="1" fieldPosition="0"/>
    </format>
    <format dxfId="171">
      <pivotArea outline="0" collapsedLevelsAreSubtotals="1" fieldPosition="0"/>
    </format>
    <format dxfId="170">
      <pivotArea outline="0" collapsedLevelsAreSubtotals="1" fieldPosition="0"/>
    </format>
    <format dxfId="169">
      <pivotArea outline="0" collapsedLevelsAreSubtotals="1" fieldPosition="0"/>
    </format>
  </formats>
  <chartFormats count="4">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 chart="9" format="2" series="1">
      <pivotArea type="data" outline="0" fieldPosition="0">
        <references count="2">
          <reference field="4294967294" count="1" selected="0">
            <x v="0"/>
          </reference>
          <reference field="0" count="1" selected="0">
            <x v="2"/>
          </reference>
        </references>
      </pivotArea>
    </chartFormat>
    <chartFormat chart="9"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rowHeaderCaption="Section">
  <location ref="B226:G237" firstHeaderRow="1" firstDataRow="2" firstDataCol="1"/>
  <pivotFields count="39">
    <pivotField axis="axisCol" showAll="0">
      <items count="5">
        <item x="0"/>
        <item x="1"/>
        <item x="2"/>
        <item x="3"/>
        <item t="default"/>
      </items>
    </pivotField>
    <pivotField showAll="0"/>
    <pivotField showAll="0"/>
    <pivotField axis="axisRow" showAll="0">
      <items count="12">
        <item x="1"/>
        <item x="6"/>
        <item x="5"/>
        <item x="9"/>
        <item h="1" m="1" x="10"/>
        <item x="8"/>
        <item x="0"/>
        <item h="1" x="2"/>
        <item x="3"/>
        <item x="4"/>
        <item x="7"/>
        <item t="default"/>
      </items>
    </pivotField>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85" showAll="0"/>
    <pivotField numFmtId="9" showAll="0"/>
    <pivotField numFmtId="2" showAll="0"/>
    <pivotField numFmtId="2" showAll="0"/>
    <pivotField numFmtId="9" showAll="0"/>
    <pivotField numFmtId="1" showAll="0"/>
    <pivotField numFmtId="187" showAll="0"/>
    <pivotField dataField="1" showAll="0"/>
    <pivotField numFmtId="9" showAll="0"/>
    <pivotField numFmtId="9" showAll="0"/>
  </pivotFields>
  <rowFields count="1">
    <field x="3"/>
  </rowFields>
  <rowItems count="10">
    <i>
      <x/>
    </i>
    <i>
      <x v="1"/>
    </i>
    <i>
      <x v="2"/>
    </i>
    <i>
      <x v="3"/>
    </i>
    <i>
      <x v="5"/>
    </i>
    <i>
      <x v="6"/>
    </i>
    <i>
      <x v="8"/>
    </i>
    <i>
      <x v="9"/>
    </i>
    <i>
      <x v="10"/>
    </i>
    <i t="grand">
      <x/>
    </i>
  </rowItems>
  <colFields count="1">
    <field x="0"/>
  </colFields>
  <colItems count="5">
    <i>
      <x/>
    </i>
    <i>
      <x v="1"/>
    </i>
    <i>
      <x v="2"/>
    </i>
    <i>
      <x v="3"/>
    </i>
    <i t="grand">
      <x/>
    </i>
  </colItems>
  <dataFields count="1">
    <dataField name="Actual Cycle Time " fld="36" subtotal="average" baseField="3" baseItem="5" numFmtId="187"/>
  </dataFields>
  <formats count="10">
    <format dxfId="189">
      <pivotArea outline="0" collapsedLevelsAreSubtotals="1" fieldPosition="0"/>
    </format>
    <format dxfId="188">
      <pivotArea outline="0" collapsedLevelsAreSubtotals="1" fieldPosition="0"/>
    </format>
    <format dxfId="187">
      <pivotArea outline="0" collapsedLevelsAreSubtotals="1" fieldPosition="0"/>
    </format>
    <format dxfId="186">
      <pivotArea outline="0" collapsedLevelsAreSubtotals="1" fieldPosition="0"/>
    </format>
    <format dxfId="185">
      <pivotArea outline="0" collapsedLevelsAreSubtotals="1" fieldPosition="0"/>
    </format>
    <format dxfId="184">
      <pivotArea outline="0" collapsedLevelsAreSubtotals="1" fieldPosition="0"/>
    </format>
    <format dxfId="183">
      <pivotArea outline="0" collapsedLevelsAreSubtotals="1" fieldPosition="0"/>
    </format>
    <format dxfId="182">
      <pivotArea outline="0" collapsedLevelsAreSubtotals="1" fieldPosition="0"/>
    </format>
    <format dxfId="181">
      <pivotArea outline="0" collapsedLevelsAreSubtotals="1" fieldPosition="0"/>
    </format>
    <format dxfId="180">
      <pivotArea outline="0" collapsedLevelsAreSubtotals="1" fieldPosition="0"/>
    </format>
  </formats>
  <chartFormats count="8">
    <chartFormat chart="15" format="4" series="1">
      <pivotArea type="data" outline="0" fieldPosition="0">
        <references count="1">
          <reference field="0" count="1" selected="0">
            <x v="0"/>
          </reference>
        </references>
      </pivotArea>
    </chartFormat>
    <chartFormat chart="15" format="5" series="1">
      <pivotArea type="data" outline="0" fieldPosition="0">
        <references count="1">
          <reference field="0" count="1" selected="0">
            <x v="1"/>
          </reference>
        </references>
      </pivotArea>
    </chartFormat>
    <chartFormat chart="15" format="6" series="1">
      <pivotArea type="data" outline="0" fieldPosition="0">
        <references count="1">
          <reference field="0" count="1" selected="0">
            <x v="2"/>
          </reference>
        </references>
      </pivotArea>
    </chartFormat>
    <chartFormat chart="15" format="7" series="1">
      <pivotArea type="data" outline="0" fieldPosition="0">
        <references count="1">
          <reference field="0" count="1" selected="0">
            <x v="3"/>
          </reference>
        </references>
      </pivotArea>
    </chartFormat>
    <chartFormat chart="27" format="0" series="1">
      <pivotArea type="data" outline="0" fieldPosition="0">
        <references count="2">
          <reference field="4294967294" count="1" selected="0">
            <x v="0"/>
          </reference>
          <reference field="0" count="1" selected="0">
            <x v="0"/>
          </reference>
        </references>
      </pivotArea>
    </chartFormat>
    <chartFormat chart="27" format="1" series="1">
      <pivotArea type="data" outline="0" fieldPosition="0">
        <references count="2">
          <reference field="4294967294" count="1" selected="0">
            <x v="0"/>
          </reference>
          <reference field="0" count="1" selected="0">
            <x v="1"/>
          </reference>
        </references>
      </pivotArea>
    </chartFormat>
    <chartFormat chart="27" format="2" series="1">
      <pivotArea type="data" outline="0" fieldPosition="0">
        <references count="2">
          <reference field="4294967294" count="1" selected="0">
            <x v="0"/>
          </reference>
          <reference field="0" count="1" selected="0">
            <x v="2"/>
          </reference>
        </references>
      </pivotArea>
    </chartFormat>
    <chartFormat chart="27"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Section">
  <location ref="B161:G171" firstHeaderRow="1" firstDataRow="2" firstDataCol="1"/>
  <pivotFields count="39">
    <pivotField axis="axisCol" showAll="0">
      <items count="5">
        <item x="0"/>
        <item x="1"/>
        <item x="2"/>
        <item x="3"/>
        <item t="default"/>
      </items>
    </pivotField>
    <pivotField showAll="0"/>
    <pivotField showAll="0"/>
    <pivotField axis="axisRow" showAll="0">
      <items count="12">
        <item x="1"/>
        <item x="6"/>
        <item x="5"/>
        <item x="9"/>
        <item h="1" m="1" x="10"/>
        <item x="8"/>
        <item x="0"/>
        <item h="1" x="2"/>
        <item x="3"/>
        <item h="1" x="4"/>
        <item x="7"/>
        <item t="default"/>
      </items>
    </pivotField>
    <pivotField showAll="0"/>
    <pivotField showAll="0"/>
    <pivotField showAll="0"/>
    <pivotField showAll="0"/>
    <pivotField showAll="0"/>
    <pivotField showAll="0"/>
    <pivotField showAll="0"/>
    <pivotField numFmtId="188"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85" showAll="0"/>
    <pivotField numFmtId="9" showAll="0"/>
    <pivotField numFmtId="2" showAll="0"/>
    <pivotField numFmtId="2" showAll="0"/>
    <pivotField numFmtId="9" showAll="0"/>
    <pivotField numFmtId="1" showAll="0"/>
    <pivotField numFmtId="187" showAll="0"/>
    <pivotField showAll="0"/>
    <pivotField numFmtId="9" showAll="0"/>
    <pivotField dataField="1" numFmtId="9" showAll="0"/>
  </pivotFields>
  <rowFields count="1">
    <field x="3"/>
  </rowFields>
  <rowItems count="9">
    <i>
      <x/>
    </i>
    <i>
      <x v="1"/>
    </i>
    <i>
      <x v="2"/>
    </i>
    <i>
      <x v="3"/>
    </i>
    <i>
      <x v="5"/>
    </i>
    <i>
      <x v="6"/>
    </i>
    <i>
      <x v="8"/>
    </i>
    <i>
      <x v="10"/>
    </i>
    <i t="grand">
      <x/>
    </i>
  </rowItems>
  <colFields count="1">
    <field x="0"/>
  </colFields>
  <colItems count="5">
    <i>
      <x/>
    </i>
    <i>
      <x v="1"/>
    </i>
    <i>
      <x v="2"/>
    </i>
    <i>
      <x v="3"/>
    </i>
    <i t="grand">
      <x/>
    </i>
  </colItems>
  <dataFields count="1">
    <dataField name="OEE " fld="38" subtotal="average" baseField="3" baseItem="6" numFmtId="10"/>
  </dataFields>
  <formats count="4">
    <format dxfId="193">
      <pivotArea outline="0" collapsedLevelsAreSubtotals="1" fieldPosition="0"/>
    </format>
    <format dxfId="192">
      <pivotArea outline="0" collapsedLevelsAreSubtotals="1" fieldPosition="0"/>
    </format>
    <format dxfId="191">
      <pivotArea outline="0" collapsedLevelsAreSubtotals="1" fieldPosition="0"/>
    </format>
    <format dxfId="190">
      <pivotArea outline="0" fieldPosition="0">
        <references count="1">
          <reference field="4294967294" count="1">
            <x v="0"/>
          </reference>
        </references>
      </pivotArea>
    </format>
  </format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2"/>
          </reference>
        </references>
      </pivotArea>
    </chartFormat>
    <chartFormat chart="5"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compact="0" compactData="0" gridDropZones="1" multipleFieldFilters="0">
  <location ref="A3:H13" firstHeaderRow="1" firstDataRow="2" firstDataCol="1" rowPageCount="1" colPageCount="1"/>
  <pivotFields count="38">
    <pivotField axis="axisPage" compact="0" numFmtId="16" outline="0" multipleItemSelectionAllowed="1" showAll="0">
      <items count="268">
        <item h="1" x="22"/>
        <item m="1" x="110"/>
        <item m="1" x="209"/>
        <item m="1" x="73"/>
        <item m="1" x="179"/>
        <item m="1" x="238"/>
        <item m="1" x="102"/>
        <item m="1" x="62"/>
        <item m="1" x="167"/>
        <item m="1" x="226"/>
        <item m="1" x="92"/>
        <item m="1" x="193"/>
        <item m="1" x="52"/>
        <item m="1" x="155"/>
        <item m="1" x="255"/>
        <item m="1" x="215"/>
        <item m="1" x="82"/>
        <item m="1" x="186"/>
        <item m="1" x="42"/>
        <item m="1" x="143"/>
        <item m="1" x="244"/>
        <item m="1" x="206"/>
        <item h="1" x="23"/>
        <item m="1" x="122"/>
        <item m="1" x="239"/>
        <item m="1" x="168"/>
        <item m="1" x="24"/>
        <item m="1" x="126"/>
        <item m="1" x="227"/>
        <item m="1" x="93"/>
        <item m="1" x="156"/>
        <item m="1" x="256"/>
        <item m="1" x="115"/>
        <item m="1" x="216"/>
        <item m="1" x="83"/>
        <item m="1" x="144"/>
        <item m="1" x="245"/>
        <item m="1" x="107"/>
        <item m="1" x="207"/>
        <item m="1" x="69"/>
        <item m="1" x="174"/>
        <item m="1" x="132"/>
        <item m="1" x="234"/>
        <item m="1" x="98"/>
        <item m="1" x="198"/>
        <item m="1" x="58"/>
        <item m="1" x="162"/>
        <item m="1" x="79"/>
        <item m="1" x="184"/>
        <item m="1" x="38"/>
        <item m="1" x="139"/>
        <item m="1" x="242"/>
        <item m="1" x="105"/>
        <item m="1" x="66"/>
        <item m="1" x="172"/>
        <item m="1" x="26"/>
        <item m="1" x="128"/>
        <item m="1" x="260"/>
        <item m="1" x="119"/>
        <item m="1" x="220"/>
        <item m="1" x="87"/>
        <item m="1" x="47"/>
        <item m="1" x="149"/>
        <item m="1" x="250"/>
        <item m="1" x="111"/>
        <item m="1" x="210"/>
        <item m="1" x="74"/>
        <item m="1" x="34"/>
        <item m="1" x="201"/>
        <item m="1" x="53"/>
        <item m="1" x="157"/>
        <item m="1" x="257"/>
        <item m="1" x="116"/>
        <item m="1" x="84"/>
        <item m="1" x="187"/>
        <item m="1" x="43"/>
        <item m="1" x="145"/>
        <item m="1" x="246"/>
        <item m="1" x="70"/>
        <item m="1" x="175"/>
        <item m="1" x="30"/>
        <item m="1" x="133"/>
        <item m="1" x="235"/>
        <item m="1" x="99"/>
        <item m="1" x="59"/>
        <item m="1" x="163"/>
        <item m="1" x="263"/>
        <item m="1" x="123"/>
        <item m="1" x="89"/>
        <item m="1" x="50"/>
        <item m="1" x="152"/>
        <item m="1" x="253"/>
        <item m="1" x="39"/>
        <item m="1" x="140"/>
        <item m="1" x="243"/>
        <item m="1" x="106"/>
        <item m="1" x="204"/>
        <item m="1" x="67"/>
        <item m="1" x="27"/>
        <item m="1" x="129"/>
        <item m="1" x="231"/>
        <item m="1" x="96"/>
        <item m="1" x="195"/>
        <item m="1" x="57"/>
        <item m="1" x="261"/>
        <item m="1" x="120"/>
        <item m="1" x="221"/>
        <item m="1" x="88"/>
        <item m="1" x="190"/>
        <item m="1" x="48"/>
        <item m="1" x="211"/>
        <item m="1" x="75"/>
        <item m="1" x="180"/>
        <item m="1" x="35"/>
        <item m="1" x="54"/>
        <item m="1" x="158"/>
        <item m="1" x="258"/>
        <item m="1" x="117"/>
        <item m="1" x="217"/>
        <item m="1" x="188"/>
        <item m="1" x="44"/>
        <item m="1" x="146"/>
        <item m="1" x="247"/>
        <item m="1" x="108"/>
        <item m="1" x="176"/>
        <item m="1" x="31"/>
        <item m="1" x="134"/>
        <item m="1" x="236"/>
        <item m="1" x="100"/>
        <item m="1" x="199"/>
        <item m="1" x="164"/>
        <item m="1" x="264"/>
        <item m="1" x="124"/>
        <item m="1" x="223"/>
        <item m="1" x="90"/>
        <item m="1" x="191"/>
        <item m="1" x="28"/>
        <item m="1" x="130"/>
        <item m="1" x="232"/>
        <item m="1" x="97"/>
        <item m="1" x="196"/>
        <item m="1" x="161"/>
        <item m="1" x="262"/>
        <item m="1" x="121"/>
        <item m="1" x="222"/>
        <item m="1" x="150"/>
        <item m="1" x="251"/>
        <item m="1" x="112"/>
        <item m="1" x="212"/>
        <item m="1" x="76"/>
        <item m="1" x="181"/>
        <item m="1" x="137"/>
        <item m="1" x="240"/>
        <item m="1" x="103"/>
        <item m="1" x="202"/>
        <item m="1" x="63"/>
        <item m="1" x="169"/>
        <item m="1" x="228"/>
        <item m="1" x="147"/>
        <item m="1" x="248"/>
        <item m="1" x="109"/>
        <item m="1" x="71"/>
        <item m="1" x="177"/>
        <item m="1" x="32"/>
        <item m="1" x="135"/>
        <item m="1" x="237"/>
        <item m="1" x="60"/>
        <item m="1" x="165"/>
        <item m="1" x="265"/>
        <item m="1" x="125"/>
        <item m="1" x="224"/>
        <item m="1" x="153"/>
        <item m="1" x="254"/>
        <item m="1" x="114"/>
        <item m="1" x="213"/>
        <item m="1" x="80"/>
        <item m="1" x="40"/>
        <item m="1" x="141"/>
        <item m="1" x="49"/>
        <item m="1" x="151"/>
        <item m="1" x="252"/>
        <item m="1" x="113"/>
        <item m="1" x="77"/>
        <item m="1" x="182"/>
        <item m="1" x="36"/>
        <item m="1" x="138"/>
        <item m="1" x="64"/>
        <item m="1" x="170"/>
        <item m="1" x="25"/>
        <item m="1" x="127"/>
        <item m="1" x="229"/>
        <item m="1" x="94"/>
        <item m="1" x="55"/>
        <item m="1" x="159"/>
        <item m="1" x="259"/>
        <item m="1" x="118"/>
        <item m="1" x="218"/>
        <item m="1" x="85"/>
        <item m="1" x="45"/>
        <item m="1" x="101"/>
        <item m="1" x="200"/>
        <item m="1" x="61"/>
        <item m="1" x="166"/>
        <item m="1" x="266"/>
        <item m="1" x="225"/>
        <item m="1" x="91"/>
        <item m="1" x="192"/>
        <item m="1" x="51"/>
        <item m="1" x="154"/>
        <item m="1" x="214"/>
        <item m="1" x="81"/>
        <item m="1" x="185"/>
        <item m="1" x="41"/>
        <item m="1" x="142"/>
        <item m="1" x="205"/>
        <item m="1" x="68"/>
        <item m="1" x="173"/>
        <item m="1" x="29"/>
        <item m="1" x="131"/>
        <item m="1" x="233"/>
        <item m="1" x="197"/>
        <item h="1" m="1" x="78"/>
        <item h="1" m="1" x="183"/>
        <item h="1" m="1" x="37"/>
        <item h="1" m="1" x="241"/>
        <item h="1" m="1" x="104"/>
        <item h="1" m="1" x="203"/>
        <item h="1" m="1" x="65"/>
        <item h="1" m="1" x="171"/>
        <item h="1" m="1" x="230"/>
        <item h="1" m="1" x="95"/>
        <item h="1" m="1" x="194"/>
        <item h="1" m="1" x="56"/>
        <item h="1" m="1" x="160"/>
        <item h="1" m="1" x="219"/>
        <item h="1" m="1" x="86"/>
        <item h="1" m="1" x="189"/>
        <item h="1" m="1" x="46"/>
        <item h="1" m="1" x="148"/>
        <item h="1" m="1" x="249"/>
        <item h="1" m="1" x="208"/>
        <item h="1" m="1" x="72"/>
        <item h="1" m="1" x="178"/>
        <item h="1" m="1" x="33"/>
        <item m="1" x="136"/>
        <item h="1" x="0"/>
        <item h="1" x="1"/>
        <item h="1" x="2"/>
        <item h="1" x="3"/>
        <item h="1" x="4"/>
        <item h="1" x="5"/>
        <item h="1" x="6"/>
        <item h="1" x="7"/>
        <item h="1" x="8"/>
        <item h="1" x="9"/>
        <item h="1" x="10"/>
        <item h="1" x="11"/>
        <item h="1" x="12"/>
        <item h="1" x="13"/>
        <item h="1" x="14"/>
        <item h="1" x="15"/>
        <item h="1" x="16"/>
        <item h="1" x="17"/>
        <item h="1" x="18"/>
        <item h="1" x="19"/>
        <item h="1" x="20"/>
        <item x="21"/>
        <item t="default"/>
      </items>
    </pivotField>
    <pivotField compact="0" outline="0" showAll="0"/>
    <pivotField axis="axisRow" compact="0" outline="0" showAll="0">
      <items count="17">
        <item x="1"/>
        <item x="6"/>
        <item x="8"/>
        <item x="0"/>
        <item x="2"/>
        <item x="3"/>
        <item x="4"/>
        <item m="1" x="12"/>
        <item x="7"/>
        <item x="11"/>
        <item x="10"/>
        <item m="1" x="13"/>
        <item x="9"/>
        <item m="1" x="14"/>
        <item m="1" x="15"/>
        <item x="5"/>
        <item t="default"/>
      </items>
    </pivotField>
    <pivotField compact="0" outline="0" showAll="0"/>
    <pivotField compact="0" outline="0" showAll="0"/>
    <pivotField compact="0" outline="0" showAll="0" defaultSubtotal="0"/>
    <pivotField compact="0" outline="0" showAll="0"/>
    <pivotField compact="0" outline="0" showAll="0"/>
    <pivotField compact="0" numFmtId="187" outline="0" showAll="0"/>
    <pivotField dataField="1" compact="0" outline="0" showAll="0"/>
    <pivotField compact="0" numFmtId="1"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1" outline="0" showAll="0"/>
    <pivotField dataField="1" compact="0" numFmtId="9" outline="0" showAll="0"/>
    <pivotField compact="0" outline="0" showAll="0"/>
    <pivotField compact="0" outline="0" showAll="0"/>
    <pivotField compact="0" numFmtId="186" outline="0" showAll="0"/>
    <pivotField compact="0" outline="0" showAll="0"/>
    <pivotField dataField="1" compact="0" numFmtId="185" outline="0" showAll="0"/>
    <pivotField compact="0" numFmtId="185" outline="0" showAll="0"/>
    <pivotField compact="0" numFmtId="9" outline="0" showAll="0"/>
    <pivotField compact="0" numFmtId="2" outline="0" showAll="0"/>
    <pivotField compact="0" numFmtId="2" outline="0" showAll="0"/>
    <pivotField compact="0" numFmtId="9" outline="0" showAll="0"/>
    <pivotField compact="0" numFmtId="1" outline="0" showAll="0"/>
    <pivotField compact="0" numFmtId="187" outline="0" showAll="0"/>
    <pivotField dataField="1" compact="0" numFmtId="187" outline="0" showAll="0"/>
    <pivotField compact="0" numFmtId="9" outline="0" showAll="0"/>
    <pivotField dataField="1" compact="0" numFmtId="9" outline="0" showAll="0"/>
    <pivotField compact="0" outline="0" showAll="0"/>
  </pivotFields>
  <rowFields count="1">
    <field x="2"/>
  </rowFields>
  <rowItems count="9">
    <i>
      <x v="1"/>
    </i>
    <i>
      <x v="2"/>
    </i>
    <i>
      <x v="3"/>
    </i>
    <i>
      <x v="4"/>
    </i>
    <i>
      <x v="5"/>
    </i>
    <i>
      <x v="6"/>
    </i>
    <i>
      <x v="8"/>
    </i>
    <i>
      <x v="12"/>
    </i>
    <i t="grand">
      <x/>
    </i>
  </rowItems>
  <colFields count="1">
    <field x="-2"/>
  </colFields>
  <colItems count="7">
    <i>
      <x/>
    </i>
    <i i="1">
      <x v="1"/>
    </i>
    <i i="2">
      <x v="2"/>
    </i>
    <i i="3">
      <x v="3"/>
    </i>
    <i i="4">
      <x v="4"/>
    </i>
    <i i="5">
      <x v="5"/>
    </i>
    <i i="6">
      <x v="6"/>
    </i>
  </colItems>
  <pageFields count="1">
    <pageField fld="0" hier="-1"/>
  </pageFields>
  <dataFields count="7">
    <dataField name=" Plan Qty" fld="9" baseField="0" baseItem="0"/>
    <dataField name=" Total Good Pc's" fld="12" baseField="0" baseItem="0"/>
    <dataField name=" Plan vs Actual Achievement %" fld="21" subtotal="average" baseField="2" baseItem="0" numFmtId="9"/>
    <dataField name=" Line rej Qty." fld="17" baseField="0" baseItem="0"/>
    <dataField name="Rej. %" fld="26" subtotal="average" baseField="2" baseItem="0" numFmtId="10"/>
    <dataField name=" Actual Cycle Time per Piece " fld="34" subtotal="average" baseField="2" baseItem="0" numFmtId="1"/>
    <dataField name=" OEE" fld="36" subtotal="average" baseField="2" baseItem="0" numFmtId="9"/>
  </dataFields>
  <formats count="75">
    <format dxfId="103">
      <pivotArea outline="0" fieldPosition="0">
        <references count="1">
          <reference field="4294967294" count="1">
            <x v="2"/>
          </reference>
        </references>
      </pivotArea>
    </format>
    <format dxfId="102">
      <pivotArea dataOnly="0" labelOnly="1" outline="0" fieldPosition="0">
        <references count="1">
          <reference field="4294967294" count="3">
            <x v="0"/>
            <x v="1"/>
            <x v="2"/>
          </reference>
        </references>
      </pivotArea>
    </format>
    <format dxfId="101">
      <pivotArea outline="0" fieldPosition="0">
        <references count="1">
          <reference field="4294967294" count="1">
            <x v="4"/>
          </reference>
        </references>
      </pivotArea>
    </format>
    <format dxfId="100">
      <pivotArea outline="0" fieldPosition="0">
        <references count="1">
          <reference field="4294967294" count="1">
            <x v="5"/>
          </reference>
        </references>
      </pivotArea>
    </format>
    <format dxfId="99">
      <pivotArea outline="0" fieldPosition="0">
        <references count="1">
          <reference field="4294967294" count="1">
            <x v="6"/>
          </reference>
        </references>
      </pivotArea>
    </format>
    <format dxfId="98">
      <pivotArea dataOnly="0" labelOnly="1" outline="0" fieldPosition="0">
        <references count="1">
          <reference field="4294967294" count="1">
            <x v="5"/>
          </reference>
        </references>
      </pivotArea>
    </format>
    <format dxfId="97">
      <pivotArea dataOnly="0" labelOnly="1" outline="0" fieldPosition="0">
        <references count="1">
          <reference field="4294967294" count="1">
            <x v="6"/>
          </reference>
        </references>
      </pivotArea>
    </format>
    <format dxfId="96">
      <pivotArea outline="0" collapsedLevelsAreSubtotals="1" fieldPosition="0"/>
    </format>
    <format dxfId="95">
      <pivotArea dataOnly="0" labelOnly="1" outline="0" fieldPosition="0">
        <references count="1">
          <reference field="0" count="0"/>
        </references>
      </pivotArea>
    </format>
    <format dxfId="94">
      <pivotArea field="-2" type="button" dataOnly="0" labelOnly="1" outline="0" axis="axisCol" fieldPosition="0"/>
    </format>
    <format dxfId="93">
      <pivotArea type="topRight" dataOnly="0" labelOnly="1" outline="0" fieldPosition="0"/>
    </format>
    <format dxfId="92">
      <pivotArea dataOnly="0" labelOnly="1" outline="0" fieldPosition="0">
        <references count="1">
          <reference field="4294967294" count="7">
            <x v="0"/>
            <x v="1"/>
            <x v="2"/>
            <x v="3"/>
            <x v="4"/>
            <x v="5"/>
            <x v="6"/>
          </reference>
        </references>
      </pivotArea>
    </format>
    <format dxfId="91">
      <pivotArea outline="0" fieldPosition="0">
        <references count="2">
          <reference field="4294967294" count="2" selected="0">
            <x v="0"/>
            <x v="1"/>
          </reference>
          <reference field="2" count="0" selected="0"/>
        </references>
      </pivotArea>
    </format>
    <format dxfId="90">
      <pivotArea field="2" grandRow="1" outline="0" axis="axisRow" fieldPosition="0">
        <references count="1">
          <reference field="4294967294" count="6" selected="0">
            <x v="0"/>
            <x v="1"/>
            <x v="2"/>
            <x v="3"/>
            <x v="4"/>
            <x v="5"/>
          </reference>
        </references>
      </pivotArea>
    </format>
    <format dxfId="89">
      <pivotArea field="2" grandRow="1" outline="0" axis="axisRow" fieldPosition="0">
        <references count="1">
          <reference field="4294967294" count="1" selected="0">
            <x v="2"/>
          </reference>
        </references>
      </pivotArea>
    </format>
    <format dxfId="88">
      <pivotArea field="2" grandRow="1" outline="0" axis="axisRow" fieldPosition="0">
        <references count="1">
          <reference field="4294967294" count="1" selected="0">
            <x v="2"/>
          </reference>
        </references>
      </pivotArea>
    </format>
    <format dxfId="87">
      <pivotArea field="2" type="button" dataOnly="0" labelOnly="1" outline="0" axis="axisRow" fieldPosition="0"/>
    </format>
    <format dxfId="86">
      <pivotArea dataOnly="0" labelOnly="1" outline="0" fieldPosition="0">
        <references count="1">
          <reference field="2" count="0"/>
        </references>
      </pivotArea>
    </format>
    <format dxfId="85">
      <pivotArea dataOnly="0" labelOnly="1" outline="0" fieldPosition="0">
        <references count="1">
          <reference field="4294967294" count="7">
            <x v="0"/>
            <x v="1"/>
            <x v="2"/>
            <x v="3"/>
            <x v="4"/>
            <x v="5"/>
            <x v="6"/>
          </reference>
        </references>
      </pivotArea>
    </format>
    <format dxfId="84">
      <pivotArea dataOnly="0" labelOnly="1" outline="0" fieldPosition="0">
        <references count="1">
          <reference field="4294967294" count="7">
            <x v="0"/>
            <x v="1"/>
            <x v="2"/>
            <x v="3"/>
            <x v="4"/>
            <x v="5"/>
            <x v="6"/>
          </reference>
        </references>
      </pivotArea>
    </format>
    <format dxfId="83">
      <pivotArea outline="0" fieldPosition="0">
        <references count="2">
          <reference field="4294967294" count="1" selected="0">
            <x v="5"/>
          </reference>
          <reference field="2" count="0" selected="0"/>
        </references>
      </pivotArea>
    </format>
    <format dxfId="82">
      <pivotArea field="2" grandRow="1" outline="0" collapsedLevelsAreSubtotals="1" axis="axisRow" fieldPosition="0">
        <references count="1">
          <reference field="4294967294" count="1" selected="0">
            <x v="2"/>
          </reference>
        </references>
      </pivotArea>
    </format>
    <format dxfId="81">
      <pivotArea field="2" type="button" dataOnly="0" labelOnly="1" outline="0" axis="axisRow" fieldPosition="0"/>
    </format>
    <format dxfId="80">
      <pivotArea dataOnly="0" labelOnly="1" outline="0" fieldPosition="0">
        <references count="1">
          <reference field="2" count="7">
            <x v="1"/>
            <x v="2"/>
            <x v="3"/>
            <x v="4"/>
            <x v="5"/>
            <x v="6"/>
            <x v="8"/>
          </reference>
        </references>
      </pivotArea>
    </format>
    <format dxfId="79">
      <pivotArea dataOnly="0" labelOnly="1" outline="0" fieldPosition="0">
        <references count="1">
          <reference field="4294967294" count="7">
            <x v="0"/>
            <x v="1"/>
            <x v="2"/>
            <x v="3"/>
            <x v="4"/>
            <x v="5"/>
            <x v="6"/>
          </reference>
        </references>
      </pivotArea>
    </format>
    <format dxfId="78">
      <pivotArea outline="0" fieldPosition="0">
        <references count="1">
          <reference field="2" count="1" selected="0">
            <x v="4"/>
          </reference>
        </references>
      </pivotArea>
    </format>
    <format dxfId="77">
      <pivotArea dataOnly="0" labelOnly="1" outline="0" fieldPosition="0">
        <references count="1">
          <reference field="2" count="1">
            <x v="4"/>
          </reference>
        </references>
      </pivotArea>
    </format>
    <format dxfId="76">
      <pivotArea type="all" dataOnly="0" outline="0" fieldPosition="0"/>
    </format>
    <format dxfId="75">
      <pivotArea type="origin" dataOnly="0" labelOnly="1" outline="0" fieldPosition="0"/>
    </format>
    <format dxfId="74">
      <pivotArea field="-2" type="button" dataOnly="0" labelOnly="1" outline="0" axis="axisCol" fieldPosition="0"/>
    </format>
    <format dxfId="73">
      <pivotArea type="topRight" dataOnly="0" labelOnly="1" outline="0" fieldPosition="0"/>
    </format>
    <format dxfId="72">
      <pivotArea field="2" type="button" dataOnly="0" labelOnly="1" outline="0" axis="axisRow" fieldPosition="0"/>
    </format>
    <format dxfId="71">
      <pivotArea dataOnly="0" labelOnly="1" outline="0" fieldPosition="0">
        <references count="1">
          <reference field="4294967294" count="7">
            <x v="0"/>
            <x v="1"/>
            <x v="2"/>
            <x v="3"/>
            <x v="4"/>
            <x v="5"/>
            <x v="6"/>
          </reference>
        </references>
      </pivotArea>
    </format>
    <format dxfId="70">
      <pivotArea field="2" type="button" dataOnly="0" labelOnly="1" outline="0" axis="axisRow" fieldPosition="0"/>
    </format>
    <format dxfId="69">
      <pivotArea dataOnly="0" labelOnly="1" outline="0" fieldPosition="0">
        <references count="1">
          <reference field="4294967294" count="7">
            <x v="0"/>
            <x v="1"/>
            <x v="2"/>
            <x v="3"/>
            <x v="4"/>
            <x v="5"/>
            <x v="6"/>
          </reference>
        </references>
      </pivotArea>
    </format>
    <format dxfId="68">
      <pivotArea dataOnly="0" labelOnly="1" outline="0" fieldPosition="0">
        <references count="1">
          <reference field="4294967294" count="1">
            <x v="1"/>
          </reference>
        </references>
      </pivotArea>
    </format>
    <format dxfId="67">
      <pivotArea type="all" dataOnly="0" outline="0" fieldPosition="0"/>
    </format>
    <format dxfId="66">
      <pivotArea dataOnly="0" labelOnly="1" outline="0" fieldPosition="0">
        <references count="1">
          <reference field="2" count="8">
            <x v="1"/>
            <x v="2"/>
            <x v="3"/>
            <x v="4"/>
            <x v="5"/>
            <x v="6"/>
            <x v="8"/>
            <x v="11"/>
          </reference>
        </references>
      </pivotArea>
    </format>
    <format dxfId="65">
      <pivotArea field="2" grandRow="1" outline="0" axis="axisRow" fieldPosition="0">
        <references count="1">
          <reference field="4294967294" count="1" selected="0">
            <x v="4"/>
          </reference>
        </references>
      </pivotArea>
    </format>
    <format dxfId="64">
      <pivotArea type="all" dataOnly="0" outline="0" fieldPosition="0"/>
    </format>
    <format dxfId="63">
      <pivotArea type="all" dataOnly="0" outline="0" fieldPosition="0"/>
    </format>
    <format dxfId="62">
      <pivotArea outline="0" collapsedLevelsAreSubtotals="1" fieldPosition="0"/>
    </format>
    <format dxfId="61">
      <pivotArea dataOnly="0" labelOnly="1" grandRow="1" outline="0" fieldPosition="0"/>
    </format>
    <format dxfId="60">
      <pivotArea dataOnly="0" labelOnly="1" outline="0" fieldPosition="0">
        <references count="1">
          <reference field="4294967294" count="7">
            <x v="0"/>
            <x v="1"/>
            <x v="2"/>
            <x v="3"/>
            <x v="4"/>
            <x v="5"/>
            <x v="6"/>
          </reference>
        </references>
      </pivotArea>
    </format>
    <format dxfId="59">
      <pivotArea type="origin" dataOnly="0" labelOnly="1" outline="0" fieldPosition="0"/>
    </format>
    <format dxfId="58">
      <pivotArea field="2" grandRow="1" outline="0" collapsedLevelsAreSubtotals="1" axis="axisRow" fieldPosition="0">
        <references count="1">
          <reference field="4294967294" count="2" selected="0">
            <x v="5"/>
            <x v="6"/>
          </reference>
        </references>
      </pivotArea>
    </format>
    <format dxfId="57">
      <pivotArea field="2" grandRow="1" outline="0" collapsedLevelsAreSubtotals="1" axis="axisRow" fieldPosition="0">
        <references count="1">
          <reference field="4294967294" count="2" selected="0">
            <x v="5"/>
            <x v="6"/>
          </reference>
        </references>
      </pivotArea>
    </format>
    <format dxfId="56">
      <pivotArea grandRow="1" outline="0" collapsedLevelsAreSubtotals="1" fieldPosition="0"/>
    </format>
    <format dxfId="55">
      <pivotArea dataOnly="0" labelOnly="1" grandRow="1" outline="0" fieldPosition="0"/>
    </format>
    <format dxfId="54">
      <pivotArea grandRow="1" outline="0" collapsedLevelsAreSubtotals="1" fieldPosition="0"/>
    </format>
    <format dxfId="53">
      <pivotArea dataOnly="0" labelOnly="1" grandRow="1" outline="0" fieldPosition="0"/>
    </format>
    <format dxfId="52">
      <pivotArea outline="0" collapsedLevelsAreSubtotals="1" fieldPosition="0"/>
    </format>
    <format dxfId="51">
      <pivotArea dataOnly="0" labelOnly="1" outline="0" fieldPosition="0">
        <references count="1">
          <reference field="2" count="4">
            <x v="0"/>
            <x v="3"/>
            <x v="5"/>
            <x v="15"/>
          </reference>
        </references>
      </pivotArea>
    </format>
    <format dxfId="50">
      <pivotArea dataOnly="0" labelOnly="1" grandRow="1" outline="0" fieldPosition="0"/>
    </format>
    <format dxfId="49">
      <pivotArea dataOnly="0" labelOnly="1" outline="0" fieldPosition="0">
        <references count="1">
          <reference field="4294967294" count="1">
            <x v="5"/>
          </reference>
        </references>
      </pivotArea>
    </format>
    <format dxfId="48">
      <pivotArea dataOnly="0" labelOnly="1" outline="0" fieldPosition="0">
        <references count="1">
          <reference field="4294967294" count="1">
            <x v="5"/>
          </reference>
        </references>
      </pivotArea>
    </format>
    <format dxfId="47">
      <pivotArea dataOnly="0" labelOnly="1" outline="0" fieldPosition="0">
        <references count="1">
          <reference field="4294967294" count="1">
            <x v="4"/>
          </reference>
        </references>
      </pivotArea>
    </format>
    <format dxfId="46">
      <pivotArea dataOnly="0" labelOnly="1" outline="0" fieldPosition="0">
        <references count="1">
          <reference field="4294967294" count="1">
            <x v="3"/>
          </reference>
        </references>
      </pivotArea>
    </format>
    <format dxfId="45">
      <pivotArea dataOnly="0" labelOnly="1" outline="0" fieldPosition="0">
        <references count="1">
          <reference field="4294967294" count="1">
            <x v="2"/>
          </reference>
        </references>
      </pivotArea>
    </format>
    <format dxfId="44">
      <pivotArea dataOnly="0" labelOnly="1" outline="0" fieldPosition="0">
        <references count="1">
          <reference field="4294967294" count="1">
            <x v="1"/>
          </reference>
        </references>
      </pivotArea>
    </format>
    <format dxfId="43">
      <pivotArea field="2" type="button" dataOnly="0" labelOnly="1" outline="0" axis="axisRow" fieldPosition="0"/>
    </format>
    <format dxfId="42">
      <pivotArea dataOnly="0" labelOnly="1" outline="0" fieldPosition="0">
        <references count="1">
          <reference field="4294967294" count="1">
            <x v="6"/>
          </reference>
        </references>
      </pivotArea>
    </format>
    <format dxfId="41">
      <pivotArea grandRow="1" outline="0" collapsedLevelsAreSubtotals="1" fieldPosition="0"/>
    </format>
    <format dxfId="40">
      <pivotArea dataOnly="0" labelOnly="1" grandRow="1" outline="0" fieldPosition="0"/>
    </format>
    <format dxfId="39">
      <pivotArea grandRow="1" outline="0" collapsedLevelsAreSubtotals="1" fieldPosition="0"/>
    </format>
    <format dxfId="38">
      <pivotArea dataOnly="0" labelOnly="1" grandRow="1" outline="0" fieldPosition="0"/>
    </format>
    <format dxfId="37">
      <pivotArea outline="0" collapsedLevelsAreSubtotals="1" fieldPosition="0">
        <references count="2">
          <reference field="4294967294" count="1" selected="0">
            <x v="2"/>
          </reference>
          <reference field="2" count="1" selected="0">
            <x v="0"/>
          </reference>
        </references>
      </pivotArea>
    </format>
    <format dxfId="36">
      <pivotArea outline="0" collapsedLevelsAreSubtotals="1" fieldPosition="0">
        <references count="1">
          <reference field="2" count="9" selected="0">
            <x v="0"/>
            <x v="1"/>
            <x v="2"/>
            <x v="3"/>
            <x v="4"/>
            <x v="5"/>
            <x v="6"/>
            <x v="8"/>
            <x v="12"/>
          </reference>
        </references>
      </pivotArea>
    </format>
    <format dxfId="35">
      <pivotArea dataOnly="0" labelOnly="1" outline="0" fieldPosition="0">
        <references count="1">
          <reference field="2" count="9">
            <x v="0"/>
            <x v="1"/>
            <x v="2"/>
            <x v="3"/>
            <x v="4"/>
            <x v="5"/>
            <x v="6"/>
            <x v="8"/>
            <x v="12"/>
          </reference>
        </references>
      </pivotArea>
    </format>
    <format dxfId="34">
      <pivotArea grandRow="1" outline="0" collapsedLevelsAreSubtotals="1" fieldPosition="0"/>
    </format>
    <format dxfId="33">
      <pivotArea dataOnly="0" labelOnly="1" grandRow="1" outline="0" fieldPosition="0"/>
    </format>
    <format dxfId="32">
      <pivotArea outline="0" collapsedLevelsAreSubtotals="1" fieldPosition="0">
        <references count="1">
          <reference field="2" count="9" selected="0">
            <x v="0"/>
            <x v="1"/>
            <x v="2"/>
            <x v="3"/>
            <x v="4"/>
            <x v="5"/>
            <x v="6"/>
            <x v="8"/>
            <x v="12"/>
          </reference>
        </references>
      </pivotArea>
    </format>
    <format dxfId="31">
      <pivotArea field="2" type="button" dataOnly="0" labelOnly="1" outline="0" axis="axisRow" fieldPosition="0"/>
    </format>
    <format dxfId="30">
      <pivotArea dataOnly="0" labelOnly="1" outline="0" fieldPosition="0">
        <references count="1">
          <reference field="2" count="9">
            <x v="0"/>
            <x v="1"/>
            <x v="2"/>
            <x v="3"/>
            <x v="4"/>
            <x v="5"/>
            <x v="6"/>
            <x v="8"/>
            <x v="12"/>
          </reference>
        </references>
      </pivotArea>
    </format>
    <format dxfId="29">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7" indent="0" compact="0" compactData="0" gridDropZones="1" multipleFieldFilters="0">
  <location ref="A3:E15" firstHeaderRow="1" firstDataRow="2" firstDataCol="1"/>
  <pivotFields count="70">
    <pivotField compact="0" outline="0" showAll="0"/>
    <pivotField compact="0" outline="0" showAll="0"/>
    <pivotField axis="axisRow" compact="0" outline="0" showAll="0">
      <items count="11">
        <item x="1"/>
        <item x="6"/>
        <item x="5"/>
        <item x="9"/>
        <item x="8"/>
        <item x="0"/>
        <item x="2"/>
        <item x="3"/>
        <item x="4"/>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87" outline="0" showAll="0"/>
    <pivotField compact="0" numFmtId="188"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89" outline="0" showAll="0"/>
    <pivotField compact="0" numFmtId="9" outline="0" showAll="0"/>
    <pivotField compact="0" outline="0" showAll="0"/>
    <pivotField compact="0" numFmtId="186" outline="0" showAll="0"/>
    <pivotField compact="0" numFmtId="186" outline="0" showAll="0"/>
    <pivotField compact="0" outline="0" showAll="0"/>
    <pivotField compact="0" numFmtId="185" outline="0" showAll="0"/>
    <pivotField compact="0" numFmtId="185" outline="0" showAll="0"/>
    <pivotField dataField="1" compact="0" numFmtId="9" outline="0" showAll="0"/>
    <pivotField compact="0" numFmtId="2" outline="0" showAll="0"/>
    <pivotField compact="0" numFmtId="2" outline="0" showAll="0"/>
    <pivotField dataField="1" compact="0" numFmtId="9" outline="0" showAll="0"/>
    <pivotField compact="0" numFmtId="1" outline="0" showAll="0"/>
    <pivotField compact="0" numFmtId="187" outline="0" showAll="0"/>
    <pivotField compact="0" numFmtId="187" outline="0" showAll="0"/>
    <pivotField dataField="1" compact="0" numFmtId="9" outline="0" showAll="0"/>
    <pivotField dataField="1" compact="0" numFmtId="9" outline="0" showAll="0"/>
    <pivotField compact="0" outline="0" showAll="0"/>
    <pivotField compact="0" outline="0" showAll="0"/>
    <pivotField compact="0" outline="0" showAll="0"/>
    <pivotField compact="0" numFmtId="166"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i>
    <i>
      <x v="1"/>
    </i>
    <i>
      <x v="2"/>
    </i>
    <i>
      <x v="3"/>
    </i>
    <i>
      <x v="4"/>
    </i>
    <i>
      <x v="5"/>
    </i>
    <i>
      <x v="6"/>
    </i>
    <i>
      <x v="7"/>
    </i>
    <i>
      <x v="8"/>
    </i>
    <i>
      <x v="9"/>
    </i>
    <i t="grand">
      <x/>
    </i>
  </rowItems>
  <colFields count="1">
    <field x="-2"/>
  </colFields>
  <colItems count="4">
    <i>
      <x/>
    </i>
    <i i="1">
      <x v="1"/>
    </i>
    <i i="2">
      <x v="2"/>
    </i>
    <i i="3">
      <x v="3"/>
    </i>
  </colItems>
  <dataFields count="4">
    <dataField name="Average of Machine Availability" fld="32" subtotal="average" baseField="2" baseItem="0" numFmtId="9"/>
    <dataField name="Average of Quality Ratio" fld="29" subtotal="average" baseField="2" baseItem="0" numFmtId="10"/>
    <dataField name="Average of Effieciency" fld="36" subtotal="average" baseField="2" baseItem="0" numFmtId="10"/>
    <dataField name="Average of OEE" fld="37" subtotal="average" baseField="2" baseItem="0" numFmtId="10"/>
  </dataFields>
  <formats count="3">
    <format dxfId="12">
      <pivotArea dataOnly="0" labelOnly="1" outline="0" fieldPosition="0">
        <references count="1">
          <reference field="4294967294" count="4">
            <x v="0"/>
            <x v="1"/>
            <x v="2"/>
            <x v="3"/>
          </reference>
        </references>
      </pivotArea>
    </format>
    <format dxfId="11">
      <pivotArea outline="0" collapsedLevelsAreSubtotals="1" fieldPosition="0"/>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7" indent="0" compact="0" compactData="0" gridDropZones="1" multipleFieldFilters="0">
  <location ref="A18:B30" firstHeaderRow="2" firstDataRow="2" firstDataCol="1"/>
  <pivotFields count="70">
    <pivotField compact="0" outline="0" showAll="0"/>
    <pivotField compact="0" outline="0" showAll="0"/>
    <pivotField axis="axisRow" compact="0" outline="0" showAll="0">
      <items count="11">
        <item x="1"/>
        <item x="6"/>
        <item x="5"/>
        <item x="9"/>
        <item x="8"/>
        <item x="0"/>
        <item x="2"/>
        <item x="3"/>
        <item x="4"/>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87" outline="0" showAll="0"/>
    <pivotField compact="0" numFmtId="188"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89" outline="0" showAll="0"/>
    <pivotField compact="0" numFmtId="9" outline="0" showAll="0"/>
    <pivotField compact="0" outline="0" showAll="0"/>
    <pivotField compact="0" numFmtId="186" outline="0" showAll="0"/>
    <pivotField compact="0" numFmtId="186" outline="0" showAll="0"/>
    <pivotField compact="0" outline="0" showAll="0"/>
    <pivotField compact="0" numFmtId="185" outline="0" showAll="0"/>
    <pivotField compact="0" numFmtId="185" outline="0" showAll="0"/>
    <pivotField compact="0" numFmtId="9" outline="0" showAll="0"/>
    <pivotField compact="0" numFmtId="2" outline="0" showAll="0"/>
    <pivotField compact="0" numFmtId="2" outline="0" showAll="0"/>
    <pivotField compact="0" numFmtId="9" outline="0" showAll="0"/>
    <pivotField compact="0" numFmtId="1" outline="0" showAll="0"/>
    <pivotField compact="0" numFmtId="187" outline="0" showAll="0"/>
    <pivotField dataField="1" compact="0" numFmtId="187" outline="0" showAll="0"/>
    <pivotField compact="0" numFmtId="9" outline="0" showAll="0"/>
    <pivotField compact="0" numFmtId="9" outline="0" showAll="0"/>
    <pivotField compact="0" outline="0" showAll="0"/>
    <pivotField compact="0" outline="0" showAll="0"/>
    <pivotField compact="0" outline="0" showAll="0"/>
    <pivotField compact="0" numFmtId="166"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i>
    <i>
      <x v="1"/>
    </i>
    <i>
      <x v="2"/>
    </i>
    <i>
      <x v="3"/>
    </i>
    <i>
      <x v="4"/>
    </i>
    <i>
      <x v="5"/>
    </i>
    <i>
      <x v="6"/>
    </i>
    <i>
      <x v="7"/>
    </i>
    <i>
      <x v="8"/>
    </i>
    <i>
      <x v="9"/>
    </i>
    <i t="grand">
      <x/>
    </i>
  </rowItems>
  <colItems count="1">
    <i/>
  </colItems>
  <dataFields count="1">
    <dataField name="Average of Actual Cycle Time per Piece " fld="35" subtotal="average" baseField="2" baseItem="0" numFmtId="2"/>
  </dataFields>
  <formats count="4">
    <format dxfId="16">
      <pivotArea outline="0" collapsedLevelsAreSubtotals="1" fieldPosition="0"/>
    </format>
    <format dxfId="15">
      <pivotArea outline="0" collapsedLevelsAreSubtotals="1" fieldPosition="0"/>
    </format>
    <format dxfId="14">
      <pivotArea outline="0" fieldPosition="0">
        <references count="1">
          <reference field="4294967294" count="1">
            <x v="0"/>
          </reference>
        </references>
      </pivotArea>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3" name="Table3" displayName="Table3" ref="A1:AM3" totalsRowShown="0">
  <autoFilter ref="A1:AM3"/>
  <tableColumns count="39">
    <tableColumn id="1" name="DATE" dataDxfId="452"/>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_x000a_(in sec.)"/>
    <tableColumn id="37" name="Effieciency"/>
    <tableColumn id="38" name="OEE"/>
    <tableColumn id="39" name="ERP ENTRY NO"/>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AM3" totalsRowShown="0">
  <autoFilter ref="A1:AM3"/>
  <tableColumns count="39">
    <tableColumn id="1" name="DATE" dataDxfId="451"/>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_x000a_(in sec.)"/>
    <tableColumn id="37" name="Effieciency"/>
    <tableColumn id="38" name="OEE"/>
    <tableColumn id="39" name="ERP ENTRY NO"/>
  </tableColumns>
  <tableStyleInfo name="TableStyleMedium2" showFirstColumn="0" showLastColumn="0" showRowStripes="1" showColumnStripes="0"/>
</table>
</file>

<file path=xl/tables/table3.xml><?xml version="1.0" encoding="utf-8"?>
<table xmlns="http://schemas.openxmlformats.org/spreadsheetml/2006/main" id="2" name="Table2" displayName="Table2" ref="A1:AM2" totalsRowShown="0">
  <autoFilter ref="A1:AM2"/>
  <tableColumns count="39">
    <tableColumn id="1" name="DATE" dataDxfId="450"/>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_x000a_(in sec.)"/>
    <tableColumn id="37" name="Effieciency"/>
    <tableColumn id="38" name="OEE"/>
    <tableColumn id="39" name="ERP ENTRY NO"/>
  </tableColumns>
  <tableStyleInfo name="TableStyleMedium2" showFirstColumn="0" showLastColumn="0" showRowStripes="1" showColumnStripes="0"/>
</table>
</file>

<file path=xl/tables/table4.xml><?xml version="1.0" encoding="utf-8"?>
<table xmlns="http://schemas.openxmlformats.org/spreadsheetml/2006/main" id="5" name="Table5" displayName="Table5" ref="A1:AM3" totalsRowShown="0">
  <autoFilter ref="A1:AM3"/>
  <tableColumns count="39">
    <tableColumn id="1" name="DATE" dataDxfId="449"/>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_x000a_(in sec.)"/>
    <tableColumn id="37" name="Effieciency"/>
    <tableColumn id="38" name="OEE"/>
    <tableColumn id="39" name="ERP ENTRY NO"/>
  </tableColumns>
  <tableStyleInfo name="TableStyleMedium2" showFirstColumn="0" showLastColumn="0" showRowStripes="1" showColumnStripes="0"/>
</table>
</file>

<file path=xl/tables/table5.xml><?xml version="1.0" encoding="utf-8"?>
<table xmlns="http://schemas.openxmlformats.org/spreadsheetml/2006/main" id="6" name="Table6" displayName="Table6" ref="A1:AM3" totalsRowShown="0">
  <autoFilter ref="A1:AM3"/>
  <tableColumns count="39">
    <tableColumn id="1" name="DATE" dataDxfId="195"/>
    <tableColumn id="2" name="Shift"/>
    <tableColumn id="3" name="Section"/>
    <tableColumn id="4" name="Item Code"/>
    <tableColumn id="5" name="Mold No"/>
    <tableColumn id="6" name="M/c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_x000a_(in sec.)"/>
    <tableColumn id="37" name="Effieciency"/>
    <tableColumn id="38" name="OEE"/>
    <tableColumn id="39" name="ERP ENTRY NO"/>
  </tableColumns>
  <tableStyleInfo name="TableStyleMedium2" showFirstColumn="0" showLastColumn="0" showRowStripes="1" showColumnStripes="0"/>
</table>
</file>

<file path=xl/tables/table6.xml><?xml version="1.0" encoding="utf-8"?>
<table xmlns="http://schemas.openxmlformats.org/spreadsheetml/2006/main" id="7" name="Table7" displayName="Table7" ref="A1:AM2" totalsRowShown="0">
  <autoFilter ref="A1:AM2"/>
  <tableColumns count="39">
    <tableColumn id="1" name="DATE" dataDxfId="194"/>
    <tableColumn id="2" name="Shift"/>
    <tableColumn id="3" name="Section"/>
    <tableColumn id="4" name="Item Code"/>
    <tableColumn id="5" name="Mold No"/>
    <tableColumn id="6" name="M/c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_x000a_(in sec.)"/>
    <tableColumn id="37" name="Effieciency"/>
    <tableColumn id="38" name="OEE"/>
    <tableColumn id="39" name="ERP ENTRY NO"/>
  </tableColumns>
  <tableStyleInfo name="TableStyleMedium2" showFirstColumn="0" showLastColumn="0" showRowStripes="1" showColumnStripes="0"/>
</table>
</file>

<file path=xl/tables/table7.xml><?xml version="1.0" encoding="utf-8"?>
<table xmlns="http://schemas.openxmlformats.org/spreadsheetml/2006/main" id="1" name="Table1" displayName="Table1" ref="D12:D30" totalsRowShown="0" headerRowDxfId="28" dataDxfId="26" headerRowBorderDxfId="27" tableBorderDxfId="25">
  <tableColumns count="1">
    <tableColumn id="1" name="SKU" dataDxfId="24">
      <calculatedColumnFormula>IFERROR(VLOOKUP(B13,'Item Data Support Sheet'!A:O,15,0),0)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zoomScale="94" zoomScaleNormal="94" workbookViewId="0">
      <selection activeCell="D13" sqref="D13"/>
    </sheetView>
  </sheetViews>
  <sheetFormatPr defaultRowHeight="14.5"/>
  <cols>
    <col min="5" max="5" width="11.54296875" bestFit="1" customWidth="1"/>
    <col min="6" max="6" width="9.54296875" bestFit="1" customWidth="1"/>
    <col min="7" max="7" width="10.453125" customWidth="1"/>
  </cols>
  <sheetData>
    <row r="1" spans="1:7" s="441" customFormat="1" ht="22.5" customHeight="1">
      <c r="A1" s="942" t="s">
        <v>2027</v>
      </c>
      <c r="B1" s="942"/>
      <c r="C1" s="942"/>
      <c r="D1" s="942"/>
      <c r="E1" s="942"/>
      <c r="F1" s="942"/>
      <c r="G1" s="5" t="s">
        <v>2026</v>
      </c>
    </row>
    <row r="2" spans="1:7">
      <c r="A2" s="528" t="s">
        <v>2017</v>
      </c>
      <c r="B2" s="528" t="s">
        <v>2018</v>
      </c>
      <c r="C2" s="528" t="s">
        <v>2019</v>
      </c>
      <c r="D2" s="528" t="s">
        <v>2023</v>
      </c>
      <c r="E2" s="528" t="s">
        <v>2020</v>
      </c>
      <c r="F2" s="528" t="s">
        <v>2021</v>
      </c>
      <c r="G2" s="528" t="s">
        <v>2022</v>
      </c>
    </row>
    <row r="3" spans="1:7">
      <c r="A3" s="527">
        <v>1048</v>
      </c>
      <c r="B3" s="527">
        <v>108</v>
      </c>
      <c r="C3" s="527">
        <v>2</v>
      </c>
      <c r="D3" s="527">
        <v>0</v>
      </c>
      <c r="E3" s="527">
        <v>1</v>
      </c>
      <c r="F3" s="527">
        <v>0</v>
      </c>
      <c r="G3" s="527">
        <f>B3+C3+D3+E3+F3</f>
        <v>111</v>
      </c>
    </row>
    <row r="4" spans="1:7">
      <c r="A4" s="527">
        <v>330</v>
      </c>
      <c r="B4" s="527">
        <v>108</v>
      </c>
      <c r="C4" s="527">
        <v>1</v>
      </c>
      <c r="D4" s="527">
        <v>3</v>
      </c>
      <c r="E4" s="527">
        <v>0</v>
      </c>
      <c r="F4" s="527">
        <v>0</v>
      </c>
      <c r="G4" s="527">
        <f>B4+C4+D4+E4+F4</f>
        <v>112</v>
      </c>
    </row>
    <row r="5" spans="1:7">
      <c r="A5" s="527">
        <v>1710</v>
      </c>
      <c r="B5" s="527">
        <v>108</v>
      </c>
      <c r="C5" s="527">
        <v>3</v>
      </c>
      <c r="D5" s="527">
        <v>1</v>
      </c>
      <c r="E5" s="527">
        <v>0</v>
      </c>
      <c r="F5" s="527">
        <v>1</v>
      </c>
      <c r="G5" s="527">
        <f>B5+C5+D5+E5+F5</f>
        <v>113</v>
      </c>
    </row>
    <row r="6" spans="1:7">
      <c r="A6" s="527">
        <v>633</v>
      </c>
      <c r="B6" s="527">
        <v>108</v>
      </c>
      <c r="C6" s="527">
        <v>13</v>
      </c>
      <c r="D6" s="527">
        <v>0</v>
      </c>
      <c r="E6" s="527">
        <v>0</v>
      </c>
      <c r="F6" s="527">
        <v>0</v>
      </c>
      <c r="G6" s="527">
        <f>B6+C6+D6+E6+F6</f>
        <v>121</v>
      </c>
    </row>
    <row r="7" spans="1:7">
      <c r="A7" s="527">
        <v>1849</v>
      </c>
      <c r="B7" s="527">
        <v>108</v>
      </c>
      <c r="C7" s="527">
        <v>8</v>
      </c>
      <c r="D7" s="527">
        <v>2</v>
      </c>
      <c r="E7" s="527">
        <v>0</v>
      </c>
      <c r="F7" s="527">
        <v>0</v>
      </c>
      <c r="G7" s="527">
        <f>B7+C7+D7+E7+F7</f>
        <v>118</v>
      </c>
    </row>
    <row r="8" spans="1:7">
      <c r="A8" s="528" t="s">
        <v>134</v>
      </c>
      <c r="B8" s="528">
        <f t="shared" ref="B8:G8" si="0">SUM(B3:B7)</f>
        <v>540</v>
      </c>
      <c r="C8" s="528">
        <f t="shared" si="0"/>
        <v>27</v>
      </c>
      <c r="D8" s="528">
        <f t="shared" si="0"/>
        <v>6</v>
      </c>
      <c r="E8" s="528">
        <f t="shared" si="0"/>
        <v>1</v>
      </c>
      <c r="F8" s="528">
        <f t="shared" si="0"/>
        <v>1</v>
      </c>
      <c r="G8" s="528">
        <f t="shared" si="0"/>
        <v>575</v>
      </c>
    </row>
    <row r="9" spans="1:7">
      <c r="A9" s="529" t="s">
        <v>2024</v>
      </c>
      <c r="B9" s="529"/>
      <c r="C9" s="529"/>
      <c r="D9" s="529"/>
      <c r="E9" s="529"/>
      <c r="F9" s="529"/>
    </row>
    <row r="10" spans="1:7">
      <c r="A10" s="529" t="s">
        <v>2025</v>
      </c>
      <c r="B10" s="529"/>
      <c r="C10" s="529"/>
      <c r="D10" s="529"/>
      <c r="E10" s="529"/>
      <c r="F10" s="529"/>
    </row>
  </sheetData>
  <mergeCells count="1">
    <mergeCell ref="A1:F1"/>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
  <sheetViews>
    <sheetView workbookViewId="0">
      <selection activeCell="A3" sqref="A3"/>
    </sheetView>
  </sheetViews>
  <sheetFormatPr defaultRowHeight="14.5"/>
  <cols>
    <col min="3" max="3" width="8.54296875" customWidth="1"/>
    <col min="4" max="4" width="11.453125" customWidth="1"/>
    <col min="5" max="5" width="10" customWidth="1"/>
    <col min="6" max="6" width="12.54296875" customWidth="1"/>
    <col min="7" max="7" width="10.453125" customWidth="1"/>
    <col min="9" max="9" width="8.54296875" customWidth="1"/>
    <col min="10" max="11" width="9.54296875" customWidth="1"/>
    <col min="12" max="12" width="15.54296875" customWidth="1"/>
    <col min="13" max="13" width="19.54296875" customWidth="1"/>
    <col min="14" max="14" width="15.54296875" customWidth="1"/>
    <col min="15" max="15" width="21.54296875" customWidth="1"/>
    <col min="16" max="16" width="11.54296875" customWidth="1"/>
    <col min="17" max="17" width="13.453125" customWidth="1"/>
    <col min="18" max="18" width="10.54296875" customWidth="1"/>
    <col min="19" max="19" width="12.54296875" customWidth="1"/>
    <col min="20" max="20" width="15.54296875" customWidth="1"/>
    <col min="21" max="21" width="12.453125" customWidth="1"/>
    <col min="22" max="22" width="13.453125" customWidth="1"/>
    <col min="23" max="23" width="27.54296875" customWidth="1"/>
    <col min="24" max="24" width="23.54296875" customWidth="1"/>
    <col min="25" max="25" width="22.453125" customWidth="1"/>
    <col min="26" max="26" width="24" customWidth="1"/>
    <col min="27" max="27" width="16.453125" customWidth="1"/>
    <col min="29" max="29" width="12.54296875" customWidth="1"/>
    <col min="30" max="30" width="13.54296875" customWidth="1"/>
    <col min="31" max="31" width="16.453125" customWidth="1"/>
    <col min="32" max="32" width="17.54296875" customWidth="1"/>
    <col min="33" max="34" width="19.54296875" customWidth="1"/>
    <col min="35" max="35" width="31.54296875" customWidth="1"/>
    <col min="37" max="37" width="11.54296875" customWidth="1"/>
    <col min="39" max="39" width="14.54296875" customWidth="1"/>
  </cols>
  <sheetData>
    <row r="1" spans="1:39">
      <c r="A1" t="s">
        <v>362</v>
      </c>
      <c r="B1" t="s">
        <v>143</v>
      </c>
      <c r="C1" t="s">
        <v>5</v>
      </c>
      <c r="D1" t="s">
        <v>0</v>
      </c>
      <c r="E1" t="s">
        <v>1658</v>
      </c>
      <c r="F1" t="s">
        <v>1659</v>
      </c>
      <c r="G1" t="s">
        <v>146</v>
      </c>
      <c r="H1" t="s">
        <v>1</v>
      </c>
      <c r="I1" t="s">
        <v>1926</v>
      </c>
      <c r="J1" t="s">
        <v>1660</v>
      </c>
      <c r="K1" t="s">
        <v>1661</v>
      </c>
      <c r="L1" t="s">
        <v>1711</v>
      </c>
      <c r="M1" t="s">
        <v>177</v>
      </c>
      <c r="N1" t="s">
        <v>1611</v>
      </c>
      <c r="O1" t="s">
        <v>166</v>
      </c>
      <c r="P1" t="s">
        <v>167</v>
      </c>
      <c r="Q1" t="s">
        <v>168</v>
      </c>
      <c r="R1" t="s">
        <v>169</v>
      </c>
      <c r="S1" t="s">
        <v>170</v>
      </c>
      <c r="T1" t="s">
        <v>171</v>
      </c>
      <c r="U1" t="s">
        <v>142</v>
      </c>
      <c r="V1" t="s">
        <v>8</v>
      </c>
      <c r="W1" t="s">
        <v>1934</v>
      </c>
      <c r="X1" t="s">
        <v>163</v>
      </c>
      <c r="Y1" t="s">
        <v>174</v>
      </c>
      <c r="Z1" t="s">
        <v>175</v>
      </c>
      <c r="AA1" t="s">
        <v>176</v>
      </c>
      <c r="AB1" t="s">
        <v>7</v>
      </c>
      <c r="AC1" t="s">
        <v>1716</v>
      </c>
      <c r="AD1" t="s">
        <v>1931</v>
      </c>
      <c r="AE1" t="s">
        <v>1676</v>
      </c>
      <c r="AF1" t="s">
        <v>1710</v>
      </c>
      <c r="AG1" t="s">
        <v>1701</v>
      </c>
      <c r="AH1" t="s">
        <v>1662</v>
      </c>
      <c r="AI1" t="s">
        <v>1940</v>
      </c>
      <c r="AJ1" t="s">
        <v>1941</v>
      </c>
      <c r="AK1" t="s">
        <v>1930</v>
      </c>
      <c r="AL1" t="s">
        <v>1709</v>
      </c>
      <c r="AM1" t="s">
        <v>1804</v>
      </c>
    </row>
    <row r="2" spans="1:39">
      <c r="A2" s="454">
        <v>44041</v>
      </c>
      <c r="B2" t="s">
        <v>1980</v>
      </c>
      <c r="C2" t="s">
        <v>156</v>
      </c>
      <c r="D2" t="s">
        <v>80</v>
      </c>
      <c r="F2" t="s">
        <v>1692</v>
      </c>
      <c r="H2" t="s">
        <v>1533</v>
      </c>
      <c r="I2" t="s">
        <v>1991</v>
      </c>
      <c r="J2">
        <v>1</v>
      </c>
      <c r="K2">
        <v>1000</v>
      </c>
      <c r="L2">
        <v>1000</v>
      </c>
      <c r="M2">
        <v>1000</v>
      </c>
      <c r="N2">
        <v>1000</v>
      </c>
      <c r="O2">
        <v>0</v>
      </c>
      <c r="P2">
        <v>0</v>
      </c>
      <c r="Q2">
        <v>0</v>
      </c>
      <c r="R2">
        <v>0</v>
      </c>
      <c r="S2">
        <v>0</v>
      </c>
      <c r="T2">
        <v>0</v>
      </c>
      <c r="U2">
        <v>1</v>
      </c>
      <c r="V2">
        <v>1000</v>
      </c>
      <c r="W2">
        <v>1</v>
      </c>
      <c r="X2" t="s">
        <v>76</v>
      </c>
      <c r="Y2">
        <v>0</v>
      </c>
      <c r="Z2">
        <v>0</v>
      </c>
      <c r="AA2" t="s">
        <v>107</v>
      </c>
      <c r="AB2">
        <v>0</v>
      </c>
      <c r="AC2">
        <v>0</v>
      </c>
      <c r="AD2">
        <v>1</v>
      </c>
      <c r="AE2">
        <v>0</v>
      </c>
      <c r="AF2">
        <v>1</v>
      </c>
      <c r="AG2">
        <v>1</v>
      </c>
      <c r="AH2">
        <v>1000</v>
      </c>
      <c r="AI2">
        <v>3.5</v>
      </c>
      <c r="AJ2">
        <v>3.6</v>
      </c>
      <c r="AK2">
        <v>0.97222222222222221</v>
      </c>
      <c r="AL2">
        <v>0.97222222222222221</v>
      </c>
      <c r="AM2" t="s">
        <v>1797</v>
      </c>
    </row>
    <row r="3" spans="1:39">
      <c r="A3" s="454">
        <v>44041</v>
      </c>
      <c r="B3" t="s">
        <v>1980</v>
      </c>
      <c r="C3" t="s">
        <v>156</v>
      </c>
      <c r="D3" t="s">
        <v>81</v>
      </c>
      <c r="F3" t="s">
        <v>1692</v>
      </c>
      <c r="H3" t="s">
        <v>1534</v>
      </c>
      <c r="I3" t="s">
        <v>1991</v>
      </c>
      <c r="J3">
        <v>11</v>
      </c>
      <c r="K3">
        <v>9183</v>
      </c>
      <c r="L3">
        <v>834.81818181818187</v>
      </c>
      <c r="M3">
        <v>8423</v>
      </c>
      <c r="N3">
        <v>8408</v>
      </c>
      <c r="O3">
        <v>0</v>
      </c>
      <c r="P3">
        <v>0</v>
      </c>
      <c r="Q3">
        <v>0</v>
      </c>
      <c r="R3">
        <v>0</v>
      </c>
      <c r="S3">
        <v>15</v>
      </c>
      <c r="T3">
        <v>0</v>
      </c>
      <c r="U3">
        <v>1</v>
      </c>
      <c r="V3">
        <v>8408</v>
      </c>
      <c r="W3">
        <v>0.91560492213873457</v>
      </c>
      <c r="X3" t="s">
        <v>77</v>
      </c>
      <c r="Y3">
        <v>0</v>
      </c>
      <c r="Z3">
        <v>0</v>
      </c>
      <c r="AA3" t="s">
        <v>107</v>
      </c>
      <c r="AB3">
        <v>1.7808381811706042E-3</v>
      </c>
      <c r="AC3">
        <v>0</v>
      </c>
      <c r="AD3">
        <v>0.99821916181882941</v>
      </c>
      <c r="AE3">
        <v>0</v>
      </c>
      <c r="AF3">
        <v>11</v>
      </c>
      <c r="AG3">
        <v>1</v>
      </c>
      <c r="AH3">
        <v>764.36363636363637</v>
      </c>
      <c r="AI3">
        <v>3.5</v>
      </c>
      <c r="AJ3">
        <v>4.7098001902949571</v>
      </c>
      <c r="AK3">
        <v>0.7431313131313132</v>
      </c>
      <c r="AL3">
        <v>0.74180791651526556</v>
      </c>
      <c r="AM3" t="s">
        <v>1797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
  <sheetViews>
    <sheetView workbookViewId="0">
      <selection activeCell="E18" sqref="E18"/>
    </sheetView>
  </sheetViews>
  <sheetFormatPr defaultRowHeight="14.5"/>
  <cols>
    <col min="3" max="3" width="8.54296875" customWidth="1"/>
    <col min="4" max="4" width="11.453125" customWidth="1"/>
    <col min="5" max="5" width="10" customWidth="1"/>
    <col min="6" max="6" width="12.54296875" customWidth="1"/>
    <col min="7" max="7" width="10.453125" customWidth="1"/>
    <col min="9" max="9" width="8.54296875" customWidth="1"/>
    <col min="10" max="11" width="9.54296875" customWidth="1"/>
    <col min="12" max="12" width="15.54296875" customWidth="1"/>
    <col min="13" max="13" width="19.54296875" customWidth="1"/>
    <col min="14" max="14" width="15.54296875" customWidth="1"/>
    <col min="15" max="15" width="21.54296875" customWidth="1"/>
    <col min="16" max="16" width="11.54296875" customWidth="1"/>
    <col min="17" max="17" width="13.453125" customWidth="1"/>
    <col min="18" max="18" width="10.54296875" customWidth="1"/>
    <col min="19" max="19" width="12.54296875" customWidth="1"/>
    <col min="20" max="20" width="15.54296875" customWidth="1"/>
    <col min="21" max="21" width="12.453125" customWidth="1"/>
    <col min="22" max="22" width="13.453125" customWidth="1"/>
    <col min="23" max="23" width="27.54296875" customWidth="1"/>
    <col min="24" max="24" width="23.54296875" customWidth="1"/>
    <col min="25" max="25" width="22.453125" customWidth="1"/>
    <col min="26" max="26" width="24" customWidth="1"/>
    <col min="27" max="27" width="16.453125" customWidth="1"/>
    <col min="29" max="29" width="12.54296875" customWidth="1"/>
    <col min="30" max="30" width="13.54296875" customWidth="1"/>
    <col min="31" max="31" width="16.453125" customWidth="1"/>
    <col min="32" max="32" width="17.54296875" customWidth="1"/>
    <col min="33" max="34" width="19.54296875" customWidth="1"/>
    <col min="35" max="35" width="31.54296875" customWidth="1"/>
    <col min="37" max="37" width="11.54296875" customWidth="1"/>
    <col min="39" max="39" width="14.54296875" customWidth="1"/>
  </cols>
  <sheetData>
    <row r="1" spans="1:39">
      <c r="A1" t="s">
        <v>362</v>
      </c>
      <c r="B1" t="s">
        <v>143</v>
      </c>
      <c r="C1" t="s">
        <v>5</v>
      </c>
      <c r="D1" t="s">
        <v>0</v>
      </c>
      <c r="E1" t="s">
        <v>1658</v>
      </c>
      <c r="F1" t="s">
        <v>1659</v>
      </c>
      <c r="G1" t="s">
        <v>146</v>
      </c>
      <c r="H1" t="s">
        <v>1</v>
      </c>
      <c r="I1" t="s">
        <v>1926</v>
      </c>
      <c r="J1" t="s">
        <v>1660</v>
      </c>
      <c r="K1" t="s">
        <v>1661</v>
      </c>
      <c r="L1" t="s">
        <v>1711</v>
      </c>
      <c r="M1" t="s">
        <v>177</v>
      </c>
      <c r="N1" t="s">
        <v>1611</v>
      </c>
      <c r="O1" t="s">
        <v>166</v>
      </c>
      <c r="P1" t="s">
        <v>167</v>
      </c>
      <c r="Q1" t="s">
        <v>168</v>
      </c>
      <c r="R1" t="s">
        <v>169</v>
      </c>
      <c r="S1" t="s">
        <v>170</v>
      </c>
      <c r="T1" t="s">
        <v>171</v>
      </c>
      <c r="U1" t="s">
        <v>142</v>
      </c>
      <c r="V1" t="s">
        <v>8</v>
      </c>
      <c r="W1" t="s">
        <v>1934</v>
      </c>
      <c r="X1" t="s">
        <v>163</v>
      </c>
      <c r="Y1" t="s">
        <v>174</v>
      </c>
      <c r="Z1" t="s">
        <v>175</v>
      </c>
      <c r="AA1" t="s">
        <v>176</v>
      </c>
      <c r="AB1" t="s">
        <v>7</v>
      </c>
      <c r="AC1" t="s">
        <v>1716</v>
      </c>
      <c r="AD1" t="s">
        <v>1931</v>
      </c>
      <c r="AE1" t="s">
        <v>1676</v>
      </c>
      <c r="AF1" t="s">
        <v>1710</v>
      </c>
      <c r="AG1" t="s">
        <v>1701</v>
      </c>
      <c r="AH1" t="s">
        <v>1662</v>
      </c>
      <c r="AI1" t="s">
        <v>1940</v>
      </c>
      <c r="AJ1" t="s">
        <v>1941</v>
      </c>
      <c r="AK1" t="s">
        <v>1930</v>
      </c>
      <c r="AL1" t="s">
        <v>1709</v>
      </c>
      <c r="AM1" t="s">
        <v>1804</v>
      </c>
    </row>
    <row r="2" spans="1:39">
      <c r="A2" s="454">
        <v>44041</v>
      </c>
      <c r="B2" t="s">
        <v>1980</v>
      </c>
      <c r="C2" t="s">
        <v>156</v>
      </c>
      <c r="D2" t="s">
        <v>80</v>
      </c>
      <c r="F2" t="s">
        <v>1692</v>
      </c>
      <c r="H2" t="s">
        <v>1533</v>
      </c>
      <c r="I2" t="s">
        <v>1991</v>
      </c>
      <c r="J2">
        <v>1</v>
      </c>
      <c r="K2">
        <v>1000</v>
      </c>
      <c r="L2">
        <v>1000</v>
      </c>
      <c r="M2">
        <v>1000</v>
      </c>
      <c r="N2">
        <v>1000</v>
      </c>
      <c r="O2">
        <v>0</v>
      </c>
      <c r="P2">
        <v>0</v>
      </c>
      <c r="Q2">
        <v>0</v>
      </c>
      <c r="R2">
        <v>0</v>
      </c>
      <c r="S2">
        <v>0</v>
      </c>
      <c r="T2">
        <v>0</v>
      </c>
      <c r="U2">
        <v>1</v>
      </c>
      <c r="V2">
        <v>1000</v>
      </c>
      <c r="W2">
        <v>1</v>
      </c>
      <c r="X2" t="s">
        <v>76</v>
      </c>
      <c r="Y2">
        <v>0</v>
      </c>
      <c r="Z2">
        <v>0</v>
      </c>
      <c r="AA2" t="s">
        <v>107</v>
      </c>
      <c r="AB2">
        <v>0</v>
      </c>
      <c r="AC2">
        <v>0</v>
      </c>
      <c r="AD2">
        <v>1</v>
      </c>
      <c r="AE2">
        <v>0</v>
      </c>
      <c r="AF2">
        <v>1</v>
      </c>
      <c r="AG2">
        <v>1</v>
      </c>
      <c r="AH2">
        <v>1000</v>
      </c>
      <c r="AI2">
        <v>3.5</v>
      </c>
      <c r="AJ2">
        <v>3.6</v>
      </c>
      <c r="AK2">
        <v>0.97222222222222221</v>
      </c>
      <c r="AL2">
        <v>0.97222222222222221</v>
      </c>
      <c r="AM2" t="s">
        <v>1797</v>
      </c>
    </row>
    <row r="3" spans="1:39">
      <c r="A3" s="454">
        <v>44041</v>
      </c>
      <c r="B3" t="s">
        <v>1980</v>
      </c>
      <c r="C3" t="s">
        <v>156</v>
      </c>
      <c r="D3" t="s">
        <v>81</v>
      </c>
      <c r="F3" t="s">
        <v>1692</v>
      </c>
      <c r="H3" t="s">
        <v>1534</v>
      </c>
      <c r="I3" t="s">
        <v>1991</v>
      </c>
      <c r="J3">
        <v>11</v>
      </c>
      <c r="K3">
        <v>9183</v>
      </c>
      <c r="L3">
        <v>834.81818181818187</v>
      </c>
      <c r="M3">
        <v>8423</v>
      </c>
      <c r="N3">
        <v>8408</v>
      </c>
      <c r="O3">
        <v>0</v>
      </c>
      <c r="P3">
        <v>0</v>
      </c>
      <c r="Q3">
        <v>0</v>
      </c>
      <c r="R3">
        <v>0</v>
      </c>
      <c r="S3">
        <v>15</v>
      </c>
      <c r="T3">
        <v>0</v>
      </c>
      <c r="U3">
        <v>1</v>
      </c>
      <c r="V3">
        <v>8408</v>
      </c>
      <c r="W3">
        <v>0.91560492213873457</v>
      </c>
      <c r="X3" t="s">
        <v>77</v>
      </c>
      <c r="Y3">
        <v>0</v>
      </c>
      <c r="Z3">
        <v>0</v>
      </c>
      <c r="AA3" t="s">
        <v>107</v>
      </c>
      <c r="AB3">
        <v>1.7808381811706042E-3</v>
      </c>
      <c r="AC3">
        <v>0</v>
      </c>
      <c r="AD3">
        <v>0.99821916181882941</v>
      </c>
      <c r="AE3">
        <v>0</v>
      </c>
      <c r="AF3">
        <v>11</v>
      </c>
      <c r="AG3">
        <v>1</v>
      </c>
      <c r="AH3">
        <v>764.36363636363637</v>
      </c>
      <c r="AI3">
        <v>3.5</v>
      </c>
      <c r="AJ3">
        <v>4.7098001902949571</v>
      </c>
      <c r="AK3">
        <v>0.7431313131313132</v>
      </c>
      <c r="AL3">
        <v>0.74180791651526556</v>
      </c>
      <c r="AM3" t="s">
        <v>1797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
  <sheetViews>
    <sheetView workbookViewId="0">
      <selection sqref="A1:AM2"/>
    </sheetView>
  </sheetViews>
  <sheetFormatPr defaultRowHeight="14.5"/>
  <cols>
    <col min="3" max="3" width="8.54296875" customWidth="1"/>
    <col min="4" max="4" width="11.453125" customWidth="1"/>
    <col min="5" max="5" width="10" customWidth="1"/>
    <col min="6" max="6" width="12.54296875" customWidth="1"/>
    <col min="7" max="7" width="10.453125" customWidth="1"/>
    <col min="9" max="9" width="8.54296875" customWidth="1"/>
    <col min="10" max="11" width="9.54296875" customWidth="1"/>
    <col min="12" max="12" width="15.54296875" customWidth="1"/>
    <col min="13" max="13" width="19.54296875" customWidth="1"/>
    <col min="14" max="14" width="15.54296875" customWidth="1"/>
    <col min="15" max="15" width="21.54296875" customWidth="1"/>
    <col min="16" max="16" width="11.54296875" customWidth="1"/>
    <col min="17" max="17" width="13.453125" customWidth="1"/>
    <col min="18" max="18" width="10.54296875" customWidth="1"/>
    <col min="19" max="19" width="12.54296875" customWidth="1"/>
    <col min="20" max="20" width="15.54296875" customWidth="1"/>
    <col min="21" max="21" width="12.453125" customWidth="1"/>
    <col min="22" max="22" width="13.453125" customWidth="1"/>
    <col min="23" max="23" width="27.54296875" customWidth="1"/>
    <col min="24" max="24" width="23.54296875" customWidth="1"/>
    <col min="25" max="25" width="22.453125" customWidth="1"/>
    <col min="26" max="26" width="24" customWidth="1"/>
    <col min="27" max="27" width="16.453125" customWidth="1"/>
    <col min="29" max="29" width="12.54296875" customWidth="1"/>
    <col min="30" max="30" width="13.54296875" customWidth="1"/>
    <col min="31" max="31" width="16.453125" customWidth="1"/>
    <col min="32" max="32" width="17.54296875" customWidth="1"/>
    <col min="33" max="34" width="19.54296875" customWidth="1"/>
    <col min="35" max="35" width="31.54296875" customWidth="1"/>
    <col min="37" max="37" width="11.54296875" customWidth="1"/>
    <col min="39" max="39" width="14.54296875" customWidth="1"/>
  </cols>
  <sheetData>
    <row r="1" spans="1:39">
      <c r="A1" t="s">
        <v>362</v>
      </c>
      <c r="B1" t="s">
        <v>143</v>
      </c>
      <c r="C1" t="s">
        <v>5</v>
      </c>
      <c r="D1" t="s">
        <v>0</v>
      </c>
      <c r="E1" t="s">
        <v>1658</v>
      </c>
      <c r="F1" t="s">
        <v>1659</v>
      </c>
      <c r="G1" t="s">
        <v>146</v>
      </c>
      <c r="H1" t="s">
        <v>1</v>
      </c>
      <c r="I1" t="s">
        <v>1926</v>
      </c>
      <c r="J1" t="s">
        <v>1660</v>
      </c>
      <c r="K1" t="s">
        <v>1661</v>
      </c>
      <c r="L1" t="s">
        <v>1711</v>
      </c>
      <c r="M1" t="s">
        <v>177</v>
      </c>
      <c r="N1" t="s">
        <v>1611</v>
      </c>
      <c r="O1" t="s">
        <v>166</v>
      </c>
      <c r="P1" t="s">
        <v>167</v>
      </c>
      <c r="Q1" t="s">
        <v>168</v>
      </c>
      <c r="R1" t="s">
        <v>169</v>
      </c>
      <c r="S1" t="s">
        <v>170</v>
      </c>
      <c r="T1" t="s">
        <v>171</v>
      </c>
      <c r="U1" t="s">
        <v>142</v>
      </c>
      <c r="V1" t="s">
        <v>8</v>
      </c>
      <c r="W1" t="s">
        <v>1934</v>
      </c>
      <c r="X1" t="s">
        <v>163</v>
      </c>
      <c r="Y1" t="s">
        <v>174</v>
      </c>
      <c r="Z1" t="s">
        <v>175</v>
      </c>
      <c r="AA1" t="s">
        <v>176</v>
      </c>
      <c r="AB1" t="s">
        <v>7</v>
      </c>
      <c r="AC1" t="s">
        <v>1716</v>
      </c>
      <c r="AD1" t="s">
        <v>1931</v>
      </c>
      <c r="AE1" t="s">
        <v>1676</v>
      </c>
      <c r="AF1" t="s">
        <v>1710</v>
      </c>
      <c r="AG1" t="s">
        <v>1701</v>
      </c>
      <c r="AH1" t="s">
        <v>1662</v>
      </c>
      <c r="AI1" t="s">
        <v>1940</v>
      </c>
      <c r="AJ1" t="s">
        <v>1941</v>
      </c>
      <c r="AK1" t="s">
        <v>1930</v>
      </c>
      <c r="AL1" t="s">
        <v>1709</v>
      </c>
      <c r="AM1" t="s">
        <v>1804</v>
      </c>
    </row>
    <row r="2" spans="1:39">
      <c r="A2" s="454">
        <v>44128</v>
      </c>
      <c r="B2" t="s">
        <v>2000</v>
      </c>
      <c r="C2" t="s">
        <v>160</v>
      </c>
      <c r="D2" t="s">
        <v>64</v>
      </c>
      <c r="F2" t="s">
        <v>1698</v>
      </c>
      <c r="H2" t="s">
        <v>1522</v>
      </c>
      <c r="I2" t="s">
        <v>2016</v>
      </c>
      <c r="J2">
        <v>8.5</v>
      </c>
      <c r="K2">
        <v>5500</v>
      </c>
      <c r="L2">
        <v>647.05882352941171</v>
      </c>
      <c r="M2">
        <v>6126</v>
      </c>
      <c r="N2">
        <v>6075</v>
      </c>
      <c r="O2">
        <v>0</v>
      </c>
      <c r="P2">
        <v>0</v>
      </c>
      <c r="Q2">
        <v>59</v>
      </c>
      <c r="R2">
        <v>0</v>
      </c>
      <c r="S2">
        <v>51</v>
      </c>
      <c r="T2">
        <v>0</v>
      </c>
      <c r="U2">
        <v>7</v>
      </c>
      <c r="V2">
        <v>867.85714285714289</v>
      </c>
      <c r="W2">
        <v>1.1045454545454545</v>
      </c>
      <c r="X2" t="s">
        <v>14</v>
      </c>
      <c r="Y2">
        <v>0</v>
      </c>
      <c r="Z2">
        <v>0</v>
      </c>
      <c r="AA2" t="s">
        <v>107</v>
      </c>
      <c r="AB2">
        <v>8.3251714005876595E-3</v>
      </c>
      <c r="AC2">
        <v>0</v>
      </c>
      <c r="AD2">
        <v>0.99167482859941236</v>
      </c>
      <c r="AE2">
        <v>0.83333333333333337</v>
      </c>
      <c r="AF2">
        <v>7.666666666666667</v>
      </c>
      <c r="AG2">
        <v>0.90196078431372551</v>
      </c>
      <c r="AH2">
        <v>714.70588235294122</v>
      </c>
      <c r="AI2">
        <v>36</v>
      </c>
      <c r="AJ2">
        <v>31.802469135802475</v>
      </c>
      <c r="AK2">
        <v>1.1319875776397514</v>
      </c>
      <c r="AL2">
        <v>1.0125083334019209</v>
      </c>
      <c r="AM2" t="s">
        <v>1797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
  <sheetViews>
    <sheetView workbookViewId="0">
      <selection sqref="A1:AM3"/>
    </sheetView>
  </sheetViews>
  <sheetFormatPr defaultRowHeight="14.5"/>
  <cols>
    <col min="3" max="3" width="8.54296875" customWidth="1"/>
    <col min="4" max="4" width="11.453125" customWidth="1"/>
    <col min="5" max="5" width="10" customWidth="1"/>
    <col min="6" max="6" width="12.54296875" customWidth="1"/>
    <col min="7" max="7" width="10.453125" customWidth="1"/>
    <col min="9" max="9" width="8.54296875" customWidth="1"/>
    <col min="10" max="11" width="9.54296875" customWidth="1"/>
    <col min="12" max="12" width="15.54296875" customWidth="1"/>
    <col min="13" max="13" width="19.54296875" customWidth="1"/>
    <col min="14" max="14" width="15.54296875" customWidth="1"/>
    <col min="15" max="15" width="21.54296875" customWidth="1"/>
    <col min="16" max="16" width="11.54296875" customWidth="1"/>
    <col min="17" max="17" width="13.453125" customWidth="1"/>
    <col min="18" max="18" width="10.54296875" customWidth="1"/>
    <col min="19" max="19" width="12.54296875" customWidth="1"/>
    <col min="20" max="20" width="15.54296875" customWidth="1"/>
    <col min="21" max="21" width="12.453125" customWidth="1"/>
    <col min="22" max="22" width="13.453125" customWidth="1"/>
    <col min="23" max="23" width="27.54296875" customWidth="1"/>
    <col min="24" max="24" width="23.54296875" customWidth="1"/>
    <col min="25" max="25" width="22.453125" customWidth="1"/>
    <col min="26" max="26" width="24" customWidth="1"/>
    <col min="27" max="27" width="16.453125" customWidth="1"/>
    <col min="29" max="29" width="12.54296875" customWidth="1"/>
    <col min="30" max="30" width="13.54296875" customWidth="1"/>
    <col min="31" max="31" width="16.453125" customWidth="1"/>
    <col min="32" max="32" width="17.54296875" customWidth="1"/>
    <col min="33" max="34" width="19.54296875" customWidth="1"/>
    <col min="35" max="35" width="31.54296875" customWidth="1"/>
    <col min="37" max="37" width="11.54296875" customWidth="1"/>
    <col min="39" max="39" width="14.54296875" customWidth="1"/>
  </cols>
  <sheetData>
    <row r="1" spans="1:39">
      <c r="A1" t="s">
        <v>362</v>
      </c>
      <c r="B1" t="s">
        <v>143</v>
      </c>
      <c r="C1" t="s">
        <v>5</v>
      </c>
      <c r="D1" t="s">
        <v>0</v>
      </c>
      <c r="E1" t="s">
        <v>1658</v>
      </c>
      <c r="F1" t="s">
        <v>1659</v>
      </c>
      <c r="G1" t="s">
        <v>146</v>
      </c>
      <c r="H1" t="s">
        <v>1</v>
      </c>
      <c r="I1" t="s">
        <v>1926</v>
      </c>
      <c r="J1" t="s">
        <v>1660</v>
      </c>
      <c r="K1" t="s">
        <v>1661</v>
      </c>
      <c r="L1" t="s">
        <v>1711</v>
      </c>
      <c r="M1" t="s">
        <v>177</v>
      </c>
      <c r="N1" t="s">
        <v>1611</v>
      </c>
      <c r="O1" t="s">
        <v>166</v>
      </c>
      <c r="P1" t="s">
        <v>167</v>
      </c>
      <c r="Q1" t="s">
        <v>168</v>
      </c>
      <c r="R1" t="s">
        <v>169</v>
      </c>
      <c r="S1" t="s">
        <v>170</v>
      </c>
      <c r="T1" t="s">
        <v>171</v>
      </c>
      <c r="U1" t="s">
        <v>142</v>
      </c>
      <c r="V1" t="s">
        <v>8</v>
      </c>
      <c r="W1" t="s">
        <v>1934</v>
      </c>
      <c r="X1" t="s">
        <v>163</v>
      </c>
      <c r="Y1" t="s">
        <v>174</v>
      </c>
      <c r="Z1" t="s">
        <v>175</v>
      </c>
      <c r="AA1" t="s">
        <v>176</v>
      </c>
      <c r="AB1" t="s">
        <v>7</v>
      </c>
      <c r="AC1" t="s">
        <v>1716</v>
      </c>
      <c r="AD1" t="s">
        <v>1931</v>
      </c>
      <c r="AE1" t="s">
        <v>1676</v>
      </c>
      <c r="AF1" t="s">
        <v>1710</v>
      </c>
      <c r="AG1" t="s">
        <v>1701</v>
      </c>
      <c r="AH1" t="s">
        <v>1662</v>
      </c>
      <c r="AI1" t="s">
        <v>1940</v>
      </c>
      <c r="AJ1" t="s">
        <v>1941</v>
      </c>
      <c r="AK1" t="s">
        <v>1930</v>
      </c>
      <c r="AL1" t="s">
        <v>1709</v>
      </c>
      <c r="AM1" t="s">
        <v>1804</v>
      </c>
    </row>
    <row r="2" spans="1:39">
      <c r="A2" s="454">
        <v>44128</v>
      </c>
      <c r="B2" t="s">
        <v>2001</v>
      </c>
      <c r="C2" t="s">
        <v>161</v>
      </c>
      <c r="D2" t="s">
        <v>115</v>
      </c>
      <c r="E2" t="s">
        <v>1681</v>
      </c>
      <c r="F2" t="s">
        <v>1888</v>
      </c>
      <c r="H2" t="s">
        <v>1548</v>
      </c>
      <c r="I2" t="s">
        <v>2028</v>
      </c>
      <c r="J2">
        <v>2</v>
      </c>
      <c r="K2">
        <v>0</v>
      </c>
      <c r="L2">
        <v>0</v>
      </c>
      <c r="M2">
        <v>620</v>
      </c>
      <c r="N2">
        <v>540</v>
      </c>
      <c r="O2">
        <v>0.66800000000000004</v>
      </c>
      <c r="P2">
        <v>37</v>
      </c>
      <c r="Q2">
        <v>0</v>
      </c>
      <c r="R2">
        <v>0</v>
      </c>
      <c r="S2">
        <v>35</v>
      </c>
      <c r="T2">
        <v>8</v>
      </c>
      <c r="U2">
        <v>1</v>
      </c>
      <c r="V2">
        <v>540</v>
      </c>
      <c r="W2" t="e">
        <v>#DIV/0!</v>
      </c>
      <c r="X2" t="s">
        <v>153</v>
      </c>
      <c r="Y2">
        <v>32</v>
      </c>
      <c r="Z2">
        <v>20.507999999999999</v>
      </c>
      <c r="AA2">
        <v>0.84259801053247518</v>
      </c>
      <c r="AB2">
        <v>6.0869565217391307E-2</v>
      </c>
      <c r="AC2">
        <v>5.6316590563165903E-2</v>
      </c>
      <c r="AD2">
        <v>0.94354838709677424</v>
      </c>
      <c r="AE2">
        <v>0</v>
      </c>
      <c r="AF2">
        <v>2</v>
      </c>
      <c r="AG2">
        <v>1</v>
      </c>
      <c r="AH2">
        <v>270</v>
      </c>
      <c r="AI2">
        <v>9</v>
      </c>
      <c r="AJ2">
        <v>13.333333333333334</v>
      </c>
      <c r="AK2">
        <v>0.67499999999999993</v>
      </c>
      <c r="AL2">
        <v>0.63689516129032253</v>
      </c>
      <c r="AM2" t="s">
        <v>1797</v>
      </c>
    </row>
    <row r="3" spans="1:39">
      <c r="A3" s="454">
        <v>44128</v>
      </c>
      <c r="B3" t="s">
        <v>1980</v>
      </c>
      <c r="C3" t="s">
        <v>161</v>
      </c>
      <c r="D3" t="s">
        <v>67</v>
      </c>
      <c r="E3" t="s">
        <v>1682</v>
      </c>
      <c r="F3" t="s">
        <v>1665</v>
      </c>
      <c r="H3" t="s">
        <v>1518</v>
      </c>
      <c r="I3" t="s">
        <v>2015</v>
      </c>
      <c r="J3">
        <v>8</v>
      </c>
      <c r="K3">
        <v>2823</v>
      </c>
      <c r="L3">
        <v>352.875</v>
      </c>
      <c r="M3">
        <v>3156</v>
      </c>
      <c r="N3">
        <v>3060</v>
      </c>
      <c r="O3">
        <v>0.44</v>
      </c>
      <c r="P3">
        <v>0</v>
      </c>
      <c r="Q3">
        <v>0</v>
      </c>
      <c r="R3">
        <v>0</v>
      </c>
      <c r="S3">
        <v>88</v>
      </c>
      <c r="T3">
        <v>8</v>
      </c>
      <c r="U3">
        <v>1</v>
      </c>
      <c r="V3">
        <v>3060</v>
      </c>
      <c r="W3">
        <v>1.0839532412327311</v>
      </c>
      <c r="X3" t="s">
        <v>152</v>
      </c>
      <c r="Y3">
        <v>22</v>
      </c>
      <c r="Z3">
        <v>69.872</v>
      </c>
      <c r="AA3">
        <v>0.96347607052896711</v>
      </c>
      <c r="AB3">
        <v>2.795425667090216E-2</v>
      </c>
      <c r="AC3">
        <v>0</v>
      </c>
      <c r="AD3">
        <v>0.97211660329531047</v>
      </c>
      <c r="AE3">
        <v>0.83333333333333337</v>
      </c>
      <c r="AF3">
        <v>7.166666666666667</v>
      </c>
      <c r="AG3">
        <v>0.89583333333333337</v>
      </c>
      <c r="AH3">
        <v>382.5</v>
      </c>
      <c r="AI3">
        <v>9</v>
      </c>
      <c r="AJ3">
        <v>8.4313725490196081</v>
      </c>
      <c r="AK3">
        <v>1.0674418604651164</v>
      </c>
      <c r="AL3">
        <v>0.92958650190114078</v>
      </c>
      <c r="AM3" t="s">
        <v>1797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theme="4" tint="-0.249977111117893"/>
    <pageSetUpPr fitToPage="1"/>
  </sheetPr>
  <dimension ref="A1:FU3102"/>
  <sheetViews>
    <sheetView zoomScale="90" zoomScaleNormal="90" workbookViewId="0">
      <pane xSplit="5" ySplit="3" topLeftCell="H1516" activePane="bottomRight" state="frozen"/>
      <selection pane="topRight" activeCell="E1" sqref="E1"/>
      <selection pane="bottomLeft" activeCell="A4" sqref="A4"/>
      <selection pane="bottomRight" activeCell="A1516" sqref="A1516"/>
    </sheetView>
  </sheetViews>
  <sheetFormatPr defaultColWidth="12.54296875" defaultRowHeight="14.5"/>
  <cols>
    <col min="1" max="1" width="7.453125" style="441" customWidth="1"/>
    <col min="2" max="2" width="8.54296875" style="388" customWidth="1"/>
    <col min="3" max="3" width="5.453125" style="95" customWidth="1"/>
    <col min="4" max="4" width="18.54296875" style="361" customWidth="1"/>
    <col min="5" max="5" width="8.453125" customWidth="1"/>
    <col min="6" max="6" width="5.54296875" style="510" hidden="1" customWidth="1"/>
    <col min="7" max="7" width="5.453125" style="361" hidden="1" customWidth="1"/>
    <col min="8" max="8" width="24.54296875" style="510" customWidth="1"/>
    <col min="9" max="9" width="15.453125" hidden="1" customWidth="1"/>
    <col min="10" max="10" width="13.1796875" style="441" customWidth="1"/>
    <col min="11" max="11" width="18.26953125" style="67" bestFit="1" customWidth="1"/>
    <col min="12" max="12" width="13.90625" style="206" bestFit="1" customWidth="1"/>
    <col min="13" max="13" width="12.90625" style="67" bestFit="1" customWidth="1"/>
    <col min="14" max="14" width="9.453125" customWidth="1"/>
    <col min="15" max="15" width="11.453125" style="236" bestFit="1" customWidth="1"/>
    <col min="16" max="17" width="8.453125" style="236" customWidth="1"/>
    <col min="18" max="18" width="8" style="236" customWidth="1"/>
    <col min="19" max="19" width="5.453125" style="236" customWidth="1"/>
    <col min="20" max="20" width="7.1796875" style="236" customWidth="1"/>
    <col min="21" max="21" width="7.453125" style="236" customWidth="1"/>
    <col min="22" max="22" width="6.453125" customWidth="1"/>
    <col min="23" max="23" width="9.54296875" style="444" customWidth="1"/>
    <col min="24" max="24" width="8.54296875" style="444" customWidth="1"/>
    <col min="25" max="25" width="10.453125" style="205" customWidth="1"/>
    <col min="26" max="26" width="7.453125" style="414" customWidth="1"/>
    <col min="27" max="27" width="8" style="669" customWidth="1"/>
    <col min="28" max="28" width="9.26953125" style="414" customWidth="1"/>
    <col min="29" max="29" width="7.26953125" customWidth="1"/>
    <col min="30" max="30" width="6.54296875" customWidth="1"/>
    <col min="31" max="31" width="8.26953125" customWidth="1"/>
    <col min="32" max="32" width="6.453125" style="53" customWidth="1"/>
    <col min="33" max="33" width="11.81640625" style="53" customWidth="1"/>
    <col min="34" max="34" width="9.453125" style="54" customWidth="1"/>
    <col min="35" max="35" width="7.453125" style="53" customWidth="1"/>
    <col min="36" max="36" width="9" style="54" customWidth="1"/>
    <col min="37" max="37" width="10" style="54" customWidth="1"/>
    <col min="38" max="38" width="7.54296875" style="54" customWidth="1"/>
    <col min="39" max="39" width="8.54296875" style="54" customWidth="1"/>
    <col min="40" max="40" width="16.26953125" style="800" hidden="1" customWidth="1"/>
    <col min="41" max="41" width="19.7265625" style="932" customWidth="1"/>
    <col min="42" max="44" width="8.453125" style="203" customWidth="1"/>
    <col min="45" max="45" width="12.453125" style="203" customWidth="1"/>
    <col min="46" max="61" width="8.453125" style="203" customWidth="1"/>
    <col min="62" max="62" width="13.453125" style="203" customWidth="1"/>
    <col min="63" max="63" width="11.54296875" style="203" customWidth="1"/>
    <col min="64" max="64" width="9.453125" style="203" customWidth="1"/>
    <col min="65" max="65" width="13.453125" style="203" customWidth="1"/>
    <col min="66" max="66" width="7.453125" style="203" customWidth="1"/>
    <col min="67" max="68" width="11.54296875" style="203" customWidth="1"/>
    <col min="69" max="70" width="7.453125" style="203" customWidth="1"/>
    <col min="71" max="71" width="8.54296875" style="414" customWidth="1"/>
    <col min="72" max="100" width="8.54296875" style="669" customWidth="1"/>
    <col min="102" max="102" width="16.453125" customWidth="1"/>
  </cols>
  <sheetData>
    <row r="1" spans="1:102" ht="42.75" customHeight="1">
      <c r="B1" s="943"/>
      <c r="C1" s="944"/>
      <c r="D1" s="817" t="s">
        <v>107</v>
      </c>
      <c r="E1" s="387"/>
      <c r="F1" s="506"/>
      <c r="G1" s="386"/>
      <c r="H1" s="600"/>
      <c r="I1" s="387"/>
      <c r="J1" s="387"/>
      <c r="K1" s="58"/>
      <c r="L1" s="202"/>
      <c r="M1" s="412"/>
      <c r="N1" s="859">
        <f t="shared" ref="N1:U1" si="0">SUBTOTAL(9,N4:N363)</f>
        <v>1827214</v>
      </c>
      <c r="O1" s="59">
        <f t="shared" si="0"/>
        <v>1805582</v>
      </c>
      <c r="P1" s="59">
        <f t="shared" si="0"/>
        <v>117.66000000000003</v>
      </c>
      <c r="Q1" s="859">
        <f t="shared" si="0"/>
        <v>10331</v>
      </c>
      <c r="R1" s="859">
        <f t="shared" si="0"/>
        <v>903</v>
      </c>
      <c r="S1" s="859">
        <f t="shared" si="0"/>
        <v>0</v>
      </c>
      <c r="T1" s="859">
        <f t="shared" si="0"/>
        <v>10322</v>
      </c>
      <c r="U1" s="859">
        <f t="shared" si="0"/>
        <v>979</v>
      </c>
      <c r="V1" s="59"/>
      <c r="W1" s="859">
        <f>SUM(Q1,T1:U1)</f>
        <v>21632</v>
      </c>
      <c r="X1" s="59"/>
      <c r="Y1" s="59"/>
      <c r="Z1" s="59"/>
      <c r="AA1" s="59"/>
      <c r="AB1" s="59"/>
      <c r="AC1" s="60"/>
      <c r="AD1" s="57"/>
      <c r="AE1" s="57"/>
      <c r="AF1" s="68"/>
      <c r="AG1" s="68"/>
      <c r="AH1" s="230" t="s">
        <v>107</v>
      </c>
      <c r="AI1" s="68"/>
      <c r="AJ1" s="230"/>
      <c r="AK1" s="230"/>
      <c r="AL1" s="230"/>
      <c r="AM1" s="230"/>
      <c r="AN1" s="797"/>
      <c r="AO1" s="930"/>
    </row>
    <row r="2" spans="1:102" ht="22.4" customHeight="1" thickBot="1">
      <c r="B2" s="449"/>
      <c r="C2" s="449"/>
      <c r="D2" s="818" t="s">
        <v>159</v>
      </c>
      <c r="E2" s="390"/>
      <c r="F2" s="589"/>
      <c r="G2" s="590"/>
      <c r="H2" s="601" t="s">
        <v>159</v>
      </c>
      <c r="I2" s="202"/>
      <c r="J2" s="202"/>
      <c r="K2" s="589"/>
      <c r="L2" s="592"/>
      <c r="M2" s="591" t="s">
        <v>159</v>
      </c>
      <c r="N2" s="591" t="s">
        <v>159</v>
      </c>
      <c r="O2" s="593"/>
      <c r="P2" s="593"/>
      <c r="Q2" s="594"/>
      <c r="R2" s="595"/>
      <c r="S2" s="595"/>
      <c r="T2" s="595"/>
      <c r="U2" s="595"/>
      <c r="V2" s="596"/>
      <c r="W2" s="591" t="s">
        <v>159</v>
      </c>
      <c r="X2" s="591" t="s">
        <v>159</v>
      </c>
      <c r="Y2" s="591" t="s">
        <v>159</v>
      </c>
      <c r="Z2" s="591" t="s">
        <v>159</v>
      </c>
      <c r="AA2" s="591" t="s">
        <v>159</v>
      </c>
      <c r="AB2" s="591" t="s">
        <v>159</v>
      </c>
      <c r="AC2" s="591" t="s">
        <v>159</v>
      </c>
      <c r="AD2" s="591" t="s">
        <v>159</v>
      </c>
      <c r="AE2" s="591" t="s">
        <v>159</v>
      </c>
      <c r="AF2" s="597" t="s">
        <v>159</v>
      </c>
      <c r="AG2" s="597" t="s">
        <v>1718</v>
      </c>
      <c r="AH2" s="591" t="s">
        <v>159</v>
      </c>
      <c r="AI2" s="591" t="s">
        <v>159</v>
      </c>
      <c r="AJ2" s="591" t="s">
        <v>159</v>
      </c>
      <c r="AK2" s="591" t="s">
        <v>159</v>
      </c>
      <c r="AL2" s="591" t="s">
        <v>159</v>
      </c>
      <c r="AM2" s="591" t="s">
        <v>159</v>
      </c>
      <c r="AN2" s="798"/>
      <c r="AO2" s="598"/>
      <c r="AP2" s="945" t="s">
        <v>1675</v>
      </c>
      <c r="AQ2" s="946"/>
      <c r="AR2" s="946"/>
      <c r="AS2" s="946"/>
      <c r="AT2" s="946"/>
      <c r="AU2" s="946"/>
      <c r="AV2" s="946"/>
      <c r="AW2" s="946"/>
      <c r="AX2" s="946"/>
      <c r="AY2" s="946"/>
      <c r="AZ2" s="946"/>
      <c r="BA2" s="946"/>
      <c r="BB2" s="946"/>
      <c r="BC2" s="946"/>
      <c r="BD2" s="946"/>
      <c r="BE2" s="946"/>
      <c r="BF2" s="946"/>
      <c r="BG2" s="946"/>
      <c r="BH2" s="946"/>
      <c r="BI2" s="946"/>
      <c r="BJ2" s="946"/>
      <c r="BK2" s="946"/>
      <c r="BL2" s="946"/>
      <c r="BM2" s="946"/>
      <c r="BN2" s="946"/>
      <c r="BO2" s="946"/>
      <c r="BP2" s="946"/>
      <c r="BQ2" s="947"/>
      <c r="BR2" s="599" t="s">
        <v>159</v>
      </c>
      <c r="BS2" s="599" t="s">
        <v>159</v>
      </c>
      <c r="BT2" s="933"/>
      <c r="BU2" s="933"/>
      <c r="BV2" s="933"/>
      <c r="BW2" s="933"/>
      <c r="BX2" s="933"/>
      <c r="BY2" s="933"/>
      <c r="BZ2" s="933"/>
      <c r="CA2" s="933"/>
      <c r="CB2" s="933"/>
      <c r="CC2" s="933"/>
      <c r="CD2" s="933"/>
      <c r="CE2" s="933"/>
      <c r="CF2" s="933"/>
      <c r="CG2" s="933"/>
      <c r="CH2" s="933"/>
      <c r="CI2" s="933"/>
      <c r="CJ2" s="933"/>
      <c r="CK2" s="933"/>
      <c r="CL2" s="933"/>
      <c r="CM2" s="933"/>
      <c r="CN2" s="933"/>
      <c r="CO2" s="933"/>
      <c r="CP2" s="933"/>
      <c r="CQ2" s="933"/>
      <c r="CR2" s="933"/>
      <c r="CS2" s="933"/>
      <c r="CT2" s="933"/>
      <c r="CU2" s="933"/>
      <c r="CV2" s="933"/>
    </row>
    <row r="3" spans="1:102" s="4" customFormat="1" ht="55.5" customHeight="1" thickBot="1">
      <c r="A3" s="4" t="s">
        <v>2037</v>
      </c>
      <c r="B3" s="389" t="s">
        <v>362</v>
      </c>
      <c r="C3" s="437" t="s">
        <v>143</v>
      </c>
      <c r="D3" s="926" t="s">
        <v>5</v>
      </c>
      <c r="E3" s="389" t="s">
        <v>0</v>
      </c>
      <c r="F3" s="507" t="s">
        <v>1658</v>
      </c>
      <c r="G3" s="389" t="s">
        <v>2102</v>
      </c>
      <c r="H3" s="377" t="s">
        <v>1</v>
      </c>
      <c r="I3" s="377" t="s">
        <v>1926</v>
      </c>
      <c r="J3" s="919" t="s">
        <v>2806</v>
      </c>
      <c r="K3" s="377" t="s">
        <v>1660</v>
      </c>
      <c r="L3" s="378" t="s">
        <v>1661</v>
      </c>
      <c r="M3" s="377" t="s">
        <v>1711</v>
      </c>
      <c r="N3" s="379" t="s">
        <v>177</v>
      </c>
      <c r="O3" s="380" t="s">
        <v>1611</v>
      </c>
      <c r="P3" s="380" t="s">
        <v>166</v>
      </c>
      <c r="Q3" s="380" t="s">
        <v>167</v>
      </c>
      <c r="R3" s="380" t="s">
        <v>168</v>
      </c>
      <c r="S3" s="380" t="s">
        <v>169</v>
      </c>
      <c r="T3" s="380" t="s">
        <v>170</v>
      </c>
      <c r="U3" s="380" t="s">
        <v>171</v>
      </c>
      <c r="V3" s="377" t="s">
        <v>142</v>
      </c>
      <c r="W3" s="452" t="s">
        <v>8</v>
      </c>
      <c r="X3" s="452" t="s">
        <v>1934</v>
      </c>
      <c r="Y3" s="377" t="s">
        <v>163</v>
      </c>
      <c r="Z3" s="385" t="s">
        <v>174</v>
      </c>
      <c r="AA3" s="385" t="s">
        <v>175</v>
      </c>
      <c r="AB3" s="377" t="s">
        <v>176</v>
      </c>
      <c r="AC3" s="381" t="s">
        <v>7</v>
      </c>
      <c r="AD3" s="377" t="s">
        <v>1716</v>
      </c>
      <c r="AE3" s="425" t="s">
        <v>1931</v>
      </c>
      <c r="AF3" s="382" t="s">
        <v>1676</v>
      </c>
      <c r="AG3" s="382" t="s">
        <v>1710</v>
      </c>
      <c r="AH3" s="426" t="s">
        <v>1701</v>
      </c>
      <c r="AI3" s="382" t="s">
        <v>1662</v>
      </c>
      <c r="AJ3" s="382" t="s">
        <v>1940</v>
      </c>
      <c r="AK3" s="382" t="s">
        <v>1941</v>
      </c>
      <c r="AL3" s="426" t="s">
        <v>1930</v>
      </c>
      <c r="AM3" s="427" t="s">
        <v>1709</v>
      </c>
      <c r="AN3" s="927" t="s">
        <v>1804</v>
      </c>
      <c r="AO3" s="383" t="s">
        <v>1656</v>
      </c>
      <c r="AP3" s="749" t="s">
        <v>1719</v>
      </c>
      <c r="AQ3" s="750" t="s">
        <v>1666</v>
      </c>
      <c r="AR3" s="751" t="s">
        <v>2163</v>
      </c>
      <c r="AS3" s="751" t="s">
        <v>2155</v>
      </c>
      <c r="AT3" s="751" t="s">
        <v>2099</v>
      </c>
      <c r="AU3" s="751" t="s">
        <v>1927</v>
      </c>
      <c r="AV3" s="751" t="s">
        <v>1923</v>
      </c>
      <c r="AW3" s="752" t="s">
        <v>1671</v>
      </c>
      <c r="AX3" s="752" t="s">
        <v>1667</v>
      </c>
      <c r="AY3" s="752" t="s">
        <v>1800</v>
      </c>
      <c r="AZ3" s="752" t="s">
        <v>2153</v>
      </c>
      <c r="BA3" s="752" t="s">
        <v>2165</v>
      </c>
      <c r="BB3" s="752" t="s">
        <v>2061</v>
      </c>
      <c r="BC3" s="752" t="s">
        <v>2100</v>
      </c>
      <c r="BD3" s="752" t="s">
        <v>2156</v>
      </c>
      <c r="BE3" s="752" t="s">
        <v>1794</v>
      </c>
      <c r="BF3" s="752" t="s">
        <v>2029</v>
      </c>
      <c r="BG3" s="752" t="s">
        <v>2101</v>
      </c>
      <c r="BH3" s="752" t="s">
        <v>1670</v>
      </c>
      <c r="BI3" s="752" t="s">
        <v>1982</v>
      </c>
      <c r="BJ3" s="752" t="s">
        <v>1795</v>
      </c>
      <c r="BK3" s="752" t="s">
        <v>2535</v>
      </c>
      <c r="BL3" s="752" t="s">
        <v>1793</v>
      </c>
      <c r="BM3" s="752" t="s">
        <v>2152</v>
      </c>
      <c r="BN3" s="752" t="s">
        <v>1672</v>
      </c>
      <c r="BO3" s="752" t="s">
        <v>2164</v>
      </c>
      <c r="BP3" s="752" t="s">
        <v>1673</v>
      </c>
      <c r="BQ3" s="753" t="s">
        <v>1669</v>
      </c>
      <c r="BR3" s="384" t="s">
        <v>1674</v>
      </c>
      <c r="BS3" s="384" t="s">
        <v>1674</v>
      </c>
      <c r="BT3" s="934"/>
      <c r="BU3" s="934"/>
      <c r="BV3" s="934"/>
      <c r="BW3" s="934"/>
      <c r="BX3" s="934"/>
      <c r="BY3" s="934"/>
      <c r="BZ3" s="934"/>
      <c r="CA3" s="934"/>
      <c r="CB3" s="934"/>
      <c r="CC3" s="934"/>
      <c r="CD3" s="934"/>
      <c r="CE3" s="934"/>
      <c r="CF3" s="934"/>
      <c r="CG3" s="934"/>
      <c r="CH3" s="934"/>
      <c r="CI3" s="934"/>
      <c r="CJ3" s="934"/>
      <c r="CK3" s="934"/>
      <c r="CL3" s="934"/>
      <c r="CM3" s="934"/>
      <c r="CN3" s="934"/>
      <c r="CO3" s="934"/>
      <c r="CP3" s="934"/>
      <c r="CQ3" s="934"/>
      <c r="CR3" s="934"/>
      <c r="CS3" s="934"/>
      <c r="CT3" s="934"/>
      <c r="CU3" s="934"/>
      <c r="CV3" s="934"/>
      <c r="CX3" s="920" t="s">
        <v>2807</v>
      </c>
    </row>
    <row r="4" spans="1:102" s="375" customFormat="1" ht="15" customHeight="1">
      <c r="A4" s="375">
        <f>MONTH(B4)</f>
        <v>8</v>
      </c>
      <c r="B4" s="455">
        <v>44410</v>
      </c>
      <c r="C4" s="445" t="s">
        <v>2001</v>
      </c>
      <c r="D4" s="376" t="str">
        <f>IFERROR(VLOOKUP(E:E,'Item Data Support Sheet'!A:O,7,0),"")</f>
        <v>NIPPLE MOLDED</v>
      </c>
      <c r="E4" s="508" t="s">
        <v>73</v>
      </c>
      <c r="F4" s="508" t="s">
        <v>1678</v>
      </c>
      <c r="G4" s="376" t="s">
        <v>1691</v>
      </c>
      <c r="H4" s="602" t="str">
        <f>IFERROR(VLOOKUP(E:E,'Item Data Support Sheet'!A:O,2,0),"")</f>
        <v>NIPPLE S TYPE M SIZE INJECTION</v>
      </c>
      <c r="I4" s="447" t="s">
        <v>2166</v>
      </c>
      <c r="J4" s="447" t="s">
        <v>2810</v>
      </c>
      <c r="K4" s="438">
        <v>8</v>
      </c>
      <c r="L4" s="439">
        <v>4815</v>
      </c>
      <c r="M4" s="366">
        <f t="shared" ref="M4:M9" si="1">IFERROR(L4/K4,0)</f>
        <v>601.875</v>
      </c>
      <c r="N4" s="367">
        <f t="shared" ref="N4:N67" si="2">+O4+Q4+T4+U4</f>
        <v>6618</v>
      </c>
      <c r="O4" s="61">
        <f>3500+830</f>
        <v>4330</v>
      </c>
      <c r="P4" s="368">
        <v>0.8</v>
      </c>
      <c r="Q4" s="369">
        <v>2137</v>
      </c>
      <c r="R4" s="370">
        <v>0</v>
      </c>
      <c r="S4" s="370">
        <v>0</v>
      </c>
      <c r="T4" s="370">
        <v>135</v>
      </c>
      <c r="U4" s="370">
        <v>16</v>
      </c>
      <c r="V4" s="450">
        <v>1</v>
      </c>
      <c r="W4" s="453">
        <f t="shared" ref="W4" si="3">IFERROR(O4/V4,0)</f>
        <v>4330</v>
      </c>
      <c r="X4" s="748">
        <f t="shared" ref="X4" si="4">O4/L4</f>
        <v>0.89927310488058154</v>
      </c>
      <c r="Y4" s="451" t="str">
        <f>IFERROR(VLOOKUP(E:E,'Item Data Support Sheet'!A:J,6,0),0)</f>
        <v>Silicon</v>
      </c>
      <c r="Z4" s="428">
        <f>IFERROR(VLOOKUP(E:E,'Item Data Support Sheet'!A:O,4,0),0)</f>
        <v>6.8</v>
      </c>
      <c r="AA4" s="428">
        <f>IFERROR(((N4)*(Z4/1000))+P4,0)</f>
        <v>45.802399999999992</v>
      </c>
      <c r="AB4" s="429">
        <f t="shared" ref="AB4" si="5">IFERROR((O4*(Z4/1000)/(AA4))," ")</f>
        <v>0.64284840969032198</v>
      </c>
      <c r="AC4" s="424">
        <f>IFERROR((T4)/((T4)+O4),0)</f>
        <v>3.0235162374020158E-2</v>
      </c>
      <c r="AD4" s="371">
        <f t="shared" ref="AD4" si="6">IFERROR(Q4/(Q4+N4),0)</f>
        <v>0.24408909194745859</v>
      </c>
      <c r="AE4" s="748">
        <f>(N4-T4)/N4</f>
        <v>0.97960108794197642</v>
      </c>
      <c r="AF4" s="417">
        <f>BR4</f>
        <v>1</v>
      </c>
      <c r="AG4" s="416">
        <f>K4-AF4</f>
        <v>7</v>
      </c>
      <c r="AH4" s="372">
        <f>IFERROR(AG4/K4," ")</f>
        <v>0.875</v>
      </c>
      <c r="AI4" s="373">
        <f>IFERROR(O4/K4,0)</f>
        <v>541.25</v>
      </c>
      <c r="AJ4" s="418">
        <f>VLOOKUP(D4,'Standard Cycle time'!C:D,2,0)</f>
        <v>5.25</v>
      </c>
      <c r="AK4" s="418">
        <f t="shared" ref="AK4" si="7">AG4*V4*3600/O4</f>
        <v>5.8198614318706694</v>
      </c>
      <c r="AL4" s="374">
        <f>AJ4/AK4</f>
        <v>0.90208333333333335</v>
      </c>
      <c r="AM4" s="372">
        <f>AE4*AL4*AH4</f>
        <v>0.7732215879042007</v>
      </c>
      <c r="AN4" s="799" t="s">
        <v>2167</v>
      </c>
      <c r="AO4" s="761" t="s">
        <v>2168</v>
      </c>
      <c r="AP4" s="440">
        <v>0</v>
      </c>
      <c r="AQ4" s="440">
        <v>0</v>
      </c>
      <c r="AR4" s="440">
        <v>0</v>
      </c>
      <c r="AS4" s="440">
        <v>0</v>
      </c>
      <c r="AT4" s="440">
        <v>0</v>
      </c>
      <c r="AU4" s="440">
        <v>0</v>
      </c>
      <c r="AV4" s="440">
        <v>0</v>
      </c>
      <c r="AW4" s="440">
        <v>60</v>
      </c>
      <c r="AX4" s="440">
        <v>0</v>
      </c>
      <c r="AY4" s="440">
        <v>0</v>
      </c>
      <c r="AZ4" s="440">
        <v>0</v>
      </c>
      <c r="BA4" s="440">
        <v>0</v>
      </c>
      <c r="BB4" s="440">
        <v>0</v>
      </c>
      <c r="BC4" s="440">
        <v>0</v>
      </c>
      <c r="BD4" s="440">
        <v>0</v>
      </c>
      <c r="BE4" s="440">
        <v>0</v>
      </c>
      <c r="BF4" s="440">
        <v>0</v>
      </c>
      <c r="BG4" s="440">
        <v>0</v>
      </c>
      <c r="BH4" s="440">
        <v>0</v>
      </c>
      <c r="BI4" s="440">
        <v>0</v>
      </c>
      <c r="BJ4" s="440">
        <v>0</v>
      </c>
      <c r="BK4" s="440">
        <v>0</v>
      </c>
      <c r="BL4" s="440">
        <v>0</v>
      </c>
      <c r="BM4" s="440">
        <v>0</v>
      </c>
      <c r="BN4" s="440">
        <v>0</v>
      </c>
      <c r="BO4" s="440">
        <v>0</v>
      </c>
      <c r="BP4" s="440">
        <v>0</v>
      </c>
      <c r="BQ4" s="440">
        <v>0</v>
      </c>
      <c r="BR4" s="415">
        <f t="shared" ref="BR4:BR9" si="8">SUM(AP4:BQ4)/60</f>
        <v>1</v>
      </c>
      <c r="BS4" s="415">
        <f t="shared" ref="BS4:BS9" si="9">SUM(AP4:BR4)/60</f>
        <v>1.0166666666666666</v>
      </c>
      <c r="BT4" s="935"/>
      <c r="BU4" s="935"/>
      <c r="BV4" s="935"/>
      <c r="BW4" s="935"/>
      <c r="BX4" s="935"/>
      <c r="BY4" s="935"/>
      <c r="BZ4" s="935"/>
      <c r="CA4" s="935"/>
      <c r="CB4" s="935"/>
      <c r="CC4" s="935"/>
      <c r="CD4" s="935"/>
      <c r="CE4" s="935"/>
      <c r="CF4" s="935"/>
      <c r="CG4" s="935"/>
      <c r="CH4" s="935"/>
      <c r="CI4" s="935"/>
      <c r="CJ4" s="935"/>
      <c r="CK4" s="935"/>
      <c r="CL4" s="935"/>
      <c r="CM4" s="935"/>
      <c r="CN4" s="935"/>
      <c r="CO4" s="935"/>
      <c r="CP4" s="935"/>
      <c r="CQ4" s="935"/>
      <c r="CR4" s="935"/>
      <c r="CS4" s="935"/>
      <c r="CT4" s="935"/>
      <c r="CU4" s="935"/>
      <c r="CV4" s="935"/>
      <c r="CX4" s="375" t="s">
        <v>2808</v>
      </c>
    </row>
    <row r="5" spans="1:102" s="375" customFormat="1" ht="15" customHeight="1">
      <c r="A5" s="375">
        <f t="shared" ref="A5:A68" si="10">MONTH(B5)</f>
        <v>8</v>
      </c>
      <c r="B5" s="455">
        <v>44410</v>
      </c>
      <c r="C5" s="445" t="s">
        <v>2001</v>
      </c>
      <c r="D5" s="376" t="str">
        <f>IFERROR(VLOOKUP(E:E,'Item Data Support Sheet'!A:O,7,0),"")</f>
        <v>BOTTLE MOLDED</v>
      </c>
      <c r="E5" s="508" t="s">
        <v>67</v>
      </c>
      <c r="F5" s="447" t="s">
        <v>1679</v>
      </c>
      <c r="G5" s="376" t="s">
        <v>1665</v>
      </c>
      <c r="H5" s="602" t="str">
        <f>IFERROR(VLOOKUP(E:E,'Item Data Support Sheet'!A:O,2,0),"")</f>
        <v>RPP 120 ML BOTTLE MOLDED</v>
      </c>
      <c r="I5" s="447" t="s">
        <v>2169</v>
      </c>
      <c r="J5" s="447" t="s">
        <v>2810</v>
      </c>
      <c r="K5" s="438">
        <v>8</v>
      </c>
      <c r="L5" s="439">
        <v>2574</v>
      </c>
      <c r="M5" s="366">
        <f t="shared" si="1"/>
        <v>321.75</v>
      </c>
      <c r="N5" s="367">
        <f t="shared" si="2"/>
        <v>2381</v>
      </c>
      <c r="O5" s="61">
        <v>2160</v>
      </c>
      <c r="P5" s="368">
        <v>0.2</v>
      </c>
      <c r="Q5" s="369">
        <v>173</v>
      </c>
      <c r="R5" s="370">
        <v>0</v>
      </c>
      <c r="S5" s="370">
        <v>0</v>
      </c>
      <c r="T5" s="370">
        <v>40</v>
      </c>
      <c r="U5" s="370">
        <v>8</v>
      </c>
      <c r="V5" s="450">
        <v>1</v>
      </c>
      <c r="W5" s="453">
        <f t="shared" ref="W5:W68" si="11">IFERROR(O5/V5,0)</f>
        <v>2160</v>
      </c>
      <c r="X5" s="748">
        <f t="shared" ref="X5:X68" si="12">O5/L5</f>
        <v>0.83916083916083917</v>
      </c>
      <c r="Y5" s="451" t="str">
        <f>IFERROR(VLOOKUP(E:E,'Item Data Support Sheet'!A:J,6,0),0)</f>
        <v>HMC</v>
      </c>
      <c r="Z5" s="428">
        <f>IFERROR(VLOOKUP(E:E,'Item Data Support Sheet'!A:O,4,0),0)</f>
        <v>21.3</v>
      </c>
      <c r="AA5" s="428">
        <f t="shared" ref="AA5:AA68" si="13">IFERROR(((N5)*(Z5/1000))+P5,0)</f>
        <v>50.915300000000002</v>
      </c>
      <c r="AB5" s="429">
        <f t="shared" ref="AB5:AB68" si="14">IFERROR((O5*(Z5/1000)/(AA5))," ")</f>
        <v>0.90361836226045988</v>
      </c>
      <c r="AC5" s="424">
        <f t="shared" ref="AC5:AC68" si="15">IFERROR((T5)/((T5)+O5),0)</f>
        <v>1.8181818181818181E-2</v>
      </c>
      <c r="AD5" s="371">
        <f t="shared" ref="AD5:AD68" si="16">IFERROR(Q5/(Q5+N5),0)</f>
        <v>6.773688332028191E-2</v>
      </c>
      <c r="AE5" s="748">
        <f t="shared" ref="AE5:AE68" si="17">(N5-T5)/N5</f>
        <v>0.98320033599328016</v>
      </c>
      <c r="AF5" s="417">
        <f t="shared" ref="AF5:AF68" si="18">BR5</f>
        <v>2.5</v>
      </c>
      <c r="AG5" s="416">
        <f t="shared" ref="AG5:AG68" si="19">K5-AF5</f>
        <v>5.5</v>
      </c>
      <c r="AH5" s="372">
        <f t="shared" ref="AH5:AH68" si="20">IFERROR(AG5/K5," ")</f>
        <v>0.6875</v>
      </c>
      <c r="AI5" s="373">
        <f t="shared" ref="AI5:AI68" si="21">IFERROR(O5/K5,0)</f>
        <v>270</v>
      </c>
      <c r="AJ5" s="418">
        <f>VLOOKUP(D5,'Standard Cycle time'!C:D,2,0)</f>
        <v>9</v>
      </c>
      <c r="AK5" s="418">
        <f t="shared" ref="AK5:AK68" si="22">AG5*V5*3600/O5</f>
        <v>9.1666666666666661</v>
      </c>
      <c r="AL5" s="374">
        <f t="shared" ref="AL5:AL68" si="23">AJ5/AK5</f>
        <v>0.98181818181818192</v>
      </c>
      <c r="AM5" s="372">
        <f t="shared" ref="AM5:AM68" si="24">AE5*AL5*AH5</f>
        <v>0.66366022679546421</v>
      </c>
      <c r="AN5" s="799" t="s">
        <v>2170</v>
      </c>
      <c r="AO5" s="761" t="s">
        <v>2171</v>
      </c>
      <c r="AP5" s="440">
        <v>0</v>
      </c>
      <c r="AQ5" s="440">
        <v>0</v>
      </c>
      <c r="AR5" s="440">
        <v>120</v>
      </c>
      <c r="AS5" s="440">
        <v>0</v>
      </c>
      <c r="AT5" s="440">
        <v>0</v>
      </c>
      <c r="AU5" s="440">
        <v>0</v>
      </c>
      <c r="AV5" s="440">
        <v>0</v>
      </c>
      <c r="AW5" s="440">
        <v>30</v>
      </c>
      <c r="AX5" s="440">
        <v>0</v>
      </c>
      <c r="AY5" s="440">
        <v>0</v>
      </c>
      <c r="AZ5" s="440">
        <v>0</v>
      </c>
      <c r="BA5" s="440">
        <v>0</v>
      </c>
      <c r="BB5" s="440">
        <v>0</v>
      </c>
      <c r="BC5" s="440">
        <v>0</v>
      </c>
      <c r="BD5" s="440">
        <v>0</v>
      </c>
      <c r="BE5" s="440">
        <v>0</v>
      </c>
      <c r="BF5" s="440">
        <v>0</v>
      </c>
      <c r="BG5" s="440">
        <v>0</v>
      </c>
      <c r="BH5" s="440">
        <v>0</v>
      </c>
      <c r="BI5" s="440">
        <v>0</v>
      </c>
      <c r="BJ5" s="440">
        <v>0</v>
      </c>
      <c r="BK5" s="440">
        <v>0</v>
      </c>
      <c r="BL5" s="440">
        <v>0</v>
      </c>
      <c r="BM5" s="440">
        <v>0</v>
      </c>
      <c r="BN5" s="440">
        <v>0</v>
      </c>
      <c r="BO5" s="440">
        <v>0</v>
      </c>
      <c r="BP5" s="440">
        <v>0</v>
      </c>
      <c r="BQ5" s="440">
        <v>0</v>
      </c>
      <c r="BR5" s="415">
        <f t="shared" si="8"/>
        <v>2.5</v>
      </c>
      <c r="BS5" s="415">
        <f t="shared" si="9"/>
        <v>2.5416666666666665</v>
      </c>
      <c r="BT5" s="935"/>
      <c r="BU5" s="935"/>
      <c r="BV5" s="935"/>
      <c r="BW5" s="935"/>
      <c r="BX5" s="935"/>
      <c r="BY5" s="935"/>
      <c r="BZ5" s="935"/>
      <c r="CA5" s="935"/>
      <c r="CB5" s="935"/>
      <c r="CC5" s="935"/>
      <c r="CD5" s="935"/>
      <c r="CE5" s="935"/>
      <c r="CF5" s="935"/>
      <c r="CG5" s="935"/>
      <c r="CH5" s="935"/>
      <c r="CI5" s="935"/>
      <c r="CJ5" s="935"/>
      <c r="CK5" s="935"/>
      <c r="CL5" s="935"/>
      <c r="CM5" s="935"/>
      <c r="CN5" s="935"/>
      <c r="CO5" s="935"/>
      <c r="CP5" s="935"/>
      <c r="CQ5" s="935"/>
      <c r="CR5" s="935"/>
      <c r="CS5" s="935"/>
      <c r="CT5" s="935"/>
      <c r="CU5" s="935"/>
      <c r="CV5" s="935"/>
      <c r="CX5" s="375" t="s">
        <v>2809</v>
      </c>
    </row>
    <row r="6" spans="1:102" s="375" customFormat="1" ht="15" customHeight="1">
      <c r="A6" s="375">
        <f t="shared" si="10"/>
        <v>8</v>
      </c>
      <c r="B6" s="455">
        <v>44410</v>
      </c>
      <c r="C6" s="445" t="s">
        <v>2001</v>
      </c>
      <c r="D6" s="376" t="str">
        <f>IFERROR(VLOOKUP(E:E,'Item Data Support Sheet'!A:O,7,0),"")</f>
        <v>NIPPLE POSTCURE</v>
      </c>
      <c r="E6" s="446" t="s">
        <v>77</v>
      </c>
      <c r="F6" s="447"/>
      <c r="G6" s="376" t="s">
        <v>1705</v>
      </c>
      <c r="H6" s="602" t="str">
        <f>IFERROR(VLOOKUP(E:E,'Item Data Support Sheet'!A:O,2,0),"")</f>
        <v>NIPPLE S TYPE M SIZE POSTCURED</v>
      </c>
      <c r="I6" s="447" t="s">
        <v>2172</v>
      </c>
      <c r="J6" s="447" t="s">
        <v>2810</v>
      </c>
      <c r="K6" s="438">
        <v>3</v>
      </c>
      <c r="L6" s="439">
        <v>3000</v>
      </c>
      <c r="M6" s="366">
        <f t="shared" si="1"/>
        <v>1000</v>
      </c>
      <c r="N6" s="367">
        <f t="shared" si="2"/>
        <v>2830</v>
      </c>
      <c r="O6" s="61">
        <v>2830</v>
      </c>
      <c r="P6" s="368">
        <v>0</v>
      </c>
      <c r="Q6" s="369">
        <v>0</v>
      </c>
      <c r="R6" s="370">
        <v>0</v>
      </c>
      <c r="S6" s="370">
        <v>0</v>
      </c>
      <c r="T6" s="370">
        <v>0</v>
      </c>
      <c r="U6" s="370">
        <v>0</v>
      </c>
      <c r="V6" s="450">
        <v>1</v>
      </c>
      <c r="W6" s="453">
        <f t="shared" si="11"/>
        <v>2830</v>
      </c>
      <c r="X6" s="748">
        <f t="shared" si="12"/>
        <v>0.94333333333333336</v>
      </c>
      <c r="Y6" s="451" t="str">
        <f>IFERROR(VLOOKUP(E:E,'Item Data Support Sheet'!A:J,6,0),0)</f>
        <v>FO012</v>
      </c>
      <c r="Z6" s="428">
        <f>IFERROR(VLOOKUP(E:E,'Item Data Support Sheet'!A:O,4,0),0)</f>
        <v>0</v>
      </c>
      <c r="AA6" s="428">
        <f t="shared" si="13"/>
        <v>0</v>
      </c>
      <c r="AB6" s="429" t="str">
        <f t="shared" si="14"/>
        <v xml:space="preserve"> </v>
      </c>
      <c r="AC6" s="424">
        <f t="shared" si="15"/>
        <v>0</v>
      </c>
      <c r="AD6" s="371">
        <f t="shared" si="16"/>
        <v>0</v>
      </c>
      <c r="AE6" s="748">
        <f t="shared" si="17"/>
        <v>1</v>
      </c>
      <c r="AF6" s="417">
        <f t="shared" si="18"/>
        <v>1</v>
      </c>
      <c r="AG6" s="416">
        <f t="shared" si="19"/>
        <v>2</v>
      </c>
      <c r="AH6" s="372">
        <f t="shared" si="20"/>
        <v>0.66666666666666663</v>
      </c>
      <c r="AI6" s="373">
        <f t="shared" si="21"/>
        <v>943.33333333333337</v>
      </c>
      <c r="AJ6" s="418">
        <f>VLOOKUP(D6,'Standard Cycle time'!C:D,2,0)</f>
        <v>2.2999999999999998</v>
      </c>
      <c r="AK6" s="418">
        <f t="shared" si="22"/>
        <v>2.5441696113074204</v>
      </c>
      <c r="AL6" s="374">
        <f t="shared" si="23"/>
        <v>0.90402777777777776</v>
      </c>
      <c r="AM6" s="372">
        <f t="shared" si="24"/>
        <v>0.6026851851851851</v>
      </c>
      <c r="AN6" s="799" t="s">
        <v>2173</v>
      </c>
      <c r="AO6" s="761"/>
      <c r="AP6" s="440">
        <v>0</v>
      </c>
      <c r="AQ6" s="440">
        <v>0</v>
      </c>
      <c r="AR6" s="440">
        <v>0</v>
      </c>
      <c r="AS6" s="440">
        <v>60</v>
      </c>
      <c r="AT6" s="440">
        <v>0</v>
      </c>
      <c r="AU6" s="440">
        <v>0</v>
      </c>
      <c r="AV6" s="440">
        <v>0</v>
      </c>
      <c r="AW6" s="440">
        <v>0</v>
      </c>
      <c r="AX6" s="440">
        <v>0</v>
      </c>
      <c r="AY6" s="440">
        <v>0</v>
      </c>
      <c r="AZ6" s="440">
        <v>0</v>
      </c>
      <c r="BA6" s="440">
        <v>0</v>
      </c>
      <c r="BB6" s="440">
        <v>0</v>
      </c>
      <c r="BC6" s="440">
        <v>0</v>
      </c>
      <c r="BD6" s="440">
        <v>0</v>
      </c>
      <c r="BE6" s="440">
        <v>0</v>
      </c>
      <c r="BF6" s="440">
        <v>0</v>
      </c>
      <c r="BG6" s="440">
        <v>0</v>
      </c>
      <c r="BH6" s="440">
        <v>0</v>
      </c>
      <c r="BI6" s="440">
        <v>0</v>
      </c>
      <c r="BJ6" s="440">
        <v>0</v>
      </c>
      <c r="BK6" s="440">
        <v>0</v>
      </c>
      <c r="BL6" s="440">
        <v>0</v>
      </c>
      <c r="BM6" s="440">
        <v>0</v>
      </c>
      <c r="BN6" s="440">
        <v>0</v>
      </c>
      <c r="BO6" s="440">
        <v>0</v>
      </c>
      <c r="BP6" s="440">
        <v>0</v>
      </c>
      <c r="BQ6" s="440">
        <v>0</v>
      </c>
      <c r="BR6" s="415">
        <f t="shared" si="8"/>
        <v>1</v>
      </c>
      <c r="BS6" s="415">
        <f t="shared" si="9"/>
        <v>1.0166666666666666</v>
      </c>
      <c r="BT6" s="935"/>
      <c r="BU6" s="935"/>
      <c r="BV6" s="935"/>
      <c r="BW6" s="935"/>
      <c r="BX6" s="935"/>
      <c r="BY6" s="935"/>
      <c r="BZ6" s="935"/>
      <c r="CA6" s="935"/>
      <c r="CB6" s="935"/>
      <c r="CC6" s="935"/>
      <c r="CD6" s="935"/>
      <c r="CE6" s="935"/>
      <c r="CF6" s="935"/>
      <c r="CG6" s="935"/>
      <c r="CH6" s="935"/>
      <c r="CI6" s="935"/>
      <c r="CJ6" s="935"/>
      <c r="CK6" s="935"/>
      <c r="CL6" s="935"/>
      <c r="CM6" s="935"/>
      <c r="CN6" s="935"/>
      <c r="CO6" s="935"/>
      <c r="CP6" s="935"/>
      <c r="CQ6" s="935"/>
      <c r="CR6" s="935"/>
      <c r="CS6" s="935"/>
      <c r="CT6" s="935"/>
      <c r="CU6" s="935"/>
      <c r="CV6" s="935"/>
      <c r="CX6" s="375" t="s">
        <v>2810</v>
      </c>
    </row>
    <row r="7" spans="1:102" s="375" customFormat="1" ht="15" customHeight="1">
      <c r="A7" s="375">
        <f t="shared" si="10"/>
        <v>8</v>
      </c>
      <c r="B7" s="455">
        <v>44410</v>
      </c>
      <c r="C7" s="445" t="s">
        <v>2053</v>
      </c>
      <c r="D7" s="376" t="str">
        <f>IFERROR(VLOOKUP(E:E,'Item Data Support Sheet'!A:O,7,0),"")</f>
        <v>NIPPLE MOLDED</v>
      </c>
      <c r="E7" s="446" t="s">
        <v>73</v>
      </c>
      <c r="F7" s="508" t="s">
        <v>1678</v>
      </c>
      <c r="G7" s="376" t="s">
        <v>1691</v>
      </c>
      <c r="H7" s="602" t="str">
        <f>IFERROR(VLOOKUP(E:E,'Item Data Support Sheet'!A:O,2,0),"")</f>
        <v>NIPPLE S TYPE M SIZE INJECTION</v>
      </c>
      <c r="I7" s="447" t="s">
        <v>2174</v>
      </c>
      <c r="J7" s="447" t="s">
        <v>2809</v>
      </c>
      <c r="K7" s="438">
        <v>8</v>
      </c>
      <c r="L7" s="439">
        <v>4815</v>
      </c>
      <c r="M7" s="366">
        <f t="shared" si="1"/>
        <v>601.875</v>
      </c>
      <c r="N7" s="367">
        <f t="shared" si="2"/>
        <v>4848</v>
      </c>
      <c r="O7" s="61">
        <v>4700</v>
      </c>
      <c r="P7" s="368">
        <f>2.399+3.391+1.473</f>
        <v>7.2629999999999999</v>
      </c>
      <c r="Q7" s="369">
        <v>60</v>
      </c>
      <c r="R7" s="370">
        <v>0</v>
      </c>
      <c r="S7" s="370">
        <v>0</v>
      </c>
      <c r="T7" s="370">
        <v>80</v>
      </c>
      <c r="U7" s="370">
        <v>8</v>
      </c>
      <c r="V7" s="450">
        <v>1</v>
      </c>
      <c r="W7" s="453">
        <f t="shared" si="11"/>
        <v>4700</v>
      </c>
      <c r="X7" s="748">
        <f t="shared" si="12"/>
        <v>0.97611630321910692</v>
      </c>
      <c r="Y7" s="451" t="str">
        <f>IFERROR(VLOOKUP(E:E,'Item Data Support Sheet'!A:J,6,0),0)</f>
        <v>Silicon</v>
      </c>
      <c r="Z7" s="428">
        <f>IFERROR(VLOOKUP(E:E,'Item Data Support Sheet'!A:O,4,0),0)</f>
        <v>6.8</v>
      </c>
      <c r="AA7" s="428">
        <f t="shared" si="13"/>
        <v>40.229399999999998</v>
      </c>
      <c r="AB7" s="429">
        <f t="shared" si="14"/>
        <v>0.79444386443745119</v>
      </c>
      <c r="AC7" s="424">
        <f t="shared" si="15"/>
        <v>1.6736401673640166E-2</v>
      </c>
      <c r="AD7" s="371">
        <f t="shared" si="16"/>
        <v>1.2224938875305624E-2</v>
      </c>
      <c r="AE7" s="748">
        <f t="shared" si="17"/>
        <v>0.98349834983498352</v>
      </c>
      <c r="AF7" s="417">
        <f t="shared" si="18"/>
        <v>0.75</v>
      </c>
      <c r="AG7" s="416">
        <f t="shared" si="19"/>
        <v>7.25</v>
      </c>
      <c r="AH7" s="372">
        <f t="shared" si="20"/>
        <v>0.90625</v>
      </c>
      <c r="AI7" s="373">
        <f t="shared" si="21"/>
        <v>587.5</v>
      </c>
      <c r="AJ7" s="418">
        <f>VLOOKUP(D7,'Standard Cycle time'!C:D,2,0)</f>
        <v>5.25</v>
      </c>
      <c r="AK7" s="418">
        <f t="shared" si="22"/>
        <v>5.5531914893617023</v>
      </c>
      <c r="AL7" s="374">
        <f t="shared" si="23"/>
        <v>0.9454022988505747</v>
      </c>
      <c r="AM7" s="372">
        <f t="shared" si="24"/>
        <v>0.84263270077007701</v>
      </c>
      <c r="AN7" s="799">
        <v>2180</v>
      </c>
      <c r="AO7" s="761" t="s">
        <v>2175</v>
      </c>
      <c r="AP7" s="440">
        <v>0</v>
      </c>
      <c r="AQ7" s="440">
        <v>0</v>
      </c>
      <c r="AR7" s="440">
        <v>0</v>
      </c>
      <c r="AS7" s="440">
        <v>0</v>
      </c>
      <c r="AT7" s="440">
        <v>0</v>
      </c>
      <c r="AU7" s="440">
        <v>0</v>
      </c>
      <c r="AV7" s="440">
        <v>0</v>
      </c>
      <c r="AW7" s="440">
        <v>0</v>
      </c>
      <c r="AX7" s="440">
        <v>45</v>
      </c>
      <c r="AY7" s="440">
        <v>0</v>
      </c>
      <c r="AZ7" s="440">
        <v>0</v>
      </c>
      <c r="BA7" s="440">
        <v>0</v>
      </c>
      <c r="BB7" s="440">
        <v>0</v>
      </c>
      <c r="BC7" s="440">
        <v>0</v>
      </c>
      <c r="BD7" s="440">
        <v>0</v>
      </c>
      <c r="BE7" s="440">
        <v>0</v>
      </c>
      <c r="BF7" s="440">
        <v>0</v>
      </c>
      <c r="BG7" s="440">
        <v>0</v>
      </c>
      <c r="BH7" s="440">
        <v>0</v>
      </c>
      <c r="BI7" s="440">
        <v>0</v>
      </c>
      <c r="BJ7" s="440">
        <v>0</v>
      </c>
      <c r="BK7" s="440">
        <v>0</v>
      </c>
      <c r="BL7" s="440">
        <v>0</v>
      </c>
      <c r="BM7" s="440">
        <v>0</v>
      </c>
      <c r="BN7" s="440">
        <v>0</v>
      </c>
      <c r="BO7" s="440">
        <v>0</v>
      </c>
      <c r="BP7" s="440">
        <v>0</v>
      </c>
      <c r="BQ7" s="440">
        <v>0</v>
      </c>
      <c r="BR7" s="415">
        <f t="shared" si="8"/>
        <v>0.75</v>
      </c>
      <c r="BS7" s="415">
        <f t="shared" si="9"/>
        <v>0.76249999999999996</v>
      </c>
      <c r="BT7" s="935"/>
      <c r="BU7" s="935"/>
      <c r="BV7" s="935"/>
      <c r="BW7" s="935"/>
      <c r="BX7" s="935"/>
      <c r="BY7" s="935"/>
      <c r="BZ7" s="935"/>
      <c r="CA7" s="935"/>
      <c r="CB7" s="935"/>
      <c r="CC7" s="935"/>
      <c r="CD7" s="935"/>
      <c r="CE7" s="935"/>
      <c r="CF7" s="935"/>
      <c r="CG7" s="935"/>
      <c r="CH7" s="935"/>
      <c r="CI7" s="935"/>
      <c r="CJ7" s="935"/>
      <c r="CK7" s="935"/>
      <c r="CL7" s="935"/>
      <c r="CM7" s="935"/>
      <c r="CN7" s="935"/>
      <c r="CO7" s="935"/>
      <c r="CP7" s="935"/>
      <c r="CQ7" s="935"/>
      <c r="CR7" s="935"/>
      <c r="CS7" s="935"/>
      <c r="CT7" s="935"/>
      <c r="CU7" s="935"/>
      <c r="CV7" s="935"/>
      <c r="CX7" s="375" t="s">
        <v>2811</v>
      </c>
    </row>
    <row r="8" spans="1:102" s="375" customFormat="1" ht="15" customHeight="1">
      <c r="A8" s="375">
        <f t="shared" si="10"/>
        <v>8</v>
      </c>
      <c r="B8" s="455">
        <v>44410</v>
      </c>
      <c r="C8" s="445" t="s">
        <v>2053</v>
      </c>
      <c r="D8" s="376" t="str">
        <f>IFERROR(VLOOKUP(E:E,'Item Data Support Sheet'!A:O,7,0),"")</f>
        <v>BOTTLE MOLDED</v>
      </c>
      <c r="E8" s="446" t="s">
        <v>67</v>
      </c>
      <c r="F8" s="508" t="s">
        <v>1679</v>
      </c>
      <c r="G8" s="376" t="s">
        <v>1665</v>
      </c>
      <c r="H8" s="602" t="str">
        <f>IFERROR(VLOOKUP(E:E,'Item Data Support Sheet'!A:O,2,0),"")</f>
        <v>RPP 120 ML BOTTLE MOLDED</v>
      </c>
      <c r="I8" s="447" t="s">
        <v>2176</v>
      </c>
      <c r="J8" s="447" t="s">
        <v>2809</v>
      </c>
      <c r="K8" s="438">
        <v>8</v>
      </c>
      <c r="L8" s="439">
        <v>2503</v>
      </c>
      <c r="M8" s="366">
        <f t="shared" si="1"/>
        <v>312.875</v>
      </c>
      <c r="N8" s="367">
        <f t="shared" si="2"/>
        <v>3304</v>
      </c>
      <c r="O8" s="61">
        <v>3240</v>
      </c>
      <c r="P8" s="368">
        <v>0</v>
      </c>
      <c r="Q8" s="369">
        <v>20</v>
      </c>
      <c r="R8" s="370">
        <v>0</v>
      </c>
      <c r="S8" s="370">
        <v>0</v>
      </c>
      <c r="T8" s="370">
        <v>36</v>
      </c>
      <c r="U8" s="370">
        <v>8</v>
      </c>
      <c r="V8" s="450">
        <v>1</v>
      </c>
      <c r="W8" s="453">
        <f t="shared" si="11"/>
        <v>3240</v>
      </c>
      <c r="X8" s="748">
        <f t="shared" si="12"/>
        <v>1.2944466640031962</v>
      </c>
      <c r="Y8" s="451" t="str">
        <f>IFERROR(VLOOKUP(E:E,'Item Data Support Sheet'!A:J,6,0),0)</f>
        <v>HMC</v>
      </c>
      <c r="Z8" s="428">
        <f>IFERROR(VLOOKUP(E:E,'Item Data Support Sheet'!A:O,4,0),0)</f>
        <v>21.3</v>
      </c>
      <c r="AA8" s="428">
        <f t="shared" si="13"/>
        <v>70.375199999999992</v>
      </c>
      <c r="AB8" s="429">
        <f t="shared" si="14"/>
        <v>0.98062953995157398</v>
      </c>
      <c r="AC8" s="424">
        <f t="shared" si="15"/>
        <v>1.098901098901099E-2</v>
      </c>
      <c r="AD8" s="371">
        <f t="shared" si="16"/>
        <v>6.0168471720818293E-3</v>
      </c>
      <c r="AE8" s="748">
        <f t="shared" si="17"/>
        <v>0.98910411622276029</v>
      </c>
      <c r="AF8" s="417">
        <f t="shared" si="18"/>
        <v>0.33333333333333331</v>
      </c>
      <c r="AG8" s="416">
        <f t="shared" si="19"/>
        <v>7.666666666666667</v>
      </c>
      <c r="AH8" s="372">
        <f t="shared" si="20"/>
        <v>0.95833333333333337</v>
      </c>
      <c r="AI8" s="373">
        <f t="shared" si="21"/>
        <v>405</v>
      </c>
      <c r="AJ8" s="418">
        <f>VLOOKUP(D8,'Standard Cycle time'!C:D,2,0)</f>
        <v>9</v>
      </c>
      <c r="AK8" s="418">
        <f t="shared" si="22"/>
        <v>8.518518518518519</v>
      </c>
      <c r="AL8" s="374">
        <f t="shared" si="23"/>
        <v>1.0565217391304347</v>
      </c>
      <c r="AM8" s="372">
        <f t="shared" si="24"/>
        <v>1.0014679176755448</v>
      </c>
      <c r="AN8" s="799" t="s">
        <v>2177</v>
      </c>
      <c r="AO8" s="761"/>
      <c r="AP8" s="440">
        <v>0</v>
      </c>
      <c r="AQ8" s="440">
        <v>0</v>
      </c>
      <c r="AR8" s="440">
        <v>0</v>
      </c>
      <c r="AS8" s="440">
        <v>0</v>
      </c>
      <c r="AT8" s="440">
        <v>0</v>
      </c>
      <c r="AU8" s="440">
        <v>0</v>
      </c>
      <c r="AV8" s="440">
        <v>20</v>
      </c>
      <c r="AW8" s="440">
        <v>0</v>
      </c>
      <c r="AX8" s="440">
        <v>0</v>
      </c>
      <c r="AY8" s="440">
        <v>0</v>
      </c>
      <c r="AZ8" s="440">
        <v>0</v>
      </c>
      <c r="BA8" s="440">
        <v>0</v>
      </c>
      <c r="BB8" s="440">
        <v>0</v>
      </c>
      <c r="BC8" s="440">
        <v>0</v>
      </c>
      <c r="BD8" s="440">
        <v>0</v>
      </c>
      <c r="BE8" s="440">
        <v>0</v>
      </c>
      <c r="BF8" s="440">
        <v>0</v>
      </c>
      <c r="BG8" s="440">
        <v>0</v>
      </c>
      <c r="BH8" s="440">
        <v>0</v>
      </c>
      <c r="BI8" s="440">
        <v>0</v>
      </c>
      <c r="BJ8" s="440">
        <v>0</v>
      </c>
      <c r="BK8" s="440">
        <v>0</v>
      </c>
      <c r="BL8" s="440">
        <v>0</v>
      </c>
      <c r="BM8" s="440">
        <v>0</v>
      </c>
      <c r="BN8" s="440">
        <v>0</v>
      </c>
      <c r="BO8" s="440">
        <v>0</v>
      </c>
      <c r="BP8" s="440">
        <v>0</v>
      </c>
      <c r="BQ8" s="440">
        <v>0</v>
      </c>
      <c r="BR8" s="415">
        <f t="shared" si="8"/>
        <v>0.33333333333333331</v>
      </c>
      <c r="BS8" s="415">
        <f t="shared" si="9"/>
        <v>0.33888888888888885</v>
      </c>
      <c r="BT8" s="935"/>
      <c r="BU8" s="935"/>
      <c r="BV8" s="935"/>
      <c r="BW8" s="935"/>
      <c r="BX8" s="935"/>
      <c r="BY8" s="935"/>
      <c r="BZ8" s="935"/>
      <c r="CA8" s="935"/>
      <c r="CB8" s="935"/>
      <c r="CC8" s="935"/>
      <c r="CD8" s="935"/>
      <c r="CE8" s="935"/>
      <c r="CF8" s="935"/>
      <c r="CG8" s="935"/>
      <c r="CH8" s="935"/>
      <c r="CI8" s="935"/>
      <c r="CJ8" s="935"/>
      <c r="CK8" s="935"/>
      <c r="CL8" s="935"/>
      <c r="CM8" s="935"/>
      <c r="CN8" s="935"/>
      <c r="CO8" s="935"/>
      <c r="CP8" s="935"/>
      <c r="CQ8" s="935"/>
      <c r="CR8" s="935"/>
      <c r="CS8" s="935"/>
      <c r="CT8" s="935"/>
      <c r="CU8" s="935"/>
      <c r="CV8" s="935"/>
      <c r="CX8" s="375" t="s">
        <v>2812</v>
      </c>
    </row>
    <row r="9" spans="1:102" s="375" customFormat="1" ht="15" customHeight="1">
      <c r="A9" s="375">
        <f t="shared" si="10"/>
        <v>8</v>
      </c>
      <c r="B9" s="455">
        <v>44411</v>
      </c>
      <c r="C9" s="445" t="s">
        <v>1980</v>
      </c>
      <c r="D9" s="376" t="str">
        <f>IFERROR(VLOOKUP(E:E,'Item Data Support Sheet'!A:O,7,0),"")</f>
        <v>NIPPLE PUNCH</v>
      </c>
      <c r="E9" s="446" t="s">
        <v>81</v>
      </c>
      <c r="F9" s="508"/>
      <c r="G9" s="376" t="s">
        <v>1705</v>
      </c>
      <c r="H9" s="602" t="str">
        <f>IFERROR(VLOOKUP(E:E,'Item Data Support Sheet'!A:O,2,0),"")</f>
        <v>NIPPLE S TYPE M SIZE PUNCHED</v>
      </c>
      <c r="I9" s="447" t="s">
        <v>2178</v>
      </c>
      <c r="J9" s="447" t="s">
        <v>2808</v>
      </c>
      <c r="K9" s="438">
        <v>8</v>
      </c>
      <c r="L9" s="439">
        <v>7036</v>
      </c>
      <c r="M9" s="366">
        <f t="shared" si="1"/>
        <v>879.5</v>
      </c>
      <c r="N9" s="367">
        <f t="shared" si="2"/>
        <v>2830</v>
      </c>
      <c r="O9" s="61">
        <v>2827</v>
      </c>
      <c r="P9" s="368">
        <v>0</v>
      </c>
      <c r="Q9" s="369">
        <v>0</v>
      </c>
      <c r="R9" s="370">
        <v>0</v>
      </c>
      <c r="S9" s="370">
        <v>0</v>
      </c>
      <c r="T9" s="370">
        <v>3</v>
      </c>
      <c r="U9" s="370">
        <v>0</v>
      </c>
      <c r="V9" s="450">
        <v>1</v>
      </c>
      <c r="W9" s="453">
        <f t="shared" si="11"/>
        <v>2827</v>
      </c>
      <c r="X9" s="748">
        <f t="shared" si="12"/>
        <v>0.40179079022171688</v>
      </c>
      <c r="Y9" s="451" t="str">
        <f>IFERROR(VLOOKUP(E:E,'Item Data Support Sheet'!A:J,6,0),0)</f>
        <v>FO016</v>
      </c>
      <c r="Z9" s="428">
        <f>IFERROR(VLOOKUP(E:E,'Item Data Support Sheet'!A:O,4,0),0)</f>
        <v>0</v>
      </c>
      <c r="AA9" s="428">
        <f t="shared" si="13"/>
        <v>0</v>
      </c>
      <c r="AB9" s="429" t="str">
        <f t="shared" si="14"/>
        <v xml:space="preserve"> </v>
      </c>
      <c r="AC9" s="424">
        <f t="shared" si="15"/>
        <v>1.0600706713780918E-3</v>
      </c>
      <c r="AD9" s="371">
        <f t="shared" si="16"/>
        <v>0</v>
      </c>
      <c r="AE9" s="748">
        <f t="shared" si="17"/>
        <v>0.99893992932862186</v>
      </c>
      <c r="AF9" s="417">
        <f t="shared" si="18"/>
        <v>4.5</v>
      </c>
      <c r="AG9" s="416">
        <f t="shared" si="19"/>
        <v>3.5</v>
      </c>
      <c r="AH9" s="372">
        <f t="shared" si="20"/>
        <v>0.4375</v>
      </c>
      <c r="AI9" s="373">
        <f t="shared" si="21"/>
        <v>353.375</v>
      </c>
      <c r="AJ9" s="418">
        <f>VLOOKUP(D9,'Standard Cycle time'!C:D,2,0)</f>
        <v>3.5</v>
      </c>
      <c r="AK9" s="418">
        <f t="shared" si="22"/>
        <v>4.457021577644146</v>
      </c>
      <c r="AL9" s="374">
        <f t="shared" si="23"/>
        <v>0.78527777777777774</v>
      </c>
      <c r="AM9" s="372">
        <f t="shared" si="24"/>
        <v>0.34319483092854336</v>
      </c>
      <c r="AN9" s="799">
        <v>2181</v>
      </c>
      <c r="AO9" s="929" t="s">
        <v>2179</v>
      </c>
      <c r="AP9" s="440">
        <v>40</v>
      </c>
      <c r="AQ9" s="440">
        <v>0</v>
      </c>
      <c r="AR9" s="440">
        <v>0</v>
      </c>
      <c r="AS9" s="440">
        <v>200</v>
      </c>
      <c r="AT9" s="440">
        <v>0</v>
      </c>
      <c r="AU9" s="440">
        <v>0</v>
      </c>
      <c r="AV9" s="440">
        <v>0</v>
      </c>
      <c r="AW9" s="440"/>
      <c r="AX9" s="440">
        <v>0</v>
      </c>
      <c r="AY9" s="440">
        <v>0</v>
      </c>
      <c r="AZ9" s="440">
        <v>0</v>
      </c>
      <c r="BA9" s="440">
        <v>0</v>
      </c>
      <c r="BB9" s="440">
        <v>0</v>
      </c>
      <c r="BC9" s="440">
        <v>0</v>
      </c>
      <c r="BD9" s="440">
        <v>0</v>
      </c>
      <c r="BE9" s="440">
        <v>0</v>
      </c>
      <c r="BF9" s="440">
        <v>0</v>
      </c>
      <c r="BG9" s="440">
        <v>0</v>
      </c>
      <c r="BH9" s="440">
        <v>0</v>
      </c>
      <c r="BI9" s="440">
        <v>0</v>
      </c>
      <c r="BJ9" s="440">
        <v>0</v>
      </c>
      <c r="BK9" s="440">
        <v>0</v>
      </c>
      <c r="BL9" s="440">
        <v>0</v>
      </c>
      <c r="BM9" s="440">
        <v>0</v>
      </c>
      <c r="BN9" s="440">
        <v>0</v>
      </c>
      <c r="BO9" s="440">
        <v>0</v>
      </c>
      <c r="BP9" s="440">
        <v>0</v>
      </c>
      <c r="BQ9" s="440">
        <v>30</v>
      </c>
      <c r="BR9" s="415">
        <f t="shared" si="8"/>
        <v>4.5</v>
      </c>
      <c r="BS9" s="415">
        <f t="shared" si="9"/>
        <v>4.5750000000000002</v>
      </c>
      <c r="BT9" s="935"/>
      <c r="BU9" s="935"/>
      <c r="BV9" s="935"/>
      <c r="BW9" s="935"/>
      <c r="BX9" s="935"/>
      <c r="BY9" s="935"/>
      <c r="BZ9" s="935"/>
      <c r="CA9" s="935"/>
      <c r="CB9" s="935"/>
      <c r="CC9" s="935"/>
      <c r="CD9" s="935"/>
      <c r="CE9" s="935"/>
      <c r="CF9" s="935"/>
      <c r="CG9" s="935"/>
      <c r="CH9" s="935"/>
      <c r="CI9" s="935"/>
      <c r="CJ9" s="935"/>
      <c r="CK9" s="935"/>
      <c r="CL9" s="935"/>
      <c r="CM9" s="935"/>
      <c r="CN9" s="935"/>
      <c r="CO9" s="935"/>
      <c r="CP9" s="935"/>
      <c r="CQ9" s="935"/>
      <c r="CR9" s="935"/>
      <c r="CS9" s="935"/>
      <c r="CT9" s="935"/>
      <c r="CU9" s="935"/>
      <c r="CV9" s="935"/>
      <c r="CX9" s="375" t="s">
        <v>2813</v>
      </c>
    </row>
    <row r="10" spans="1:102" s="375" customFormat="1" ht="15" customHeight="1">
      <c r="A10" s="375">
        <f t="shared" si="10"/>
        <v>8</v>
      </c>
      <c r="B10" s="455">
        <v>44411</v>
      </c>
      <c r="C10" s="445" t="s">
        <v>1980</v>
      </c>
      <c r="D10" s="376" t="str">
        <f>IFERROR(VLOOKUP(E:E,'Item Data Support Sheet'!A:O,7,0),"")</f>
        <v>BOTTLE MOLDED</v>
      </c>
      <c r="E10" s="446" t="s">
        <v>67</v>
      </c>
      <c r="F10" s="508" t="s">
        <v>1679</v>
      </c>
      <c r="G10" s="376" t="s">
        <v>1665</v>
      </c>
      <c r="H10" s="602" t="str">
        <f>IFERROR(VLOOKUP(E:E,'Item Data Support Sheet'!A:O,2,0),"")</f>
        <v>RPP 120 ML BOTTLE MOLDED</v>
      </c>
      <c r="I10" s="447" t="s">
        <v>2185</v>
      </c>
      <c r="J10" s="447" t="s">
        <v>2808</v>
      </c>
      <c r="K10" s="438">
        <v>8</v>
      </c>
      <c r="L10" s="439">
        <v>2574</v>
      </c>
      <c r="M10" s="366">
        <f>IFERROR(L10/K10,0)</f>
        <v>321.75</v>
      </c>
      <c r="N10" s="367">
        <f t="shared" si="2"/>
        <v>3177</v>
      </c>
      <c r="O10" s="61">
        <f>17*180</f>
        <v>3060</v>
      </c>
      <c r="P10" s="368">
        <v>0.28199999999999997</v>
      </c>
      <c r="Q10" s="369">
        <v>57</v>
      </c>
      <c r="R10" s="370">
        <v>0</v>
      </c>
      <c r="S10" s="370">
        <v>0</v>
      </c>
      <c r="T10" s="370">
        <v>52</v>
      </c>
      <c r="U10" s="370">
        <v>8</v>
      </c>
      <c r="V10" s="450">
        <v>1</v>
      </c>
      <c r="W10" s="453">
        <f t="shared" si="11"/>
        <v>3060</v>
      </c>
      <c r="X10" s="748">
        <f t="shared" si="12"/>
        <v>1.1888111888111887</v>
      </c>
      <c r="Y10" s="451" t="str">
        <f>IFERROR(VLOOKUP(E:E,'Item Data Support Sheet'!A:J,6,0),0)</f>
        <v>HMC</v>
      </c>
      <c r="Z10" s="428">
        <f>IFERROR(VLOOKUP(E:E,'Item Data Support Sheet'!A:O,4,0),0)</f>
        <v>21.3</v>
      </c>
      <c r="AA10" s="428">
        <f t="shared" si="13"/>
        <v>67.952100000000002</v>
      </c>
      <c r="AB10" s="429">
        <f t="shared" si="14"/>
        <v>0.95917565461553056</v>
      </c>
      <c r="AC10" s="424">
        <f t="shared" si="15"/>
        <v>1.6709511568123392E-2</v>
      </c>
      <c r="AD10" s="371">
        <f t="shared" si="16"/>
        <v>1.7625231910946195E-2</v>
      </c>
      <c r="AE10" s="748">
        <f t="shared" si="17"/>
        <v>0.98363235757003464</v>
      </c>
      <c r="AF10" s="417">
        <f t="shared" si="18"/>
        <v>0</v>
      </c>
      <c r="AG10" s="416">
        <f t="shared" si="19"/>
        <v>8</v>
      </c>
      <c r="AH10" s="372">
        <f t="shared" si="20"/>
        <v>1</v>
      </c>
      <c r="AI10" s="373">
        <f t="shared" si="21"/>
        <v>382.5</v>
      </c>
      <c r="AJ10" s="418">
        <f>VLOOKUP(D10,'Standard Cycle time'!C:D,2,0)</f>
        <v>9</v>
      </c>
      <c r="AK10" s="418">
        <f t="shared" si="22"/>
        <v>9.4117647058823533</v>
      </c>
      <c r="AL10" s="374">
        <f t="shared" si="23"/>
        <v>0.95624999999999993</v>
      </c>
      <c r="AM10" s="372">
        <f t="shared" si="24"/>
        <v>0.94059844192634556</v>
      </c>
      <c r="AN10" s="799">
        <v>2195</v>
      </c>
      <c r="AO10" s="761" t="s">
        <v>2187</v>
      </c>
      <c r="AP10" s="440">
        <v>0</v>
      </c>
      <c r="AQ10" s="440">
        <v>0</v>
      </c>
      <c r="AR10" s="440">
        <v>0</v>
      </c>
      <c r="AS10" s="440">
        <v>0</v>
      </c>
      <c r="AT10" s="440">
        <v>0</v>
      </c>
      <c r="AU10" s="440">
        <v>0</v>
      </c>
      <c r="AV10" s="440">
        <v>0</v>
      </c>
      <c r="AW10" s="440">
        <v>0</v>
      </c>
      <c r="AX10" s="440">
        <v>0</v>
      </c>
      <c r="AY10" s="440">
        <v>0</v>
      </c>
      <c r="AZ10" s="440">
        <v>0</v>
      </c>
      <c r="BA10" s="440">
        <v>0</v>
      </c>
      <c r="BB10" s="440">
        <v>0</v>
      </c>
      <c r="BC10" s="440">
        <v>0</v>
      </c>
      <c r="BD10" s="440">
        <v>0</v>
      </c>
      <c r="BE10" s="440">
        <v>0</v>
      </c>
      <c r="BF10" s="440">
        <v>0</v>
      </c>
      <c r="BG10" s="440">
        <v>0</v>
      </c>
      <c r="BH10" s="440">
        <v>0</v>
      </c>
      <c r="BI10" s="440">
        <v>0</v>
      </c>
      <c r="BJ10" s="440">
        <v>0</v>
      </c>
      <c r="BK10" s="440">
        <v>0</v>
      </c>
      <c r="BL10" s="440">
        <v>0</v>
      </c>
      <c r="BM10" s="440">
        <v>0</v>
      </c>
      <c r="BN10" s="440">
        <v>0</v>
      </c>
      <c r="BO10" s="440">
        <v>0</v>
      </c>
      <c r="BP10" s="440">
        <v>0</v>
      </c>
      <c r="BQ10" s="440">
        <v>0</v>
      </c>
      <c r="BR10" s="415">
        <f t="shared" ref="BR10:BR74" si="25">SUM(AP10:BQ10)/60</f>
        <v>0</v>
      </c>
      <c r="BS10" s="415">
        <f t="shared" ref="BS10:BS76" si="26">SUM(AP10:BR10)/60</f>
        <v>0</v>
      </c>
      <c r="BT10" s="935"/>
      <c r="BU10" s="935"/>
      <c r="BV10" s="935"/>
      <c r="BW10" s="935"/>
      <c r="BX10" s="935"/>
      <c r="BY10" s="935"/>
      <c r="BZ10" s="935"/>
      <c r="CA10" s="935"/>
      <c r="CB10" s="935"/>
      <c r="CC10" s="935"/>
      <c r="CD10" s="935"/>
      <c r="CE10" s="935"/>
      <c r="CF10" s="935"/>
      <c r="CG10" s="935"/>
      <c r="CH10" s="935"/>
      <c r="CI10" s="935"/>
      <c r="CJ10" s="935"/>
      <c r="CK10" s="935"/>
      <c r="CL10" s="935"/>
      <c r="CM10" s="935"/>
      <c r="CN10" s="935"/>
      <c r="CO10" s="935"/>
      <c r="CP10" s="935"/>
      <c r="CQ10" s="935"/>
      <c r="CR10" s="935"/>
      <c r="CS10" s="935"/>
      <c r="CT10" s="935"/>
      <c r="CU10" s="935"/>
      <c r="CV10" s="935"/>
    </row>
    <row r="11" spans="1:102" s="375" customFormat="1" ht="15" customHeight="1">
      <c r="A11" s="375">
        <f t="shared" si="10"/>
        <v>8</v>
      </c>
      <c r="B11" s="455">
        <v>44411</v>
      </c>
      <c r="C11" s="445" t="s">
        <v>1980</v>
      </c>
      <c r="D11" s="376" t="str">
        <f>IFERROR(VLOOKUP(E:E,'Item Data Support Sheet'!A:O,7,0),"")</f>
        <v>NIPPLE MOLDED</v>
      </c>
      <c r="E11" s="508" t="s">
        <v>73</v>
      </c>
      <c r="F11" s="508" t="s">
        <v>1678</v>
      </c>
      <c r="G11" s="376" t="s">
        <v>1691</v>
      </c>
      <c r="H11" s="602" t="str">
        <f>IFERROR(VLOOKUP(E:E,'Item Data Support Sheet'!A:O,2,0),"")</f>
        <v>NIPPLE S TYPE M SIZE INJECTION</v>
      </c>
      <c r="I11" s="447" t="s">
        <v>2166</v>
      </c>
      <c r="J11" s="447" t="s">
        <v>2808</v>
      </c>
      <c r="K11" s="438">
        <v>8</v>
      </c>
      <c r="L11" s="439">
        <v>4815</v>
      </c>
      <c r="M11" s="366">
        <f t="shared" ref="M11:M76" si="27">IFERROR(L11/K11,0)</f>
        <v>601.875</v>
      </c>
      <c r="N11" s="367">
        <f t="shared" si="2"/>
        <v>4660</v>
      </c>
      <c r="O11" s="61">
        <v>4500</v>
      </c>
      <c r="P11" s="368">
        <v>0</v>
      </c>
      <c r="Q11" s="369">
        <v>92</v>
      </c>
      <c r="R11" s="370">
        <v>0</v>
      </c>
      <c r="S11" s="370">
        <v>0</v>
      </c>
      <c r="T11" s="370">
        <v>60</v>
      </c>
      <c r="U11" s="370">
        <v>8</v>
      </c>
      <c r="V11" s="450">
        <v>1</v>
      </c>
      <c r="W11" s="453">
        <f t="shared" si="11"/>
        <v>4500</v>
      </c>
      <c r="X11" s="748">
        <f t="shared" si="12"/>
        <v>0.93457943925233644</v>
      </c>
      <c r="Y11" s="451" t="str">
        <f>IFERROR(VLOOKUP(E:E,'Item Data Support Sheet'!A:J,6,0),0)</f>
        <v>Silicon</v>
      </c>
      <c r="Z11" s="428">
        <f>IFERROR(VLOOKUP(E:E,'Item Data Support Sheet'!A:O,4,0),0)</f>
        <v>6.8</v>
      </c>
      <c r="AA11" s="428">
        <f t="shared" si="13"/>
        <v>31.687999999999999</v>
      </c>
      <c r="AB11" s="429">
        <f t="shared" si="14"/>
        <v>0.96566523605150212</v>
      </c>
      <c r="AC11" s="424">
        <f t="shared" si="15"/>
        <v>1.3157894736842105E-2</v>
      </c>
      <c r="AD11" s="371">
        <f t="shared" si="16"/>
        <v>1.9360269360269359E-2</v>
      </c>
      <c r="AE11" s="748">
        <f t="shared" si="17"/>
        <v>0.98712446351931327</v>
      </c>
      <c r="AF11" s="417">
        <f t="shared" si="18"/>
        <v>1</v>
      </c>
      <c r="AG11" s="416">
        <f t="shared" si="19"/>
        <v>7</v>
      </c>
      <c r="AH11" s="372">
        <f t="shared" si="20"/>
        <v>0.875</v>
      </c>
      <c r="AI11" s="373">
        <f t="shared" si="21"/>
        <v>562.5</v>
      </c>
      <c r="AJ11" s="418">
        <f>VLOOKUP(D11,'Standard Cycle time'!C:D,2,0)</f>
        <v>5.25</v>
      </c>
      <c r="AK11" s="418">
        <f t="shared" si="22"/>
        <v>5.6</v>
      </c>
      <c r="AL11" s="374">
        <f t="shared" si="23"/>
        <v>0.93750000000000011</v>
      </c>
      <c r="AM11" s="372">
        <f t="shared" si="24"/>
        <v>0.80975053648068673</v>
      </c>
      <c r="AN11" s="799">
        <v>2182</v>
      </c>
      <c r="AO11" s="761" t="s">
        <v>2186</v>
      </c>
      <c r="AP11" s="440">
        <v>0</v>
      </c>
      <c r="AQ11" s="440">
        <v>0</v>
      </c>
      <c r="AR11" s="440">
        <v>0</v>
      </c>
      <c r="AS11" s="440">
        <v>0</v>
      </c>
      <c r="AT11" s="440">
        <v>0</v>
      </c>
      <c r="AU11" s="440">
        <v>60</v>
      </c>
      <c r="AV11" s="440">
        <v>0</v>
      </c>
      <c r="AW11" s="440">
        <v>0</v>
      </c>
      <c r="AX11" s="440">
        <v>0</v>
      </c>
      <c r="AY11" s="440">
        <v>0</v>
      </c>
      <c r="AZ11" s="440">
        <v>0</v>
      </c>
      <c r="BA11" s="440">
        <v>0</v>
      </c>
      <c r="BB11" s="440">
        <v>0</v>
      </c>
      <c r="BC11" s="440">
        <v>0</v>
      </c>
      <c r="BD11" s="440">
        <v>0</v>
      </c>
      <c r="BE11" s="440">
        <v>0</v>
      </c>
      <c r="BF11" s="440">
        <v>0</v>
      </c>
      <c r="BG11" s="440">
        <v>0</v>
      </c>
      <c r="BH11" s="440">
        <v>0</v>
      </c>
      <c r="BI11" s="440">
        <v>0</v>
      </c>
      <c r="BJ11" s="440">
        <v>0</v>
      </c>
      <c r="BK11" s="440">
        <v>0</v>
      </c>
      <c r="BL11" s="440">
        <v>0</v>
      </c>
      <c r="BM11" s="440">
        <v>0</v>
      </c>
      <c r="BN11" s="440">
        <v>0</v>
      </c>
      <c r="BO11" s="440">
        <v>0</v>
      </c>
      <c r="BP11" s="440">
        <v>0</v>
      </c>
      <c r="BQ11" s="440">
        <v>0</v>
      </c>
      <c r="BR11" s="415">
        <f t="shared" si="25"/>
        <v>1</v>
      </c>
      <c r="BS11" s="415">
        <f t="shared" si="26"/>
        <v>1.0166666666666666</v>
      </c>
      <c r="BT11" s="935"/>
      <c r="BU11" s="935"/>
      <c r="BV11" s="935"/>
      <c r="BW11" s="935"/>
      <c r="BX11" s="935"/>
      <c r="BY11" s="935"/>
      <c r="BZ11" s="935"/>
      <c r="CA11" s="935"/>
      <c r="CB11" s="935"/>
      <c r="CC11" s="935"/>
      <c r="CD11" s="935"/>
      <c r="CE11" s="935"/>
      <c r="CF11" s="935"/>
      <c r="CG11" s="935"/>
      <c r="CH11" s="935"/>
      <c r="CI11" s="935"/>
      <c r="CJ11" s="935"/>
      <c r="CK11" s="935"/>
      <c r="CL11" s="935"/>
      <c r="CM11" s="935"/>
      <c r="CN11" s="935"/>
      <c r="CO11" s="935"/>
      <c r="CP11" s="935"/>
      <c r="CQ11" s="935"/>
      <c r="CR11" s="935"/>
      <c r="CS11" s="935"/>
      <c r="CT11" s="935"/>
      <c r="CU11" s="935"/>
      <c r="CV11" s="935"/>
    </row>
    <row r="12" spans="1:102" s="375" customFormat="1" ht="15" customHeight="1">
      <c r="A12" s="375">
        <f t="shared" si="10"/>
        <v>8</v>
      </c>
      <c r="B12" s="455">
        <v>44411</v>
      </c>
      <c r="C12" s="445" t="s">
        <v>2001</v>
      </c>
      <c r="D12" s="376" t="str">
        <f>IFERROR(VLOOKUP(E:E,'Item Data Support Sheet'!A:O,7,0),"")</f>
        <v>NIPPLE POSTCURE</v>
      </c>
      <c r="E12" s="508" t="s">
        <v>77</v>
      </c>
      <c r="F12" s="508"/>
      <c r="G12" s="376" t="s">
        <v>1705</v>
      </c>
      <c r="H12" s="602" t="str">
        <f>IFERROR(VLOOKUP(E:E,'Item Data Support Sheet'!A:O,2,0),"")</f>
        <v>NIPPLE S TYPE M SIZE POSTCURED</v>
      </c>
      <c r="I12" s="447" t="s">
        <v>2188</v>
      </c>
      <c r="J12" s="447" t="s">
        <v>2810</v>
      </c>
      <c r="K12" s="438">
        <v>8</v>
      </c>
      <c r="L12" s="439">
        <v>12700</v>
      </c>
      <c r="M12" s="366">
        <f t="shared" si="27"/>
        <v>1587.5</v>
      </c>
      <c r="N12" s="367">
        <f t="shared" si="2"/>
        <v>12700</v>
      </c>
      <c r="O12" s="61">
        <f>3200+3500+4000+2000</f>
        <v>12700</v>
      </c>
      <c r="P12" s="368">
        <v>0</v>
      </c>
      <c r="Q12" s="369">
        <v>0</v>
      </c>
      <c r="R12" s="370">
        <v>0</v>
      </c>
      <c r="S12" s="370">
        <v>0</v>
      </c>
      <c r="T12" s="370">
        <v>0</v>
      </c>
      <c r="U12" s="370">
        <v>0</v>
      </c>
      <c r="V12" s="450">
        <v>1</v>
      </c>
      <c r="W12" s="453">
        <f t="shared" si="11"/>
        <v>12700</v>
      </c>
      <c r="X12" s="748">
        <f t="shared" si="12"/>
        <v>1</v>
      </c>
      <c r="Y12" s="451" t="str">
        <f>IFERROR(VLOOKUP(E:E,'Item Data Support Sheet'!A:J,6,0),0)</f>
        <v>FO012</v>
      </c>
      <c r="Z12" s="428">
        <f>IFERROR(VLOOKUP(E:E,'Item Data Support Sheet'!A:O,4,0),0)</f>
        <v>0</v>
      </c>
      <c r="AA12" s="428">
        <f t="shared" si="13"/>
        <v>0</v>
      </c>
      <c r="AB12" s="429" t="str">
        <f t="shared" si="14"/>
        <v xml:space="preserve"> </v>
      </c>
      <c r="AC12" s="424">
        <f t="shared" si="15"/>
        <v>0</v>
      </c>
      <c r="AD12" s="371">
        <f t="shared" si="16"/>
        <v>0</v>
      </c>
      <c r="AE12" s="748">
        <f t="shared" si="17"/>
        <v>1</v>
      </c>
      <c r="AF12" s="417">
        <f t="shared" si="18"/>
        <v>0.66666666666666663</v>
      </c>
      <c r="AG12" s="416">
        <f t="shared" si="19"/>
        <v>7.333333333333333</v>
      </c>
      <c r="AH12" s="372">
        <f t="shared" si="20"/>
        <v>0.91666666666666663</v>
      </c>
      <c r="AI12" s="373">
        <f t="shared" si="21"/>
        <v>1587.5</v>
      </c>
      <c r="AJ12" s="418">
        <f>VLOOKUP(D12,'Standard Cycle time'!C:D,2,0)</f>
        <v>2.2999999999999998</v>
      </c>
      <c r="AK12" s="418">
        <f t="shared" si="22"/>
        <v>2.0787401574803148</v>
      </c>
      <c r="AL12" s="374">
        <f t="shared" si="23"/>
        <v>1.1064393939393939</v>
      </c>
      <c r="AM12" s="372">
        <f t="shared" si="24"/>
        <v>1.0142361111111111</v>
      </c>
      <c r="AN12" s="799" t="s">
        <v>2193</v>
      </c>
      <c r="AO12" s="761"/>
      <c r="AP12" s="440">
        <v>40</v>
      </c>
      <c r="AQ12" s="440">
        <v>0</v>
      </c>
      <c r="AR12" s="440">
        <v>0</v>
      </c>
      <c r="AS12" s="440">
        <v>0</v>
      </c>
      <c r="AT12" s="440">
        <v>0</v>
      </c>
      <c r="AU12" s="440">
        <v>0</v>
      </c>
      <c r="AV12" s="440">
        <v>0</v>
      </c>
      <c r="AW12" s="440">
        <v>0</v>
      </c>
      <c r="AX12" s="440">
        <v>0</v>
      </c>
      <c r="AY12" s="440">
        <v>0</v>
      </c>
      <c r="AZ12" s="440">
        <v>0</v>
      </c>
      <c r="BA12" s="440">
        <v>0</v>
      </c>
      <c r="BB12" s="440">
        <v>0</v>
      </c>
      <c r="BC12" s="440">
        <v>0</v>
      </c>
      <c r="BD12" s="440">
        <v>0</v>
      </c>
      <c r="BE12" s="440">
        <v>0</v>
      </c>
      <c r="BF12" s="440">
        <v>0</v>
      </c>
      <c r="BG12" s="440">
        <v>0</v>
      </c>
      <c r="BH12" s="440">
        <v>0</v>
      </c>
      <c r="BI12" s="440">
        <v>0</v>
      </c>
      <c r="BJ12" s="440">
        <v>0</v>
      </c>
      <c r="BK12" s="440">
        <v>0</v>
      </c>
      <c r="BL12" s="440">
        <v>0</v>
      </c>
      <c r="BM12" s="440">
        <v>0</v>
      </c>
      <c r="BN12" s="440">
        <v>0</v>
      </c>
      <c r="BO12" s="440">
        <v>0</v>
      </c>
      <c r="BP12" s="440">
        <v>0</v>
      </c>
      <c r="BQ12" s="440">
        <v>0</v>
      </c>
      <c r="BR12" s="415">
        <f t="shared" si="25"/>
        <v>0.66666666666666663</v>
      </c>
      <c r="BS12" s="415">
        <f t="shared" si="26"/>
        <v>0.6777777777777777</v>
      </c>
      <c r="BT12" s="935"/>
      <c r="BU12" s="935"/>
      <c r="BV12" s="935"/>
      <c r="BW12" s="935"/>
      <c r="BX12" s="935"/>
      <c r="BY12" s="935"/>
      <c r="BZ12" s="935"/>
      <c r="CA12" s="935"/>
      <c r="CB12" s="935"/>
      <c r="CC12" s="935"/>
      <c r="CD12" s="935"/>
      <c r="CE12" s="935"/>
      <c r="CF12" s="935"/>
      <c r="CG12" s="935"/>
      <c r="CH12" s="935"/>
      <c r="CI12" s="935"/>
      <c r="CJ12" s="935"/>
      <c r="CK12" s="935"/>
      <c r="CL12" s="935"/>
      <c r="CM12" s="935"/>
      <c r="CN12" s="935"/>
      <c r="CO12" s="935"/>
      <c r="CP12" s="935"/>
      <c r="CQ12" s="935"/>
      <c r="CR12" s="935"/>
      <c r="CS12" s="935"/>
      <c r="CT12" s="935"/>
      <c r="CU12" s="935"/>
      <c r="CV12" s="935"/>
    </row>
    <row r="13" spans="1:102" s="375" customFormat="1" ht="15" customHeight="1">
      <c r="A13" s="375">
        <f t="shared" si="10"/>
        <v>8</v>
      </c>
      <c r="B13" s="455">
        <v>44411</v>
      </c>
      <c r="C13" s="445" t="s">
        <v>2001</v>
      </c>
      <c r="D13" s="376" t="str">
        <f>IFERROR(VLOOKUP(E:E,'Item Data Support Sheet'!A:O,7,0),"")</f>
        <v>NIPPLE MOLDED</v>
      </c>
      <c r="E13" s="446" t="s">
        <v>73</v>
      </c>
      <c r="F13" s="447" t="s">
        <v>1678</v>
      </c>
      <c r="G13" s="376" t="s">
        <v>1691</v>
      </c>
      <c r="H13" s="602" t="str">
        <f>IFERROR(VLOOKUP(E:E,'Item Data Support Sheet'!A:O,2,0),"")</f>
        <v>NIPPLE S TYPE M SIZE INJECTION</v>
      </c>
      <c r="I13" s="447" t="s">
        <v>2189</v>
      </c>
      <c r="J13" s="447" t="s">
        <v>2810</v>
      </c>
      <c r="K13" s="438">
        <v>8</v>
      </c>
      <c r="L13" s="439">
        <v>4815</v>
      </c>
      <c r="M13" s="366">
        <f t="shared" si="27"/>
        <v>601.875</v>
      </c>
      <c r="N13" s="367">
        <f t="shared" si="2"/>
        <v>5119</v>
      </c>
      <c r="O13" s="61">
        <v>5000</v>
      </c>
      <c r="P13" s="368">
        <v>0.2</v>
      </c>
      <c r="Q13" s="369">
        <v>62</v>
      </c>
      <c r="R13" s="370">
        <v>0</v>
      </c>
      <c r="S13" s="370">
        <v>0</v>
      </c>
      <c r="T13" s="370">
        <v>57</v>
      </c>
      <c r="U13" s="370">
        <v>0</v>
      </c>
      <c r="V13" s="450">
        <v>1</v>
      </c>
      <c r="W13" s="453">
        <f t="shared" si="11"/>
        <v>5000</v>
      </c>
      <c r="X13" s="748">
        <f t="shared" si="12"/>
        <v>1.0384215991692627</v>
      </c>
      <c r="Y13" s="451" t="str">
        <f>IFERROR(VLOOKUP(E:E,'Item Data Support Sheet'!A:J,6,0),0)</f>
        <v>Silicon</v>
      </c>
      <c r="Z13" s="428">
        <f>IFERROR(VLOOKUP(E:E,'Item Data Support Sheet'!A:O,4,0),0)</f>
        <v>6.8</v>
      </c>
      <c r="AA13" s="428">
        <f t="shared" si="13"/>
        <v>35.0092</v>
      </c>
      <c r="AB13" s="429">
        <f t="shared" si="14"/>
        <v>0.97117329159192445</v>
      </c>
      <c r="AC13" s="424">
        <f t="shared" si="15"/>
        <v>1.1271504844769626E-2</v>
      </c>
      <c r="AD13" s="371">
        <f t="shared" si="16"/>
        <v>1.1966801775718973E-2</v>
      </c>
      <c r="AE13" s="748">
        <f t="shared" si="17"/>
        <v>0.98886501269779259</v>
      </c>
      <c r="AF13" s="417">
        <f t="shared" si="18"/>
        <v>0</v>
      </c>
      <c r="AG13" s="416">
        <f t="shared" si="19"/>
        <v>8</v>
      </c>
      <c r="AH13" s="372">
        <f t="shared" si="20"/>
        <v>1</v>
      </c>
      <c r="AI13" s="373">
        <f t="shared" si="21"/>
        <v>625</v>
      </c>
      <c r="AJ13" s="418">
        <f>VLOOKUP(D13,'Standard Cycle time'!C:D,2,0)</f>
        <v>5.25</v>
      </c>
      <c r="AK13" s="418">
        <f t="shared" si="22"/>
        <v>5.76</v>
      </c>
      <c r="AL13" s="374">
        <f t="shared" si="23"/>
        <v>0.91145833333333337</v>
      </c>
      <c r="AM13" s="372">
        <f t="shared" si="24"/>
        <v>0.90130925636517556</v>
      </c>
      <c r="AN13" s="799">
        <v>2188</v>
      </c>
      <c r="AO13" s="761"/>
      <c r="AP13" s="440">
        <v>0</v>
      </c>
      <c r="AQ13" s="440">
        <v>0</v>
      </c>
      <c r="AR13" s="440">
        <v>0</v>
      </c>
      <c r="AS13" s="440">
        <v>0</v>
      </c>
      <c r="AT13" s="440">
        <v>0</v>
      </c>
      <c r="AU13" s="440">
        <v>0</v>
      </c>
      <c r="AV13" s="440">
        <v>0</v>
      </c>
      <c r="AW13" s="440">
        <v>0</v>
      </c>
      <c r="AX13" s="440">
        <v>0</v>
      </c>
      <c r="AY13" s="440">
        <v>0</v>
      </c>
      <c r="AZ13" s="440">
        <v>0</v>
      </c>
      <c r="BA13" s="440">
        <v>0</v>
      </c>
      <c r="BB13" s="440">
        <v>0</v>
      </c>
      <c r="BC13" s="440">
        <v>0</v>
      </c>
      <c r="BD13" s="440">
        <v>0</v>
      </c>
      <c r="BE13" s="440">
        <v>0</v>
      </c>
      <c r="BF13" s="440">
        <v>0</v>
      </c>
      <c r="BG13" s="440">
        <v>0</v>
      </c>
      <c r="BH13" s="440">
        <v>0</v>
      </c>
      <c r="BI13" s="440">
        <v>0</v>
      </c>
      <c r="BJ13" s="440">
        <v>0</v>
      </c>
      <c r="BK13" s="440">
        <v>0</v>
      </c>
      <c r="BL13" s="440">
        <v>0</v>
      </c>
      <c r="BM13" s="440">
        <v>0</v>
      </c>
      <c r="BN13" s="440">
        <v>0</v>
      </c>
      <c r="BO13" s="440">
        <v>0</v>
      </c>
      <c r="BP13" s="440">
        <v>0</v>
      </c>
      <c r="BQ13" s="440">
        <v>0</v>
      </c>
      <c r="BR13" s="415">
        <f t="shared" si="25"/>
        <v>0</v>
      </c>
      <c r="BS13" s="415">
        <f t="shared" si="26"/>
        <v>0</v>
      </c>
      <c r="BT13" s="935"/>
      <c r="BU13" s="935"/>
      <c r="BV13" s="935"/>
      <c r="BW13" s="935"/>
      <c r="BX13" s="935"/>
      <c r="BY13" s="935"/>
      <c r="BZ13" s="935"/>
      <c r="CA13" s="935"/>
      <c r="CB13" s="935"/>
      <c r="CC13" s="935"/>
      <c r="CD13" s="935"/>
      <c r="CE13" s="935"/>
      <c r="CF13" s="935"/>
      <c r="CG13" s="935"/>
      <c r="CH13" s="935"/>
      <c r="CI13" s="935"/>
      <c r="CJ13" s="935"/>
      <c r="CK13" s="935"/>
      <c r="CL13" s="935"/>
      <c r="CM13" s="935"/>
      <c r="CN13" s="935"/>
      <c r="CO13" s="935"/>
      <c r="CP13" s="935"/>
      <c r="CQ13" s="935"/>
      <c r="CR13" s="935"/>
      <c r="CS13" s="935"/>
      <c r="CT13" s="935"/>
      <c r="CU13" s="935"/>
      <c r="CV13" s="935"/>
    </row>
    <row r="14" spans="1:102" s="375" customFormat="1" ht="15" customHeight="1">
      <c r="A14" s="375">
        <f t="shared" si="10"/>
        <v>8</v>
      </c>
      <c r="B14" s="455">
        <v>44411</v>
      </c>
      <c r="C14" s="445" t="s">
        <v>2001</v>
      </c>
      <c r="D14" s="376" t="str">
        <f>IFERROR(VLOOKUP(E:E,'Item Data Support Sheet'!A:O,7,0),"")</f>
        <v>BOTTLE MOLDED</v>
      </c>
      <c r="E14" s="446" t="s">
        <v>67</v>
      </c>
      <c r="F14" s="447" t="s">
        <v>1682</v>
      </c>
      <c r="G14" s="376" t="s">
        <v>1665</v>
      </c>
      <c r="H14" s="602" t="str">
        <f>IFERROR(VLOOKUP(E:E,'Item Data Support Sheet'!A:O,2,0),"")</f>
        <v>RPP 120 ML BOTTLE MOLDED</v>
      </c>
      <c r="I14" s="447" t="s">
        <v>2190</v>
      </c>
      <c r="J14" s="447" t="s">
        <v>2810</v>
      </c>
      <c r="K14" s="438">
        <v>8</v>
      </c>
      <c r="L14" s="439">
        <v>2574</v>
      </c>
      <c r="M14" s="366">
        <f t="shared" si="27"/>
        <v>321.75</v>
      </c>
      <c r="N14" s="367">
        <f t="shared" si="2"/>
        <v>2788</v>
      </c>
      <c r="O14" s="61">
        <f>15*180</f>
        <v>2700</v>
      </c>
      <c r="P14" s="368">
        <v>0.25</v>
      </c>
      <c r="Q14" s="369">
        <v>37</v>
      </c>
      <c r="R14" s="370">
        <v>0</v>
      </c>
      <c r="S14" s="370">
        <v>0</v>
      </c>
      <c r="T14" s="370">
        <v>51</v>
      </c>
      <c r="U14" s="370">
        <v>0</v>
      </c>
      <c r="V14" s="450">
        <v>1</v>
      </c>
      <c r="W14" s="453">
        <f t="shared" si="11"/>
        <v>2700</v>
      </c>
      <c r="X14" s="748">
        <f t="shared" si="12"/>
        <v>1.048951048951049</v>
      </c>
      <c r="Y14" s="451" t="str">
        <f>IFERROR(VLOOKUP(E:E,'Item Data Support Sheet'!A:J,6,0),0)</f>
        <v>HMC</v>
      </c>
      <c r="Z14" s="428">
        <f>IFERROR(VLOOKUP(E:E,'Item Data Support Sheet'!A:O,4,0),0)</f>
        <v>21.3</v>
      </c>
      <c r="AA14" s="428">
        <f t="shared" si="13"/>
        <v>59.634399999999999</v>
      </c>
      <c r="AB14" s="429">
        <f t="shared" si="14"/>
        <v>0.96437626604778448</v>
      </c>
      <c r="AC14" s="424">
        <f t="shared" si="15"/>
        <v>1.8538713195201745E-2</v>
      </c>
      <c r="AD14" s="371">
        <f t="shared" si="16"/>
        <v>1.3097345132743363E-2</v>
      </c>
      <c r="AE14" s="748">
        <f t="shared" si="17"/>
        <v>0.98170731707317072</v>
      </c>
      <c r="AF14" s="417">
        <f t="shared" si="18"/>
        <v>0</v>
      </c>
      <c r="AG14" s="416">
        <f t="shared" si="19"/>
        <v>8</v>
      </c>
      <c r="AH14" s="372">
        <f t="shared" si="20"/>
        <v>1</v>
      </c>
      <c r="AI14" s="373">
        <f t="shared" si="21"/>
        <v>337.5</v>
      </c>
      <c r="AJ14" s="418">
        <f>VLOOKUP(D14,'Standard Cycle time'!C:D,2,0)</f>
        <v>9</v>
      </c>
      <c r="AK14" s="418">
        <f t="shared" si="22"/>
        <v>10.666666666666666</v>
      </c>
      <c r="AL14" s="374">
        <f t="shared" si="23"/>
        <v>0.84375</v>
      </c>
      <c r="AM14" s="372">
        <f t="shared" si="24"/>
        <v>0.82831554878048774</v>
      </c>
      <c r="AN14" s="799">
        <v>2196</v>
      </c>
      <c r="AO14" s="761" t="s">
        <v>2194</v>
      </c>
      <c r="AP14" s="440">
        <v>0</v>
      </c>
      <c r="AQ14" s="440">
        <v>0</v>
      </c>
      <c r="AR14" s="440">
        <v>0</v>
      </c>
      <c r="AS14" s="440">
        <v>0</v>
      </c>
      <c r="AT14" s="440">
        <v>0</v>
      </c>
      <c r="AU14" s="440">
        <v>0</v>
      </c>
      <c r="AV14" s="440">
        <v>0</v>
      </c>
      <c r="AW14" s="440">
        <v>0</v>
      </c>
      <c r="AX14" s="440">
        <v>0</v>
      </c>
      <c r="AY14" s="440">
        <v>0</v>
      </c>
      <c r="AZ14" s="440">
        <v>0</v>
      </c>
      <c r="BA14" s="440">
        <v>0</v>
      </c>
      <c r="BB14" s="440">
        <v>0</v>
      </c>
      <c r="BC14" s="440">
        <v>0</v>
      </c>
      <c r="BD14" s="440">
        <v>0</v>
      </c>
      <c r="BE14" s="440">
        <v>0</v>
      </c>
      <c r="BF14" s="440">
        <v>0</v>
      </c>
      <c r="BG14" s="440">
        <v>0</v>
      </c>
      <c r="BH14" s="440">
        <v>0</v>
      </c>
      <c r="BI14" s="440">
        <v>0</v>
      </c>
      <c r="BJ14" s="440">
        <v>0</v>
      </c>
      <c r="BK14" s="440">
        <v>0</v>
      </c>
      <c r="BL14" s="440">
        <v>0</v>
      </c>
      <c r="BM14" s="440">
        <v>0</v>
      </c>
      <c r="BN14" s="440">
        <v>0</v>
      </c>
      <c r="BO14" s="440">
        <v>0</v>
      </c>
      <c r="BP14" s="440">
        <v>0</v>
      </c>
      <c r="BQ14" s="440">
        <v>0</v>
      </c>
      <c r="BR14" s="415">
        <f t="shared" si="25"/>
        <v>0</v>
      </c>
      <c r="BS14" s="415">
        <f t="shared" si="26"/>
        <v>0</v>
      </c>
      <c r="BT14" s="935"/>
      <c r="BU14" s="935"/>
      <c r="BV14" s="935"/>
      <c r="BW14" s="935"/>
      <c r="BX14" s="935"/>
      <c r="BY14" s="935"/>
      <c r="BZ14" s="935"/>
      <c r="CA14" s="935"/>
      <c r="CB14" s="935"/>
      <c r="CC14" s="935"/>
      <c r="CD14" s="935"/>
      <c r="CE14" s="935"/>
      <c r="CF14" s="935"/>
      <c r="CG14" s="935"/>
      <c r="CH14" s="935"/>
      <c r="CI14" s="935"/>
      <c r="CJ14" s="935"/>
      <c r="CK14" s="935"/>
      <c r="CL14" s="935"/>
      <c r="CM14" s="935"/>
      <c r="CN14" s="935"/>
      <c r="CO14" s="935"/>
      <c r="CP14" s="935"/>
      <c r="CQ14" s="935"/>
      <c r="CR14" s="935"/>
      <c r="CS14" s="935"/>
      <c r="CT14" s="935"/>
      <c r="CU14" s="935"/>
      <c r="CV14" s="935"/>
    </row>
    <row r="15" spans="1:102" s="375" customFormat="1" ht="15" customHeight="1">
      <c r="A15" s="375">
        <f t="shared" si="10"/>
        <v>8</v>
      </c>
      <c r="B15" s="455">
        <v>44411</v>
      </c>
      <c r="C15" s="445" t="s">
        <v>2001</v>
      </c>
      <c r="D15" s="376" t="str">
        <f>IFERROR(VLOOKUP(E:E,'Item Data Support Sheet'!A:O,7,0),"")</f>
        <v>NIPPLE PUNCH</v>
      </c>
      <c r="E15" s="446" t="s">
        <v>81</v>
      </c>
      <c r="F15" s="447"/>
      <c r="G15" s="376" t="s">
        <v>1692</v>
      </c>
      <c r="H15" s="602" t="str">
        <f>IFERROR(VLOOKUP(E:E,'Item Data Support Sheet'!A:O,2,0),"")</f>
        <v>NIPPLE S TYPE M SIZE PUNCHED</v>
      </c>
      <c r="I15" s="447" t="s">
        <v>2191</v>
      </c>
      <c r="J15" s="447" t="s">
        <v>2810</v>
      </c>
      <c r="K15" s="438">
        <v>4</v>
      </c>
      <c r="L15" s="439">
        <v>3518</v>
      </c>
      <c r="M15" s="366">
        <f t="shared" si="27"/>
        <v>879.5</v>
      </c>
      <c r="N15" s="367">
        <f t="shared" si="2"/>
        <v>3200</v>
      </c>
      <c r="O15" s="61">
        <v>3200</v>
      </c>
      <c r="P15" s="368">
        <v>0</v>
      </c>
      <c r="Q15" s="369">
        <v>0</v>
      </c>
      <c r="R15" s="370">
        <v>0</v>
      </c>
      <c r="S15" s="370">
        <v>0</v>
      </c>
      <c r="T15" s="370">
        <v>0</v>
      </c>
      <c r="U15" s="370">
        <v>0</v>
      </c>
      <c r="V15" s="450">
        <v>1</v>
      </c>
      <c r="W15" s="453">
        <f t="shared" si="11"/>
        <v>3200</v>
      </c>
      <c r="X15" s="748">
        <f t="shared" si="12"/>
        <v>0.90960773166571918</v>
      </c>
      <c r="Y15" s="451" t="str">
        <f>IFERROR(VLOOKUP(E:E,'Item Data Support Sheet'!A:J,6,0),0)</f>
        <v>FO016</v>
      </c>
      <c r="Z15" s="428">
        <f>IFERROR(VLOOKUP(E:E,'Item Data Support Sheet'!A:O,4,0),0)</f>
        <v>0</v>
      </c>
      <c r="AA15" s="428">
        <f t="shared" si="13"/>
        <v>0</v>
      </c>
      <c r="AB15" s="429" t="str">
        <f t="shared" si="14"/>
        <v xml:space="preserve"> </v>
      </c>
      <c r="AC15" s="424">
        <f t="shared" si="15"/>
        <v>0</v>
      </c>
      <c r="AD15" s="371">
        <f t="shared" si="16"/>
        <v>0</v>
      </c>
      <c r="AE15" s="748">
        <f t="shared" si="17"/>
        <v>1</v>
      </c>
      <c r="AF15" s="417">
        <f t="shared" si="18"/>
        <v>0.66666666666666663</v>
      </c>
      <c r="AG15" s="416">
        <f t="shared" si="19"/>
        <v>3.3333333333333335</v>
      </c>
      <c r="AH15" s="372">
        <f t="shared" si="20"/>
        <v>0.83333333333333337</v>
      </c>
      <c r="AI15" s="373">
        <f t="shared" si="21"/>
        <v>800</v>
      </c>
      <c r="AJ15" s="418">
        <f>VLOOKUP(D15,'Standard Cycle time'!C:D,2,0)</f>
        <v>3.5</v>
      </c>
      <c r="AK15" s="418">
        <f t="shared" si="22"/>
        <v>3.75</v>
      </c>
      <c r="AL15" s="374">
        <f t="shared" si="23"/>
        <v>0.93333333333333335</v>
      </c>
      <c r="AM15" s="372">
        <f t="shared" si="24"/>
        <v>0.77777777777777779</v>
      </c>
      <c r="AN15" s="799" t="s">
        <v>2192</v>
      </c>
      <c r="AO15" s="929"/>
      <c r="AP15" s="440">
        <v>40</v>
      </c>
      <c r="AQ15" s="440">
        <v>0</v>
      </c>
      <c r="AR15" s="440">
        <v>0</v>
      </c>
      <c r="AS15" s="440">
        <v>0</v>
      </c>
      <c r="AT15" s="440">
        <v>0</v>
      </c>
      <c r="AU15" s="440">
        <v>0</v>
      </c>
      <c r="AV15" s="440">
        <v>0</v>
      </c>
      <c r="AW15" s="440">
        <v>0</v>
      </c>
      <c r="AX15" s="440">
        <v>0</v>
      </c>
      <c r="AY15" s="440">
        <v>0</v>
      </c>
      <c r="AZ15" s="440">
        <v>0</v>
      </c>
      <c r="BA15" s="440">
        <v>0</v>
      </c>
      <c r="BB15" s="440">
        <v>0</v>
      </c>
      <c r="BC15" s="440">
        <v>0</v>
      </c>
      <c r="BD15" s="440">
        <v>0</v>
      </c>
      <c r="BE15" s="440">
        <v>0</v>
      </c>
      <c r="BF15" s="440">
        <v>0</v>
      </c>
      <c r="BG15" s="440">
        <v>0</v>
      </c>
      <c r="BH15" s="440">
        <v>0</v>
      </c>
      <c r="BI15" s="440">
        <v>0</v>
      </c>
      <c r="BJ15" s="440">
        <v>0</v>
      </c>
      <c r="BK15" s="440">
        <v>0</v>
      </c>
      <c r="BL15" s="440">
        <v>0</v>
      </c>
      <c r="BM15" s="440">
        <v>0</v>
      </c>
      <c r="BN15" s="440">
        <v>0</v>
      </c>
      <c r="BO15" s="440">
        <v>0</v>
      </c>
      <c r="BP15" s="440">
        <v>0</v>
      </c>
      <c r="BQ15" s="440">
        <v>0</v>
      </c>
      <c r="BR15" s="415">
        <f t="shared" si="25"/>
        <v>0.66666666666666663</v>
      </c>
      <c r="BS15" s="415">
        <f t="shared" si="26"/>
        <v>0.6777777777777777</v>
      </c>
      <c r="BT15" s="935"/>
      <c r="BU15" s="935"/>
      <c r="BV15" s="935"/>
      <c r="BW15" s="935"/>
      <c r="BX15" s="935"/>
      <c r="BY15" s="935"/>
      <c r="BZ15" s="935"/>
      <c r="CA15" s="935"/>
      <c r="CB15" s="935"/>
      <c r="CC15" s="935"/>
      <c r="CD15" s="935"/>
      <c r="CE15" s="935"/>
      <c r="CF15" s="935"/>
      <c r="CG15" s="935"/>
      <c r="CH15" s="935"/>
      <c r="CI15" s="935"/>
      <c r="CJ15" s="935"/>
      <c r="CK15" s="935"/>
      <c r="CL15" s="935"/>
      <c r="CM15" s="935"/>
      <c r="CN15" s="935"/>
      <c r="CO15" s="935"/>
      <c r="CP15" s="935"/>
      <c r="CQ15" s="935"/>
      <c r="CR15" s="935"/>
      <c r="CS15" s="935"/>
      <c r="CT15" s="935"/>
      <c r="CU15" s="935"/>
      <c r="CV15" s="935"/>
    </row>
    <row r="16" spans="1:102" s="375" customFormat="1" ht="15" customHeight="1">
      <c r="A16" s="375">
        <f t="shared" si="10"/>
        <v>8</v>
      </c>
      <c r="B16" s="455">
        <v>44411</v>
      </c>
      <c r="C16" s="445" t="s">
        <v>2053</v>
      </c>
      <c r="D16" s="376" t="str">
        <f>IFERROR(VLOOKUP(E:E,'Item Data Support Sheet'!A:O,7,0),"")</f>
        <v>BOTTLE MOLDED</v>
      </c>
      <c r="E16" s="446" t="s">
        <v>67</v>
      </c>
      <c r="F16" s="447" t="s">
        <v>1682</v>
      </c>
      <c r="G16" s="376" t="s">
        <v>1665</v>
      </c>
      <c r="H16" s="602" t="str">
        <f>IFERROR(VLOOKUP(E:E,'Item Data Support Sheet'!A:O,2,0),"")</f>
        <v>RPP 120 ML BOTTLE MOLDED</v>
      </c>
      <c r="I16" s="447" t="s">
        <v>2195</v>
      </c>
      <c r="J16" s="447" t="s">
        <v>2809</v>
      </c>
      <c r="K16" s="438">
        <v>8</v>
      </c>
      <c r="L16" s="439">
        <v>2574</v>
      </c>
      <c r="M16" s="366">
        <f t="shared" si="27"/>
        <v>321.75</v>
      </c>
      <c r="N16" s="367">
        <f t="shared" si="2"/>
        <v>3297</v>
      </c>
      <c r="O16" s="61">
        <v>3240</v>
      </c>
      <c r="P16" s="368">
        <v>0</v>
      </c>
      <c r="Q16" s="369">
        <v>20</v>
      </c>
      <c r="R16" s="370">
        <v>0</v>
      </c>
      <c r="S16" s="370">
        <v>0</v>
      </c>
      <c r="T16" s="370">
        <v>29</v>
      </c>
      <c r="U16" s="370">
        <v>8</v>
      </c>
      <c r="V16" s="450">
        <v>1</v>
      </c>
      <c r="W16" s="453">
        <f t="shared" si="11"/>
        <v>3240</v>
      </c>
      <c r="X16" s="748">
        <f t="shared" si="12"/>
        <v>1.2587412587412588</v>
      </c>
      <c r="Y16" s="451" t="str">
        <f>IFERROR(VLOOKUP(E:E,'Item Data Support Sheet'!A:J,6,0),0)</f>
        <v>HMC</v>
      </c>
      <c r="Z16" s="428">
        <f>IFERROR(VLOOKUP(E:E,'Item Data Support Sheet'!A:O,4,0),0)</f>
        <v>21.3</v>
      </c>
      <c r="AA16" s="428">
        <f t="shared" si="13"/>
        <v>70.226100000000002</v>
      </c>
      <c r="AB16" s="429">
        <f t="shared" si="14"/>
        <v>0.98271155595996362</v>
      </c>
      <c r="AC16" s="424">
        <f t="shared" si="15"/>
        <v>8.8712144386662584E-3</v>
      </c>
      <c r="AD16" s="371">
        <f t="shared" si="16"/>
        <v>6.0295447693699128E-3</v>
      </c>
      <c r="AE16" s="748">
        <f t="shared" si="17"/>
        <v>0.99120412496208676</v>
      </c>
      <c r="AF16" s="417">
        <f t="shared" si="18"/>
        <v>0</v>
      </c>
      <c r="AG16" s="416">
        <f t="shared" si="19"/>
        <v>8</v>
      </c>
      <c r="AH16" s="372">
        <f t="shared" si="20"/>
        <v>1</v>
      </c>
      <c r="AI16" s="373">
        <f t="shared" si="21"/>
        <v>405</v>
      </c>
      <c r="AJ16" s="418">
        <f>VLOOKUP(D16,'Standard Cycle time'!C:D,2,0)</f>
        <v>9</v>
      </c>
      <c r="AK16" s="418">
        <f t="shared" si="22"/>
        <v>8.8888888888888893</v>
      </c>
      <c r="AL16" s="374">
        <f t="shared" si="23"/>
        <v>1.0125</v>
      </c>
      <c r="AM16" s="372">
        <f t="shared" si="24"/>
        <v>1.0035941765241128</v>
      </c>
      <c r="AN16" s="799">
        <v>2197</v>
      </c>
      <c r="AO16" s="827" t="s">
        <v>2196</v>
      </c>
      <c r="AP16" s="440">
        <v>0</v>
      </c>
      <c r="AQ16" s="440">
        <v>0</v>
      </c>
      <c r="AR16" s="440">
        <v>0</v>
      </c>
      <c r="AS16" s="440">
        <v>0</v>
      </c>
      <c r="AT16" s="440">
        <v>0</v>
      </c>
      <c r="AU16" s="440">
        <v>0</v>
      </c>
      <c r="AV16" s="440">
        <v>0</v>
      </c>
      <c r="AW16" s="440">
        <v>0</v>
      </c>
      <c r="AX16" s="440">
        <v>0</v>
      </c>
      <c r="AY16" s="440">
        <v>0</v>
      </c>
      <c r="AZ16" s="440">
        <v>0</v>
      </c>
      <c r="BA16" s="440">
        <v>0</v>
      </c>
      <c r="BB16" s="440">
        <v>0</v>
      </c>
      <c r="BC16" s="440">
        <v>0</v>
      </c>
      <c r="BD16" s="440">
        <v>0</v>
      </c>
      <c r="BE16" s="440">
        <v>0</v>
      </c>
      <c r="BF16" s="440">
        <v>0</v>
      </c>
      <c r="BG16" s="440">
        <v>0</v>
      </c>
      <c r="BH16" s="440">
        <v>0</v>
      </c>
      <c r="BI16" s="440">
        <v>0</v>
      </c>
      <c r="BJ16" s="440">
        <v>0</v>
      </c>
      <c r="BK16" s="440">
        <v>0</v>
      </c>
      <c r="BL16" s="440">
        <v>0</v>
      </c>
      <c r="BM16" s="440">
        <v>0</v>
      </c>
      <c r="BN16" s="440">
        <v>0</v>
      </c>
      <c r="BO16" s="440">
        <v>0</v>
      </c>
      <c r="BP16" s="440">
        <v>0</v>
      </c>
      <c r="BQ16" s="440">
        <v>0</v>
      </c>
      <c r="BR16" s="415">
        <f t="shared" si="25"/>
        <v>0</v>
      </c>
      <c r="BS16" s="415">
        <f t="shared" si="26"/>
        <v>0</v>
      </c>
      <c r="BT16" s="935"/>
      <c r="BU16" s="935"/>
      <c r="BV16" s="935"/>
      <c r="BW16" s="935"/>
      <c r="BX16" s="935"/>
      <c r="BY16" s="935"/>
      <c r="BZ16" s="935"/>
      <c r="CA16" s="935"/>
      <c r="CB16" s="935"/>
      <c r="CC16" s="935"/>
      <c r="CD16" s="935"/>
      <c r="CE16" s="935"/>
      <c r="CF16" s="935"/>
      <c r="CG16" s="935"/>
      <c r="CH16" s="935"/>
      <c r="CI16" s="935"/>
      <c r="CJ16" s="935"/>
      <c r="CK16" s="935"/>
      <c r="CL16" s="935"/>
      <c r="CM16" s="935"/>
      <c r="CN16" s="935"/>
      <c r="CO16" s="935"/>
      <c r="CP16" s="935"/>
      <c r="CQ16" s="935"/>
      <c r="CR16" s="935"/>
      <c r="CS16" s="935"/>
      <c r="CT16" s="935"/>
      <c r="CU16" s="935"/>
      <c r="CV16" s="935"/>
    </row>
    <row r="17" spans="1:100" s="375" customFormat="1" ht="15" customHeight="1">
      <c r="A17" s="375">
        <f t="shared" si="10"/>
        <v>8</v>
      </c>
      <c r="B17" s="455">
        <v>44411</v>
      </c>
      <c r="C17" s="445" t="s">
        <v>2053</v>
      </c>
      <c r="D17" s="376" t="str">
        <f>IFERROR(VLOOKUP(E:E,'Item Data Support Sheet'!A:O,7,0),"")</f>
        <v>NIPPLE MOLDED</v>
      </c>
      <c r="E17" s="446" t="s">
        <v>73</v>
      </c>
      <c r="F17" s="447" t="s">
        <v>1678</v>
      </c>
      <c r="G17" s="376" t="s">
        <v>1691</v>
      </c>
      <c r="H17" s="602" t="str">
        <f>IFERROR(VLOOKUP(E:E,'Item Data Support Sheet'!A:O,2,0),"")</f>
        <v>NIPPLE S TYPE M SIZE INJECTION</v>
      </c>
      <c r="I17" s="447" t="s">
        <v>2197</v>
      </c>
      <c r="J17" s="447" t="s">
        <v>2809</v>
      </c>
      <c r="K17" s="438">
        <v>8</v>
      </c>
      <c r="L17" s="439">
        <v>4815</v>
      </c>
      <c r="M17" s="366">
        <f t="shared" si="27"/>
        <v>601.875</v>
      </c>
      <c r="N17" s="367">
        <f t="shared" si="2"/>
        <v>5482</v>
      </c>
      <c r="O17" s="61">
        <v>5400</v>
      </c>
      <c r="P17" s="368">
        <v>0</v>
      </c>
      <c r="Q17" s="369">
        <v>23</v>
      </c>
      <c r="R17" s="370">
        <v>0</v>
      </c>
      <c r="S17" s="370">
        <v>0</v>
      </c>
      <c r="T17" s="370">
        <v>51</v>
      </c>
      <c r="U17" s="370">
        <v>8</v>
      </c>
      <c r="V17" s="450">
        <v>1</v>
      </c>
      <c r="W17" s="453">
        <f t="shared" si="11"/>
        <v>5400</v>
      </c>
      <c r="X17" s="748">
        <f t="shared" si="12"/>
        <v>1.1214953271028036</v>
      </c>
      <c r="Y17" s="451" t="str">
        <f>IFERROR(VLOOKUP(E:E,'Item Data Support Sheet'!A:J,6,0),0)</f>
        <v>Silicon</v>
      </c>
      <c r="Z17" s="428">
        <f>IFERROR(VLOOKUP(E:E,'Item Data Support Sheet'!A:O,4,0),0)</f>
        <v>6.8</v>
      </c>
      <c r="AA17" s="428">
        <f t="shared" si="13"/>
        <v>37.2776</v>
      </c>
      <c r="AB17" s="429">
        <f t="shared" si="14"/>
        <v>0.98504195549069684</v>
      </c>
      <c r="AC17" s="424">
        <f t="shared" si="15"/>
        <v>9.3560814529444133E-3</v>
      </c>
      <c r="AD17" s="371">
        <f t="shared" si="16"/>
        <v>4.1780199818346958E-3</v>
      </c>
      <c r="AE17" s="748">
        <f t="shared" si="17"/>
        <v>0.99069682597592124</v>
      </c>
      <c r="AF17" s="417">
        <f t="shared" si="18"/>
        <v>0</v>
      </c>
      <c r="AG17" s="416">
        <f t="shared" si="19"/>
        <v>8</v>
      </c>
      <c r="AH17" s="372">
        <f t="shared" si="20"/>
        <v>1</v>
      </c>
      <c r="AI17" s="373">
        <f t="shared" si="21"/>
        <v>675</v>
      </c>
      <c r="AJ17" s="418">
        <f>VLOOKUP(D17,'Standard Cycle time'!C:D,2,0)</f>
        <v>5.25</v>
      </c>
      <c r="AK17" s="418">
        <f t="shared" si="22"/>
        <v>5.333333333333333</v>
      </c>
      <c r="AL17" s="374">
        <f t="shared" si="23"/>
        <v>0.984375</v>
      </c>
      <c r="AM17" s="372">
        <f t="shared" si="24"/>
        <v>0.97521718807004742</v>
      </c>
      <c r="AN17" s="799" t="s">
        <v>2198</v>
      </c>
      <c r="AO17" s="761"/>
      <c r="AP17" s="440">
        <v>0</v>
      </c>
      <c r="AQ17" s="440">
        <v>0</v>
      </c>
      <c r="AR17" s="440">
        <v>0</v>
      </c>
      <c r="AS17" s="440">
        <v>0</v>
      </c>
      <c r="AT17" s="440">
        <v>0</v>
      </c>
      <c r="AU17" s="440">
        <v>0</v>
      </c>
      <c r="AV17" s="440">
        <v>0</v>
      </c>
      <c r="AW17" s="440">
        <v>0</v>
      </c>
      <c r="AX17" s="440">
        <v>0</v>
      </c>
      <c r="AY17" s="440">
        <v>0</v>
      </c>
      <c r="AZ17" s="440">
        <v>0</v>
      </c>
      <c r="BA17" s="440">
        <v>0</v>
      </c>
      <c r="BB17" s="440">
        <v>0</v>
      </c>
      <c r="BC17" s="440">
        <v>0</v>
      </c>
      <c r="BD17" s="440">
        <v>0</v>
      </c>
      <c r="BE17" s="440">
        <v>0</v>
      </c>
      <c r="BF17" s="440">
        <v>0</v>
      </c>
      <c r="BG17" s="440">
        <v>0</v>
      </c>
      <c r="BH17" s="440">
        <v>0</v>
      </c>
      <c r="BI17" s="440">
        <v>0</v>
      </c>
      <c r="BJ17" s="440">
        <v>0</v>
      </c>
      <c r="BK17" s="440">
        <v>0</v>
      </c>
      <c r="BL17" s="440">
        <v>0</v>
      </c>
      <c r="BM17" s="440">
        <v>0</v>
      </c>
      <c r="BN17" s="440">
        <v>0</v>
      </c>
      <c r="BO17" s="440">
        <v>0</v>
      </c>
      <c r="BP17" s="440">
        <v>0</v>
      </c>
      <c r="BQ17" s="440">
        <v>0</v>
      </c>
      <c r="BR17" s="415">
        <f t="shared" si="25"/>
        <v>0</v>
      </c>
      <c r="BS17" s="415">
        <f t="shared" si="26"/>
        <v>0</v>
      </c>
      <c r="BT17" s="935"/>
      <c r="BU17" s="935"/>
      <c r="BV17" s="935"/>
      <c r="BW17" s="935"/>
      <c r="BX17" s="935"/>
      <c r="BY17" s="935"/>
      <c r="BZ17" s="935"/>
      <c r="CA17" s="935"/>
      <c r="CB17" s="935"/>
      <c r="CC17" s="935"/>
      <c r="CD17" s="935"/>
      <c r="CE17" s="935"/>
      <c r="CF17" s="935"/>
      <c r="CG17" s="935"/>
      <c r="CH17" s="935"/>
      <c r="CI17" s="935"/>
      <c r="CJ17" s="935"/>
      <c r="CK17" s="935"/>
      <c r="CL17" s="935"/>
      <c r="CM17" s="935"/>
      <c r="CN17" s="935"/>
      <c r="CO17" s="935"/>
      <c r="CP17" s="935"/>
      <c r="CQ17" s="935"/>
      <c r="CR17" s="935"/>
      <c r="CS17" s="935"/>
      <c r="CT17" s="935"/>
      <c r="CU17" s="935"/>
      <c r="CV17" s="935"/>
    </row>
    <row r="18" spans="1:100" s="375" customFormat="1" ht="15" customHeight="1">
      <c r="A18" s="375">
        <f t="shared" si="10"/>
        <v>8</v>
      </c>
      <c r="B18" s="455">
        <v>44412</v>
      </c>
      <c r="C18" s="445" t="s">
        <v>1980</v>
      </c>
      <c r="D18" s="376" t="str">
        <f>IFERROR(VLOOKUP(E:E,'Item Data Support Sheet'!A:O,7,0),"")</f>
        <v>NIPPLE PUNCH</v>
      </c>
      <c r="E18" s="446" t="s">
        <v>81</v>
      </c>
      <c r="F18" s="508"/>
      <c r="G18" s="376" t="s">
        <v>1705</v>
      </c>
      <c r="H18" s="602" t="str">
        <f>IFERROR(VLOOKUP(E:E,'Item Data Support Sheet'!A:O,2,0),"")</f>
        <v>NIPPLE S TYPE M SIZE PUNCHED</v>
      </c>
      <c r="I18" s="447" t="s">
        <v>2199</v>
      </c>
      <c r="J18" s="447" t="s">
        <v>2808</v>
      </c>
      <c r="K18" s="438">
        <v>8</v>
      </c>
      <c r="L18" s="439">
        <v>7036</v>
      </c>
      <c r="M18" s="366">
        <f>IFERROR(L18/K18,0)</f>
        <v>879.5</v>
      </c>
      <c r="N18" s="367">
        <f t="shared" si="2"/>
        <v>6500</v>
      </c>
      <c r="O18" s="61">
        <v>6496</v>
      </c>
      <c r="P18" s="368">
        <v>0</v>
      </c>
      <c r="Q18" s="369">
        <v>0</v>
      </c>
      <c r="R18" s="370">
        <v>0</v>
      </c>
      <c r="S18" s="370">
        <v>0</v>
      </c>
      <c r="T18" s="370">
        <v>4</v>
      </c>
      <c r="U18" s="370">
        <v>0</v>
      </c>
      <c r="V18" s="450">
        <v>1</v>
      </c>
      <c r="W18" s="453">
        <f t="shared" si="11"/>
        <v>6496</v>
      </c>
      <c r="X18" s="748">
        <f t="shared" si="12"/>
        <v>0.92325184764070489</v>
      </c>
      <c r="Y18" s="451" t="str">
        <f>IFERROR(VLOOKUP(E:E,'Item Data Support Sheet'!A:J,6,0),0)</f>
        <v>FO016</v>
      </c>
      <c r="Z18" s="428">
        <f>IFERROR(VLOOKUP(E:E,'Item Data Support Sheet'!A:O,4,0),0)</f>
        <v>0</v>
      </c>
      <c r="AA18" s="428">
        <f t="shared" si="13"/>
        <v>0</v>
      </c>
      <c r="AB18" s="429" t="str">
        <f t="shared" si="14"/>
        <v xml:space="preserve"> </v>
      </c>
      <c r="AC18" s="424">
        <f t="shared" si="15"/>
        <v>6.1538461538461541E-4</v>
      </c>
      <c r="AD18" s="371">
        <f t="shared" si="16"/>
        <v>0</v>
      </c>
      <c r="AE18" s="748">
        <f t="shared" si="17"/>
        <v>0.99938461538461543</v>
      </c>
      <c r="AF18" s="417">
        <f t="shared" si="18"/>
        <v>1.1666666666666667</v>
      </c>
      <c r="AG18" s="416">
        <f t="shared" si="19"/>
        <v>6.833333333333333</v>
      </c>
      <c r="AH18" s="372">
        <f t="shared" si="20"/>
        <v>0.85416666666666663</v>
      </c>
      <c r="AI18" s="373">
        <f t="shared" si="21"/>
        <v>812</v>
      </c>
      <c r="AJ18" s="418">
        <f>VLOOKUP(D18,'Standard Cycle time'!C:D,2,0)</f>
        <v>3.5</v>
      </c>
      <c r="AK18" s="418">
        <f t="shared" si="22"/>
        <v>3.7869458128078817</v>
      </c>
      <c r="AL18" s="374">
        <f t="shared" si="23"/>
        <v>0.92422764227642273</v>
      </c>
      <c r="AM18" s="372">
        <f t="shared" si="24"/>
        <v>0.78895863247863252</v>
      </c>
      <c r="AN18" s="799" t="s">
        <v>2202</v>
      </c>
      <c r="AO18" s="929" t="s">
        <v>2203</v>
      </c>
      <c r="AP18" s="440">
        <v>40</v>
      </c>
      <c r="AQ18" s="440">
        <v>0</v>
      </c>
      <c r="AR18" s="440">
        <v>0</v>
      </c>
      <c r="AS18" s="440">
        <v>0</v>
      </c>
      <c r="AT18" s="440">
        <v>0</v>
      </c>
      <c r="AU18" s="440">
        <v>0</v>
      </c>
      <c r="AV18" s="440">
        <v>0</v>
      </c>
      <c r="AW18" s="440">
        <v>0</v>
      </c>
      <c r="AX18" s="440">
        <v>0</v>
      </c>
      <c r="AY18" s="440">
        <v>0</v>
      </c>
      <c r="AZ18" s="440">
        <v>0</v>
      </c>
      <c r="BA18" s="440">
        <v>0</v>
      </c>
      <c r="BB18" s="440">
        <v>0</v>
      </c>
      <c r="BC18" s="440">
        <v>0</v>
      </c>
      <c r="BD18" s="440">
        <v>0</v>
      </c>
      <c r="BE18" s="440">
        <v>0</v>
      </c>
      <c r="BF18" s="440">
        <v>0</v>
      </c>
      <c r="BG18" s="440">
        <v>0</v>
      </c>
      <c r="BH18" s="440">
        <v>0</v>
      </c>
      <c r="BI18" s="440">
        <v>0</v>
      </c>
      <c r="BJ18" s="440">
        <v>0</v>
      </c>
      <c r="BK18" s="440">
        <v>0</v>
      </c>
      <c r="BL18" s="440">
        <v>0</v>
      </c>
      <c r="BM18" s="440">
        <v>0</v>
      </c>
      <c r="BN18" s="440">
        <v>0</v>
      </c>
      <c r="BO18" s="440">
        <v>0</v>
      </c>
      <c r="BP18" s="440">
        <v>0</v>
      </c>
      <c r="BQ18" s="440">
        <v>30</v>
      </c>
      <c r="BR18" s="415">
        <f>SUM(AP18:BQ18)/60</f>
        <v>1.1666666666666667</v>
      </c>
      <c r="BS18" s="415">
        <f>SUM(AP18:BR18)/60</f>
        <v>1.1861111111111111</v>
      </c>
      <c r="BT18" s="935"/>
      <c r="BU18" s="935"/>
      <c r="BV18" s="935"/>
      <c r="BW18" s="935"/>
      <c r="BX18" s="935"/>
      <c r="BY18" s="935"/>
      <c r="BZ18" s="935"/>
      <c r="CA18" s="935"/>
      <c r="CB18" s="935"/>
      <c r="CC18" s="935"/>
      <c r="CD18" s="935"/>
      <c r="CE18" s="935"/>
      <c r="CF18" s="935"/>
      <c r="CG18" s="935"/>
      <c r="CH18" s="935"/>
      <c r="CI18" s="935"/>
      <c r="CJ18" s="935"/>
      <c r="CK18" s="935"/>
      <c r="CL18" s="935"/>
      <c r="CM18" s="935"/>
      <c r="CN18" s="935"/>
      <c r="CO18" s="935"/>
      <c r="CP18" s="935"/>
      <c r="CQ18" s="935"/>
      <c r="CR18" s="935"/>
      <c r="CS18" s="935"/>
      <c r="CT18" s="935"/>
      <c r="CU18" s="935"/>
      <c r="CV18" s="935"/>
    </row>
    <row r="19" spans="1:100" s="375" customFormat="1" ht="15" customHeight="1">
      <c r="A19" s="375">
        <f t="shared" si="10"/>
        <v>8</v>
      </c>
      <c r="B19" s="455">
        <v>44412</v>
      </c>
      <c r="C19" s="445" t="s">
        <v>1980</v>
      </c>
      <c r="D19" s="376" t="str">
        <f>IFERROR(VLOOKUP(E:E,'Item Data Support Sheet'!A:O,7,0),"")</f>
        <v>BOTTLE MOLDED</v>
      </c>
      <c r="E19" s="446" t="s">
        <v>67</v>
      </c>
      <c r="F19" s="508" t="s">
        <v>1679</v>
      </c>
      <c r="G19" s="376" t="s">
        <v>1665</v>
      </c>
      <c r="H19" s="602" t="str">
        <f>IFERROR(VLOOKUP(E:E,'Item Data Support Sheet'!A:O,2,0),"")</f>
        <v>RPP 120 ML BOTTLE MOLDED</v>
      </c>
      <c r="I19" s="447" t="s">
        <v>2200</v>
      </c>
      <c r="J19" s="447" t="s">
        <v>2808</v>
      </c>
      <c r="K19" s="438">
        <v>8</v>
      </c>
      <c r="L19" s="439">
        <v>2574</v>
      </c>
      <c r="M19" s="366">
        <f t="shared" si="27"/>
        <v>321.75</v>
      </c>
      <c r="N19" s="367">
        <f t="shared" si="2"/>
        <v>2808</v>
      </c>
      <c r="O19" s="61">
        <f>15*180</f>
        <v>2700</v>
      </c>
      <c r="P19" s="368">
        <v>0</v>
      </c>
      <c r="Q19" s="369">
        <v>42</v>
      </c>
      <c r="R19" s="370">
        <v>0</v>
      </c>
      <c r="S19" s="370">
        <v>0</v>
      </c>
      <c r="T19" s="370">
        <v>58</v>
      </c>
      <c r="U19" s="370">
        <v>8</v>
      </c>
      <c r="V19" s="450">
        <v>1</v>
      </c>
      <c r="W19" s="453">
        <f t="shared" si="11"/>
        <v>2700</v>
      </c>
      <c r="X19" s="748">
        <f t="shared" si="12"/>
        <v>1.048951048951049</v>
      </c>
      <c r="Y19" s="451" t="str">
        <f>IFERROR(VLOOKUP(E:E,'Item Data Support Sheet'!A:J,6,0),0)</f>
        <v>HMC</v>
      </c>
      <c r="Z19" s="428">
        <f>IFERROR(VLOOKUP(E:E,'Item Data Support Sheet'!A:O,4,0),0)</f>
        <v>21.3</v>
      </c>
      <c r="AA19" s="428">
        <f t="shared" si="13"/>
        <v>59.810400000000001</v>
      </c>
      <c r="AB19" s="429">
        <f t="shared" si="14"/>
        <v>0.96153846153846145</v>
      </c>
      <c r="AC19" s="424">
        <f t="shared" si="15"/>
        <v>2.1029731689630168E-2</v>
      </c>
      <c r="AD19" s="371">
        <f t="shared" si="16"/>
        <v>1.4736842105263158E-2</v>
      </c>
      <c r="AE19" s="748">
        <f t="shared" si="17"/>
        <v>0.97934472934472938</v>
      </c>
      <c r="AF19" s="417">
        <f t="shared" si="18"/>
        <v>0.5</v>
      </c>
      <c r="AG19" s="416">
        <f t="shared" si="19"/>
        <v>7.5</v>
      </c>
      <c r="AH19" s="372">
        <f t="shared" si="20"/>
        <v>0.9375</v>
      </c>
      <c r="AI19" s="373">
        <f t="shared" si="21"/>
        <v>337.5</v>
      </c>
      <c r="AJ19" s="418">
        <f>VLOOKUP(D19,'Standard Cycle time'!C:D,2,0)</f>
        <v>9</v>
      </c>
      <c r="AK19" s="418">
        <f t="shared" si="22"/>
        <v>10</v>
      </c>
      <c r="AL19" s="374">
        <f t="shared" si="23"/>
        <v>0.9</v>
      </c>
      <c r="AM19" s="372">
        <f t="shared" si="24"/>
        <v>0.82632211538461542</v>
      </c>
      <c r="AN19" s="799">
        <v>2193</v>
      </c>
      <c r="AO19" s="827" t="s">
        <v>2204</v>
      </c>
      <c r="AP19" s="440">
        <v>0</v>
      </c>
      <c r="AQ19" s="440">
        <v>0</v>
      </c>
      <c r="AR19" s="440">
        <v>0</v>
      </c>
      <c r="AS19" s="440">
        <v>0</v>
      </c>
      <c r="AT19" s="440">
        <v>0</v>
      </c>
      <c r="AU19" s="440">
        <v>0</v>
      </c>
      <c r="AV19" s="440">
        <v>0</v>
      </c>
      <c r="AW19" s="440">
        <v>30</v>
      </c>
      <c r="AX19" s="440">
        <v>0</v>
      </c>
      <c r="AY19" s="440">
        <v>0</v>
      </c>
      <c r="AZ19" s="440">
        <v>0</v>
      </c>
      <c r="BA19" s="440">
        <v>0</v>
      </c>
      <c r="BB19" s="440">
        <v>0</v>
      </c>
      <c r="BC19" s="440">
        <v>0</v>
      </c>
      <c r="BD19" s="440">
        <v>0</v>
      </c>
      <c r="BE19" s="440">
        <v>0</v>
      </c>
      <c r="BF19" s="440">
        <v>0</v>
      </c>
      <c r="BG19" s="440">
        <v>0</v>
      </c>
      <c r="BH19" s="440">
        <v>0</v>
      </c>
      <c r="BI19" s="440">
        <v>0</v>
      </c>
      <c r="BJ19" s="440">
        <v>0</v>
      </c>
      <c r="BK19" s="440">
        <v>0</v>
      </c>
      <c r="BL19" s="440">
        <v>0</v>
      </c>
      <c r="BM19" s="440">
        <v>0</v>
      </c>
      <c r="BN19" s="440">
        <v>0</v>
      </c>
      <c r="BO19" s="440">
        <v>0</v>
      </c>
      <c r="BP19" s="440">
        <v>0</v>
      </c>
      <c r="BQ19" s="440">
        <v>0</v>
      </c>
      <c r="BR19" s="415">
        <f t="shared" si="25"/>
        <v>0.5</v>
      </c>
      <c r="BS19" s="415">
        <f t="shared" si="26"/>
        <v>0.5083333333333333</v>
      </c>
      <c r="BT19" s="935"/>
      <c r="BU19" s="935"/>
      <c r="BV19" s="935"/>
      <c r="BW19" s="935"/>
      <c r="BX19" s="935"/>
      <c r="BY19" s="935"/>
      <c r="BZ19" s="935"/>
      <c r="CA19" s="935"/>
      <c r="CB19" s="935"/>
      <c r="CC19" s="935"/>
      <c r="CD19" s="935"/>
      <c r="CE19" s="935"/>
      <c r="CF19" s="935"/>
      <c r="CG19" s="935"/>
      <c r="CH19" s="935"/>
      <c r="CI19" s="935"/>
      <c r="CJ19" s="935"/>
      <c r="CK19" s="935"/>
      <c r="CL19" s="935"/>
      <c r="CM19" s="935"/>
      <c r="CN19" s="935"/>
      <c r="CO19" s="935"/>
      <c r="CP19" s="935"/>
      <c r="CQ19" s="935"/>
      <c r="CR19" s="935"/>
      <c r="CS19" s="935"/>
      <c r="CT19" s="935"/>
      <c r="CU19" s="935"/>
      <c r="CV19" s="935"/>
    </row>
    <row r="20" spans="1:100" s="375" customFormat="1" ht="15" customHeight="1">
      <c r="A20" s="375">
        <f t="shared" si="10"/>
        <v>8</v>
      </c>
      <c r="B20" s="455">
        <v>44412</v>
      </c>
      <c r="C20" s="445" t="s">
        <v>1980</v>
      </c>
      <c r="D20" s="376" t="str">
        <f>IFERROR(VLOOKUP(E:E,'Item Data Support Sheet'!A:O,7,0),"")</f>
        <v>NIPPLE MOLDED</v>
      </c>
      <c r="E20" s="508" t="s">
        <v>73</v>
      </c>
      <c r="F20" s="508" t="s">
        <v>1678</v>
      </c>
      <c r="G20" s="376" t="s">
        <v>1691</v>
      </c>
      <c r="H20" s="602" t="str">
        <f>IFERROR(VLOOKUP(E:E,'Item Data Support Sheet'!A:O,2,0),"")</f>
        <v>NIPPLE S TYPE M SIZE INJECTION</v>
      </c>
      <c r="I20" s="447" t="s">
        <v>2201</v>
      </c>
      <c r="J20" s="447" t="s">
        <v>2808</v>
      </c>
      <c r="K20" s="438">
        <v>8</v>
      </c>
      <c r="L20" s="439">
        <v>4815</v>
      </c>
      <c r="M20" s="366">
        <f t="shared" si="27"/>
        <v>601.875</v>
      </c>
      <c r="N20" s="367">
        <f t="shared" si="2"/>
        <v>5680</v>
      </c>
      <c r="O20" s="61">
        <v>5600</v>
      </c>
      <c r="P20" s="368">
        <v>0</v>
      </c>
      <c r="Q20" s="369">
        <v>30</v>
      </c>
      <c r="R20" s="370">
        <v>0</v>
      </c>
      <c r="S20" s="370">
        <v>0</v>
      </c>
      <c r="T20" s="370">
        <v>42</v>
      </c>
      <c r="U20" s="370">
        <v>8</v>
      </c>
      <c r="V20" s="450">
        <v>1</v>
      </c>
      <c r="W20" s="453">
        <f t="shared" si="11"/>
        <v>5600</v>
      </c>
      <c r="X20" s="748">
        <f t="shared" si="12"/>
        <v>1.1630321910695742</v>
      </c>
      <c r="Y20" s="451" t="str">
        <f>IFERROR(VLOOKUP(E:E,'Item Data Support Sheet'!A:J,6,0),0)</f>
        <v>Silicon</v>
      </c>
      <c r="Z20" s="428">
        <f>IFERROR(VLOOKUP(E:E,'Item Data Support Sheet'!A:O,4,0),0)</f>
        <v>6.8</v>
      </c>
      <c r="AA20" s="428">
        <f t="shared" si="13"/>
        <v>38.623999999999995</v>
      </c>
      <c r="AB20" s="429">
        <f t="shared" si="14"/>
        <v>0.98591549295774661</v>
      </c>
      <c r="AC20" s="424">
        <f t="shared" si="15"/>
        <v>7.4441687344913151E-3</v>
      </c>
      <c r="AD20" s="371">
        <f t="shared" si="16"/>
        <v>5.2539404553415062E-3</v>
      </c>
      <c r="AE20" s="748">
        <f t="shared" si="17"/>
        <v>0.99260563380281686</v>
      </c>
      <c r="AF20" s="417">
        <f t="shared" si="18"/>
        <v>0</v>
      </c>
      <c r="AG20" s="416">
        <f t="shared" si="19"/>
        <v>8</v>
      </c>
      <c r="AH20" s="372">
        <f t="shared" si="20"/>
        <v>1</v>
      </c>
      <c r="AI20" s="373">
        <f t="shared" si="21"/>
        <v>700</v>
      </c>
      <c r="AJ20" s="418">
        <f>VLOOKUP(D20,'Standard Cycle time'!C:D,2,0)</f>
        <v>5.25</v>
      </c>
      <c r="AK20" s="418">
        <f t="shared" si="22"/>
        <v>5.1428571428571432</v>
      </c>
      <c r="AL20" s="374">
        <f t="shared" si="23"/>
        <v>1.0208333333333333</v>
      </c>
      <c r="AM20" s="372">
        <f t="shared" si="24"/>
        <v>1.0132849178403756</v>
      </c>
      <c r="AN20" s="799">
        <v>2194</v>
      </c>
      <c r="AO20" s="761"/>
      <c r="AP20" s="440">
        <v>0</v>
      </c>
      <c r="AQ20" s="440">
        <v>0</v>
      </c>
      <c r="AR20" s="440">
        <v>0</v>
      </c>
      <c r="AS20" s="440">
        <v>0</v>
      </c>
      <c r="AT20" s="440">
        <v>0</v>
      </c>
      <c r="AU20" s="440">
        <v>0</v>
      </c>
      <c r="AV20" s="440">
        <v>0</v>
      </c>
      <c r="AW20" s="440">
        <v>0</v>
      </c>
      <c r="AX20" s="440">
        <v>0</v>
      </c>
      <c r="AY20" s="440">
        <v>0</v>
      </c>
      <c r="AZ20" s="440">
        <v>0</v>
      </c>
      <c r="BA20" s="440">
        <v>0</v>
      </c>
      <c r="BB20" s="440">
        <v>0</v>
      </c>
      <c r="BC20" s="440">
        <v>0</v>
      </c>
      <c r="BD20" s="440">
        <v>0</v>
      </c>
      <c r="BE20" s="440">
        <v>0</v>
      </c>
      <c r="BF20" s="440">
        <v>0</v>
      </c>
      <c r="BG20" s="440">
        <v>0</v>
      </c>
      <c r="BH20" s="440">
        <v>0</v>
      </c>
      <c r="BI20" s="440">
        <v>0</v>
      </c>
      <c r="BJ20" s="440">
        <v>0</v>
      </c>
      <c r="BK20" s="440">
        <v>0</v>
      </c>
      <c r="BL20" s="440">
        <v>0</v>
      </c>
      <c r="BM20" s="440">
        <v>0</v>
      </c>
      <c r="BN20" s="440">
        <v>0</v>
      </c>
      <c r="BO20" s="440">
        <v>0</v>
      </c>
      <c r="BP20" s="440">
        <v>0</v>
      </c>
      <c r="BQ20" s="440">
        <v>0</v>
      </c>
      <c r="BR20" s="415">
        <f t="shared" si="25"/>
        <v>0</v>
      </c>
      <c r="BS20" s="415">
        <f t="shared" si="26"/>
        <v>0</v>
      </c>
      <c r="BT20" s="935"/>
      <c r="BU20" s="935"/>
      <c r="BV20" s="935"/>
      <c r="BW20" s="935"/>
      <c r="BX20" s="935"/>
      <c r="BY20" s="935"/>
      <c r="BZ20" s="935"/>
      <c r="CA20" s="935"/>
      <c r="CB20" s="935"/>
      <c r="CC20" s="935"/>
      <c r="CD20" s="935"/>
      <c r="CE20" s="935"/>
      <c r="CF20" s="935"/>
      <c r="CG20" s="935"/>
      <c r="CH20" s="935"/>
      <c r="CI20" s="935"/>
      <c r="CJ20" s="935"/>
      <c r="CK20" s="935"/>
      <c r="CL20" s="935"/>
      <c r="CM20" s="935"/>
      <c r="CN20" s="935"/>
      <c r="CO20" s="935"/>
      <c r="CP20" s="935"/>
      <c r="CQ20" s="935"/>
      <c r="CR20" s="935"/>
      <c r="CS20" s="935"/>
      <c r="CT20" s="935"/>
      <c r="CU20" s="935"/>
      <c r="CV20" s="935"/>
    </row>
    <row r="21" spans="1:100" s="375" customFormat="1" ht="15" customHeight="1">
      <c r="A21" s="375">
        <f t="shared" si="10"/>
        <v>8</v>
      </c>
      <c r="B21" s="455">
        <v>44412</v>
      </c>
      <c r="C21" s="445" t="s">
        <v>2000</v>
      </c>
      <c r="D21" s="376" t="str">
        <f>IFERROR(VLOOKUP(E:E,'Item Data Support Sheet'!A:O,7,0),"")</f>
        <v>NIPPLE PUNCH INSPECTED</v>
      </c>
      <c r="E21" s="446" t="s">
        <v>1819</v>
      </c>
      <c r="F21" s="508"/>
      <c r="G21" s="376"/>
      <c r="H21" s="602" t="str">
        <f>IFERROR(VLOOKUP(E:E,'Item Data Support Sheet'!A:O,2,0),"")</f>
        <v>NIPPLE S TYPE M SIZE PUNCHED INSPECTED</v>
      </c>
      <c r="I21" s="447" t="s">
        <v>2178</v>
      </c>
      <c r="J21" s="447" t="s">
        <v>2812</v>
      </c>
      <c r="K21" s="438">
        <v>8.5</v>
      </c>
      <c r="L21" s="439">
        <v>9000</v>
      </c>
      <c r="M21" s="366">
        <f t="shared" si="27"/>
        <v>1058.8235294117646</v>
      </c>
      <c r="N21" s="367">
        <f t="shared" si="2"/>
        <v>9027</v>
      </c>
      <c r="O21" s="61">
        <v>8994</v>
      </c>
      <c r="P21" s="368">
        <v>0</v>
      </c>
      <c r="Q21" s="369">
        <v>0</v>
      </c>
      <c r="R21" s="370">
        <v>0</v>
      </c>
      <c r="S21" s="370">
        <v>0</v>
      </c>
      <c r="T21" s="370">
        <v>33</v>
      </c>
      <c r="U21" s="370">
        <v>0</v>
      </c>
      <c r="V21" s="450">
        <v>1</v>
      </c>
      <c r="W21" s="453">
        <f t="shared" si="11"/>
        <v>8994</v>
      </c>
      <c r="X21" s="748">
        <f t="shared" si="12"/>
        <v>0.9993333333333333</v>
      </c>
      <c r="Y21" s="451" t="str">
        <f>IFERROR(VLOOKUP(E:E,'Item Data Support Sheet'!A:J,6,0),0)</f>
        <v>FO105</v>
      </c>
      <c r="Z21" s="428">
        <f>IFERROR(VLOOKUP(E:E,'Item Data Support Sheet'!A:O,4,0),0)</f>
        <v>0</v>
      </c>
      <c r="AA21" s="428">
        <f t="shared" si="13"/>
        <v>0</v>
      </c>
      <c r="AB21" s="429" t="str">
        <f t="shared" si="14"/>
        <v xml:space="preserve"> </v>
      </c>
      <c r="AC21" s="424">
        <f t="shared" si="15"/>
        <v>3.6556995679627785E-3</v>
      </c>
      <c r="AD21" s="371">
        <f t="shared" si="16"/>
        <v>0</v>
      </c>
      <c r="AE21" s="748">
        <f t="shared" si="17"/>
        <v>0.99634430043203726</v>
      </c>
      <c r="AF21" s="417">
        <f t="shared" si="18"/>
        <v>1.8333333333333333</v>
      </c>
      <c r="AG21" s="416">
        <f t="shared" si="19"/>
        <v>6.666666666666667</v>
      </c>
      <c r="AH21" s="372">
        <f t="shared" si="20"/>
        <v>0.78431372549019607</v>
      </c>
      <c r="AI21" s="373">
        <f t="shared" si="21"/>
        <v>1058.1176470588234</v>
      </c>
      <c r="AJ21" s="418">
        <f>VLOOKUP(D21,'Standard Cycle time'!C:D,2,0)</f>
        <v>4</v>
      </c>
      <c r="AK21" s="418">
        <f t="shared" si="22"/>
        <v>2.6684456304202802</v>
      </c>
      <c r="AL21" s="374">
        <f t="shared" si="23"/>
        <v>1.4990000000000001</v>
      </c>
      <c r="AM21" s="372">
        <f t="shared" si="24"/>
        <v>1.1713883187040188</v>
      </c>
      <c r="AN21" s="799" t="s">
        <v>2208</v>
      </c>
      <c r="AO21" s="929" t="s">
        <v>2205</v>
      </c>
      <c r="AP21" s="440">
        <v>50</v>
      </c>
      <c r="AQ21" s="440">
        <v>0</v>
      </c>
      <c r="AR21" s="440">
        <v>0</v>
      </c>
      <c r="AS21" s="440">
        <v>60</v>
      </c>
      <c r="AT21" s="440">
        <v>0</v>
      </c>
      <c r="AU21" s="440">
        <v>0</v>
      </c>
      <c r="AV21" s="440">
        <v>0</v>
      </c>
      <c r="AW21" s="440">
        <v>0</v>
      </c>
      <c r="AX21" s="440">
        <v>0</v>
      </c>
      <c r="AY21" s="440">
        <v>0</v>
      </c>
      <c r="AZ21" s="440">
        <v>0</v>
      </c>
      <c r="BA21" s="440">
        <v>0</v>
      </c>
      <c r="BB21" s="440">
        <v>0</v>
      </c>
      <c r="BC21" s="440">
        <v>0</v>
      </c>
      <c r="BD21" s="440">
        <v>0</v>
      </c>
      <c r="BE21" s="440">
        <v>0</v>
      </c>
      <c r="BF21" s="440">
        <v>0</v>
      </c>
      <c r="BG21" s="440">
        <v>0</v>
      </c>
      <c r="BH21" s="440">
        <v>0</v>
      </c>
      <c r="BI21" s="440">
        <v>0</v>
      </c>
      <c r="BJ21" s="440">
        <v>0</v>
      </c>
      <c r="BK21" s="440">
        <v>0</v>
      </c>
      <c r="BL21" s="440">
        <v>0</v>
      </c>
      <c r="BM21" s="440">
        <v>0</v>
      </c>
      <c r="BN21" s="440">
        <v>0</v>
      </c>
      <c r="BO21" s="440">
        <v>0</v>
      </c>
      <c r="BP21" s="440">
        <v>0</v>
      </c>
      <c r="BQ21" s="440">
        <v>0</v>
      </c>
      <c r="BR21" s="415">
        <f t="shared" si="25"/>
        <v>1.8333333333333333</v>
      </c>
      <c r="BS21" s="415">
        <f t="shared" si="26"/>
        <v>1.8638888888888887</v>
      </c>
      <c r="BT21" s="935"/>
      <c r="BU21" s="935"/>
      <c r="BV21" s="935"/>
      <c r="BW21" s="935"/>
      <c r="BX21" s="935"/>
      <c r="BY21" s="935"/>
      <c r="BZ21" s="935"/>
      <c r="CA21" s="935"/>
      <c r="CB21" s="935"/>
      <c r="CC21" s="935"/>
      <c r="CD21" s="935"/>
      <c r="CE21" s="935"/>
      <c r="CF21" s="935"/>
      <c r="CG21" s="935"/>
      <c r="CH21" s="935"/>
      <c r="CI21" s="935"/>
      <c r="CJ21" s="935"/>
      <c r="CK21" s="935"/>
      <c r="CL21" s="935"/>
      <c r="CM21" s="935"/>
      <c r="CN21" s="935"/>
      <c r="CO21" s="935"/>
      <c r="CP21" s="935"/>
      <c r="CQ21" s="935"/>
      <c r="CR21" s="935"/>
      <c r="CS21" s="935"/>
      <c r="CT21" s="935"/>
      <c r="CU21" s="935"/>
      <c r="CV21" s="935"/>
    </row>
    <row r="22" spans="1:100" s="375" customFormat="1" ht="15" customHeight="1">
      <c r="A22" s="375">
        <f t="shared" si="10"/>
        <v>8</v>
      </c>
      <c r="B22" s="455">
        <v>44412</v>
      </c>
      <c r="C22" s="445" t="s">
        <v>2001</v>
      </c>
      <c r="D22" s="376" t="str">
        <f>IFERROR(VLOOKUP(E:E,'Item Data Support Sheet'!A:O,7,0),"")</f>
        <v>BOTTLE MOLDED</v>
      </c>
      <c r="E22" s="446" t="s">
        <v>67</v>
      </c>
      <c r="F22" s="508" t="s">
        <v>1682</v>
      </c>
      <c r="G22" s="376" t="s">
        <v>1665</v>
      </c>
      <c r="H22" s="602" t="str">
        <f>IFERROR(VLOOKUP(E:E,'Item Data Support Sheet'!A:O,2,0),"")</f>
        <v>RPP 120 ML BOTTLE MOLDED</v>
      </c>
      <c r="I22" s="447" t="s">
        <v>2206</v>
      </c>
      <c r="J22" s="447" t="s">
        <v>2810</v>
      </c>
      <c r="K22" s="438">
        <v>3</v>
      </c>
      <c r="L22" s="439">
        <v>1600</v>
      </c>
      <c r="M22" s="366">
        <f t="shared" si="27"/>
        <v>533.33333333333337</v>
      </c>
      <c r="N22" s="367">
        <f t="shared" si="2"/>
        <v>1186</v>
      </c>
      <c r="O22" s="61">
        <f>6*180</f>
        <v>1080</v>
      </c>
      <c r="P22" s="368">
        <v>0.3</v>
      </c>
      <c r="Q22" s="369">
        <v>72</v>
      </c>
      <c r="R22" s="370">
        <v>0</v>
      </c>
      <c r="S22" s="370">
        <v>0</v>
      </c>
      <c r="T22" s="370">
        <f>106-72</f>
        <v>34</v>
      </c>
      <c r="U22" s="370">
        <v>0</v>
      </c>
      <c r="V22" s="450">
        <v>1</v>
      </c>
      <c r="W22" s="453">
        <f t="shared" si="11"/>
        <v>1080</v>
      </c>
      <c r="X22" s="748">
        <f t="shared" si="12"/>
        <v>0.67500000000000004</v>
      </c>
      <c r="Y22" s="451" t="str">
        <f>IFERROR(VLOOKUP(E:E,'Item Data Support Sheet'!A:J,6,0),0)</f>
        <v>HMC</v>
      </c>
      <c r="Z22" s="428">
        <f>IFERROR(VLOOKUP(E:E,'Item Data Support Sheet'!A:O,4,0),0)</f>
        <v>21.3</v>
      </c>
      <c r="AA22" s="428">
        <f t="shared" si="13"/>
        <v>25.561800000000002</v>
      </c>
      <c r="AB22" s="429">
        <f t="shared" si="14"/>
        <v>0.89993662418139553</v>
      </c>
      <c r="AC22" s="424">
        <f t="shared" si="15"/>
        <v>3.052064631956912E-2</v>
      </c>
      <c r="AD22" s="371">
        <f t="shared" si="16"/>
        <v>5.7233704292527825E-2</v>
      </c>
      <c r="AE22" s="748">
        <f t="shared" si="17"/>
        <v>0.97133220910623941</v>
      </c>
      <c r="AF22" s="417">
        <f t="shared" si="18"/>
        <v>0</v>
      </c>
      <c r="AG22" s="416">
        <f t="shared" si="19"/>
        <v>3</v>
      </c>
      <c r="AH22" s="372">
        <f t="shared" si="20"/>
        <v>1</v>
      </c>
      <c r="AI22" s="373">
        <f t="shared" si="21"/>
        <v>360</v>
      </c>
      <c r="AJ22" s="418">
        <f>VLOOKUP(D22,'Standard Cycle time'!C:D,2,0)</f>
        <v>9</v>
      </c>
      <c r="AK22" s="418">
        <f t="shared" si="22"/>
        <v>10</v>
      </c>
      <c r="AL22" s="374">
        <f t="shared" si="23"/>
        <v>0.9</v>
      </c>
      <c r="AM22" s="372">
        <f t="shared" si="24"/>
        <v>0.87419898819561548</v>
      </c>
      <c r="AN22" s="799">
        <v>2201</v>
      </c>
      <c r="AO22" s="761" t="s">
        <v>2207</v>
      </c>
      <c r="AP22" s="440"/>
      <c r="AQ22" s="440">
        <v>0</v>
      </c>
      <c r="AR22" s="440">
        <v>0</v>
      </c>
      <c r="AS22" s="440">
        <v>0</v>
      </c>
      <c r="AT22" s="440">
        <v>0</v>
      </c>
      <c r="AU22" s="440">
        <v>0</v>
      </c>
      <c r="AV22" s="440">
        <v>0</v>
      </c>
      <c r="AW22" s="440">
        <v>0</v>
      </c>
      <c r="AX22" s="440">
        <v>0</v>
      </c>
      <c r="AY22" s="440">
        <v>0</v>
      </c>
      <c r="AZ22" s="440">
        <v>0</v>
      </c>
      <c r="BA22" s="440">
        <v>0</v>
      </c>
      <c r="BB22" s="440">
        <v>0</v>
      </c>
      <c r="BC22" s="440">
        <v>0</v>
      </c>
      <c r="BD22" s="440">
        <v>0</v>
      </c>
      <c r="BE22" s="440">
        <v>0</v>
      </c>
      <c r="BF22" s="440">
        <v>0</v>
      </c>
      <c r="BG22" s="440">
        <v>0</v>
      </c>
      <c r="BH22" s="440">
        <v>0</v>
      </c>
      <c r="BI22" s="440">
        <v>0</v>
      </c>
      <c r="BJ22" s="440">
        <v>0</v>
      </c>
      <c r="BK22" s="440">
        <v>0</v>
      </c>
      <c r="BL22" s="440">
        <v>0</v>
      </c>
      <c r="BM22" s="440">
        <v>0</v>
      </c>
      <c r="BN22" s="440">
        <v>0</v>
      </c>
      <c r="BO22" s="440">
        <v>0</v>
      </c>
      <c r="BP22" s="440">
        <v>0</v>
      </c>
      <c r="BQ22" s="440">
        <v>0</v>
      </c>
      <c r="BR22" s="415">
        <f t="shared" si="25"/>
        <v>0</v>
      </c>
      <c r="BS22" s="415">
        <f t="shared" si="26"/>
        <v>0</v>
      </c>
      <c r="BT22" s="935"/>
      <c r="BU22" s="935"/>
      <c r="BV22" s="935"/>
      <c r="BW22" s="935"/>
      <c r="BX22" s="935"/>
      <c r="BY22" s="935"/>
      <c r="BZ22" s="935"/>
      <c r="CA22" s="935"/>
      <c r="CB22" s="935"/>
      <c r="CC22" s="935"/>
      <c r="CD22" s="935"/>
      <c r="CE22" s="935"/>
      <c r="CF22" s="935"/>
      <c r="CG22" s="935"/>
      <c r="CH22" s="935"/>
      <c r="CI22" s="935"/>
      <c r="CJ22" s="935"/>
      <c r="CK22" s="935"/>
      <c r="CL22" s="935"/>
      <c r="CM22" s="935"/>
      <c r="CN22" s="935"/>
      <c r="CO22" s="935"/>
      <c r="CP22" s="935"/>
      <c r="CQ22" s="935"/>
      <c r="CR22" s="935"/>
      <c r="CS22" s="935"/>
      <c r="CT22" s="935"/>
      <c r="CU22" s="935"/>
      <c r="CV22" s="935"/>
    </row>
    <row r="23" spans="1:100" s="375" customFormat="1" ht="15" customHeight="1">
      <c r="A23" s="375">
        <f t="shared" si="10"/>
        <v>8</v>
      </c>
      <c r="B23" s="455">
        <v>44412</v>
      </c>
      <c r="C23" s="445" t="s">
        <v>2001</v>
      </c>
      <c r="D23" s="376" t="str">
        <f>IFERROR(VLOOKUP(E:E,'Item Data Support Sheet'!A:O,7,0),"")</f>
        <v>NIPPLE PUNCH</v>
      </c>
      <c r="E23" s="446" t="s">
        <v>81</v>
      </c>
      <c r="F23" s="447"/>
      <c r="G23" s="376" t="s">
        <v>1692</v>
      </c>
      <c r="H23" s="602" t="str">
        <f>IFERROR(VLOOKUP(E:E,'Item Data Support Sheet'!A:O,2,0),"")</f>
        <v>NIPPLE S TYPE M SIZE PUNCHED</v>
      </c>
      <c r="I23" s="447" t="s">
        <v>2209</v>
      </c>
      <c r="J23" s="447" t="s">
        <v>2810</v>
      </c>
      <c r="K23" s="438">
        <v>8</v>
      </c>
      <c r="L23" s="439">
        <v>7036</v>
      </c>
      <c r="M23" s="366">
        <f t="shared" si="27"/>
        <v>879.5</v>
      </c>
      <c r="N23" s="367">
        <f t="shared" si="2"/>
        <v>7420</v>
      </c>
      <c r="O23" s="61">
        <v>7400</v>
      </c>
      <c r="P23" s="368">
        <v>0</v>
      </c>
      <c r="Q23" s="369">
        <v>0</v>
      </c>
      <c r="R23" s="370">
        <v>0</v>
      </c>
      <c r="S23" s="370">
        <v>0</v>
      </c>
      <c r="T23" s="370">
        <v>20</v>
      </c>
      <c r="U23" s="370">
        <v>0</v>
      </c>
      <c r="V23" s="450">
        <v>1</v>
      </c>
      <c r="W23" s="453">
        <f t="shared" si="11"/>
        <v>7400</v>
      </c>
      <c r="X23" s="748">
        <f t="shared" si="12"/>
        <v>1.0517339397384877</v>
      </c>
      <c r="Y23" s="451" t="str">
        <f>IFERROR(VLOOKUP(E:E,'Item Data Support Sheet'!A:J,6,0),0)</f>
        <v>FO016</v>
      </c>
      <c r="Z23" s="428">
        <f>IFERROR(VLOOKUP(E:E,'Item Data Support Sheet'!A:O,4,0),0)</f>
        <v>0</v>
      </c>
      <c r="AA23" s="428">
        <f t="shared" si="13"/>
        <v>0</v>
      </c>
      <c r="AB23" s="429" t="str">
        <f t="shared" si="14"/>
        <v xml:space="preserve"> </v>
      </c>
      <c r="AC23" s="424">
        <f t="shared" si="15"/>
        <v>2.6954177897574125E-3</v>
      </c>
      <c r="AD23" s="371">
        <f t="shared" si="16"/>
        <v>0</v>
      </c>
      <c r="AE23" s="748">
        <f t="shared" si="17"/>
        <v>0.99730458221024254</v>
      </c>
      <c r="AF23" s="417">
        <f t="shared" si="18"/>
        <v>0.66666666666666663</v>
      </c>
      <c r="AG23" s="416">
        <f t="shared" si="19"/>
        <v>7.333333333333333</v>
      </c>
      <c r="AH23" s="372">
        <f t="shared" si="20"/>
        <v>0.91666666666666663</v>
      </c>
      <c r="AI23" s="373">
        <f t="shared" si="21"/>
        <v>925</v>
      </c>
      <c r="AJ23" s="418">
        <f>VLOOKUP(D23,'Standard Cycle time'!C:D,2,0)</f>
        <v>3.5</v>
      </c>
      <c r="AK23" s="418">
        <f t="shared" si="22"/>
        <v>3.5675675675675675</v>
      </c>
      <c r="AL23" s="374">
        <f t="shared" si="23"/>
        <v>0.98106060606060608</v>
      </c>
      <c r="AM23" s="372">
        <f t="shared" si="24"/>
        <v>0.89688155136268333</v>
      </c>
      <c r="AN23" s="799" t="s">
        <v>2213</v>
      </c>
      <c r="AO23" s="929"/>
      <c r="AP23" s="440">
        <v>40</v>
      </c>
      <c r="AQ23" s="440">
        <v>0</v>
      </c>
      <c r="AR23" s="440">
        <v>0</v>
      </c>
      <c r="AS23" s="440">
        <v>0</v>
      </c>
      <c r="AT23" s="440">
        <v>0</v>
      </c>
      <c r="AU23" s="440">
        <v>0</v>
      </c>
      <c r="AV23" s="440">
        <v>0</v>
      </c>
      <c r="AW23" s="440">
        <v>0</v>
      </c>
      <c r="AX23" s="440">
        <v>0</v>
      </c>
      <c r="AY23" s="440">
        <v>0</v>
      </c>
      <c r="AZ23" s="440">
        <v>0</v>
      </c>
      <c r="BA23" s="440">
        <v>0</v>
      </c>
      <c r="BB23" s="440">
        <v>0</v>
      </c>
      <c r="BC23" s="440">
        <v>0</v>
      </c>
      <c r="BD23" s="440">
        <v>0</v>
      </c>
      <c r="BE23" s="440">
        <v>0</v>
      </c>
      <c r="BF23" s="440">
        <v>0</v>
      </c>
      <c r="BG23" s="440">
        <v>0</v>
      </c>
      <c r="BH23" s="440">
        <v>0</v>
      </c>
      <c r="BI23" s="440">
        <v>0</v>
      </c>
      <c r="BJ23" s="440">
        <v>0</v>
      </c>
      <c r="BK23" s="440">
        <v>0</v>
      </c>
      <c r="BL23" s="440">
        <v>0</v>
      </c>
      <c r="BM23" s="440">
        <v>0</v>
      </c>
      <c r="BN23" s="440">
        <v>0</v>
      </c>
      <c r="BO23" s="440">
        <v>0</v>
      </c>
      <c r="BP23" s="440">
        <v>0</v>
      </c>
      <c r="BQ23" s="440">
        <v>0</v>
      </c>
      <c r="BR23" s="415">
        <f t="shared" si="25"/>
        <v>0.66666666666666663</v>
      </c>
      <c r="BS23" s="415">
        <f t="shared" si="26"/>
        <v>0.6777777777777777</v>
      </c>
      <c r="BT23" s="935"/>
      <c r="BU23" s="935"/>
      <c r="BV23" s="935"/>
      <c r="BW23" s="935"/>
      <c r="BX23" s="935"/>
      <c r="BY23" s="935"/>
      <c r="BZ23" s="935"/>
      <c r="CA23" s="935"/>
      <c r="CB23" s="935"/>
      <c r="CC23" s="935"/>
      <c r="CD23" s="935"/>
      <c r="CE23" s="935"/>
      <c r="CF23" s="935"/>
      <c r="CG23" s="935"/>
      <c r="CH23" s="935"/>
      <c r="CI23" s="935"/>
      <c r="CJ23" s="935"/>
      <c r="CK23" s="935"/>
      <c r="CL23" s="935"/>
      <c r="CM23" s="935"/>
      <c r="CN23" s="935"/>
      <c r="CO23" s="935"/>
      <c r="CP23" s="935"/>
      <c r="CQ23" s="935"/>
      <c r="CR23" s="935"/>
      <c r="CS23" s="935"/>
      <c r="CT23" s="935"/>
      <c r="CU23" s="935"/>
      <c r="CV23" s="935"/>
    </row>
    <row r="24" spans="1:100" s="375" customFormat="1" ht="15" customHeight="1">
      <c r="A24" s="375">
        <f t="shared" si="10"/>
        <v>8</v>
      </c>
      <c r="B24" s="455">
        <v>44412</v>
      </c>
      <c r="C24" s="445" t="s">
        <v>2001</v>
      </c>
      <c r="D24" s="376" t="str">
        <f>IFERROR(VLOOKUP(E:E,'Item Data Support Sheet'!A:O,7,0),"")</f>
        <v>NIPPLE POSTCURE</v>
      </c>
      <c r="E24" s="446" t="s">
        <v>77</v>
      </c>
      <c r="F24" s="508"/>
      <c r="G24" s="376" t="s">
        <v>1705</v>
      </c>
      <c r="H24" s="602" t="str">
        <f>IFERROR(VLOOKUP(E:E,'Item Data Support Sheet'!A:O,2,0),"")</f>
        <v>NIPPLE S TYPE M SIZE POSTCURED</v>
      </c>
      <c r="I24" s="447" t="s">
        <v>2210</v>
      </c>
      <c r="J24" s="447" t="s">
        <v>2810</v>
      </c>
      <c r="K24" s="438">
        <v>8</v>
      </c>
      <c r="L24" s="439">
        <v>14000</v>
      </c>
      <c r="M24" s="366">
        <f t="shared" si="27"/>
        <v>1750</v>
      </c>
      <c r="N24" s="367">
        <f t="shared" si="2"/>
        <v>14000</v>
      </c>
      <c r="O24" s="61">
        <f>5400+5600+3000</f>
        <v>14000</v>
      </c>
      <c r="P24" s="368">
        <v>0</v>
      </c>
      <c r="Q24" s="369">
        <v>0</v>
      </c>
      <c r="R24" s="370">
        <v>0</v>
      </c>
      <c r="S24" s="370">
        <v>0</v>
      </c>
      <c r="T24" s="370">
        <v>0</v>
      </c>
      <c r="U24" s="370">
        <v>0</v>
      </c>
      <c r="V24" s="450">
        <v>1</v>
      </c>
      <c r="W24" s="453">
        <f t="shared" si="11"/>
        <v>14000</v>
      </c>
      <c r="X24" s="748">
        <f t="shared" si="12"/>
        <v>1</v>
      </c>
      <c r="Y24" s="451" t="str">
        <f>IFERROR(VLOOKUP(E:E,'Item Data Support Sheet'!A:J,6,0),0)</f>
        <v>FO012</v>
      </c>
      <c r="Z24" s="428">
        <f>IFERROR(VLOOKUP(E:E,'Item Data Support Sheet'!A:O,4,0),0)</f>
        <v>0</v>
      </c>
      <c r="AA24" s="428">
        <f t="shared" si="13"/>
        <v>0</v>
      </c>
      <c r="AB24" s="429" t="str">
        <f t="shared" si="14"/>
        <v xml:space="preserve"> </v>
      </c>
      <c r="AC24" s="424">
        <f t="shared" si="15"/>
        <v>0</v>
      </c>
      <c r="AD24" s="371">
        <f t="shared" si="16"/>
        <v>0</v>
      </c>
      <c r="AE24" s="748">
        <f t="shared" si="17"/>
        <v>1</v>
      </c>
      <c r="AF24" s="417">
        <f t="shared" si="18"/>
        <v>0</v>
      </c>
      <c r="AG24" s="416">
        <f t="shared" si="19"/>
        <v>8</v>
      </c>
      <c r="AH24" s="372">
        <f t="shared" si="20"/>
        <v>1</v>
      </c>
      <c r="AI24" s="373">
        <f t="shared" si="21"/>
        <v>1750</v>
      </c>
      <c r="AJ24" s="418">
        <f>VLOOKUP(D24,'Standard Cycle time'!C:D,2,0)</f>
        <v>2.2999999999999998</v>
      </c>
      <c r="AK24" s="418">
        <f t="shared" si="22"/>
        <v>2.0571428571428569</v>
      </c>
      <c r="AL24" s="374">
        <f t="shared" si="23"/>
        <v>1.1180555555555556</v>
      </c>
      <c r="AM24" s="372">
        <f t="shared" si="24"/>
        <v>1.1180555555555556</v>
      </c>
      <c r="AN24" s="799" t="s">
        <v>2211</v>
      </c>
      <c r="AO24" s="761"/>
      <c r="AP24" s="440"/>
      <c r="AQ24" s="440">
        <v>0</v>
      </c>
      <c r="AR24" s="440">
        <v>0</v>
      </c>
      <c r="AS24" s="440">
        <v>0</v>
      </c>
      <c r="AT24" s="440">
        <v>0</v>
      </c>
      <c r="AU24" s="440">
        <v>0</v>
      </c>
      <c r="AV24" s="440">
        <v>0</v>
      </c>
      <c r="AW24" s="440">
        <v>0</v>
      </c>
      <c r="AX24" s="440">
        <v>0</v>
      </c>
      <c r="AY24" s="440">
        <v>0</v>
      </c>
      <c r="AZ24" s="440">
        <v>0</v>
      </c>
      <c r="BA24" s="440">
        <v>0</v>
      </c>
      <c r="BB24" s="440">
        <v>0</v>
      </c>
      <c r="BC24" s="440">
        <v>0</v>
      </c>
      <c r="BD24" s="440">
        <v>0</v>
      </c>
      <c r="BE24" s="440">
        <v>0</v>
      </c>
      <c r="BF24" s="440">
        <v>0</v>
      </c>
      <c r="BG24" s="440">
        <v>0</v>
      </c>
      <c r="BH24" s="440">
        <v>0</v>
      </c>
      <c r="BI24" s="440">
        <v>0</v>
      </c>
      <c r="BJ24" s="440">
        <v>0</v>
      </c>
      <c r="BK24" s="440">
        <v>0</v>
      </c>
      <c r="BL24" s="440">
        <v>0</v>
      </c>
      <c r="BM24" s="440">
        <v>0</v>
      </c>
      <c r="BN24" s="440">
        <v>0</v>
      </c>
      <c r="BO24" s="440">
        <v>0</v>
      </c>
      <c r="BP24" s="440">
        <v>0</v>
      </c>
      <c r="BQ24" s="440">
        <v>0</v>
      </c>
      <c r="BR24" s="415">
        <f t="shared" si="25"/>
        <v>0</v>
      </c>
      <c r="BS24" s="415">
        <f t="shared" si="26"/>
        <v>0</v>
      </c>
      <c r="BT24" s="935"/>
      <c r="BU24" s="935"/>
      <c r="BV24" s="935"/>
      <c r="BW24" s="935"/>
      <c r="BX24" s="935"/>
      <c r="BY24" s="935"/>
      <c r="BZ24" s="935"/>
      <c r="CA24" s="935"/>
      <c r="CB24" s="935"/>
      <c r="CC24" s="935"/>
      <c r="CD24" s="935"/>
      <c r="CE24" s="935"/>
      <c r="CF24" s="935"/>
      <c r="CG24" s="935"/>
      <c r="CH24" s="935"/>
      <c r="CI24" s="935"/>
      <c r="CJ24" s="935"/>
      <c r="CK24" s="935"/>
      <c r="CL24" s="935"/>
      <c r="CM24" s="935"/>
      <c r="CN24" s="935"/>
      <c r="CO24" s="935"/>
      <c r="CP24" s="935"/>
      <c r="CQ24" s="935"/>
      <c r="CR24" s="935"/>
      <c r="CS24" s="935"/>
      <c r="CT24" s="935"/>
      <c r="CU24" s="935"/>
      <c r="CV24" s="935"/>
    </row>
    <row r="25" spans="1:100" s="375" customFormat="1" ht="15" customHeight="1">
      <c r="A25" s="375">
        <f t="shared" si="10"/>
        <v>8</v>
      </c>
      <c r="B25" s="455">
        <v>44412</v>
      </c>
      <c r="C25" s="445" t="s">
        <v>2001</v>
      </c>
      <c r="D25" s="376" t="str">
        <f>IFERROR(VLOOKUP(E:E,'Item Data Support Sheet'!A:O,7,0),"")</f>
        <v>NIPPLE MOLDED</v>
      </c>
      <c r="E25" s="446" t="s">
        <v>73</v>
      </c>
      <c r="F25" s="447" t="s">
        <v>1678</v>
      </c>
      <c r="G25" s="376" t="s">
        <v>1691</v>
      </c>
      <c r="H25" s="602" t="str">
        <f>IFERROR(VLOOKUP(E:E,'Item Data Support Sheet'!A:O,2,0),"")</f>
        <v>NIPPLE S TYPE M SIZE INJECTION</v>
      </c>
      <c r="I25" s="447" t="s">
        <v>2212</v>
      </c>
      <c r="J25" s="447" t="s">
        <v>2810</v>
      </c>
      <c r="K25" s="438">
        <v>8</v>
      </c>
      <c r="L25" s="439">
        <v>4815</v>
      </c>
      <c r="M25" s="366">
        <f t="shared" si="27"/>
        <v>601.875</v>
      </c>
      <c r="N25" s="367">
        <f t="shared" si="2"/>
        <v>5790</v>
      </c>
      <c r="O25" s="61">
        <v>5700</v>
      </c>
      <c r="P25" s="368">
        <v>0</v>
      </c>
      <c r="Q25" s="369">
        <v>30</v>
      </c>
      <c r="R25" s="370">
        <v>0</v>
      </c>
      <c r="S25" s="370">
        <v>0</v>
      </c>
      <c r="T25" s="370">
        <v>60</v>
      </c>
      <c r="U25" s="370">
        <v>0</v>
      </c>
      <c r="V25" s="450">
        <v>1</v>
      </c>
      <c r="W25" s="453">
        <f t="shared" si="11"/>
        <v>5700</v>
      </c>
      <c r="X25" s="748">
        <f t="shared" si="12"/>
        <v>1.1838006230529594</v>
      </c>
      <c r="Y25" s="451" t="str">
        <f>IFERROR(VLOOKUP(E:E,'Item Data Support Sheet'!A:J,6,0),0)</f>
        <v>Silicon</v>
      </c>
      <c r="Z25" s="428">
        <f>IFERROR(VLOOKUP(E:E,'Item Data Support Sheet'!A:O,4,0),0)</f>
        <v>6.8</v>
      </c>
      <c r="AA25" s="428">
        <f t="shared" si="13"/>
        <v>39.372</v>
      </c>
      <c r="AB25" s="429">
        <f t="shared" si="14"/>
        <v>0.98445595854922274</v>
      </c>
      <c r="AC25" s="424">
        <f t="shared" si="15"/>
        <v>1.0416666666666666E-2</v>
      </c>
      <c r="AD25" s="371">
        <f t="shared" si="16"/>
        <v>5.1546391752577319E-3</v>
      </c>
      <c r="AE25" s="748">
        <f t="shared" si="17"/>
        <v>0.98963730569948183</v>
      </c>
      <c r="AF25" s="417">
        <f t="shared" si="18"/>
        <v>0</v>
      </c>
      <c r="AG25" s="416">
        <f t="shared" si="19"/>
        <v>8</v>
      </c>
      <c r="AH25" s="372">
        <f t="shared" si="20"/>
        <v>1</v>
      </c>
      <c r="AI25" s="373">
        <f t="shared" si="21"/>
        <v>712.5</v>
      </c>
      <c r="AJ25" s="418">
        <f>VLOOKUP(D25,'Standard Cycle time'!C:D,2,0)</f>
        <v>5.25</v>
      </c>
      <c r="AK25" s="418">
        <f t="shared" si="22"/>
        <v>5.0526315789473681</v>
      </c>
      <c r="AL25" s="374">
        <f t="shared" si="23"/>
        <v>1.0390625</v>
      </c>
      <c r="AM25" s="372">
        <f t="shared" si="24"/>
        <v>1.0282950129533679</v>
      </c>
      <c r="AN25" s="799">
        <v>2205</v>
      </c>
      <c r="AO25" s="761"/>
      <c r="AP25" s="440">
        <v>0</v>
      </c>
      <c r="AQ25" s="440">
        <v>0</v>
      </c>
      <c r="AR25" s="440">
        <v>0</v>
      </c>
      <c r="AS25" s="440">
        <v>0</v>
      </c>
      <c r="AT25" s="440">
        <v>0</v>
      </c>
      <c r="AU25" s="440">
        <v>0</v>
      </c>
      <c r="AV25" s="440">
        <v>0</v>
      </c>
      <c r="AW25" s="440">
        <v>0</v>
      </c>
      <c r="AX25" s="440">
        <v>0</v>
      </c>
      <c r="AY25" s="440">
        <v>0</v>
      </c>
      <c r="AZ25" s="440">
        <v>0</v>
      </c>
      <c r="BA25" s="440">
        <v>0</v>
      </c>
      <c r="BB25" s="440">
        <v>0</v>
      </c>
      <c r="BC25" s="440">
        <v>0</v>
      </c>
      <c r="BD25" s="440">
        <v>0</v>
      </c>
      <c r="BE25" s="440">
        <v>0</v>
      </c>
      <c r="BF25" s="440">
        <v>0</v>
      </c>
      <c r="BG25" s="440">
        <v>0</v>
      </c>
      <c r="BH25" s="440">
        <v>0</v>
      </c>
      <c r="BI25" s="440">
        <v>0</v>
      </c>
      <c r="BJ25" s="440">
        <v>0</v>
      </c>
      <c r="BK25" s="440">
        <v>0</v>
      </c>
      <c r="BL25" s="440">
        <v>0</v>
      </c>
      <c r="BM25" s="440">
        <v>0</v>
      </c>
      <c r="BN25" s="440">
        <v>0</v>
      </c>
      <c r="BO25" s="440">
        <v>0</v>
      </c>
      <c r="BP25" s="440">
        <v>0</v>
      </c>
      <c r="BQ25" s="440">
        <v>0</v>
      </c>
      <c r="BR25" s="415">
        <f t="shared" si="25"/>
        <v>0</v>
      </c>
      <c r="BS25" s="415">
        <f t="shared" si="26"/>
        <v>0</v>
      </c>
      <c r="BT25" s="935"/>
      <c r="BU25" s="935"/>
      <c r="BV25" s="935"/>
      <c r="BW25" s="935"/>
      <c r="BX25" s="935"/>
      <c r="BY25" s="935"/>
      <c r="BZ25" s="935"/>
      <c r="CA25" s="935"/>
      <c r="CB25" s="935"/>
      <c r="CC25" s="935"/>
      <c r="CD25" s="935"/>
      <c r="CE25" s="935"/>
      <c r="CF25" s="935"/>
      <c r="CG25" s="935"/>
      <c r="CH25" s="935"/>
      <c r="CI25" s="935"/>
      <c r="CJ25" s="935"/>
      <c r="CK25" s="935"/>
      <c r="CL25" s="935"/>
      <c r="CM25" s="935"/>
      <c r="CN25" s="935"/>
      <c r="CO25" s="935"/>
      <c r="CP25" s="935"/>
      <c r="CQ25" s="935"/>
      <c r="CR25" s="935"/>
      <c r="CS25" s="935"/>
      <c r="CT25" s="935"/>
      <c r="CU25" s="935"/>
      <c r="CV25" s="935"/>
    </row>
    <row r="26" spans="1:100" s="375" customFormat="1" ht="15" customHeight="1">
      <c r="A26" s="375">
        <f t="shared" si="10"/>
        <v>8</v>
      </c>
      <c r="B26" s="455">
        <v>44412</v>
      </c>
      <c r="C26" s="445" t="s">
        <v>2053</v>
      </c>
      <c r="D26" s="376" t="str">
        <f>IFERROR(VLOOKUP(E:E,'Item Data Support Sheet'!A:O,7,0),"")</f>
        <v>BOTTLE MOLDED</v>
      </c>
      <c r="E26" s="446" t="s">
        <v>67</v>
      </c>
      <c r="F26" s="447" t="s">
        <v>1682</v>
      </c>
      <c r="G26" s="376" t="s">
        <v>1665</v>
      </c>
      <c r="H26" s="602" t="str">
        <f>IFERROR(VLOOKUP(E:E,'Item Data Support Sheet'!A:O,2,0),"")</f>
        <v>RPP 120 ML BOTTLE MOLDED</v>
      </c>
      <c r="I26" s="447" t="s">
        <v>2214</v>
      </c>
      <c r="J26" s="447" t="s">
        <v>2809</v>
      </c>
      <c r="K26" s="438">
        <v>6</v>
      </c>
      <c r="L26" s="439">
        <v>2000</v>
      </c>
      <c r="M26" s="366">
        <f t="shared" si="27"/>
        <v>333.33333333333331</v>
      </c>
      <c r="N26" s="367">
        <f t="shared" si="2"/>
        <v>2273</v>
      </c>
      <c r="O26" s="61">
        <v>2160</v>
      </c>
      <c r="P26" s="368">
        <v>0.38</v>
      </c>
      <c r="Q26" s="369">
        <v>63</v>
      </c>
      <c r="R26" s="370">
        <v>0</v>
      </c>
      <c r="S26" s="370">
        <v>0</v>
      </c>
      <c r="T26" s="370">
        <v>42</v>
      </c>
      <c r="U26" s="370">
        <v>8</v>
      </c>
      <c r="V26" s="450">
        <v>1</v>
      </c>
      <c r="W26" s="453">
        <f t="shared" si="11"/>
        <v>2160</v>
      </c>
      <c r="X26" s="748">
        <f t="shared" si="12"/>
        <v>1.08</v>
      </c>
      <c r="Y26" s="451" t="str">
        <f>IFERROR(VLOOKUP(E:E,'Item Data Support Sheet'!A:J,6,0),0)</f>
        <v>HMC</v>
      </c>
      <c r="Z26" s="428">
        <f>IFERROR(VLOOKUP(E:E,'Item Data Support Sheet'!A:O,4,0),0)</f>
        <v>21.3</v>
      </c>
      <c r="AA26" s="428">
        <f t="shared" si="13"/>
        <v>48.794899999999998</v>
      </c>
      <c r="AB26" s="429">
        <f t="shared" si="14"/>
        <v>0.94288542450133106</v>
      </c>
      <c r="AC26" s="424">
        <f t="shared" si="15"/>
        <v>1.9073569482288829E-2</v>
      </c>
      <c r="AD26" s="371">
        <f t="shared" si="16"/>
        <v>2.6969178082191781E-2</v>
      </c>
      <c r="AE26" s="748">
        <f t="shared" si="17"/>
        <v>0.98152221733391998</v>
      </c>
      <c r="AF26" s="417">
        <f t="shared" si="18"/>
        <v>0.5</v>
      </c>
      <c r="AG26" s="416">
        <f t="shared" si="19"/>
        <v>5.5</v>
      </c>
      <c r="AH26" s="372">
        <f t="shared" si="20"/>
        <v>0.91666666666666663</v>
      </c>
      <c r="AI26" s="373">
        <f t="shared" si="21"/>
        <v>360</v>
      </c>
      <c r="AJ26" s="418">
        <f>VLOOKUP(D26,'Standard Cycle time'!C:D,2,0)</f>
        <v>9</v>
      </c>
      <c r="AK26" s="418">
        <f t="shared" si="22"/>
        <v>9.1666666666666661</v>
      </c>
      <c r="AL26" s="374">
        <f t="shared" si="23"/>
        <v>0.98181818181818192</v>
      </c>
      <c r="AM26" s="372">
        <f t="shared" si="24"/>
        <v>0.88336999560052798</v>
      </c>
      <c r="AN26" s="799">
        <v>2209</v>
      </c>
      <c r="AO26" s="761" t="s">
        <v>2216</v>
      </c>
      <c r="AP26" s="440">
        <v>0</v>
      </c>
      <c r="AQ26" s="440">
        <v>0</v>
      </c>
      <c r="AR26" s="440">
        <v>0</v>
      </c>
      <c r="AS26" s="440">
        <v>0</v>
      </c>
      <c r="AT26" s="440">
        <v>0</v>
      </c>
      <c r="AU26" s="440">
        <v>0</v>
      </c>
      <c r="AV26" s="440">
        <v>0</v>
      </c>
      <c r="AW26" s="440">
        <v>30</v>
      </c>
      <c r="AX26" s="440">
        <v>0</v>
      </c>
      <c r="AY26" s="440">
        <v>0</v>
      </c>
      <c r="AZ26" s="440">
        <v>0</v>
      </c>
      <c r="BA26" s="440">
        <v>0</v>
      </c>
      <c r="BB26" s="440">
        <v>0</v>
      </c>
      <c r="BC26" s="440">
        <v>0</v>
      </c>
      <c r="BD26" s="440">
        <v>0</v>
      </c>
      <c r="BE26" s="440">
        <v>0</v>
      </c>
      <c r="BF26" s="440">
        <v>0</v>
      </c>
      <c r="BG26" s="440">
        <v>0</v>
      </c>
      <c r="BH26" s="440">
        <v>0</v>
      </c>
      <c r="BI26" s="440">
        <v>0</v>
      </c>
      <c r="BJ26" s="440">
        <v>0</v>
      </c>
      <c r="BK26" s="440">
        <v>0</v>
      </c>
      <c r="BL26" s="440">
        <v>0</v>
      </c>
      <c r="BM26" s="440">
        <v>0</v>
      </c>
      <c r="BN26" s="440">
        <v>0</v>
      </c>
      <c r="BO26" s="440">
        <v>0</v>
      </c>
      <c r="BP26" s="440">
        <v>0</v>
      </c>
      <c r="BQ26" s="440">
        <v>0</v>
      </c>
      <c r="BR26" s="415">
        <f t="shared" si="25"/>
        <v>0.5</v>
      </c>
      <c r="BS26" s="415">
        <f t="shared" si="26"/>
        <v>0.5083333333333333</v>
      </c>
      <c r="BT26" s="935"/>
      <c r="BU26" s="935"/>
      <c r="BV26" s="935"/>
      <c r="BW26" s="935"/>
      <c r="BX26" s="935"/>
      <c r="BY26" s="935"/>
      <c r="BZ26" s="935"/>
      <c r="CA26" s="935"/>
      <c r="CB26" s="935"/>
      <c r="CC26" s="935"/>
      <c r="CD26" s="935"/>
      <c r="CE26" s="935"/>
      <c r="CF26" s="935"/>
      <c r="CG26" s="935"/>
      <c r="CH26" s="935"/>
      <c r="CI26" s="935"/>
      <c r="CJ26" s="935"/>
      <c r="CK26" s="935"/>
      <c r="CL26" s="935"/>
      <c r="CM26" s="935"/>
      <c r="CN26" s="935"/>
      <c r="CO26" s="935"/>
      <c r="CP26" s="935"/>
      <c r="CQ26" s="935"/>
      <c r="CR26" s="935"/>
      <c r="CS26" s="935"/>
      <c r="CT26" s="935"/>
      <c r="CU26" s="935"/>
      <c r="CV26" s="935"/>
    </row>
    <row r="27" spans="1:100" s="375" customFormat="1">
      <c r="A27" s="375">
        <f t="shared" si="10"/>
        <v>8</v>
      </c>
      <c r="B27" s="455">
        <v>44412</v>
      </c>
      <c r="C27" s="445" t="s">
        <v>2053</v>
      </c>
      <c r="D27" s="376" t="str">
        <f>IFERROR(VLOOKUP(E:E,'Item Data Support Sheet'!A:O,7,0),"")</f>
        <v>NIPPLE MOLDED</v>
      </c>
      <c r="E27" s="446" t="s">
        <v>73</v>
      </c>
      <c r="F27" s="447" t="s">
        <v>1678</v>
      </c>
      <c r="G27" s="376" t="s">
        <v>1691</v>
      </c>
      <c r="H27" s="602" t="str">
        <f>IFERROR(VLOOKUP(E:E,'Item Data Support Sheet'!A:O,2,0),"")</f>
        <v>NIPPLE S TYPE M SIZE INJECTION</v>
      </c>
      <c r="I27" s="447" t="s">
        <v>2215</v>
      </c>
      <c r="J27" s="447" t="s">
        <v>2809</v>
      </c>
      <c r="K27" s="438">
        <v>8</v>
      </c>
      <c r="L27" s="439">
        <v>4815</v>
      </c>
      <c r="M27" s="366">
        <f t="shared" si="27"/>
        <v>601.875</v>
      </c>
      <c r="N27" s="367">
        <f t="shared" si="2"/>
        <v>5882</v>
      </c>
      <c r="O27" s="61">
        <v>5800</v>
      </c>
      <c r="P27" s="368">
        <v>0</v>
      </c>
      <c r="Q27" s="369">
        <v>16</v>
      </c>
      <c r="R27" s="370">
        <v>0</v>
      </c>
      <c r="S27" s="370">
        <v>0</v>
      </c>
      <c r="T27" s="370">
        <v>58</v>
      </c>
      <c r="U27" s="370">
        <v>8</v>
      </c>
      <c r="V27" s="450">
        <v>1</v>
      </c>
      <c r="W27" s="453">
        <f t="shared" si="11"/>
        <v>5800</v>
      </c>
      <c r="X27" s="748">
        <f t="shared" si="12"/>
        <v>1.2045690550363448</v>
      </c>
      <c r="Y27" s="451" t="str">
        <f>IFERROR(VLOOKUP(E:E,'Item Data Support Sheet'!A:J,6,0),0)</f>
        <v>Silicon</v>
      </c>
      <c r="Z27" s="428">
        <f>IFERROR(VLOOKUP(E:E,'Item Data Support Sheet'!A:O,4,0),0)</f>
        <v>6.8</v>
      </c>
      <c r="AA27" s="428">
        <f t="shared" si="13"/>
        <v>39.997599999999998</v>
      </c>
      <c r="AB27" s="429">
        <f t="shared" si="14"/>
        <v>0.98605916354981293</v>
      </c>
      <c r="AC27" s="424">
        <f t="shared" si="15"/>
        <v>9.9009900990099011E-3</v>
      </c>
      <c r="AD27" s="371">
        <f t="shared" si="16"/>
        <v>2.7127839945744322E-3</v>
      </c>
      <c r="AE27" s="748">
        <f t="shared" si="17"/>
        <v>0.99013940836450187</v>
      </c>
      <c r="AF27" s="417">
        <f t="shared" si="18"/>
        <v>0</v>
      </c>
      <c r="AG27" s="416">
        <f t="shared" si="19"/>
        <v>8</v>
      </c>
      <c r="AH27" s="372">
        <f t="shared" si="20"/>
        <v>1</v>
      </c>
      <c r="AI27" s="373">
        <f t="shared" si="21"/>
        <v>725</v>
      </c>
      <c r="AJ27" s="418">
        <f>VLOOKUP(D27,'Standard Cycle time'!C:D,2,0)</f>
        <v>5.25</v>
      </c>
      <c r="AK27" s="418">
        <f t="shared" si="22"/>
        <v>4.9655172413793105</v>
      </c>
      <c r="AL27" s="374">
        <f t="shared" si="23"/>
        <v>1.0572916666666667</v>
      </c>
      <c r="AM27" s="372">
        <f t="shared" si="24"/>
        <v>1.0468661453020516</v>
      </c>
      <c r="AN27" s="799">
        <v>2210</v>
      </c>
      <c r="AO27" s="761"/>
      <c r="AP27" s="440">
        <v>0</v>
      </c>
      <c r="AQ27" s="440">
        <v>0</v>
      </c>
      <c r="AR27" s="440">
        <v>0</v>
      </c>
      <c r="AS27" s="440">
        <v>0</v>
      </c>
      <c r="AT27" s="440">
        <v>0</v>
      </c>
      <c r="AU27" s="440">
        <v>0</v>
      </c>
      <c r="AV27" s="440">
        <v>0</v>
      </c>
      <c r="AW27" s="440">
        <v>0</v>
      </c>
      <c r="AX27" s="440">
        <v>0</v>
      </c>
      <c r="AY27" s="440">
        <v>0</v>
      </c>
      <c r="AZ27" s="440">
        <v>0</v>
      </c>
      <c r="BA27" s="440">
        <v>0</v>
      </c>
      <c r="BB27" s="440">
        <v>0</v>
      </c>
      <c r="BC27" s="440">
        <v>0</v>
      </c>
      <c r="BD27" s="440">
        <v>0</v>
      </c>
      <c r="BE27" s="440">
        <v>0</v>
      </c>
      <c r="BF27" s="440">
        <v>0</v>
      </c>
      <c r="BG27" s="440">
        <v>0</v>
      </c>
      <c r="BH27" s="440">
        <v>0</v>
      </c>
      <c r="BI27" s="440">
        <v>0</v>
      </c>
      <c r="BJ27" s="440">
        <v>0</v>
      </c>
      <c r="BK27" s="440">
        <v>0</v>
      </c>
      <c r="BL27" s="440">
        <v>0</v>
      </c>
      <c r="BM27" s="440">
        <v>0</v>
      </c>
      <c r="BN27" s="440">
        <v>0</v>
      </c>
      <c r="BO27" s="440">
        <v>0</v>
      </c>
      <c r="BP27" s="440">
        <v>0</v>
      </c>
      <c r="BQ27" s="440">
        <v>0</v>
      </c>
      <c r="BR27" s="415">
        <f t="shared" si="25"/>
        <v>0</v>
      </c>
      <c r="BS27" s="415">
        <f t="shared" si="26"/>
        <v>0</v>
      </c>
      <c r="BT27" s="935"/>
      <c r="BU27" s="935"/>
      <c r="BV27" s="935"/>
      <c r="BW27" s="935"/>
      <c r="BX27" s="935"/>
      <c r="BY27" s="935"/>
      <c r="BZ27" s="935"/>
      <c r="CA27" s="935"/>
      <c r="CB27" s="935"/>
      <c r="CC27" s="935"/>
      <c r="CD27" s="935"/>
      <c r="CE27" s="935"/>
      <c r="CF27" s="935"/>
      <c r="CG27" s="935"/>
      <c r="CH27" s="935"/>
      <c r="CI27" s="935"/>
      <c r="CJ27" s="935"/>
      <c r="CK27" s="935"/>
      <c r="CL27" s="935"/>
      <c r="CM27" s="935"/>
      <c r="CN27" s="935"/>
      <c r="CO27" s="935"/>
      <c r="CP27" s="935"/>
      <c r="CQ27" s="935"/>
      <c r="CR27" s="935"/>
      <c r="CS27" s="935"/>
      <c r="CT27" s="935"/>
      <c r="CU27" s="935"/>
      <c r="CV27" s="935"/>
    </row>
    <row r="28" spans="1:100" s="375" customFormat="1">
      <c r="A28" s="375">
        <f t="shared" si="10"/>
        <v>8</v>
      </c>
      <c r="B28" s="455">
        <v>44413</v>
      </c>
      <c r="C28" s="445" t="s">
        <v>1980</v>
      </c>
      <c r="D28" s="376" t="str">
        <f>IFERROR(VLOOKUP(E:E,'Item Data Support Sheet'!A:O,7,0),"")</f>
        <v>NIPPLE MOLDED</v>
      </c>
      <c r="E28" s="446" t="s">
        <v>73</v>
      </c>
      <c r="F28" s="447" t="s">
        <v>1678</v>
      </c>
      <c r="G28" s="376" t="s">
        <v>1691</v>
      </c>
      <c r="H28" s="602" t="str">
        <f>IFERROR(VLOOKUP(E:E,'Item Data Support Sheet'!A:O,2,0),"")</f>
        <v>NIPPLE S TYPE M SIZE INJECTION</v>
      </c>
      <c r="I28" s="447" t="s">
        <v>2217</v>
      </c>
      <c r="J28" s="447" t="s">
        <v>2808</v>
      </c>
      <c r="K28" s="438">
        <v>8</v>
      </c>
      <c r="L28" s="439">
        <v>4815</v>
      </c>
      <c r="M28" s="366">
        <f t="shared" si="27"/>
        <v>601.875</v>
      </c>
      <c r="N28" s="367">
        <f t="shared" si="2"/>
        <v>5660</v>
      </c>
      <c r="O28" s="61">
        <v>5600</v>
      </c>
      <c r="P28" s="368">
        <v>0</v>
      </c>
      <c r="Q28" s="369">
        <v>0</v>
      </c>
      <c r="R28" s="370">
        <v>0</v>
      </c>
      <c r="S28" s="370">
        <v>0</v>
      </c>
      <c r="T28" s="370">
        <v>52</v>
      </c>
      <c r="U28" s="370">
        <v>8</v>
      </c>
      <c r="V28" s="450">
        <v>1</v>
      </c>
      <c r="W28" s="453">
        <f t="shared" si="11"/>
        <v>5600</v>
      </c>
      <c r="X28" s="748">
        <f t="shared" si="12"/>
        <v>1.1630321910695742</v>
      </c>
      <c r="Y28" s="451" t="str">
        <f>IFERROR(VLOOKUP(E:E,'Item Data Support Sheet'!A:J,6,0),0)</f>
        <v>Silicon</v>
      </c>
      <c r="Z28" s="428">
        <f>IFERROR(VLOOKUP(E:E,'Item Data Support Sheet'!A:O,4,0),0)</f>
        <v>6.8</v>
      </c>
      <c r="AA28" s="428">
        <f t="shared" si="13"/>
        <v>38.488</v>
      </c>
      <c r="AB28" s="429">
        <f t="shared" si="14"/>
        <v>0.98939929328621901</v>
      </c>
      <c r="AC28" s="424">
        <f t="shared" si="15"/>
        <v>9.200283085633405E-3</v>
      </c>
      <c r="AD28" s="371">
        <f t="shared" si="16"/>
        <v>0</v>
      </c>
      <c r="AE28" s="748">
        <f t="shared" si="17"/>
        <v>0.99081272084805649</v>
      </c>
      <c r="AF28" s="417">
        <f t="shared" si="18"/>
        <v>0</v>
      </c>
      <c r="AG28" s="416">
        <f t="shared" si="19"/>
        <v>8</v>
      </c>
      <c r="AH28" s="372">
        <f t="shared" si="20"/>
        <v>1</v>
      </c>
      <c r="AI28" s="373">
        <f t="shared" si="21"/>
        <v>700</v>
      </c>
      <c r="AJ28" s="418">
        <f>VLOOKUP(D28,'Standard Cycle time'!C:D,2,0)</f>
        <v>5.25</v>
      </c>
      <c r="AK28" s="418">
        <f t="shared" si="22"/>
        <v>5.1428571428571432</v>
      </c>
      <c r="AL28" s="374">
        <f t="shared" si="23"/>
        <v>1.0208333333333333</v>
      </c>
      <c r="AM28" s="372">
        <f t="shared" si="24"/>
        <v>1.0114546525323909</v>
      </c>
      <c r="AN28" s="799">
        <v>2218</v>
      </c>
      <c r="AO28" s="761"/>
      <c r="AP28" s="440">
        <v>0</v>
      </c>
      <c r="AQ28" s="440">
        <v>0</v>
      </c>
      <c r="AR28" s="440">
        <v>0</v>
      </c>
      <c r="AS28" s="440">
        <v>0</v>
      </c>
      <c r="AT28" s="440">
        <v>0</v>
      </c>
      <c r="AU28" s="440">
        <v>0</v>
      </c>
      <c r="AV28" s="440">
        <v>0</v>
      </c>
      <c r="AW28" s="440">
        <v>0</v>
      </c>
      <c r="AX28" s="440">
        <v>0</v>
      </c>
      <c r="AY28" s="440">
        <v>0</v>
      </c>
      <c r="AZ28" s="440">
        <v>0</v>
      </c>
      <c r="BA28" s="440">
        <v>0</v>
      </c>
      <c r="BB28" s="440">
        <v>0</v>
      </c>
      <c r="BC28" s="440">
        <v>0</v>
      </c>
      <c r="BD28" s="440">
        <v>0</v>
      </c>
      <c r="BE28" s="440">
        <v>0</v>
      </c>
      <c r="BF28" s="440">
        <v>0</v>
      </c>
      <c r="BG28" s="440">
        <v>0</v>
      </c>
      <c r="BH28" s="440">
        <v>0</v>
      </c>
      <c r="BI28" s="440">
        <v>0</v>
      </c>
      <c r="BJ28" s="440">
        <v>0</v>
      </c>
      <c r="BK28" s="440">
        <v>0</v>
      </c>
      <c r="BL28" s="440">
        <v>0</v>
      </c>
      <c r="BM28" s="440">
        <v>0</v>
      </c>
      <c r="BN28" s="440">
        <v>0</v>
      </c>
      <c r="BO28" s="440">
        <v>0</v>
      </c>
      <c r="BP28" s="440">
        <v>0</v>
      </c>
      <c r="BQ28" s="440">
        <v>0</v>
      </c>
      <c r="BR28" s="415">
        <f t="shared" si="25"/>
        <v>0</v>
      </c>
      <c r="BS28" s="415">
        <f t="shared" si="26"/>
        <v>0</v>
      </c>
      <c r="BT28" s="935"/>
      <c r="BU28" s="935"/>
      <c r="BV28" s="935"/>
      <c r="BW28" s="935"/>
      <c r="BX28" s="935"/>
      <c r="BY28" s="935"/>
      <c r="BZ28" s="935"/>
      <c r="CA28" s="935"/>
      <c r="CB28" s="935"/>
      <c r="CC28" s="935"/>
      <c r="CD28" s="935"/>
      <c r="CE28" s="935"/>
      <c r="CF28" s="935"/>
      <c r="CG28" s="935"/>
      <c r="CH28" s="935"/>
      <c r="CI28" s="935"/>
      <c r="CJ28" s="935"/>
      <c r="CK28" s="935"/>
      <c r="CL28" s="935"/>
      <c r="CM28" s="935"/>
      <c r="CN28" s="935"/>
      <c r="CO28" s="935"/>
      <c r="CP28" s="935"/>
      <c r="CQ28" s="935"/>
      <c r="CR28" s="935"/>
      <c r="CS28" s="935"/>
      <c r="CT28" s="935"/>
      <c r="CU28" s="935"/>
      <c r="CV28" s="935"/>
    </row>
    <row r="29" spans="1:100" s="375" customFormat="1">
      <c r="A29" s="375">
        <f t="shared" si="10"/>
        <v>8</v>
      </c>
      <c r="B29" s="455">
        <v>44413</v>
      </c>
      <c r="C29" s="445" t="s">
        <v>1980</v>
      </c>
      <c r="D29" s="376" t="str">
        <f>IFERROR(VLOOKUP(E:E,'Item Data Support Sheet'!A:O,7,0),"")</f>
        <v>NIPPLE POSTCURE</v>
      </c>
      <c r="E29" s="446" t="s">
        <v>77</v>
      </c>
      <c r="F29" s="447"/>
      <c r="G29" s="376" t="s">
        <v>1705</v>
      </c>
      <c r="H29" s="602" t="str">
        <f>IFERROR(VLOOKUP(E:E,'Item Data Support Sheet'!A:O,2,0),"")</f>
        <v>NIPPLE S TYPE M SIZE POSTCURED</v>
      </c>
      <c r="I29" s="447" t="s">
        <v>2218</v>
      </c>
      <c r="J29" s="447" t="s">
        <v>2808</v>
      </c>
      <c r="K29" s="438">
        <v>2.5</v>
      </c>
      <c r="L29" s="439">
        <v>4000</v>
      </c>
      <c r="M29" s="366">
        <f t="shared" si="27"/>
        <v>1600</v>
      </c>
      <c r="N29" s="367">
        <f t="shared" si="2"/>
        <v>3700</v>
      </c>
      <c r="O29" s="61">
        <v>3700</v>
      </c>
      <c r="P29" s="368">
        <v>0</v>
      </c>
      <c r="Q29" s="369">
        <v>0</v>
      </c>
      <c r="R29" s="370">
        <v>0</v>
      </c>
      <c r="S29" s="370">
        <v>0</v>
      </c>
      <c r="T29" s="370">
        <v>0</v>
      </c>
      <c r="U29" s="370">
        <v>0</v>
      </c>
      <c r="V29" s="450">
        <v>1</v>
      </c>
      <c r="W29" s="453">
        <f t="shared" si="11"/>
        <v>3700</v>
      </c>
      <c r="X29" s="748">
        <f t="shared" si="12"/>
        <v>0.92500000000000004</v>
      </c>
      <c r="Y29" s="451" t="str">
        <f>IFERROR(VLOOKUP(E:E,'Item Data Support Sheet'!A:J,6,0),0)</f>
        <v>FO012</v>
      </c>
      <c r="Z29" s="428">
        <f>IFERROR(VLOOKUP(E:E,'Item Data Support Sheet'!A:O,4,0),0)</f>
        <v>0</v>
      </c>
      <c r="AA29" s="428">
        <f t="shared" si="13"/>
        <v>0</v>
      </c>
      <c r="AB29" s="429" t="str">
        <f t="shared" si="14"/>
        <v xml:space="preserve"> </v>
      </c>
      <c r="AC29" s="424">
        <f t="shared" si="15"/>
        <v>0</v>
      </c>
      <c r="AD29" s="371">
        <f t="shared" si="16"/>
        <v>0</v>
      </c>
      <c r="AE29" s="748">
        <f t="shared" si="17"/>
        <v>1</v>
      </c>
      <c r="AF29" s="417">
        <f t="shared" si="18"/>
        <v>0</v>
      </c>
      <c r="AG29" s="416">
        <f t="shared" si="19"/>
        <v>2.5</v>
      </c>
      <c r="AH29" s="372">
        <f t="shared" si="20"/>
        <v>1</v>
      </c>
      <c r="AI29" s="373">
        <f t="shared" si="21"/>
        <v>1480</v>
      </c>
      <c r="AJ29" s="418">
        <f>VLOOKUP(D29,'Standard Cycle time'!C:D,2,0)</f>
        <v>2.2999999999999998</v>
      </c>
      <c r="AK29" s="418">
        <f t="shared" si="22"/>
        <v>2.4324324324324325</v>
      </c>
      <c r="AL29" s="374">
        <f t="shared" si="23"/>
        <v>0.94555555555555548</v>
      </c>
      <c r="AM29" s="372">
        <f t="shared" si="24"/>
        <v>0.94555555555555548</v>
      </c>
      <c r="AN29" s="799">
        <v>2214</v>
      </c>
      <c r="AO29" s="761"/>
      <c r="AP29" s="440">
        <v>0</v>
      </c>
      <c r="AQ29" s="440">
        <v>0</v>
      </c>
      <c r="AR29" s="440">
        <v>0</v>
      </c>
      <c r="AS29" s="440">
        <v>0</v>
      </c>
      <c r="AT29" s="440">
        <v>0</v>
      </c>
      <c r="AU29" s="440">
        <v>0</v>
      </c>
      <c r="AV29" s="440">
        <v>0</v>
      </c>
      <c r="AW29" s="440">
        <v>0</v>
      </c>
      <c r="AX29" s="440">
        <v>0</v>
      </c>
      <c r="AY29" s="440">
        <v>0</v>
      </c>
      <c r="AZ29" s="440">
        <v>0</v>
      </c>
      <c r="BA29" s="440">
        <v>0</v>
      </c>
      <c r="BB29" s="440">
        <v>0</v>
      </c>
      <c r="BC29" s="440">
        <v>0</v>
      </c>
      <c r="BD29" s="440">
        <v>0</v>
      </c>
      <c r="BE29" s="440">
        <v>0</v>
      </c>
      <c r="BF29" s="440">
        <v>0</v>
      </c>
      <c r="BG29" s="440">
        <v>0</v>
      </c>
      <c r="BH29" s="440">
        <v>0</v>
      </c>
      <c r="BI29" s="440">
        <v>0</v>
      </c>
      <c r="BJ29" s="440">
        <v>0</v>
      </c>
      <c r="BK29" s="440">
        <v>0</v>
      </c>
      <c r="BL29" s="440">
        <v>0</v>
      </c>
      <c r="BM29" s="440">
        <v>0</v>
      </c>
      <c r="BN29" s="440">
        <v>0</v>
      </c>
      <c r="BO29" s="440">
        <v>0</v>
      </c>
      <c r="BP29" s="440">
        <v>0</v>
      </c>
      <c r="BQ29" s="440">
        <v>0</v>
      </c>
      <c r="BR29" s="415">
        <f t="shared" si="25"/>
        <v>0</v>
      </c>
      <c r="BS29" s="415">
        <f t="shared" si="26"/>
        <v>0</v>
      </c>
      <c r="BT29" s="935"/>
      <c r="BU29" s="935"/>
      <c r="BV29" s="935"/>
      <c r="BW29" s="935"/>
      <c r="BX29" s="935"/>
      <c r="BY29" s="935"/>
      <c r="BZ29" s="935"/>
      <c r="CA29" s="935"/>
      <c r="CB29" s="935"/>
      <c r="CC29" s="935"/>
      <c r="CD29" s="935"/>
      <c r="CE29" s="935"/>
      <c r="CF29" s="935"/>
      <c r="CG29" s="935"/>
      <c r="CH29" s="935"/>
      <c r="CI29" s="935"/>
      <c r="CJ29" s="935"/>
      <c r="CK29" s="935"/>
      <c r="CL29" s="935"/>
      <c r="CM29" s="935"/>
      <c r="CN29" s="935"/>
      <c r="CO29" s="935"/>
      <c r="CP29" s="935"/>
      <c r="CQ29" s="935"/>
      <c r="CR29" s="935"/>
      <c r="CS29" s="935"/>
      <c r="CT29" s="935"/>
      <c r="CU29" s="935"/>
      <c r="CV29" s="935"/>
    </row>
    <row r="30" spans="1:100" s="375" customFormat="1">
      <c r="A30" s="375">
        <f t="shared" si="10"/>
        <v>8</v>
      </c>
      <c r="B30" s="455">
        <v>44413</v>
      </c>
      <c r="C30" s="445" t="s">
        <v>1980</v>
      </c>
      <c r="D30" s="376" t="str">
        <f>IFERROR(VLOOKUP(E:E,'Item Data Support Sheet'!A:O,7,0),"")</f>
        <v>NIPPLE PUNCH</v>
      </c>
      <c r="E30" s="446" t="s">
        <v>81</v>
      </c>
      <c r="F30" s="447"/>
      <c r="G30" s="376" t="s">
        <v>1692</v>
      </c>
      <c r="H30" s="602" t="str">
        <f>IFERROR(VLOOKUP(E:E,'Item Data Support Sheet'!A:O,2,0),"")</f>
        <v>NIPPLE S TYPE M SIZE PUNCHED</v>
      </c>
      <c r="I30" s="447" t="s">
        <v>2219</v>
      </c>
      <c r="J30" s="447" t="s">
        <v>2808</v>
      </c>
      <c r="K30" s="438">
        <v>8</v>
      </c>
      <c r="L30" s="439">
        <v>7036</v>
      </c>
      <c r="M30" s="366">
        <f t="shared" si="27"/>
        <v>879.5</v>
      </c>
      <c r="N30" s="367">
        <f t="shared" si="2"/>
        <v>7000</v>
      </c>
      <c r="O30" s="61">
        <v>6998</v>
      </c>
      <c r="P30" s="368">
        <v>0</v>
      </c>
      <c r="Q30" s="369">
        <v>0</v>
      </c>
      <c r="R30" s="370">
        <v>0</v>
      </c>
      <c r="S30" s="370">
        <v>0</v>
      </c>
      <c r="T30" s="370">
        <v>2</v>
      </c>
      <c r="U30" s="370">
        <v>0</v>
      </c>
      <c r="V30" s="450">
        <v>1</v>
      </c>
      <c r="W30" s="453">
        <f t="shared" si="11"/>
        <v>6998</v>
      </c>
      <c r="X30" s="748">
        <f t="shared" si="12"/>
        <v>0.99459920409323477</v>
      </c>
      <c r="Y30" s="451" t="str">
        <f>IFERROR(VLOOKUP(E:E,'Item Data Support Sheet'!A:J,6,0),0)</f>
        <v>FO016</v>
      </c>
      <c r="Z30" s="428">
        <f>IFERROR(VLOOKUP(E:E,'Item Data Support Sheet'!A:O,4,0),0)</f>
        <v>0</v>
      </c>
      <c r="AA30" s="428">
        <f t="shared" si="13"/>
        <v>0</v>
      </c>
      <c r="AB30" s="429" t="str">
        <f t="shared" si="14"/>
        <v xml:space="preserve"> </v>
      </c>
      <c r="AC30" s="424">
        <f t="shared" si="15"/>
        <v>2.8571428571428574E-4</v>
      </c>
      <c r="AD30" s="371">
        <f t="shared" si="16"/>
        <v>0</v>
      </c>
      <c r="AE30" s="748">
        <f t="shared" si="17"/>
        <v>0.99971428571428567</v>
      </c>
      <c r="AF30" s="417">
        <f t="shared" si="18"/>
        <v>0.66666666666666663</v>
      </c>
      <c r="AG30" s="416">
        <f t="shared" si="19"/>
        <v>7.333333333333333</v>
      </c>
      <c r="AH30" s="372">
        <f t="shared" si="20"/>
        <v>0.91666666666666663</v>
      </c>
      <c r="AI30" s="373">
        <f t="shared" si="21"/>
        <v>874.75</v>
      </c>
      <c r="AJ30" s="418">
        <f>VLOOKUP(D30,'Standard Cycle time'!C:D,2,0)</f>
        <v>3.5</v>
      </c>
      <c r="AK30" s="418">
        <f t="shared" si="22"/>
        <v>3.7725064304086882</v>
      </c>
      <c r="AL30" s="374">
        <f t="shared" si="23"/>
        <v>0.92776515151515149</v>
      </c>
      <c r="AM30" s="372">
        <f t="shared" si="24"/>
        <v>0.85020840277777765</v>
      </c>
      <c r="AN30" s="799" t="s">
        <v>2221</v>
      </c>
      <c r="AO30" s="929"/>
      <c r="AP30" s="440">
        <v>40</v>
      </c>
      <c r="AQ30" s="440">
        <v>0</v>
      </c>
      <c r="AR30" s="440">
        <v>0</v>
      </c>
      <c r="AS30" s="440">
        <v>0</v>
      </c>
      <c r="AT30" s="440">
        <v>0</v>
      </c>
      <c r="AU30" s="440">
        <v>0</v>
      </c>
      <c r="AV30" s="440">
        <v>0</v>
      </c>
      <c r="AW30" s="440">
        <v>0</v>
      </c>
      <c r="AX30" s="440">
        <v>0</v>
      </c>
      <c r="AY30" s="440">
        <v>0</v>
      </c>
      <c r="AZ30" s="440">
        <v>0</v>
      </c>
      <c r="BA30" s="440">
        <v>0</v>
      </c>
      <c r="BB30" s="440">
        <v>0</v>
      </c>
      <c r="BC30" s="440">
        <v>0</v>
      </c>
      <c r="BD30" s="440">
        <v>0</v>
      </c>
      <c r="BE30" s="440">
        <v>0</v>
      </c>
      <c r="BF30" s="440">
        <v>0</v>
      </c>
      <c r="BG30" s="440">
        <v>0</v>
      </c>
      <c r="BH30" s="440">
        <v>0</v>
      </c>
      <c r="BI30" s="440">
        <v>0</v>
      </c>
      <c r="BJ30" s="440">
        <v>0</v>
      </c>
      <c r="BK30" s="440">
        <v>0</v>
      </c>
      <c r="BL30" s="440">
        <v>0</v>
      </c>
      <c r="BM30" s="440">
        <v>0</v>
      </c>
      <c r="BN30" s="440">
        <v>0</v>
      </c>
      <c r="BO30" s="440">
        <v>0</v>
      </c>
      <c r="BP30" s="440">
        <v>0</v>
      </c>
      <c r="BQ30" s="440">
        <v>0</v>
      </c>
      <c r="BR30" s="415">
        <f t="shared" si="25"/>
        <v>0.66666666666666663</v>
      </c>
      <c r="BS30" s="415">
        <f t="shared" si="26"/>
        <v>0.6777777777777777</v>
      </c>
      <c r="BT30" s="935"/>
      <c r="BU30" s="935"/>
      <c r="BV30" s="935"/>
      <c r="BW30" s="935"/>
      <c r="BX30" s="935"/>
      <c r="BY30" s="935"/>
      <c r="BZ30" s="935"/>
      <c r="CA30" s="935"/>
      <c r="CB30" s="935"/>
      <c r="CC30" s="935"/>
      <c r="CD30" s="935"/>
      <c r="CE30" s="935"/>
      <c r="CF30" s="935"/>
      <c r="CG30" s="935"/>
      <c r="CH30" s="935"/>
      <c r="CI30" s="935"/>
      <c r="CJ30" s="935"/>
      <c r="CK30" s="935"/>
      <c r="CL30" s="935"/>
      <c r="CM30" s="935"/>
      <c r="CN30" s="935"/>
      <c r="CO30" s="935"/>
      <c r="CP30" s="935"/>
      <c r="CQ30" s="935"/>
      <c r="CR30" s="935"/>
      <c r="CS30" s="935"/>
      <c r="CT30" s="935"/>
      <c r="CU30" s="935"/>
      <c r="CV30" s="935"/>
    </row>
    <row r="31" spans="1:100" s="375" customFormat="1" ht="14.9" customHeight="1">
      <c r="A31" s="375">
        <f t="shared" si="10"/>
        <v>8</v>
      </c>
      <c r="B31" s="455">
        <v>44413</v>
      </c>
      <c r="C31" s="445" t="s">
        <v>1980</v>
      </c>
      <c r="D31" s="376" t="str">
        <f>IFERROR(VLOOKUP(E:E,'Item Data Support Sheet'!A:O,7,0),"")</f>
        <v>CAP MOLDED</v>
      </c>
      <c r="E31" s="446" t="s">
        <v>2106</v>
      </c>
      <c r="F31" s="447"/>
      <c r="G31" s="376" t="s">
        <v>2220</v>
      </c>
      <c r="H31" s="602" t="str">
        <f>IFERROR(VLOOKUP(E:E,'Item Data Support Sheet'!A:O,2,0),"")</f>
        <v>CAP S TYPE MOLDED RED</v>
      </c>
      <c r="I31" s="447" t="s">
        <v>2339</v>
      </c>
      <c r="J31" s="447" t="s">
        <v>2808</v>
      </c>
      <c r="K31" s="438">
        <v>2</v>
      </c>
      <c r="L31" s="439">
        <v>1137</v>
      </c>
      <c r="M31" s="366">
        <f t="shared" si="27"/>
        <v>568.5</v>
      </c>
      <c r="N31" s="367">
        <f t="shared" si="2"/>
        <v>1165</v>
      </c>
      <c r="O31" s="61">
        <v>1165</v>
      </c>
      <c r="P31" s="368">
        <v>0</v>
      </c>
      <c r="Q31" s="369">
        <v>0</v>
      </c>
      <c r="R31" s="370">
        <v>0</v>
      </c>
      <c r="S31" s="370">
        <v>0</v>
      </c>
      <c r="T31" s="370">
        <v>0</v>
      </c>
      <c r="U31" s="370">
        <v>0</v>
      </c>
      <c r="V31" s="450">
        <v>1</v>
      </c>
      <c r="W31" s="453">
        <f t="shared" si="11"/>
        <v>1165</v>
      </c>
      <c r="X31" s="748">
        <f t="shared" si="12"/>
        <v>1.0246262093227791</v>
      </c>
      <c r="Y31" s="451" t="str">
        <f>IFERROR(VLOOKUP(E:E,'Item Data Support Sheet'!A:J,6,0),0)</f>
        <v>FO153</v>
      </c>
      <c r="Z31" s="428">
        <f>IFERROR(VLOOKUP(E:E,'Item Data Support Sheet'!A:O,4,0),0)</f>
        <v>7.3</v>
      </c>
      <c r="AA31" s="428">
        <f t="shared" si="13"/>
        <v>8.5045000000000002</v>
      </c>
      <c r="AB31" s="429">
        <f t="shared" si="14"/>
        <v>1</v>
      </c>
      <c r="AC31" s="424">
        <f t="shared" si="15"/>
        <v>0</v>
      </c>
      <c r="AD31" s="371">
        <f t="shared" si="16"/>
        <v>0</v>
      </c>
      <c r="AE31" s="748">
        <f t="shared" si="17"/>
        <v>1</v>
      </c>
      <c r="AF31" s="417">
        <f t="shared" si="18"/>
        <v>0</v>
      </c>
      <c r="AG31" s="416">
        <f t="shared" si="19"/>
        <v>2</v>
      </c>
      <c r="AH31" s="372">
        <f t="shared" si="20"/>
        <v>1</v>
      </c>
      <c r="AI31" s="373">
        <f t="shared" si="21"/>
        <v>582.5</v>
      </c>
      <c r="AJ31" s="418">
        <f>VLOOKUP(D31,'Standard Cycle time'!C:D,2,0)</f>
        <v>6</v>
      </c>
      <c r="AK31" s="418">
        <f t="shared" si="22"/>
        <v>6.1802575107296134</v>
      </c>
      <c r="AL31" s="374">
        <f t="shared" si="23"/>
        <v>0.97083333333333344</v>
      </c>
      <c r="AM31" s="372">
        <f t="shared" si="24"/>
        <v>0.97083333333333344</v>
      </c>
      <c r="AN31" s="799">
        <v>2686</v>
      </c>
      <c r="AO31" s="842" t="s">
        <v>2619</v>
      </c>
      <c r="AP31" s="440">
        <v>0</v>
      </c>
      <c r="AQ31" s="440">
        <v>0</v>
      </c>
      <c r="AR31" s="440">
        <v>0</v>
      </c>
      <c r="AS31" s="440">
        <v>0</v>
      </c>
      <c r="AT31" s="440">
        <v>0</v>
      </c>
      <c r="AU31" s="440">
        <v>0</v>
      </c>
      <c r="AV31" s="440"/>
      <c r="AW31" s="440">
        <v>0</v>
      </c>
      <c r="AX31" s="440">
        <v>0</v>
      </c>
      <c r="AY31" s="440">
        <v>0</v>
      </c>
      <c r="AZ31" s="440">
        <v>0</v>
      </c>
      <c r="BA31" s="440">
        <v>0</v>
      </c>
      <c r="BB31" s="440"/>
      <c r="BC31" s="440">
        <v>0</v>
      </c>
      <c r="BD31" s="440">
        <v>0</v>
      </c>
      <c r="BE31" s="440">
        <v>0</v>
      </c>
      <c r="BF31" s="440">
        <v>0</v>
      </c>
      <c r="BG31" s="440">
        <v>0</v>
      </c>
      <c r="BH31" s="440">
        <v>0</v>
      </c>
      <c r="BI31" s="440">
        <v>0</v>
      </c>
      <c r="BJ31" s="440">
        <v>0</v>
      </c>
      <c r="BK31" s="440">
        <v>0</v>
      </c>
      <c r="BL31" s="440">
        <v>0</v>
      </c>
      <c r="BM31" s="440">
        <v>0</v>
      </c>
      <c r="BN31" s="440">
        <v>0</v>
      </c>
      <c r="BO31" s="440">
        <v>0</v>
      </c>
      <c r="BP31" s="440">
        <v>0</v>
      </c>
      <c r="BQ31" s="440">
        <v>0</v>
      </c>
      <c r="BR31" s="415">
        <f>SUM(AP31:BQ31)/60</f>
        <v>0</v>
      </c>
      <c r="BS31" s="415">
        <f>SUM(AP31:BR31)/60</f>
        <v>0</v>
      </c>
      <c r="BT31" s="935"/>
      <c r="BU31" s="935"/>
      <c r="BV31" s="935"/>
      <c r="BW31" s="935"/>
      <c r="BX31" s="935"/>
      <c r="BY31" s="935"/>
      <c r="BZ31" s="935"/>
      <c r="CA31" s="935"/>
      <c r="CB31" s="935"/>
      <c r="CC31" s="935"/>
      <c r="CD31" s="935"/>
      <c r="CE31" s="935"/>
      <c r="CF31" s="935"/>
      <c r="CG31" s="935"/>
      <c r="CH31" s="935"/>
      <c r="CI31" s="935"/>
      <c r="CJ31" s="935"/>
      <c r="CK31" s="935"/>
      <c r="CL31" s="935"/>
      <c r="CM31" s="935"/>
      <c r="CN31" s="935"/>
      <c r="CO31" s="935"/>
      <c r="CP31" s="935"/>
      <c r="CQ31" s="935"/>
      <c r="CR31" s="935"/>
      <c r="CS31" s="935"/>
      <c r="CT31" s="935"/>
      <c r="CU31" s="935"/>
      <c r="CV31" s="935"/>
    </row>
    <row r="32" spans="1:100" s="375" customFormat="1" ht="14.9" customHeight="1">
      <c r="A32" s="375">
        <f t="shared" si="10"/>
        <v>8</v>
      </c>
      <c r="B32" s="455">
        <v>44413</v>
      </c>
      <c r="C32" s="445" t="s">
        <v>1980</v>
      </c>
      <c r="D32" s="376" t="str">
        <f>IFERROR(VLOOKUP(E:E,'Item Data Support Sheet'!A:O,7,0),"")</f>
        <v>CAP MOLDED</v>
      </c>
      <c r="E32" s="446" t="s">
        <v>2106</v>
      </c>
      <c r="F32" s="447"/>
      <c r="G32" s="376" t="s">
        <v>2220</v>
      </c>
      <c r="H32" s="602" t="str">
        <f>IFERROR(VLOOKUP(E:E,'Item Data Support Sheet'!A:O,2,0),"")</f>
        <v>CAP S TYPE MOLDED RED</v>
      </c>
      <c r="I32" s="447" t="s">
        <v>2227</v>
      </c>
      <c r="J32" s="447" t="s">
        <v>2808</v>
      </c>
      <c r="K32" s="438">
        <v>6</v>
      </c>
      <c r="L32" s="439">
        <v>4000</v>
      </c>
      <c r="M32" s="366">
        <f t="shared" si="27"/>
        <v>666.66666666666663</v>
      </c>
      <c r="N32" s="367">
        <f t="shared" si="2"/>
        <v>2524</v>
      </c>
      <c r="O32" s="61">
        <v>2500</v>
      </c>
      <c r="P32" s="368">
        <v>0.68100000000000005</v>
      </c>
      <c r="Q32" s="369">
        <v>10</v>
      </c>
      <c r="R32" s="370">
        <v>0</v>
      </c>
      <c r="S32" s="370">
        <v>0</v>
      </c>
      <c r="T32" s="370">
        <v>6</v>
      </c>
      <c r="U32" s="370">
        <v>8</v>
      </c>
      <c r="V32" s="450">
        <v>1</v>
      </c>
      <c r="W32" s="453">
        <f t="shared" si="11"/>
        <v>2500</v>
      </c>
      <c r="X32" s="748">
        <f t="shared" si="12"/>
        <v>0.625</v>
      </c>
      <c r="Y32" s="451" t="str">
        <f>IFERROR(VLOOKUP(E:E,'Item Data Support Sheet'!A:J,6,0),0)</f>
        <v>FO153</v>
      </c>
      <c r="Z32" s="428">
        <f>IFERROR(VLOOKUP(E:E,'Item Data Support Sheet'!A:O,4,0),0)</f>
        <v>7.3</v>
      </c>
      <c r="AA32" s="428">
        <f t="shared" si="13"/>
        <v>19.106200000000001</v>
      </c>
      <c r="AB32" s="429">
        <f t="shared" si="14"/>
        <v>0.95518732139305562</v>
      </c>
      <c r="AC32" s="424">
        <f t="shared" si="15"/>
        <v>2.3942537909018356E-3</v>
      </c>
      <c r="AD32" s="371">
        <f t="shared" si="16"/>
        <v>3.9463299131807421E-3</v>
      </c>
      <c r="AE32" s="748">
        <f t="shared" si="17"/>
        <v>0.99762282091917587</v>
      </c>
      <c r="AF32" s="417">
        <f t="shared" si="18"/>
        <v>1</v>
      </c>
      <c r="AG32" s="416">
        <f t="shared" si="19"/>
        <v>5</v>
      </c>
      <c r="AH32" s="372">
        <f t="shared" si="20"/>
        <v>0.83333333333333337</v>
      </c>
      <c r="AI32" s="373">
        <f t="shared" si="21"/>
        <v>416.66666666666669</v>
      </c>
      <c r="AJ32" s="418">
        <f>VLOOKUP(D32,'Standard Cycle time'!C:D,2,0)</f>
        <v>6</v>
      </c>
      <c r="AK32" s="418">
        <f t="shared" si="22"/>
        <v>7.2</v>
      </c>
      <c r="AL32" s="374">
        <f t="shared" si="23"/>
        <v>0.83333333333333326</v>
      </c>
      <c r="AM32" s="372">
        <f t="shared" si="24"/>
        <v>0.69279362563831648</v>
      </c>
      <c r="AN32" s="799">
        <v>2687</v>
      </c>
      <c r="AO32" s="761"/>
      <c r="AP32" s="440">
        <v>0</v>
      </c>
      <c r="AQ32" s="440">
        <v>0</v>
      </c>
      <c r="AR32" s="440">
        <v>0</v>
      </c>
      <c r="AS32" s="440">
        <v>0</v>
      </c>
      <c r="AT32" s="440">
        <v>0</v>
      </c>
      <c r="AU32" s="440">
        <v>0</v>
      </c>
      <c r="AV32" s="440">
        <v>30</v>
      </c>
      <c r="AW32" s="440">
        <v>0</v>
      </c>
      <c r="AX32" s="440">
        <v>0</v>
      </c>
      <c r="AY32" s="440">
        <v>0</v>
      </c>
      <c r="AZ32" s="440">
        <v>0</v>
      </c>
      <c r="BA32" s="440">
        <v>0</v>
      </c>
      <c r="BB32" s="440">
        <v>30</v>
      </c>
      <c r="BC32" s="440">
        <v>0</v>
      </c>
      <c r="BD32" s="440">
        <v>0</v>
      </c>
      <c r="BE32" s="440">
        <v>0</v>
      </c>
      <c r="BF32" s="440">
        <v>0</v>
      </c>
      <c r="BG32" s="440">
        <v>0</v>
      </c>
      <c r="BH32" s="440">
        <v>0</v>
      </c>
      <c r="BI32" s="440">
        <v>0</v>
      </c>
      <c r="BJ32" s="440">
        <v>0</v>
      </c>
      <c r="BK32" s="440">
        <v>0</v>
      </c>
      <c r="BL32" s="440">
        <v>0</v>
      </c>
      <c r="BM32" s="440">
        <v>0</v>
      </c>
      <c r="BN32" s="440">
        <v>0</v>
      </c>
      <c r="BO32" s="440">
        <v>0</v>
      </c>
      <c r="BP32" s="440">
        <v>0</v>
      </c>
      <c r="BQ32" s="440">
        <v>0</v>
      </c>
      <c r="BR32" s="415">
        <f t="shared" si="25"/>
        <v>1</v>
      </c>
      <c r="BS32" s="415">
        <f t="shared" si="26"/>
        <v>1.0166666666666666</v>
      </c>
      <c r="BT32" s="935"/>
      <c r="BU32" s="935"/>
      <c r="BV32" s="935"/>
      <c r="BW32" s="935"/>
      <c r="BX32" s="935"/>
      <c r="BY32" s="935"/>
      <c r="BZ32" s="935"/>
      <c r="CA32" s="935"/>
      <c r="CB32" s="935"/>
      <c r="CC32" s="935"/>
      <c r="CD32" s="935"/>
      <c r="CE32" s="935"/>
      <c r="CF32" s="935"/>
      <c r="CG32" s="935"/>
      <c r="CH32" s="935"/>
      <c r="CI32" s="935"/>
      <c r="CJ32" s="935"/>
      <c r="CK32" s="935"/>
      <c r="CL32" s="935"/>
      <c r="CM32" s="935"/>
      <c r="CN32" s="935"/>
      <c r="CO32" s="935"/>
      <c r="CP32" s="935"/>
      <c r="CQ32" s="935"/>
      <c r="CR32" s="935"/>
      <c r="CS32" s="935"/>
      <c r="CT32" s="935"/>
      <c r="CU32" s="935"/>
      <c r="CV32" s="935"/>
    </row>
    <row r="33" spans="1:100" s="375" customFormat="1" ht="14.9" customHeight="1">
      <c r="A33" s="375">
        <f t="shared" si="10"/>
        <v>8</v>
      </c>
      <c r="B33" s="455">
        <v>44413</v>
      </c>
      <c r="C33" s="445" t="s">
        <v>2000</v>
      </c>
      <c r="D33" s="376" t="str">
        <f>IFERROR(VLOOKUP(E:E,'Item Data Support Sheet'!A:O,7,0),"")</f>
        <v>BOTTLE PRINTED</v>
      </c>
      <c r="E33" s="446" t="s">
        <v>1891</v>
      </c>
      <c r="F33" s="447"/>
      <c r="G33" s="376" t="s">
        <v>1698</v>
      </c>
      <c r="H33" s="602" t="str">
        <f>IFERROR(VLOOKUP(E:E,'Item Data Support Sheet'!A:O,2,0),"")</f>
        <v>50 ML RPP BOTTLE PRINTED - BIRDS</v>
      </c>
      <c r="I33" s="447" t="s">
        <v>2223</v>
      </c>
      <c r="J33" s="447" t="s">
        <v>2813</v>
      </c>
      <c r="K33" s="438">
        <v>8.5</v>
      </c>
      <c r="L33" s="439">
        <v>1800</v>
      </c>
      <c r="M33" s="366">
        <f t="shared" si="27"/>
        <v>211.76470588235293</v>
      </c>
      <c r="N33" s="367">
        <f t="shared" si="2"/>
        <v>1807</v>
      </c>
      <c r="O33" s="61">
        <v>1654</v>
      </c>
      <c r="P33" s="368">
        <v>0</v>
      </c>
      <c r="Q33" s="369">
        <v>0</v>
      </c>
      <c r="R33" s="370">
        <v>232</v>
      </c>
      <c r="S33" s="370">
        <v>0</v>
      </c>
      <c r="T33" s="370">
        <v>153</v>
      </c>
      <c r="U33" s="370">
        <v>0</v>
      </c>
      <c r="V33" s="450">
        <v>6</v>
      </c>
      <c r="W33" s="453">
        <f t="shared" si="11"/>
        <v>275.66666666666669</v>
      </c>
      <c r="X33" s="748">
        <f t="shared" si="12"/>
        <v>0.91888888888888887</v>
      </c>
      <c r="Y33" s="451" t="str">
        <f>IFERROR(VLOOKUP(E:E,'Item Data Support Sheet'!A:J,6,0),0)</f>
        <v>FO112</v>
      </c>
      <c r="Z33" s="428">
        <f>IFERROR(VLOOKUP(E:E,'Item Data Support Sheet'!A:O,4,0),0)</f>
        <v>17.015000000000001</v>
      </c>
      <c r="AA33" s="428">
        <f t="shared" si="13"/>
        <v>30.746104999999996</v>
      </c>
      <c r="AB33" s="429">
        <f t="shared" si="14"/>
        <v>0.9153292750415053</v>
      </c>
      <c r="AC33" s="424">
        <f t="shared" si="15"/>
        <v>8.4670724958494745E-2</v>
      </c>
      <c r="AD33" s="371">
        <f t="shared" si="16"/>
        <v>0</v>
      </c>
      <c r="AE33" s="748">
        <f t="shared" si="17"/>
        <v>0.9153292750415053</v>
      </c>
      <c r="AF33" s="417">
        <f t="shared" si="18"/>
        <v>5</v>
      </c>
      <c r="AG33" s="416">
        <f t="shared" si="19"/>
        <v>3.5</v>
      </c>
      <c r="AH33" s="372">
        <f t="shared" si="20"/>
        <v>0.41176470588235292</v>
      </c>
      <c r="AI33" s="373">
        <f t="shared" si="21"/>
        <v>194.58823529411765</v>
      </c>
      <c r="AJ33" s="418">
        <f>VLOOKUP(D33,'Standard Cycle time'!C:D,2,0)</f>
        <v>32.4</v>
      </c>
      <c r="AK33" s="418">
        <f t="shared" si="22"/>
        <v>45.707376058041113</v>
      </c>
      <c r="AL33" s="374">
        <f t="shared" si="23"/>
        <v>0.70885714285714285</v>
      </c>
      <c r="AM33" s="372">
        <f t="shared" si="24"/>
        <v>0.26716846251505583</v>
      </c>
      <c r="AN33" s="799" t="s">
        <v>2576</v>
      </c>
      <c r="AO33" s="761" t="s">
        <v>2348</v>
      </c>
      <c r="AP33" s="440">
        <v>50</v>
      </c>
      <c r="AQ33" s="440">
        <v>100</v>
      </c>
      <c r="AR33" s="440">
        <v>0</v>
      </c>
      <c r="AS33" s="440">
        <v>0</v>
      </c>
      <c r="AT33" s="440">
        <v>0</v>
      </c>
      <c r="AU33" s="440">
        <v>0</v>
      </c>
      <c r="AV33" s="440">
        <v>150</v>
      </c>
      <c r="AW33" s="440">
        <v>0</v>
      </c>
      <c r="AX33" s="440">
        <v>0</v>
      </c>
      <c r="AY33" s="440">
        <v>0</v>
      </c>
      <c r="AZ33" s="440">
        <v>0</v>
      </c>
      <c r="BA33" s="440">
        <v>0</v>
      </c>
      <c r="BB33" s="440">
        <v>0</v>
      </c>
      <c r="BC33" s="440">
        <v>0</v>
      </c>
      <c r="BD33" s="440">
        <v>0</v>
      </c>
      <c r="BE33" s="440">
        <v>0</v>
      </c>
      <c r="BF33" s="440">
        <v>0</v>
      </c>
      <c r="BG33" s="440">
        <v>0</v>
      </c>
      <c r="BH33" s="440">
        <v>0</v>
      </c>
      <c r="BI33" s="440">
        <v>0</v>
      </c>
      <c r="BJ33" s="440">
        <v>0</v>
      </c>
      <c r="BK33" s="440">
        <v>0</v>
      </c>
      <c r="BL33" s="440">
        <v>0</v>
      </c>
      <c r="BM33" s="440">
        <v>0</v>
      </c>
      <c r="BN33" s="440">
        <v>0</v>
      </c>
      <c r="BO33" s="440">
        <v>0</v>
      </c>
      <c r="BP33" s="440">
        <v>0</v>
      </c>
      <c r="BQ33" s="440">
        <v>0</v>
      </c>
      <c r="BR33" s="415">
        <f t="shared" si="25"/>
        <v>5</v>
      </c>
      <c r="BS33" s="415">
        <f t="shared" si="26"/>
        <v>5.083333333333333</v>
      </c>
      <c r="BT33" s="935"/>
      <c r="BU33" s="935"/>
      <c r="BV33" s="935"/>
      <c r="BW33" s="935"/>
      <c r="BX33" s="935"/>
      <c r="BY33" s="935"/>
      <c r="BZ33" s="935"/>
      <c r="CA33" s="935"/>
      <c r="CB33" s="935"/>
      <c r="CC33" s="935"/>
      <c r="CD33" s="935"/>
      <c r="CE33" s="935"/>
      <c r="CF33" s="935"/>
      <c r="CG33" s="935"/>
      <c r="CH33" s="935"/>
      <c r="CI33" s="935"/>
      <c r="CJ33" s="935"/>
      <c r="CK33" s="935"/>
      <c r="CL33" s="935"/>
      <c r="CM33" s="935"/>
      <c r="CN33" s="935"/>
      <c r="CO33" s="935"/>
      <c r="CP33" s="935"/>
      <c r="CQ33" s="935"/>
      <c r="CR33" s="935"/>
      <c r="CS33" s="935"/>
      <c r="CT33" s="935"/>
      <c r="CU33" s="935"/>
      <c r="CV33" s="935"/>
    </row>
    <row r="34" spans="1:100" s="375" customFormat="1" ht="14.9" customHeight="1">
      <c r="A34" s="375">
        <f t="shared" si="10"/>
        <v>8</v>
      </c>
      <c r="B34" s="455">
        <v>44413</v>
      </c>
      <c r="C34" s="445" t="s">
        <v>2000</v>
      </c>
      <c r="D34" s="376" t="str">
        <f>IFERROR(VLOOKUP(E:E,'Item Data Support Sheet'!A:O,7,0),"")</f>
        <v>NIPPLE PUNCH INSPECTED</v>
      </c>
      <c r="E34" s="446" t="s">
        <v>1819</v>
      </c>
      <c r="F34" s="447"/>
      <c r="G34" s="376"/>
      <c r="H34" s="602" t="str">
        <f>IFERROR(VLOOKUP(E:E,'Item Data Support Sheet'!A:O,2,0),"")</f>
        <v>NIPPLE S TYPE M SIZE PUNCHED INSPECTED</v>
      </c>
      <c r="I34" s="447" t="s">
        <v>2199</v>
      </c>
      <c r="J34" s="447" t="s">
        <v>2812</v>
      </c>
      <c r="K34" s="438">
        <v>8.5</v>
      </c>
      <c r="L34" s="439">
        <v>14182</v>
      </c>
      <c r="M34" s="366">
        <f t="shared" si="27"/>
        <v>1668.4705882352941</v>
      </c>
      <c r="N34" s="367">
        <f t="shared" si="2"/>
        <v>15874</v>
      </c>
      <c r="O34" s="61">
        <v>15836</v>
      </c>
      <c r="P34" s="368">
        <v>0</v>
      </c>
      <c r="Q34" s="369">
        <v>0</v>
      </c>
      <c r="R34" s="370">
        <v>0</v>
      </c>
      <c r="S34" s="370">
        <v>0</v>
      </c>
      <c r="T34" s="370">
        <v>38</v>
      </c>
      <c r="U34" s="370">
        <v>0</v>
      </c>
      <c r="V34" s="450">
        <v>2</v>
      </c>
      <c r="W34" s="453">
        <f t="shared" si="11"/>
        <v>7918</v>
      </c>
      <c r="X34" s="748">
        <f t="shared" si="12"/>
        <v>1.1166267099139755</v>
      </c>
      <c r="Y34" s="451" t="str">
        <f>IFERROR(VLOOKUP(E:E,'Item Data Support Sheet'!A:J,6,0),0)</f>
        <v>FO105</v>
      </c>
      <c r="Z34" s="428">
        <f>IFERROR(VLOOKUP(E:E,'Item Data Support Sheet'!A:O,4,0),0)</f>
        <v>0</v>
      </c>
      <c r="AA34" s="428">
        <f t="shared" si="13"/>
        <v>0</v>
      </c>
      <c r="AB34" s="429" t="str">
        <f t="shared" si="14"/>
        <v xml:space="preserve"> </v>
      </c>
      <c r="AC34" s="424">
        <f t="shared" si="15"/>
        <v>2.3938515812019657E-3</v>
      </c>
      <c r="AD34" s="371">
        <f t="shared" si="16"/>
        <v>0</v>
      </c>
      <c r="AE34" s="748">
        <f t="shared" si="17"/>
        <v>0.99760614841879802</v>
      </c>
      <c r="AF34" s="417">
        <f t="shared" si="18"/>
        <v>0.66666666666666663</v>
      </c>
      <c r="AG34" s="416">
        <f t="shared" si="19"/>
        <v>7.833333333333333</v>
      </c>
      <c r="AH34" s="372">
        <f t="shared" si="20"/>
        <v>0.92156862745098034</v>
      </c>
      <c r="AI34" s="373">
        <f t="shared" si="21"/>
        <v>1863.0588235294117</v>
      </c>
      <c r="AJ34" s="418">
        <f>VLOOKUP(D34,'Standard Cycle time'!C:D,2,0)</f>
        <v>4</v>
      </c>
      <c r="AK34" s="418">
        <f t="shared" si="22"/>
        <v>3.561505430664309</v>
      </c>
      <c r="AL34" s="374">
        <f t="shared" si="23"/>
        <v>1.1231205673758866</v>
      </c>
      <c r="AM34" s="372">
        <f t="shared" si="24"/>
        <v>1.0325549651215742</v>
      </c>
      <c r="AN34" s="799" t="s">
        <v>2224</v>
      </c>
      <c r="AO34" s="929"/>
      <c r="AP34" s="440">
        <v>40</v>
      </c>
      <c r="AQ34" s="440">
        <v>0</v>
      </c>
      <c r="AR34" s="440">
        <v>0</v>
      </c>
      <c r="AS34" s="440">
        <v>0</v>
      </c>
      <c r="AT34" s="440">
        <v>0</v>
      </c>
      <c r="AU34" s="440">
        <v>0</v>
      </c>
      <c r="AV34" s="440">
        <v>0</v>
      </c>
      <c r="AW34" s="440">
        <v>0</v>
      </c>
      <c r="AX34" s="440">
        <v>0</v>
      </c>
      <c r="AY34" s="440">
        <v>0</v>
      </c>
      <c r="AZ34" s="440">
        <v>0</v>
      </c>
      <c r="BA34" s="440">
        <v>0</v>
      </c>
      <c r="BB34" s="440">
        <v>0</v>
      </c>
      <c r="BC34" s="440">
        <v>0</v>
      </c>
      <c r="BD34" s="440">
        <v>0</v>
      </c>
      <c r="BE34" s="440">
        <v>0</v>
      </c>
      <c r="BF34" s="440">
        <v>0</v>
      </c>
      <c r="BG34" s="440">
        <v>0</v>
      </c>
      <c r="BH34" s="440">
        <v>0</v>
      </c>
      <c r="BI34" s="440">
        <v>0</v>
      </c>
      <c r="BJ34" s="440">
        <v>0</v>
      </c>
      <c r="BK34" s="440">
        <v>0</v>
      </c>
      <c r="BL34" s="440">
        <v>0</v>
      </c>
      <c r="BM34" s="440">
        <v>0</v>
      </c>
      <c r="BN34" s="440">
        <v>0</v>
      </c>
      <c r="BO34" s="440">
        <v>0</v>
      </c>
      <c r="BP34" s="440">
        <v>0</v>
      </c>
      <c r="BQ34" s="440">
        <v>0</v>
      </c>
      <c r="BR34" s="415">
        <f t="shared" si="25"/>
        <v>0.66666666666666663</v>
      </c>
      <c r="BS34" s="415">
        <f t="shared" si="26"/>
        <v>0.6777777777777777</v>
      </c>
      <c r="BT34" s="935"/>
      <c r="BU34" s="935"/>
      <c r="BV34" s="935"/>
      <c r="BW34" s="935"/>
      <c r="BX34" s="935"/>
      <c r="BY34" s="935"/>
      <c r="BZ34" s="935"/>
      <c r="CA34" s="935"/>
      <c r="CB34" s="935"/>
      <c r="CC34" s="935"/>
      <c r="CD34" s="935"/>
      <c r="CE34" s="935"/>
      <c r="CF34" s="935"/>
      <c r="CG34" s="935"/>
      <c r="CH34" s="935"/>
      <c r="CI34" s="935"/>
      <c r="CJ34" s="935"/>
      <c r="CK34" s="935"/>
      <c r="CL34" s="935"/>
      <c r="CM34" s="935"/>
      <c r="CN34" s="935"/>
      <c r="CO34" s="935"/>
      <c r="CP34" s="935"/>
      <c r="CQ34" s="935"/>
      <c r="CR34" s="935"/>
      <c r="CS34" s="935"/>
      <c r="CT34" s="935"/>
      <c r="CU34" s="935"/>
      <c r="CV34" s="935"/>
    </row>
    <row r="35" spans="1:100" s="375" customFormat="1" ht="14.9" customHeight="1">
      <c r="A35" s="375">
        <f t="shared" si="10"/>
        <v>8</v>
      </c>
      <c r="B35" s="455">
        <v>44413</v>
      </c>
      <c r="C35" s="445" t="s">
        <v>2001</v>
      </c>
      <c r="D35" s="376" t="str">
        <f>IFERROR(VLOOKUP(E:E,'Item Data Support Sheet'!A:O,7,0),"")</f>
        <v>NIPPLE MOLDED</v>
      </c>
      <c r="E35" s="446" t="s">
        <v>73</v>
      </c>
      <c r="F35" s="447" t="s">
        <v>1678</v>
      </c>
      <c r="G35" s="376" t="s">
        <v>1691</v>
      </c>
      <c r="H35" s="602" t="str">
        <f>IFERROR(VLOOKUP(E:E,'Item Data Support Sheet'!A:O,2,0),"")</f>
        <v>NIPPLE S TYPE M SIZE INJECTION</v>
      </c>
      <c r="I35" s="447" t="s">
        <v>2225</v>
      </c>
      <c r="J35" s="447" t="s">
        <v>2810</v>
      </c>
      <c r="K35" s="438">
        <v>8</v>
      </c>
      <c r="L35" s="439">
        <v>4815</v>
      </c>
      <c r="M35" s="366">
        <f t="shared" si="27"/>
        <v>601.875</v>
      </c>
      <c r="N35" s="367">
        <f t="shared" si="2"/>
        <v>4610</v>
      </c>
      <c r="O35" s="61">
        <v>4500</v>
      </c>
      <c r="P35" s="368">
        <v>0</v>
      </c>
      <c r="Q35" s="369">
        <v>45</v>
      </c>
      <c r="R35" s="370">
        <v>0</v>
      </c>
      <c r="S35" s="370">
        <v>0</v>
      </c>
      <c r="T35" s="370">
        <v>65</v>
      </c>
      <c r="U35" s="370">
        <v>0</v>
      </c>
      <c r="V35" s="450">
        <v>1</v>
      </c>
      <c r="W35" s="453">
        <f t="shared" si="11"/>
        <v>4500</v>
      </c>
      <c r="X35" s="748">
        <f t="shared" si="12"/>
        <v>0.93457943925233644</v>
      </c>
      <c r="Y35" s="451" t="str">
        <f>IFERROR(VLOOKUP(E:E,'Item Data Support Sheet'!A:J,6,0),0)</f>
        <v>Silicon</v>
      </c>
      <c r="Z35" s="428">
        <f>IFERROR(VLOOKUP(E:E,'Item Data Support Sheet'!A:O,4,0),0)</f>
        <v>6.8</v>
      </c>
      <c r="AA35" s="428">
        <f t="shared" si="13"/>
        <v>31.347999999999999</v>
      </c>
      <c r="AB35" s="429">
        <f t="shared" si="14"/>
        <v>0.97613882863340562</v>
      </c>
      <c r="AC35" s="424">
        <f t="shared" si="15"/>
        <v>1.4238773274917854E-2</v>
      </c>
      <c r="AD35" s="371">
        <f t="shared" si="16"/>
        <v>9.6670247046186895E-3</v>
      </c>
      <c r="AE35" s="748">
        <f t="shared" si="17"/>
        <v>0.98590021691973972</v>
      </c>
      <c r="AF35" s="417">
        <f t="shared" si="18"/>
        <v>0.83333333333333337</v>
      </c>
      <c r="AG35" s="416">
        <f t="shared" si="19"/>
        <v>7.166666666666667</v>
      </c>
      <c r="AH35" s="372">
        <f t="shared" si="20"/>
        <v>0.89583333333333337</v>
      </c>
      <c r="AI35" s="373">
        <f t="shared" si="21"/>
        <v>562.5</v>
      </c>
      <c r="AJ35" s="418">
        <f>VLOOKUP(D35,'Standard Cycle time'!C:D,2,0)</f>
        <v>5.25</v>
      </c>
      <c r="AK35" s="418">
        <f t="shared" si="22"/>
        <v>5.7333333333333334</v>
      </c>
      <c r="AL35" s="374">
        <f t="shared" si="23"/>
        <v>0.91569767441860461</v>
      </c>
      <c r="AM35" s="372">
        <f t="shared" si="24"/>
        <v>0.80874627169197399</v>
      </c>
      <c r="AN35" s="799">
        <v>2228</v>
      </c>
      <c r="AO35" s="761" t="s">
        <v>2226</v>
      </c>
      <c r="AP35" s="440">
        <v>0</v>
      </c>
      <c r="AQ35" s="440">
        <v>0</v>
      </c>
      <c r="AR35" s="440">
        <v>0</v>
      </c>
      <c r="AS35" s="440">
        <v>0</v>
      </c>
      <c r="AT35" s="440">
        <v>0</v>
      </c>
      <c r="AU35" s="440">
        <v>50</v>
      </c>
      <c r="AV35" s="440">
        <v>0</v>
      </c>
      <c r="AW35" s="440">
        <v>0</v>
      </c>
      <c r="AX35" s="440">
        <v>0</v>
      </c>
      <c r="AY35" s="440">
        <v>0</v>
      </c>
      <c r="AZ35" s="440">
        <v>0</v>
      </c>
      <c r="BA35" s="440">
        <v>0</v>
      </c>
      <c r="BB35" s="440">
        <v>0</v>
      </c>
      <c r="BC35" s="440">
        <v>0</v>
      </c>
      <c r="BD35" s="440">
        <v>0</v>
      </c>
      <c r="BE35" s="440">
        <v>0</v>
      </c>
      <c r="BF35" s="440">
        <v>0</v>
      </c>
      <c r="BG35" s="440">
        <v>0</v>
      </c>
      <c r="BH35" s="440">
        <v>0</v>
      </c>
      <c r="BI35" s="440">
        <v>0</v>
      </c>
      <c r="BJ35" s="440">
        <v>0</v>
      </c>
      <c r="BK35" s="440">
        <v>0</v>
      </c>
      <c r="BL35" s="440">
        <v>0</v>
      </c>
      <c r="BM35" s="440">
        <v>0</v>
      </c>
      <c r="BN35" s="440">
        <v>0</v>
      </c>
      <c r="BO35" s="440">
        <v>0</v>
      </c>
      <c r="BP35" s="440">
        <v>0</v>
      </c>
      <c r="BQ35" s="440">
        <v>0</v>
      </c>
      <c r="BR35" s="415">
        <f t="shared" si="25"/>
        <v>0.83333333333333337</v>
      </c>
      <c r="BS35" s="415">
        <f t="shared" si="26"/>
        <v>0.84722222222222221</v>
      </c>
      <c r="BT35" s="935"/>
      <c r="BU35" s="935"/>
      <c r="BV35" s="935"/>
      <c r="BW35" s="935"/>
      <c r="BX35" s="935"/>
      <c r="BY35" s="935"/>
      <c r="BZ35" s="935"/>
      <c r="CA35" s="935"/>
      <c r="CB35" s="935"/>
      <c r="CC35" s="935"/>
      <c r="CD35" s="935"/>
      <c r="CE35" s="935"/>
      <c r="CF35" s="935"/>
      <c r="CG35" s="935"/>
      <c r="CH35" s="935"/>
      <c r="CI35" s="935"/>
      <c r="CJ35" s="935"/>
      <c r="CK35" s="935"/>
      <c r="CL35" s="935"/>
      <c r="CM35" s="935"/>
      <c r="CN35" s="935"/>
      <c r="CO35" s="935"/>
      <c r="CP35" s="935"/>
      <c r="CQ35" s="935"/>
      <c r="CR35" s="935"/>
      <c r="CS35" s="935"/>
      <c r="CT35" s="935"/>
      <c r="CU35" s="935"/>
      <c r="CV35" s="935"/>
    </row>
    <row r="36" spans="1:100" s="375" customFormat="1" ht="14.9" customHeight="1">
      <c r="A36" s="375">
        <f t="shared" si="10"/>
        <v>8</v>
      </c>
      <c r="B36" s="455">
        <v>44413</v>
      </c>
      <c r="C36" s="445" t="s">
        <v>2001</v>
      </c>
      <c r="D36" s="376" t="str">
        <f>IFERROR(VLOOKUP(E:E,'Item Data Support Sheet'!A:O,7,0),"")</f>
        <v>CAP MOLDED</v>
      </c>
      <c r="E36" s="446" t="s">
        <v>2106</v>
      </c>
      <c r="F36" s="447"/>
      <c r="G36" s="376" t="s">
        <v>2220</v>
      </c>
      <c r="H36" s="602" t="str">
        <f>IFERROR(VLOOKUP(E:E,'Item Data Support Sheet'!A:O,2,0),"")</f>
        <v>CAP S TYPE MOLDED RED</v>
      </c>
      <c r="I36" s="447" t="s">
        <v>2227</v>
      </c>
      <c r="J36" s="447" t="s">
        <v>2810</v>
      </c>
      <c r="K36" s="438">
        <v>8</v>
      </c>
      <c r="L36" s="439">
        <v>4137</v>
      </c>
      <c r="M36" s="366">
        <f t="shared" si="27"/>
        <v>517.125</v>
      </c>
      <c r="N36" s="367">
        <f t="shared" si="2"/>
        <v>3805</v>
      </c>
      <c r="O36" s="61">
        <v>3800</v>
      </c>
      <c r="P36" s="368">
        <v>0.3</v>
      </c>
      <c r="Q36" s="369">
        <v>0</v>
      </c>
      <c r="R36" s="370">
        <v>0</v>
      </c>
      <c r="S36" s="370">
        <v>0</v>
      </c>
      <c r="T36" s="370">
        <v>5</v>
      </c>
      <c r="U36" s="370">
        <v>0</v>
      </c>
      <c r="V36" s="450">
        <v>1</v>
      </c>
      <c r="W36" s="453">
        <f t="shared" si="11"/>
        <v>3800</v>
      </c>
      <c r="X36" s="748">
        <f t="shared" si="12"/>
        <v>0.91854000483442111</v>
      </c>
      <c r="Y36" s="451" t="str">
        <f>IFERROR(VLOOKUP(E:E,'Item Data Support Sheet'!A:J,6,0),0)</f>
        <v>FO153</v>
      </c>
      <c r="Z36" s="428">
        <f>IFERROR(VLOOKUP(E:E,'Item Data Support Sheet'!A:O,4,0),0)</f>
        <v>7.3</v>
      </c>
      <c r="AA36" s="428">
        <f t="shared" si="13"/>
        <v>28.076499999999999</v>
      </c>
      <c r="AB36" s="429">
        <f t="shared" si="14"/>
        <v>0.98801488789557113</v>
      </c>
      <c r="AC36" s="424">
        <f t="shared" si="15"/>
        <v>1.3140604467805519E-3</v>
      </c>
      <c r="AD36" s="371">
        <f t="shared" si="16"/>
        <v>0</v>
      </c>
      <c r="AE36" s="748">
        <f t="shared" si="17"/>
        <v>0.99868593955321949</v>
      </c>
      <c r="AF36" s="417">
        <f t="shared" si="18"/>
        <v>0</v>
      </c>
      <c r="AG36" s="416">
        <f t="shared" si="19"/>
        <v>8</v>
      </c>
      <c r="AH36" s="372">
        <f t="shared" si="20"/>
        <v>1</v>
      </c>
      <c r="AI36" s="373">
        <f t="shared" si="21"/>
        <v>475</v>
      </c>
      <c r="AJ36" s="418">
        <f>VLOOKUP(D36,'Standard Cycle time'!C:D,2,0)</f>
        <v>6</v>
      </c>
      <c r="AK36" s="418">
        <f t="shared" si="22"/>
        <v>7.5789473684210522</v>
      </c>
      <c r="AL36" s="374">
        <f t="shared" si="23"/>
        <v>0.79166666666666674</v>
      </c>
      <c r="AM36" s="372">
        <f t="shared" si="24"/>
        <v>0.79062636881296555</v>
      </c>
      <c r="AN36" s="799">
        <v>2687</v>
      </c>
      <c r="AO36" s="761"/>
      <c r="AP36" s="440">
        <v>0</v>
      </c>
      <c r="AQ36" s="440">
        <v>0</v>
      </c>
      <c r="AR36" s="440">
        <v>0</v>
      </c>
      <c r="AS36" s="440">
        <v>0</v>
      </c>
      <c r="AT36" s="440">
        <v>0</v>
      </c>
      <c r="AU36" s="440">
        <v>0</v>
      </c>
      <c r="AV36" s="440">
        <v>0</v>
      </c>
      <c r="AW36" s="440">
        <v>0</v>
      </c>
      <c r="AX36" s="440">
        <v>0</v>
      </c>
      <c r="AY36" s="440">
        <v>0</v>
      </c>
      <c r="AZ36" s="440">
        <v>0</v>
      </c>
      <c r="BA36" s="440">
        <v>0</v>
      </c>
      <c r="BB36" s="440">
        <v>0</v>
      </c>
      <c r="BC36" s="440">
        <v>0</v>
      </c>
      <c r="BD36" s="440">
        <v>0</v>
      </c>
      <c r="BE36" s="440">
        <v>0</v>
      </c>
      <c r="BF36" s="440">
        <v>0</v>
      </c>
      <c r="BG36" s="440">
        <v>0</v>
      </c>
      <c r="BH36" s="440">
        <v>0</v>
      </c>
      <c r="BI36" s="440">
        <v>0</v>
      </c>
      <c r="BJ36" s="440">
        <v>0</v>
      </c>
      <c r="BK36" s="440">
        <v>0</v>
      </c>
      <c r="BL36" s="440">
        <v>0</v>
      </c>
      <c r="BM36" s="440">
        <v>0</v>
      </c>
      <c r="BN36" s="440">
        <v>0</v>
      </c>
      <c r="BO36" s="440">
        <v>0</v>
      </c>
      <c r="BP36" s="440">
        <v>0</v>
      </c>
      <c r="BQ36" s="440">
        <v>0</v>
      </c>
      <c r="BR36" s="415">
        <f t="shared" si="25"/>
        <v>0</v>
      </c>
      <c r="BS36" s="415">
        <f t="shared" si="26"/>
        <v>0</v>
      </c>
      <c r="BT36" s="935"/>
      <c r="BU36" s="935"/>
      <c r="BV36" s="935"/>
      <c r="BW36" s="935"/>
      <c r="BX36" s="935"/>
      <c r="BY36" s="935"/>
      <c r="BZ36" s="935"/>
      <c r="CA36" s="935"/>
      <c r="CB36" s="935"/>
      <c r="CC36" s="935"/>
      <c r="CD36" s="935"/>
      <c r="CE36" s="935"/>
      <c r="CF36" s="935"/>
      <c r="CG36" s="935"/>
      <c r="CH36" s="935"/>
      <c r="CI36" s="935"/>
      <c r="CJ36" s="935"/>
      <c r="CK36" s="935"/>
      <c r="CL36" s="935"/>
      <c r="CM36" s="935"/>
      <c r="CN36" s="935"/>
      <c r="CO36" s="935"/>
      <c r="CP36" s="935"/>
      <c r="CQ36" s="935"/>
      <c r="CR36" s="935"/>
      <c r="CS36" s="935"/>
      <c r="CT36" s="935"/>
      <c r="CU36" s="935"/>
      <c r="CV36" s="935"/>
    </row>
    <row r="37" spans="1:100" s="375" customFormat="1" ht="14.9" customHeight="1">
      <c r="A37" s="375">
        <f t="shared" si="10"/>
        <v>8</v>
      </c>
      <c r="B37" s="455">
        <v>44413</v>
      </c>
      <c r="C37" s="445" t="s">
        <v>2001</v>
      </c>
      <c r="D37" s="376" t="str">
        <f>IFERROR(VLOOKUP(E:E,'Item Data Support Sheet'!A:O,7,0),"")</f>
        <v>NIPPLE PUNCH</v>
      </c>
      <c r="E37" s="446" t="s">
        <v>81</v>
      </c>
      <c r="F37" s="447"/>
      <c r="G37" s="376" t="s">
        <v>1692</v>
      </c>
      <c r="H37" s="602" t="str">
        <f>IFERROR(VLOOKUP(E:E,'Item Data Support Sheet'!A:O,2,0),"")</f>
        <v>NIPPLE S TYPE M SIZE PUNCHED</v>
      </c>
      <c r="I37" s="447" t="s">
        <v>2228</v>
      </c>
      <c r="J37" s="447" t="s">
        <v>2810</v>
      </c>
      <c r="K37" s="438">
        <v>8</v>
      </c>
      <c r="L37" s="439">
        <v>7036</v>
      </c>
      <c r="M37" s="366">
        <f t="shared" si="27"/>
        <v>879.5</v>
      </c>
      <c r="N37" s="367">
        <f t="shared" si="2"/>
        <v>7300</v>
      </c>
      <c r="O37" s="61">
        <f>4698+2600</f>
        <v>7298</v>
      </c>
      <c r="P37" s="368">
        <v>0</v>
      </c>
      <c r="Q37" s="369">
        <v>0</v>
      </c>
      <c r="R37" s="370">
        <v>0</v>
      </c>
      <c r="S37" s="370">
        <v>0</v>
      </c>
      <c r="T37" s="370">
        <v>2</v>
      </c>
      <c r="U37" s="370">
        <v>0</v>
      </c>
      <c r="V37" s="450">
        <v>1</v>
      </c>
      <c r="W37" s="453">
        <f t="shared" si="11"/>
        <v>7298</v>
      </c>
      <c r="X37" s="748">
        <f t="shared" si="12"/>
        <v>1.0372370665150654</v>
      </c>
      <c r="Y37" s="451" t="str">
        <f>IFERROR(VLOOKUP(E:E,'Item Data Support Sheet'!A:J,6,0),0)</f>
        <v>FO016</v>
      </c>
      <c r="Z37" s="428">
        <f>IFERROR(VLOOKUP(E:E,'Item Data Support Sheet'!A:O,4,0),0)</f>
        <v>0</v>
      </c>
      <c r="AA37" s="428">
        <f t="shared" si="13"/>
        <v>0</v>
      </c>
      <c r="AB37" s="429" t="str">
        <f t="shared" si="14"/>
        <v xml:space="preserve"> </v>
      </c>
      <c r="AC37" s="424">
        <f t="shared" si="15"/>
        <v>2.7397260273972601E-4</v>
      </c>
      <c r="AD37" s="371">
        <f t="shared" si="16"/>
        <v>0</v>
      </c>
      <c r="AE37" s="748">
        <f t="shared" si="17"/>
        <v>0.99972602739726024</v>
      </c>
      <c r="AF37" s="417">
        <f t="shared" si="18"/>
        <v>0.66666666666666663</v>
      </c>
      <c r="AG37" s="416">
        <f t="shared" si="19"/>
        <v>7.333333333333333</v>
      </c>
      <c r="AH37" s="372">
        <f t="shared" si="20"/>
        <v>0.91666666666666663</v>
      </c>
      <c r="AI37" s="373">
        <f t="shared" si="21"/>
        <v>912.25</v>
      </c>
      <c r="AJ37" s="418">
        <f>VLOOKUP(D37,'Standard Cycle time'!C:D,2,0)</f>
        <v>3.5</v>
      </c>
      <c r="AK37" s="418">
        <f t="shared" si="22"/>
        <v>3.6174294327212935</v>
      </c>
      <c r="AL37" s="374">
        <f t="shared" si="23"/>
        <v>0.96753787878787878</v>
      </c>
      <c r="AM37" s="372">
        <f t="shared" si="24"/>
        <v>0.88666673325722978</v>
      </c>
      <c r="AN37" s="799" t="s">
        <v>2231</v>
      </c>
      <c r="AO37" s="929"/>
      <c r="AP37" s="440">
        <v>40</v>
      </c>
      <c r="AQ37" s="440">
        <v>0</v>
      </c>
      <c r="AR37" s="440">
        <v>0</v>
      </c>
      <c r="AS37" s="440">
        <v>0</v>
      </c>
      <c r="AT37" s="440">
        <v>0</v>
      </c>
      <c r="AU37" s="440">
        <v>0</v>
      </c>
      <c r="AV37" s="440">
        <v>0</v>
      </c>
      <c r="AW37" s="440">
        <v>0</v>
      </c>
      <c r="AX37" s="440">
        <v>0</v>
      </c>
      <c r="AY37" s="440">
        <v>0</v>
      </c>
      <c r="AZ37" s="440">
        <v>0</v>
      </c>
      <c r="BA37" s="440">
        <v>0</v>
      </c>
      <c r="BB37" s="440">
        <v>0</v>
      </c>
      <c r="BC37" s="440">
        <v>0</v>
      </c>
      <c r="BD37" s="440">
        <v>0</v>
      </c>
      <c r="BE37" s="440">
        <v>0</v>
      </c>
      <c r="BF37" s="440">
        <v>0</v>
      </c>
      <c r="BG37" s="440">
        <v>0</v>
      </c>
      <c r="BH37" s="440">
        <v>0</v>
      </c>
      <c r="BI37" s="440">
        <v>0</v>
      </c>
      <c r="BJ37" s="440">
        <v>0</v>
      </c>
      <c r="BK37" s="440">
        <v>0</v>
      </c>
      <c r="BL37" s="440">
        <v>0</v>
      </c>
      <c r="BM37" s="440">
        <v>0</v>
      </c>
      <c r="BN37" s="440">
        <v>0</v>
      </c>
      <c r="BO37" s="440">
        <v>0</v>
      </c>
      <c r="BP37" s="440">
        <v>0</v>
      </c>
      <c r="BQ37" s="440">
        <v>0</v>
      </c>
      <c r="BR37" s="415">
        <f t="shared" si="25"/>
        <v>0.66666666666666663</v>
      </c>
      <c r="BS37" s="415">
        <f t="shared" si="26"/>
        <v>0.6777777777777777</v>
      </c>
      <c r="BT37" s="935"/>
      <c r="BU37" s="935"/>
      <c r="BV37" s="935"/>
      <c r="BW37" s="935"/>
      <c r="BX37" s="935"/>
      <c r="BY37" s="935"/>
      <c r="BZ37" s="935"/>
      <c r="CA37" s="935"/>
      <c r="CB37" s="935"/>
      <c r="CC37" s="935"/>
      <c r="CD37" s="935"/>
      <c r="CE37" s="935"/>
      <c r="CF37" s="935"/>
      <c r="CG37" s="935"/>
      <c r="CH37" s="935"/>
      <c r="CI37" s="935"/>
      <c r="CJ37" s="935"/>
      <c r="CK37" s="935"/>
      <c r="CL37" s="935"/>
      <c r="CM37" s="935"/>
      <c r="CN37" s="935"/>
      <c r="CO37" s="935"/>
      <c r="CP37" s="935"/>
      <c r="CQ37" s="935"/>
      <c r="CR37" s="935"/>
      <c r="CS37" s="935"/>
      <c r="CT37" s="935"/>
      <c r="CU37" s="935"/>
      <c r="CV37" s="935"/>
    </row>
    <row r="38" spans="1:100" s="375" customFormat="1" ht="14.9" customHeight="1">
      <c r="A38" s="375">
        <f t="shared" si="10"/>
        <v>8</v>
      </c>
      <c r="B38" s="455">
        <v>44413</v>
      </c>
      <c r="C38" s="445" t="s">
        <v>2001</v>
      </c>
      <c r="D38" s="376" t="str">
        <f>IFERROR(VLOOKUP(E:E,'Item Data Support Sheet'!A:O,7,0),"")</f>
        <v>NIPPLE POSTCURE</v>
      </c>
      <c r="E38" s="446" t="s">
        <v>77</v>
      </c>
      <c r="F38" s="508"/>
      <c r="G38" s="376" t="s">
        <v>1705</v>
      </c>
      <c r="H38" s="602" t="str">
        <f>IFERROR(VLOOKUP(E:E,'Item Data Support Sheet'!A:O,2,0),"")</f>
        <v>NIPPLE S TYPE M SIZE POSTCURED</v>
      </c>
      <c r="I38" s="447" t="s">
        <v>2229</v>
      </c>
      <c r="J38" s="447" t="s">
        <v>2810</v>
      </c>
      <c r="K38" s="438">
        <v>8</v>
      </c>
      <c r="L38" s="439">
        <v>10400</v>
      </c>
      <c r="M38" s="366">
        <f t="shared" si="27"/>
        <v>1300</v>
      </c>
      <c r="N38" s="367">
        <f t="shared" si="2"/>
        <v>10400</v>
      </c>
      <c r="O38" s="61">
        <f>1000+2800+4000+2600</f>
        <v>10400</v>
      </c>
      <c r="P38" s="368">
        <v>0</v>
      </c>
      <c r="Q38" s="369">
        <v>0</v>
      </c>
      <c r="R38" s="370">
        <v>0</v>
      </c>
      <c r="S38" s="370">
        <v>0</v>
      </c>
      <c r="T38" s="370">
        <v>0</v>
      </c>
      <c r="U38" s="370">
        <v>0</v>
      </c>
      <c r="V38" s="450">
        <v>1</v>
      </c>
      <c r="W38" s="453">
        <f t="shared" si="11"/>
        <v>10400</v>
      </c>
      <c r="X38" s="748">
        <f t="shared" si="12"/>
        <v>1</v>
      </c>
      <c r="Y38" s="451" t="str">
        <f>IFERROR(VLOOKUP(E:E,'Item Data Support Sheet'!A:J,6,0),0)</f>
        <v>FO012</v>
      </c>
      <c r="Z38" s="428">
        <f>IFERROR(VLOOKUP(E:E,'Item Data Support Sheet'!A:O,4,0),0)</f>
        <v>0</v>
      </c>
      <c r="AA38" s="428">
        <f t="shared" si="13"/>
        <v>0</v>
      </c>
      <c r="AB38" s="429" t="str">
        <f t="shared" si="14"/>
        <v xml:space="preserve"> </v>
      </c>
      <c r="AC38" s="424">
        <f t="shared" si="15"/>
        <v>0</v>
      </c>
      <c r="AD38" s="371">
        <f t="shared" si="16"/>
        <v>0</v>
      </c>
      <c r="AE38" s="748">
        <f t="shared" si="17"/>
        <v>1</v>
      </c>
      <c r="AF38" s="417">
        <f t="shared" si="18"/>
        <v>0.66666666666666663</v>
      </c>
      <c r="AG38" s="416">
        <f t="shared" si="19"/>
        <v>7.333333333333333</v>
      </c>
      <c r="AH38" s="372">
        <f t="shared" si="20"/>
        <v>0.91666666666666663</v>
      </c>
      <c r="AI38" s="373">
        <f t="shared" si="21"/>
        <v>1300</v>
      </c>
      <c r="AJ38" s="418">
        <f>VLOOKUP(D38,'Standard Cycle time'!C:D,2,0)</f>
        <v>2.2999999999999998</v>
      </c>
      <c r="AK38" s="418">
        <f t="shared" si="22"/>
        <v>2.5384615384615383</v>
      </c>
      <c r="AL38" s="374">
        <f t="shared" si="23"/>
        <v>0.90606060606060601</v>
      </c>
      <c r="AM38" s="372">
        <f t="shared" si="24"/>
        <v>0.83055555555555549</v>
      </c>
      <c r="AN38" s="799" t="s">
        <v>2230</v>
      </c>
      <c r="AO38" s="761"/>
      <c r="AP38" s="440">
        <v>40</v>
      </c>
      <c r="AQ38" s="440">
        <v>0</v>
      </c>
      <c r="AR38" s="440">
        <v>0</v>
      </c>
      <c r="AS38" s="440">
        <v>0</v>
      </c>
      <c r="AT38" s="440">
        <v>0</v>
      </c>
      <c r="AU38" s="440">
        <v>0</v>
      </c>
      <c r="AV38" s="440">
        <v>0</v>
      </c>
      <c r="AW38" s="440">
        <v>0</v>
      </c>
      <c r="AX38" s="440">
        <v>0</v>
      </c>
      <c r="AY38" s="440">
        <v>0</v>
      </c>
      <c r="AZ38" s="440">
        <v>0</v>
      </c>
      <c r="BA38" s="440">
        <v>0</v>
      </c>
      <c r="BB38" s="440">
        <v>0</v>
      </c>
      <c r="BC38" s="440">
        <v>0</v>
      </c>
      <c r="BD38" s="440">
        <v>0</v>
      </c>
      <c r="BE38" s="440">
        <v>0</v>
      </c>
      <c r="BF38" s="440">
        <v>0</v>
      </c>
      <c r="BG38" s="440">
        <v>0</v>
      </c>
      <c r="BH38" s="440">
        <v>0</v>
      </c>
      <c r="BI38" s="440">
        <v>0</v>
      </c>
      <c r="BJ38" s="440">
        <v>0</v>
      </c>
      <c r="BK38" s="440">
        <v>0</v>
      </c>
      <c r="BL38" s="440">
        <v>0</v>
      </c>
      <c r="BM38" s="440">
        <v>0</v>
      </c>
      <c r="BN38" s="440">
        <v>0</v>
      </c>
      <c r="BO38" s="440">
        <v>0</v>
      </c>
      <c r="BP38" s="440">
        <v>0</v>
      </c>
      <c r="BQ38" s="440">
        <v>0</v>
      </c>
      <c r="BR38" s="415">
        <f t="shared" si="25"/>
        <v>0.66666666666666663</v>
      </c>
      <c r="BS38" s="415">
        <f t="shared" si="26"/>
        <v>0.6777777777777777</v>
      </c>
      <c r="BT38" s="935"/>
      <c r="BU38" s="935"/>
      <c r="BV38" s="935"/>
      <c r="BW38" s="935"/>
      <c r="BX38" s="935"/>
      <c r="BY38" s="935"/>
      <c r="BZ38" s="935"/>
      <c r="CA38" s="935"/>
      <c r="CB38" s="935"/>
      <c r="CC38" s="935"/>
      <c r="CD38" s="935"/>
      <c r="CE38" s="935"/>
      <c r="CF38" s="935"/>
      <c r="CG38" s="935"/>
      <c r="CH38" s="935"/>
      <c r="CI38" s="935"/>
      <c r="CJ38" s="935"/>
      <c r="CK38" s="935"/>
      <c r="CL38" s="935"/>
      <c r="CM38" s="935"/>
      <c r="CN38" s="935"/>
      <c r="CO38" s="935"/>
      <c r="CP38" s="935"/>
      <c r="CQ38" s="935"/>
      <c r="CR38" s="935"/>
      <c r="CS38" s="935"/>
      <c r="CT38" s="935"/>
      <c r="CU38" s="935"/>
      <c r="CV38" s="935"/>
    </row>
    <row r="39" spans="1:100" s="375" customFormat="1" ht="14.9" customHeight="1">
      <c r="A39" s="375">
        <f t="shared" si="10"/>
        <v>8</v>
      </c>
      <c r="B39" s="455">
        <v>44413</v>
      </c>
      <c r="C39" s="445" t="s">
        <v>2001</v>
      </c>
      <c r="D39" s="376" t="str">
        <f>IFERROR(VLOOKUP(E:E,'Item Data Support Sheet'!A:O,7,0),"")</f>
        <v>BOTTLE MOLDED</v>
      </c>
      <c r="E39" s="446" t="s">
        <v>113</v>
      </c>
      <c r="F39" s="508" t="s">
        <v>1680</v>
      </c>
      <c r="G39" s="376" t="s">
        <v>1888</v>
      </c>
      <c r="H39" s="602" t="str">
        <f>IFERROR(VLOOKUP(E:E,'Item Data Support Sheet'!A:O,2,0),"")</f>
        <v>KPP BOTTLE 200 ML MOULDED-WMG3B</v>
      </c>
      <c r="I39" s="447" t="s">
        <v>2232</v>
      </c>
      <c r="J39" s="447" t="s">
        <v>2810</v>
      </c>
      <c r="K39" s="438">
        <v>4</v>
      </c>
      <c r="L39" s="439">
        <v>2503</v>
      </c>
      <c r="M39" s="366">
        <f t="shared" si="27"/>
        <v>625.75</v>
      </c>
      <c r="N39" s="367">
        <f t="shared" si="2"/>
        <v>1606</v>
      </c>
      <c r="O39" s="61">
        <f>14*108</f>
        <v>1512</v>
      </c>
      <c r="P39" s="368">
        <v>0.7</v>
      </c>
      <c r="Q39" s="369">
        <v>30</v>
      </c>
      <c r="R39" s="370">
        <v>0</v>
      </c>
      <c r="S39" s="370">
        <v>0</v>
      </c>
      <c r="T39" s="370">
        <v>56</v>
      </c>
      <c r="U39" s="370">
        <v>8</v>
      </c>
      <c r="V39" s="450">
        <v>1</v>
      </c>
      <c r="W39" s="453">
        <f t="shared" si="11"/>
        <v>1512</v>
      </c>
      <c r="X39" s="748">
        <f t="shared" si="12"/>
        <v>0.60407510986815816</v>
      </c>
      <c r="Y39" s="451" t="str">
        <f>IFERROR(VLOOKUP(E:E,'Item Data Support Sheet'!A:J,6,0),0)</f>
        <v>WMG3B</v>
      </c>
      <c r="Z39" s="428">
        <f>IFERROR(VLOOKUP(E:E,'Item Data Support Sheet'!A:O,4,0),0)</f>
        <v>28.6</v>
      </c>
      <c r="AA39" s="428">
        <f t="shared" si="13"/>
        <v>46.631600000000006</v>
      </c>
      <c r="AB39" s="429">
        <f t="shared" si="14"/>
        <v>0.92733682738743672</v>
      </c>
      <c r="AC39" s="424">
        <f t="shared" si="15"/>
        <v>3.5714285714285712E-2</v>
      </c>
      <c r="AD39" s="371">
        <f t="shared" si="16"/>
        <v>1.8337408312958436E-2</v>
      </c>
      <c r="AE39" s="748">
        <f t="shared" si="17"/>
        <v>0.96513075965130757</v>
      </c>
      <c r="AF39" s="417">
        <f t="shared" si="18"/>
        <v>0</v>
      </c>
      <c r="AG39" s="416">
        <f t="shared" si="19"/>
        <v>4</v>
      </c>
      <c r="AH39" s="372">
        <f t="shared" si="20"/>
        <v>1</v>
      </c>
      <c r="AI39" s="373">
        <f t="shared" si="21"/>
        <v>378</v>
      </c>
      <c r="AJ39" s="418">
        <f>VLOOKUP(D39,'Standard Cycle time'!C:D,2,0)</f>
        <v>9</v>
      </c>
      <c r="AK39" s="418">
        <f t="shared" si="22"/>
        <v>9.5238095238095237</v>
      </c>
      <c r="AL39" s="374">
        <f t="shared" si="23"/>
        <v>0.94500000000000006</v>
      </c>
      <c r="AM39" s="372">
        <f t="shared" si="24"/>
        <v>0.91204856787048572</v>
      </c>
      <c r="AN39" s="799">
        <v>2230</v>
      </c>
      <c r="AO39" s="761"/>
      <c r="AP39" s="440">
        <v>0</v>
      </c>
      <c r="AQ39" s="440">
        <v>0</v>
      </c>
      <c r="AR39" s="440">
        <v>0</v>
      </c>
      <c r="AS39" s="440">
        <v>0</v>
      </c>
      <c r="AT39" s="440">
        <v>0</v>
      </c>
      <c r="AU39" s="440">
        <v>0</v>
      </c>
      <c r="AV39" s="440">
        <v>0</v>
      </c>
      <c r="AW39" s="440">
        <v>0</v>
      </c>
      <c r="AX39" s="440">
        <v>0</v>
      </c>
      <c r="AY39" s="440">
        <v>0</v>
      </c>
      <c r="AZ39" s="440">
        <v>0</v>
      </c>
      <c r="BA39" s="440">
        <v>0</v>
      </c>
      <c r="BB39" s="440">
        <v>0</v>
      </c>
      <c r="BC39" s="440">
        <v>0</v>
      </c>
      <c r="BD39" s="440">
        <v>0</v>
      </c>
      <c r="BE39" s="440">
        <v>0</v>
      </c>
      <c r="BF39" s="440">
        <v>0</v>
      </c>
      <c r="BG39" s="440">
        <v>0</v>
      </c>
      <c r="BH39" s="440">
        <v>0</v>
      </c>
      <c r="BI39" s="440">
        <v>0</v>
      </c>
      <c r="BJ39" s="440">
        <v>0</v>
      </c>
      <c r="BK39" s="440">
        <v>0</v>
      </c>
      <c r="BL39" s="440">
        <v>0</v>
      </c>
      <c r="BM39" s="440">
        <v>0</v>
      </c>
      <c r="BN39" s="440">
        <v>0</v>
      </c>
      <c r="BO39" s="440">
        <v>0</v>
      </c>
      <c r="BP39" s="440">
        <v>0</v>
      </c>
      <c r="BQ39" s="440">
        <v>0</v>
      </c>
      <c r="BR39" s="415">
        <f t="shared" si="25"/>
        <v>0</v>
      </c>
      <c r="BS39" s="415">
        <f t="shared" si="26"/>
        <v>0</v>
      </c>
      <c r="BT39" s="935"/>
      <c r="BU39" s="935"/>
      <c r="BV39" s="935"/>
      <c r="BW39" s="935"/>
      <c r="BX39" s="935"/>
      <c r="BY39" s="935"/>
      <c r="BZ39" s="935"/>
      <c r="CA39" s="935"/>
      <c r="CB39" s="935"/>
      <c r="CC39" s="935"/>
      <c r="CD39" s="935"/>
      <c r="CE39" s="935"/>
      <c r="CF39" s="935"/>
      <c r="CG39" s="935"/>
      <c r="CH39" s="935"/>
      <c r="CI39" s="935"/>
      <c r="CJ39" s="935"/>
      <c r="CK39" s="935"/>
      <c r="CL39" s="935"/>
      <c r="CM39" s="935"/>
      <c r="CN39" s="935"/>
      <c r="CO39" s="935"/>
      <c r="CP39" s="935"/>
      <c r="CQ39" s="935"/>
      <c r="CR39" s="935"/>
      <c r="CS39" s="935"/>
      <c r="CT39" s="935"/>
      <c r="CU39" s="935"/>
      <c r="CV39" s="935"/>
    </row>
    <row r="40" spans="1:100" s="375" customFormat="1" ht="14.9" customHeight="1">
      <c r="A40" s="375">
        <f t="shared" si="10"/>
        <v>8</v>
      </c>
      <c r="B40" s="455">
        <v>44413</v>
      </c>
      <c r="C40" s="445" t="s">
        <v>2053</v>
      </c>
      <c r="D40" s="376" t="str">
        <f>IFERROR(VLOOKUP(E:E,'Item Data Support Sheet'!A:O,7,0),"")</f>
        <v>NIPPLE MOLDED</v>
      </c>
      <c r="E40" s="446" t="s">
        <v>73</v>
      </c>
      <c r="F40" s="447" t="s">
        <v>1678</v>
      </c>
      <c r="G40" s="376" t="s">
        <v>1691</v>
      </c>
      <c r="H40" s="602" t="str">
        <f>IFERROR(VLOOKUP(E:E,'Item Data Support Sheet'!A:O,2,0),"")</f>
        <v>NIPPLE S TYPE M SIZE INJECTION</v>
      </c>
      <c r="I40" s="447" t="s">
        <v>2233</v>
      </c>
      <c r="J40" s="447" t="s">
        <v>2809</v>
      </c>
      <c r="K40" s="438">
        <v>8</v>
      </c>
      <c r="L40" s="439">
        <v>4815</v>
      </c>
      <c r="M40" s="366">
        <f t="shared" si="27"/>
        <v>601.875</v>
      </c>
      <c r="N40" s="367">
        <f t="shared" si="2"/>
        <v>5126</v>
      </c>
      <c r="O40" s="61">
        <v>5000</v>
      </c>
      <c r="P40" s="368">
        <v>0</v>
      </c>
      <c r="Q40" s="369">
        <v>70</v>
      </c>
      <c r="R40" s="370">
        <v>0</v>
      </c>
      <c r="S40" s="370">
        <v>0</v>
      </c>
      <c r="T40" s="370">
        <v>48</v>
      </c>
      <c r="U40" s="370">
        <v>8</v>
      </c>
      <c r="V40" s="450">
        <v>1</v>
      </c>
      <c r="W40" s="453">
        <f t="shared" si="11"/>
        <v>5000</v>
      </c>
      <c r="X40" s="748">
        <f t="shared" si="12"/>
        <v>1.0384215991692627</v>
      </c>
      <c r="Y40" s="451" t="str">
        <f>IFERROR(VLOOKUP(E:E,'Item Data Support Sheet'!A:J,6,0),0)</f>
        <v>Silicon</v>
      </c>
      <c r="Z40" s="428">
        <f>IFERROR(VLOOKUP(E:E,'Item Data Support Sheet'!A:O,4,0),0)</f>
        <v>6.8</v>
      </c>
      <c r="AA40" s="428">
        <f t="shared" si="13"/>
        <v>34.8568</v>
      </c>
      <c r="AB40" s="429">
        <f t="shared" si="14"/>
        <v>0.97541943035505263</v>
      </c>
      <c r="AC40" s="424">
        <f t="shared" si="15"/>
        <v>9.5087163232963554E-3</v>
      </c>
      <c r="AD40" s="371">
        <f t="shared" si="16"/>
        <v>1.3471901462663588E-2</v>
      </c>
      <c r="AE40" s="748">
        <f t="shared" si="17"/>
        <v>0.99063597346859145</v>
      </c>
      <c r="AF40" s="417">
        <f t="shared" si="18"/>
        <v>0.75</v>
      </c>
      <c r="AG40" s="416">
        <f t="shared" si="19"/>
        <v>7.25</v>
      </c>
      <c r="AH40" s="372">
        <f t="shared" si="20"/>
        <v>0.90625</v>
      </c>
      <c r="AI40" s="373">
        <f t="shared" si="21"/>
        <v>625</v>
      </c>
      <c r="AJ40" s="418">
        <f>VLOOKUP(D40,'Standard Cycle time'!C:D,2,0)</f>
        <v>5.25</v>
      </c>
      <c r="AK40" s="418">
        <f t="shared" si="22"/>
        <v>5.22</v>
      </c>
      <c r="AL40" s="374">
        <f t="shared" si="23"/>
        <v>1.0057471264367817</v>
      </c>
      <c r="AM40" s="372">
        <f t="shared" si="24"/>
        <v>0.90292341331772663</v>
      </c>
      <c r="AN40" s="799" t="s">
        <v>2236</v>
      </c>
      <c r="AO40" s="761"/>
      <c r="AP40" s="440">
        <v>0</v>
      </c>
      <c r="AQ40" s="440">
        <v>0</v>
      </c>
      <c r="AR40" s="440">
        <v>0</v>
      </c>
      <c r="AS40" s="440">
        <v>0</v>
      </c>
      <c r="AT40" s="440">
        <v>0</v>
      </c>
      <c r="AU40" s="440">
        <v>0</v>
      </c>
      <c r="AV40" s="440">
        <v>45</v>
      </c>
      <c r="AW40" s="440">
        <v>0</v>
      </c>
      <c r="AX40" s="440">
        <v>0</v>
      </c>
      <c r="AY40" s="440">
        <v>0</v>
      </c>
      <c r="AZ40" s="440">
        <v>0</v>
      </c>
      <c r="BA40" s="440">
        <v>0</v>
      </c>
      <c r="BB40" s="440">
        <v>0</v>
      </c>
      <c r="BC40" s="440">
        <v>0</v>
      </c>
      <c r="BD40" s="440">
        <v>0</v>
      </c>
      <c r="BE40" s="440">
        <v>0</v>
      </c>
      <c r="BF40" s="440">
        <v>0</v>
      </c>
      <c r="BG40" s="440">
        <v>0</v>
      </c>
      <c r="BH40" s="440">
        <v>0</v>
      </c>
      <c r="BI40" s="440">
        <v>0</v>
      </c>
      <c r="BJ40" s="440">
        <v>0</v>
      </c>
      <c r="BK40" s="440">
        <v>0</v>
      </c>
      <c r="BL40" s="440">
        <v>0</v>
      </c>
      <c r="BM40" s="440">
        <v>0</v>
      </c>
      <c r="BN40" s="440">
        <v>0</v>
      </c>
      <c r="BO40" s="440">
        <v>0</v>
      </c>
      <c r="BP40" s="440">
        <v>0</v>
      </c>
      <c r="BQ40" s="440">
        <v>0</v>
      </c>
      <c r="BR40" s="415">
        <f t="shared" si="25"/>
        <v>0.75</v>
      </c>
      <c r="BS40" s="415">
        <f t="shared" si="26"/>
        <v>0.76249999999999996</v>
      </c>
      <c r="BT40" s="935"/>
      <c r="BU40" s="935"/>
      <c r="BV40" s="935"/>
      <c r="BW40" s="935"/>
      <c r="BX40" s="935"/>
      <c r="BY40" s="935"/>
      <c r="BZ40" s="935"/>
      <c r="CA40" s="935"/>
      <c r="CB40" s="935"/>
      <c r="CC40" s="935"/>
      <c r="CD40" s="935"/>
      <c r="CE40" s="935"/>
      <c r="CF40" s="935"/>
      <c r="CG40" s="935"/>
      <c r="CH40" s="935"/>
      <c r="CI40" s="935"/>
      <c r="CJ40" s="935"/>
      <c r="CK40" s="935"/>
      <c r="CL40" s="935"/>
      <c r="CM40" s="935"/>
      <c r="CN40" s="935"/>
      <c r="CO40" s="935"/>
      <c r="CP40" s="935"/>
      <c r="CQ40" s="935"/>
      <c r="CR40" s="935"/>
      <c r="CS40" s="935"/>
      <c r="CT40" s="935"/>
      <c r="CU40" s="935"/>
      <c r="CV40" s="935"/>
    </row>
    <row r="41" spans="1:100" s="375" customFormat="1" ht="14.9" customHeight="1">
      <c r="A41" s="375">
        <f t="shared" si="10"/>
        <v>8</v>
      </c>
      <c r="B41" s="455">
        <v>44413</v>
      </c>
      <c r="C41" s="445" t="s">
        <v>2053</v>
      </c>
      <c r="D41" s="376" t="str">
        <f>IFERROR(VLOOKUP(E:E,'Item Data Support Sheet'!A:O,7,0),"")</f>
        <v>BOTTLE MOLDED</v>
      </c>
      <c r="E41" s="446" t="s">
        <v>113</v>
      </c>
      <c r="F41" s="508" t="s">
        <v>1681</v>
      </c>
      <c r="G41" s="376" t="s">
        <v>1888</v>
      </c>
      <c r="H41" s="602" t="str">
        <f>IFERROR(VLOOKUP(E:E,'Item Data Support Sheet'!A:O,2,0),"")</f>
        <v>KPP BOTTLE 200 ML MOULDED-WMG3B</v>
      </c>
      <c r="I41" s="447" t="s">
        <v>2234</v>
      </c>
      <c r="J41" s="447" t="s">
        <v>2809</v>
      </c>
      <c r="K41" s="438">
        <v>8</v>
      </c>
      <c r="L41" s="439">
        <v>2503</v>
      </c>
      <c r="M41" s="366">
        <f t="shared" si="27"/>
        <v>312.875</v>
      </c>
      <c r="N41" s="367">
        <f t="shared" si="2"/>
        <v>2986</v>
      </c>
      <c r="O41" s="61">
        <v>2916</v>
      </c>
      <c r="P41" s="368">
        <v>0</v>
      </c>
      <c r="Q41" s="369">
        <v>25</v>
      </c>
      <c r="R41" s="370">
        <v>0</v>
      </c>
      <c r="S41" s="370">
        <v>0</v>
      </c>
      <c r="T41" s="370">
        <v>45</v>
      </c>
      <c r="U41" s="370">
        <v>0</v>
      </c>
      <c r="V41" s="450">
        <v>1</v>
      </c>
      <c r="W41" s="453">
        <f t="shared" si="11"/>
        <v>2916</v>
      </c>
      <c r="X41" s="748">
        <f t="shared" si="12"/>
        <v>1.1650019976028765</v>
      </c>
      <c r="Y41" s="451" t="str">
        <f>IFERROR(VLOOKUP(E:E,'Item Data Support Sheet'!A:J,6,0),0)</f>
        <v>WMG3B</v>
      </c>
      <c r="Z41" s="428">
        <f>IFERROR(VLOOKUP(E:E,'Item Data Support Sheet'!A:O,4,0),0)</f>
        <v>28.6</v>
      </c>
      <c r="AA41" s="428">
        <f t="shared" si="13"/>
        <v>85.399600000000007</v>
      </c>
      <c r="AB41" s="429">
        <f t="shared" si="14"/>
        <v>0.9765572672471533</v>
      </c>
      <c r="AC41" s="424">
        <f t="shared" si="15"/>
        <v>1.5197568389057751E-2</v>
      </c>
      <c r="AD41" s="371">
        <f t="shared" si="16"/>
        <v>8.3028894055131187E-3</v>
      </c>
      <c r="AE41" s="748">
        <f t="shared" si="17"/>
        <v>0.98492967180174151</v>
      </c>
      <c r="AF41" s="417">
        <f t="shared" si="18"/>
        <v>0</v>
      </c>
      <c r="AG41" s="416">
        <f t="shared" si="19"/>
        <v>8</v>
      </c>
      <c r="AH41" s="372">
        <f t="shared" si="20"/>
        <v>1</v>
      </c>
      <c r="AI41" s="373">
        <f t="shared" si="21"/>
        <v>364.5</v>
      </c>
      <c r="AJ41" s="418">
        <f>VLOOKUP(D41,'Standard Cycle time'!C:D,2,0)</f>
        <v>9</v>
      </c>
      <c r="AK41" s="418">
        <f t="shared" si="22"/>
        <v>9.8765432098765427</v>
      </c>
      <c r="AL41" s="374">
        <f t="shared" si="23"/>
        <v>0.91125</v>
      </c>
      <c r="AM41" s="372">
        <f t="shared" si="24"/>
        <v>0.89751716342933696</v>
      </c>
      <c r="AN41" s="799">
        <v>2232</v>
      </c>
      <c r="AO41" s="761"/>
      <c r="AP41" s="440">
        <v>0</v>
      </c>
      <c r="AQ41" s="440">
        <v>0</v>
      </c>
      <c r="AR41" s="440">
        <v>0</v>
      </c>
      <c r="AS41" s="440">
        <v>0</v>
      </c>
      <c r="AT41" s="440">
        <v>0</v>
      </c>
      <c r="AU41" s="440">
        <v>0</v>
      </c>
      <c r="AV41" s="440">
        <v>0</v>
      </c>
      <c r="AW41" s="440">
        <v>0</v>
      </c>
      <c r="AX41" s="440">
        <v>0</v>
      </c>
      <c r="AY41" s="440">
        <v>0</v>
      </c>
      <c r="AZ41" s="440">
        <v>0</v>
      </c>
      <c r="BA41" s="440">
        <v>0</v>
      </c>
      <c r="BB41" s="440">
        <v>0</v>
      </c>
      <c r="BC41" s="440">
        <v>0</v>
      </c>
      <c r="BD41" s="440">
        <v>0</v>
      </c>
      <c r="BE41" s="440">
        <v>0</v>
      </c>
      <c r="BF41" s="440">
        <v>0</v>
      </c>
      <c r="BG41" s="440">
        <v>0</v>
      </c>
      <c r="BH41" s="440">
        <v>0</v>
      </c>
      <c r="BI41" s="440">
        <v>0</v>
      </c>
      <c r="BJ41" s="440">
        <v>0</v>
      </c>
      <c r="BK41" s="440">
        <v>0</v>
      </c>
      <c r="BL41" s="440">
        <v>0</v>
      </c>
      <c r="BM41" s="440">
        <v>0</v>
      </c>
      <c r="BN41" s="440">
        <v>0</v>
      </c>
      <c r="BO41" s="440">
        <v>0</v>
      </c>
      <c r="BP41" s="440">
        <v>0</v>
      </c>
      <c r="BQ41" s="440">
        <v>0</v>
      </c>
      <c r="BR41" s="415">
        <f t="shared" si="25"/>
        <v>0</v>
      </c>
      <c r="BS41" s="415">
        <f t="shared" si="26"/>
        <v>0</v>
      </c>
      <c r="BT41" s="935"/>
      <c r="BU41" s="935"/>
      <c r="BV41" s="935"/>
      <c r="BW41" s="935"/>
      <c r="BX41" s="935"/>
      <c r="BY41" s="935"/>
      <c r="BZ41" s="935"/>
      <c r="CA41" s="935"/>
      <c r="CB41" s="935"/>
      <c r="CC41" s="935"/>
      <c r="CD41" s="935"/>
      <c r="CE41" s="935"/>
      <c r="CF41" s="935"/>
      <c r="CG41" s="935"/>
      <c r="CH41" s="935"/>
      <c r="CI41" s="935"/>
      <c r="CJ41" s="935"/>
      <c r="CK41" s="935"/>
      <c r="CL41" s="935"/>
      <c r="CM41" s="935"/>
      <c r="CN41" s="935"/>
      <c r="CO41" s="935"/>
      <c r="CP41" s="935"/>
      <c r="CQ41" s="935"/>
      <c r="CR41" s="935"/>
      <c r="CS41" s="935"/>
      <c r="CT41" s="935"/>
      <c r="CU41" s="935"/>
      <c r="CV41" s="935"/>
    </row>
    <row r="42" spans="1:100" s="375" customFormat="1" ht="14.9" customHeight="1">
      <c r="A42" s="375">
        <f t="shared" si="10"/>
        <v>8</v>
      </c>
      <c r="B42" s="455">
        <v>44413</v>
      </c>
      <c r="C42" s="445" t="s">
        <v>2053</v>
      </c>
      <c r="D42" s="376" t="str">
        <f>IFERROR(VLOOKUP(E:E,'Item Data Support Sheet'!A:O,7,0),"")</f>
        <v>CAP MOLDED</v>
      </c>
      <c r="E42" s="446" t="s">
        <v>2106</v>
      </c>
      <c r="G42" s="447" t="s">
        <v>2220</v>
      </c>
      <c r="H42" s="602" t="str">
        <f>IFERROR(VLOOKUP(E:E,'Item Data Support Sheet'!A:O,2,0),"")</f>
        <v>CAP S TYPE MOLDED RED</v>
      </c>
      <c r="I42" s="447" t="s">
        <v>2235</v>
      </c>
      <c r="J42" s="447" t="s">
        <v>2809</v>
      </c>
      <c r="K42" s="438">
        <v>8</v>
      </c>
      <c r="L42" s="439">
        <v>4137</v>
      </c>
      <c r="M42" s="366">
        <f t="shared" si="27"/>
        <v>517.125</v>
      </c>
      <c r="N42" s="367">
        <f t="shared" si="2"/>
        <v>4012</v>
      </c>
      <c r="O42" s="61">
        <v>4000</v>
      </c>
      <c r="P42" s="368">
        <v>0</v>
      </c>
      <c r="Q42" s="369">
        <v>0</v>
      </c>
      <c r="R42" s="370">
        <v>0</v>
      </c>
      <c r="S42" s="370">
        <v>0</v>
      </c>
      <c r="T42" s="370">
        <v>4</v>
      </c>
      <c r="U42" s="370">
        <v>8</v>
      </c>
      <c r="V42" s="450">
        <v>1</v>
      </c>
      <c r="W42" s="453">
        <f t="shared" si="11"/>
        <v>4000</v>
      </c>
      <c r="X42" s="748">
        <f t="shared" si="12"/>
        <v>0.96688421561518012</v>
      </c>
      <c r="Y42" s="451" t="str">
        <f>IFERROR(VLOOKUP(E:E,'Item Data Support Sheet'!A:J,6,0),0)</f>
        <v>FO153</v>
      </c>
      <c r="Z42" s="428">
        <f>IFERROR(VLOOKUP(E:E,'Item Data Support Sheet'!A:O,4,0),0)</f>
        <v>7.3</v>
      </c>
      <c r="AA42" s="428">
        <f t="shared" si="13"/>
        <v>29.287600000000001</v>
      </c>
      <c r="AB42" s="429">
        <f t="shared" si="14"/>
        <v>0.99700897308075764</v>
      </c>
      <c r="AC42" s="424">
        <f t="shared" si="15"/>
        <v>9.99000999000999E-4</v>
      </c>
      <c r="AD42" s="371">
        <f t="shared" si="16"/>
        <v>0</v>
      </c>
      <c r="AE42" s="748">
        <f t="shared" si="17"/>
        <v>0.99900299102691925</v>
      </c>
      <c r="AF42" s="417">
        <f t="shared" si="18"/>
        <v>0</v>
      </c>
      <c r="AG42" s="416">
        <f t="shared" si="19"/>
        <v>8</v>
      </c>
      <c r="AH42" s="372">
        <f t="shared" si="20"/>
        <v>1</v>
      </c>
      <c r="AI42" s="373">
        <f t="shared" si="21"/>
        <v>500</v>
      </c>
      <c r="AJ42" s="418">
        <f>VLOOKUP(D42,'Standard Cycle time'!C:D,2,0)</f>
        <v>6</v>
      </c>
      <c r="AK42" s="418">
        <f t="shared" si="22"/>
        <v>7.2</v>
      </c>
      <c r="AL42" s="374">
        <f t="shared" si="23"/>
        <v>0.83333333333333326</v>
      </c>
      <c r="AM42" s="372">
        <f t="shared" si="24"/>
        <v>0.83250249252243269</v>
      </c>
      <c r="AN42" s="799">
        <v>2687</v>
      </c>
      <c r="AO42" s="761"/>
      <c r="AP42" s="440">
        <v>0</v>
      </c>
      <c r="AQ42" s="440">
        <v>0</v>
      </c>
      <c r="AR42" s="440">
        <v>0</v>
      </c>
      <c r="AS42" s="440">
        <v>0</v>
      </c>
      <c r="AT42" s="440">
        <v>0</v>
      </c>
      <c r="AU42" s="440">
        <v>0</v>
      </c>
      <c r="AV42" s="440">
        <v>0</v>
      </c>
      <c r="AW42" s="440">
        <v>0</v>
      </c>
      <c r="AX42" s="440">
        <v>0</v>
      </c>
      <c r="AY42" s="440">
        <v>0</v>
      </c>
      <c r="AZ42" s="440">
        <v>0</v>
      </c>
      <c r="BA42" s="440">
        <v>0</v>
      </c>
      <c r="BB42" s="440">
        <v>0</v>
      </c>
      <c r="BC42" s="440">
        <v>0</v>
      </c>
      <c r="BD42" s="440">
        <v>0</v>
      </c>
      <c r="BE42" s="440">
        <v>0</v>
      </c>
      <c r="BF42" s="440">
        <v>0</v>
      </c>
      <c r="BG42" s="440">
        <v>0</v>
      </c>
      <c r="BH42" s="440">
        <v>0</v>
      </c>
      <c r="BI42" s="440">
        <v>0</v>
      </c>
      <c r="BJ42" s="440">
        <v>0</v>
      </c>
      <c r="BK42" s="440">
        <v>0</v>
      </c>
      <c r="BL42" s="440">
        <v>0</v>
      </c>
      <c r="BM42" s="440">
        <v>0</v>
      </c>
      <c r="BN42" s="440">
        <v>0</v>
      </c>
      <c r="BO42" s="440">
        <v>0</v>
      </c>
      <c r="BP42" s="440">
        <v>0</v>
      </c>
      <c r="BQ42" s="440">
        <v>0</v>
      </c>
      <c r="BR42" s="415">
        <f t="shared" si="25"/>
        <v>0</v>
      </c>
      <c r="BS42" s="415">
        <f t="shared" si="26"/>
        <v>0</v>
      </c>
      <c r="BT42" s="935"/>
      <c r="BU42" s="935"/>
      <c r="BV42" s="935"/>
      <c r="BW42" s="935"/>
      <c r="BX42" s="935"/>
      <c r="BY42" s="935"/>
      <c r="BZ42" s="935"/>
      <c r="CA42" s="935"/>
      <c r="CB42" s="935"/>
      <c r="CC42" s="935"/>
      <c r="CD42" s="935"/>
      <c r="CE42" s="935"/>
      <c r="CF42" s="935"/>
      <c r="CG42" s="935"/>
      <c r="CH42" s="935"/>
      <c r="CI42" s="935"/>
      <c r="CJ42" s="935"/>
      <c r="CK42" s="935"/>
      <c r="CL42" s="935"/>
      <c r="CM42" s="935"/>
      <c r="CN42" s="935"/>
      <c r="CO42" s="935"/>
      <c r="CP42" s="935"/>
      <c r="CQ42" s="935"/>
      <c r="CR42" s="935"/>
      <c r="CS42" s="935"/>
      <c r="CT42" s="935"/>
      <c r="CU42" s="935"/>
      <c r="CV42" s="935"/>
    </row>
    <row r="43" spans="1:100" s="375" customFormat="1" ht="14.9" customHeight="1">
      <c r="A43" s="375">
        <f t="shared" si="10"/>
        <v>8</v>
      </c>
      <c r="B43" s="455">
        <v>44414</v>
      </c>
      <c r="C43" s="445" t="s">
        <v>1980</v>
      </c>
      <c r="D43" s="376" t="str">
        <f>IFERROR(VLOOKUP(E:E,'Item Data Support Sheet'!A:O,7,0),"")</f>
        <v>NIPPLE MOLDED</v>
      </c>
      <c r="E43" s="446" t="s">
        <v>73</v>
      </c>
      <c r="F43" s="447" t="s">
        <v>1678</v>
      </c>
      <c r="G43" s="376" t="s">
        <v>1691</v>
      </c>
      <c r="H43" s="602" t="str">
        <f>IFERROR(VLOOKUP(E:E,'Item Data Support Sheet'!A:O,2,0),"")</f>
        <v>NIPPLE S TYPE M SIZE INJECTION</v>
      </c>
      <c r="I43" s="447" t="s">
        <v>2238</v>
      </c>
      <c r="J43" s="447" t="s">
        <v>2808</v>
      </c>
      <c r="K43" s="438">
        <v>8</v>
      </c>
      <c r="L43" s="439">
        <v>4815</v>
      </c>
      <c r="M43" s="366">
        <f t="shared" si="27"/>
        <v>601.875</v>
      </c>
      <c r="N43" s="367">
        <f t="shared" si="2"/>
        <v>2788</v>
      </c>
      <c r="O43" s="61">
        <v>2600</v>
      </c>
      <c r="P43" s="368">
        <v>1.8</v>
      </c>
      <c r="Q43" s="369">
        <v>110</v>
      </c>
      <c r="R43" s="370">
        <v>0</v>
      </c>
      <c r="S43" s="370">
        <v>0</v>
      </c>
      <c r="T43" s="370">
        <v>70</v>
      </c>
      <c r="U43" s="370">
        <v>8</v>
      </c>
      <c r="V43" s="450">
        <v>1</v>
      </c>
      <c r="W43" s="453">
        <f t="shared" si="11"/>
        <v>2600</v>
      </c>
      <c r="X43" s="748">
        <f t="shared" si="12"/>
        <v>0.53997923156801664</v>
      </c>
      <c r="Y43" s="451" t="str">
        <f>IFERROR(VLOOKUP(E:E,'Item Data Support Sheet'!A:J,6,0),0)</f>
        <v>Silicon</v>
      </c>
      <c r="Z43" s="428">
        <f>IFERROR(VLOOKUP(E:E,'Item Data Support Sheet'!A:O,4,0),0)</f>
        <v>6.8</v>
      </c>
      <c r="AA43" s="428">
        <f t="shared" si="13"/>
        <v>20.758399999999998</v>
      </c>
      <c r="AB43" s="429">
        <f t="shared" si="14"/>
        <v>0.85170340681362733</v>
      </c>
      <c r="AC43" s="424">
        <f t="shared" si="15"/>
        <v>2.6217228464419477E-2</v>
      </c>
      <c r="AD43" s="371">
        <f t="shared" si="16"/>
        <v>3.7957211870255352E-2</v>
      </c>
      <c r="AE43" s="748">
        <f t="shared" si="17"/>
        <v>0.97489239598278332</v>
      </c>
      <c r="AF43" s="417">
        <f t="shared" si="18"/>
        <v>4</v>
      </c>
      <c r="AG43" s="416">
        <f t="shared" si="19"/>
        <v>4</v>
      </c>
      <c r="AH43" s="372">
        <f t="shared" si="20"/>
        <v>0.5</v>
      </c>
      <c r="AI43" s="373">
        <f t="shared" si="21"/>
        <v>325</v>
      </c>
      <c r="AJ43" s="418">
        <f>VLOOKUP(D43,'Standard Cycle time'!C:D,2,0)</f>
        <v>5.25</v>
      </c>
      <c r="AK43" s="418">
        <f t="shared" si="22"/>
        <v>5.5384615384615383</v>
      </c>
      <c r="AL43" s="374">
        <f t="shared" si="23"/>
        <v>0.94791666666666674</v>
      </c>
      <c r="AM43" s="372">
        <f t="shared" si="24"/>
        <v>0.46205837517934006</v>
      </c>
      <c r="AN43" s="799">
        <v>2236</v>
      </c>
      <c r="AO43" s="761" t="s">
        <v>2241</v>
      </c>
      <c r="AP43" s="440">
        <v>0</v>
      </c>
      <c r="AQ43" s="440">
        <v>0</v>
      </c>
      <c r="AR43" s="440">
        <v>0</v>
      </c>
      <c r="AS43" s="440">
        <v>0</v>
      </c>
      <c r="AT43" s="440">
        <v>0</v>
      </c>
      <c r="AU43" s="440">
        <v>120</v>
      </c>
      <c r="AV43" s="440">
        <v>0</v>
      </c>
      <c r="AW43" s="440">
        <v>70</v>
      </c>
      <c r="AX43" s="440">
        <v>50</v>
      </c>
      <c r="AY43" s="440">
        <v>0</v>
      </c>
      <c r="AZ43" s="440">
        <v>0</v>
      </c>
      <c r="BA43" s="440">
        <v>0</v>
      </c>
      <c r="BB43" s="440">
        <v>0</v>
      </c>
      <c r="BC43" s="440">
        <v>0</v>
      </c>
      <c r="BD43" s="440">
        <v>0</v>
      </c>
      <c r="BE43" s="440">
        <v>0</v>
      </c>
      <c r="BF43" s="440">
        <v>0</v>
      </c>
      <c r="BG43" s="440">
        <v>0</v>
      </c>
      <c r="BH43" s="440">
        <v>0</v>
      </c>
      <c r="BI43" s="440">
        <v>0</v>
      </c>
      <c r="BJ43" s="440">
        <v>0</v>
      </c>
      <c r="BK43" s="440">
        <v>0</v>
      </c>
      <c r="BL43" s="440">
        <v>0</v>
      </c>
      <c r="BM43" s="440">
        <v>0</v>
      </c>
      <c r="BN43" s="440">
        <v>0</v>
      </c>
      <c r="BO43" s="440">
        <v>0</v>
      </c>
      <c r="BP43" s="440">
        <v>0</v>
      </c>
      <c r="BQ43" s="440">
        <v>0</v>
      </c>
      <c r="BR43" s="415">
        <f t="shared" si="25"/>
        <v>4</v>
      </c>
      <c r="BS43" s="415">
        <f t="shared" si="26"/>
        <v>4.0666666666666664</v>
      </c>
      <c r="BT43" s="935"/>
      <c r="BU43" s="935"/>
      <c r="BV43" s="935"/>
      <c r="BW43" s="935"/>
      <c r="BX43" s="935"/>
      <c r="BY43" s="935"/>
      <c r="BZ43" s="935"/>
      <c r="CA43" s="935"/>
      <c r="CB43" s="935"/>
      <c r="CC43" s="935"/>
      <c r="CD43" s="935"/>
      <c r="CE43" s="935"/>
      <c r="CF43" s="935"/>
      <c r="CG43" s="935"/>
      <c r="CH43" s="935"/>
      <c r="CI43" s="935"/>
      <c r="CJ43" s="935"/>
      <c r="CK43" s="935"/>
      <c r="CL43" s="935"/>
      <c r="CM43" s="935"/>
      <c r="CN43" s="935"/>
      <c r="CO43" s="935"/>
      <c r="CP43" s="935"/>
      <c r="CQ43" s="935"/>
      <c r="CR43" s="935"/>
      <c r="CS43" s="935"/>
      <c r="CT43" s="935"/>
      <c r="CU43" s="935"/>
      <c r="CV43" s="935"/>
    </row>
    <row r="44" spans="1:100" s="375" customFormat="1" ht="14.9" customHeight="1">
      <c r="A44" s="375">
        <f t="shared" si="10"/>
        <v>8</v>
      </c>
      <c r="B44" s="455">
        <v>44414</v>
      </c>
      <c r="C44" s="445" t="s">
        <v>1980</v>
      </c>
      <c r="D44" s="376" t="str">
        <f>IFERROR(VLOOKUP(E:E,'Item Data Support Sheet'!A:O,7,0),"")</f>
        <v>NIPPLE PUNCH</v>
      </c>
      <c r="E44" s="446" t="s">
        <v>81</v>
      </c>
      <c r="F44" s="447"/>
      <c r="G44" s="376" t="s">
        <v>1692</v>
      </c>
      <c r="H44" s="602" t="str">
        <f>IFERROR(VLOOKUP(E:E,'Item Data Support Sheet'!A:O,2,0),"")</f>
        <v>NIPPLE S TYPE M SIZE PUNCHED</v>
      </c>
      <c r="I44" s="447" t="s">
        <v>2229</v>
      </c>
      <c r="J44" s="447" t="s">
        <v>2808</v>
      </c>
      <c r="K44" s="438">
        <v>8</v>
      </c>
      <c r="L44" s="439">
        <v>7036</v>
      </c>
      <c r="M44" s="366">
        <f t="shared" si="27"/>
        <v>879.5</v>
      </c>
      <c r="N44" s="367">
        <f t="shared" si="2"/>
        <v>6800</v>
      </c>
      <c r="O44" s="61">
        <f>6800-8</f>
        <v>6792</v>
      </c>
      <c r="P44" s="368">
        <v>0</v>
      </c>
      <c r="Q44" s="369">
        <v>0</v>
      </c>
      <c r="R44" s="370">
        <v>0</v>
      </c>
      <c r="S44" s="370">
        <v>0</v>
      </c>
      <c r="T44" s="370">
        <v>8</v>
      </c>
      <c r="U44" s="370">
        <v>0</v>
      </c>
      <c r="V44" s="450">
        <v>1</v>
      </c>
      <c r="W44" s="453">
        <f t="shared" si="11"/>
        <v>6792</v>
      </c>
      <c r="X44" s="748">
        <f t="shared" si="12"/>
        <v>0.96532120523024445</v>
      </c>
      <c r="Y44" s="451" t="str">
        <f>IFERROR(VLOOKUP(E:E,'Item Data Support Sheet'!A:J,6,0),0)</f>
        <v>FO016</v>
      </c>
      <c r="Z44" s="428">
        <f>IFERROR(VLOOKUP(E:E,'Item Data Support Sheet'!A:O,4,0),0)</f>
        <v>0</v>
      </c>
      <c r="AA44" s="428">
        <f t="shared" si="13"/>
        <v>0</v>
      </c>
      <c r="AB44" s="429" t="str">
        <f t="shared" si="14"/>
        <v xml:space="preserve"> </v>
      </c>
      <c r="AC44" s="424">
        <f t="shared" si="15"/>
        <v>1.176470588235294E-3</v>
      </c>
      <c r="AD44" s="371">
        <f t="shared" si="16"/>
        <v>0</v>
      </c>
      <c r="AE44" s="748">
        <f t="shared" si="17"/>
        <v>0.99882352941176467</v>
      </c>
      <c r="AF44" s="417">
        <f t="shared" si="18"/>
        <v>0.66666666666666663</v>
      </c>
      <c r="AG44" s="416">
        <f t="shared" si="19"/>
        <v>7.333333333333333</v>
      </c>
      <c r="AH44" s="372">
        <f t="shared" si="20"/>
        <v>0.91666666666666663</v>
      </c>
      <c r="AI44" s="373">
        <f t="shared" si="21"/>
        <v>849</v>
      </c>
      <c r="AJ44" s="418">
        <f>VLOOKUP(D44,'Standard Cycle time'!C:D,2,0)</f>
        <v>3.5</v>
      </c>
      <c r="AK44" s="418">
        <f t="shared" si="22"/>
        <v>3.8869257950530036</v>
      </c>
      <c r="AL44" s="374">
        <f t="shared" si="23"/>
        <v>0.9004545454545454</v>
      </c>
      <c r="AM44" s="372">
        <f t="shared" si="24"/>
        <v>0.82444558823529401</v>
      </c>
      <c r="AN44" s="799" t="s">
        <v>2237</v>
      </c>
      <c r="AO44" s="929"/>
      <c r="AP44" s="440">
        <v>40</v>
      </c>
      <c r="AQ44" s="440">
        <v>0</v>
      </c>
      <c r="AR44" s="440">
        <v>0</v>
      </c>
      <c r="AS44" s="440">
        <v>0</v>
      </c>
      <c r="AT44" s="440">
        <v>0</v>
      </c>
      <c r="AU44" s="440">
        <v>0</v>
      </c>
      <c r="AV44" s="440">
        <v>0</v>
      </c>
      <c r="AW44" s="440">
        <v>0</v>
      </c>
      <c r="AX44" s="440">
        <v>0</v>
      </c>
      <c r="AY44" s="440">
        <v>0</v>
      </c>
      <c r="AZ44" s="440">
        <v>0</v>
      </c>
      <c r="BA44" s="440">
        <v>0</v>
      </c>
      <c r="BB44" s="440">
        <v>0</v>
      </c>
      <c r="BC44" s="440">
        <v>0</v>
      </c>
      <c r="BD44" s="440">
        <v>0</v>
      </c>
      <c r="BE44" s="440">
        <v>0</v>
      </c>
      <c r="BF44" s="440">
        <v>0</v>
      </c>
      <c r="BG44" s="440">
        <v>0</v>
      </c>
      <c r="BH44" s="440">
        <v>0</v>
      </c>
      <c r="BI44" s="440">
        <v>0</v>
      </c>
      <c r="BJ44" s="440">
        <v>0</v>
      </c>
      <c r="BK44" s="440">
        <v>0</v>
      </c>
      <c r="BL44" s="440">
        <v>0</v>
      </c>
      <c r="BM44" s="440">
        <v>0</v>
      </c>
      <c r="BN44" s="440">
        <v>0</v>
      </c>
      <c r="BO44" s="440">
        <v>0</v>
      </c>
      <c r="BP44" s="440">
        <v>0</v>
      </c>
      <c r="BQ44" s="440">
        <v>0</v>
      </c>
      <c r="BR44" s="415">
        <f t="shared" si="25"/>
        <v>0.66666666666666663</v>
      </c>
      <c r="BS44" s="415">
        <f t="shared" si="26"/>
        <v>0.6777777777777777</v>
      </c>
      <c r="BT44" s="935"/>
      <c r="BU44" s="935"/>
      <c r="BV44" s="935"/>
      <c r="BW44" s="935"/>
      <c r="BX44" s="935"/>
      <c r="BY44" s="935"/>
      <c r="BZ44" s="935"/>
      <c r="CA44" s="935"/>
      <c r="CB44" s="935"/>
      <c r="CC44" s="935"/>
      <c r="CD44" s="935"/>
      <c r="CE44" s="935"/>
      <c r="CF44" s="935"/>
      <c r="CG44" s="935"/>
      <c r="CH44" s="935"/>
      <c r="CI44" s="935"/>
      <c r="CJ44" s="935"/>
      <c r="CK44" s="935"/>
      <c r="CL44" s="935"/>
      <c r="CM44" s="935"/>
      <c r="CN44" s="935"/>
      <c r="CO44" s="935"/>
      <c r="CP44" s="935"/>
      <c r="CQ44" s="935"/>
      <c r="CR44" s="935"/>
      <c r="CS44" s="935"/>
      <c r="CT44" s="935"/>
      <c r="CU44" s="935"/>
      <c r="CV44" s="935"/>
    </row>
    <row r="45" spans="1:100" s="375" customFormat="1" ht="14.9" customHeight="1">
      <c r="A45" s="375">
        <f t="shared" si="10"/>
        <v>8</v>
      </c>
      <c r="B45" s="455">
        <v>44414</v>
      </c>
      <c r="C45" s="445" t="s">
        <v>1980</v>
      </c>
      <c r="D45" s="376" t="str">
        <f>IFERROR(VLOOKUP(E:E,'Item Data Support Sheet'!A:O,7,0),"")</f>
        <v>CAP MOLDED</v>
      </c>
      <c r="E45" s="446" t="s">
        <v>2106</v>
      </c>
      <c r="F45" s="447"/>
      <c r="G45" s="376" t="s">
        <v>2220</v>
      </c>
      <c r="H45" s="602" t="str">
        <f>IFERROR(VLOOKUP(E:E,'Item Data Support Sheet'!A:O,2,0),"")</f>
        <v>CAP S TYPE MOLDED RED</v>
      </c>
      <c r="I45" s="501" t="s">
        <v>2239</v>
      </c>
      <c r="J45" s="447" t="s">
        <v>2808</v>
      </c>
      <c r="K45" s="438">
        <v>8</v>
      </c>
      <c r="L45" s="820">
        <v>4137</v>
      </c>
      <c r="M45" s="366">
        <f t="shared" si="27"/>
        <v>517.125</v>
      </c>
      <c r="N45" s="367">
        <f t="shared" si="2"/>
        <v>4910</v>
      </c>
      <c r="O45" s="61">
        <v>4900</v>
      </c>
      <c r="P45" s="368">
        <v>0</v>
      </c>
      <c r="Q45" s="369">
        <v>0</v>
      </c>
      <c r="R45" s="370">
        <v>0</v>
      </c>
      <c r="S45" s="370">
        <v>0</v>
      </c>
      <c r="T45" s="370">
        <v>10</v>
      </c>
      <c r="U45" s="370">
        <v>0</v>
      </c>
      <c r="V45" s="450">
        <v>1</v>
      </c>
      <c r="W45" s="453">
        <f t="shared" si="11"/>
        <v>4900</v>
      </c>
      <c r="X45" s="748">
        <f t="shared" si="12"/>
        <v>1.1844331641285957</v>
      </c>
      <c r="Y45" s="451" t="str">
        <f>IFERROR(VLOOKUP(E:E,'Item Data Support Sheet'!A:J,6,0),0)</f>
        <v>FO153</v>
      </c>
      <c r="Z45" s="428">
        <f>IFERROR(VLOOKUP(E:E,'Item Data Support Sheet'!A:O,4,0),0)</f>
        <v>7.3</v>
      </c>
      <c r="AA45" s="428">
        <f t="shared" si="13"/>
        <v>35.843000000000004</v>
      </c>
      <c r="AB45" s="429">
        <f t="shared" si="14"/>
        <v>0.99796334012219956</v>
      </c>
      <c r="AC45" s="424">
        <f t="shared" si="15"/>
        <v>2.0366598778004071E-3</v>
      </c>
      <c r="AD45" s="371">
        <f t="shared" si="16"/>
        <v>0</v>
      </c>
      <c r="AE45" s="748">
        <f t="shared" si="17"/>
        <v>0.99796334012219956</v>
      </c>
      <c r="AF45" s="417">
        <f t="shared" si="18"/>
        <v>0</v>
      </c>
      <c r="AG45" s="416">
        <f t="shared" si="19"/>
        <v>8</v>
      </c>
      <c r="AH45" s="372">
        <f t="shared" si="20"/>
        <v>1</v>
      </c>
      <c r="AI45" s="373">
        <f t="shared" si="21"/>
        <v>612.5</v>
      </c>
      <c r="AJ45" s="418">
        <f>VLOOKUP(D45,'Standard Cycle time'!C:D,2,0)</f>
        <v>6</v>
      </c>
      <c r="AK45" s="418">
        <f t="shared" si="22"/>
        <v>5.8775510204081636</v>
      </c>
      <c r="AL45" s="374">
        <f t="shared" si="23"/>
        <v>1.0208333333333333</v>
      </c>
      <c r="AM45" s="372">
        <f t="shared" si="24"/>
        <v>1.018754243041412</v>
      </c>
      <c r="AN45" s="799">
        <v>2687</v>
      </c>
      <c r="AO45" s="761"/>
      <c r="AP45" s="440">
        <v>0</v>
      </c>
      <c r="AQ45" s="440">
        <v>0</v>
      </c>
      <c r="AR45" s="440">
        <v>0</v>
      </c>
      <c r="AS45" s="440">
        <v>0</v>
      </c>
      <c r="AT45" s="440">
        <v>0</v>
      </c>
      <c r="AU45" s="440">
        <v>0</v>
      </c>
      <c r="AV45" s="440">
        <v>0</v>
      </c>
      <c r="AW45" s="440">
        <v>0</v>
      </c>
      <c r="AX45" s="440">
        <v>0</v>
      </c>
      <c r="AY45" s="440">
        <v>0</v>
      </c>
      <c r="AZ45" s="440">
        <v>0</v>
      </c>
      <c r="BA45" s="440">
        <v>0</v>
      </c>
      <c r="BB45" s="440">
        <v>0</v>
      </c>
      <c r="BC45" s="440">
        <v>0</v>
      </c>
      <c r="BD45" s="440">
        <v>0</v>
      </c>
      <c r="BE45" s="440">
        <v>0</v>
      </c>
      <c r="BF45" s="440">
        <v>0</v>
      </c>
      <c r="BG45" s="440">
        <v>0</v>
      </c>
      <c r="BH45" s="440">
        <v>0</v>
      </c>
      <c r="BI45" s="440">
        <v>0</v>
      </c>
      <c r="BJ45" s="440">
        <v>0</v>
      </c>
      <c r="BK45" s="440">
        <v>0</v>
      </c>
      <c r="BL45" s="440">
        <v>0</v>
      </c>
      <c r="BM45" s="440">
        <v>0</v>
      </c>
      <c r="BN45" s="440">
        <v>0</v>
      </c>
      <c r="BO45" s="440">
        <v>0</v>
      </c>
      <c r="BP45" s="440">
        <v>0</v>
      </c>
      <c r="BQ45" s="440">
        <v>0</v>
      </c>
      <c r="BR45" s="415">
        <f>SUM(AP45:BQ45)/60</f>
        <v>0</v>
      </c>
      <c r="BS45" s="415">
        <f>SUM(AP45:BR45)/60</f>
        <v>0</v>
      </c>
      <c r="BT45" s="935"/>
      <c r="BU45" s="935"/>
      <c r="BV45" s="935"/>
      <c r="BW45" s="935"/>
      <c r="BX45" s="935"/>
      <c r="BY45" s="935"/>
      <c r="BZ45" s="935"/>
      <c r="CA45" s="935"/>
      <c r="CB45" s="935"/>
      <c r="CC45" s="935"/>
      <c r="CD45" s="935"/>
      <c r="CE45" s="935"/>
      <c r="CF45" s="935"/>
      <c r="CG45" s="935"/>
      <c r="CH45" s="935"/>
      <c r="CI45" s="935"/>
      <c r="CJ45" s="935"/>
      <c r="CK45" s="935"/>
      <c r="CL45" s="935"/>
      <c r="CM45" s="935"/>
      <c r="CN45" s="935"/>
      <c r="CO45" s="935"/>
      <c r="CP45" s="935"/>
      <c r="CQ45" s="935"/>
      <c r="CR45" s="935"/>
      <c r="CS45" s="935"/>
      <c r="CT45" s="935"/>
      <c r="CU45" s="935"/>
      <c r="CV45" s="935"/>
    </row>
    <row r="46" spans="1:100" s="375" customFormat="1" ht="14.9" customHeight="1">
      <c r="A46" s="375">
        <f t="shared" si="10"/>
        <v>8</v>
      </c>
      <c r="B46" s="455">
        <v>44414</v>
      </c>
      <c r="C46" s="445" t="s">
        <v>1980</v>
      </c>
      <c r="D46" s="376" t="str">
        <f>IFERROR(VLOOKUP(E:E,'Item Data Support Sheet'!A:O,7,0),"")</f>
        <v>BOTTLE MOLDED</v>
      </c>
      <c r="E46" s="446" t="s">
        <v>113</v>
      </c>
      <c r="F46" s="508" t="s">
        <v>1681</v>
      </c>
      <c r="G46" s="376" t="s">
        <v>1888</v>
      </c>
      <c r="H46" s="602" t="str">
        <f>IFERROR(VLOOKUP(E:E,'Item Data Support Sheet'!A:O,2,0),"")</f>
        <v>KPP BOTTLE 200 ML MOULDED-WMG3B</v>
      </c>
      <c r="I46" s="447" t="s">
        <v>2240</v>
      </c>
      <c r="J46" s="447" t="s">
        <v>2808</v>
      </c>
      <c r="K46" s="438">
        <v>8</v>
      </c>
      <c r="L46" s="439">
        <v>2574</v>
      </c>
      <c r="M46" s="366">
        <f t="shared" si="27"/>
        <v>321.75</v>
      </c>
      <c r="N46" s="367">
        <f t="shared" si="2"/>
        <v>2472</v>
      </c>
      <c r="O46" s="61">
        <f>22*108</f>
        <v>2376</v>
      </c>
      <c r="P46" s="368">
        <v>0.12</v>
      </c>
      <c r="Q46" s="369">
        <v>36</v>
      </c>
      <c r="R46" s="370">
        <v>0</v>
      </c>
      <c r="S46" s="370">
        <v>0</v>
      </c>
      <c r="T46" s="370">
        <v>52</v>
      </c>
      <c r="U46" s="370">
        <v>8</v>
      </c>
      <c r="V46" s="450">
        <v>1</v>
      </c>
      <c r="W46" s="453">
        <f t="shared" si="11"/>
        <v>2376</v>
      </c>
      <c r="X46" s="748">
        <f t="shared" si="12"/>
        <v>0.92307692307692313</v>
      </c>
      <c r="Y46" s="451" t="str">
        <f>IFERROR(VLOOKUP(E:E,'Item Data Support Sheet'!A:J,6,0),0)</f>
        <v>WMG3B</v>
      </c>
      <c r="Z46" s="428">
        <f>IFERROR(VLOOKUP(E:E,'Item Data Support Sheet'!A:O,4,0),0)</f>
        <v>28.6</v>
      </c>
      <c r="AA46" s="428">
        <f t="shared" si="13"/>
        <v>70.819200000000009</v>
      </c>
      <c r="AB46" s="429">
        <f t="shared" si="14"/>
        <v>0.95953639690931247</v>
      </c>
      <c r="AC46" s="424">
        <f t="shared" si="15"/>
        <v>2.1416803953871501E-2</v>
      </c>
      <c r="AD46" s="371">
        <f t="shared" si="16"/>
        <v>1.4354066985645933E-2</v>
      </c>
      <c r="AE46" s="748">
        <f t="shared" si="17"/>
        <v>0.97896440129449835</v>
      </c>
      <c r="AF46" s="417">
        <f t="shared" si="18"/>
        <v>1</v>
      </c>
      <c r="AG46" s="416">
        <f t="shared" si="19"/>
        <v>7</v>
      </c>
      <c r="AH46" s="372">
        <f t="shared" si="20"/>
        <v>0.875</v>
      </c>
      <c r="AI46" s="373">
        <f t="shared" si="21"/>
        <v>297</v>
      </c>
      <c r="AJ46" s="418">
        <f>VLOOKUP(D46,'Standard Cycle time'!C:D,2,0)</f>
        <v>9</v>
      </c>
      <c r="AK46" s="418">
        <f t="shared" si="22"/>
        <v>10.606060606060606</v>
      </c>
      <c r="AL46" s="374">
        <f t="shared" si="23"/>
        <v>0.84857142857142864</v>
      </c>
      <c r="AM46" s="372">
        <f t="shared" si="24"/>
        <v>0.72688106796116503</v>
      </c>
      <c r="AN46" s="799">
        <v>2235</v>
      </c>
      <c r="AO46" s="761"/>
      <c r="AP46" s="440">
        <v>0</v>
      </c>
      <c r="AQ46" s="440">
        <v>0</v>
      </c>
      <c r="AR46" s="440">
        <v>0</v>
      </c>
      <c r="AS46" s="440">
        <v>0</v>
      </c>
      <c r="AT46" s="440">
        <v>0</v>
      </c>
      <c r="AU46" s="440">
        <v>0</v>
      </c>
      <c r="AV46" s="440">
        <v>60</v>
      </c>
      <c r="AW46" s="440">
        <v>0</v>
      </c>
      <c r="AX46" s="440">
        <v>0</v>
      </c>
      <c r="AY46" s="440">
        <v>0</v>
      </c>
      <c r="AZ46" s="440">
        <v>0</v>
      </c>
      <c r="BA46" s="440">
        <v>0</v>
      </c>
      <c r="BB46" s="440">
        <v>0</v>
      </c>
      <c r="BC46" s="440">
        <v>0</v>
      </c>
      <c r="BD46" s="440">
        <v>0</v>
      </c>
      <c r="BE46" s="440">
        <v>0</v>
      </c>
      <c r="BF46" s="440">
        <v>0</v>
      </c>
      <c r="BG46" s="440">
        <v>0</v>
      </c>
      <c r="BH46" s="440">
        <v>0</v>
      </c>
      <c r="BI46" s="440">
        <v>0</v>
      </c>
      <c r="BJ46" s="440">
        <v>0</v>
      </c>
      <c r="BK46" s="440">
        <v>0</v>
      </c>
      <c r="BL46" s="440">
        <v>0</v>
      </c>
      <c r="BM46" s="440">
        <v>0</v>
      </c>
      <c r="BN46" s="440">
        <v>0</v>
      </c>
      <c r="BO46" s="440">
        <v>0</v>
      </c>
      <c r="BP46" s="440">
        <v>0</v>
      </c>
      <c r="BQ46" s="440">
        <v>0</v>
      </c>
      <c r="BR46" s="415">
        <f t="shared" si="25"/>
        <v>1</v>
      </c>
      <c r="BS46" s="415">
        <f t="shared" si="26"/>
        <v>1.0166666666666666</v>
      </c>
      <c r="BT46" s="935"/>
      <c r="BU46" s="935"/>
      <c r="BV46" s="935"/>
      <c r="BW46" s="935"/>
      <c r="BX46" s="935"/>
      <c r="BY46" s="935"/>
      <c r="BZ46" s="935"/>
      <c r="CA46" s="935"/>
      <c r="CB46" s="935"/>
      <c r="CC46" s="935"/>
      <c r="CD46" s="935"/>
      <c r="CE46" s="935"/>
      <c r="CF46" s="935"/>
      <c r="CG46" s="935"/>
      <c r="CH46" s="935"/>
      <c r="CI46" s="935"/>
      <c r="CJ46" s="935"/>
      <c r="CK46" s="935"/>
      <c r="CL46" s="935"/>
      <c r="CM46" s="935"/>
      <c r="CN46" s="935"/>
      <c r="CO46" s="935"/>
      <c r="CP46" s="935"/>
      <c r="CQ46" s="935"/>
      <c r="CR46" s="935"/>
      <c r="CS46" s="935"/>
      <c r="CT46" s="935"/>
      <c r="CU46" s="935"/>
      <c r="CV46" s="935"/>
    </row>
    <row r="47" spans="1:100" s="375" customFormat="1" ht="14.9" customHeight="1">
      <c r="A47" s="375">
        <f t="shared" si="10"/>
        <v>8</v>
      </c>
      <c r="B47" s="455">
        <v>44414</v>
      </c>
      <c r="C47" s="445" t="s">
        <v>2001</v>
      </c>
      <c r="D47" s="376" t="str">
        <f>IFERROR(VLOOKUP(E:E,'Item Data Support Sheet'!A:O,7,0),"")</f>
        <v>BOTTLE MOLDED</v>
      </c>
      <c r="E47" s="446" t="s">
        <v>113</v>
      </c>
      <c r="F47" s="508" t="s">
        <v>1680</v>
      </c>
      <c r="G47" s="376" t="s">
        <v>1888</v>
      </c>
      <c r="H47" s="602" t="str">
        <f>IFERROR(VLOOKUP(E:E,'Item Data Support Sheet'!A:O,2,0),"")</f>
        <v>KPP BOTTLE 200 ML MOULDED-WMG3B</v>
      </c>
      <c r="I47" s="447" t="s">
        <v>2242</v>
      </c>
      <c r="J47" s="447" t="s">
        <v>2810</v>
      </c>
      <c r="K47" s="438">
        <v>1.5</v>
      </c>
      <c r="L47" s="439">
        <v>500</v>
      </c>
      <c r="M47" s="366">
        <f t="shared" si="27"/>
        <v>333.33333333333331</v>
      </c>
      <c r="N47" s="367">
        <f t="shared" si="2"/>
        <v>533</v>
      </c>
      <c r="O47" s="61">
        <f>324+29+135</f>
        <v>488</v>
      </c>
      <c r="P47" s="368">
        <v>0.3</v>
      </c>
      <c r="Q47" s="369">
        <v>20</v>
      </c>
      <c r="R47" s="370">
        <v>0</v>
      </c>
      <c r="S47" s="370">
        <v>0</v>
      </c>
      <c r="T47" s="370">
        <v>25</v>
      </c>
      <c r="U47" s="370">
        <v>0</v>
      </c>
      <c r="V47" s="450">
        <v>1</v>
      </c>
      <c r="W47" s="453">
        <f t="shared" si="11"/>
        <v>488</v>
      </c>
      <c r="X47" s="748">
        <f t="shared" si="12"/>
        <v>0.97599999999999998</v>
      </c>
      <c r="Y47" s="451" t="str">
        <f>IFERROR(VLOOKUP(E:E,'Item Data Support Sheet'!A:J,6,0),0)</f>
        <v>WMG3B</v>
      </c>
      <c r="Z47" s="428">
        <f>IFERROR(VLOOKUP(E:E,'Item Data Support Sheet'!A:O,4,0),0)</f>
        <v>28.6</v>
      </c>
      <c r="AA47" s="428">
        <f t="shared" si="13"/>
        <v>15.543800000000001</v>
      </c>
      <c r="AB47" s="429">
        <f t="shared" si="14"/>
        <v>0.89790141406863178</v>
      </c>
      <c r="AC47" s="424">
        <f t="shared" si="15"/>
        <v>4.8732943469785572E-2</v>
      </c>
      <c r="AD47" s="371">
        <f t="shared" si="16"/>
        <v>3.6166365280289332E-2</v>
      </c>
      <c r="AE47" s="748">
        <f t="shared" si="17"/>
        <v>0.95309568480300189</v>
      </c>
      <c r="AF47" s="417">
        <f t="shared" si="18"/>
        <v>0</v>
      </c>
      <c r="AG47" s="416">
        <f t="shared" si="19"/>
        <v>1.5</v>
      </c>
      <c r="AH47" s="372">
        <f t="shared" si="20"/>
        <v>1</v>
      </c>
      <c r="AI47" s="373">
        <f t="shared" si="21"/>
        <v>325.33333333333331</v>
      </c>
      <c r="AJ47" s="418">
        <f>VLOOKUP(D47,'Standard Cycle time'!C:D,2,0)</f>
        <v>9</v>
      </c>
      <c r="AK47" s="418">
        <f t="shared" si="22"/>
        <v>11.065573770491802</v>
      </c>
      <c r="AL47" s="374">
        <f t="shared" si="23"/>
        <v>0.81333333333333335</v>
      </c>
      <c r="AM47" s="372">
        <f t="shared" si="24"/>
        <v>0.77518449030644154</v>
      </c>
      <c r="AN47" s="799" t="s">
        <v>2243</v>
      </c>
      <c r="AO47" s="761"/>
      <c r="AP47" s="440">
        <v>0</v>
      </c>
      <c r="AQ47" s="440">
        <v>0</v>
      </c>
      <c r="AR47" s="440">
        <v>0</v>
      </c>
      <c r="AS47" s="440">
        <v>0</v>
      </c>
      <c r="AT47" s="440">
        <v>0</v>
      </c>
      <c r="AU47" s="440">
        <v>0</v>
      </c>
      <c r="AV47" s="440">
        <v>0</v>
      </c>
      <c r="AW47" s="440">
        <v>0</v>
      </c>
      <c r="AX47" s="440">
        <v>0</v>
      </c>
      <c r="AY47" s="440">
        <v>0</v>
      </c>
      <c r="AZ47" s="440">
        <v>0</v>
      </c>
      <c r="BA47" s="440">
        <v>0</v>
      </c>
      <c r="BB47" s="440">
        <v>0</v>
      </c>
      <c r="BC47" s="440">
        <v>0</v>
      </c>
      <c r="BD47" s="440">
        <v>0</v>
      </c>
      <c r="BE47" s="440">
        <v>0</v>
      </c>
      <c r="BF47" s="440">
        <v>0</v>
      </c>
      <c r="BG47" s="440">
        <v>0</v>
      </c>
      <c r="BH47" s="440">
        <v>0</v>
      </c>
      <c r="BI47" s="440">
        <v>0</v>
      </c>
      <c r="BJ47" s="440">
        <v>0</v>
      </c>
      <c r="BK47" s="440">
        <v>0</v>
      </c>
      <c r="BL47" s="440">
        <v>0</v>
      </c>
      <c r="BM47" s="440">
        <v>0</v>
      </c>
      <c r="BN47" s="440">
        <v>0</v>
      </c>
      <c r="BO47" s="440">
        <v>0</v>
      </c>
      <c r="BP47" s="440">
        <v>0</v>
      </c>
      <c r="BQ47" s="440">
        <v>0</v>
      </c>
      <c r="BR47" s="415">
        <f t="shared" si="25"/>
        <v>0</v>
      </c>
      <c r="BS47" s="415">
        <f t="shared" si="26"/>
        <v>0</v>
      </c>
      <c r="BT47" s="935"/>
      <c r="BU47" s="935"/>
      <c r="BV47" s="935"/>
      <c r="BW47" s="935"/>
      <c r="BX47" s="935"/>
      <c r="BY47" s="935"/>
      <c r="BZ47" s="935"/>
      <c r="CA47" s="935"/>
      <c r="CB47" s="935"/>
      <c r="CC47" s="935"/>
      <c r="CD47" s="935"/>
      <c r="CE47" s="935"/>
      <c r="CF47" s="935"/>
      <c r="CG47" s="935"/>
      <c r="CH47" s="935"/>
      <c r="CI47" s="935"/>
      <c r="CJ47" s="935"/>
      <c r="CK47" s="935"/>
      <c r="CL47" s="935"/>
      <c r="CM47" s="935"/>
      <c r="CN47" s="935"/>
      <c r="CO47" s="935"/>
      <c r="CP47" s="935"/>
      <c r="CQ47" s="935"/>
      <c r="CR47" s="935"/>
      <c r="CS47" s="935"/>
      <c r="CT47" s="935"/>
      <c r="CU47" s="935"/>
      <c r="CV47" s="935"/>
    </row>
    <row r="48" spans="1:100" s="375" customFormat="1" ht="14.9" customHeight="1">
      <c r="A48" s="375">
        <f t="shared" si="10"/>
        <v>8</v>
      </c>
      <c r="B48" s="455">
        <v>44414</v>
      </c>
      <c r="C48" s="445" t="s">
        <v>2000</v>
      </c>
      <c r="D48" s="376" t="str">
        <f>IFERROR(VLOOKUP(E:E,'Item Data Support Sheet'!A:O,7,0),"")</f>
        <v>BOTTLE PRINTED</v>
      </c>
      <c r="E48" s="446" t="s">
        <v>114</v>
      </c>
      <c r="F48" s="447"/>
      <c r="G48" s="376" t="s">
        <v>1698</v>
      </c>
      <c r="H48" s="602" t="str">
        <f>IFERROR(VLOOKUP(E:E,'Item Data Support Sheet'!A:O,2,0),"")</f>
        <v>KPP BOTTLE 200 ML PRINTED-WMG3B</v>
      </c>
      <c r="I48" s="447" t="s">
        <v>2244</v>
      </c>
      <c r="J48" s="447" t="s">
        <v>2813</v>
      </c>
      <c r="K48" s="438">
        <v>8.5</v>
      </c>
      <c r="L48" s="439">
        <v>5100</v>
      </c>
      <c r="M48" s="366">
        <f t="shared" si="27"/>
        <v>600</v>
      </c>
      <c r="N48" s="367">
        <f t="shared" si="2"/>
        <v>4889</v>
      </c>
      <c r="O48" s="61">
        <v>4752</v>
      </c>
      <c r="P48" s="368">
        <v>0</v>
      </c>
      <c r="Q48" s="369">
        <v>0</v>
      </c>
      <c r="R48" s="370">
        <v>43</v>
      </c>
      <c r="S48" s="370">
        <v>0</v>
      </c>
      <c r="T48" s="370">
        <v>137</v>
      </c>
      <c r="U48" s="370">
        <v>0</v>
      </c>
      <c r="V48" s="450">
        <v>6</v>
      </c>
      <c r="W48" s="453">
        <f t="shared" si="11"/>
        <v>792</v>
      </c>
      <c r="X48" s="748">
        <f t="shared" si="12"/>
        <v>0.93176470588235294</v>
      </c>
      <c r="Y48" s="451" t="str">
        <f>IFERROR(VLOOKUP(E:E,'Item Data Support Sheet'!A:J,6,0),0)</f>
        <v>FO043</v>
      </c>
      <c r="Z48" s="428">
        <f>IFERROR(VLOOKUP(E:E,'Item Data Support Sheet'!A:O,4,0),0)</f>
        <v>0</v>
      </c>
      <c r="AA48" s="428">
        <f t="shared" si="13"/>
        <v>0</v>
      </c>
      <c r="AB48" s="429" t="str">
        <f t="shared" si="14"/>
        <v xml:space="preserve"> </v>
      </c>
      <c r="AC48" s="424">
        <f t="shared" si="15"/>
        <v>2.8022090407036203E-2</v>
      </c>
      <c r="AD48" s="371">
        <f t="shared" si="16"/>
        <v>0</v>
      </c>
      <c r="AE48" s="748">
        <f t="shared" si="17"/>
        <v>0.97197790959296382</v>
      </c>
      <c r="AF48" s="417">
        <f t="shared" si="18"/>
        <v>2.1666666666666665</v>
      </c>
      <c r="AG48" s="416">
        <f t="shared" si="19"/>
        <v>6.3333333333333339</v>
      </c>
      <c r="AH48" s="372">
        <f t="shared" si="20"/>
        <v>0.74509803921568629</v>
      </c>
      <c r="AI48" s="373">
        <f t="shared" si="21"/>
        <v>559.05882352941171</v>
      </c>
      <c r="AJ48" s="418">
        <f>VLOOKUP(D48,'Standard Cycle time'!C:D,2,0)</f>
        <v>32.4</v>
      </c>
      <c r="AK48" s="418">
        <f t="shared" si="22"/>
        <v>28.787878787878789</v>
      </c>
      <c r="AL48" s="374">
        <f t="shared" si="23"/>
        <v>1.1254736842105262</v>
      </c>
      <c r="AM48" s="372">
        <f t="shared" si="24"/>
        <v>0.81508923995042892</v>
      </c>
      <c r="AN48" s="799" t="s">
        <v>2577</v>
      </c>
      <c r="AO48" s="827" t="s">
        <v>2245</v>
      </c>
      <c r="AP48" s="440">
        <v>50</v>
      </c>
      <c r="AQ48" s="440">
        <v>80</v>
      </c>
      <c r="AR48" s="440">
        <v>0</v>
      </c>
      <c r="AS48" s="440">
        <v>0</v>
      </c>
      <c r="AT48" s="440">
        <v>0</v>
      </c>
      <c r="AU48" s="440">
        <v>0</v>
      </c>
      <c r="AV48" s="440">
        <v>0</v>
      </c>
      <c r="AW48" s="440">
        <v>0</v>
      </c>
      <c r="AX48" s="440">
        <v>0</v>
      </c>
      <c r="AY48" s="440">
        <v>0</v>
      </c>
      <c r="AZ48" s="440">
        <v>0</v>
      </c>
      <c r="BA48" s="440">
        <v>0</v>
      </c>
      <c r="BB48" s="440">
        <v>0</v>
      </c>
      <c r="BC48" s="440">
        <v>0</v>
      </c>
      <c r="BD48" s="440">
        <v>0</v>
      </c>
      <c r="BE48" s="440">
        <v>0</v>
      </c>
      <c r="BF48" s="440">
        <v>0</v>
      </c>
      <c r="BG48" s="440">
        <v>0</v>
      </c>
      <c r="BH48" s="440">
        <v>0</v>
      </c>
      <c r="BI48" s="440">
        <v>0</v>
      </c>
      <c r="BJ48" s="440">
        <v>0</v>
      </c>
      <c r="BK48" s="440">
        <v>0</v>
      </c>
      <c r="BL48" s="440">
        <v>0</v>
      </c>
      <c r="BM48" s="440">
        <v>0</v>
      </c>
      <c r="BN48" s="440">
        <v>0</v>
      </c>
      <c r="BO48" s="440">
        <v>0</v>
      </c>
      <c r="BP48" s="440">
        <v>0</v>
      </c>
      <c r="BQ48" s="440">
        <v>0</v>
      </c>
      <c r="BR48" s="415">
        <f t="shared" si="25"/>
        <v>2.1666666666666665</v>
      </c>
      <c r="BS48" s="415">
        <f t="shared" si="26"/>
        <v>2.2027777777777775</v>
      </c>
      <c r="BT48" s="935"/>
      <c r="BU48" s="935"/>
      <c r="BV48" s="935"/>
      <c r="BW48" s="935"/>
      <c r="BX48" s="935"/>
      <c r="BY48" s="935"/>
      <c r="BZ48" s="935"/>
      <c r="CA48" s="935"/>
      <c r="CB48" s="935"/>
      <c r="CC48" s="935"/>
      <c r="CD48" s="935"/>
      <c r="CE48" s="935"/>
      <c r="CF48" s="935"/>
      <c r="CG48" s="935"/>
      <c r="CH48" s="935"/>
      <c r="CI48" s="935"/>
      <c r="CJ48" s="935"/>
      <c r="CK48" s="935"/>
      <c r="CL48" s="935"/>
      <c r="CM48" s="935"/>
      <c r="CN48" s="935"/>
      <c r="CO48" s="935"/>
      <c r="CP48" s="935"/>
      <c r="CQ48" s="935"/>
      <c r="CR48" s="935"/>
      <c r="CS48" s="935"/>
      <c r="CT48" s="935"/>
      <c r="CU48" s="935"/>
      <c r="CV48" s="935"/>
    </row>
    <row r="49" spans="1:100" s="375" customFormat="1" ht="14.9" customHeight="1">
      <c r="A49" s="375">
        <f t="shared" si="10"/>
        <v>8</v>
      </c>
      <c r="B49" s="455">
        <v>44414</v>
      </c>
      <c r="C49" s="445" t="s">
        <v>2000</v>
      </c>
      <c r="D49" s="376" t="str">
        <f>IFERROR(VLOOKUP(E:E,'Item Data Support Sheet'!A:O,7,0),"")</f>
        <v>NIPPLE PUNCH INSPECTED</v>
      </c>
      <c r="E49" s="446" t="s">
        <v>1819</v>
      </c>
      <c r="F49" s="447"/>
      <c r="G49" s="376"/>
      <c r="H49" s="602" t="str">
        <f>IFERROR(VLOOKUP(E:E,'Item Data Support Sheet'!A:O,2,0),"")</f>
        <v>NIPPLE S TYPE M SIZE PUNCHED INSPECTED</v>
      </c>
      <c r="I49" s="447" t="s">
        <v>2246</v>
      </c>
      <c r="J49" s="447" t="s">
        <v>2812</v>
      </c>
      <c r="K49" s="438">
        <v>8.5</v>
      </c>
      <c r="L49" s="439">
        <v>14182</v>
      </c>
      <c r="M49" s="366">
        <f t="shared" si="27"/>
        <v>1668.4705882352941</v>
      </c>
      <c r="N49" s="367">
        <f t="shared" si="2"/>
        <v>16090</v>
      </c>
      <c r="O49" s="61">
        <v>16038</v>
      </c>
      <c r="P49" s="368">
        <v>0</v>
      </c>
      <c r="Q49" s="369">
        <v>0</v>
      </c>
      <c r="R49" s="370">
        <v>0</v>
      </c>
      <c r="S49" s="370">
        <v>0</v>
      </c>
      <c r="T49" s="370">
        <v>52</v>
      </c>
      <c r="U49" s="370">
        <v>0</v>
      </c>
      <c r="V49" s="450">
        <v>2</v>
      </c>
      <c r="W49" s="453">
        <f t="shared" si="11"/>
        <v>8019</v>
      </c>
      <c r="X49" s="748">
        <f t="shared" si="12"/>
        <v>1.1308701170497815</v>
      </c>
      <c r="Y49" s="451" t="str">
        <f>IFERROR(VLOOKUP(E:E,'Item Data Support Sheet'!A:J,6,0),0)</f>
        <v>FO105</v>
      </c>
      <c r="Z49" s="428">
        <f>IFERROR(VLOOKUP(E:E,'Item Data Support Sheet'!A:O,4,0),0)</f>
        <v>0</v>
      </c>
      <c r="AA49" s="428">
        <f t="shared" si="13"/>
        <v>0</v>
      </c>
      <c r="AB49" s="429" t="str">
        <f t="shared" si="14"/>
        <v xml:space="preserve"> </v>
      </c>
      <c r="AC49" s="424">
        <f t="shared" si="15"/>
        <v>3.2318210068365445E-3</v>
      </c>
      <c r="AD49" s="371">
        <f t="shared" si="16"/>
        <v>0</v>
      </c>
      <c r="AE49" s="748">
        <f t="shared" si="17"/>
        <v>0.9967681789931635</v>
      </c>
      <c r="AF49" s="417">
        <f t="shared" si="18"/>
        <v>0.83333333333333337</v>
      </c>
      <c r="AG49" s="416">
        <f t="shared" si="19"/>
        <v>7.666666666666667</v>
      </c>
      <c r="AH49" s="372">
        <f t="shared" si="20"/>
        <v>0.90196078431372551</v>
      </c>
      <c r="AI49" s="373">
        <f t="shared" si="21"/>
        <v>1886.8235294117646</v>
      </c>
      <c r="AJ49" s="418">
        <f>VLOOKUP(D49,'Standard Cycle time'!C:D,2,0)</f>
        <v>4</v>
      </c>
      <c r="AK49" s="418">
        <f t="shared" si="22"/>
        <v>3.4418256640478861</v>
      </c>
      <c r="AL49" s="374">
        <f t="shared" si="23"/>
        <v>1.1621739130434783</v>
      </c>
      <c r="AM49" s="372">
        <f t="shared" si="24"/>
        <v>1.0448475852740102</v>
      </c>
      <c r="AN49" s="799" t="s">
        <v>2248</v>
      </c>
      <c r="AO49" s="929"/>
      <c r="AP49" s="440">
        <v>50</v>
      </c>
      <c r="AQ49" s="440">
        <v>0</v>
      </c>
      <c r="AR49" s="440">
        <v>0</v>
      </c>
      <c r="AS49" s="440">
        <v>0</v>
      </c>
      <c r="AT49" s="440">
        <v>0</v>
      </c>
      <c r="AU49" s="440">
        <v>0</v>
      </c>
      <c r="AV49" s="440">
        <v>0</v>
      </c>
      <c r="AW49" s="440">
        <v>0</v>
      </c>
      <c r="AX49" s="440">
        <v>0</v>
      </c>
      <c r="AY49" s="440">
        <v>0</v>
      </c>
      <c r="AZ49" s="440">
        <v>0</v>
      </c>
      <c r="BA49" s="440">
        <v>0</v>
      </c>
      <c r="BB49" s="440">
        <v>0</v>
      </c>
      <c r="BC49" s="440">
        <v>0</v>
      </c>
      <c r="BD49" s="440">
        <v>0</v>
      </c>
      <c r="BE49" s="440">
        <v>0</v>
      </c>
      <c r="BF49" s="440">
        <v>0</v>
      </c>
      <c r="BG49" s="440">
        <v>0</v>
      </c>
      <c r="BH49" s="440">
        <v>0</v>
      </c>
      <c r="BI49" s="440">
        <v>0</v>
      </c>
      <c r="BJ49" s="440">
        <v>0</v>
      </c>
      <c r="BK49" s="440">
        <v>0</v>
      </c>
      <c r="BL49" s="440">
        <v>0</v>
      </c>
      <c r="BM49" s="440">
        <v>0</v>
      </c>
      <c r="BN49" s="440">
        <v>0</v>
      </c>
      <c r="BO49" s="440">
        <v>0</v>
      </c>
      <c r="BP49" s="440">
        <v>0</v>
      </c>
      <c r="BQ49" s="440">
        <v>0</v>
      </c>
      <c r="BR49" s="415">
        <f t="shared" si="25"/>
        <v>0.83333333333333337</v>
      </c>
      <c r="BS49" s="415">
        <f t="shared" si="26"/>
        <v>0.84722222222222221</v>
      </c>
      <c r="BT49" s="935"/>
      <c r="BU49" s="935"/>
      <c r="BV49" s="935"/>
      <c r="BW49" s="935"/>
      <c r="BX49" s="935"/>
      <c r="BY49" s="935"/>
      <c r="BZ49" s="935"/>
      <c r="CA49" s="935"/>
      <c r="CB49" s="935"/>
      <c r="CC49" s="935"/>
      <c r="CD49" s="935"/>
      <c r="CE49" s="935"/>
      <c r="CF49" s="935"/>
      <c r="CG49" s="935"/>
      <c r="CH49" s="935"/>
      <c r="CI49" s="935"/>
      <c r="CJ49" s="935"/>
      <c r="CK49" s="935"/>
      <c r="CL49" s="935"/>
      <c r="CM49" s="935"/>
      <c r="CN49" s="935"/>
      <c r="CO49" s="935"/>
      <c r="CP49" s="935"/>
      <c r="CQ49" s="935"/>
      <c r="CR49" s="935"/>
      <c r="CS49" s="935"/>
      <c r="CT49" s="935"/>
      <c r="CU49" s="935"/>
      <c r="CV49" s="935"/>
    </row>
    <row r="50" spans="1:100" s="375" customFormat="1" ht="14.9" customHeight="1">
      <c r="A50" s="375">
        <f t="shared" si="10"/>
        <v>8</v>
      </c>
      <c r="B50" s="455">
        <v>44414</v>
      </c>
      <c r="C50" s="445" t="s">
        <v>2001</v>
      </c>
      <c r="D50" s="376" t="str">
        <f>IFERROR(VLOOKUP(E:E,'Item Data Support Sheet'!A:O,7,0),"")</f>
        <v>BOTTLE MOLDED</v>
      </c>
      <c r="E50" s="446" t="s">
        <v>66</v>
      </c>
      <c r="F50" s="447" t="s">
        <v>1680</v>
      </c>
      <c r="G50" s="376" t="s">
        <v>1888</v>
      </c>
      <c r="H50" s="602" t="str">
        <f>IFERROR(VLOOKUP(E:E,'Item Data Support Sheet'!A:O,2,0),"")</f>
        <v>KPP 200 ML BOTTLE MOLDED</v>
      </c>
      <c r="I50" s="447" t="s">
        <v>2242</v>
      </c>
      <c r="J50" s="447" t="s">
        <v>2810</v>
      </c>
      <c r="K50" s="438">
        <v>6</v>
      </c>
      <c r="L50" s="439">
        <v>2074</v>
      </c>
      <c r="M50" s="366">
        <f t="shared" si="27"/>
        <v>345.66666666666669</v>
      </c>
      <c r="N50" s="367">
        <f t="shared" si="2"/>
        <v>1386</v>
      </c>
      <c r="O50" s="61">
        <f>12*108</f>
        <v>1296</v>
      </c>
      <c r="P50" s="368">
        <v>0.6</v>
      </c>
      <c r="Q50" s="369">
        <v>52</v>
      </c>
      <c r="R50" s="370">
        <v>0</v>
      </c>
      <c r="S50" s="370">
        <v>0</v>
      </c>
      <c r="T50" s="370">
        <v>30</v>
      </c>
      <c r="U50" s="370">
        <v>8</v>
      </c>
      <c r="V50" s="450">
        <v>1</v>
      </c>
      <c r="W50" s="453">
        <f t="shared" si="11"/>
        <v>1296</v>
      </c>
      <c r="X50" s="748">
        <f t="shared" si="12"/>
        <v>0.62487945998071359</v>
      </c>
      <c r="Y50" s="451" t="str">
        <f>IFERROR(VLOOKUP(E:E,'Item Data Support Sheet'!A:J,6,0),0)</f>
        <v>HMC</v>
      </c>
      <c r="Z50" s="428">
        <f>IFERROR(VLOOKUP(E:E,'Item Data Support Sheet'!A:O,4,0),0)</f>
        <v>28.1</v>
      </c>
      <c r="AA50" s="428">
        <f t="shared" si="13"/>
        <v>39.546599999999998</v>
      </c>
      <c r="AB50" s="429">
        <f t="shared" si="14"/>
        <v>0.92087815387416372</v>
      </c>
      <c r="AC50" s="424">
        <f t="shared" si="15"/>
        <v>2.2624434389140271E-2</v>
      </c>
      <c r="AD50" s="371">
        <f t="shared" si="16"/>
        <v>3.6161335187760782E-2</v>
      </c>
      <c r="AE50" s="748">
        <f t="shared" si="17"/>
        <v>0.97835497835497831</v>
      </c>
      <c r="AF50" s="417">
        <f t="shared" si="18"/>
        <v>2.1666666666666665</v>
      </c>
      <c r="AG50" s="416">
        <f t="shared" si="19"/>
        <v>3.8333333333333335</v>
      </c>
      <c r="AH50" s="372">
        <f t="shared" si="20"/>
        <v>0.63888888888888895</v>
      </c>
      <c r="AI50" s="373">
        <f t="shared" si="21"/>
        <v>216</v>
      </c>
      <c r="AJ50" s="418">
        <f>VLOOKUP(D50,'Standard Cycle time'!C:D,2,0)</f>
        <v>9</v>
      </c>
      <c r="AK50" s="418">
        <f t="shared" si="22"/>
        <v>10.648148148148149</v>
      </c>
      <c r="AL50" s="374">
        <f t="shared" si="23"/>
        <v>0.84521739130434781</v>
      </c>
      <c r="AM50" s="372">
        <f t="shared" si="24"/>
        <v>0.52831168831168829</v>
      </c>
      <c r="AN50" s="799">
        <v>2253</v>
      </c>
      <c r="AO50" s="448" t="s">
        <v>2247</v>
      </c>
      <c r="AP50" s="440">
        <v>0</v>
      </c>
      <c r="AQ50" s="440">
        <v>40</v>
      </c>
      <c r="AR50" s="440">
        <v>90</v>
      </c>
      <c r="AS50" s="440">
        <v>0</v>
      </c>
      <c r="AT50" s="440">
        <v>0</v>
      </c>
      <c r="AU50" s="440">
        <v>0</v>
      </c>
      <c r="AV50" s="440">
        <v>0</v>
      </c>
      <c r="AW50" s="440">
        <v>0</v>
      </c>
      <c r="AX50" s="440">
        <v>0</v>
      </c>
      <c r="AY50" s="440">
        <v>0</v>
      </c>
      <c r="AZ50" s="440">
        <v>0</v>
      </c>
      <c r="BA50" s="440">
        <v>0</v>
      </c>
      <c r="BB50" s="440">
        <v>0</v>
      </c>
      <c r="BC50" s="440">
        <v>0</v>
      </c>
      <c r="BD50" s="440">
        <v>0</v>
      </c>
      <c r="BE50" s="440">
        <v>0</v>
      </c>
      <c r="BF50" s="440">
        <v>0</v>
      </c>
      <c r="BG50" s="440">
        <v>0</v>
      </c>
      <c r="BH50" s="440">
        <v>0</v>
      </c>
      <c r="BI50" s="440">
        <v>0</v>
      </c>
      <c r="BJ50" s="440">
        <v>0</v>
      </c>
      <c r="BK50" s="440">
        <v>0</v>
      </c>
      <c r="BL50" s="440">
        <v>0</v>
      </c>
      <c r="BM50" s="440">
        <v>0</v>
      </c>
      <c r="BN50" s="440">
        <v>0</v>
      </c>
      <c r="BO50" s="440">
        <v>0</v>
      </c>
      <c r="BP50" s="440">
        <v>0</v>
      </c>
      <c r="BQ50" s="440">
        <v>0</v>
      </c>
      <c r="BR50" s="415">
        <f t="shared" si="25"/>
        <v>2.1666666666666665</v>
      </c>
      <c r="BS50" s="415">
        <f t="shared" si="26"/>
        <v>2.2027777777777775</v>
      </c>
      <c r="BT50" s="935"/>
      <c r="BU50" s="935"/>
      <c r="BV50" s="935"/>
      <c r="BW50" s="935"/>
      <c r="BX50" s="935"/>
      <c r="BY50" s="935"/>
      <c r="BZ50" s="935"/>
      <c r="CA50" s="935"/>
      <c r="CB50" s="935"/>
      <c r="CC50" s="935"/>
      <c r="CD50" s="935"/>
      <c r="CE50" s="935"/>
      <c r="CF50" s="935"/>
      <c r="CG50" s="935"/>
      <c r="CH50" s="935"/>
      <c r="CI50" s="935"/>
      <c r="CJ50" s="935"/>
      <c r="CK50" s="935"/>
      <c r="CL50" s="935"/>
      <c r="CM50" s="935"/>
      <c r="CN50" s="935"/>
      <c r="CO50" s="935"/>
      <c r="CP50" s="935"/>
      <c r="CQ50" s="935"/>
      <c r="CR50" s="935"/>
      <c r="CS50" s="935"/>
      <c r="CT50" s="935"/>
      <c r="CU50" s="935"/>
      <c r="CV50" s="935"/>
    </row>
    <row r="51" spans="1:100" s="375" customFormat="1" ht="14.9" customHeight="1">
      <c r="A51" s="375">
        <f t="shared" si="10"/>
        <v>8</v>
      </c>
      <c r="B51" s="455">
        <v>44414</v>
      </c>
      <c r="C51" s="445" t="s">
        <v>2001</v>
      </c>
      <c r="D51" s="376" t="str">
        <f>IFERROR(VLOOKUP(E:E,'Item Data Support Sheet'!A:O,7,0),"")</f>
        <v>NIPPLE MOLDED</v>
      </c>
      <c r="E51" s="446" t="s">
        <v>73</v>
      </c>
      <c r="F51" s="447" t="s">
        <v>1678</v>
      </c>
      <c r="G51" s="376" t="s">
        <v>1691</v>
      </c>
      <c r="H51" s="602" t="str">
        <f>IFERROR(VLOOKUP(E:E,'Item Data Support Sheet'!A:O,2,0),"")</f>
        <v>NIPPLE S TYPE M SIZE INJECTION</v>
      </c>
      <c r="I51" s="447" t="s">
        <v>2249</v>
      </c>
      <c r="J51" s="447" t="s">
        <v>2810</v>
      </c>
      <c r="K51" s="438">
        <v>8</v>
      </c>
      <c r="L51" s="439">
        <v>4815</v>
      </c>
      <c r="M51" s="366">
        <f t="shared" si="27"/>
        <v>601.875</v>
      </c>
      <c r="N51" s="367">
        <f t="shared" si="2"/>
        <v>5099</v>
      </c>
      <c r="O51" s="61">
        <v>5012</v>
      </c>
      <c r="P51" s="368">
        <v>0</v>
      </c>
      <c r="Q51" s="369">
        <v>27</v>
      </c>
      <c r="R51" s="370">
        <v>0</v>
      </c>
      <c r="S51" s="370">
        <v>0</v>
      </c>
      <c r="T51" s="370">
        <v>60</v>
      </c>
      <c r="U51" s="370">
        <v>0</v>
      </c>
      <c r="V51" s="450">
        <v>1</v>
      </c>
      <c r="W51" s="453">
        <f t="shared" si="11"/>
        <v>5012</v>
      </c>
      <c r="X51" s="748">
        <f t="shared" si="12"/>
        <v>1.0409138110072689</v>
      </c>
      <c r="Y51" s="451" t="str">
        <f>IFERROR(VLOOKUP(E:E,'Item Data Support Sheet'!A:J,6,0),0)</f>
        <v>Silicon</v>
      </c>
      <c r="Z51" s="428">
        <f>IFERROR(VLOOKUP(E:E,'Item Data Support Sheet'!A:O,4,0),0)</f>
        <v>6.8</v>
      </c>
      <c r="AA51" s="428">
        <f t="shared" si="13"/>
        <v>34.673200000000001</v>
      </c>
      <c r="AB51" s="429">
        <f t="shared" si="14"/>
        <v>0.98293783094724441</v>
      </c>
      <c r="AC51" s="424">
        <f t="shared" si="15"/>
        <v>1.1829652996845425E-2</v>
      </c>
      <c r="AD51" s="371">
        <f t="shared" si="16"/>
        <v>5.2672649239172845E-3</v>
      </c>
      <c r="AE51" s="748">
        <f t="shared" si="17"/>
        <v>0.98823298686016869</v>
      </c>
      <c r="AF51" s="417">
        <f t="shared" si="18"/>
        <v>0.5</v>
      </c>
      <c r="AG51" s="416">
        <f t="shared" si="19"/>
        <v>7.5</v>
      </c>
      <c r="AH51" s="372">
        <f t="shared" si="20"/>
        <v>0.9375</v>
      </c>
      <c r="AI51" s="373">
        <f t="shared" si="21"/>
        <v>626.5</v>
      </c>
      <c r="AJ51" s="418">
        <f>VLOOKUP(D51,'Standard Cycle time'!C:D,2,0)</f>
        <v>5.25</v>
      </c>
      <c r="AK51" s="418">
        <f t="shared" si="22"/>
        <v>5.38707102952913</v>
      </c>
      <c r="AL51" s="374">
        <f t="shared" si="23"/>
        <v>0.97455555555555562</v>
      </c>
      <c r="AM51" s="372">
        <f t="shared" si="24"/>
        <v>0.90289495080734794</v>
      </c>
      <c r="AN51" s="799">
        <v>2263</v>
      </c>
      <c r="AO51" s="761"/>
      <c r="AP51" s="440">
        <v>0</v>
      </c>
      <c r="AQ51" s="440">
        <v>0</v>
      </c>
      <c r="AR51" s="440">
        <v>0</v>
      </c>
      <c r="AS51" s="440">
        <v>0</v>
      </c>
      <c r="AT51" s="440">
        <v>0</v>
      </c>
      <c r="AU51" s="440">
        <v>30</v>
      </c>
      <c r="AV51" s="440">
        <v>0</v>
      </c>
      <c r="AW51" s="440">
        <v>0</v>
      </c>
      <c r="AX51" s="440">
        <v>0</v>
      </c>
      <c r="AY51" s="440">
        <v>0</v>
      </c>
      <c r="AZ51" s="440">
        <v>0</v>
      </c>
      <c r="BA51" s="440">
        <v>0</v>
      </c>
      <c r="BB51" s="440">
        <v>0</v>
      </c>
      <c r="BC51" s="440">
        <v>0</v>
      </c>
      <c r="BD51" s="440">
        <v>0</v>
      </c>
      <c r="BE51" s="440">
        <v>0</v>
      </c>
      <c r="BF51" s="440">
        <v>0</v>
      </c>
      <c r="BG51" s="440">
        <v>0</v>
      </c>
      <c r="BH51" s="440">
        <v>0</v>
      </c>
      <c r="BI51" s="440">
        <v>0</v>
      </c>
      <c r="BJ51" s="440">
        <v>0</v>
      </c>
      <c r="BK51" s="440">
        <v>0</v>
      </c>
      <c r="BL51" s="440">
        <v>0</v>
      </c>
      <c r="BM51" s="440">
        <v>0</v>
      </c>
      <c r="BN51" s="440">
        <v>0</v>
      </c>
      <c r="BO51" s="440">
        <v>0</v>
      </c>
      <c r="BP51" s="440">
        <v>0</v>
      </c>
      <c r="BQ51" s="440">
        <v>0</v>
      </c>
      <c r="BR51" s="415">
        <f t="shared" si="25"/>
        <v>0.5</v>
      </c>
      <c r="BS51" s="415">
        <f t="shared" si="26"/>
        <v>0.5083333333333333</v>
      </c>
      <c r="BT51" s="935"/>
      <c r="BU51" s="935"/>
      <c r="BV51" s="935"/>
      <c r="BW51" s="935"/>
      <c r="BX51" s="935"/>
      <c r="BY51" s="935"/>
      <c r="BZ51" s="935"/>
      <c r="CA51" s="935"/>
      <c r="CB51" s="935"/>
      <c r="CC51" s="935"/>
      <c r="CD51" s="935"/>
      <c r="CE51" s="935"/>
      <c r="CF51" s="935"/>
      <c r="CG51" s="935"/>
      <c r="CH51" s="935"/>
      <c r="CI51" s="935"/>
      <c r="CJ51" s="935"/>
      <c r="CK51" s="935"/>
      <c r="CL51" s="935"/>
      <c r="CM51" s="935"/>
      <c r="CN51" s="935"/>
      <c r="CO51" s="935"/>
      <c r="CP51" s="935"/>
      <c r="CQ51" s="935"/>
      <c r="CR51" s="935"/>
      <c r="CS51" s="935"/>
      <c r="CT51" s="935"/>
      <c r="CU51" s="935"/>
      <c r="CV51" s="935"/>
    </row>
    <row r="52" spans="1:100" s="375" customFormat="1" ht="14.9" customHeight="1">
      <c r="A52" s="375">
        <f t="shared" si="10"/>
        <v>8</v>
      </c>
      <c r="B52" s="455">
        <v>44414</v>
      </c>
      <c r="C52" s="445" t="s">
        <v>2001</v>
      </c>
      <c r="D52" s="376" t="str">
        <f>IFERROR(VLOOKUP(E:E,'Item Data Support Sheet'!A:O,7,0),"")</f>
        <v>CAP MOLDED</v>
      </c>
      <c r="E52" s="446" t="s">
        <v>2106</v>
      </c>
      <c r="F52" s="447"/>
      <c r="G52" s="376" t="s">
        <v>2220</v>
      </c>
      <c r="H52" s="602" t="str">
        <f>IFERROR(VLOOKUP(E:E,'Item Data Support Sheet'!A:O,2,0),"")</f>
        <v>CAP S TYPE MOLDED RED</v>
      </c>
      <c r="I52" s="447" t="s">
        <v>2250</v>
      </c>
      <c r="J52" s="447" t="s">
        <v>2810</v>
      </c>
      <c r="K52" s="438">
        <v>8</v>
      </c>
      <c r="L52" s="439">
        <v>4137</v>
      </c>
      <c r="M52" s="366">
        <f t="shared" si="27"/>
        <v>517.125</v>
      </c>
      <c r="N52" s="367">
        <f t="shared" si="2"/>
        <v>4505</v>
      </c>
      <c r="O52" s="61">
        <v>4500</v>
      </c>
      <c r="P52" s="368">
        <v>0</v>
      </c>
      <c r="Q52" s="369">
        <v>0</v>
      </c>
      <c r="R52" s="370">
        <v>0</v>
      </c>
      <c r="S52" s="370">
        <v>0</v>
      </c>
      <c r="T52" s="370">
        <v>5</v>
      </c>
      <c r="U52" s="370">
        <v>0</v>
      </c>
      <c r="V52" s="450">
        <v>1</v>
      </c>
      <c r="W52" s="453">
        <f t="shared" si="11"/>
        <v>4500</v>
      </c>
      <c r="X52" s="748">
        <f t="shared" si="12"/>
        <v>1.0877447425670776</v>
      </c>
      <c r="Y52" s="451" t="str">
        <f>IFERROR(VLOOKUP(E:E,'Item Data Support Sheet'!A:J,6,0),0)</f>
        <v>FO153</v>
      </c>
      <c r="Z52" s="428">
        <f>IFERROR(VLOOKUP(E:E,'Item Data Support Sheet'!A:O,4,0),0)</f>
        <v>7.3</v>
      </c>
      <c r="AA52" s="428">
        <f t="shared" si="13"/>
        <v>32.886499999999998</v>
      </c>
      <c r="AB52" s="429">
        <f t="shared" si="14"/>
        <v>0.99889012208657058</v>
      </c>
      <c r="AC52" s="424">
        <f t="shared" si="15"/>
        <v>1.1098779134295228E-3</v>
      </c>
      <c r="AD52" s="371">
        <f t="shared" si="16"/>
        <v>0</v>
      </c>
      <c r="AE52" s="748">
        <f t="shared" si="17"/>
        <v>0.99889012208657046</v>
      </c>
      <c r="AF52" s="417">
        <f t="shared" si="18"/>
        <v>0</v>
      </c>
      <c r="AG52" s="416">
        <f t="shared" si="19"/>
        <v>8</v>
      </c>
      <c r="AH52" s="372">
        <f t="shared" si="20"/>
        <v>1</v>
      </c>
      <c r="AI52" s="373">
        <f t="shared" si="21"/>
        <v>562.5</v>
      </c>
      <c r="AJ52" s="418">
        <f>VLOOKUP(D52,'Standard Cycle time'!C:D,2,0)</f>
        <v>6</v>
      </c>
      <c r="AK52" s="418">
        <f t="shared" si="22"/>
        <v>6.4</v>
      </c>
      <c r="AL52" s="374">
        <f t="shared" si="23"/>
        <v>0.9375</v>
      </c>
      <c r="AM52" s="372">
        <f t="shared" si="24"/>
        <v>0.93645948945615975</v>
      </c>
      <c r="AN52" s="799">
        <v>2687</v>
      </c>
      <c r="AO52" s="761"/>
      <c r="AP52" s="440">
        <v>0</v>
      </c>
      <c r="AQ52" s="440">
        <v>0</v>
      </c>
      <c r="AR52" s="440">
        <v>0</v>
      </c>
      <c r="AS52" s="440">
        <v>0</v>
      </c>
      <c r="AT52" s="440">
        <v>0</v>
      </c>
      <c r="AU52" s="440">
        <v>0</v>
      </c>
      <c r="AV52" s="440">
        <v>0</v>
      </c>
      <c r="AW52" s="440">
        <v>0</v>
      </c>
      <c r="AX52" s="440">
        <v>0</v>
      </c>
      <c r="AY52" s="440">
        <v>0</v>
      </c>
      <c r="AZ52" s="440">
        <v>0</v>
      </c>
      <c r="BA52" s="440">
        <v>0</v>
      </c>
      <c r="BB52" s="440">
        <v>0</v>
      </c>
      <c r="BC52" s="440">
        <v>0</v>
      </c>
      <c r="BD52" s="440">
        <v>0</v>
      </c>
      <c r="BE52" s="440">
        <v>0</v>
      </c>
      <c r="BF52" s="440">
        <v>0</v>
      </c>
      <c r="BG52" s="440">
        <v>0</v>
      </c>
      <c r="BH52" s="440">
        <v>0</v>
      </c>
      <c r="BI52" s="440">
        <v>0</v>
      </c>
      <c r="BJ52" s="440">
        <v>0</v>
      </c>
      <c r="BK52" s="440">
        <v>0</v>
      </c>
      <c r="BL52" s="440">
        <v>0</v>
      </c>
      <c r="BM52" s="440">
        <v>0</v>
      </c>
      <c r="BN52" s="440">
        <v>0</v>
      </c>
      <c r="BO52" s="440">
        <v>0</v>
      </c>
      <c r="BP52" s="440">
        <v>0</v>
      </c>
      <c r="BQ52" s="440">
        <v>0</v>
      </c>
      <c r="BR52" s="415">
        <f t="shared" si="25"/>
        <v>0</v>
      </c>
      <c r="BS52" s="415">
        <f t="shared" si="26"/>
        <v>0</v>
      </c>
      <c r="BT52" s="935"/>
      <c r="BU52" s="935"/>
      <c r="BV52" s="935"/>
      <c r="BW52" s="935"/>
      <c r="BX52" s="935"/>
      <c r="BY52" s="935"/>
      <c r="BZ52" s="935"/>
      <c r="CA52" s="935"/>
      <c r="CB52" s="935"/>
      <c r="CC52" s="935"/>
      <c r="CD52" s="935"/>
      <c r="CE52" s="935"/>
      <c r="CF52" s="935"/>
      <c r="CG52" s="935"/>
      <c r="CH52" s="935"/>
      <c r="CI52" s="935"/>
      <c r="CJ52" s="935"/>
      <c r="CK52" s="935"/>
      <c r="CL52" s="935"/>
      <c r="CM52" s="935"/>
      <c r="CN52" s="935"/>
      <c r="CO52" s="935"/>
      <c r="CP52" s="935"/>
      <c r="CQ52" s="935"/>
      <c r="CR52" s="935"/>
      <c r="CS52" s="935"/>
      <c r="CT52" s="935"/>
      <c r="CU52" s="935"/>
      <c r="CV52" s="935"/>
    </row>
    <row r="53" spans="1:100" s="375" customFormat="1" ht="14.9" customHeight="1">
      <c r="A53" s="375">
        <f t="shared" si="10"/>
        <v>8</v>
      </c>
      <c r="B53" s="455">
        <v>44414</v>
      </c>
      <c r="C53" s="445" t="s">
        <v>2001</v>
      </c>
      <c r="D53" s="376" t="str">
        <f>IFERROR(VLOOKUP(E:E,'Item Data Support Sheet'!A:O,7,0),"")</f>
        <v>NIPPLE POSTCURE</v>
      </c>
      <c r="E53" s="446" t="s">
        <v>77</v>
      </c>
      <c r="F53" s="447"/>
      <c r="G53" s="376" t="s">
        <v>1705</v>
      </c>
      <c r="H53" s="602" t="str">
        <f>IFERROR(VLOOKUP(E:E,'Item Data Support Sheet'!A:O,2,0),"")</f>
        <v>NIPPLE S TYPE M SIZE POSTCURED</v>
      </c>
      <c r="I53" s="447" t="s">
        <v>2251</v>
      </c>
      <c r="J53" s="447" t="s">
        <v>2810</v>
      </c>
      <c r="K53" s="438">
        <v>8</v>
      </c>
      <c r="L53" s="439">
        <v>11500</v>
      </c>
      <c r="M53" s="366">
        <f t="shared" si="27"/>
        <v>1437.5</v>
      </c>
      <c r="N53" s="367">
        <f t="shared" si="2"/>
        <v>11500</v>
      </c>
      <c r="O53" s="61">
        <v>11500</v>
      </c>
      <c r="P53" s="368">
        <v>0</v>
      </c>
      <c r="Q53" s="369">
        <v>0</v>
      </c>
      <c r="R53" s="370">
        <v>0</v>
      </c>
      <c r="S53" s="370">
        <v>0</v>
      </c>
      <c r="T53" s="370">
        <v>0</v>
      </c>
      <c r="U53" s="370">
        <v>0</v>
      </c>
      <c r="V53" s="450">
        <v>1</v>
      </c>
      <c r="W53" s="453">
        <f t="shared" si="11"/>
        <v>11500</v>
      </c>
      <c r="X53" s="748">
        <f t="shared" si="12"/>
        <v>1</v>
      </c>
      <c r="Y53" s="451" t="str">
        <f>IFERROR(VLOOKUP(E:E,'Item Data Support Sheet'!A:J,6,0),0)</f>
        <v>FO012</v>
      </c>
      <c r="Z53" s="428">
        <f>IFERROR(VLOOKUP(E:E,'Item Data Support Sheet'!A:O,4,0),0)</f>
        <v>0</v>
      </c>
      <c r="AA53" s="428">
        <f t="shared" si="13"/>
        <v>0</v>
      </c>
      <c r="AB53" s="429" t="str">
        <f t="shared" si="14"/>
        <v xml:space="preserve"> </v>
      </c>
      <c r="AC53" s="424">
        <f t="shared" si="15"/>
        <v>0</v>
      </c>
      <c r="AD53" s="371">
        <f t="shared" si="16"/>
        <v>0</v>
      </c>
      <c r="AE53" s="748">
        <f t="shared" si="17"/>
        <v>1</v>
      </c>
      <c r="AF53" s="417">
        <f t="shared" si="18"/>
        <v>0.66666666666666663</v>
      </c>
      <c r="AG53" s="416">
        <f t="shared" si="19"/>
        <v>7.333333333333333</v>
      </c>
      <c r="AH53" s="372">
        <f t="shared" si="20"/>
        <v>0.91666666666666663</v>
      </c>
      <c r="AI53" s="373">
        <f t="shared" si="21"/>
        <v>1437.5</v>
      </c>
      <c r="AJ53" s="418">
        <f>VLOOKUP(D53,'Standard Cycle time'!C:D,2,0)</f>
        <v>2.2999999999999998</v>
      </c>
      <c r="AK53" s="418">
        <f t="shared" si="22"/>
        <v>2.2956521739130435</v>
      </c>
      <c r="AL53" s="374">
        <f t="shared" si="23"/>
        <v>1.0018939393939392</v>
      </c>
      <c r="AM53" s="372">
        <f t="shared" si="24"/>
        <v>0.91840277777777757</v>
      </c>
      <c r="AN53" s="799" t="s">
        <v>2255</v>
      </c>
      <c r="AO53" s="761"/>
      <c r="AP53" s="440">
        <v>40</v>
      </c>
      <c r="AQ53" s="440">
        <v>0</v>
      </c>
      <c r="AR53" s="440">
        <v>0</v>
      </c>
      <c r="AS53" s="440">
        <v>0</v>
      </c>
      <c r="AT53" s="440">
        <v>0</v>
      </c>
      <c r="AU53" s="440">
        <v>0</v>
      </c>
      <c r="AV53" s="440">
        <v>0</v>
      </c>
      <c r="AW53" s="440">
        <v>0</v>
      </c>
      <c r="AX53" s="440">
        <v>0</v>
      </c>
      <c r="AY53" s="440">
        <v>0</v>
      </c>
      <c r="AZ53" s="440">
        <v>0</v>
      </c>
      <c r="BA53" s="440">
        <v>0</v>
      </c>
      <c r="BB53" s="440">
        <v>0</v>
      </c>
      <c r="BC53" s="440">
        <v>0</v>
      </c>
      <c r="BD53" s="440">
        <v>0</v>
      </c>
      <c r="BE53" s="440">
        <v>0</v>
      </c>
      <c r="BF53" s="440">
        <v>0</v>
      </c>
      <c r="BG53" s="440">
        <v>0</v>
      </c>
      <c r="BH53" s="440">
        <v>0</v>
      </c>
      <c r="BI53" s="440">
        <v>0</v>
      </c>
      <c r="BJ53" s="440">
        <v>0</v>
      </c>
      <c r="BK53" s="440">
        <v>0</v>
      </c>
      <c r="BL53" s="440">
        <v>0</v>
      </c>
      <c r="BM53" s="440">
        <v>0</v>
      </c>
      <c r="BN53" s="440">
        <v>0</v>
      </c>
      <c r="BO53" s="440">
        <v>0</v>
      </c>
      <c r="BP53" s="440">
        <v>0</v>
      </c>
      <c r="BQ53" s="440">
        <v>0</v>
      </c>
      <c r="BR53" s="415">
        <f t="shared" si="25"/>
        <v>0.66666666666666663</v>
      </c>
      <c r="BS53" s="415">
        <f t="shared" si="26"/>
        <v>0.6777777777777777</v>
      </c>
      <c r="BT53" s="935"/>
      <c r="BU53" s="935"/>
      <c r="BV53" s="935"/>
      <c r="BW53" s="935"/>
      <c r="BX53" s="935"/>
      <c r="BY53" s="935"/>
      <c r="BZ53" s="935"/>
      <c r="CA53" s="935"/>
      <c r="CB53" s="935"/>
      <c r="CC53" s="935"/>
      <c r="CD53" s="935"/>
      <c r="CE53" s="935"/>
      <c r="CF53" s="935"/>
      <c r="CG53" s="935"/>
      <c r="CH53" s="935"/>
      <c r="CI53" s="935"/>
      <c r="CJ53" s="935"/>
      <c r="CK53" s="935"/>
      <c r="CL53" s="935"/>
      <c r="CM53" s="935"/>
      <c r="CN53" s="935"/>
      <c r="CO53" s="935"/>
      <c r="CP53" s="935"/>
      <c r="CQ53" s="935"/>
      <c r="CR53" s="935"/>
      <c r="CS53" s="935"/>
      <c r="CT53" s="935"/>
      <c r="CU53" s="935"/>
      <c r="CV53" s="935"/>
    </row>
    <row r="54" spans="1:100" s="375" customFormat="1" ht="14.9" customHeight="1">
      <c r="A54" s="375">
        <f t="shared" si="10"/>
        <v>8</v>
      </c>
      <c r="B54" s="455">
        <v>44414</v>
      </c>
      <c r="C54" s="445" t="s">
        <v>2001</v>
      </c>
      <c r="D54" s="376" t="str">
        <f>IFERROR(VLOOKUP(E:E,'Item Data Support Sheet'!A:O,7,0),"")</f>
        <v>NIPPLE PUNCH</v>
      </c>
      <c r="E54" s="446" t="s">
        <v>81</v>
      </c>
      <c r="F54" s="447"/>
      <c r="G54" s="376" t="s">
        <v>1692</v>
      </c>
      <c r="H54" s="602" t="str">
        <f>IFERROR(VLOOKUP(E:E,'Item Data Support Sheet'!A:O,2,0),"")</f>
        <v>NIPPLE S TYPE M SIZE PUNCHED</v>
      </c>
      <c r="I54" s="447" t="s">
        <v>2252</v>
      </c>
      <c r="J54" s="447" t="s">
        <v>2810</v>
      </c>
      <c r="K54" s="438">
        <v>8</v>
      </c>
      <c r="L54" s="439">
        <v>7036</v>
      </c>
      <c r="M54" s="366">
        <f t="shared" si="27"/>
        <v>879.5</v>
      </c>
      <c r="N54" s="367">
        <f t="shared" si="2"/>
        <v>6100</v>
      </c>
      <c r="O54" s="61">
        <f>495+3000+2600</f>
        <v>6095</v>
      </c>
      <c r="P54" s="368">
        <v>0</v>
      </c>
      <c r="Q54" s="369">
        <v>0</v>
      </c>
      <c r="R54" s="370">
        <v>0</v>
      </c>
      <c r="S54" s="370">
        <v>0</v>
      </c>
      <c r="T54" s="370">
        <v>5</v>
      </c>
      <c r="U54" s="370">
        <v>0</v>
      </c>
      <c r="V54" s="450">
        <v>1</v>
      </c>
      <c r="W54" s="453">
        <f t="shared" si="11"/>
        <v>6095</v>
      </c>
      <c r="X54" s="748">
        <f t="shared" si="12"/>
        <v>0.86625923820352468</v>
      </c>
      <c r="Y54" s="451" t="str">
        <f>IFERROR(VLOOKUP(E:E,'Item Data Support Sheet'!A:J,6,0),0)</f>
        <v>FO016</v>
      </c>
      <c r="Z54" s="428">
        <f>IFERROR(VLOOKUP(E:E,'Item Data Support Sheet'!A:O,4,0),0)</f>
        <v>0</v>
      </c>
      <c r="AA54" s="428">
        <f t="shared" si="13"/>
        <v>0</v>
      </c>
      <c r="AB54" s="429" t="str">
        <f t="shared" si="14"/>
        <v xml:space="preserve"> </v>
      </c>
      <c r="AC54" s="424">
        <f t="shared" si="15"/>
        <v>8.1967213114754098E-4</v>
      </c>
      <c r="AD54" s="371">
        <f t="shared" si="16"/>
        <v>0</v>
      </c>
      <c r="AE54" s="748">
        <f t="shared" si="17"/>
        <v>0.99918032786885247</v>
      </c>
      <c r="AF54" s="417">
        <f t="shared" si="18"/>
        <v>1.6666666666666667</v>
      </c>
      <c r="AG54" s="416">
        <f t="shared" si="19"/>
        <v>6.333333333333333</v>
      </c>
      <c r="AH54" s="372">
        <f t="shared" si="20"/>
        <v>0.79166666666666663</v>
      </c>
      <c r="AI54" s="373">
        <f t="shared" si="21"/>
        <v>761.875</v>
      </c>
      <c r="AJ54" s="418">
        <f>VLOOKUP(D54,'Standard Cycle time'!C:D,2,0)</f>
        <v>3.5</v>
      </c>
      <c r="AK54" s="418">
        <f t="shared" si="22"/>
        <v>3.740771123872026</v>
      </c>
      <c r="AL54" s="374">
        <f t="shared" si="23"/>
        <v>0.93563596491228074</v>
      </c>
      <c r="AM54" s="372">
        <f t="shared" si="24"/>
        <v>0.74010466473132963</v>
      </c>
      <c r="AN54" s="799" t="s">
        <v>2254</v>
      </c>
      <c r="AO54" s="929" t="s">
        <v>2253</v>
      </c>
      <c r="AP54" s="440">
        <v>40</v>
      </c>
      <c r="AQ54" s="440">
        <v>0</v>
      </c>
      <c r="AR54" s="440">
        <v>0</v>
      </c>
      <c r="AS54" s="440">
        <v>0</v>
      </c>
      <c r="AT54" s="440">
        <v>0</v>
      </c>
      <c r="AU54" s="440">
        <v>0</v>
      </c>
      <c r="AV54" s="440">
        <v>0</v>
      </c>
      <c r="AW54" s="440">
        <v>0</v>
      </c>
      <c r="AX54" s="440">
        <v>0</v>
      </c>
      <c r="AY54" s="440">
        <v>0</v>
      </c>
      <c r="AZ54" s="440">
        <v>0</v>
      </c>
      <c r="BA54" s="440">
        <v>0</v>
      </c>
      <c r="BB54" s="440">
        <v>0</v>
      </c>
      <c r="BC54" s="440">
        <v>0</v>
      </c>
      <c r="BD54" s="440">
        <v>0</v>
      </c>
      <c r="BE54" s="440">
        <v>0</v>
      </c>
      <c r="BF54" s="440">
        <v>60</v>
      </c>
      <c r="BG54" s="440">
        <v>0</v>
      </c>
      <c r="BH54" s="440">
        <v>0</v>
      </c>
      <c r="BI54" s="440">
        <v>0</v>
      </c>
      <c r="BJ54" s="440">
        <v>0</v>
      </c>
      <c r="BK54" s="440">
        <v>0</v>
      </c>
      <c r="BL54" s="440">
        <v>0</v>
      </c>
      <c r="BM54" s="440">
        <v>0</v>
      </c>
      <c r="BN54" s="440">
        <v>0</v>
      </c>
      <c r="BO54" s="440">
        <v>0</v>
      </c>
      <c r="BP54" s="440">
        <v>0</v>
      </c>
      <c r="BQ54" s="440">
        <v>0</v>
      </c>
      <c r="BR54" s="415">
        <f t="shared" si="25"/>
        <v>1.6666666666666667</v>
      </c>
      <c r="BS54" s="415">
        <f t="shared" si="26"/>
        <v>1.6944444444444444</v>
      </c>
      <c r="BT54" s="935"/>
      <c r="BU54" s="935"/>
      <c r="BV54" s="935"/>
      <c r="BW54" s="935"/>
      <c r="BX54" s="935"/>
      <c r="BY54" s="935"/>
      <c r="BZ54" s="935"/>
      <c r="CA54" s="935"/>
      <c r="CB54" s="935"/>
      <c r="CC54" s="935"/>
      <c r="CD54" s="935"/>
      <c r="CE54" s="935"/>
      <c r="CF54" s="935"/>
      <c r="CG54" s="935"/>
      <c r="CH54" s="935"/>
      <c r="CI54" s="935"/>
      <c r="CJ54" s="935"/>
      <c r="CK54" s="935"/>
      <c r="CL54" s="935"/>
      <c r="CM54" s="935"/>
      <c r="CN54" s="935"/>
      <c r="CO54" s="935"/>
      <c r="CP54" s="935"/>
      <c r="CQ54" s="935"/>
      <c r="CR54" s="935"/>
      <c r="CS54" s="935"/>
      <c r="CT54" s="935"/>
      <c r="CU54" s="935"/>
      <c r="CV54" s="935"/>
    </row>
    <row r="55" spans="1:100" s="375" customFormat="1" ht="14.9" customHeight="1">
      <c r="A55" s="375">
        <f t="shared" si="10"/>
        <v>8</v>
      </c>
      <c r="B55" s="455">
        <v>44414</v>
      </c>
      <c r="C55" s="445" t="s">
        <v>2053</v>
      </c>
      <c r="D55" s="376" t="str">
        <f>IFERROR(VLOOKUP(E:E,'Item Data Support Sheet'!A:O,7,0),"")</f>
        <v>NIPPLE MOLDED</v>
      </c>
      <c r="E55" s="446" t="s">
        <v>72</v>
      </c>
      <c r="F55" s="447" t="s">
        <v>1678</v>
      </c>
      <c r="G55" s="376" t="s">
        <v>1691</v>
      </c>
      <c r="H55" s="602" t="str">
        <f>IFERROR(VLOOKUP(E:E,'Item Data Support Sheet'!A:O,2,0),"")</f>
        <v>NIPPLE S TYPE S SIZE INJECTION</v>
      </c>
      <c r="I55" s="447" t="s">
        <v>2256</v>
      </c>
      <c r="J55" s="447" t="s">
        <v>2809</v>
      </c>
      <c r="K55" s="438">
        <v>8</v>
      </c>
      <c r="L55" s="439">
        <v>4815</v>
      </c>
      <c r="M55" s="366">
        <f t="shared" si="27"/>
        <v>601.875</v>
      </c>
      <c r="N55" s="367">
        <f t="shared" si="2"/>
        <v>3962</v>
      </c>
      <c r="O55" s="61">
        <v>3800</v>
      </c>
      <c r="P55" s="368">
        <v>0</v>
      </c>
      <c r="Q55" s="369">
        <v>90</v>
      </c>
      <c r="R55" s="370">
        <v>0</v>
      </c>
      <c r="S55" s="370">
        <v>0</v>
      </c>
      <c r="T55" s="370">
        <v>64</v>
      </c>
      <c r="U55" s="370">
        <v>8</v>
      </c>
      <c r="V55" s="450">
        <v>1</v>
      </c>
      <c r="W55" s="453">
        <f t="shared" si="11"/>
        <v>3800</v>
      </c>
      <c r="X55" s="748">
        <f t="shared" si="12"/>
        <v>0.78920041536863972</v>
      </c>
      <c r="Y55" s="451" t="str">
        <f>IFERROR(VLOOKUP(E:E,'Item Data Support Sheet'!A:J,6,0),0)</f>
        <v>Silicon</v>
      </c>
      <c r="Z55" s="428">
        <f>IFERROR(VLOOKUP(E:E,'Item Data Support Sheet'!A:O,4,0),0)</f>
        <v>6.8</v>
      </c>
      <c r="AA55" s="428">
        <f t="shared" si="13"/>
        <v>26.941599999999998</v>
      </c>
      <c r="AB55" s="429">
        <f t="shared" si="14"/>
        <v>0.95911155981827367</v>
      </c>
      <c r="AC55" s="424">
        <f t="shared" si="15"/>
        <v>1.6563146997929608E-2</v>
      </c>
      <c r="AD55" s="371">
        <f t="shared" si="16"/>
        <v>2.2211253701875617E-2</v>
      </c>
      <c r="AE55" s="748">
        <f t="shared" si="17"/>
        <v>0.9838465421504291</v>
      </c>
      <c r="AF55" s="417">
        <f t="shared" si="18"/>
        <v>2</v>
      </c>
      <c r="AG55" s="416">
        <f t="shared" si="19"/>
        <v>6</v>
      </c>
      <c r="AH55" s="372">
        <f t="shared" si="20"/>
        <v>0.75</v>
      </c>
      <c r="AI55" s="373">
        <f t="shared" si="21"/>
        <v>475</v>
      </c>
      <c r="AJ55" s="418">
        <f>VLOOKUP(D55,'Standard Cycle time'!C:D,2,0)</f>
        <v>5.25</v>
      </c>
      <c r="AK55" s="418">
        <f t="shared" si="22"/>
        <v>5.6842105263157894</v>
      </c>
      <c r="AL55" s="374">
        <f t="shared" si="23"/>
        <v>0.92361111111111116</v>
      </c>
      <c r="AM55" s="372">
        <f t="shared" si="24"/>
        <v>0.68151869846878688</v>
      </c>
      <c r="AN55" s="799" t="s">
        <v>2260</v>
      </c>
      <c r="AO55" s="827" t="s">
        <v>2261</v>
      </c>
      <c r="AP55" s="440">
        <v>0</v>
      </c>
      <c r="AQ55" s="440">
        <v>120</v>
      </c>
      <c r="AR55" s="440">
        <v>0</v>
      </c>
      <c r="AS55" s="440">
        <v>0</v>
      </c>
      <c r="AT55" s="440">
        <v>0</v>
      </c>
      <c r="AU55" s="440">
        <v>0</v>
      </c>
      <c r="AV55" s="440">
        <v>0</v>
      </c>
      <c r="AW55" s="440">
        <v>0</v>
      </c>
      <c r="AX55" s="440">
        <v>0</v>
      </c>
      <c r="AY55" s="440">
        <v>0</v>
      </c>
      <c r="AZ55" s="440">
        <v>0</v>
      </c>
      <c r="BA55" s="440">
        <v>0</v>
      </c>
      <c r="BB55" s="440">
        <v>0</v>
      </c>
      <c r="BC55" s="440">
        <v>0</v>
      </c>
      <c r="BD55" s="440">
        <v>0</v>
      </c>
      <c r="BE55" s="440">
        <v>0</v>
      </c>
      <c r="BF55" s="440">
        <v>0</v>
      </c>
      <c r="BG55" s="440">
        <v>0</v>
      </c>
      <c r="BH55" s="440">
        <v>0</v>
      </c>
      <c r="BI55" s="440">
        <v>0</v>
      </c>
      <c r="BJ55" s="440">
        <v>0</v>
      </c>
      <c r="BK55" s="440">
        <v>0</v>
      </c>
      <c r="BL55" s="440">
        <v>0</v>
      </c>
      <c r="BM55" s="440">
        <v>0</v>
      </c>
      <c r="BN55" s="440">
        <v>0</v>
      </c>
      <c r="BO55" s="440">
        <v>0</v>
      </c>
      <c r="BP55" s="440">
        <v>0</v>
      </c>
      <c r="BQ55" s="440">
        <v>0</v>
      </c>
      <c r="BR55" s="415">
        <f t="shared" si="25"/>
        <v>2</v>
      </c>
      <c r="BS55" s="415">
        <f t="shared" si="26"/>
        <v>2.0333333333333332</v>
      </c>
      <c r="BT55" s="935"/>
      <c r="BU55" s="935"/>
      <c r="BV55" s="935"/>
      <c r="BW55" s="935"/>
      <c r="BX55" s="935"/>
      <c r="BY55" s="935"/>
      <c r="BZ55" s="935"/>
      <c r="CA55" s="935"/>
      <c r="CB55" s="935"/>
      <c r="CC55" s="935"/>
      <c r="CD55" s="935"/>
      <c r="CE55" s="935"/>
      <c r="CF55" s="935"/>
      <c r="CG55" s="935"/>
      <c r="CH55" s="935"/>
      <c r="CI55" s="935"/>
      <c r="CJ55" s="935"/>
      <c r="CK55" s="935"/>
      <c r="CL55" s="935"/>
      <c r="CM55" s="935"/>
      <c r="CN55" s="935"/>
      <c r="CO55" s="935"/>
      <c r="CP55" s="935"/>
      <c r="CQ55" s="935"/>
      <c r="CR55" s="935"/>
      <c r="CS55" s="935"/>
      <c r="CT55" s="935"/>
      <c r="CU55" s="935"/>
      <c r="CV55" s="935"/>
    </row>
    <row r="56" spans="1:100" s="375" customFormat="1" ht="14.9" customHeight="1">
      <c r="A56" s="375">
        <f t="shared" si="10"/>
        <v>8</v>
      </c>
      <c r="B56" s="455">
        <v>44414</v>
      </c>
      <c r="C56" s="445" t="s">
        <v>2053</v>
      </c>
      <c r="D56" s="376" t="str">
        <f>IFERROR(VLOOKUP(E:E,'Item Data Support Sheet'!A:O,7,0),"")</f>
        <v>BOTTLE MOLDED</v>
      </c>
      <c r="E56" s="446" t="s">
        <v>66</v>
      </c>
      <c r="F56" s="447" t="s">
        <v>1680</v>
      </c>
      <c r="G56" s="376" t="s">
        <v>1888</v>
      </c>
      <c r="H56" s="602" t="str">
        <f>IFERROR(VLOOKUP(E:E,'Item Data Support Sheet'!A:O,2,0),"")</f>
        <v>KPP 200 ML BOTTLE MOLDED</v>
      </c>
      <c r="I56" s="447" t="s">
        <v>2257</v>
      </c>
      <c r="J56" s="447" t="s">
        <v>2809</v>
      </c>
      <c r="K56" s="438">
        <v>8</v>
      </c>
      <c r="L56" s="439">
        <v>2574</v>
      </c>
      <c r="M56" s="366">
        <f t="shared" si="27"/>
        <v>321.75</v>
      </c>
      <c r="N56" s="367">
        <f t="shared" si="2"/>
        <v>3202</v>
      </c>
      <c r="O56" s="61">
        <v>3132</v>
      </c>
      <c r="P56" s="368">
        <v>0</v>
      </c>
      <c r="Q56" s="369">
        <v>0</v>
      </c>
      <c r="R56" s="370">
        <v>0</v>
      </c>
      <c r="S56" s="370">
        <v>0</v>
      </c>
      <c r="T56" s="370">
        <v>62</v>
      </c>
      <c r="U56" s="370">
        <v>8</v>
      </c>
      <c r="V56" s="450">
        <v>1</v>
      </c>
      <c r="W56" s="453">
        <f t="shared" si="11"/>
        <v>3132</v>
      </c>
      <c r="X56" s="748">
        <f t="shared" si="12"/>
        <v>1.2167832167832169</v>
      </c>
      <c r="Y56" s="451" t="str">
        <f>IFERROR(VLOOKUP(E:E,'Item Data Support Sheet'!A:J,6,0),0)</f>
        <v>HMC</v>
      </c>
      <c r="Z56" s="428">
        <f>IFERROR(VLOOKUP(E:E,'Item Data Support Sheet'!A:O,4,0),0)</f>
        <v>28.1</v>
      </c>
      <c r="AA56" s="428">
        <f t="shared" si="13"/>
        <v>89.976200000000006</v>
      </c>
      <c r="AB56" s="429">
        <f t="shared" si="14"/>
        <v>0.97813866333541533</v>
      </c>
      <c r="AC56" s="424">
        <f t="shared" si="15"/>
        <v>1.9411396368190358E-2</v>
      </c>
      <c r="AD56" s="371">
        <f t="shared" si="16"/>
        <v>0</v>
      </c>
      <c r="AE56" s="748">
        <f t="shared" si="17"/>
        <v>0.98063710181136787</v>
      </c>
      <c r="AF56" s="417">
        <f t="shared" si="18"/>
        <v>0</v>
      </c>
      <c r="AG56" s="416">
        <f t="shared" si="19"/>
        <v>8</v>
      </c>
      <c r="AH56" s="372">
        <f t="shared" si="20"/>
        <v>1</v>
      </c>
      <c r="AI56" s="373">
        <f t="shared" si="21"/>
        <v>391.5</v>
      </c>
      <c r="AJ56" s="418">
        <f>VLOOKUP(D56,'Standard Cycle time'!C:D,2,0)</f>
        <v>9</v>
      </c>
      <c r="AK56" s="418">
        <f t="shared" si="22"/>
        <v>9.1954022988505741</v>
      </c>
      <c r="AL56" s="374">
        <f t="shared" si="23"/>
        <v>0.97875000000000001</v>
      </c>
      <c r="AM56" s="372">
        <f t="shared" si="24"/>
        <v>0.95979856339787628</v>
      </c>
      <c r="AN56" s="799" t="s">
        <v>2259</v>
      </c>
      <c r="AO56" s="761"/>
      <c r="AP56" s="440">
        <v>0</v>
      </c>
      <c r="AQ56" s="440">
        <v>0</v>
      </c>
      <c r="AR56" s="440">
        <v>0</v>
      </c>
      <c r="AS56" s="440">
        <v>0</v>
      </c>
      <c r="AT56" s="440">
        <v>0</v>
      </c>
      <c r="AU56" s="440">
        <v>0</v>
      </c>
      <c r="AV56" s="440">
        <v>0</v>
      </c>
      <c r="AW56" s="440">
        <v>0</v>
      </c>
      <c r="AX56" s="440">
        <v>0</v>
      </c>
      <c r="AY56" s="440">
        <v>0</v>
      </c>
      <c r="AZ56" s="440">
        <v>0</v>
      </c>
      <c r="BA56" s="440">
        <v>0</v>
      </c>
      <c r="BB56" s="440">
        <v>0</v>
      </c>
      <c r="BC56" s="440">
        <v>0</v>
      </c>
      <c r="BD56" s="440">
        <v>0</v>
      </c>
      <c r="BE56" s="440">
        <v>0</v>
      </c>
      <c r="BF56" s="440">
        <v>0</v>
      </c>
      <c r="BG56" s="440">
        <v>0</v>
      </c>
      <c r="BH56" s="440">
        <v>0</v>
      </c>
      <c r="BI56" s="440">
        <v>0</v>
      </c>
      <c r="BJ56" s="440">
        <v>0</v>
      </c>
      <c r="BK56" s="440">
        <v>0</v>
      </c>
      <c r="BL56" s="440">
        <v>0</v>
      </c>
      <c r="BM56" s="440">
        <v>0</v>
      </c>
      <c r="BN56" s="440">
        <v>0</v>
      </c>
      <c r="BO56" s="440">
        <v>0</v>
      </c>
      <c r="BP56" s="440">
        <v>0</v>
      </c>
      <c r="BQ56" s="440">
        <v>0</v>
      </c>
      <c r="BR56" s="415">
        <f t="shared" si="25"/>
        <v>0</v>
      </c>
      <c r="BS56" s="415">
        <f t="shared" si="26"/>
        <v>0</v>
      </c>
      <c r="BT56" s="935"/>
      <c r="BU56" s="935"/>
      <c r="BV56" s="935"/>
      <c r="BW56" s="935"/>
      <c r="BX56" s="935"/>
      <c r="BY56" s="935"/>
      <c r="BZ56" s="935"/>
      <c r="CA56" s="935"/>
      <c r="CB56" s="935"/>
      <c r="CC56" s="935"/>
      <c r="CD56" s="935"/>
      <c r="CE56" s="935"/>
      <c r="CF56" s="935"/>
      <c r="CG56" s="935"/>
      <c r="CH56" s="935"/>
      <c r="CI56" s="935"/>
      <c r="CJ56" s="935"/>
      <c r="CK56" s="935"/>
      <c r="CL56" s="935"/>
      <c r="CM56" s="935"/>
      <c r="CN56" s="935"/>
      <c r="CO56" s="935"/>
      <c r="CP56" s="935"/>
      <c r="CQ56" s="935"/>
      <c r="CR56" s="935"/>
      <c r="CS56" s="935"/>
      <c r="CT56" s="935"/>
      <c r="CU56" s="935"/>
      <c r="CV56" s="935"/>
    </row>
    <row r="57" spans="1:100" s="375" customFormat="1" ht="14.9" customHeight="1">
      <c r="A57" s="375">
        <f t="shared" si="10"/>
        <v>8</v>
      </c>
      <c r="B57" s="455">
        <v>44414</v>
      </c>
      <c r="C57" s="445" t="s">
        <v>2053</v>
      </c>
      <c r="D57" s="376" t="str">
        <f>IFERROR(VLOOKUP(E:E,'Item Data Support Sheet'!A:O,7,0),"")</f>
        <v>CAP MOLDED</v>
      </c>
      <c r="E57" s="446" t="s">
        <v>2106</v>
      </c>
      <c r="F57" s="447"/>
      <c r="G57" s="376" t="s">
        <v>2220</v>
      </c>
      <c r="H57" s="602" t="str">
        <f>IFERROR(VLOOKUP(E:E,'Item Data Support Sheet'!A:O,2,0),"")</f>
        <v>CAP S TYPE MOLDED RED</v>
      </c>
      <c r="I57" s="447" t="s">
        <v>2258</v>
      </c>
      <c r="J57" s="447" t="s">
        <v>2809</v>
      </c>
      <c r="K57" s="438">
        <v>8</v>
      </c>
      <c r="L57" s="439">
        <v>4137</v>
      </c>
      <c r="M57" s="366">
        <f t="shared" si="27"/>
        <v>517.125</v>
      </c>
      <c r="N57" s="367">
        <f t="shared" si="2"/>
        <v>3906</v>
      </c>
      <c r="O57" s="61">
        <v>3895</v>
      </c>
      <c r="P57" s="368">
        <v>0</v>
      </c>
      <c r="Q57" s="369">
        <v>0</v>
      </c>
      <c r="R57" s="370">
        <v>0</v>
      </c>
      <c r="S57" s="370">
        <v>0</v>
      </c>
      <c r="T57" s="370">
        <v>3</v>
      </c>
      <c r="U57" s="370">
        <v>8</v>
      </c>
      <c r="V57" s="450">
        <v>1</v>
      </c>
      <c r="W57" s="453">
        <f t="shared" si="11"/>
        <v>3895</v>
      </c>
      <c r="X57" s="748">
        <f t="shared" si="12"/>
        <v>0.94150350495528157</v>
      </c>
      <c r="Y57" s="451" t="str">
        <f>IFERROR(VLOOKUP(E:E,'Item Data Support Sheet'!A:J,6,0),0)</f>
        <v>FO153</v>
      </c>
      <c r="Z57" s="428">
        <f>IFERROR(VLOOKUP(E:E,'Item Data Support Sheet'!A:O,4,0),0)</f>
        <v>7.3</v>
      </c>
      <c r="AA57" s="428">
        <f t="shared" si="13"/>
        <v>28.5138</v>
      </c>
      <c r="AB57" s="429">
        <f t="shared" si="14"/>
        <v>0.99718381976446491</v>
      </c>
      <c r="AC57" s="424">
        <f t="shared" si="15"/>
        <v>7.6962544894817856E-4</v>
      </c>
      <c r="AD57" s="371">
        <f t="shared" si="16"/>
        <v>0</v>
      </c>
      <c r="AE57" s="748">
        <f t="shared" si="17"/>
        <v>0.99923195084485406</v>
      </c>
      <c r="AF57" s="417">
        <f t="shared" si="18"/>
        <v>1.1666666666666667</v>
      </c>
      <c r="AG57" s="416">
        <f t="shared" si="19"/>
        <v>6.833333333333333</v>
      </c>
      <c r="AH57" s="372">
        <f t="shared" si="20"/>
        <v>0.85416666666666663</v>
      </c>
      <c r="AI57" s="373">
        <f t="shared" si="21"/>
        <v>486.875</v>
      </c>
      <c r="AJ57" s="418">
        <f>VLOOKUP(D57,'Standard Cycle time'!C:D,2,0)</f>
        <v>6</v>
      </c>
      <c r="AK57" s="418">
        <f t="shared" si="22"/>
        <v>6.3157894736842106</v>
      </c>
      <c r="AL57" s="374">
        <f t="shared" si="23"/>
        <v>0.95</v>
      </c>
      <c r="AM57" s="372">
        <f t="shared" si="24"/>
        <v>0.81083509344598048</v>
      </c>
      <c r="AN57" s="799">
        <v>2687</v>
      </c>
      <c r="AO57" s="827" t="s">
        <v>2262</v>
      </c>
      <c r="AP57" s="440">
        <v>0</v>
      </c>
      <c r="AQ57" s="440">
        <v>70</v>
      </c>
      <c r="AR57" s="440">
        <v>0</v>
      </c>
      <c r="AS57" s="440">
        <v>0</v>
      </c>
      <c r="AT57" s="440">
        <v>0</v>
      </c>
      <c r="AU57" s="440">
        <v>0</v>
      </c>
      <c r="AV57" s="440">
        <v>0</v>
      </c>
      <c r="AW57" s="440">
        <v>0</v>
      </c>
      <c r="AX57" s="440">
        <v>0</v>
      </c>
      <c r="AY57" s="440">
        <v>0</v>
      </c>
      <c r="AZ57" s="440">
        <v>0</v>
      </c>
      <c r="BA57" s="440">
        <v>0</v>
      </c>
      <c r="BB57" s="440">
        <v>0</v>
      </c>
      <c r="BC57" s="440">
        <v>0</v>
      </c>
      <c r="BD57" s="440">
        <v>0</v>
      </c>
      <c r="BE57" s="440">
        <v>0</v>
      </c>
      <c r="BF57" s="440">
        <v>0</v>
      </c>
      <c r="BG57" s="440">
        <v>0</v>
      </c>
      <c r="BH57" s="440">
        <v>0</v>
      </c>
      <c r="BI57" s="440">
        <v>0</v>
      </c>
      <c r="BJ57" s="440">
        <v>0</v>
      </c>
      <c r="BK57" s="440">
        <v>0</v>
      </c>
      <c r="BL57" s="440">
        <v>0</v>
      </c>
      <c r="BM57" s="440">
        <v>0</v>
      </c>
      <c r="BN57" s="440">
        <v>0</v>
      </c>
      <c r="BO57" s="440">
        <v>0</v>
      </c>
      <c r="BP57" s="440">
        <v>0</v>
      </c>
      <c r="BQ57" s="440">
        <v>0</v>
      </c>
      <c r="BR57" s="415">
        <f t="shared" si="25"/>
        <v>1.1666666666666667</v>
      </c>
      <c r="BS57" s="415">
        <f t="shared" si="26"/>
        <v>1.1861111111111111</v>
      </c>
      <c r="BT57" s="935"/>
      <c r="BU57" s="935"/>
      <c r="BV57" s="935"/>
      <c r="BW57" s="935"/>
      <c r="BX57" s="935"/>
      <c r="BY57" s="935"/>
      <c r="BZ57" s="935"/>
      <c r="CA57" s="935"/>
      <c r="CB57" s="935"/>
      <c r="CC57" s="935"/>
      <c r="CD57" s="935"/>
      <c r="CE57" s="935"/>
      <c r="CF57" s="935"/>
      <c r="CG57" s="935"/>
      <c r="CH57" s="935"/>
      <c r="CI57" s="935"/>
      <c r="CJ57" s="935"/>
      <c r="CK57" s="935"/>
      <c r="CL57" s="935"/>
      <c r="CM57" s="935"/>
      <c r="CN57" s="935"/>
      <c r="CO57" s="935"/>
      <c r="CP57" s="935"/>
      <c r="CQ57" s="935"/>
      <c r="CR57" s="935"/>
      <c r="CS57" s="935"/>
      <c r="CT57" s="935"/>
      <c r="CU57" s="935"/>
      <c r="CV57" s="935"/>
    </row>
    <row r="58" spans="1:100" s="375" customFormat="1" ht="14.9" customHeight="1">
      <c r="A58" s="375">
        <f t="shared" si="10"/>
        <v>8</v>
      </c>
      <c r="B58" s="455">
        <v>44415</v>
      </c>
      <c r="C58" s="445" t="s">
        <v>1980</v>
      </c>
      <c r="D58" s="376" t="str">
        <f>IFERROR(VLOOKUP(E:E,'Item Data Support Sheet'!A:O,7,0),"")</f>
        <v>NIPPLE MOLDED</v>
      </c>
      <c r="E58" s="446" t="s">
        <v>72</v>
      </c>
      <c r="F58" s="447" t="s">
        <v>1678</v>
      </c>
      <c r="G58" s="376" t="s">
        <v>1691</v>
      </c>
      <c r="H58" s="602" t="str">
        <f>IFERROR(VLOOKUP(E:E,'Item Data Support Sheet'!A:O,2,0),"")</f>
        <v>NIPPLE S TYPE S SIZE INJECTION</v>
      </c>
      <c r="I58" s="447" t="s">
        <v>2267</v>
      </c>
      <c r="J58" s="447" t="s">
        <v>2808</v>
      </c>
      <c r="K58" s="438">
        <v>8</v>
      </c>
      <c r="L58" s="439">
        <v>4815</v>
      </c>
      <c r="M58" s="366">
        <f t="shared" si="27"/>
        <v>601.875</v>
      </c>
      <c r="N58" s="367">
        <f t="shared" si="2"/>
        <v>5465</v>
      </c>
      <c r="O58" s="61">
        <v>5400</v>
      </c>
      <c r="P58" s="368">
        <v>0</v>
      </c>
      <c r="Q58" s="369">
        <v>0</v>
      </c>
      <c r="R58" s="370">
        <v>0</v>
      </c>
      <c r="S58" s="370">
        <v>0</v>
      </c>
      <c r="T58" s="370">
        <v>57</v>
      </c>
      <c r="U58" s="370">
        <v>8</v>
      </c>
      <c r="V58" s="450">
        <v>1</v>
      </c>
      <c r="W58" s="453">
        <f t="shared" si="11"/>
        <v>5400</v>
      </c>
      <c r="X58" s="748">
        <f t="shared" si="12"/>
        <v>1.1214953271028036</v>
      </c>
      <c r="Y58" s="451" t="str">
        <f>IFERROR(VLOOKUP(E:E,'Item Data Support Sheet'!A:J,6,0),0)</f>
        <v>Silicon</v>
      </c>
      <c r="Z58" s="428">
        <f>IFERROR(VLOOKUP(E:E,'Item Data Support Sheet'!A:O,4,0),0)</f>
        <v>6.8</v>
      </c>
      <c r="AA58" s="428">
        <f t="shared" si="13"/>
        <v>37.161999999999999</v>
      </c>
      <c r="AB58" s="429">
        <f t="shared" si="14"/>
        <v>0.98810612991765778</v>
      </c>
      <c r="AC58" s="424">
        <f t="shared" si="15"/>
        <v>1.0445299615173173E-2</v>
      </c>
      <c r="AD58" s="371">
        <f t="shared" si="16"/>
        <v>0</v>
      </c>
      <c r="AE58" s="748">
        <f t="shared" si="17"/>
        <v>0.98956999085086916</v>
      </c>
      <c r="AF58" s="417">
        <f t="shared" si="18"/>
        <v>0</v>
      </c>
      <c r="AG58" s="416">
        <f t="shared" si="19"/>
        <v>8</v>
      </c>
      <c r="AH58" s="372">
        <f t="shared" si="20"/>
        <v>1</v>
      </c>
      <c r="AI58" s="373">
        <f t="shared" si="21"/>
        <v>675</v>
      </c>
      <c r="AJ58" s="418">
        <f>VLOOKUP(D58,'Standard Cycle time'!C:D,2,0)</f>
        <v>5.25</v>
      </c>
      <c r="AK58" s="418">
        <f t="shared" si="22"/>
        <v>5.333333333333333</v>
      </c>
      <c r="AL58" s="374">
        <f t="shared" si="23"/>
        <v>0.984375</v>
      </c>
      <c r="AM58" s="372">
        <f t="shared" si="24"/>
        <v>0.97410795974382436</v>
      </c>
      <c r="AN58" s="799">
        <v>2271</v>
      </c>
      <c r="AO58" s="761"/>
      <c r="AP58" s="440">
        <v>0</v>
      </c>
      <c r="AQ58" s="440">
        <v>0</v>
      </c>
      <c r="AR58" s="440">
        <v>0</v>
      </c>
      <c r="AS58" s="440">
        <v>0</v>
      </c>
      <c r="AT58" s="440">
        <v>0</v>
      </c>
      <c r="AU58" s="440">
        <v>0</v>
      </c>
      <c r="AV58" s="440">
        <v>0</v>
      </c>
      <c r="AW58" s="440">
        <v>0</v>
      </c>
      <c r="AX58" s="440">
        <v>0</v>
      </c>
      <c r="AY58" s="440">
        <v>0</v>
      </c>
      <c r="AZ58" s="440">
        <v>0</v>
      </c>
      <c r="BA58" s="440">
        <v>0</v>
      </c>
      <c r="BB58" s="440">
        <v>0</v>
      </c>
      <c r="BC58" s="440">
        <v>0</v>
      </c>
      <c r="BD58" s="440">
        <v>0</v>
      </c>
      <c r="BE58" s="440">
        <v>0</v>
      </c>
      <c r="BF58" s="440">
        <v>0</v>
      </c>
      <c r="BG58" s="440">
        <v>0</v>
      </c>
      <c r="BH58" s="440">
        <v>0</v>
      </c>
      <c r="BI58" s="440">
        <v>0</v>
      </c>
      <c r="BJ58" s="440">
        <v>0</v>
      </c>
      <c r="BK58" s="440">
        <v>0</v>
      </c>
      <c r="BL58" s="440">
        <v>0</v>
      </c>
      <c r="BM58" s="440">
        <v>0</v>
      </c>
      <c r="BN58" s="440">
        <v>0</v>
      </c>
      <c r="BO58" s="440">
        <v>0</v>
      </c>
      <c r="BP58" s="440">
        <v>0</v>
      </c>
      <c r="BQ58" s="440">
        <v>0</v>
      </c>
      <c r="BR58" s="415">
        <f t="shared" si="25"/>
        <v>0</v>
      </c>
      <c r="BS58" s="415">
        <f t="shared" si="26"/>
        <v>0</v>
      </c>
      <c r="BT58" s="935"/>
      <c r="BU58" s="935"/>
      <c r="BV58" s="935"/>
      <c r="BW58" s="935"/>
      <c r="BX58" s="935"/>
      <c r="BY58" s="935"/>
      <c r="BZ58" s="935"/>
      <c r="CA58" s="935"/>
      <c r="CB58" s="935"/>
      <c r="CC58" s="935"/>
      <c r="CD58" s="935"/>
      <c r="CE58" s="935"/>
      <c r="CF58" s="935"/>
      <c r="CG58" s="935"/>
      <c r="CH58" s="935"/>
      <c r="CI58" s="935"/>
      <c r="CJ58" s="935"/>
      <c r="CK58" s="935"/>
      <c r="CL58" s="935"/>
      <c r="CM58" s="935"/>
      <c r="CN58" s="935"/>
      <c r="CO58" s="935"/>
      <c r="CP58" s="935"/>
      <c r="CQ58" s="935"/>
      <c r="CR58" s="935"/>
      <c r="CS58" s="935"/>
      <c r="CT58" s="935"/>
      <c r="CU58" s="935"/>
      <c r="CV58" s="935"/>
    </row>
    <row r="59" spans="1:100" s="375" customFormat="1" ht="14.9" customHeight="1">
      <c r="A59" s="375">
        <f t="shared" si="10"/>
        <v>8</v>
      </c>
      <c r="B59" s="455">
        <v>44415</v>
      </c>
      <c r="C59" s="445" t="s">
        <v>1980</v>
      </c>
      <c r="D59" s="376" t="str">
        <f>IFERROR(VLOOKUP(E:E,'Item Data Support Sheet'!A:O,7,0),"")</f>
        <v>NIPPLE PUNCH</v>
      </c>
      <c r="E59" s="446" t="s">
        <v>81</v>
      </c>
      <c r="F59" s="447"/>
      <c r="G59" s="376" t="s">
        <v>1692</v>
      </c>
      <c r="H59" s="602" t="str">
        <f>IFERROR(VLOOKUP(E:E,'Item Data Support Sheet'!A:O,2,0),"")</f>
        <v>NIPPLE S TYPE M SIZE PUNCHED</v>
      </c>
      <c r="I59" s="447" t="s">
        <v>2269</v>
      </c>
      <c r="J59" s="447" t="s">
        <v>2808</v>
      </c>
      <c r="K59" s="438">
        <v>8</v>
      </c>
      <c r="L59" s="439">
        <v>7036</v>
      </c>
      <c r="M59" s="366">
        <f t="shared" si="27"/>
        <v>879.5</v>
      </c>
      <c r="N59" s="367">
        <f t="shared" si="2"/>
        <v>7000</v>
      </c>
      <c r="O59" s="61">
        <v>6994</v>
      </c>
      <c r="P59" s="368">
        <v>0</v>
      </c>
      <c r="Q59" s="369">
        <v>0</v>
      </c>
      <c r="R59" s="370">
        <v>0</v>
      </c>
      <c r="S59" s="370">
        <v>0</v>
      </c>
      <c r="T59" s="370">
        <v>6</v>
      </c>
      <c r="U59" s="370">
        <v>0</v>
      </c>
      <c r="V59" s="450">
        <v>1</v>
      </c>
      <c r="W59" s="453">
        <f t="shared" si="11"/>
        <v>6994</v>
      </c>
      <c r="X59" s="748">
        <f t="shared" si="12"/>
        <v>0.99403069926094367</v>
      </c>
      <c r="Y59" s="451" t="str">
        <f>IFERROR(VLOOKUP(E:E,'Item Data Support Sheet'!A:J,6,0),0)</f>
        <v>FO016</v>
      </c>
      <c r="Z59" s="428">
        <f>IFERROR(VLOOKUP(E:E,'Item Data Support Sheet'!A:O,4,0),0)</f>
        <v>0</v>
      </c>
      <c r="AA59" s="428">
        <f t="shared" si="13"/>
        <v>0</v>
      </c>
      <c r="AB59" s="429" t="str">
        <f t="shared" si="14"/>
        <v xml:space="preserve"> </v>
      </c>
      <c r="AC59" s="424">
        <f t="shared" si="15"/>
        <v>8.571428571428571E-4</v>
      </c>
      <c r="AD59" s="371">
        <f t="shared" si="16"/>
        <v>0</v>
      </c>
      <c r="AE59" s="748">
        <f t="shared" si="17"/>
        <v>0.99914285714285711</v>
      </c>
      <c r="AF59" s="417">
        <f t="shared" si="18"/>
        <v>0.5</v>
      </c>
      <c r="AG59" s="416">
        <f t="shared" si="19"/>
        <v>7.5</v>
      </c>
      <c r="AH59" s="372">
        <f t="shared" si="20"/>
        <v>0.9375</v>
      </c>
      <c r="AI59" s="373">
        <f t="shared" si="21"/>
        <v>874.25</v>
      </c>
      <c r="AJ59" s="418">
        <f>VLOOKUP(D59,'Standard Cycle time'!C:D,2,0)</f>
        <v>3.5</v>
      </c>
      <c r="AK59" s="418">
        <f t="shared" si="22"/>
        <v>3.8604518158421506</v>
      </c>
      <c r="AL59" s="374">
        <f t="shared" si="23"/>
        <v>0.90662962962962956</v>
      </c>
      <c r="AM59" s="372">
        <f t="shared" si="24"/>
        <v>0.84923673611111106</v>
      </c>
      <c r="AN59" s="799" t="s">
        <v>2270</v>
      </c>
      <c r="AO59" s="929"/>
      <c r="AP59" s="440">
        <v>0</v>
      </c>
      <c r="AQ59" s="440">
        <v>0</v>
      </c>
      <c r="AR59" s="440">
        <v>0</v>
      </c>
      <c r="AS59" s="440">
        <v>0</v>
      </c>
      <c r="AT59" s="440">
        <v>0</v>
      </c>
      <c r="AU59" s="440">
        <v>0</v>
      </c>
      <c r="AV59" s="440">
        <v>0</v>
      </c>
      <c r="AW59" s="440">
        <v>0</v>
      </c>
      <c r="AX59" s="440">
        <v>0</v>
      </c>
      <c r="AY59" s="440">
        <v>0</v>
      </c>
      <c r="AZ59" s="440">
        <v>0</v>
      </c>
      <c r="BA59" s="440">
        <v>0</v>
      </c>
      <c r="BB59" s="440">
        <v>0</v>
      </c>
      <c r="BC59" s="440">
        <v>0</v>
      </c>
      <c r="BD59" s="440">
        <v>0</v>
      </c>
      <c r="BE59" s="440">
        <v>0</v>
      </c>
      <c r="BF59" s="440">
        <v>0</v>
      </c>
      <c r="BG59" s="440">
        <v>0</v>
      </c>
      <c r="BH59" s="440">
        <v>0</v>
      </c>
      <c r="BI59" s="440">
        <v>0</v>
      </c>
      <c r="BJ59" s="440">
        <v>0</v>
      </c>
      <c r="BK59" s="440">
        <v>0</v>
      </c>
      <c r="BL59" s="440">
        <v>0</v>
      </c>
      <c r="BM59" s="440">
        <v>0</v>
      </c>
      <c r="BN59" s="440">
        <v>0</v>
      </c>
      <c r="BO59" s="440">
        <v>0</v>
      </c>
      <c r="BP59" s="440">
        <v>0</v>
      </c>
      <c r="BQ59" s="440">
        <v>30</v>
      </c>
      <c r="BR59" s="415">
        <f t="shared" si="25"/>
        <v>0.5</v>
      </c>
      <c r="BS59" s="415">
        <f t="shared" si="26"/>
        <v>0.5083333333333333</v>
      </c>
      <c r="BT59" s="935"/>
      <c r="BU59" s="935"/>
      <c r="BV59" s="935"/>
      <c r="BW59" s="935"/>
      <c r="BX59" s="935"/>
      <c r="BY59" s="935"/>
      <c r="BZ59" s="935"/>
      <c r="CA59" s="935"/>
      <c r="CB59" s="935"/>
      <c r="CC59" s="935"/>
      <c r="CD59" s="935"/>
      <c r="CE59" s="935"/>
      <c r="CF59" s="935"/>
      <c r="CG59" s="935"/>
      <c r="CH59" s="935"/>
      <c r="CI59" s="935"/>
      <c r="CJ59" s="935"/>
      <c r="CK59" s="935"/>
      <c r="CL59" s="935"/>
      <c r="CM59" s="935"/>
      <c r="CN59" s="935"/>
      <c r="CO59" s="935"/>
      <c r="CP59" s="935"/>
      <c r="CQ59" s="935"/>
      <c r="CR59" s="935"/>
      <c r="CS59" s="935"/>
      <c r="CT59" s="935"/>
      <c r="CU59" s="935"/>
      <c r="CV59" s="935"/>
    </row>
    <row r="60" spans="1:100" s="375" customFormat="1" ht="14.9" customHeight="1">
      <c r="A60" s="375">
        <f t="shared" si="10"/>
        <v>8</v>
      </c>
      <c r="B60" s="455">
        <v>44415</v>
      </c>
      <c r="C60" s="445" t="s">
        <v>1980</v>
      </c>
      <c r="D60" s="376" t="str">
        <f>IFERROR(VLOOKUP(E:E,'Item Data Support Sheet'!A:O,7,0),"")</f>
        <v>NIPPLE POSTCURE</v>
      </c>
      <c r="E60" s="446" t="s">
        <v>77</v>
      </c>
      <c r="F60" s="447"/>
      <c r="G60" s="376" t="s">
        <v>1705</v>
      </c>
      <c r="H60" s="602" t="str">
        <f>IFERROR(VLOOKUP(E:E,'Item Data Support Sheet'!A:O,2,0),"")</f>
        <v>NIPPLE S TYPE M SIZE POSTCURED</v>
      </c>
      <c r="I60" s="447" t="s">
        <v>2264</v>
      </c>
      <c r="J60" s="447" t="s">
        <v>2808</v>
      </c>
      <c r="K60" s="438">
        <v>5</v>
      </c>
      <c r="L60" s="439">
        <v>5036</v>
      </c>
      <c r="M60" s="366">
        <f t="shared" si="27"/>
        <v>1007.2</v>
      </c>
      <c r="N60" s="367">
        <f t="shared" si="2"/>
        <v>8612</v>
      </c>
      <c r="O60" s="61">
        <f>3600+5012</f>
        <v>8612</v>
      </c>
      <c r="P60" s="368">
        <v>0</v>
      </c>
      <c r="Q60" s="369">
        <v>0</v>
      </c>
      <c r="R60" s="370">
        <v>0</v>
      </c>
      <c r="S60" s="370">
        <v>0</v>
      </c>
      <c r="T60" s="370">
        <v>0</v>
      </c>
      <c r="U60" s="370">
        <v>0</v>
      </c>
      <c r="V60" s="450">
        <v>1</v>
      </c>
      <c r="W60" s="453">
        <f t="shared" si="11"/>
        <v>8612</v>
      </c>
      <c r="X60" s="748">
        <f t="shared" si="12"/>
        <v>1.710087370929309</v>
      </c>
      <c r="Y60" s="451" t="str">
        <f>IFERROR(VLOOKUP(E:E,'Item Data Support Sheet'!A:J,6,0),0)</f>
        <v>FO012</v>
      </c>
      <c r="Z60" s="428">
        <f>IFERROR(VLOOKUP(E:E,'Item Data Support Sheet'!A:O,4,0),0)</f>
        <v>0</v>
      </c>
      <c r="AA60" s="428">
        <f t="shared" si="13"/>
        <v>0</v>
      </c>
      <c r="AB60" s="429" t="str">
        <f t="shared" si="14"/>
        <v xml:space="preserve"> </v>
      </c>
      <c r="AC60" s="424">
        <f t="shared" si="15"/>
        <v>0</v>
      </c>
      <c r="AD60" s="371">
        <f t="shared" si="16"/>
        <v>0</v>
      </c>
      <c r="AE60" s="748">
        <f t="shared" si="17"/>
        <v>1</v>
      </c>
      <c r="AF60" s="417">
        <f t="shared" si="18"/>
        <v>0</v>
      </c>
      <c r="AG60" s="416">
        <f t="shared" si="19"/>
        <v>5</v>
      </c>
      <c r="AH60" s="372">
        <f t="shared" si="20"/>
        <v>1</v>
      </c>
      <c r="AI60" s="373">
        <f t="shared" si="21"/>
        <v>1722.4</v>
      </c>
      <c r="AJ60" s="418">
        <f>VLOOKUP(D60,'Standard Cycle time'!C:D,2,0)</f>
        <v>2.2999999999999998</v>
      </c>
      <c r="AK60" s="418">
        <f t="shared" si="22"/>
        <v>2.0901068276823036</v>
      </c>
      <c r="AL60" s="374">
        <f t="shared" si="23"/>
        <v>1.1004222222222222</v>
      </c>
      <c r="AM60" s="372">
        <f t="shared" si="24"/>
        <v>1.1004222222222222</v>
      </c>
      <c r="AN60" s="799" t="s">
        <v>2268</v>
      </c>
      <c r="AO60" s="761"/>
      <c r="AP60" s="440">
        <v>0</v>
      </c>
      <c r="AQ60" s="440">
        <v>0</v>
      </c>
      <c r="AR60" s="440">
        <v>0</v>
      </c>
      <c r="AS60" s="440">
        <v>0</v>
      </c>
      <c r="AT60" s="440">
        <v>0</v>
      </c>
      <c r="AU60" s="440">
        <v>0</v>
      </c>
      <c r="AV60" s="440">
        <v>0</v>
      </c>
      <c r="AW60" s="440">
        <v>0</v>
      </c>
      <c r="AX60" s="440">
        <v>0</v>
      </c>
      <c r="AY60" s="440">
        <v>0</v>
      </c>
      <c r="AZ60" s="440">
        <v>0</v>
      </c>
      <c r="BA60" s="440">
        <v>0</v>
      </c>
      <c r="BB60" s="440">
        <v>0</v>
      </c>
      <c r="BC60" s="440">
        <v>0</v>
      </c>
      <c r="BD60" s="440">
        <v>0</v>
      </c>
      <c r="BE60" s="440">
        <v>0</v>
      </c>
      <c r="BF60" s="440">
        <v>0</v>
      </c>
      <c r="BG60" s="440">
        <v>0</v>
      </c>
      <c r="BH60" s="440">
        <v>0</v>
      </c>
      <c r="BI60" s="440">
        <v>0</v>
      </c>
      <c r="BJ60" s="440">
        <v>0</v>
      </c>
      <c r="BK60" s="440">
        <v>0</v>
      </c>
      <c r="BL60" s="440">
        <v>0</v>
      </c>
      <c r="BM60" s="440">
        <v>0</v>
      </c>
      <c r="BN60" s="440">
        <v>0</v>
      </c>
      <c r="BO60" s="440">
        <v>0</v>
      </c>
      <c r="BP60" s="440">
        <v>0</v>
      </c>
      <c r="BQ60" s="440">
        <v>0</v>
      </c>
      <c r="BR60" s="415">
        <f t="shared" si="25"/>
        <v>0</v>
      </c>
      <c r="BS60" s="415">
        <f t="shared" si="26"/>
        <v>0</v>
      </c>
      <c r="BT60" s="935"/>
      <c r="BU60" s="935"/>
      <c r="BV60" s="935"/>
      <c r="BW60" s="935"/>
      <c r="BX60" s="935"/>
      <c r="BY60" s="935"/>
      <c r="BZ60" s="935"/>
      <c r="CA60" s="935"/>
      <c r="CB60" s="935"/>
      <c r="CC60" s="935"/>
      <c r="CD60" s="935"/>
      <c r="CE60" s="935"/>
      <c r="CF60" s="935"/>
      <c r="CG60" s="935"/>
      <c r="CH60" s="935"/>
      <c r="CI60" s="935"/>
      <c r="CJ60" s="935"/>
      <c r="CK60" s="935"/>
      <c r="CL60" s="935"/>
      <c r="CM60" s="935"/>
      <c r="CN60" s="935"/>
      <c r="CO60" s="935"/>
      <c r="CP60" s="935"/>
      <c r="CQ60" s="935"/>
      <c r="CR60" s="935"/>
      <c r="CS60" s="935"/>
      <c r="CT60" s="935"/>
      <c r="CU60" s="935"/>
      <c r="CV60" s="935"/>
    </row>
    <row r="61" spans="1:100" s="375" customFormat="1" ht="14.9" customHeight="1">
      <c r="A61" s="375">
        <f t="shared" si="10"/>
        <v>8</v>
      </c>
      <c r="B61" s="455">
        <v>44415</v>
      </c>
      <c r="C61" s="445" t="s">
        <v>1980</v>
      </c>
      <c r="D61" s="376" t="str">
        <f>IFERROR(VLOOKUP(E:E,'Item Data Support Sheet'!A:O,7,0),"")</f>
        <v>NIPPLE POSTCURE</v>
      </c>
      <c r="E61" s="446" t="s">
        <v>76</v>
      </c>
      <c r="F61" s="508"/>
      <c r="G61" s="376" t="s">
        <v>1705</v>
      </c>
      <c r="H61" s="602" t="str">
        <f>IFERROR(VLOOKUP(E:E,'Item Data Support Sheet'!A:O,2,0),"")</f>
        <v>NIPPLE S TYPE S SIZE POSTCURED</v>
      </c>
      <c r="I61" s="447" t="s">
        <v>2265</v>
      </c>
      <c r="J61" s="447" t="s">
        <v>2808</v>
      </c>
      <c r="K61" s="438">
        <v>5</v>
      </c>
      <c r="L61" s="439">
        <v>2000</v>
      </c>
      <c r="M61" s="366">
        <f t="shared" si="27"/>
        <v>400</v>
      </c>
      <c r="N61" s="367">
        <f t="shared" si="2"/>
        <v>6800</v>
      </c>
      <c r="O61" s="61">
        <f>3800+3000</f>
        <v>6800</v>
      </c>
      <c r="P61" s="368">
        <v>0</v>
      </c>
      <c r="Q61" s="369">
        <v>0</v>
      </c>
      <c r="R61" s="370">
        <v>0</v>
      </c>
      <c r="S61" s="370">
        <v>0</v>
      </c>
      <c r="T61" s="370">
        <v>0</v>
      </c>
      <c r="U61" s="370">
        <v>0</v>
      </c>
      <c r="V61" s="450">
        <v>1</v>
      </c>
      <c r="W61" s="453">
        <f t="shared" si="11"/>
        <v>6800</v>
      </c>
      <c r="X61" s="748">
        <f t="shared" si="12"/>
        <v>3.4</v>
      </c>
      <c r="Y61" s="451" t="str">
        <f>IFERROR(VLOOKUP(E:E,'Item Data Support Sheet'!A:J,6,0),0)</f>
        <v>FO011</v>
      </c>
      <c r="Z61" s="428">
        <f>IFERROR(VLOOKUP(E:E,'Item Data Support Sheet'!A:O,4,0),0)</f>
        <v>0</v>
      </c>
      <c r="AA61" s="428">
        <f t="shared" si="13"/>
        <v>0</v>
      </c>
      <c r="AB61" s="429" t="str">
        <f t="shared" si="14"/>
        <v xml:space="preserve"> </v>
      </c>
      <c r="AC61" s="424">
        <f t="shared" si="15"/>
        <v>0</v>
      </c>
      <c r="AD61" s="371">
        <f t="shared" si="16"/>
        <v>0</v>
      </c>
      <c r="AE61" s="748">
        <f t="shared" si="17"/>
        <v>1</v>
      </c>
      <c r="AF61" s="417">
        <f t="shared" si="18"/>
        <v>0</v>
      </c>
      <c r="AG61" s="416">
        <f t="shared" si="19"/>
        <v>5</v>
      </c>
      <c r="AH61" s="372">
        <f t="shared" si="20"/>
        <v>1</v>
      </c>
      <c r="AI61" s="373">
        <f t="shared" si="21"/>
        <v>1360</v>
      </c>
      <c r="AJ61" s="418">
        <f>VLOOKUP(D61,'Standard Cycle time'!C:D,2,0)</f>
        <v>2.2999999999999998</v>
      </c>
      <c r="AK61" s="418">
        <f t="shared" si="22"/>
        <v>2.6470588235294117</v>
      </c>
      <c r="AL61" s="374">
        <f t="shared" si="23"/>
        <v>0.86888888888888882</v>
      </c>
      <c r="AM61" s="372">
        <f t="shared" si="24"/>
        <v>0.86888888888888882</v>
      </c>
      <c r="AN61" s="799" t="s">
        <v>2272</v>
      </c>
      <c r="AO61" s="761"/>
      <c r="AP61" s="440">
        <v>0</v>
      </c>
      <c r="AQ61" s="440">
        <v>0</v>
      </c>
      <c r="AR61" s="440">
        <v>0</v>
      </c>
      <c r="AS61" s="440">
        <v>0</v>
      </c>
      <c r="AT61" s="440">
        <v>0</v>
      </c>
      <c r="AU61" s="440">
        <v>0</v>
      </c>
      <c r="AV61" s="440">
        <v>0</v>
      </c>
      <c r="AW61" s="440">
        <v>0</v>
      </c>
      <c r="AX61" s="440">
        <v>0</v>
      </c>
      <c r="AY61" s="440">
        <v>0</v>
      </c>
      <c r="AZ61" s="440">
        <v>0</v>
      </c>
      <c r="BA61" s="440">
        <v>0</v>
      </c>
      <c r="BB61" s="440">
        <v>0</v>
      </c>
      <c r="BC61" s="440">
        <v>0</v>
      </c>
      <c r="BD61" s="440">
        <v>0</v>
      </c>
      <c r="BE61" s="440">
        <v>0</v>
      </c>
      <c r="BF61" s="440">
        <v>0</v>
      </c>
      <c r="BG61" s="440">
        <v>0</v>
      </c>
      <c r="BH61" s="440">
        <v>0</v>
      </c>
      <c r="BI61" s="440">
        <v>0</v>
      </c>
      <c r="BJ61" s="440">
        <v>0</v>
      </c>
      <c r="BK61" s="440">
        <v>0</v>
      </c>
      <c r="BL61" s="440">
        <v>0</v>
      </c>
      <c r="BM61" s="440">
        <v>0</v>
      </c>
      <c r="BN61" s="440">
        <v>0</v>
      </c>
      <c r="BO61" s="440">
        <v>0</v>
      </c>
      <c r="BP61" s="440">
        <v>0</v>
      </c>
      <c r="BQ61" s="440">
        <v>0</v>
      </c>
      <c r="BR61" s="415">
        <f t="shared" si="25"/>
        <v>0</v>
      </c>
      <c r="BS61" s="415">
        <f t="shared" si="26"/>
        <v>0</v>
      </c>
      <c r="BT61" s="935"/>
      <c r="BU61" s="935"/>
      <c r="BV61" s="935"/>
      <c r="BW61" s="935"/>
      <c r="BX61" s="935"/>
      <c r="BY61" s="935"/>
      <c r="BZ61" s="935"/>
      <c r="CA61" s="935"/>
      <c r="CB61" s="935"/>
      <c r="CC61" s="935"/>
      <c r="CD61" s="935"/>
      <c r="CE61" s="935"/>
      <c r="CF61" s="935"/>
      <c r="CG61" s="935"/>
      <c r="CH61" s="935"/>
      <c r="CI61" s="935"/>
      <c r="CJ61" s="935"/>
      <c r="CK61" s="935"/>
      <c r="CL61" s="935"/>
      <c r="CM61" s="935"/>
      <c r="CN61" s="935"/>
      <c r="CO61" s="935"/>
      <c r="CP61" s="935"/>
      <c r="CQ61" s="935"/>
      <c r="CR61" s="935"/>
      <c r="CS61" s="935"/>
      <c r="CT61" s="935"/>
      <c r="CU61" s="935"/>
      <c r="CV61" s="935"/>
    </row>
    <row r="62" spans="1:100" s="375" customFormat="1" ht="14.9" customHeight="1">
      <c r="A62" s="375">
        <f t="shared" si="10"/>
        <v>8</v>
      </c>
      <c r="B62" s="455">
        <v>44415</v>
      </c>
      <c r="C62" s="445" t="s">
        <v>1980</v>
      </c>
      <c r="D62" s="376" t="str">
        <f>IFERROR(VLOOKUP(E:E,'Item Data Support Sheet'!A:O,7,0),"")</f>
        <v>BOTTLE MOLDED</v>
      </c>
      <c r="E62" s="446" t="s">
        <v>66</v>
      </c>
      <c r="F62" s="508" t="s">
        <v>1680</v>
      </c>
      <c r="G62" s="376" t="s">
        <v>1888</v>
      </c>
      <c r="H62" s="602" t="str">
        <f>IFERROR(VLOOKUP(E:E,'Item Data Support Sheet'!A:O,2,0),"")</f>
        <v>KPP 200 ML BOTTLE MOLDED</v>
      </c>
      <c r="I62" s="447" t="s">
        <v>2266</v>
      </c>
      <c r="J62" s="447" t="s">
        <v>2808</v>
      </c>
      <c r="K62" s="438">
        <v>8</v>
      </c>
      <c r="L62" s="439">
        <v>2574</v>
      </c>
      <c r="M62" s="366">
        <f t="shared" si="27"/>
        <v>321.75</v>
      </c>
      <c r="N62" s="367">
        <f t="shared" si="2"/>
        <v>3038</v>
      </c>
      <c r="O62" s="61">
        <f>27*108</f>
        <v>2916</v>
      </c>
      <c r="P62" s="368">
        <v>0.2</v>
      </c>
      <c r="Q62" s="369">
        <v>50</v>
      </c>
      <c r="R62" s="370">
        <v>0</v>
      </c>
      <c r="S62" s="370">
        <v>0</v>
      </c>
      <c r="T62" s="370">
        <v>64</v>
      </c>
      <c r="U62" s="370">
        <v>8</v>
      </c>
      <c r="V62" s="450">
        <v>1</v>
      </c>
      <c r="W62" s="453">
        <f t="shared" si="11"/>
        <v>2916</v>
      </c>
      <c r="X62" s="748">
        <f t="shared" si="12"/>
        <v>1.1328671328671329</v>
      </c>
      <c r="Y62" s="451" t="str">
        <f>IFERROR(VLOOKUP(E:E,'Item Data Support Sheet'!A:J,6,0),0)</f>
        <v>HMC</v>
      </c>
      <c r="Z62" s="428">
        <f>IFERROR(VLOOKUP(E:E,'Item Data Support Sheet'!A:O,4,0),0)</f>
        <v>28.1</v>
      </c>
      <c r="AA62" s="428">
        <f t="shared" si="13"/>
        <v>85.567800000000005</v>
      </c>
      <c r="AB62" s="429">
        <f t="shared" si="14"/>
        <v>0.95759853589784938</v>
      </c>
      <c r="AC62" s="424">
        <f t="shared" si="15"/>
        <v>2.1476510067114093E-2</v>
      </c>
      <c r="AD62" s="371">
        <f t="shared" si="16"/>
        <v>1.6191709844559584E-2</v>
      </c>
      <c r="AE62" s="748">
        <f t="shared" si="17"/>
        <v>0.97893350888742592</v>
      </c>
      <c r="AF62" s="417">
        <f t="shared" si="18"/>
        <v>0</v>
      </c>
      <c r="AG62" s="416">
        <f t="shared" si="19"/>
        <v>8</v>
      </c>
      <c r="AH62" s="372">
        <f t="shared" si="20"/>
        <v>1</v>
      </c>
      <c r="AI62" s="373">
        <f t="shared" si="21"/>
        <v>364.5</v>
      </c>
      <c r="AJ62" s="418">
        <f>VLOOKUP(D62,'Standard Cycle time'!C:D,2,0)</f>
        <v>9</v>
      </c>
      <c r="AK62" s="418">
        <f t="shared" si="22"/>
        <v>9.8765432098765427</v>
      </c>
      <c r="AL62" s="374">
        <f t="shared" si="23"/>
        <v>0.91125</v>
      </c>
      <c r="AM62" s="372">
        <f t="shared" si="24"/>
        <v>0.89205315997366685</v>
      </c>
      <c r="AN62" s="799">
        <v>2270</v>
      </c>
      <c r="AO62" s="761" t="s">
        <v>2271</v>
      </c>
      <c r="AP62" s="440">
        <v>0</v>
      </c>
      <c r="AQ62" s="440">
        <v>0</v>
      </c>
      <c r="AR62" s="440">
        <v>0</v>
      </c>
      <c r="AS62" s="440">
        <v>0</v>
      </c>
      <c r="AT62" s="440">
        <v>0</v>
      </c>
      <c r="AU62" s="440">
        <v>0</v>
      </c>
      <c r="AV62" s="440">
        <v>0</v>
      </c>
      <c r="AW62" s="440">
        <v>0</v>
      </c>
      <c r="AX62" s="440">
        <v>0</v>
      </c>
      <c r="AY62" s="440">
        <v>0</v>
      </c>
      <c r="AZ62" s="440">
        <v>0</v>
      </c>
      <c r="BA62" s="440">
        <v>0</v>
      </c>
      <c r="BB62" s="440">
        <v>0</v>
      </c>
      <c r="BC62" s="440">
        <v>0</v>
      </c>
      <c r="BD62" s="440">
        <v>0</v>
      </c>
      <c r="BE62" s="440">
        <v>0</v>
      </c>
      <c r="BF62" s="440">
        <v>0</v>
      </c>
      <c r="BG62" s="440">
        <v>0</v>
      </c>
      <c r="BH62" s="440">
        <v>0</v>
      </c>
      <c r="BI62" s="440">
        <v>0</v>
      </c>
      <c r="BJ62" s="440">
        <v>0</v>
      </c>
      <c r="BK62" s="440">
        <v>0</v>
      </c>
      <c r="BL62" s="440">
        <v>0</v>
      </c>
      <c r="BM62" s="440">
        <v>0</v>
      </c>
      <c r="BN62" s="440">
        <v>0</v>
      </c>
      <c r="BO62" s="440">
        <v>0</v>
      </c>
      <c r="BP62" s="440">
        <v>0</v>
      </c>
      <c r="BQ62" s="440">
        <v>0</v>
      </c>
      <c r="BR62" s="415">
        <f>SUM(AP62:BQ62)/60</f>
        <v>0</v>
      </c>
      <c r="BS62" s="415">
        <f>SUM(AP62:BR62)/60</f>
        <v>0</v>
      </c>
      <c r="BT62" s="935"/>
      <c r="BU62" s="935"/>
      <c r="BV62" s="935"/>
      <c r="BW62" s="935"/>
      <c r="BX62" s="935"/>
      <c r="BY62" s="935"/>
      <c r="BZ62" s="935"/>
      <c r="CA62" s="935"/>
      <c r="CB62" s="935"/>
      <c r="CC62" s="935"/>
      <c r="CD62" s="935"/>
      <c r="CE62" s="935"/>
      <c r="CF62" s="935"/>
      <c r="CG62" s="935"/>
      <c r="CH62" s="935"/>
      <c r="CI62" s="935"/>
      <c r="CJ62" s="935"/>
      <c r="CK62" s="935"/>
      <c r="CL62" s="935"/>
      <c r="CM62" s="935"/>
      <c r="CN62" s="935"/>
      <c r="CO62" s="935"/>
      <c r="CP62" s="935"/>
      <c r="CQ62" s="935"/>
      <c r="CR62" s="935"/>
      <c r="CS62" s="935"/>
      <c r="CT62" s="935"/>
      <c r="CU62" s="935"/>
      <c r="CV62" s="935"/>
    </row>
    <row r="63" spans="1:100" s="375" customFormat="1" ht="14.9" customHeight="1">
      <c r="A63" s="375">
        <f t="shared" si="10"/>
        <v>8</v>
      </c>
      <c r="B63" s="455">
        <v>44415</v>
      </c>
      <c r="C63" s="445" t="s">
        <v>1980</v>
      </c>
      <c r="D63" s="376" t="str">
        <f>IFERROR(VLOOKUP(E:E,'Item Data Support Sheet'!A:O,7,0),"")</f>
        <v>CAP MOLDED</v>
      </c>
      <c r="E63" s="446" t="s">
        <v>2107</v>
      </c>
      <c r="F63" s="447"/>
      <c r="G63" s="376" t="s">
        <v>2220</v>
      </c>
      <c r="H63" s="602" t="str">
        <f>IFERROR(VLOOKUP(E:E,'Item Data Support Sheet'!A:O,2,0),"")</f>
        <v>CAP S TYPE MOLDED PINK</v>
      </c>
      <c r="I63" s="447" t="s">
        <v>2263</v>
      </c>
      <c r="J63" s="447" t="s">
        <v>2808</v>
      </c>
      <c r="K63" s="438">
        <v>8</v>
      </c>
      <c r="L63" s="439">
        <v>4137</v>
      </c>
      <c r="M63" s="366">
        <f t="shared" si="27"/>
        <v>517.125</v>
      </c>
      <c r="N63" s="367">
        <f t="shared" si="2"/>
        <v>4712</v>
      </c>
      <c r="O63" s="61">
        <v>4700</v>
      </c>
      <c r="P63" s="368">
        <v>0.38</v>
      </c>
      <c r="Q63" s="369">
        <v>0</v>
      </c>
      <c r="R63" s="370">
        <v>0</v>
      </c>
      <c r="S63" s="370">
        <v>0</v>
      </c>
      <c r="T63" s="370">
        <v>4</v>
      </c>
      <c r="U63" s="370">
        <v>8</v>
      </c>
      <c r="V63" s="450">
        <v>1</v>
      </c>
      <c r="W63" s="453">
        <f t="shared" si="11"/>
        <v>4700</v>
      </c>
      <c r="X63" s="748">
        <f t="shared" si="12"/>
        <v>1.1360889533478367</v>
      </c>
      <c r="Y63" s="451" t="str">
        <f>IFERROR(VLOOKUP(E:E,'Item Data Support Sheet'!A:J,6,0),0)</f>
        <v>RM000123</v>
      </c>
      <c r="Z63" s="428">
        <f>IFERROR(VLOOKUP(E:E,'Item Data Support Sheet'!A:O,4,0),0)</f>
        <v>7.3</v>
      </c>
      <c r="AA63" s="428">
        <f t="shared" si="13"/>
        <v>34.7776</v>
      </c>
      <c r="AB63" s="429">
        <f t="shared" si="14"/>
        <v>0.98655456385719553</v>
      </c>
      <c r="AC63" s="424">
        <f t="shared" si="15"/>
        <v>8.5034013605442174E-4</v>
      </c>
      <c r="AD63" s="371">
        <f t="shared" si="16"/>
        <v>0</v>
      </c>
      <c r="AE63" s="748">
        <f t="shared" si="17"/>
        <v>0.99915110356536507</v>
      </c>
      <c r="AF63" s="417">
        <f t="shared" si="18"/>
        <v>0</v>
      </c>
      <c r="AG63" s="416">
        <f t="shared" si="19"/>
        <v>8</v>
      </c>
      <c r="AH63" s="372">
        <f t="shared" si="20"/>
        <v>1</v>
      </c>
      <c r="AI63" s="373">
        <f t="shared" si="21"/>
        <v>587.5</v>
      </c>
      <c r="AJ63" s="418">
        <f>VLOOKUP(D63,'Standard Cycle time'!C:D,2,0)</f>
        <v>6</v>
      </c>
      <c r="AK63" s="418">
        <f t="shared" si="22"/>
        <v>6.1276595744680851</v>
      </c>
      <c r="AL63" s="374">
        <f t="shared" si="23"/>
        <v>0.97916666666666663</v>
      </c>
      <c r="AM63" s="372">
        <f t="shared" si="24"/>
        <v>0.97833545557441992</v>
      </c>
      <c r="AN63" s="799">
        <v>2688</v>
      </c>
      <c r="AO63" s="827" t="s">
        <v>2620</v>
      </c>
      <c r="AP63" s="440">
        <v>0</v>
      </c>
      <c r="AQ63" s="440">
        <v>0</v>
      </c>
      <c r="AR63" s="440">
        <v>0</v>
      </c>
      <c r="AS63" s="440">
        <v>0</v>
      </c>
      <c r="AT63" s="440">
        <v>0</v>
      </c>
      <c r="AU63" s="440">
        <v>0</v>
      </c>
      <c r="AV63" s="440">
        <v>0</v>
      </c>
      <c r="AW63" s="440">
        <v>0</v>
      </c>
      <c r="AX63" s="440">
        <v>0</v>
      </c>
      <c r="AY63" s="440">
        <v>0</v>
      </c>
      <c r="AZ63" s="440">
        <v>0</v>
      </c>
      <c r="BA63" s="440">
        <v>0</v>
      </c>
      <c r="BB63" s="440">
        <v>0</v>
      </c>
      <c r="BC63" s="440">
        <v>0</v>
      </c>
      <c r="BD63" s="440">
        <v>0</v>
      </c>
      <c r="BE63" s="440">
        <v>0</v>
      </c>
      <c r="BF63" s="440">
        <v>0</v>
      </c>
      <c r="BG63" s="440">
        <v>0</v>
      </c>
      <c r="BH63" s="440">
        <v>0</v>
      </c>
      <c r="BI63" s="440">
        <v>0</v>
      </c>
      <c r="BJ63" s="440">
        <v>0</v>
      </c>
      <c r="BK63" s="440">
        <v>0</v>
      </c>
      <c r="BL63" s="440">
        <v>0</v>
      </c>
      <c r="BM63" s="440">
        <v>0</v>
      </c>
      <c r="BN63" s="440">
        <v>0</v>
      </c>
      <c r="BO63" s="440">
        <v>0</v>
      </c>
      <c r="BP63" s="440">
        <v>0</v>
      </c>
      <c r="BQ63" s="440">
        <v>0</v>
      </c>
      <c r="BR63" s="415">
        <f t="shared" si="25"/>
        <v>0</v>
      </c>
      <c r="BS63" s="415">
        <f t="shared" si="26"/>
        <v>0</v>
      </c>
      <c r="BT63" s="935"/>
      <c r="BU63" s="935"/>
      <c r="BV63" s="935"/>
      <c r="BW63" s="935"/>
      <c r="BX63" s="935"/>
      <c r="BY63" s="935"/>
      <c r="BZ63" s="935"/>
      <c r="CA63" s="935"/>
      <c r="CB63" s="935"/>
      <c r="CC63" s="935"/>
      <c r="CD63" s="935"/>
      <c r="CE63" s="935"/>
      <c r="CF63" s="935"/>
      <c r="CG63" s="935"/>
      <c r="CH63" s="935"/>
      <c r="CI63" s="935"/>
      <c r="CJ63" s="935"/>
      <c r="CK63" s="935"/>
      <c r="CL63" s="935"/>
      <c r="CM63" s="935"/>
      <c r="CN63" s="935"/>
      <c r="CO63" s="935"/>
      <c r="CP63" s="935"/>
      <c r="CQ63" s="935"/>
      <c r="CR63" s="935"/>
      <c r="CS63" s="935"/>
      <c r="CT63" s="935"/>
      <c r="CU63" s="935"/>
      <c r="CV63" s="935"/>
    </row>
    <row r="64" spans="1:100" s="375" customFormat="1" ht="14.9" customHeight="1">
      <c r="A64" s="375">
        <f t="shared" si="10"/>
        <v>8</v>
      </c>
      <c r="B64" s="455">
        <v>44415</v>
      </c>
      <c r="C64" s="445" t="s">
        <v>2000</v>
      </c>
      <c r="D64" s="376" t="str">
        <f>IFERROR(VLOOKUP(E:E,'Item Data Support Sheet'!A:O,7,0),"")</f>
        <v>NIPPLE PUNCH INSPECTED</v>
      </c>
      <c r="E64" s="446" t="s">
        <v>1819</v>
      </c>
      <c r="F64" s="447"/>
      <c r="G64" s="376"/>
      <c r="H64" s="602" t="str">
        <f>IFERROR(VLOOKUP(E:E,'Item Data Support Sheet'!A:O,2,0),"")</f>
        <v>NIPPLE S TYPE M SIZE PUNCHED INSPECTED</v>
      </c>
      <c r="I64" s="447" t="s">
        <v>2273</v>
      </c>
      <c r="J64" s="447" t="s">
        <v>2812</v>
      </c>
      <c r="K64" s="438">
        <v>8.5</v>
      </c>
      <c r="L64" s="439">
        <v>14182</v>
      </c>
      <c r="M64" s="366">
        <f t="shared" si="27"/>
        <v>1668.4705882352941</v>
      </c>
      <c r="N64" s="367">
        <f t="shared" si="2"/>
        <v>15089</v>
      </c>
      <c r="O64" s="61">
        <v>14937</v>
      </c>
      <c r="P64" s="368">
        <v>0</v>
      </c>
      <c r="Q64" s="369">
        <v>0</v>
      </c>
      <c r="R64" s="370">
        <v>0</v>
      </c>
      <c r="S64" s="370">
        <v>0</v>
      </c>
      <c r="T64" s="370">
        <v>152</v>
      </c>
      <c r="U64" s="370">
        <v>0</v>
      </c>
      <c r="V64" s="450">
        <v>2</v>
      </c>
      <c r="W64" s="453">
        <f t="shared" si="11"/>
        <v>7468.5</v>
      </c>
      <c r="X64" s="748">
        <f t="shared" si="12"/>
        <v>1.0532364969679875</v>
      </c>
      <c r="Y64" s="451" t="str">
        <f>IFERROR(VLOOKUP(E:E,'Item Data Support Sheet'!A:J,6,0),0)</f>
        <v>FO105</v>
      </c>
      <c r="Z64" s="428">
        <f>IFERROR(VLOOKUP(E:E,'Item Data Support Sheet'!A:O,4,0),0)</f>
        <v>0</v>
      </c>
      <c r="AA64" s="428">
        <f t="shared" si="13"/>
        <v>0</v>
      </c>
      <c r="AB64" s="429" t="str">
        <f t="shared" si="14"/>
        <v xml:space="preserve"> </v>
      </c>
      <c r="AC64" s="424">
        <f t="shared" si="15"/>
        <v>1.0073563523096296E-2</v>
      </c>
      <c r="AD64" s="371">
        <f t="shared" si="16"/>
        <v>0</v>
      </c>
      <c r="AE64" s="748">
        <f t="shared" si="17"/>
        <v>0.9899264364769037</v>
      </c>
      <c r="AF64" s="417">
        <f t="shared" si="18"/>
        <v>0.83333333333333337</v>
      </c>
      <c r="AG64" s="416">
        <f t="shared" si="19"/>
        <v>7.666666666666667</v>
      </c>
      <c r="AH64" s="372">
        <f t="shared" si="20"/>
        <v>0.90196078431372551</v>
      </c>
      <c r="AI64" s="373">
        <f t="shared" si="21"/>
        <v>1757.2941176470588</v>
      </c>
      <c r="AJ64" s="418">
        <f>VLOOKUP(D64,'Standard Cycle time'!C:D,2,0)</f>
        <v>4</v>
      </c>
      <c r="AK64" s="418">
        <f t="shared" si="22"/>
        <v>3.6955211889937738</v>
      </c>
      <c r="AL64" s="374">
        <f t="shared" si="23"/>
        <v>1.0823913043478262</v>
      </c>
      <c r="AM64" s="372">
        <f t="shared" si="24"/>
        <v>0.96643994651343224</v>
      </c>
      <c r="AN64" s="799" t="s">
        <v>2279</v>
      </c>
      <c r="AO64" s="929"/>
      <c r="AP64" s="440">
        <v>50</v>
      </c>
      <c r="AQ64" s="440">
        <v>0</v>
      </c>
      <c r="AR64" s="440">
        <v>0</v>
      </c>
      <c r="AS64" s="440">
        <v>0</v>
      </c>
      <c r="AT64" s="440">
        <v>0</v>
      </c>
      <c r="AU64" s="440">
        <v>0</v>
      </c>
      <c r="AV64" s="440">
        <v>0</v>
      </c>
      <c r="AW64" s="440">
        <v>0</v>
      </c>
      <c r="AX64" s="440">
        <v>0</v>
      </c>
      <c r="AY64" s="440">
        <v>0</v>
      </c>
      <c r="AZ64" s="440">
        <v>0</v>
      </c>
      <c r="BA64" s="440">
        <v>0</v>
      </c>
      <c r="BB64" s="440">
        <v>0</v>
      </c>
      <c r="BC64" s="440">
        <v>0</v>
      </c>
      <c r="BD64" s="440">
        <v>0</v>
      </c>
      <c r="BE64" s="440">
        <v>0</v>
      </c>
      <c r="BF64" s="440">
        <v>0</v>
      </c>
      <c r="BG64" s="440">
        <v>0</v>
      </c>
      <c r="BH64" s="440">
        <v>0</v>
      </c>
      <c r="BI64" s="440">
        <v>0</v>
      </c>
      <c r="BJ64" s="440">
        <v>0</v>
      </c>
      <c r="BK64" s="440">
        <v>0</v>
      </c>
      <c r="BL64" s="440">
        <v>0</v>
      </c>
      <c r="BM64" s="440">
        <v>0</v>
      </c>
      <c r="BN64" s="440">
        <v>0</v>
      </c>
      <c r="BO64" s="440">
        <v>0</v>
      </c>
      <c r="BP64" s="440">
        <v>0</v>
      </c>
      <c r="BQ64" s="440">
        <v>0</v>
      </c>
      <c r="BR64" s="415">
        <f>SUM(AP64:BQ64)/60</f>
        <v>0.83333333333333337</v>
      </c>
      <c r="BS64" s="415">
        <f>SUM(AP64:BR64)/60</f>
        <v>0.84722222222222221</v>
      </c>
      <c r="BT64" s="935"/>
      <c r="BU64" s="935"/>
      <c r="BV64" s="935"/>
      <c r="BW64" s="935"/>
      <c r="BX64" s="935"/>
      <c r="BY64" s="935"/>
      <c r="BZ64" s="935"/>
      <c r="CA64" s="935"/>
      <c r="CB64" s="935"/>
      <c r="CC64" s="935"/>
      <c r="CD64" s="935"/>
      <c r="CE64" s="935"/>
      <c r="CF64" s="935"/>
      <c r="CG64" s="935"/>
      <c r="CH64" s="935"/>
      <c r="CI64" s="935"/>
      <c r="CJ64" s="935"/>
      <c r="CK64" s="935"/>
      <c r="CL64" s="935"/>
      <c r="CM64" s="935"/>
      <c r="CN64" s="935"/>
      <c r="CO64" s="935"/>
      <c r="CP64" s="935"/>
      <c r="CQ64" s="935"/>
      <c r="CR64" s="935"/>
      <c r="CS64" s="935"/>
      <c r="CT64" s="935"/>
      <c r="CU64" s="935"/>
      <c r="CV64" s="935"/>
    </row>
    <row r="65" spans="1:100" s="375" customFormat="1" ht="14.9" customHeight="1">
      <c r="A65" s="375">
        <f t="shared" si="10"/>
        <v>8</v>
      </c>
      <c r="B65" s="455">
        <v>44415</v>
      </c>
      <c r="C65" s="445" t="s">
        <v>2000</v>
      </c>
      <c r="D65" s="376" t="str">
        <f>IFERROR(VLOOKUP(E:E,'Item Data Support Sheet'!A:O,7,0),"")</f>
        <v>BOTTLE PRINTED</v>
      </c>
      <c r="E65" s="446" t="s">
        <v>114</v>
      </c>
      <c r="F65" s="447"/>
      <c r="G65" s="376" t="s">
        <v>1698</v>
      </c>
      <c r="H65" s="602" t="str">
        <f>IFERROR(VLOOKUP(E:E,'Item Data Support Sheet'!A:O,2,0),"")</f>
        <v>KPP BOTTLE 200 ML PRINTED-WMG3B</v>
      </c>
      <c r="I65" s="447" t="s">
        <v>2274</v>
      </c>
      <c r="J65" s="447" t="s">
        <v>2813</v>
      </c>
      <c r="K65" s="438">
        <v>3.5</v>
      </c>
      <c r="L65" s="439">
        <v>2125</v>
      </c>
      <c r="M65" s="366">
        <f t="shared" si="27"/>
        <v>607.14285714285711</v>
      </c>
      <c r="N65" s="367">
        <f t="shared" si="2"/>
        <v>2017</v>
      </c>
      <c r="O65" s="61">
        <v>1989</v>
      </c>
      <c r="P65" s="368">
        <v>0</v>
      </c>
      <c r="Q65" s="369">
        <v>0</v>
      </c>
      <c r="R65" s="370">
        <v>12</v>
      </c>
      <c r="S65" s="370">
        <v>0</v>
      </c>
      <c r="T65" s="370">
        <v>28</v>
      </c>
      <c r="U65" s="370">
        <v>0</v>
      </c>
      <c r="V65" s="450">
        <v>6</v>
      </c>
      <c r="W65" s="453">
        <f t="shared" si="11"/>
        <v>331.5</v>
      </c>
      <c r="X65" s="748">
        <f t="shared" si="12"/>
        <v>0.93600000000000005</v>
      </c>
      <c r="Y65" s="451" t="str">
        <f>IFERROR(VLOOKUP(E:E,'Item Data Support Sheet'!A:J,6,0),0)</f>
        <v>FO043</v>
      </c>
      <c r="Z65" s="428">
        <f>IFERROR(VLOOKUP(E:E,'Item Data Support Sheet'!A:O,4,0),0)</f>
        <v>0</v>
      </c>
      <c r="AA65" s="428">
        <f t="shared" si="13"/>
        <v>0</v>
      </c>
      <c r="AB65" s="429" t="str">
        <f t="shared" si="14"/>
        <v xml:space="preserve"> </v>
      </c>
      <c r="AC65" s="424">
        <f t="shared" si="15"/>
        <v>1.3882002974714923E-2</v>
      </c>
      <c r="AD65" s="371">
        <f t="shared" si="16"/>
        <v>0</v>
      </c>
      <c r="AE65" s="748">
        <f t="shared" si="17"/>
        <v>0.98611799702528513</v>
      </c>
      <c r="AF65" s="417">
        <f t="shared" si="18"/>
        <v>0.33333333333333331</v>
      </c>
      <c r="AG65" s="416">
        <f t="shared" si="19"/>
        <v>3.1666666666666665</v>
      </c>
      <c r="AH65" s="372">
        <f t="shared" si="20"/>
        <v>0.90476190476190477</v>
      </c>
      <c r="AI65" s="373">
        <f t="shared" si="21"/>
        <v>568.28571428571433</v>
      </c>
      <c r="AJ65" s="418">
        <f>VLOOKUP(D65,'Standard Cycle time'!C:D,2,0)</f>
        <v>32.4</v>
      </c>
      <c r="AK65" s="418">
        <f t="shared" si="22"/>
        <v>34.389140271493211</v>
      </c>
      <c r="AL65" s="374">
        <f t="shared" si="23"/>
        <v>0.94215789473684208</v>
      </c>
      <c r="AM65" s="372">
        <f t="shared" si="24"/>
        <v>0.84059515546426811</v>
      </c>
      <c r="AN65" s="836">
        <v>22882290</v>
      </c>
      <c r="AO65" s="761"/>
      <c r="AP65" s="440">
        <v>20</v>
      </c>
      <c r="AQ65" s="440">
        <v>0</v>
      </c>
      <c r="AR65" s="440">
        <v>0</v>
      </c>
      <c r="AS65" s="440">
        <v>0</v>
      </c>
      <c r="AT65" s="440">
        <v>0</v>
      </c>
      <c r="AU65" s="440">
        <v>0</v>
      </c>
      <c r="AV65" s="440">
        <v>0</v>
      </c>
      <c r="AW65" s="440">
        <v>0</v>
      </c>
      <c r="AX65" s="440">
        <v>0</v>
      </c>
      <c r="AY65" s="440">
        <v>0</v>
      </c>
      <c r="AZ65" s="440">
        <v>0</v>
      </c>
      <c r="BA65" s="440">
        <v>0</v>
      </c>
      <c r="BB65" s="440">
        <v>0</v>
      </c>
      <c r="BC65" s="440">
        <v>0</v>
      </c>
      <c r="BD65" s="440">
        <v>0</v>
      </c>
      <c r="BE65" s="440">
        <v>0</v>
      </c>
      <c r="BF65" s="440">
        <v>0</v>
      </c>
      <c r="BG65" s="440">
        <v>0</v>
      </c>
      <c r="BH65" s="440">
        <v>0</v>
      </c>
      <c r="BI65" s="440">
        <v>0</v>
      </c>
      <c r="BJ65" s="440">
        <v>0</v>
      </c>
      <c r="BK65" s="440">
        <v>0</v>
      </c>
      <c r="BL65" s="440">
        <v>0</v>
      </c>
      <c r="BM65" s="440">
        <v>0</v>
      </c>
      <c r="BN65" s="440">
        <v>0</v>
      </c>
      <c r="BO65" s="440">
        <v>0</v>
      </c>
      <c r="BP65" s="440">
        <v>0</v>
      </c>
      <c r="BQ65" s="440">
        <v>0</v>
      </c>
      <c r="BR65" s="415">
        <f t="shared" si="25"/>
        <v>0.33333333333333331</v>
      </c>
      <c r="BS65" s="415">
        <f t="shared" si="26"/>
        <v>0.33888888888888885</v>
      </c>
      <c r="BT65" s="935"/>
      <c r="BU65" s="935"/>
      <c r="BV65" s="935"/>
      <c r="BW65" s="935"/>
      <c r="BX65" s="935"/>
      <c r="BY65" s="935"/>
      <c r="BZ65" s="935"/>
      <c r="CA65" s="935"/>
      <c r="CB65" s="935"/>
      <c r="CC65" s="935"/>
      <c r="CD65" s="935"/>
      <c r="CE65" s="935"/>
      <c r="CF65" s="935"/>
      <c r="CG65" s="935"/>
      <c r="CH65" s="935"/>
      <c r="CI65" s="935"/>
      <c r="CJ65" s="935"/>
      <c r="CK65" s="935"/>
      <c r="CL65" s="935"/>
      <c r="CM65" s="935"/>
      <c r="CN65" s="935"/>
      <c r="CO65" s="935"/>
      <c r="CP65" s="935"/>
      <c r="CQ65" s="935"/>
      <c r="CR65" s="935"/>
      <c r="CS65" s="935"/>
      <c r="CT65" s="935"/>
      <c r="CU65" s="935"/>
      <c r="CV65" s="935"/>
    </row>
    <row r="66" spans="1:100" s="375" customFormat="1" ht="14.9" customHeight="1">
      <c r="A66" s="375">
        <f t="shared" si="10"/>
        <v>8</v>
      </c>
      <c r="B66" s="455">
        <v>44415</v>
      </c>
      <c r="C66" s="445" t="s">
        <v>2000</v>
      </c>
      <c r="D66" s="376" t="str">
        <f>IFERROR(VLOOKUP(E:E,'Item Data Support Sheet'!A:O,7,0),"")</f>
        <v>BOTTLE PRINTED</v>
      </c>
      <c r="E66" s="446" t="s">
        <v>188</v>
      </c>
      <c r="F66" s="447"/>
      <c r="G66" s="376" t="s">
        <v>1698</v>
      </c>
      <c r="H66" s="602" t="str">
        <f>IFERROR(VLOOKUP(E:E,'Item Data Support Sheet'!A:O,2,0),"")</f>
        <v>KPP 200 BOTTLE PRINTED (WMG3B) W/O OZ &amp; W/BIS LOGO</v>
      </c>
      <c r="I66" s="447" t="s">
        <v>2275</v>
      </c>
      <c r="J66" s="447" t="s">
        <v>2813</v>
      </c>
      <c r="K66" s="438">
        <v>0.8</v>
      </c>
      <c r="L66" s="439">
        <v>638</v>
      </c>
      <c r="M66" s="366">
        <f t="shared" si="27"/>
        <v>797.5</v>
      </c>
      <c r="N66" s="367">
        <f t="shared" si="2"/>
        <v>487</v>
      </c>
      <c r="O66" s="61">
        <v>467</v>
      </c>
      <c r="P66" s="368">
        <v>0</v>
      </c>
      <c r="Q66" s="369">
        <v>0</v>
      </c>
      <c r="R66" s="370">
        <v>0</v>
      </c>
      <c r="S66" s="370">
        <v>0</v>
      </c>
      <c r="T66" s="370">
        <v>20</v>
      </c>
      <c r="U66" s="370">
        <v>0</v>
      </c>
      <c r="V66" s="450">
        <v>6</v>
      </c>
      <c r="W66" s="453">
        <f t="shared" si="11"/>
        <v>77.833333333333329</v>
      </c>
      <c r="X66" s="748">
        <f t="shared" si="12"/>
        <v>0.73197492163009403</v>
      </c>
      <c r="Y66" s="451" t="str">
        <f>IFERROR(VLOOKUP(E:E,'Item Data Support Sheet'!A:J,6,0),0)</f>
        <v>FO043</v>
      </c>
      <c r="Z66" s="428">
        <f>IFERROR(VLOOKUP(E:E,'Item Data Support Sheet'!A:O,4,0),0)</f>
        <v>0</v>
      </c>
      <c r="AA66" s="428">
        <f t="shared" si="13"/>
        <v>0</v>
      </c>
      <c r="AB66" s="429" t="str">
        <f t="shared" si="14"/>
        <v xml:space="preserve"> </v>
      </c>
      <c r="AC66" s="424">
        <f t="shared" si="15"/>
        <v>4.1067761806981518E-2</v>
      </c>
      <c r="AD66" s="371">
        <f t="shared" si="16"/>
        <v>0</v>
      </c>
      <c r="AE66" s="748">
        <f t="shared" si="17"/>
        <v>0.95893223819301843</v>
      </c>
      <c r="AF66" s="417">
        <f t="shared" si="18"/>
        <v>0</v>
      </c>
      <c r="AG66" s="416">
        <f t="shared" si="19"/>
        <v>0.8</v>
      </c>
      <c r="AH66" s="372">
        <f t="shared" si="20"/>
        <v>1</v>
      </c>
      <c r="AI66" s="373">
        <f t="shared" si="21"/>
        <v>583.75</v>
      </c>
      <c r="AJ66" s="418">
        <f>VLOOKUP(D66,'Standard Cycle time'!C:D,2,0)</f>
        <v>32.4</v>
      </c>
      <c r="AK66" s="418">
        <f t="shared" si="22"/>
        <v>37.002141327623136</v>
      </c>
      <c r="AL66" s="374">
        <f t="shared" si="23"/>
        <v>0.87562499999999976</v>
      </c>
      <c r="AM66" s="372">
        <f t="shared" si="24"/>
        <v>0.83966504106776152</v>
      </c>
      <c r="AN66" s="799" t="s">
        <v>2648</v>
      </c>
      <c r="AO66" s="761"/>
      <c r="AP66" s="440">
        <v>0</v>
      </c>
      <c r="AQ66" s="440">
        <v>0</v>
      </c>
      <c r="AR66" s="440">
        <v>0</v>
      </c>
      <c r="AS66" s="440">
        <v>0</v>
      </c>
      <c r="AT66" s="440">
        <v>0</v>
      </c>
      <c r="AU66" s="440">
        <v>0</v>
      </c>
      <c r="AV66" s="440">
        <v>0</v>
      </c>
      <c r="AW66" s="440">
        <v>0</v>
      </c>
      <c r="AX66" s="440">
        <v>0</v>
      </c>
      <c r="AY66" s="440">
        <v>0</v>
      </c>
      <c r="AZ66" s="440">
        <v>0</v>
      </c>
      <c r="BA66" s="440">
        <v>0</v>
      </c>
      <c r="BB66" s="440">
        <v>0</v>
      </c>
      <c r="BC66" s="440">
        <v>0</v>
      </c>
      <c r="BD66" s="440">
        <v>0</v>
      </c>
      <c r="BE66" s="440">
        <v>0</v>
      </c>
      <c r="BF66" s="440">
        <v>0</v>
      </c>
      <c r="BG66" s="440">
        <v>0</v>
      </c>
      <c r="BH66" s="440">
        <v>0</v>
      </c>
      <c r="BI66" s="440">
        <v>0</v>
      </c>
      <c r="BJ66" s="440">
        <v>0</v>
      </c>
      <c r="BK66" s="440">
        <v>0</v>
      </c>
      <c r="BL66" s="440">
        <v>0</v>
      </c>
      <c r="BM66" s="440">
        <v>0</v>
      </c>
      <c r="BN66" s="440">
        <v>0</v>
      </c>
      <c r="BO66" s="440">
        <v>0</v>
      </c>
      <c r="BP66" s="440">
        <v>0</v>
      </c>
      <c r="BQ66" s="440">
        <v>0</v>
      </c>
      <c r="BR66" s="415">
        <f t="shared" si="25"/>
        <v>0</v>
      </c>
      <c r="BS66" s="415">
        <f t="shared" si="26"/>
        <v>0</v>
      </c>
      <c r="BT66" s="935"/>
      <c r="BU66" s="935"/>
      <c r="BV66" s="935"/>
      <c r="BW66" s="935"/>
      <c r="BX66" s="935"/>
      <c r="BY66" s="935"/>
      <c r="BZ66" s="935"/>
      <c r="CA66" s="935"/>
      <c r="CB66" s="935"/>
      <c r="CC66" s="935"/>
      <c r="CD66" s="935"/>
      <c r="CE66" s="935"/>
      <c r="CF66" s="935"/>
      <c r="CG66" s="935"/>
      <c r="CH66" s="935"/>
      <c r="CI66" s="935"/>
      <c r="CJ66" s="935"/>
      <c r="CK66" s="935"/>
      <c r="CL66" s="935"/>
      <c r="CM66" s="935"/>
      <c r="CN66" s="935"/>
      <c r="CO66" s="935"/>
      <c r="CP66" s="935"/>
      <c r="CQ66" s="935"/>
      <c r="CR66" s="935"/>
      <c r="CS66" s="935"/>
      <c r="CT66" s="935"/>
      <c r="CU66" s="935"/>
      <c r="CV66" s="935"/>
    </row>
    <row r="67" spans="1:100" s="375" customFormat="1" ht="14.9" customHeight="1">
      <c r="A67" s="375">
        <f t="shared" si="10"/>
        <v>8</v>
      </c>
      <c r="B67" s="455">
        <v>44415</v>
      </c>
      <c r="C67" s="445" t="s">
        <v>2000</v>
      </c>
      <c r="D67" s="376" t="str">
        <f>IFERROR(VLOOKUP(E:E,'Item Data Support Sheet'!A:O,7,0),"")</f>
        <v>BOTTLE PRINTED</v>
      </c>
      <c r="E67" s="446" t="s">
        <v>71</v>
      </c>
      <c r="F67" s="446"/>
      <c r="G67" s="376" t="s">
        <v>1698</v>
      </c>
      <c r="H67" s="602" t="str">
        <f>IFERROR(VLOOKUP(E:E,'Item Data Support Sheet'!A:O,2,0),"")</f>
        <v>RPP 120 ML BOTTLE PRINTED</v>
      </c>
      <c r="I67" s="447" t="s">
        <v>2276</v>
      </c>
      <c r="J67" s="447" t="s">
        <v>2813</v>
      </c>
      <c r="K67" s="438">
        <v>4</v>
      </c>
      <c r="L67" s="439">
        <v>2550</v>
      </c>
      <c r="M67" s="366">
        <f t="shared" si="27"/>
        <v>637.5</v>
      </c>
      <c r="N67" s="367">
        <f t="shared" si="2"/>
        <v>2538</v>
      </c>
      <c r="O67" s="61">
        <v>2520</v>
      </c>
      <c r="P67" s="368">
        <v>0</v>
      </c>
      <c r="Q67" s="369">
        <v>0</v>
      </c>
      <c r="R67" s="370">
        <v>11</v>
      </c>
      <c r="S67" s="370">
        <v>0</v>
      </c>
      <c r="T67" s="370">
        <v>18</v>
      </c>
      <c r="U67" s="370">
        <v>0</v>
      </c>
      <c r="V67" s="450">
        <v>6</v>
      </c>
      <c r="W67" s="453">
        <f t="shared" si="11"/>
        <v>420</v>
      </c>
      <c r="X67" s="748">
        <f t="shared" si="12"/>
        <v>0.9882352941176471</v>
      </c>
      <c r="Y67" s="451" t="str">
        <f>IFERROR(VLOOKUP(E:E,'Item Data Support Sheet'!A:J,6,0),0)</f>
        <v>FO004</v>
      </c>
      <c r="Z67" s="428">
        <f>IFERROR(VLOOKUP(E:E,'Item Data Support Sheet'!A:O,4,0),0)</f>
        <v>0</v>
      </c>
      <c r="AA67" s="428">
        <f t="shared" si="13"/>
        <v>0</v>
      </c>
      <c r="AB67" s="429" t="str">
        <f t="shared" si="14"/>
        <v xml:space="preserve"> </v>
      </c>
      <c r="AC67" s="424">
        <f t="shared" si="15"/>
        <v>7.0921985815602835E-3</v>
      </c>
      <c r="AD67" s="371">
        <f t="shared" si="16"/>
        <v>0</v>
      </c>
      <c r="AE67" s="748">
        <f t="shared" si="17"/>
        <v>0.99290780141843971</v>
      </c>
      <c r="AF67" s="417">
        <f t="shared" si="18"/>
        <v>0.5</v>
      </c>
      <c r="AG67" s="416">
        <f t="shared" si="19"/>
        <v>3.5</v>
      </c>
      <c r="AH67" s="372">
        <f t="shared" si="20"/>
        <v>0.875</v>
      </c>
      <c r="AI67" s="373">
        <f t="shared" si="21"/>
        <v>630</v>
      </c>
      <c r="AJ67" s="418">
        <f>VLOOKUP(D67,'Standard Cycle time'!C:D,2,0)</f>
        <v>32.4</v>
      </c>
      <c r="AK67" s="418">
        <f t="shared" si="22"/>
        <v>30</v>
      </c>
      <c r="AL67" s="374">
        <f t="shared" si="23"/>
        <v>1.0799999999999998</v>
      </c>
      <c r="AM67" s="372">
        <f t="shared" si="24"/>
        <v>0.93829787234042539</v>
      </c>
      <c r="AN67" s="799" t="s">
        <v>2649</v>
      </c>
      <c r="AO67" s="761"/>
      <c r="AP67" s="440">
        <v>30</v>
      </c>
      <c r="AQ67" s="440">
        <v>0</v>
      </c>
      <c r="AR67" s="440">
        <v>0</v>
      </c>
      <c r="AS67" s="440">
        <v>0</v>
      </c>
      <c r="AT67" s="440">
        <v>0</v>
      </c>
      <c r="AU67" s="440">
        <v>0</v>
      </c>
      <c r="AV67" s="440">
        <v>0</v>
      </c>
      <c r="AW67" s="440">
        <v>0</v>
      </c>
      <c r="AX67" s="440">
        <v>0</v>
      </c>
      <c r="AY67" s="440">
        <v>0</v>
      </c>
      <c r="AZ67" s="440">
        <v>0</v>
      </c>
      <c r="BA67" s="440">
        <v>0</v>
      </c>
      <c r="BB67" s="440">
        <v>0</v>
      </c>
      <c r="BC67" s="440">
        <v>0</v>
      </c>
      <c r="BD67" s="440">
        <v>0</v>
      </c>
      <c r="BE67" s="440">
        <v>0</v>
      </c>
      <c r="BF67" s="440">
        <v>0</v>
      </c>
      <c r="BG67" s="440">
        <v>0</v>
      </c>
      <c r="BH67" s="440">
        <v>0</v>
      </c>
      <c r="BI67" s="440">
        <v>0</v>
      </c>
      <c r="BJ67" s="440">
        <v>0</v>
      </c>
      <c r="BK67" s="440">
        <v>0</v>
      </c>
      <c r="BL67" s="440">
        <v>0</v>
      </c>
      <c r="BM67" s="440">
        <v>0</v>
      </c>
      <c r="BN67" s="440">
        <v>0</v>
      </c>
      <c r="BO67" s="440">
        <v>0</v>
      </c>
      <c r="BP67" s="440">
        <v>0</v>
      </c>
      <c r="BQ67" s="440">
        <v>0</v>
      </c>
      <c r="BR67" s="415">
        <f t="shared" si="25"/>
        <v>0.5</v>
      </c>
      <c r="BS67" s="415">
        <f t="shared" si="26"/>
        <v>0.5083333333333333</v>
      </c>
      <c r="BT67" s="935"/>
      <c r="BU67" s="935"/>
      <c r="BV67" s="935"/>
      <c r="BW67" s="935"/>
      <c r="BX67" s="935"/>
      <c r="BY67" s="935"/>
      <c r="BZ67" s="935"/>
      <c r="CA67" s="935"/>
      <c r="CB67" s="935"/>
      <c r="CC67" s="935"/>
      <c r="CD67" s="935"/>
      <c r="CE67" s="935"/>
      <c r="CF67" s="935"/>
      <c r="CG67" s="935"/>
      <c r="CH67" s="935"/>
      <c r="CI67" s="935"/>
      <c r="CJ67" s="935"/>
      <c r="CK67" s="935"/>
      <c r="CL67" s="935"/>
      <c r="CM67" s="935"/>
      <c r="CN67" s="935"/>
      <c r="CO67" s="935"/>
      <c r="CP67" s="935"/>
      <c r="CQ67" s="935"/>
      <c r="CR67" s="935"/>
      <c r="CS67" s="935"/>
      <c r="CT67" s="935"/>
      <c r="CU67" s="935"/>
      <c r="CV67" s="935"/>
    </row>
    <row r="68" spans="1:100" s="375" customFormat="1" ht="14.9" customHeight="1">
      <c r="A68" s="375">
        <f t="shared" si="10"/>
        <v>8</v>
      </c>
      <c r="B68" s="455">
        <v>44415</v>
      </c>
      <c r="C68" s="445" t="s">
        <v>2001</v>
      </c>
      <c r="D68" s="376" t="str">
        <f>IFERROR(VLOOKUP(E:E,'Item Data Support Sheet'!A:O,7,0),"")</f>
        <v>NIPPLE PUNCH</v>
      </c>
      <c r="E68" s="446" t="s">
        <v>81</v>
      </c>
      <c r="F68" s="447"/>
      <c r="G68" s="376" t="s">
        <v>1692</v>
      </c>
      <c r="H68" s="602" t="str">
        <f>IFERROR(VLOOKUP(E:E,'Item Data Support Sheet'!A:O,2,0),"")</f>
        <v>NIPPLE S TYPE M SIZE PUNCHED</v>
      </c>
      <c r="I68" s="447" t="s">
        <v>2277</v>
      </c>
      <c r="J68" s="447" t="s">
        <v>2810</v>
      </c>
      <c r="K68" s="438">
        <v>8</v>
      </c>
      <c r="L68" s="439">
        <v>7036</v>
      </c>
      <c r="M68" s="366">
        <f t="shared" si="27"/>
        <v>879.5</v>
      </c>
      <c r="N68" s="367">
        <f t="shared" ref="N68:N131" si="28">+O68+Q68+T68+U68</f>
        <v>6600</v>
      </c>
      <c r="O68" s="61">
        <f>2000+4600</f>
        <v>6600</v>
      </c>
      <c r="P68" s="368">
        <v>0</v>
      </c>
      <c r="Q68" s="369">
        <v>0</v>
      </c>
      <c r="R68" s="370">
        <v>0</v>
      </c>
      <c r="S68" s="370">
        <v>0</v>
      </c>
      <c r="T68" s="370">
        <v>0</v>
      </c>
      <c r="U68" s="370">
        <v>0</v>
      </c>
      <c r="V68" s="450">
        <v>1</v>
      </c>
      <c r="W68" s="453">
        <f t="shared" si="11"/>
        <v>6600</v>
      </c>
      <c r="X68" s="748">
        <f t="shared" si="12"/>
        <v>0.93803297328027291</v>
      </c>
      <c r="Y68" s="451" t="str">
        <f>IFERROR(VLOOKUP(E:E,'Item Data Support Sheet'!A:J,6,0),0)</f>
        <v>FO016</v>
      </c>
      <c r="Z68" s="428">
        <f>IFERROR(VLOOKUP(E:E,'Item Data Support Sheet'!A:O,4,0),0)</f>
        <v>0</v>
      </c>
      <c r="AA68" s="428">
        <f t="shared" si="13"/>
        <v>0</v>
      </c>
      <c r="AB68" s="429" t="str">
        <f t="shared" si="14"/>
        <v xml:space="preserve"> </v>
      </c>
      <c r="AC68" s="424">
        <f t="shared" si="15"/>
        <v>0</v>
      </c>
      <c r="AD68" s="371">
        <f t="shared" si="16"/>
        <v>0</v>
      </c>
      <c r="AE68" s="748">
        <f t="shared" si="17"/>
        <v>1</v>
      </c>
      <c r="AF68" s="417">
        <f t="shared" si="18"/>
        <v>0.66666666666666663</v>
      </c>
      <c r="AG68" s="416">
        <f t="shared" si="19"/>
        <v>7.333333333333333</v>
      </c>
      <c r="AH68" s="372">
        <f t="shared" si="20"/>
        <v>0.91666666666666663</v>
      </c>
      <c r="AI68" s="373">
        <f t="shared" si="21"/>
        <v>825</v>
      </c>
      <c r="AJ68" s="418">
        <f>VLOOKUP(D68,'Standard Cycle time'!C:D,2,0)</f>
        <v>3.5</v>
      </c>
      <c r="AK68" s="418">
        <f t="shared" si="22"/>
        <v>4</v>
      </c>
      <c r="AL68" s="374">
        <f t="shared" si="23"/>
        <v>0.875</v>
      </c>
      <c r="AM68" s="372">
        <f t="shared" si="24"/>
        <v>0.80208333333333326</v>
      </c>
      <c r="AN68" s="799" t="s">
        <v>2278</v>
      </c>
      <c r="AO68" s="929" t="s">
        <v>2280</v>
      </c>
      <c r="AP68" s="440">
        <v>40</v>
      </c>
      <c r="AQ68" s="440">
        <v>0</v>
      </c>
      <c r="AR68" s="440">
        <v>0</v>
      </c>
      <c r="AS68" s="440">
        <v>0</v>
      </c>
      <c r="AT68" s="440">
        <v>0</v>
      </c>
      <c r="AU68" s="440">
        <v>0</v>
      </c>
      <c r="AV68" s="440">
        <v>0</v>
      </c>
      <c r="AW68" s="440">
        <v>0</v>
      </c>
      <c r="AX68" s="440">
        <v>0</v>
      </c>
      <c r="AY68" s="440">
        <v>0</v>
      </c>
      <c r="AZ68" s="440">
        <v>0</v>
      </c>
      <c r="BA68" s="440">
        <v>0</v>
      </c>
      <c r="BB68" s="440">
        <v>0</v>
      </c>
      <c r="BC68" s="440">
        <v>0</v>
      </c>
      <c r="BD68" s="440">
        <v>0</v>
      </c>
      <c r="BE68" s="440">
        <v>0</v>
      </c>
      <c r="BF68" s="440">
        <v>0</v>
      </c>
      <c r="BG68" s="440">
        <v>0</v>
      </c>
      <c r="BH68" s="440">
        <v>0</v>
      </c>
      <c r="BI68" s="440">
        <v>0</v>
      </c>
      <c r="BJ68" s="440">
        <v>0</v>
      </c>
      <c r="BK68" s="440">
        <v>0</v>
      </c>
      <c r="BL68" s="440">
        <v>0</v>
      </c>
      <c r="BM68" s="440">
        <v>0</v>
      </c>
      <c r="BN68" s="440">
        <v>0</v>
      </c>
      <c r="BO68" s="440">
        <v>0</v>
      </c>
      <c r="BP68" s="440">
        <v>0</v>
      </c>
      <c r="BQ68" s="440">
        <v>0</v>
      </c>
      <c r="BR68" s="415">
        <f t="shared" si="25"/>
        <v>0.66666666666666663</v>
      </c>
      <c r="BS68" s="415">
        <f t="shared" si="26"/>
        <v>0.6777777777777777</v>
      </c>
      <c r="BT68" s="935"/>
      <c r="BU68" s="935"/>
      <c r="BV68" s="935"/>
      <c r="BW68" s="935"/>
      <c r="BX68" s="935"/>
      <c r="BY68" s="935"/>
      <c r="BZ68" s="935"/>
      <c r="CA68" s="935"/>
      <c r="CB68" s="935"/>
      <c r="CC68" s="935"/>
      <c r="CD68" s="935"/>
      <c r="CE68" s="935"/>
      <c r="CF68" s="935"/>
      <c r="CG68" s="935"/>
      <c r="CH68" s="935"/>
      <c r="CI68" s="935"/>
      <c r="CJ68" s="935"/>
      <c r="CK68" s="935"/>
      <c r="CL68" s="935"/>
      <c r="CM68" s="935"/>
      <c r="CN68" s="935"/>
      <c r="CO68" s="935"/>
      <c r="CP68" s="935"/>
      <c r="CQ68" s="935"/>
      <c r="CR68" s="935"/>
      <c r="CS68" s="935"/>
      <c r="CT68" s="935"/>
      <c r="CU68" s="935"/>
      <c r="CV68" s="935"/>
    </row>
    <row r="69" spans="1:100" s="375" customFormat="1" ht="14.9" customHeight="1">
      <c r="A69" s="375">
        <f t="shared" ref="A69:A132" si="29">MONTH(B69)</f>
        <v>8</v>
      </c>
      <c r="B69" s="455">
        <v>44415</v>
      </c>
      <c r="C69" s="445" t="s">
        <v>2001</v>
      </c>
      <c r="D69" s="376" t="str">
        <f>IFERROR(VLOOKUP(E:E,'Item Data Support Sheet'!A:O,7,0),"")</f>
        <v>CAP MOLDED</v>
      </c>
      <c r="E69" s="446" t="s">
        <v>2107</v>
      </c>
      <c r="F69" s="447"/>
      <c r="G69" s="376" t="s">
        <v>2220</v>
      </c>
      <c r="H69" s="602" t="str">
        <f>IFERROR(VLOOKUP(E:E,'Item Data Support Sheet'!A:O,2,0),"")</f>
        <v>CAP S TYPE MOLDED PINK</v>
      </c>
      <c r="I69" s="447" t="s">
        <v>2263</v>
      </c>
      <c r="J69" s="447" t="s">
        <v>2810</v>
      </c>
      <c r="K69" s="438">
        <v>3</v>
      </c>
      <c r="L69" s="439">
        <v>1500</v>
      </c>
      <c r="M69" s="366">
        <f t="shared" si="27"/>
        <v>500</v>
      </c>
      <c r="N69" s="367">
        <f t="shared" si="28"/>
        <v>1500</v>
      </c>
      <c r="O69" s="61">
        <v>1500</v>
      </c>
      <c r="P69" s="368">
        <v>0</v>
      </c>
      <c r="Q69" s="369">
        <v>0</v>
      </c>
      <c r="R69" s="370">
        <v>0</v>
      </c>
      <c r="S69" s="370">
        <v>0</v>
      </c>
      <c r="T69" s="370">
        <v>0</v>
      </c>
      <c r="U69" s="370">
        <v>0</v>
      </c>
      <c r="V69" s="450">
        <v>1</v>
      </c>
      <c r="W69" s="453">
        <f t="shared" ref="W69:W132" si="30">IFERROR(O69/V69,0)</f>
        <v>1500</v>
      </c>
      <c r="X69" s="748">
        <f t="shared" ref="X69:X132" si="31">O69/L69</f>
        <v>1</v>
      </c>
      <c r="Y69" s="451" t="str">
        <f>IFERROR(VLOOKUP(E:E,'Item Data Support Sheet'!A:J,6,0),0)</f>
        <v>RM000123</v>
      </c>
      <c r="Z69" s="428">
        <f>IFERROR(VLOOKUP(E:E,'Item Data Support Sheet'!A:O,4,0),0)</f>
        <v>7.3</v>
      </c>
      <c r="AA69" s="428">
        <f t="shared" ref="AA69:AA132" si="32">IFERROR(((N69)*(Z69/1000))+P69,0)</f>
        <v>10.95</v>
      </c>
      <c r="AB69" s="429">
        <f t="shared" ref="AB69:AB132" si="33">IFERROR((O69*(Z69/1000)/(AA69))," ")</f>
        <v>1</v>
      </c>
      <c r="AC69" s="424">
        <f t="shared" ref="AC69:AC132" si="34">IFERROR((T69)/((T69)+O69),0)</f>
        <v>0</v>
      </c>
      <c r="AD69" s="371">
        <f t="shared" ref="AD69:AD132" si="35">IFERROR(Q69/(Q69+N69),0)</f>
        <v>0</v>
      </c>
      <c r="AE69" s="748">
        <f t="shared" ref="AE69:AE132" si="36">(N69-T69)/N69</f>
        <v>1</v>
      </c>
      <c r="AF69" s="417">
        <f t="shared" ref="AF69:AF132" si="37">BR69</f>
        <v>0</v>
      </c>
      <c r="AG69" s="416">
        <f t="shared" ref="AG69:AG132" si="38">K69-AF69</f>
        <v>3</v>
      </c>
      <c r="AH69" s="372">
        <f t="shared" ref="AH69:AH132" si="39">IFERROR(AG69/K69," ")</f>
        <v>1</v>
      </c>
      <c r="AI69" s="373">
        <f t="shared" ref="AI69:AI132" si="40">IFERROR(O69/K69,0)</f>
        <v>500</v>
      </c>
      <c r="AJ69" s="418">
        <f>VLOOKUP(D69,'Standard Cycle time'!C:D,2,0)</f>
        <v>6</v>
      </c>
      <c r="AK69" s="418">
        <f t="shared" ref="AK69:AK132" si="41">AG69*V69*3600/O69</f>
        <v>7.2</v>
      </c>
      <c r="AL69" s="374">
        <f t="shared" ref="AL69:AL132" si="42">AJ69/AK69</f>
        <v>0.83333333333333326</v>
      </c>
      <c r="AM69" s="372">
        <f t="shared" ref="AM69:AM132" si="43">AE69*AL69*AH69</f>
        <v>0.83333333333333326</v>
      </c>
      <c r="AN69" s="799">
        <v>2688</v>
      </c>
      <c r="AO69" s="761"/>
      <c r="AP69" s="440">
        <v>0</v>
      </c>
      <c r="AQ69" s="440">
        <v>0</v>
      </c>
      <c r="AR69" s="440">
        <v>0</v>
      </c>
      <c r="AS69" s="440">
        <v>0</v>
      </c>
      <c r="AT69" s="440">
        <v>0</v>
      </c>
      <c r="AU69" s="440">
        <v>0</v>
      </c>
      <c r="AV69" s="440">
        <v>0</v>
      </c>
      <c r="AW69" s="440">
        <v>0</v>
      </c>
      <c r="AX69" s="440">
        <v>0</v>
      </c>
      <c r="AY69" s="440">
        <v>0</v>
      </c>
      <c r="AZ69" s="440">
        <v>0</v>
      </c>
      <c r="BA69" s="440">
        <v>0</v>
      </c>
      <c r="BB69" s="440">
        <v>0</v>
      </c>
      <c r="BC69" s="440">
        <v>0</v>
      </c>
      <c r="BD69" s="440">
        <v>0</v>
      </c>
      <c r="BE69" s="440">
        <v>0</v>
      </c>
      <c r="BF69" s="440">
        <v>0</v>
      </c>
      <c r="BG69" s="440">
        <v>0</v>
      </c>
      <c r="BH69" s="440">
        <v>0</v>
      </c>
      <c r="BI69" s="440">
        <v>0</v>
      </c>
      <c r="BJ69" s="440">
        <v>0</v>
      </c>
      <c r="BK69" s="440">
        <v>0</v>
      </c>
      <c r="BL69" s="440">
        <v>0</v>
      </c>
      <c r="BM69" s="440">
        <v>0</v>
      </c>
      <c r="BN69" s="440">
        <v>0</v>
      </c>
      <c r="BO69" s="440">
        <v>0</v>
      </c>
      <c r="BP69" s="440">
        <v>0</v>
      </c>
      <c r="BQ69" s="440">
        <v>0</v>
      </c>
      <c r="BR69" s="415">
        <f t="shared" si="25"/>
        <v>0</v>
      </c>
      <c r="BS69" s="415">
        <f t="shared" si="26"/>
        <v>0</v>
      </c>
      <c r="BT69" s="935"/>
      <c r="BU69" s="935"/>
      <c r="BV69" s="935"/>
      <c r="BW69" s="935"/>
      <c r="BX69" s="935"/>
      <c r="BY69" s="935"/>
      <c r="BZ69" s="935"/>
      <c r="CA69" s="935"/>
      <c r="CB69" s="935"/>
      <c r="CC69" s="935"/>
      <c r="CD69" s="935"/>
      <c r="CE69" s="935"/>
      <c r="CF69" s="935"/>
      <c r="CG69" s="935"/>
      <c r="CH69" s="935"/>
      <c r="CI69" s="935"/>
      <c r="CJ69" s="935"/>
      <c r="CK69" s="935"/>
      <c r="CL69" s="935"/>
      <c r="CM69" s="935"/>
      <c r="CN69" s="935"/>
      <c r="CO69" s="935"/>
      <c r="CP69" s="935"/>
      <c r="CQ69" s="935"/>
      <c r="CR69" s="935"/>
      <c r="CS69" s="935"/>
      <c r="CT69" s="935"/>
      <c r="CU69" s="935"/>
      <c r="CV69" s="935"/>
    </row>
    <row r="70" spans="1:100" s="375" customFormat="1" ht="14.9" customHeight="1">
      <c r="A70" s="375">
        <f t="shared" si="29"/>
        <v>8</v>
      </c>
      <c r="B70" s="455">
        <v>44415</v>
      </c>
      <c r="C70" s="445" t="s">
        <v>2001</v>
      </c>
      <c r="D70" s="376" t="str">
        <f>IFERROR(VLOOKUP(E:E,'Item Data Support Sheet'!A:O,7,0),"")</f>
        <v>CAP MOLDED</v>
      </c>
      <c r="E70" s="446" t="s">
        <v>2107</v>
      </c>
      <c r="F70" s="447"/>
      <c r="G70" s="376" t="s">
        <v>2220</v>
      </c>
      <c r="H70" s="602" t="str">
        <f>IFERROR(VLOOKUP(E:E,'Item Data Support Sheet'!A:O,2,0),"")</f>
        <v>CAP S TYPE MOLDED PINK</v>
      </c>
      <c r="I70" s="447" t="s">
        <v>2281</v>
      </c>
      <c r="J70" s="447" t="s">
        <v>2810</v>
      </c>
      <c r="K70" s="438">
        <v>5</v>
      </c>
      <c r="L70" s="439">
        <f>4137-1500</f>
        <v>2637</v>
      </c>
      <c r="M70" s="366">
        <f t="shared" si="27"/>
        <v>527.4</v>
      </c>
      <c r="N70" s="367">
        <f t="shared" si="28"/>
        <v>3000</v>
      </c>
      <c r="O70" s="61">
        <v>3000</v>
      </c>
      <c r="P70" s="368">
        <v>0</v>
      </c>
      <c r="Q70" s="369">
        <v>0</v>
      </c>
      <c r="R70" s="370">
        <v>0</v>
      </c>
      <c r="S70" s="370">
        <v>0</v>
      </c>
      <c r="T70" s="370">
        <v>0</v>
      </c>
      <c r="U70" s="370">
        <v>0</v>
      </c>
      <c r="V70" s="450">
        <v>1</v>
      </c>
      <c r="W70" s="453">
        <f t="shared" si="30"/>
        <v>3000</v>
      </c>
      <c r="X70" s="748">
        <f t="shared" si="31"/>
        <v>1.1376564277588168</v>
      </c>
      <c r="Y70" s="451" t="str">
        <f>IFERROR(VLOOKUP(E:E,'Item Data Support Sheet'!A:J,6,0),0)</f>
        <v>RM000123</v>
      </c>
      <c r="Z70" s="428">
        <f>IFERROR(VLOOKUP(E:E,'Item Data Support Sheet'!A:O,4,0),0)</f>
        <v>7.3</v>
      </c>
      <c r="AA70" s="428">
        <f t="shared" si="32"/>
        <v>21.9</v>
      </c>
      <c r="AB70" s="429">
        <f t="shared" si="33"/>
        <v>1</v>
      </c>
      <c r="AC70" s="424">
        <f t="shared" si="34"/>
        <v>0</v>
      </c>
      <c r="AD70" s="371">
        <f t="shared" si="35"/>
        <v>0</v>
      </c>
      <c r="AE70" s="748">
        <f t="shared" si="36"/>
        <v>1</v>
      </c>
      <c r="AF70" s="417">
        <f t="shared" si="37"/>
        <v>0</v>
      </c>
      <c r="AG70" s="416">
        <f t="shared" si="38"/>
        <v>5</v>
      </c>
      <c r="AH70" s="372">
        <f t="shared" si="39"/>
        <v>1</v>
      </c>
      <c r="AI70" s="373">
        <f t="shared" si="40"/>
        <v>600</v>
      </c>
      <c r="AJ70" s="418">
        <f>VLOOKUP(D70,'Standard Cycle time'!C:D,2,0)</f>
        <v>6</v>
      </c>
      <c r="AK70" s="418">
        <f t="shared" si="41"/>
        <v>6</v>
      </c>
      <c r="AL70" s="374">
        <f t="shared" si="42"/>
        <v>1</v>
      </c>
      <c r="AM70" s="372">
        <f t="shared" si="43"/>
        <v>1</v>
      </c>
      <c r="AN70" s="799">
        <v>2689</v>
      </c>
      <c r="AO70" s="761"/>
      <c r="AP70" s="440">
        <v>0</v>
      </c>
      <c r="AQ70" s="440">
        <v>0</v>
      </c>
      <c r="AR70" s="440">
        <v>0</v>
      </c>
      <c r="AS70" s="440">
        <v>0</v>
      </c>
      <c r="AT70" s="440">
        <v>0</v>
      </c>
      <c r="AU70" s="440">
        <v>0</v>
      </c>
      <c r="AV70" s="440">
        <v>0</v>
      </c>
      <c r="AW70" s="440">
        <v>0</v>
      </c>
      <c r="AX70" s="440">
        <v>0</v>
      </c>
      <c r="AY70" s="440">
        <v>0</v>
      </c>
      <c r="AZ70" s="440">
        <v>0</v>
      </c>
      <c r="BA70" s="440">
        <v>0</v>
      </c>
      <c r="BB70" s="440">
        <v>0</v>
      </c>
      <c r="BC70" s="440">
        <v>0</v>
      </c>
      <c r="BD70" s="440">
        <v>0</v>
      </c>
      <c r="BE70" s="440">
        <v>0</v>
      </c>
      <c r="BF70" s="440">
        <v>0</v>
      </c>
      <c r="BG70" s="440">
        <v>0</v>
      </c>
      <c r="BH70" s="440">
        <v>0</v>
      </c>
      <c r="BI70" s="440">
        <v>0</v>
      </c>
      <c r="BJ70" s="440">
        <v>0</v>
      </c>
      <c r="BK70" s="440">
        <v>0</v>
      </c>
      <c r="BL70" s="440">
        <v>0</v>
      </c>
      <c r="BM70" s="440">
        <v>0</v>
      </c>
      <c r="BN70" s="440">
        <v>0</v>
      </c>
      <c r="BO70" s="440">
        <v>0</v>
      </c>
      <c r="BP70" s="440">
        <v>0</v>
      </c>
      <c r="BQ70" s="440">
        <v>0</v>
      </c>
      <c r="BR70" s="415">
        <f t="shared" si="25"/>
        <v>0</v>
      </c>
      <c r="BS70" s="415">
        <f t="shared" si="26"/>
        <v>0</v>
      </c>
      <c r="BT70" s="935"/>
      <c r="BU70" s="935"/>
      <c r="BV70" s="935"/>
      <c r="BW70" s="935"/>
      <c r="BX70" s="935"/>
      <c r="BY70" s="935"/>
      <c r="BZ70" s="935"/>
      <c r="CA70" s="935"/>
      <c r="CB70" s="935"/>
      <c r="CC70" s="935"/>
      <c r="CD70" s="935"/>
      <c r="CE70" s="935"/>
      <c r="CF70" s="935"/>
      <c r="CG70" s="935"/>
      <c r="CH70" s="935"/>
      <c r="CI70" s="935"/>
      <c r="CJ70" s="935"/>
      <c r="CK70" s="935"/>
      <c r="CL70" s="935"/>
      <c r="CM70" s="935"/>
      <c r="CN70" s="935"/>
      <c r="CO70" s="935"/>
      <c r="CP70" s="935"/>
      <c r="CQ70" s="935"/>
      <c r="CR70" s="935"/>
      <c r="CS70" s="935"/>
      <c r="CT70" s="935"/>
      <c r="CU70" s="935"/>
      <c r="CV70" s="935"/>
    </row>
    <row r="71" spans="1:100" s="375" customFormat="1" ht="14.9" customHeight="1">
      <c r="A71" s="375">
        <f t="shared" si="29"/>
        <v>8</v>
      </c>
      <c r="B71" s="455">
        <v>44415</v>
      </c>
      <c r="C71" s="445" t="s">
        <v>2001</v>
      </c>
      <c r="D71" s="376" t="str">
        <f>IFERROR(VLOOKUP(E:E,'Item Data Support Sheet'!A:O,7,0),"")</f>
        <v>NIPPLE MOLDED</v>
      </c>
      <c r="E71" s="446" t="s">
        <v>72</v>
      </c>
      <c r="F71" s="447" t="s">
        <v>1678</v>
      </c>
      <c r="G71" s="376" t="s">
        <v>1691</v>
      </c>
      <c r="H71" s="602" t="str">
        <f>IFERROR(VLOOKUP(E:E,'Item Data Support Sheet'!A:O,2,0),"")</f>
        <v>NIPPLE S TYPE S SIZE INJECTION</v>
      </c>
      <c r="I71" s="447" t="s">
        <v>2282</v>
      </c>
      <c r="J71" s="447" t="s">
        <v>2810</v>
      </c>
      <c r="K71" s="438">
        <v>8</v>
      </c>
      <c r="L71" s="439">
        <v>4815</v>
      </c>
      <c r="M71" s="366">
        <f t="shared" si="27"/>
        <v>601.875</v>
      </c>
      <c r="N71" s="367">
        <f t="shared" si="28"/>
        <v>5065</v>
      </c>
      <c r="O71" s="61">
        <v>5000</v>
      </c>
      <c r="P71" s="368">
        <v>0</v>
      </c>
      <c r="Q71" s="369">
        <v>21</v>
      </c>
      <c r="R71" s="370">
        <v>0</v>
      </c>
      <c r="S71" s="370">
        <v>0</v>
      </c>
      <c r="T71" s="370">
        <v>44</v>
      </c>
      <c r="U71" s="370">
        <v>0</v>
      </c>
      <c r="V71" s="450">
        <v>1</v>
      </c>
      <c r="W71" s="453">
        <f t="shared" si="30"/>
        <v>5000</v>
      </c>
      <c r="X71" s="748">
        <f t="shared" si="31"/>
        <v>1.0384215991692627</v>
      </c>
      <c r="Y71" s="451" t="str">
        <f>IFERROR(VLOOKUP(E:E,'Item Data Support Sheet'!A:J,6,0),0)</f>
        <v>Silicon</v>
      </c>
      <c r="Z71" s="428">
        <f>IFERROR(VLOOKUP(E:E,'Item Data Support Sheet'!A:O,4,0),0)</f>
        <v>6.8</v>
      </c>
      <c r="AA71" s="428">
        <f t="shared" si="32"/>
        <v>34.442</v>
      </c>
      <c r="AB71" s="429">
        <f t="shared" si="33"/>
        <v>0.98716683119447191</v>
      </c>
      <c r="AC71" s="424">
        <f t="shared" si="34"/>
        <v>8.7232355273592389E-3</v>
      </c>
      <c r="AD71" s="371">
        <f t="shared" si="35"/>
        <v>4.1289815178922528E-3</v>
      </c>
      <c r="AE71" s="748">
        <f t="shared" si="36"/>
        <v>0.99131293188548864</v>
      </c>
      <c r="AF71" s="417">
        <f t="shared" si="37"/>
        <v>0.5</v>
      </c>
      <c r="AG71" s="416">
        <f t="shared" si="38"/>
        <v>7.5</v>
      </c>
      <c r="AH71" s="372">
        <f t="shared" si="39"/>
        <v>0.9375</v>
      </c>
      <c r="AI71" s="373">
        <f t="shared" si="40"/>
        <v>625</v>
      </c>
      <c r="AJ71" s="418">
        <f>VLOOKUP(D71,'Standard Cycle time'!C:D,2,0)</f>
        <v>5.25</v>
      </c>
      <c r="AK71" s="418">
        <f t="shared" si="41"/>
        <v>5.4</v>
      </c>
      <c r="AL71" s="374">
        <f t="shared" si="42"/>
        <v>0.97222222222222221</v>
      </c>
      <c r="AM71" s="372">
        <f t="shared" si="43"/>
        <v>0.90354043270812767</v>
      </c>
      <c r="AN71" s="799">
        <v>2282</v>
      </c>
      <c r="AO71" s="761"/>
      <c r="AP71" s="440">
        <v>0</v>
      </c>
      <c r="AQ71" s="440">
        <v>0</v>
      </c>
      <c r="AR71" s="440">
        <v>0</v>
      </c>
      <c r="AS71" s="440">
        <v>0</v>
      </c>
      <c r="AT71" s="440">
        <v>0</v>
      </c>
      <c r="AU71" s="440">
        <v>30</v>
      </c>
      <c r="AV71" s="440">
        <v>0</v>
      </c>
      <c r="AW71" s="440">
        <v>0</v>
      </c>
      <c r="AX71" s="440">
        <v>0</v>
      </c>
      <c r="AY71" s="440">
        <v>0</v>
      </c>
      <c r="AZ71" s="440">
        <v>0</v>
      </c>
      <c r="BA71" s="440">
        <v>0</v>
      </c>
      <c r="BB71" s="440">
        <v>0</v>
      </c>
      <c r="BC71" s="440">
        <v>0</v>
      </c>
      <c r="BD71" s="440">
        <v>0</v>
      </c>
      <c r="BE71" s="440">
        <v>0</v>
      </c>
      <c r="BF71" s="440">
        <v>0</v>
      </c>
      <c r="BG71" s="440">
        <v>0</v>
      </c>
      <c r="BH71" s="440">
        <v>0</v>
      </c>
      <c r="BI71" s="440">
        <v>0</v>
      </c>
      <c r="BJ71" s="440">
        <v>0</v>
      </c>
      <c r="BK71" s="440">
        <v>0</v>
      </c>
      <c r="BL71" s="440">
        <v>0</v>
      </c>
      <c r="BM71" s="440">
        <v>0</v>
      </c>
      <c r="BN71" s="440">
        <v>0</v>
      </c>
      <c r="BO71" s="440">
        <v>0</v>
      </c>
      <c r="BP71" s="440">
        <v>0</v>
      </c>
      <c r="BQ71" s="440">
        <v>0</v>
      </c>
      <c r="BR71" s="415">
        <f t="shared" si="25"/>
        <v>0.5</v>
      </c>
      <c r="BS71" s="415">
        <f t="shared" si="26"/>
        <v>0.5083333333333333</v>
      </c>
      <c r="BT71" s="935"/>
      <c r="BU71" s="935"/>
      <c r="BV71" s="935"/>
      <c r="BW71" s="935"/>
      <c r="BX71" s="935"/>
      <c r="BY71" s="935"/>
      <c r="BZ71" s="935"/>
      <c r="CA71" s="935"/>
      <c r="CB71" s="935"/>
      <c r="CC71" s="935"/>
      <c r="CD71" s="935"/>
      <c r="CE71" s="935"/>
      <c r="CF71" s="935"/>
      <c r="CG71" s="935"/>
      <c r="CH71" s="935"/>
      <c r="CI71" s="935"/>
      <c r="CJ71" s="935"/>
      <c r="CK71" s="935"/>
      <c r="CL71" s="935"/>
      <c r="CM71" s="935"/>
      <c r="CN71" s="935"/>
      <c r="CO71" s="935"/>
      <c r="CP71" s="935"/>
      <c r="CQ71" s="935"/>
      <c r="CR71" s="935"/>
      <c r="CS71" s="935"/>
      <c r="CT71" s="935"/>
      <c r="CU71" s="935"/>
      <c r="CV71" s="935"/>
    </row>
    <row r="72" spans="1:100" s="375" customFormat="1" ht="14.9" customHeight="1">
      <c r="A72" s="375">
        <f t="shared" si="29"/>
        <v>8</v>
      </c>
      <c r="B72" s="455">
        <v>44415</v>
      </c>
      <c r="C72" s="445" t="s">
        <v>2001</v>
      </c>
      <c r="D72" s="376" t="str">
        <f>IFERROR(VLOOKUP(E:E,'Item Data Support Sheet'!A:O,7,0),"")</f>
        <v>BOTTLE MOLDED</v>
      </c>
      <c r="E72" s="446" t="s">
        <v>66</v>
      </c>
      <c r="F72" s="447" t="s">
        <v>1680</v>
      </c>
      <c r="G72" s="376" t="s">
        <v>1888</v>
      </c>
      <c r="H72" s="602" t="str">
        <f>IFERROR(VLOOKUP(E:E,'Item Data Support Sheet'!A:O,2,0),"")</f>
        <v>KPP 200 ML BOTTLE MOLDED</v>
      </c>
      <c r="I72" s="447" t="s">
        <v>2283</v>
      </c>
      <c r="J72" s="447" t="s">
        <v>2810</v>
      </c>
      <c r="K72" s="438">
        <v>8</v>
      </c>
      <c r="L72" s="439">
        <v>2574</v>
      </c>
      <c r="M72" s="366">
        <f t="shared" si="27"/>
        <v>321.75</v>
      </c>
      <c r="N72" s="367">
        <f t="shared" si="28"/>
        <v>3114</v>
      </c>
      <c r="O72" s="61">
        <f>28*108</f>
        <v>3024</v>
      </c>
      <c r="P72" s="368">
        <v>0</v>
      </c>
      <c r="Q72" s="369">
        <v>30</v>
      </c>
      <c r="R72" s="370">
        <v>0</v>
      </c>
      <c r="S72" s="370">
        <v>0</v>
      </c>
      <c r="T72" s="370">
        <v>60</v>
      </c>
      <c r="U72" s="370">
        <v>0</v>
      </c>
      <c r="V72" s="450">
        <v>1</v>
      </c>
      <c r="W72" s="453">
        <f t="shared" si="30"/>
        <v>3024</v>
      </c>
      <c r="X72" s="748">
        <f t="shared" si="31"/>
        <v>1.1748251748251748</v>
      </c>
      <c r="Y72" s="451" t="str">
        <f>IFERROR(VLOOKUP(E:E,'Item Data Support Sheet'!A:J,6,0),0)</f>
        <v>HMC</v>
      </c>
      <c r="Z72" s="428">
        <f>IFERROR(VLOOKUP(E:E,'Item Data Support Sheet'!A:O,4,0),0)</f>
        <v>28.1</v>
      </c>
      <c r="AA72" s="428">
        <f t="shared" si="32"/>
        <v>87.503399999999999</v>
      </c>
      <c r="AB72" s="429">
        <f t="shared" si="33"/>
        <v>0.97109826589595383</v>
      </c>
      <c r="AC72" s="424">
        <f t="shared" si="34"/>
        <v>1.9455252918287938E-2</v>
      </c>
      <c r="AD72" s="371">
        <f t="shared" si="35"/>
        <v>9.5419847328244278E-3</v>
      </c>
      <c r="AE72" s="748">
        <f t="shared" si="36"/>
        <v>0.98073217726396922</v>
      </c>
      <c r="AF72" s="417">
        <f t="shared" si="37"/>
        <v>0</v>
      </c>
      <c r="AG72" s="416">
        <f t="shared" si="38"/>
        <v>8</v>
      </c>
      <c r="AH72" s="372">
        <f t="shared" si="39"/>
        <v>1</v>
      </c>
      <c r="AI72" s="373">
        <f t="shared" si="40"/>
        <v>378</v>
      </c>
      <c r="AJ72" s="418">
        <f>VLOOKUP(D72,'Standard Cycle time'!C:D,2,0)</f>
        <v>9</v>
      </c>
      <c r="AK72" s="418">
        <f t="shared" si="41"/>
        <v>9.5238095238095237</v>
      </c>
      <c r="AL72" s="374">
        <f t="shared" si="42"/>
        <v>0.94500000000000006</v>
      </c>
      <c r="AM72" s="372">
        <f t="shared" si="43"/>
        <v>0.92679190751445095</v>
      </c>
      <c r="AN72" s="799">
        <v>2283</v>
      </c>
      <c r="AO72" s="761"/>
      <c r="AP72" s="440">
        <v>0</v>
      </c>
      <c r="AQ72" s="440">
        <v>0</v>
      </c>
      <c r="AR72" s="440">
        <v>0</v>
      </c>
      <c r="AS72" s="440">
        <v>0</v>
      </c>
      <c r="AT72" s="440">
        <v>0</v>
      </c>
      <c r="AU72" s="440">
        <v>0</v>
      </c>
      <c r="AV72" s="440">
        <v>0</v>
      </c>
      <c r="AW72" s="440">
        <v>0</v>
      </c>
      <c r="AX72" s="440">
        <v>0</v>
      </c>
      <c r="AY72" s="440">
        <v>0</v>
      </c>
      <c r="AZ72" s="440">
        <v>0</v>
      </c>
      <c r="BA72" s="440">
        <v>0</v>
      </c>
      <c r="BB72" s="440">
        <v>0</v>
      </c>
      <c r="BC72" s="440">
        <v>0</v>
      </c>
      <c r="BD72" s="440">
        <v>0</v>
      </c>
      <c r="BE72" s="440">
        <v>0</v>
      </c>
      <c r="BF72" s="440">
        <v>0</v>
      </c>
      <c r="BG72" s="440">
        <v>0</v>
      </c>
      <c r="BH72" s="440">
        <v>0</v>
      </c>
      <c r="BI72" s="440">
        <v>0</v>
      </c>
      <c r="BJ72" s="440">
        <v>0</v>
      </c>
      <c r="BK72" s="440">
        <v>0</v>
      </c>
      <c r="BL72" s="440">
        <v>0</v>
      </c>
      <c r="BM72" s="440">
        <v>0</v>
      </c>
      <c r="BN72" s="440">
        <v>0</v>
      </c>
      <c r="BO72" s="440">
        <v>0</v>
      </c>
      <c r="BP72" s="440">
        <v>0</v>
      </c>
      <c r="BQ72" s="440">
        <v>0</v>
      </c>
      <c r="BR72" s="415">
        <f t="shared" si="25"/>
        <v>0</v>
      </c>
      <c r="BS72" s="415">
        <f>SUM(AP72:BR72)/60</f>
        <v>0</v>
      </c>
      <c r="BT72" s="935"/>
      <c r="BU72" s="935"/>
      <c r="BV72" s="935"/>
      <c r="BW72" s="935"/>
      <c r="BX72" s="935"/>
      <c r="BY72" s="935"/>
      <c r="BZ72" s="935"/>
      <c r="CA72" s="935"/>
      <c r="CB72" s="935"/>
      <c r="CC72" s="935"/>
      <c r="CD72" s="935"/>
      <c r="CE72" s="935"/>
      <c r="CF72" s="935"/>
      <c r="CG72" s="935"/>
      <c r="CH72" s="935"/>
      <c r="CI72" s="935"/>
      <c r="CJ72" s="935"/>
      <c r="CK72" s="935"/>
      <c r="CL72" s="935"/>
      <c r="CM72" s="935"/>
      <c r="CN72" s="935"/>
      <c r="CO72" s="935"/>
      <c r="CP72" s="935"/>
      <c r="CQ72" s="935"/>
      <c r="CR72" s="935"/>
      <c r="CS72" s="935"/>
      <c r="CT72" s="935"/>
      <c r="CU72" s="935"/>
      <c r="CV72" s="935"/>
    </row>
    <row r="73" spans="1:100" s="375" customFormat="1" ht="14.9" customHeight="1">
      <c r="A73" s="375">
        <f t="shared" si="29"/>
        <v>8</v>
      </c>
      <c r="B73" s="455">
        <v>44415</v>
      </c>
      <c r="C73" s="445" t="s">
        <v>2053</v>
      </c>
      <c r="D73" s="376" t="str">
        <f>IFERROR(VLOOKUP(E:E,'Item Data Support Sheet'!A:O,7,0),"")</f>
        <v>NIPPLE MOLDED</v>
      </c>
      <c r="E73" s="446" t="s">
        <v>72</v>
      </c>
      <c r="F73" s="447" t="s">
        <v>1678</v>
      </c>
      <c r="G73" s="376" t="s">
        <v>1691</v>
      </c>
      <c r="H73" s="602" t="str">
        <f>IFERROR(VLOOKUP(E:E,'Item Data Support Sheet'!A:O,2,0),"")</f>
        <v>NIPPLE S TYPE S SIZE INJECTION</v>
      </c>
      <c r="I73" s="447" t="s">
        <v>2284</v>
      </c>
      <c r="J73" s="447" t="s">
        <v>2809</v>
      </c>
      <c r="K73" s="438">
        <v>8</v>
      </c>
      <c r="L73" s="439">
        <v>4815</v>
      </c>
      <c r="M73" s="366">
        <f t="shared" si="27"/>
        <v>601.875</v>
      </c>
      <c r="N73" s="367">
        <f t="shared" si="28"/>
        <v>4678</v>
      </c>
      <c r="O73" s="61">
        <v>4600</v>
      </c>
      <c r="P73" s="368">
        <v>0.57999999999999996</v>
      </c>
      <c r="Q73" s="369">
        <v>30</v>
      </c>
      <c r="R73" s="370">
        <v>0</v>
      </c>
      <c r="S73" s="370">
        <v>0</v>
      </c>
      <c r="T73" s="370">
        <v>40</v>
      </c>
      <c r="U73" s="370">
        <v>8</v>
      </c>
      <c r="V73" s="450">
        <v>1</v>
      </c>
      <c r="W73" s="453">
        <f t="shared" si="30"/>
        <v>4600</v>
      </c>
      <c r="X73" s="748">
        <f t="shared" si="31"/>
        <v>0.95534787123572174</v>
      </c>
      <c r="Y73" s="451" t="str">
        <f>IFERROR(VLOOKUP(E:E,'Item Data Support Sheet'!A:J,6,0),0)</f>
        <v>Silicon</v>
      </c>
      <c r="Z73" s="428">
        <f>IFERROR(VLOOKUP(E:E,'Item Data Support Sheet'!A:O,4,0),0)</f>
        <v>6.8</v>
      </c>
      <c r="AA73" s="428">
        <f t="shared" si="32"/>
        <v>32.3904</v>
      </c>
      <c r="AB73" s="429">
        <f t="shared" si="33"/>
        <v>0.96571823750246977</v>
      </c>
      <c r="AC73" s="424">
        <f t="shared" si="34"/>
        <v>8.6206896551724137E-3</v>
      </c>
      <c r="AD73" s="371">
        <f t="shared" si="35"/>
        <v>6.3721325403568391E-3</v>
      </c>
      <c r="AE73" s="748">
        <f t="shared" si="36"/>
        <v>0.9914493373236426</v>
      </c>
      <c r="AF73" s="417">
        <f t="shared" si="37"/>
        <v>1.5</v>
      </c>
      <c r="AG73" s="416">
        <f t="shared" si="38"/>
        <v>6.5</v>
      </c>
      <c r="AH73" s="372">
        <f t="shared" si="39"/>
        <v>0.8125</v>
      </c>
      <c r="AI73" s="373">
        <f t="shared" si="40"/>
        <v>575</v>
      </c>
      <c r="AJ73" s="418">
        <f>VLOOKUP(D73,'Standard Cycle time'!C:D,2,0)</f>
        <v>5.25</v>
      </c>
      <c r="AK73" s="418">
        <f t="shared" si="41"/>
        <v>5.0869565217391308</v>
      </c>
      <c r="AL73" s="374">
        <f t="shared" si="42"/>
        <v>1.0320512820512819</v>
      </c>
      <c r="AM73" s="372">
        <f t="shared" si="43"/>
        <v>0.83137157973492948</v>
      </c>
      <c r="AN73" s="799">
        <v>2284</v>
      </c>
      <c r="AO73" s="761"/>
      <c r="AP73" s="440">
        <v>0</v>
      </c>
      <c r="AQ73" s="440">
        <v>0</v>
      </c>
      <c r="AR73" s="440">
        <v>0</v>
      </c>
      <c r="AS73" s="440">
        <v>0</v>
      </c>
      <c r="AT73" s="440">
        <v>0</v>
      </c>
      <c r="AU73" s="440">
        <v>0</v>
      </c>
      <c r="AV73" s="440">
        <v>0</v>
      </c>
      <c r="AW73" s="440">
        <v>0</v>
      </c>
      <c r="AX73" s="440">
        <v>0</v>
      </c>
      <c r="AY73" s="440">
        <v>0</v>
      </c>
      <c r="AZ73" s="440">
        <v>0</v>
      </c>
      <c r="BA73" s="440">
        <v>0</v>
      </c>
      <c r="BB73" s="440">
        <v>90</v>
      </c>
      <c r="BC73" s="440">
        <v>0</v>
      </c>
      <c r="BD73" s="440">
        <v>0</v>
      </c>
      <c r="BE73" s="440">
        <v>0</v>
      </c>
      <c r="BF73" s="440">
        <v>0</v>
      </c>
      <c r="BG73" s="440">
        <v>0</v>
      </c>
      <c r="BH73" s="440">
        <v>0</v>
      </c>
      <c r="BI73" s="440">
        <v>0</v>
      </c>
      <c r="BJ73" s="440">
        <v>0</v>
      </c>
      <c r="BK73" s="440">
        <v>0</v>
      </c>
      <c r="BL73" s="440">
        <v>0</v>
      </c>
      <c r="BM73" s="440">
        <v>0</v>
      </c>
      <c r="BN73" s="440">
        <v>0</v>
      </c>
      <c r="BO73" s="440">
        <v>0</v>
      </c>
      <c r="BP73" s="440">
        <v>0</v>
      </c>
      <c r="BQ73" s="440">
        <v>0</v>
      </c>
      <c r="BR73" s="415">
        <f t="shared" si="25"/>
        <v>1.5</v>
      </c>
      <c r="BS73" s="415">
        <f t="shared" si="26"/>
        <v>1.5249999999999999</v>
      </c>
      <c r="BT73" s="935"/>
      <c r="BU73" s="935"/>
      <c r="BV73" s="935"/>
      <c r="BW73" s="935"/>
      <c r="BX73" s="935"/>
      <c r="BY73" s="935"/>
      <c r="BZ73" s="935"/>
      <c r="CA73" s="935"/>
      <c r="CB73" s="935"/>
      <c r="CC73" s="935"/>
      <c r="CD73" s="935"/>
      <c r="CE73" s="935"/>
      <c r="CF73" s="935"/>
      <c r="CG73" s="935"/>
      <c r="CH73" s="935"/>
      <c r="CI73" s="935"/>
      <c r="CJ73" s="935"/>
      <c r="CK73" s="935"/>
      <c r="CL73" s="935"/>
      <c r="CM73" s="935"/>
      <c r="CN73" s="935"/>
      <c r="CO73" s="935"/>
      <c r="CP73" s="935"/>
      <c r="CQ73" s="935"/>
      <c r="CR73" s="935"/>
      <c r="CS73" s="935"/>
      <c r="CT73" s="935"/>
      <c r="CU73" s="935"/>
      <c r="CV73" s="935"/>
    </row>
    <row r="74" spans="1:100" s="375" customFormat="1" ht="14.9" customHeight="1">
      <c r="A74" s="375">
        <f t="shared" si="29"/>
        <v>8</v>
      </c>
      <c r="B74" s="455">
        <v>44415</v>
      </c>
      <c r="C74" s="445" t="s">
        <v>2053</v>
      </c>
      <c r="D74" s="376" t="str">
        <f>IFERROR(VLOOKUP(E:E,'Item Data Support Sheet'!A:O,7,0),"")</f>
        <v>BOTTLE MOLDED</v>
      </c>
      <c r="E74" s="446" t="s">
        <v>66</v>
      </c>
      <c r="F74" s="447" t="s">
        <v>1680</v>
      </c>
      <c r="G74" s="376" t="s">
        <v>1888</v>
      </c>
      <c r="H74" s="602" t="str">
        <f>IFERROR(VLOOKUP(E:E,'Item Data Support Sheet'!A:O,2,0),"")</f>
        <v>KPP 200 ML BOTTLE MOLDED</v>
      </c>
      <c r="I74" s="447" t="s">
        <v>2285</v>
      </c>
      <c r="J74" s="447" t="s">
        <v>2809</v>
      </c>
      <c r="K74" s="438">
        <v>8</v>
      </c>
      <c r="L74" s="439">
        <v>2574</v>
      </c>
      <c r="M74" s="366">
        <f t="shared" si="27"/>
        <v>321.75</v>
      </c>
      <c r="N74" s="367">
        <f t="shared" si="28"/>
        <v>3012</v>
      </c>
      <c r="O74" s="61">
        <v>2916</v>
      </c>
      <c r="P74" s="368">
        <v>0</v>
      </c>
      <c r="Q74" s="369">
        <v>34</v>
      </c>
      <c r="R74" s="370">
        <v>0</v>
      </c>
      <c r="S74" s="370">
        <v>0</v>
      </c>
      <c r="T74" s="370">
        <v>54</v>
      </c>
      <c r="U74" s="370">
        <v>8</v>
      </c>
      <c r="V74" s="450">
        <v>1</v>
      </c>
      <c r="W74" s="453">
        <f t="shared" si="30"/>
        <v>2916</v>
      </c>
      <c r="X74" s="748">
        <f t="shared" si="31"/>
        <v>1.1328671328671329</v>
      </c>
      <c r="Y74" s="451" t="str">
        <f>IFERROR(VLOOKUP(E:E,'Item Data Support Sheet'!A:J,6,0),0)</f>
        <v>HMC</v>
      </c>
      <c r="Z74" s="428">
        <f>IFERROR(VLOOKUP(E:E,'Item Data Support Sheet'!A:O,4,0),0)</f>
        <v>28.1</v>
      </c>
      <c r="AA74" s="428">
        <f t="shared" si="32"/>
        <v>84.637199999999993</v>
      </c>
      <c r="AB74" s="429">
        <f t="shared" si="33"/>
        <v>0.96812749003984067</v>
      </c>
      <c r="AC74" s="424">
        <f t="shared" si="34"/>
        <v>1.8181818181818181E-2</v>
      </c>
      <c r="AD74" s="371">
        <f t="shared" si="35"/>
        <v>1.1162179908076166E-2</v>
      </c>
      <c r="AE74" s="748">
        <f t="shared" si="36"/>
        <v>0.98207171314741037</v>
      </c>
      <c r="AF74" s="417">
        <f t="shared" si="37"/>
        <v>0.5</v>
      </c>
      <c r="AG74" s="416">
        <f t="shared" si="38"/>
        <v>7.5</v>
      </c>
      <c r="AH74" s="372">
        <f t="shared" si="39"/>
        <v>0.9375</v>
      </c>
      <c r="AI74" s="373">
        <f t="shared" si="40"/>
        <v>364.5</v>
      </c>
      <c r="AJ74" s="418">
        <f>VLOOKUP(D74,'Standard Cycle time'!C:D,2,0)</f>
        <v>9</v>
      </c>
      <c r="AK74" s="418">
        <f t="shared" si="41"/>
        <v>9.2592592592592595</v>
      </c>
      <c r="AL74" s="374">
        <f t="shared" si="42"/>
        <v>0.97199999999999998</v>
      </c>
      <c r="AM74" s="372">
        <f t="shared" si="43"/>
        <v>0.89491284860557774</v>
      </c>
      <c r="AN74" s="799">
        <v>2285</v>
      </c>
      <c r="AO74" s="761"/>
      <c r="AP74" s="440">
        <v>0</v>
      </c>
      <c r="AQ74" s="440">
        <v>0</v>
      </c>
      <c r="AR74" s="440">
        <v>0</v>
      </c>
      <c r="AS74" s="440">
        <v>0</v>
      </c>
      <c r="AT74" s="440">
        <v>0</v>
      </c>
      <c r="AU74" s="440">
        <v>0</v>
      </c>
      <c r="AV74" s="440">
        <v>0</v>
      </c>
      <c r="AW74" s="440">
        <v>0</v>
      </c>
      <c r="AX74" s="440">
        <v>0</v>
      </c>
      <c r="AY74" s="440">
        <v>0</v>
      </c>
      <c r="AZ74" s="440">
        <v>0</v>
      </c>
      <c r="BA74" s="440">
        <v>0</v>
      </c>
      <c r="BB74" s="440">
        <v>30</v>
      </c>
      <c r="BC74" s="440">
        <v>0</v>
      </c>
      <c r="BD74" s="440">
        <v>0</v>
      </c>
      <c r="BE74" s="440">
        <v>0</v>
      </c>
      <c r="BF74" s="440">
        <v>0</v>
      </c>
      <c r="BG74" s="440">
        <v>0</v>
      </c>
      <c r="BH74" s="440">
        <v>0</v>
      </c>
      <c r="BI74" s="440">
        <v>0</v>
      </c>
      <c r="BJ74" s="440">
        <v>0</v>
      </c>
      <c r="BK74" s="440">
        <v>0</v>
      </c>
      <c r="BL74" s="440">
        <v>0</v>
      </c>
      <c r="BM74" s="440">
        <v>0</v>
      </c>
      <c r="BN74" s="440">
        <v>0</v>
      </c>
      <c r="BO74" s="440">
        <v>0</v>
      </c>
      <c r="BP74" s="440">
        <v>0</v>
      </c>
      <c r="BQ74" s="440">
        <v>0</v>
      </c>
      <c r="BR74" s="415">
        <f t="shared" si="25"/>
        <v>0.5</v>
      </c>
      <c r="BS74" s="415">
        <f t="shared" si="26"/>
        <v>0.5083333333333333</v>
      </c>
      <c r="BT74" s="935"/>
      <c r="BU74" s="935"/>
      <c r="BV74" s="935"/>
      <c r="BW74" s="935"/>
      <c r="BX74" s="935"/>
      <c r="BY74" s="935"/>
      <c r="BZ74" s="935"/>
      <c r="CA74" s="935"/>
      <c r="CB74" s="935"/>
      <c r="CC74" s="935"/>
      <c r="CD74" s="935"/>
      <c r="CE74" s="935"/>
      <c r="CF74" s="935"/>
      <c r="CG74" s="935"/>
      <c r="CH74" s="935"/>
      <c r="CI74" s="935"/>
      <c r="CJ74" s="935"/>
      <c r="CK74" s="935"/>
      <c r="CL74" s="935"/>
      <c r="CM74" s="935"/>
      <c r="CN74" s="935"/>
      <c r="CO74" s="935"/>
      <c r="CP74" s="935"/>
      <c r="CQ74" s="935"/>
      <c r="CR74" s="935"/>
      <c r="CS74" s="935"/>
      <c r="CT74" s="935"/>
      <c r="CU74" s="935"/>
      <c r="CV74" s="935"/>
    </row>
    <row r="75" spans="1:100" s="375" customFormat="1" ht="14.9" customHeight="1">
      <c r="A75" s="375">
        <f t="shared" si="29"/>
        <v>8</v>
      </c>
      <c r="B75" s="455">
        <v>44415</v>
      </c>
      <c r="C75" s="445" t="s">
        <v>2053</v>
      </c>
      <c r="D75" s="376" t="str">
        <f>IFERROR(VLOOKUP(E:E,'Item Data Support Sheet'!A:O,7,0),"")</f>
        <v>CAP MOLDED</v>
      </c>
      <c r="E75" s="446" t="s">
        <v>2107</v>
      </c>
      <c r="F75" s="447"/>
      <c r="G75" s="376" t="s">
        <v>2220</v>
      </c>
      <c r="H75" s="602" t="str">
        <f>IFERROR(VLOOKUP(E:E,'Item Data Support Sheet'!A:O,2,0),"")</f>
        <v>CAP S TYPE MOLDED PINK</v>
      </c>
      <c r="I75" s="447" t="s">
        <v>2287</v>
      </c>
      <c r="J75" s="447" t="s">
        <v>2809</v>
      </c>
      <c r="K75" s="438">
        <v>3</v>
      </c>
      <c r="L75" s="439">
        <v>1557</v>
      </c>
      <c r="M75" s="366">
        <f t="shared" si="27"/>
        <v>519</v>
      </c>
      <c r="N75" s="367">
        <f t="shared" si="28"/>
        <v>1572</v>
      </c>
      <c r="O75" s="61">
        <v>1560</v>
      </c>
      <c r="P75" s="368">
        <v>0</v>
      </c>
      <c r="Q75" s="369">
        <v>0</v>
      </c>
      <c r="R75" s="370">
        <v>0</v>
      </c>
      <c r="S75" s="370">
        <v>0</v>
      </c>
      <c r="T75" s="370">
        <v>8</v>
      </c>
      <c r="U75" s="370">
        <v>4</v>
      </c>
      <c r="V75" s="450">
        <v>1</v>
      </c>
      <c r="W75" s="453">
        <f t="shared" si="30"/>
        <v>1560</v>
      </c>
      <c r="X75" s="748">
        <f t="shared" si="31"/>
        <v>1.0019267822736031</v>
      </c>
      <c r="Y75" s="451" t="str">
        <f>IFERROR(VLOOKUP(E:E,'Item Data Support Sheet'!A:J,6,0),0)</f>
        <v>RM000123</v>
      </c>
      <c r="Z75" s="428">
        <f>IFERROR(VLOOKUP(E:E,'Item Data Support Sheet'!A:O,4,0),0)</f>
        <v>7.3</v>
      </c>
      <c r="AA75" s="428">
        <f t="shared" si="32"/>
        <v>11.4756</v>
      </c>
      <c r="AB75" s="429">
        <f t="shared" si="33"/>
        <v>0.99236641221374045</v>
      </c>
      <c r="AC75" s="424">
        <f t="shared" si="34"/>
        <v>5.1020408163265302E-3</v>
      </c>
      <c r="AD75" s="371">
        <f t="shared" si="35"/>
        <v>0</v>
      </c>
      <c r="AE75" s="748">
        <f t="shared" si="36"/>
        <v>0.99491094147582693</v>
      </c>
      <c r="AF75" s="417">
        <f t="shared" si="37"/>
        <v>0.33333333333333331</v>
      </c>
      <c r="AG75" s="416">
        <f t="shared" si="38"/>
        <v>2.6666666666666665</v>
      </c>
      <c r="AH75" s="372">
        <f t="shared" si="39"/>
        <v>0.88888888888888884</v>
      </c>
      <c r="AI75" s="373">
        <f t="shared" si="40"/>
        <v>520</v>
      </c>
      <c r="AJ75" s="418">
        <f>VLOOKUP(D75,'Standard Cycle time'!C:D,2,0)</f>
        <v>6</v>
      </c>
      <c r="AK75" s="418">
        <f t="shared" si="41"/>
        <v>6.1538461538461542</v>
      </c>
      <c r="AL75" s="374">
        <f t="shared" si="42"/>
        <v>0.97499999999999998</v>
      </c>
      <c r="AM75" s="372">
        <f t="shared" si="43"/>
        <v>0.86225614927904992</v>
      </c>
      <c r="AN75" s="799">
        <v>2689</v>
      </c>
      <c r="AO75" s="761"/>
      <c r="AP75" s="440">
        <v>0</v>
      </c>
      <c r="AQ75" s="440">
        <v>0</v>
      </c>
      <c r="AR75" s="440">
        <v>0</v>
      </c>
      <c r="AS75" s="440">
        <v>0</v>
      </c>
      <c r="AT75" s="440">
        <v>0</v>
      </c>
      <c r="AU75" s="440">
        <v>0</v>
      </c>
      <c r="AV75" s="440">
        <v>0</v>
      </c>
      <c r="AW75" s="440">
        <v>0</v>
      </c>
      <c r="AX75" s="440">
        <v>0</v>
      </c>
      <c r="AY75" s="440">
        <v>0</v>
      </c>
      <c r="AZ75" s="440">
        <v>0</v>
      </c>
      <c r="BA75" s="440">
        <v>0</v>
      </c>
      <c r="BB75" s="440">
        <v>0</v>
      </c>
      <c r="BC75" s="440">
        <v>0</v>
      </c>
      <c r="BD75" s="440">
        <v>0</v>
      </c>
      <c r="BE75" s="440">
        <v>0</v>
      </c>
      <c r="BF75" s="440">
        <v>0</v>
      </c>
      <c r="BG75" s="440">
        <v>0</v>
      </c>
      <c r="BH75" s="440">
        <v>0</v>
      </c>
      <c r="BI75" s="440">
        <v>0</v>
      </c>
      <c r="BJ75" s="440">
        <v>0</v>
      </c>
      <c r="BK75" s="440">
        <v>0</v>
      </c>
      <c r="BL75" s="440">
        <v>0</v>
      </c>
      <c r="BM75" s="440">
        <v>20</v>
      </c>
      <c r="BN75" s="440">
        <v>0</v>
      </c>
      <c r="BO75" s="440">
        <v>0</v>
      </c>
      <c r="BP75" s="440">
        <v>0</v>
      </c>
      <c r="BQ75" s="440">
        <v>0</v>
      </c>
      <c r="BR75" s="415">
        <f t="shared" ref="BR75:BR139" si="44">SUM(AP75:BQ75)/60</f>
        <v>0.33333333333333331</v>
      </c>
      <c r="BS75" s="415">
        <f t="shared" si="26"/>
        <v>0.33888888888888885</v>
      </c>
      <c r="BT75" s="935"/>
      <c r="BU75" s="935"/>
      <c r="BV75" s="935"/>
      <c r="BW75" s="935"/>
      <c r="BX75" s="935"/>
      <c r="BY75" s="935"/>
      <c r="BZ75" s="935"/>
      <c r="CA75" s="935"/>
      <c r="CB75" s="935"/>
      <c r="CC75" s="935"/>
      <c r="CD75" s="935"/>
      <c r="CE75" s="935"/>
      <c r="CF75" s="935"/>
      <c r="CG75" s="935"/>
      <c r="CH75" s="935"/>
      <c r="CI75" s="935"/>
      <c r="CJ75" s="935"/>
      <c r="CK75" s="935"/>
      <c r="CL75" s="935"/>
      <c r="CM75" s="935"/>
      <c r="CN75" s="935"/>
      <c r="CO75" s="935"/>
      <c r="CP75" s="935"/>
      <c r="CQ75" s="935"/>
      <c r="CR75" s="935"/>
      <c r="CS75" s="935"/>
      <c r="CT75" s="935"/>
      <c r="CU75" s="935"/>
      <c r="CV75" s="935"/>
    </row>
    <row r="76" spans="1:100" s="375" customFormat="1" ht="14.9" customHeight="1">
      <c r="A76" s="375">
        <f t="shared" si="29"/>
        <v>8</v>
      </c>
      <c r="B76" s="455">
        <v>44415</v>
      </c>
      <c r="C76" s="445" t="s">
        <v>2053</v>
      </c>
      <c r="D76" s="376" t="str">
        <f>IFERROR(VLOOKUP(E:E,'Item Data Support Sheet'!A:O,7,0),"")</f>
        <v>CAP MOLDED</v>
      </c>
      <c r="E76" s="446" t="s">
        <v>2107</v>
      </c>
      <c r="F76" s="447"/>
      <c r="G76" s="376" t="s">
        <v>2220</v>
      </c>
      <c r="H76" s="602" t="str">
        <f>IFERROR(VLOOKUP(E:E,'Item Data Support Sheet'!A:O,2,0),"")</f>
        <v>CAP S TYPE MOLDED PINK</v>
      </c>
      <c r="I76" s="447" t="s">
        <v>2286</v>
      </c>
      <c r="J76" s="447" t="s">
        <v>2809</v>
      </c>
      <c r="K76" s="438">
        <v>5</v>
      </c>
      <c r="L76" s="439">
        <v>2580</v>
      </c>
      <c r="M76" s="366">
        <f t="shared" si="27"/>
        <v>516</v>
      </c>
      <c r="N76" s="367">
        <f t="shared" si="28"/>
        <v>2588</v>
      </c>
      <c r="O76" s="61">
        <v>2580</v>
      </c>
      <c r="P76" s="833">
        <v>0.09</v>
      </c>
      <c r="Q76" s="369">
        <v>0</v>
      </c>
      <c r="R76" s="370">
        <v>0</v>
      </c>
      <c r="S76" s="370">
        <v>0</v>
      </c>
      <c r="T76" s="370">
        <v>4</v>
      </c>
      <c r="U76" s="370">
        <v>4</v>
      </c>
      <c r="V76" s="450">
        <v>1</v>
      </c>
      <c r="W76" s="453">
        <f t="shared" si="30"/>
        <v>2580</v>
      </c>
      <c r="X76" s="748">
        <f t="shared" si="31"/>
        <v>1</v>
      </c>
      <c r="Y76" s="451" t="str">
        <f>IFERROR(VLOOKUP(E:E,'Item Data Support Sheet'!A:J,6,0),0)</f>
        <v>RM000123</v>
      </c>
      <c r="Z76" s="428">
        <f>IFERROR(VLOOKUP(E:E,'Item Data Support Sheet'!A:O,4,0),0)</f>
        <v>7.3</v>
      </c>
      <c r="AA76" s="428">
        <f t="shared" si="32"/>
        <v>18.982399999999998</v>
      </c>
      <c r="AB76" s="429">
        <f t="shared" si="33"/>
        <v>0.99218223196223876</v>
      </c>
      <c r="AC76" s="424">
        <f t="shared" si="34"/>
        <v>1.5479876160990713E-3</v>
      </c>
      <c r="AD76" s="371">
        <f t="shared" si="35"/>
        <v>0</v>
      </c>
      <c r="AE76" s="748">
        <f t="shared" si="36"/>
        <v>0.99845440494590421</v>
      </c>
      <c r="AF76" s="417">
        <f t="shared" si="37"/>
        <v>0.33333333333333331</v>
      </c>
      <c r="AG76" s="416">
        <f t="shared" si="38"/>
        <v>4.666666666666667</v>
      </c>
      <c r="AH76" s="372">
        <f t="shared" si="39"/>
        <v>0.93333333333333335</v>
      </c>
      <c r="AI76" s="373">
        <f t="shared" si="40"/>
        <v>516</v>
      </c>
      <c r="AJ76" s="418">
        <f>VLOOKUP(D76,'Standard Cycle time'!C:D,2,0)</f>
        <v>6</v>
      </c>
      <c r="AK76" s="418">
        <f t="shared" si="41"/>
        <v>6.5116279069767442</v>
      </c>
      <c r="AL76" s="374">
        <f t="shared" si="42"/>
        <v>0.92142857142857137</v>
      </c>
      <c r="AM76" s="372">
        <f t="shared" si="43"/>
        <v>0.85867078825347753</v>
      </c>
      <c r="AN76" s="799">
        <v>2688</v>
      </c>
      <c r="AO76" s="761"/>
      <c r="AP76" s="440">
        <v>0</v>
      </c>
      <c r="AQ76" s="440">
        <v>0</v>
      </c>
      <c r="AR76" s="440">
        <v>0</v>
      </c>
      <c r="AS76" s="440">
        <v>0</v>
      </c>
      <c r="AT76" s="440">
        <v>0</v>
      </c>
      <c r="AU76" s="440">
        <v>0</v>
      </c>
      <c r="AV76" s="440">
        <v>0</v>
      </c>
      <c r="AW76" s="440">
        <v>0</v>
      </c>
      <c r="AX76" s="440">
        <v>0</v>
      </c>
      <c r="AY76" s="440">
        <v>0</v>
      </c>
      <c r="AZ76" s="440">
        <v>0</v>
      </c>
      <c r="BA76" s="440">
        <v>0</v>
      </c>
      <c r="BB76" s="440">
        <v>20</v>
      </c>
      <c r="BC76" s="440">
        <v>0</v>
      </c>
      <c r="BD76" s="440">
        <v>0</v>
      </c>
      <c r="BE76" s="440">
        <v>0</v>
      </c>
      <c r="BF76" s="440">
        <v>0</v>
      </c>
      <c r="BG76" s="440">
        <v>0</v>
      </c>
      <c r="BH76" s="440">
        <v>0</v>
      </c>
      <c r="BI76" s="440">
        <v>0</v>
      </c>
      <c r="BJ76" s="440">
        <v>0</v>
      </c>
      <c r="BK76" s="440">
        <v>0</v>
      </c>
      <c r="BL76" s="440">
        <v>0</v>
      </c>
      <c r="BM76" s="440">
        <v>0</v>
      </c>
      <c r="BN76" s="440">
        <v>0</v>
      </c>
      <c r="BO76" s="440">
        <v>0</v>
      </c>
      <c r="BP76" s="440">
        <v>0</v>
      </c>
      <c r="BQ76" s="440">
        <v>0</v>
      </c>
      <c r="BR76" s="415">
        <f t="shared" si="44"/>
        <v>0.33333333333333331</v>
      </c>
      <c r="BS76" s="415">
        <f t="shared" si="26"/>
        <v>0.33888888888888885</v>
      </c>
      <c r="BT76" s="935"/>
      <c r="BU76" s="935"/>
      <c r="BV76" s="935"/>
      <c r="BW76" s="935"/>
      <c r="BX76" s="935"/>
      <c r="BY76" s="935"/>
      <c r="BZ76" s="935"/>
      <c r="CA76" s="935"/>
      <c r="CB76" s="935"/>
      <c r="CC76" s="935"/>
      <c r="CD76" s="935"/>
      <c r="CE76" s="935"/>
      <c r="CF76" s="935"/>
      <c r="CG76" s="935"/>
      <c r="CH76" s="935"/>
      <c r="CI76" s="935"/>
      <c r="CJ76" s="935"/>
      <c r="CK76" s="935"/>
      <c r="CL76" s="935"/>
      <c r="CM76" s="935"/>
      <c r="CN76" s="935"/>
      <c r="CO76" s="935"/>
      <c r="CP76" s="935"/>
      <c r="CQ76" s="935"/>
      <c r="CR76" s="935"/>
      <c r="CS76" s="935"/>
      <c r="CT76" s="935"/>
      <c r="CU76" s="935"/>
      <c r="CV76" s="935"/>
    </row>
    <row r="77" spans="1:100" s="375" customFormat="1" ht="14.9" customHeight="1">
      <c r="A77" s="375">
        <f t="shared" si="29"/>
        <v>8</v>
      </c>
      <c r="B77" s="455">
        <v>44417</v>
      </c>
      <c r="C77" s="445" t="s">
        <v>1980</v>
      </c>
      <c r="D77" s="376" t="str">
        <f>IFERROR(VLOOKUP(E:E,'Item Data Support Sheet'!A:O,7,0),"")</f>
        <v>NIPPLE MOLDED</v>
      </c>
      <c r="E77" s="446" t="s">
        <v>72</v>
      </c>
      <c r="F77" s="447" t="s">
        <v>1678</v>
      </c>
      <c r="G77" s="376" t="s">
        <v>1691</v>
      </c>
      <c r="H77" s="602" t="str">
        <f>IFERROR(VLOOKUP(E:E,'Item Data Support Sheet'!A:O,2,0),"")</f>
        <v>NIPPLE S TYPE S SIZE INJECTION</v>
      </c>
      <c r="I77" s="447" t="s">
        <v>2294</v>
      </c>
      <c r="J77" s="447" t="s">
        <v>2809</v>
      </c>
      <c r="K77" s="438">
        <v>8</v>
      </c>
      <c r="L77" s="439">
        <v>3600</v>
      </c>
      <c r="M77" s="366">
        <f t="shared" ref="M77:M140" si="45">IFERROR(L77/K77,0)</f>
        <v>450</v>
      </c>
      <c r="N77" s="367">
        <f t="shared" si="28"/>
        <v>4605</v>
      </c>
      <c r="O77" s="61">
        <v>4500</v>
      </c>
      <c r="P77" s="368">
        <v>0.32</v>
      </c>
      <c r="Q77" s="369">
        <v>48</v>
      </c>
      <c r="R77" s="370">
        <v>0</v>
      </c>
      <c r="S77" s="370">
        <v>0</v>
      </c>
      <c r="T77" s="370">
        <v>49</v>
      </c>
      <c r="U77" s="370">
        <v>8</v>
      </c>
      <c r="V77" s="450">
        <v>1</v>
      </c>
      <c r="W77" s="453">
        <f t="shared" si="30"/>
        <v>4500</v>
      </c>
      <c r="X77" s="748">
        <f t="shared" si="31"/>
        <v>1.25</v>
      </c>
      <c r="Y77" s="451" t="str">
        <f>IFERROR(VLOOKUP(E:E,'Item Data Support Sheet'!A:J,6,0),0)</f>
        <v>Silicon</v>
      </c>
      <c r="Z77" s="428">
        <f>IFERROR(VLOOKUP(E:E,'Item Data Support Sheet'!A:O,4,0),0)</f>
        <v>6.8</v>
      </c>
      <c r="AA77" s="428">
        <f t="shared" si="32"/>
        <v>31.633999999999997</v>
      </c>
      <c r="AB77" s="429">
        <f t="shared" si="33"/>
        <v>0.9673136498703927</v>
      </c>
      <c r="AC77" s="424">
        <f t="shared" si="34"/>
        <v>1.0771598153440316E-2</v>
      </c>
      <c r="AD77" s="371">
        <f t="shared" si="35"/>
        <v>1.0315925209542231E-2</v>
      </c>
      <c r="AE77" s="748">
        <f t="shared" si="36"/>
        <v>0.98935939196525513</v>
      </c>
      <c r="AF77" s="417">
        <f t="shared" si="37"/>
        <v>1.5</v>
      </c>
      <c r="AG77" s="416">
        <f t="shared" si="38"/>
        <v>6.5</v>
      </c>
      <c r="AH77" s="372">
        <f t="shared" si="39"/>
        <v>0.8125</v>
      </c>
      <c r="AI77" s="373">
        <f t="shared" si="40"/>
        <v>562.5</v>
      </c>
      <c r="AJ77" s="418">
        <f>VLOOKUP(D77,'Standard Cycle time'!C:D,2,0)</f>
        <v>5.25</v>
      </c>
      <c r="AK77" s="418">
        <f t="shared" si="41"/>
        <v>5.2</v>
      </c>
      <c r="AL77" s="374">
        <f t="shared" si="42"/>
        <v>1.0096153846153846</v>
      </c>
      <c r="AM77" s="372">
        <f t="shared" si="43"/>
        <v>0.8115838762214983</v>
      </c>
      <c r="AN77" s="799">
        <v>2292</v>
      </c>
      <c r="AO77" s="761" t="s">
        <v>2300</v>
      </c>
      <c r="AP77" s="440">
        <v>0</v>
      </c>
      <c r="AQ77" s="440">
        <v>0</v>
      </c>
      <c r="AR77" s="440">
        <v>0</v>
      </c>
      <c r="AS77" s="440">
        <v>0</v>
      </c>
      <c r="AT77" s="440">
        <v>0</v>
      </c>
      <c r="AU77" s="440">
        <v>0</v>
      </c>
      <c r="AV77" s="440">
        <v>0</v>
      </c>
      <c r="AW77" s="440">
        <v>0</v>
      </c>
      <c r="AX77" s="440">
        <v>0</v>
      </c>
      <c r="AY77" s="440">
        <v>0</v>
      </c>
      <c r="AZ77" s="440">
        <v>0</v>
      </c>
      <c r="BA77" s="440">
        <v>0</v>
      </c>
      <c r="BB77" s="440">
        <v>90</v>
      </c>
      <c r="BC77" s="440">
        <v>0</v>
      </c>
      <c r="BD77" s="440">
        <v>0</v>
      </c>
      <c r="BE77" s="440">
        <v>0</v>
      </c>
      <c r="BF77" s="440">
        <v>0</v>
      </c>
      <c r="BG77" s="440">
        <v>0</v>
      </c>
      <c r="BH77" s="440">
        <v>0</v>
      </c>
      <c r="BI77" s="440">
        <v>0</v>
      </c>
      <c r="BJ77" s="440">
        <v>0</v>
      </c>
      <c r="BK77" s="440">
        <v>0</v>
      </c>
      <c r="BL77" s="440">
        <v>0</v>
      </c>
      <c r="BM77" s="440">
        <v>0</v>
      </c>
      <c r="BN77" s="440">
        <v>0</v>
      </c>
      <c r="BO77" s="440">
        <v>0</v>
      </c>
      <c r="BP77" s="440">
        <v>0</v>
      </c>
      <c r="BQ77" s="440">
        <v>0</v>
      </c>
      <c r="BR77" s="415">
        <f>SUM(AP77:BQ77)/60</f>
        <v>1.5</v>
      </c>
      <c r="BS77" s="415">
        <f>SUM(AP77:BR77)/60</f>
        <v>1.5249999999999999</v>
      </c>
      <c r="BT77" s="935"/>
      <c r="BU77" s="935"/>
      <c r="BV77" s="935"/>
      <c r="BW77" s="935"/>
      <c r="BX77" s="935"/>
      <c r="BY77" s="935"/>
      <c r="BZ77" s="935"/>
      <c r="CA77" s="935"/>
      <c r="CB77" s="935"/>
      <c r="CC77" s="935"/>
      <c r="CD77" s="935"/>
      <c r="CE77" s="935"/>
      <c r="CF77" s="935"/>
      <c r="CG77" s="935"/>
      <c r="CH77" s="935"/>
      <c r="CI77" s="935"/>
      <c r="CJ77" s="935"/>
      <c r="CK77" s="935"/>
      <c r="CL77" s="935"/>
      <c r="CM77" s="935"/>
      <c r="CN77" s="935"/>
      <c r="CO77" s="935"/>
      <c r="CP77" s="935"/>
      <c r="CQ77" s="935"/>
      <c r="CR77" s="935"/>
      <c r="CS77" s="935"/>
      <c r="CT77" s="935"/>
      <c r="CU77" s="935"/>
      <c r="CV77" s="935"/>
    </row>
    <row r="78" spans="1:100" s="375" customFormat="1" ht="14.9" customHeight="1">
      <c r="A78" s="375">
        <f t="shared" si="29"/>
        <v>8</v>
      </c>
      <c r="B78" s="455">
        <v>44417</v>
      </c>
      <c r="C78" s="445" t="s">
        <v>1980</v>
      </c>
      <c r="D78" s="376" t="str">
        <f>IFERROR(VLOOKUP(E:E,'Item Data Support Sheet'!A:O,7,0),"")</f>
        <v>BOTTLE MOLDED</v>
      </c>
      <c r="E78" s="446" t="s">
        <v>66</v>
      </c>
      <c r="F78" s="447" t="s">
        <v>1680</v>
      </c>
      <c r="G78" s="376" t="s">
        <v>1888</v>
      </c>
      <c r="H78" s="602" t="str">
        <f>IFERROR(VLOOKUP(E:E,'Item Data Support Sheet'!A:O,2,0),"")</f>
        <v>KPP 200 ML BOTTLE MOLDED</v>
      </c>
      <c r="I78" s="447" t="s">
        <v>2295</v>
      </c>
      <c r="J78" s="447" t="s">
        <v>2809</v>
      </c>
      <c r="K78" s="438">
        <v>8</v>
      </c>
      <c r="L78" s="439">
        <v>2574</v>
      </c>
      <c r="M78" s="366">
        <f t="shared" si="45"/>
        <v>321.75</v>
      </c>
      <c r="N78" s="367">
        <f t="shared" si="28"/>
        <v>2278</v>
      </c>
      <c r="O78" s="61">
        <v>2160</v>
      </c>
      <c r="P78" s="368">
        <v>0.185</v>
      </c>
      <c r="Q78" s="369">
        <v>60</v>
      </c>
      <c r="R78" s="370">
        <v>0</v>
      </c>
      <c r="S78" s="370">
        <v>0</v>
      </c>
      <c r="T78" s="370">
        <v>50</v>
      </c>
      <c r="U78" s="370">
        <v>8</v>
      </c>
      <c r="V78" s="450">
        <v>1</v>
      </c>
      <c r="W78" s="453">
        <f t="shared" si="30"/>
        <v>2160</v>
      </c>
      <c r="X78" s="748">
        <f t="shared" si="31"/>
        <v>0.83916083916083917</v>
      </c>
      <c r="Y78" s="451" t="str">
        <f>IFERROR(VLOOKUP(E:E,'Item Data Support Sheet'!A:J,6,0),0)</f>
        <v>HMC</v>
      </c>
      <c r="Z78" s="428">
        <f>IFERROR(VLOOKUP(E:E,'Item Data Support Sheet'!A:O,4,0),0)</f>
        <v>28.1</v>
      </c>
      <c r="AA78" s="428">
        <f t="shared" si="32"/>
        <v>64.196799999999996</v>
      </c>
      <c r="AB78" s="429">
        <f t="shared" si="33"/>
        <v>0.94546768686289662</v>
      </c>
      <c r="AC78" s="424">
        <f t="shared" si="34"/>
        <v>2.2624434389140271E-2</v>
      </c>
      <c r="AD78" s="371">
        <f t="shared" si="35"/>
        <v>2.5662959794696322E-2</v>
      </c>
      <c r="AE78" s="748">
        <f t="shared" si="36"/>
        <v>0.97805092186128184</v>
      </c>
      <c r="AF78" s="417">
        <f t="shared" si="37"/>
        <v>2.5</v>
      </c>
      <c r="AG78" s="416">
        <f t="shared" si="38"/>
        <v>5.5</v>
      </c>
      <c r="AH78" s="372">
        <f t="shared" si="39"/>
        <v>0.6875</v>
      </c>
      <c r="AI78" s="373">
        <f t="shared" si="40"/>
        <v>270</v>
      </c>
      <c r="AJ78" s="418">
        <f>VLOOKUP(D78,'Standard Cycle time'!C:D,2,0)</f>
        <v>9</v>
      </c>
      <c r="AK78" s="418">
        <f t="shared" si="41"/>
        <v>9.1666666666666661</v>
      </c>
      <c r="AL78" s="374">
        <f t="shared" si="42"/>
        <v>0.98181818181818192</v>
      </c>
      <c r="AM78" s="372">
        <f t="shared" si="43"/>
        <v>0.66018437225636528</v>
      </c>
      <c r="AN78" s="799">
        <v>2287</v>
      </c>
      <c r="AO78" s="761" t="s">
        <v>2301</v>
      </c>
      <c r="AP78" s="440">
        <v>0</v>
      </c>
      <c r="AQ78" s="440">
        <v>0</v>
      </c>
      <c r="AR78" s="440">
        <v>0</v>
      </c>
      <c r="AS78" s="440">
        <v>0</v>
      </c>
      <c r="AT78" s="440">
        <v>0</v>
      </c>
      <c r="AU78" s="440">
        <v>0</v>
      </c>
      <c r="AV78" s="440">
        <v>0</v>
      </c>
      <c r="AW78" s="440">
        <v>0</v>
      </c>
      <c r="AX78" s="440">
        <v>0</v>
      </c>
      <c r="AY78" s="440">
        <v>0</v>
      </c>
      <c r="AZ78" s="440">
        <v>0</v>
      </c>
      <c r="BA78" s="440">
        <v>0</v>
      </c>
      <c r="BB78" s="440">
        <v>150</v>
      </c>
      <c r="BC78" s="440">
        <v>0</v>
      </c>
      <c r="BD78" s="440">
        <v>0</v>
      </c>
      <c r="BE78" s="440">
        <v>0</v>
      </c>
      <c r="BF78" s="440">
        <v>0</v>
      </c>
      <c r="BG78" s="440">
        <v>0</v>
      </c>
      <c r="BH78" s="440">
        <v>0</v>
      </c>
      <c r="BI78" s="440">
        <v>0</v>
      </c>
      <c r="BJ78" s="440">
        <v>0</v>
      </c>
      <c r="BK78" s="440">
        <v>0</v>
      </c>
      <c r="BL78" s="440">
        <v>0</v>
      </c>
      <c r="BM78" s="440">
        <v>0</v>
      </c>
      <c r="BN78" s="440">
        <v>0</v>
      </c>
      <c r="BO78" s="440">
        <v>0</v>
      </c>
      <c r="BP78" s="440">
        <v>0</v>
      </c>
      <c r="BQ78" s="440">
        <v>0</v>
      </c>
      <c r="BR78" s="415">
        <f>SUM(AP78:BQ78)/60</f>
        <v>2.5</v>
      </c>
      <c r="BS78" s="415">
        <f>SUM(AP78:BR78)/60</f>
        <v>2.5416666666666665</v>
      </c>
      <c r="BT78" s="935"/>
      <c r="BU78" s="935"/>
      <c r="BV78" s="935"/>
      <c r="BW78" s="935"/>
      <c r="BX78" s="935"/>
      <c r="BY78" s="935"/>
      <c r="BZ78" s="935"/>
      <c r="CA78" s="935"/>
      <c r="CB78" s="935"/>
      <c r="CC78" s="935"/>
      <c r="CD78" s="935"/>
      <c r="CE78" s="935"/>
      <c r="CF78" s="935"/>
      <c r="CG78" s="935"/>
      <c r="CH78" s="935"/>
      <c r="CI78" s="935"/>
      <c r="CJ78" s="935"/>
      <c r="CK78" s="935"/>
      <c r="CL78" s="935"/>
      <c r="CM78" s="935"/>
      <c r="CN78" s="935"/>
      <c r="CO78" s="935"/>
      <c r="CP78" s="935"/>
      <c r="CQ78" s="935"/>
      <c r="CR78" s="935"/>
      <c r="CS78" s="935"/>
      <c r="CT78" s="935"/>
      <c r="CU78" s="935"/>
      <c r="CV78" s="935"/>
    </row>
    <row r="79" spans="1:100" s="375" customFormat="1" ht="14.9" customHeight="1">
      <c r="A79" s="375">
        <f t="shared" si="29"/>
        <v>8</v>
      </c>
      <c r="B79" s="455">
        <v>44417</v>
      </c>
      <c r="C79" s="445" t="s">
        <v>1980</v>
      </c>
      <c r="D79" s="376" t="str">
        <f>IFERROR(VLOOKUP(E:E,'Item Data Support Sheet'!A:O,7,0),"")</f>
        <v>CAP MOLDED</v>
      </c>
      <c r="E79" s="446" t="s">
        <v>2107</v>
      </c>
      <c r="F79" s="447"/>
      <c r="G79" s="376" t="s">
        <v>2220</v>
      </c>
      <c r="H79" s="602" t="str">
        <f>IFERROR(VLOOKUP(E:E,'Item Data Support Sheet'!A:O,2,0),"")</f>
        <v>CAP S TYPE MOLDED PINK</v>
      </c>
      <c r="I79" s="447" t="s">
        <v>2296</v>
      </c>
      <c r="J79" s="447" t="s">
        <v>2809</v>
      </c>
      <c r="K79" s="438">
        <v>8</v>
      </c>
      <c r="L79" s="439">
        <v>4137</v>
      </c>
      <c r="M79" s="366">
        <f t="shared" si="45"/>
        <v>517.125</v>
      </c>
      <c r="N79" s="367">
        <f t="shared" si="28"/>
        <v>3612</v>
      </c>
      <c r="O79" s="61">
        <v>3600</v>
      </c>
      <c r="P79" s="368">
        <v>0</v>
      </c>
      <c r="Q79" s="369">
        <v>0</v>
      </c>
      <c r="R79" s="370">
        <v>0</v>
      </c>
      <c r="S79" s="370">
        <v>0</v>
      </c>
      <c r="T79" s="370">
        <v>4</v>
      </c>
      <c r="U79" s="370">
        <v>8</v>
      </c>
      <c r="V79" s="450">
        <v>1</v>
      </c>
      <c r="W79" s="453">
        <f t="shared" si="30"/>
        <v>3600</v>
      </c>
      <c r="X79" s="748">
        <f t="shared" si="31"/>
        <v>0.8701957940536621</v>
      </c>
      <c r="Y79" s="451" t="str">
        <f>IFERROR(VLOOKUP(E:E,'Item Data Support Sheet'!A:J,6,0),0)</f>
        <v>RM000123</v>
      </c>
      <c r="Z79" s="428">
        <f>IFERROR(VLOOKUP(E:E,'Item Data Support Sheet'!A:O,4,0),0)</f>
        <v>7.3</v>
      </c>
      <c r="AA79" s="428">
        <f t="shared" si="32"/>
        <v>26.367599999999999</v>
      </c>
      <c r="AB79" s="429">
        <f t="shared" si="33"/>
        <v>0.99667774086378746</v>
      </c>
      <c r="AC79" s="424">
        <f t="shared" si="34"/>
        <v>1.1098779134295228E-3</v>
      </c>
      <c r="AD79" s="371">
        <f t="shared" si="35"/>
        <v>0</v>
      </c>
      <c r="AE79" s="748">
        <f t="shared" si="36"/>
        <v>0.99889258028792915</v>
      </c>
      <c r="AF79" s="417">
        <f t="shared" si="37"/>
        <v>1.5</v>
      </c>
      <c r="AG79" s="416">
        <f t="shared" si="38"/>
        <v>6.5</v>
      </c>
      <c r="AH79" s="372">
        <f t="shared" si="39"/>
        <v>0.8125</v>
      </c>
      <c r="AI79" s="373">
        <f t="shared" si="40"/>
        <v>450</v>
      </c>
      <c r="AJ79" s="418">
        <f>VLOOKUP(D79,'Standard Cycle time'!C:D,2,0)</f>
        <v>6</v>
      </c>
      <c r="AK79" s="418">
        <f t="shared" si="41"/>
        <v>6.5</v>
      </c>
      <c r="AL79" s="374">
        <f t="shared" si="42"/>
        <v>0.92307692307692313</v>
      </c>
      <c r="AM79" s="372">
        <f t="shared" si="43"/>
        <v>0.74916943521594692</v>
      </c>
      <c r="AN79" s="799">
        <v>2688</v>
      </c>
      <c r="AO79" s="761" t="s">
        <v>2302</v>
      </c>
      <c r="AP79" s="440">
        <v>0</v>
      </c>
      <c r="AQ79" s="440">
        <v>0</v>
      </c>
      <c r="AR79" s="440">
        <v>0</v>
      </c>
      <c r="AS79" s="440">
        <v>0</v>
      </c>
      <c r="AT79" s="440">
        <v>0</v>
      </c>
      <c r="AU79" s="440">
        <v>0</v>
      </c>
      <c r="AV79" s="440">
        <v>0</v>
      </c>
      <c r="AW79" s="440">
        <v>0</v>
      </c>
      <c r="AX79" s="440">
        <v>0</v>
      </c>
      <c r="AY79" s="440">
        <v>0</v>
      </c>
      <c r="AZ79" s="440">
        <v>0</v>
      </c>
      <c r="BA79" s="440">
        <v>0</v>
      </c>
      <c r="BB79" s="440">
        <v>90</v>
      </c>
      <c r="BC79" s="440">
        <v>0</v>
      </c>
      <c r="BD79" s="440">
        <v>0</v>
      </c>
      <c r="BE79" s="440">
        <v>0</v>
      </c>
      <c r="BF79" s="440">
        <v>0</v>
      </c>
      <c r="BG79" s="440">
        <v>0</v>
      </c>
      <c r="BH79" s="440">
        <v>0</v>
      </c>
      <c r="BI79" s="440">
        <v>0</v>
      </c>
      <c r="BJ79" s="440">
        <v>0</v>
      </c>
      <c r="BK79" s="440">
        <v>0</v>
      </c>
      <c r="BL79" s="440">
        <v>0</v>
      </c>
      <c r="BM79" s="440">
        <v>0</v>
      </c>
      <c r="BN79" s="440">
        <v>0</v>
      </c>
      <c r="BO79" s="440">
        <v>0</v>
      </c>
      <c r="BP79" s="440">
        <v>0</v>
      </c>
      <c r="BQ79" s="440">
        <v>0</v>
      </c>
      <c r="BR79" s="415">
        <f>SUM(AP79:BQ79)/60</f>
        <v>1.5</v>
      </c>
      <c r="BS79" s="415">
        <f>SUM(AP79:BR79)/60</f>
        <v>1.5249999999999999</v>
      </c>
      <c r="BT79" s="935"/>
      <c r="BU79" s="935"/>
      <c r="BV79" s="935"/>
      <c r="BW79" s="935"/>
      <c r="BX79" s="935"/>
      <c r="BY79" s="935"/>
      <c r="BZ79" s="935"/>
      <c r="CA79" s="935"/>
      <c r="CB79" s="935"/>
      <c r="CC79" s="935"/>
      <c r="CD79" s="935"/>
      <c r="CE79" s="935"/>
      <c r="CF79" s="935"/>
      <c r="CG79" s="935"/>
      <c r="CH79" s="935"/>
      <c r="CI79" s="935"/>
      <c r="CJ79" s="935"/>
      <c r="CK79" s="935"/>
      <c r="CL79" s="935"/>
      <c r="CM79" s="935"/>
      <c r="CN79" s="935"/>
      <c r="CO79" s="935"/>
      <c r="CP79" s="935"/>
      <c r="CQ79" s="935"/>
      <c r="CR79" s="935"/>
      <c r="CS79" s="935"/>
      <c r="CT79" s="935"/>
      <c r="CU79" s="935"/>
      <c r="CV79" s="935"/>
    </row>
    <row r="80" spans="1:100" s="375" customFormat="1" ht="14.9" customHeight="1">
      <c r="A80" s="375">
        <f t="shared" si="29"/>
        <v>8</v>
      </c>
      <c r="B80" s="455">
        <v>44417</v>
      </c>
      <c r="C80" s="445" t="s">
        <v>1980</v>
      </c>
      <c r="D80" s="376" t="str">
        <f>IFERROR(VLOOKUP(E:E,'Item Data Support Sheet'!A:O,7,0),"")</f>
        <v>NIPPLE POSTCURE</v>
      </c>
      <c r="E80" s="446" t="s">
        <v>76</v>
      </c>
      <c r="F80" s="447"/>
      <c r="G80" s="376" t="s">
        <v>1705</v>
      </c>
      <c r="H80" s="602" t="str">
        <f>IFERROR(VLOOKUP(E:E,'Item Data Support Sheet'!A:O,2,0),"")</f>
        <v>NIPPLE S TYPE S SIZE POSTCURED</v>
      </c>
      <c r="I80" s="447" t="s">
        <v>2297</v>
      </c>
      <c r="J80" s="447" t="s">
        <v>2809</v>
      </c>
      <c r="K80" s="438">
        <v>2.5</v>
      </c>
      <c r="L80" s="439">
        <v>3400</v>
      </c>
      <c r="M80" s="366">
        <f t="shared" si="45"/>
        <v>1360</v>
      </c>
      <c r="N80" s="367">
        <f t="shared" si="28"/>
        <v>3400</v>
      </c>
      <c r="O80" s="61">
        <v>3400</v>
      </c>
      <c r="P80" s="368">
        <v>0</v>
      </c>
      <c r="Q80" s="369">
        <v>0</v>
      </c>
      <c r="R80" s="370">
        <v>0</v>
      </c>
      <c r="S80" s="370">
        <v>0</v>
      </c>
      <c r="T80" s="370">
        <v>0</v>
      </c>
      <c r="U80" s="370">
        <v>0</v>
      </c>
      <c r="V80" s="450">
        <v>1</v>
      </c>
      <c r="W80" s="453">
        <f t="shared" si="30"/>
        <v>3400</v>
      </c>
      <c r="X80" s="748">
        <f t="shared" si="31"/>
        <v>1</v>
      </c>
      <c r="Y80" s="451" t="str">
        <f>IFERROR(VLOOKUP(E:E,'Item Data Support Sheet'!A:J,6,0),0)</f>
        <v>FO011</v>
      </c>
      <c r="Z80" s="428">
        <f>IFERROR(VLOOKUP(E:E,'Item Data Support Sheet'!A:O,4,0),0)</f>
        <v>0</v>
      </c>
      <c r="AA80" s="428">
        <f t="shared" si="32"/>
        <v>0</v>
      </c>
      <c r="AB80" s="429" t="str">
        <f t="shared" si="33"/>
        <v xml:space="preserve"> </v>
      </c>
      <c r="AC80" s="424">
        <f t="shared" si="34"/>
        <v>0</v>
      </c>
      <c r="AD80" s="371">
        <f t="shared" si="35"/>
        <v>0</v>
      </c>
      <c r="AE80" s="748">
        <f t="shared" si="36"/>
        <v>1</v>
      </c>
      <c r="AF80" s="417">
        <f t="shared" si="37"/>
        <v>0</v>
      </c>
      <c r="AG80" s="416">
        <f t="shared" si="38"/>
        <v>2.5</v>
      </c>
      <c r="AH80" s="372">
        <f t="shared" si="39"/>
        <v>1</v>
      </c>
      <c r="AI80" s="373">
        <f t="shared" si="40"/>
        <v>1360</v>
      </c>
      <c r="AJ80" s="418">
        <f>VLOOKUP(D80,'Standard Cycle time'!C:D,2,0)</f>
        <v>2.2999999999999998</v>
      </c>
      <c r="AK80" s="418">
        <f t="shared" si="41"/>
        <v>2.6470588235294117</v>
      </c>
      <c r="AL80" s="374">
        <f t="shared" si="42"/>
        <v>0.86888888888888882</v>
      </c>
      <c r="AM80" s="372">
        <f t="shared" si="43"/>
        <v>0.86888888888888882</v>
      </c>
      <c r="AN80" s="799">
        <v>2293</v>
      </c>
      <c r="AO80" s="761"/>
      <c r="AP80" s="440">
        <v>0</v>
      </c>
      <c r="AQ80" s="440">
        <v>0</v>
      </c>
      <c r="AR80" s="440">
        <v>0</v>
      </c>
      <c r="AS80" s="440">
        <v>0</v>
      </c>
      <c r="AT80" s="440">
        <v>0</v>
      </c>
      <c r="AU80" s="440">
        <v>0</v>
      </c>
      <c r="AV80" s="440">
        <v>0</v>
      </c>
      <c r="AW80" s="440">
        <v>0</v>
      </c>
      <c r="AX80" s="440">
        <v>0</v>
      </c>
      <c r="AY80" s="440">
        <v>0</v>
      </c>
      <c r="AZ80" s="440">
        <v>0</v>
      </c>
      <c r="BA80" s="440">
        <v>0</v>
      </c>
      <c r="BB80" s="440">
        <v>0</v>
      </c>
      <c r="BC80" s="440">
        <v>0</v>
      </c>
      <c r="BD80" s="440">
        <v>0</v>
      </c>
      <c r="BE80" s="440">
        <v>0</v>
      </c>
      <c r="BF80" s="440">
        <v>0</v>
      </c>
      <c r="BG80" s="440">
        <v>0</v>
      </c>
      <c r="BH80" s="440">
        <v>0</v>
      </c>
      <c r="BI80" s="440">
        <v>0</v>
      </c>
      <c r="BJ80" s="440">
        <v>0</v>
      </c>
      <c r="BK80" s="440">
        <v>0</v>
      </c>
      <c r="BL80" s="440">
        <v>0</v>
      </c>
      <c r="BM80" s="440">
        <v>0</v>
      </c>
      <c r="BN80" s="440">
        <v>0</v>
      </c>
      <c r="BO80" s="440">
        <v>0</v>
      </c>
      <c r="BP80" s="440">
        <v>0</v>
      </c>
      <c r="BQ80" s="440">
        <v>0</v>
      </c>
      <c r="BR80" s="415">
        <f>SUM(AP80:BQ80)/60</f>
        <v>0</v>
      </c>
      <c r="BS80" s="415">
        <f>SUM(AP80:BR80)/60</f>
        <v>0</v>
      </c>
      <c r="BT80" s="935"/>
      <c r="BU80" s="935"/>
      <c r="BV80" s="935"/>
      <c r="BW80" s="935"/>
      <c r="BX80" s="935"/>
      <c r="BY80" s="935"/>
      <c r="BZ80" s="935"/>
      <c r="CA80" s="935"/>
      <c r="CB80" s="935"/>
      <c r="CC80" s="935"/>
      <c r="CD80" s="935"/>
      <c r="CE80" s="935"/>
      <c r="CF80" s="935"/>
      <c r="CG80" s="935"/>
      <c r="CH80" s="935"/>
      <c r="CI80" s="935"/>
      <c r="CJ80" s="935"/>
      <c r="CK80" s="935"/>
      <c r="CL80" s="935"/>
      <c r="CM80" s="935"/>
      <c r="CN80" s="935"/>
      <c r="CO80" s="935"/>
      <c r="CP80" s="935"/>
      <c r="CQ80" s="935"/>
      <c r="CR80" s="935"/>
      <c r="CS80" s="935"/>
      <c r="CT80" s="935"/>
      <c r="CU80" s="935"/>
      <c r="CV80" s="935"/>
    </row>
    <row r="81" spans="1:100" s="375" customFormat="1" ht="14.9" customHeight="1">
      <c r="A81" s="375">
        <f t="shared" si="29"/>
        <v>8</v>
      </c>
      <c r="B81" s="455">
        <v>44417</v>
      </c>
      <c r="C81" s="445" t="s">
        <v>1980</v>
      </c>
      <c r="D81" s="376" t="str">
        <f>IFERROR(VLOOKUP(E:E,'Item Data Support Sheet'!A:O,7,0),"")</f>
        <v>NIPPLE PUNCH</v>
      </c>
      <c r="E81" s="447" t="s">
        <v>81</v>
      </c>
      <c r="F81" s="508"/>
      <c r="G81" s="376" t="s">
        <v>1692</v>
      </c>
      <c r="H81" s="602" t="str">
        <f>IFERROR(VLOOKUP(E:E,'Item Data Support Sheet'!A:O,2,0),"")</f>
        <v>NIPPLE S TYPE M SIZE PUNCHED</v>
      </c>
      <c r="I81" s="447" t="s">
        <v>2298</v>
      </c>
      <c r="J81" s="447" t="s">
        <v>2809</v>
      </c>
      <c r="K81" s="438">
        <v>4</v>
      </c>
      <c r="L81" s="439">
        <v>3000</v>
      </c>
      <c r="M81" s="366">
        <f t="shared" si="45"/>
        <v>750</v>
      </c>
      <c r="N81" s="367">
        <f t="shared" si="28"/>
        <v>2992</v>
      </c>
      <c r="O81" s="61">
        <f>3012-20</f>
        <v>2992</v>
      </c>
      <c r="P81" s="368">
        <v>0</v>
      </c>
      <c r="Q81" s="369">
        <v>0</v>
      </c>
      <c r="R81" s="370">
        <v>0</v>
      </c>
      <c r="S81" s="370">
        <v>0</v>
      </c>
      <c r="T81" s="370">
        <v>0</v>
      </c>
      <c r="U81" s="370">
        <v>0</v>
      </c>
      <c r="V81" s="450">
        <v>1</v>
      </c>
      <c r="W81" s="453">
        <f t="shared" si="30"/>
        <v>2992</v>
      </c>
      <c r="X81" s="748">
        <f t="shared" si="31"/>
        <v>0.99733333333333329</v>
      </c>
      <c r="Y81" s="451" t="str">
        <f>IFERROR(VLOOKUP(E:E,'Item Data Support Sheet'!A:J,6,0),0)</f>
        <v>FO016</v>
      </c>
      <c r="Z81" s="428">
        <f>IFERROR(VLOOKUP(E:E,'Item Data Support Sheet'!A:O,4,0),0)</f>
        <v>0</v>
      </c>
      <c r="AA81" s="428">
        <f t="shared" si="32"/>
        <v>0</v>
      </c>
      <c r="AB81" s="429" t="str">
        <f t="shared" si="33"/>
        <v xml:space="preserve"> </v>
      </c>
      <c r="AC81" s="424">
        <f t="shared" si="34"/>
        <v>0</v>
      </c>
      <c r="AD81" s="371">
        <f t="shared" si="35"/>
        <v>0</v>
      </c>
      <c r="AE81" s="748">
        <f t="shared" si="36"/>
        <v>1</v>
      </c>
      <c r="AF81" s="417">
        <f t="shared" si="37"/>
        <v>1</v>
      </c>
      <c r="AG81" s="416">
        <f t="shared" si="38"/>
        <v>3</v>
      </c>
      <c r="AH81" s="372">
        <f t="shared" si="39"/>
        <v>0.75</v>
      </c>
      <c r="AI81" s="373">
        <f t="shared" si="40"/>
        <v>748</v>
      </c>
      <c r="AJ81" s="418">
        <f>VLOOKUP(D81,'Standard Cycle time'!C:D,2,0)</f>
        <v>3.5</v>
      </c>
      <c r="AK81" s="418">
        <f t="shared" si="41"/>
        <v>3.6096256684491981</v>
      </c>
      <c r="AL81" s="374">
        <f t="shared" si="42"/>
        <v>0.96962962962962962</v>
      </c>
      <c r="AM81" s="372">
        <f t="shared" si="43"/>
        <v>0.72722222222222221</v>
      </c>
      <c r="AN81" s="799">
        <v>2297</v>
      </c>
      <c r="AO81" s="929" t="s">
        <v>2261</v>
      </c>
      <c r="AP81" s="440">
        <v>30</v>
      </c>
      <c r="AQ81" s="440">
        <v>0</v>
      </c>
      <c r="AR81" s="440">
        <v>0</v>
      </c>
      <c r="AS81" s="440">
        <v>0</v>
      </c>
      <c r="AT81" s="440">
        <v>0</v>
      </c>
      <c r="AU81" s="440">
        <v>0</v>
      </c>
      <c r="AV81" s="440">
        <v>30</v>
      </c>
      <c r="AW81" s="440">
        <v>0</v>
      </c>
      <c r="AX81" s="440">
        <v>0</v>
      </c>
      <c r="AY81" s="440">
        <v>0</v>
      </c>
      <c r="AZ81" s="440">
        <v>0</v>
      </c>
      <c r="BA81" s="440">
        <v>0</v>
      </c>
      <c r="BB81" s="440">
        <v>0</v>
      </c>
      <c r="BC81" s="440">
        <v>0</v>
      </c>
      <c r="BD81" s="440">
        <v>0</v>
      </c>
      <c r="BE81" s="440">
        <v>0</v>
      </c>
      <c r="BF81" s="440">
        <v>0</v>
      </c>
      <c r="BG81" s="440">
        <v>0</v>
      </c>
      <c r="BH81" s="440">
        <v>0</v>
      </c>
      <c r="BI81" s="440">
        <v>0</v>
      </c>
      <c r="BJ81" s="440">
        <v>0</v>
      </c>
      <c r="BK81" s="440">
        <v>0</v>
      </c>
      <c r="BL81" s="440">
        <v>0</v>
      </c>
      <c r="BM81" s="440">
        <v>0</v>
      </c>
      <c r="BN81" s="440">
        <v>0</v>
      </c>
      <c r="BO81" s="440">
        <v>0</v>
      </c>
      <c r="BP81" s="440">
        <v>0</v>
      </c>
      <c r="BQ81" s="440">
        <v>0</v>
      </c>
      <c r="BR81" s="415">
        <f t="shared" si="44"/>
        <v>1</v>
      </c>
      <c r="BS81" s="415">
        <f t="shared" ref="BS81:BS151" si="46">SUM(AP81:BR81)/60</f>
        <v>1.0166666666666666</v>
      </c>
      <c r="BT81" s="935"/>
      <c r="BU81" s="935"/>
      <c r="BV81" s="935"/>
      <c r="BW81" s="935"/>
      <c r="BX81" s="935"/>
      <c r="BY81" s="935"/>
      <c r="BZ81" s="935"/>
      <c r="CA81" s="935"/>
      <c r="CB81" s="935"/>
      <c r="CC81" s="935"/>
      <c r="CD81" s="935"/>
      <c r="CE81" s="935"/>
      <c r="CF81" s="935"/>
      <c r="CG81" s="935"/>
      <c r="CH81" s="935"/>
      <c r="CI81" s="935"/>
      <c r="CJ81" s="935"/>
      <c r="CK81" s="935"/>
      <c r="CL81" s="935"/>
      <c r="CM81" s="935"/>
      <c r="CN81" s="935"/>
      <c r="CO81" s="935"/>
      <c r="CP81" s="935"/>
      <c r="CQ81" s="935"/>
      <c r="CR81" s="935"/>
      <c r="CS81" s="935"/>
      <c r="CT81" s="935"/>
      <c r="CU81" s="935"/>
      <c r="CV81" s="935"/>
    </row>
    <row r="82" spans="1:100" s="375" customFormat="1" ht="14.9" customHeight="1">
      <c r="A82" s="375">
        <f t="shared" si="29"/>
        <v>8</v>
      </c>
      <c r="B82" s="455">
        <v>44417</v>
      </c>
      <c r="C82" s="445" t="s">
        <v>1980</v>
      </c>
      <c r="D82" s="376" t="str">
        <f>IFERROR(VLOOKUP(E:E,'Item Data Support Sheet'!A:O,7,0),"")</f>
        <v>NIPPLE PUNCH</v>
      </c>
      <c r="E82" s="446" t="s">
        <v>80</v>
      </c>
      <c r="F82" s="447"/>
      <c r="G82" s="376" t="s">
        <v>1692</v>
      </c>
      <c r="H82" s="602" t="str">
        <f>IFERROR(VLOOKUP(E:E,'Item Data Support Sheet'!A:O,2,0),"")</f>
        <v>NIPPLE S TYPE S SIZE PUNCHED</v>
      </c>
      <c r="I82" s="447" t="s">
        <v>2299</v>
      </c>
      <c r="J82" s="447" t="s">
        <v>2809</v>
      </c>
      <c r="K82" s="438">
        <v>4</v>
      </c>
      <c r="L82" s="439">
        <v>2036</v>
      </c>
      <c r="M82" s="366">
        <f t="shared" si="45"/>
        <v>509</v>
      </c>
      <c r="N82" s="367">
        <f t="shared" si="28"/>
        <v>3000</v>
      </c>
      <c r="O82" s="61">
        <v>2992</v>
      </c>
      <c r="P82" s="368">
        <v>0</v>
      </c>
      <c r="Q82" s="369">
        <v>0</v>
      </c>
      <c r="R82" s="370">
        <v>0</v>
      </c>
      <c r="S82" s="370">
        <v>0</v>
      </c>
      <c r="T82" s="370">
        <v>0</v>
      </c>
      <c r="U82" s="370">
        <v>8</v>
      </c>
      <c r="V82" s="450">
        <v>1</v>
      </c>
      <c r="W82" s="453">
        <f t="shared" si="30"/>
        <v>2992</v>
      </c>
      <c r="X82" s="748">
        <f t="shared" si="31"/>
        <v>1.4695481335952849</v>
      </c>
      <c r="Y82" s="451" t="str">
        <f>IFERROR(VLOOKUP(E:E,'Item Data Support Sheet'!A:J,6,0),0)</f>
        <v>FO015</v>
      </c>
      <c r="Z82" s="428">
        <f>IFERROR(VLOOKUP(E:E,'Item Data Support Sheet'!A:O,4,0),0)</f>
        <v>0</v>
      </c>
      <c r="AA82" s="428">
        <f t="shared" si="32"/>
        <v>0</v>
      </c>
      <c r="AB82" s="429" t="str">
        <f t="shared" si="33"/>
        <v xml:space="preserve"> </v>
      </c>
      <c r="AC82" s="424">
        <f t="shared" si="34"/>
        <v>0</v>
      </c>
      <c r="AD82" s="371">
        <f t="shared" si="35"/>
        <v>0</v>
      </c>
      <c r="AE82" s="748">
        <f t="shared" si="36"/>
        <v>1</v>
      </c>
      <c r="AF82" s="417">
        <f t="shared" si="37"/>
        <v>1</v>
      </c>
      <c r="AG82" s="416">
        <f t="shared" si="38"/>
        <v>3</v>
      </c>
      <c r="AH82" s="372">
        <f t="shared" si="39"/>
        <v>0.75</v>
      </c>
      <c r="AI82" s="373">
        <f t="shared" si="40"/>
        <v>748</v>
      </c>
      <c r="AJ82" s="418">
        <f>VLOOKUP(D82,'Standard Cycle time'!C:D,2,0)</f>
        <v>3.5</v>
      </c>
      <c r="AK82" s="418">
        <f t="shared" si="41"/>
        <v>3.6096256684491981</v>
      </c>
      <c r="AL82" s="374">
        <f t="shared" si="42"/>
        <v>0.96962962962962962</v>
      </c>
      <c r="AM82" s="372">
        <f t="shared" si="43"/>
        <v>0.72722222222222221</v>
      </c>
      <c r="AN82" s="799">
        <v>2295</v>
      </c>
      <c r="AO82" s="929" t="s">
        <v>2303</v>
      </c>
      <c r="AP82" s="440">
        <v>0</v>
      </c>
      <c r="AQ82" s="440">
        <v>30</v>
      </c>
      <c r="AR82" s="440">
        <v>0</v>
      </c>
      <c r="AS82" s="440">
        <v>0</v>
      </c>
      <c r="AT82" s="440">
        <v>0</v>
      </c>
      <c r="AU82" s="440">
        <v>0</v>
      </c>
      <c r="AV82" s="440">
        <v>0</v>
      </c>
      <c r="AW82" s="440">
        <v>0</v>
      </c>
      <c r="AX82" s="440">
        <v>0</v>
      </c>
      <c r="AY82" s="440">
        <v>0</v>
      </c>
      <c r="AZ82" s="440">
        <v>0</v>
      </c>
      <c r="BA82" s="440">
        <v>30</v>
      </c>
      <c r="BB82" s="440">
        <v>0</v>
      </c>
      <c r="BC82" s="440">
        <v>0</v>
      </c>
      <c r="BD82" s="440">
        <v>0</v>
      </c>
      <c r="BE82" s="440">
        <v>0</v>
      </c>
      <c r="BF82" s="440">
        <v>0</v>
      </c>
      <c r="BG82" s="440">
        <v>0</v>
      </c>
      <c r="BH82" s="440">
        <v>0</v>
      </c>
      <c r="BI82" s="440">
        <v>0</v>
      </c>
      <c r="BJ82" s="440">
        <v>0</v>
      </c>
      <c r="BK82" s="440">
        <v>0</v>
      </c>
      <c r="BL82" s="440">
        <v>0</v>
      </c>
      <c r="BM82" s="440">
        <v>0</v>
      </c>
      <c r="BN82" s="440">
        <v>0</v>
      </c>
      <c r="BO82" s="440">
        <v>0</v>
      </c>
      <c r="BP82" s="440">
        <v>0</v>
      </c>
      <c r="BQ82" s="440">
        <v>0</v>
      </c>
      <c r="BR82" s="415">
        <f t="shared" si="44"/>
        <v>1</v>
      </c>
      <c r="BS82" s="415">
        <f t="shared" si="46"/>
        <v>1.0166666666666666</v>
      </c>
      <c r="BT82" s="935"/>
      <c r="BU82" s="935"/>
      <c r="BV82" s="935"/>
      <c r="BW82" s="935"/>
      <c r="BX82" s="935"/>
      <c r="BY82" s="935"/>
      <c r="BZ82" s="935"/>
      <c r="CA82" s="935"/>
      <c r="CB82" s="935"/>
      <c r="CC82" s="935"/>
      <c r="CD82" s="935"/>
      <c r="CE82" s="935"/>
      <c r="CF82" s="935"/>
      <c r="CG82" s="935"/>
      <c r="CH82" s="935"/>
      <c r="CI82" s="935"/>
      <c r="CJ82" s="935"/>
      <c r="CK82" s="935"/>
      <c r="CL82" s="935"/>
      <c r="CM82" s="935"/>
      <c r="CN82" s="935"/>
      <c r="CO82" s="935"/>
      <c r="CP82" s="935"/>
      <c r="CQ82" s="935"/>
      <c r="CR82" s="935"/>
      <c r="CS82" s="935"/>
      <c r="CT82" s="935"/>
      <c r="CU82" s="935"/>
      <c r="CV82" s="935"/>
    </row>
    <row r="83" spans="1:100" s="375" customFormat="1" ht="14.9" customHeight="1">
      <c r="A83" s="375">
        <f t="shared" si="29"/>
        <v>8</v>
      </c>
      <c r="B83" s="455">
        <v>44417</v>
      </c>
      <c r="C83" s="445" t="s">
        <v>2000</v>
      </c>
      <c r="D83" s="376" t="str">
        <f>IFERROR(VLOOKUP(E:E,'Item Data Support Sheet'!A:O,7,0),"")</f>
        <v>BOTTLE PRINTED</v>
      </c>
      <c r="E83" s="446" t="s">
        <v>71</v>
      </c>
      <c r="F83" s="447"/>
      <c r="G83" s="376" t="s">
        <v>1698</v>
      </c>
      <c r="H83" s="602" t="str">
        <f>IFERROR(VLOOKUP(E:E,'Item Data Support Sheet'!A:O,2,0),"")</f>
        <v>RPP 120 ML BOTTLE PRINTED</v>
      </c>
      <c r="I83" s="447" t="s">
        <v>2304</v>
      </c>
      <c r="J83" s="447" t="s">
        <v>2813</v>
      </c>
      <c r="K83" s="438">
        <v>8.5</v>
      </c>
      <c r="L83" s="439">
        <v>5100</v>
      </c>
      <c r="M83" s="366">
        <f t="shared" si="45"/>
        <v>600</v>
      </c>
      <c r="N83" s="367">
        <f t="shared" si="28"/>
        <v>6353</v>
      </c>
      <c r="O83" s="61">
        <v>6322</v>
      </c>
      <c r="P83" s="368">
        <v>0</v>
      </c>
      <c r="Q83" s="369">
        <v>0</v>
      </c>
      <c r="R83" s="370">
        <v>54</v>
      </c>
      <c r="S83" s="370">
        <v>0</v>
      </c>
      <c r="T83" s="370">
        <v>31</v>
      </c>
      <c r="U83" s="370">
        <v>0</v>
      </c>
      <c r="V83" s="450">
        <v>6</v>
      </c>
      <c r="W83" s="453">
        <f t="shared" si="30"/>
        <v>1053.6666666666667</v>
      </c>
      <c r="X83" s="748">
        <f t="shared" si="31"/>
        <v>1.2396078431372548</v>
      </c>
      <c r="Y83" s="451" t="str">
        <f>IFERROR(VLOOKUP(E:E,'Item Data Support Sheet'!A:J,6,0),0)</f>
        <v>FO004</v>
      </c>
      <c r="Z83" s="428">
        <f>IFERROR(VLOOKUP(E:E,'Item Data Support Sheet'!A:O,4,0),0)</f>
        <v>0</v>
      </c>
      <c r="AA83" s="428">
        <f t="shared" si="32"/>
        <v>0</v>
      </c>
      <c r="AB83" s="429" t="str">
        <f t="shared" si="33"/>
        <v xml:space="preserve"> </v>
      </c>
      <c r="AC83" s="424">
        <f t="shared" si="34"/>
        <v>4.8795844482921458E-3</v>
      </c>
      <c r="AD83" s="371">
        <f t="shared" si="35"/>
        <v>0</v>
      </c>
      <c r="AE83" s="748">
        <f t="shared" si="36"/>
        <v>0.99512041555170783</v>
      </c>
      <c r="AF83" s="417">
        <f t="shared" si="37"/>
        <v>0.83333333333333337</v>
      </c>
      <c r="AG83" s="416">
        <f t="shared" si="38"/>
        <v>7.666666666666667</v>
      </c>
      <c r="AH83" s="372">
        <f t="shared" si="39"/>
        <v>0.90196078431372551</v>
      </c>
      <c r="AI83" s="373">
        <f t="shared" si="40"/>
        <v>743.76470588235293</v>
      </c>
      <c r="AJ83" s="418">
        <f>VLOOKUP(D83,'Standard Cycle time'!C:D,2,0)</f>
        <v>32.4</v>
      </c>
      <c r="AK83" s="418">
        <f t="shared" si="41"/>
        <v>26.194242328377097</v>
      </c>
      <c r="AL83" s="374">
        <f t="shared" si="42"/>
        <v>1.2369130434782607</v>
      </c>
      <c r="AM83" s="372">
        <f t="shared" si="43"/>
        <v>1.1102031647855111</v>
      </c>
      <c r="AN83" s="799" t="s">
        <v>2650</v>
      </c>
      <c r="AO83" s="761"/>
      <c r="AP83" s="440">
        <v>50</v>
      </c>
      <c r="AQ83" s="440">
        <v>0</v>
      </c>
      <c r="AR83" s="440">
        <v>0</v>
      </c>
      <c r="AS83" s="440">
        <v>0</v>
      </c>
      <c r="AT83" s="440">
        <v>0</v>
      </c>
      <c r="AU83" s="440">
        <v>0</v>
      </c>
      <c r="AV83" s="440">
        <v>0</v>
      </c>
      <c r="AW83" s="440">
        <v>0</v>
      </c>
      <c r="AX83" s="440">
        <v>0</v>
      </c>
      <c r="AY83" s="440">
        <v>0</v>
      </c>
      <c r="AZ83" s="440">
        <v>0</v>
      </c>
      <c r="BA83" s="440">
        <v>0</v>
      </c>
      <c r="BB83" s="440">
        <v>0</v>
      </c>
      <c r="BC83" s="440">
        <v>0</v>
      </c>
      <c r="BD83" s="440">
        <v>0</v>
      </c>
      <c r="BE83" s="440">
        <v>0</v>
      </c>
      <c r="BF83" s="440">
        <v>0</v>
      </c>
      <c r="BG83" s="440">
        <v>0</v>
      </c>
      <c r="BH83" s="440">
        <v>0</v>
      </c>
      <c r="BI83" s="440">
        <v>0</v>
      </c>
      <c r="BJ83" s="440">
        <v>0</v>
      </c>
      <c r="BK83" s="440">
        <v>0</v>
      </c>
      <c r="BL83" s="440">
        <v>0</v>
      </c>
      <c r="BM83" s="440">
        <v>0</v>
      </c>
      <c r="BN83" s="440">
        <v>0</v>
      </c>
      <c r="BO83" s="440">
        <v>0</v>
      </c>
      <c r="BP83" s="440">
        <v>0</v>
      </c>
      <c r="BQ83" s="440">
        <v>0</v>
      </c>
      <c r="BR83" s="415">
        <f t="shared" si="44"/>
        <v>0.83333333333333337</v>
      </c>
      <c r="BS83" s="415">
        <f t="shared" si="46"/>
        <v>0.84722222222222221</v>
      </c>
      <c r="BT83" s="935"/>
      <c r="BU83" s="935"/>
      <c r="BV83" s="935"/>
      <c r="BW83" s="935"/>
      <c r="BX83" s="935"/>
      <c r="BY83" s="935"/>
      <c r="BZ83" s="935"/>
      <c r="CA83" s="935"/>
      <c r="CB83" s="935"/>
      <c r="CC83" s="935"/>
      <c r="CD83" s="935"/>
      <c r="CE83" s="935"/>
      <c r="CF83" s="935"/>
      <c r="CG83" s="935"/>
      <c r="CH83" s="935"/>
      <c r="CI83" s="935"/>
      <c r="CJ83" s="935"/>
      <c r="CK83" s="935"/>
      <c r="CL83" s="935"/>
      <c r="CM83" s="935"/>
      <c r="CN83" s="935"/>
      <c r="CO83" s="935"/>
      <c r="CP83" s="935"/>
      <c r="CQ83" s="935"/>
      <c r="CR83" s="935"/>
      <c r="CS83" s="935"/>
      <c r="CT83" s="935"/>
      <c r="CU83" s="935"/>
      <c r="CV83" s="935"/>
    </row>
    <row r="84" spans="1:100" s="375" customFormat="1" ht="14.9" customHeight="1">
      <c r="A84" s="375">
        <f t="shared" si="29"/>
        <v>8</v>
      </c>
      <c r="B84" s="455">
        <v>44417</v>
      </c>
      <c r="C84" s="445" t="s">
        <v>2000</v>
      </c>
      <c r="D84" s="376" t="str">
        <f>IFERROR(VLOOKUP(E:E,'Item Data Support Sheet'!A:O,7,0),"")</f>
        <v>NIPPLE PUNCH INSPECTED</v>
      </c>
      <c r="E84" s="446" t="s">
        <v>1819</v>
      </c>
      <c r="F84" s="508"/>
      <c r="G84" s="376"/>
      <c r="H84" s="602" t="str">
        <f>IFERROR(VLOOKUP(E:E,'Item Data Support Sheet'!A:O,2,0),"")</f>
        <v>NIPPLE S TYPE M SIZE PUNCHED INSPECTED</v>
      </c>
      <c r="I84" s="447" t="s">
        <v>2305</v>
      </c>
      <c r="J84" s="447" t="s">
        <v>2812</v>
      </c>
      <c r="K84" s="438">
        <v>4.5</v>
      </c>
      <c r="L84" s="439">
        <v>8091</v>
      </c>
      <c r="M84" s="366">
        <f t="shared" si="45"/>
        <v>1798</v>
      </c>
      <c r="N84" s="367">
        <f t="shared" si="28"/>
        <v>7612</v>
      </c>
      <c r="O84" s="61">
        <v>7570</v>
      </c>
      <c r="P84" s="368">
        <v>0</v>
      </c>
      <c r="Q84" s="369">
        <v>0</v>
      </c>
      <c r="R84" s="370">
        <v>0</v>
      </c>
      <c r="S84" s="370">
        <v>0</v>
      </c>
      <c r="T84" s="370">
        <v>42</v>
      </c>
      <c r="U84" s="370">
        <v>0</v>
      </c>
      <c r="V84" s="450">
        <v>2</v>
      </c>
      <c r="W84" s="453">
        <f t="shared" si="30"/>
        <v>3785</v>
      </c>
      <c r="X84" s="748">
        <f t="shared" si="31"/>
        <v>0.93560746508466197</v>
      </c>
      <c r="Y84" s="451" t="str">
        <f>IFERROR(VLOOKUP(E:E,'Item Data Support Sheet'!A:J,6,0),0)</f>
        <v>FO105</v>
      </c>
      <c r="Z84" s="428">
        <f>IFERROR(VLOOKUP(E:E,'Item Data Support Sheet'!A:O,4,0),0)</f>
        <v>0</v>
      </c>
      <c r="AA84" s="428">
        <f t="shared" si="32"/>
        <v>0</v>
      </c>
      <c r="AB84" s="429" t="str">
        <f t="shared" si="33"/>
        <v xml:space="preserve"> </v>
      </c>
      <c r="AC84" s="424">
        <f t="shared" si="34"/>
        <v>5.5176037834997376E-3</v>
      </c>
      <c r="AD84" s="371">
        <f t="shared" si="35"/>
        <v>0</v>
      </c>
      <c r="AE84" s="748">
        <f t="shared" si="36"/>
        <v>0.99448239621650025</v>
      </c>
      <c r="AF84" s="417">
        <f t="shared" si="37"/>
        <v>0.66666666666666663</v>
      </c>
      <c r="AG84" s="416">
        <f t="shared" si="38"/>
        <v>3.8333333333333335</v>
      </c>
      <c r="AH84" s="372">
        <f t="shared" si="39"/>
        <v>0.85185185185185186</v>
      </c>
      <c r="AI84" s="373">
        <f t="shared" si="40"/>
        <v>1682.2222222222222</v>
      </c>
      <c r="AJ84" s="418">
        <f>VLOOKUP(D84,'Standard Cycle time'!C:D,2,0)</f>
        <v>4</v>
      </c>
      <c r="AK84" s="418">
        <f t="shared" si="41"/>
        <v>3.6459709379128138</v>
      </c>
      <c r="AL84" s="374">
        <f t="shared" si="42"/>
        <v>1.0971014492753624</v>
      </c>
      <c r="AM84" s="372">
        <f t="shared" si="43"/>
        <v>0.92941132584677855</v>
      </c>
      <c r="AN84" s="799" t="s">
        <v>2306</v>
      </c>
      <c r="AO84" s="929"/>
      <c r="AP84" s="440">
        <v>40</v>
      </c>
      <c r="AQ84" s="440">
        <v>0</v>
      </c>
      <c r="AR84" s="440">
        <v>0</v>
      </c>
      <c r="AS84" s="440">
        <v>0</v>
      </c>
      <c r="AT84" s="440">
        <v>0</v>
      </c>
      <c r="AU84" s="440">
        <v>0</v>
      </c>
      <c r="AV84" s="440">
        <v>0</v>
      </c>
      <c r="AW84" s="440">
        <v>0</v>
      </c>
      <c r="AX84" s="440">
        <v>0</v>
      </c>
      <c r="AY84" s="440">
        <v>0</v>
      </c>
      <c r="AZ84" s="440">
        <v>0</v>
      </c>
      <c r="BA84" s="440">
        <v>0</v>
      </c>
      <c r="BB84" s="440">
        <v>0</v>
      </c>
      <c r="BC84" s="440">
        <v>0</v>
      </c>
      <c r="BD84" s="440">
        <v>0</v>
      </c>
      <c r="BE84" s="440">
        <v>0</v>
      </c>
      <c r="BF84" s="440">
        <v>0</v>
      </c>
      <c r="BG84" s="440">
        <v>0</v>
      </c>
      <c r="BH84" s="440">
        <v>0</v>
      </c>
      <c r="BI84" s="440">
        <v>0</v>
      </c>
      <c r="BJ84" s="440">
        <v>0</v>
      </c>
      <c r="BK84" s="440">
        <v>0</v>
      </c>
      <c r="BL84" s="440">
        <v>0</v>
      </c>
      <c r="BM84" s="440">
        <v>0</v>
      </c>
      <c r="BN84" s="440">
        <v>0</v>
      </c>
      <c r="BO84" s="440">
        <v>0</v>
      </c>
      <c r="BP84" s="440">
        <v>0</v>
      </c>
      <c r="BQ84" s="440">
        <v>0</v>
      </c>
      <c r="BR84" s="415">
        <f t="shared" si="44"/>
        <v>0.66666666666666663</v>
      </c>
      <c r="BS84" s="415">
        <f t="shared" si="46"/>
        <v>0.6777777777777777</v>
      </c>
      <c r="BT84" s="935"/>
      <c r="BU84" s="935"/>
      <c r="BV84" s="935"/>
      <c r="BW84" s="935"/>
      <c r="BX84" s="935"/>
      <c r="BY84" s="935"/>
      <c r="BZ84" s="935"/>
      <c r="CA84" s="935"/>
      <c r="CB84" s="935"/>
      <c r="CC84" s="935"/>
      <c r="CD84" s="935"/>
      <c r="CE84" s="935"/>
      <c r="CF84" s="935"/>
      <c r="CG84" s="935"/>
      <c r="CH84" s="935"/>
      <c r="CI84" s="935"/>
      <c r="CJ84" s="935"/>
      <c r="CK84" s="935"/>
      <c r="CL84" s="935"/>
      <c r="CM84" s="935"/>
      <c r="CN84" s="935"/>
      <c r="CO84" s="935"/>
      <c r="CP84" s="935"/>
      <c r="CQ84" s="935"/>
      <c r="CR84" s="935"/>
      <c r="CS84" s="935"/>
      <c r="CT84" s="935"/>
      <c r="CU84" s="935"/>
      <c r="CV84" s="935"/>
    </row>
    <row r="85" spans="1:100" s="375" customFormat="1" ht="14.9" customHeight="1">
      <c r="A85" s="375">
        <f t="shared" si="29"/>
        <v>8</v>
      </c>
      <c r="B85" s="455">
        <v>44417</v>
      </c>
      <c r="C85" s="445" t="s">
        <v>2000</v>
      </c>
      <c r="D85" s="376" t="str">
        <f>IFERROR(VLOOKUP(E:E,'Item Data Support Sheet'!A:O,7,0),"")</f>
        <v>NIPPLE PUNCH INSPECTED</v>
      </c>
      <c r="E85" s="446" t="s">
        <v>1818</v>
      </c>
      <c r="F85" s="447"/>
      <c r="G85" s="376"/>
      <c r="H85" s="602" t="str">
        <f>IFERROR(VLOOKUP(E:E,'Item Data Support Sheet'!A:O,2,0),"")</f>
        <v>NIPPLE S TYPE S SIZE PUNCHED INSPECTED</v>
      </c>
      <c r="I85" s="447" t="s">
        <v>2299</v>
      </c>
      <c r="J85" s="447" t="s">
        <v>2812</v>
      </c>
      <c r="K85" s="438">
        <v>4</v>
      </c>
      <c r="L85" s="439">
        <v>6091</v>
      </c>
      <c r="M85" s="366">
        <f t="shared" si="45"/>
        <v>1522.75</v>
      </c>
      <c r="N85" s="367">
        <f t="shared" si="28"/>
        <v>4792</v>
      </c>
      <c r="O85" s="61">
        <v>4772</v>
      </c>
      <c r="P85" s="368">
        <v>0</v>
      </c>
      <c r="Q85" s="369">
        <v>0</v>
      </c>
      <c r="R85" s="370">
        <v>0</v>
      </c>
      <c r="S85" s="370">
        <v>0</v>
      </c>
      <c r="T85" s="370">
        <v>20</v>
      </c>
      <c r="U85" s="370">
        <v>0</v>
      </c>
      <c r="V85" s="450">
        <v>2</v>
      </c>
      <c r="W85" s="453">
        <f t="shared" si="30"/>
        <v>2386</v>
      </c>
      <c r="X85" s="748">
        <f t="shared" si="31"/>
        <v>0.78345099326875722</v>
      </c>
      <c r="Y85" s="451" t="str">
        <f>IFERROR(VLOOKUP(E:E,'Item Data Support Sheet'!A:J,6,0),0)</f>
        <v>FO104</v>
      </c>
      <c r="Z85" s="428">
        <f>IFERROR(VLOOKUP(E:E,'Item Data Support Sheet'!A:O,4,0),0)</f>
        <v>0</v>
      </c>
      <c r="AA85" s="428">
        <f t="shared" si="32"/>
        <v>0</v>
      </c>
      <c r="AB85" s="429" t="str">
        <f t="shared" si="33"/>
        <v xml:space="preserve"> </v>
      </c>
      <c r="AC85" s="424">
        <f t="shared" si="34"/>
        <v>4.1736227045075123E-3</v>
      </c>
      <c r="AD85" s="371">
        <f t="shared" si="35"/>
        <v>0</v>
      </c>
      <c r="AE85" s="748">
        <f t="shared" si="36"/>
        <v>0.9958263772954925</v>
      </c>
      <c r="AF85" s="417">
        <f t="shared" si="37"/>
        <v>1.6666666666666667</v>
      </c>
      <c r="AG85" s="416">
        <f t="shared" si="38"/>
        <v>2.333333333333333</v>
      </c>
      <c r="AH85" s="372">
        <f t="shared" si="39"/>
        <v>0.58333333333333326</v>
      </c>
      <c r="AI85" s="373">
        <f t="shared" si="40"/>
        <v>1193</v>
      </c>
      <c r="AJ85" s="418">
        <f>VLOOKUP(D85,'Standard Cycle time'!C:D,2,0)</f>
        <v>4</v>
      </c>
      <c r="AK85" s="418">
        <f t="shared" si="41"/>
        <v>3.5205364626990772</v>
      </c>
      <c r="AL85" s="374">
        <f t="shared" si="42"/>
        <v>1.1361904761904764</v>
      </c>
      <c r="AM85" s="372">
        <f t="shared" si="43"/>
        <v>0.66001159339640136</v>
      </c>
      <c r="AN85" s="799" t="s">
        <v>2307</v>
      </c>
      <c r="AO85" s="929" t="s">
        <v>2205</v>
      </c>
      <c r="AP85" s="440">
        <v>10</v>
      </c>
      <c r="AQ85" s="440">
        <v>0</v>
      </c>
      <c r="AR85" s="440">
        <v>0</v>
      </c>
      <c r="AS85" s="440">
        <v>90</v>
      </c>
      <c r="AT85" s="440">
        <v>0</v>
      </c>
      <c r="AU85" s="440">
        <v>0</v>
      </c>
      <c r="AV85" s="440">
        <v>0</v>
      </c>
      <c r="AW85" s="440">
        <v>0</v>
      </c>
      <c r="AX85" s="440">
        <v>0</v>
      </c>
      <c r="AY85" s="440">
        <v>0</v>
      </c>
      <c r="AZ85" s="440">
        <v>0</v>
      </c>
      <c r="BA85" s="440">
        <v>0</v>
      </c>
      <c r="BB85" s="440">
        <v>0</v>
      </c>
      <c r="BC85" s="440">
        <v>0</v>
      </c>
      <c r="BD85" s="440">
        <v>0</v>
      </c>
      <c r="BE85" s="440">
        <v>0</v>
      </c>
      <c r="BF85" s="440">
        <v>0</v>
      </c>
      <c r="BG85" s="440">
        <v>0</v>
      </c>
      <c r="BH85" s="440">
        <v>0</v>
      </c>
      <c r="BI85" s="440">
        <v>0</v>
      </c>
      <c r="BJ85" s="440">
        <v>0</v>
      </c>
      <c r="BK85" s="440">
        <v>0</v>
      </c>
      <c r="BL85" s="440">
        <v>0</v>
      </c>
      <c r="BM85" s="440">
        <v>0</v>
      </c>
      <c r="BN85" s="440">
        <v>0</v>
      </c>
      <c r="BO85" s="440">
        <v>0</v>
      </c>
      <c r="BP85" s="440">
        <v>0</v>
      </c>
      <c r="BQ85" s="440">
        <v>0</v>
      </c>
      <c r="BR85" s="415">
        <f t="shared" si="44"/>
        <v>1.6666666666666667</v>
      </c>
      <c r="BS85" s="415">
        <f t="shared" si="46"/>
        <v>1.6944444444444444</v>
      </c>
      <c r="BT85" s="935"/>
      <c r="BU85" s="935"/>
      <c r="BV85" s="935"/>
      <c r="BW85" s="935"/>
      <c r="BX85" s="935"/>
      <c r="BY85" s="935"/>
      <c r="BZ85" s="935"/>
      <c r="CA85" s="935"/>
      <c r="CB85" s="935"/>
      <c r="CC85" s="935"/>
      <c r="CD85" s="935"/>
      <c r="CE85" s="935"/>
      <c r="CF85" s="935"/>
      <c r="CG85" s="935"/>
      <c r="CH85" s="935"/>
      <c r="CI85" s="935"/>
      <c r="CJ85" s="935"/>
      <c r="CK85" s="935"/>
      <c r="CL85" s="935"/>
      <c r="CM85" s="935"/>
      <c r="CN85" s="935"/>
      <c r="CO85" s="935"/>
      <c r="CP85" s="935"/>
      <c r="CQ85" s="935"/>
      <c r="CR85" s="935"/>
      <c r="CS85" s="935"/>
      <c r="CT85" s="935"/>
      <c r="CU85" s="935"/>
      <c r="CV85" s="935"/>
    </row>
    <row r="86" spans="1:100" s="375" customFormat="1" ht="14.9" customHeight="1">
      <c r="A86" s="375">
        <f t="shared" si="29"/>
        <v>8</v>
      </c>
      <c r="B86" s="455">
        <v>44417</v>
      </c>
      <c r="C86" s="445" t="s">
        <v>2001</v>
      </c>
      <c r="D86" s="376" t="str">
        <f>IFERROR(VLOOKUP(E:E,'Item Data Support Sheet'!A:O,7,0),"")</f>
        <v>NIPPLE PUNCH</v>
      </c>
      <c r="E86" s="446" t="s">
        <v>80</v>
      </c>
      <c r="F86" s="447"/>
      <c r="G86" s="376" t="s">
        <v>1692</v>
      </c>
      <c r="H86" s="602" t="str">
        <f>IFERROR(VLOOKUP(E:E,'Item Data Support Sheet'!A:O,2,0),"")</f>
        <v>NIPPLE S TYPE S SIZE PUNCHED</v>
      </c>
      <c r="I86" s="447" t="s">
        <v>2310</v>
      </c>
      <c r="J86" s="447" t="s">
        <v>2810</v>
      </c>
      <c r="K86" s="438">
        <v>8</v>
      </c>
      <c r="L86" s="439">
        <v>7036</v>
      </c>
      <c r="M86" s="366">
        <f t="shared" si="45"/>
        <v>879.5</v>
      </c>
      <c r="N86" s="367">
        <f t="shared" si="28"/>
        <v>6200</v>
      </c>
      <c r="O86" s="61">
        <f>1800+4400</f>
        <v>6200</v>
      </c>
      <c r="P86" s="368">
        <v>0</v>
      </c>
      <c r="Q86" s="369">
        <v>0</v>
      </c>
      <c r="R86" s="370">
        <v>0</v>
      </c>
      <c r="S86" s="370">
        <v>0</v>
      </c>
      <c r="T86" s="370">
        <v>0</v>
      </c>
      <c r="U86" s="370">
        <v>0</v>
      </c>
      <c r="V86" s="450">
        <v>1</v>
      </c>
      <c r="W86" s="453">
        <f t="shared" si="30"/>
        <v>6200</v>
      </c>
      <c r="X86" s="748">
        <f t="shared" si="31"/>
        <v>0.88118249005116545</v>
      </c>
      <c r="Y86" s="451" t="str">
        <f>IFERROR(VLOOKUP(E:E,'Item Data Support Sheet'!A:J,6,0),0)</f>
        <v>FO015</v>
      </c>
      <c r="Z86" s="428">
        <f>IFERROR(VLOOKUP(E:E,'Item Data Support Sheet'!A:O,4,0),0)</f>
        <v>0</v>
      </c>
      <c r="AA86" s="428">
        <f t="shared" si="32"/>
        <v>0</v>
      </c>
      <c r="AB86" s="429" t="str">
        <f t="shared" si="33"/>
        <v xml:space="preserve"> </v>
      </c>
      <c r="AC86" s="424">
        <f t="shared" si="34"/>
        <v>0</v>
      </c>
      <c r="AD86" s="371">
        <f t="shared" si="35"/>
        <v>0</v>
      </c>
      <c r="AE86" s="748">
        <f t="shared" si="36"/>
        <v>1</v>
      </c>
      <c r="AF86" s="417">
        <f t="shared" si="37"/>
        <v>0.66666666666666663</v>
      </c>
      <c r="AG86" s="416">
        <f t="shared" si="38"/>
        <v>7.333333333333333</v>
      </c>
      <c r="AH86" s="372">
        <f t="shared" si="39"/>
        <v>0.91666666666666663</v>
      </c>
      <c r="AI86" s="373">
        <f t="shared" si="40"/>
        <v>775</v>
      </c>
      <c r="AJ86" s="418">
        <f>VLOOKUP(D86,'Standard Cycle time'!C:D,2,0)</f>
        <v>3.5</v>
      </c>
      <c r="AK86" s="418">
        <f t="shared" si="41"/>
        <v>4.258064516129032</v>
      </c>
      <c r="AL86" s="374">
        <f t="shared" si="42"/>
        <v>0.82196969696969702</v>
      </c>
      <c r="AM86" s="372">
        <f t="shared" si="43"/>
        <v>0.75347222222222221</v>
      </c>
      <c r="AN86" s="799" t="s">
        <v>2313</v>
      </c>
      <c r="AO86" s="929"/>
      <c r="AP86" s="440">
        <v>40</v>
      </c>
      <c r="AQ86" s="440">
        <v>0</v>
      </c>
      <c r="AR86" s="440">
        <v>0</v>
      </c>
      <c r="AS86" s="440">
        <v>0</v>
      </c>
      <c r="AT86" s="440">
        <v>0</v>
      </c>
      <c r="AU86" s="440">
        <v>0</v>
      </c>
      <c r="AV86" s="440">
        <v>0</v>
      </c>
      <c r="AW86" s="440">
        <v>0</v>
      </c>
      <c r="AX86" s="440">
        <v>0</v>
      </c>
      <c r="AY86" s="440">
        <v>0</v>
      </c>
      <c r="AZ86" s="440">
        <v>0</v>
      </c>
      <c r="BA86" s="440">
        <v>0</v>
      </c>
      <c r="BB86" s="440">
        <v>0</v>
      </c>
      <c r="BC86" s="440">
        <v>0</v>
      </c>
      <c r="BD86" s="440">
        <v>0</v>
      </c>
      <c r="BE86" s="440">
        <v>0</v>
      </c>
      <c r="BF86" s="440">
        <v>0</v>
      </c>
      <c r="BG86" s="440">
        <v>0</v>
      </c>
      <c r="BH86" s="440">
        <v>0</v>
      </c>
      <c r="BI86" s="440">
        <v>0</v>
      </c>
      <c r="BJ86" s="440">
        <v>0</v>
      </c>
      <c r="BK86" s="440">
        <v>0</v>
      </c>
      <c r="BL86" s="440">
        <v>0</v>
      </c>
      <c r="BM86" s="440">
        <v>0</v>
      </c>
      <c r="BN86" s="440">
        <v>0</v>
      </c>
      <c r="BO86" s="440">
        <v>0</v>
      </c>
      <c r="BP86" s="440">
        <v>0</v>
      </c>
      <c r="BQ86" s="440">
        <v>0</v>
      </c>
      <c r="BR86" s="415">
        <f t="shared" si="44"/>
        <v>0.66666666666666663</v>
      </c>
      <c r="BS86" s="415">
        <f t="shared" si="46"/>
        <v>0.6777777777777777</v>
      </c>
      <c r="BT86" s="935"/>
      <c r="BU86" s="935"/>
      <c r="BV86" s="935"/>
      <c r="BW86" s="935"/>
      <c r="BX86" s="935"/>
      <c r="BY86" s="935"/>
      <c r="BZ86" s="935"/>
      <c r="CA86" s="935"/>
      <c r="CB86" s="935"/>
      <c r="CC86" s="935"/>
      <c r="CD86" s="935"/>
      <c r="CE86" s="935"/>
      <c r="CF86" s="935"/>
      <c r="CG86" s="935"/>
      <c r="CH86" s="935"/>
      <c r="CI86" s="935"/>
      <c r="CJ86" s="935"/>
      <c r="CK86" s="935"/>
      <c r="CL86" s="935"/>
      <c r="CM86" s="935"/>
      <c r="CN86" s="935"/>
      <c r="CO86" s="935"/>
      <c r="CP86" s="935"/>
      <c r="CQ86" s="935"/>
      <c r="CR86" s="935"/>
      <c r="CS86" s="935"/>
      <c r="CT86" s="935"/>
      <c r="CU86" s="935"/>
      <c r="CV86" s="935"/>
    </row>
    <row r="87" spans="1:100" s="375" customFormat="1" ht="14.9" customHeight="1">
      <c r="A87" s="375">
        <f t="shared" si="29"/>
        <v>8</v>
      </c>
      <c r="B87" s="455">
        <v>44417</v>
      </c>
      <c r="C87" s="445" t="s">
        <v>2001</v>
      </c>
      <c r="D87" s="376" t="str">
        <f>IFERROR(VLOOKUP(E:E,'Item Data Support Sheet'!A:O,7,0),"")</f>
        <v>BOTTLE MOLDED</v>
      </c>
      <c r="E87" s="446" t="s">
        <v>66</v>
      </c>
      <c r="F87" s="508" t="s">
        <v>1680</v>
      </c>
      <c r="G87" s="376" t="s">
        <v>1888</v>
      </c>
      <c r="H87" s="602" t="str">
        <f>IFERROR(VLOOKUP(E:E,'Item Data Support Sheet'!A:O,2,0),"")</f>
        <v>KPP 200 ML BOTTLE MOLDED</v>
      </c>
      <c r="I87" s="447" t="s">
        <v>2308</v>
      </c>
      <c r="J87" s="447" t="s">
        <v>2810</v>
      </c>
      <c r="K87" s="438">
        <v>8</v>
      </c>
      <c r="L87" s="439">
        <v>2574</v>
      </c>
      <c r="M87" s="366">
        <f t="shared" si="45"/>
        <v>321.75</v>
      </c>
      <c r="N87" s="367">
        <f t="shared" si="28"/>
        <v>3117</v>
      </c>
      <c r="O87" s="61">
        <f>28*108</f>
        <v>3024</v>
      </c>
      <c r="P87" s="368">
        <v>0.15</v>
      </c>
      <c r="Q87" s="369">
        <v>35</v>
      </c>
      <c r="R87" s="370">
        <v>0</v>
      </c>
      <c r="S87" s="370">
        <v>0</v>
      </c>
      <c r="T87" s="370">
        <v>58</v>
      </c>
      <c r="U87" s="370">
        <v>0</v>
      </c>
      <c r="V87" s="450">
        <v>1</v>
      </c>
      <c r="W87" s="453">
        <f t="shared" si="30"/>
        <v>3024</v>
      </c>
      <c r="X87" s="748">
        <f t="shared" si="31"/>
        <v>1.1748251748251748</v>
      </c>
      <c r="Y87" s="451" t="str">
        <f>IFERROR(VLOOKUP(E:E,'Item Data Support Sheet'!A:J,6,0),0)</f>
        <v>HMC</v>
      </c>
      <c r="Z87" s="428">
        <f>IFERROR(VLOOKUP(E:E,'Item Data Support Sheet'!A:O,4,0),0)</f>
        <v>28.1</v>
      </c>
      <c r="AA87" s="428">
        <f t="shared" si="32"/>
        <v>87.737700000000004</v>
      </c>
      <c r="AB87" s="429">
        <f t="shared" si="33"/>
        <v>0.96850498702382215</v>
      </c>
      <c r="AC87" s="424">
        <f t="shared" si="34"/>
        <v>1.8818948734587931E-2</v>
      </c>
      <c r="AD87" s="371">
        <f t="shared" si="35"/>
        <v>1.1104060913705584E-2</v>
      </c>
      <c r="AE87" s="748">
        <f t="shared" si="36"/>
        <v>0.98139236445299971</v>
      </c>
      <c r="AF87" s="417">
        <f t="shared" si="37"/>
        <v>0</v>
      </c>
      <c r="AG87" s="416">
        <f t="shared" si="38"/>
        <v>8</v>
      </c>
      <c r="AH87" s="372">
        <f t="shared" si="39"/>
        <v>1</v>
      </c>
      <c r="AI87" s="373">
        <f t="shared" si="40"/>
        <v>378</v>
      </c>
      <c r="AJ87" s="418">
        <f>VLOOKUP(D87,'Standard Cycle time'!C:D,2,0)</f>
        <v>9</v>
      </c>
      <c r="AK87" s="418">
        <f t="shared" si="41"/>
        <v>9.5238095238095237</v>
      </c>
      <c r="AL87" s="374">
        <f t="shared" si="42"/>
        <v>0.94500000000000006</v>
      </c>
      <c r="AM87" s="372">
        <f t="shared" si="43"/>
        <v>0.92741578440808481</v>
      </c>
      <c r="AN87" s="799">
        <v>2303</v>
      </c>
      <c r="AO87" s="761"/>
      <c r="AP87" s="440">
        <v>0</v>
      </c>
      <c r="AQ87" s="440">
        <v>0</v>
      </c>
      <c r="AR87" s="440">
        <v>0</v>
      </c>
      <c r="AS87" s="440">
        <v>0</v>
      </c>
      <c r="AT87" s="440">
        <v>0</v>
      </c>
      <c r="AU87" s="440">
        <v>0</v>
      </c>
      <c r="AV87" s="440">
        <v>0</v>
      </c>
      <c r="AW87" s="440">
        <v>0</v>
      </c>
      <c r="AX87" s="440">
        <v>0</v>
      </c>
      <c r="AY87" s="440">
        <v>0</v>
      </c>
      <c r="AZ87" s="440">
        <v>0</v>
      </c>
      <c r="BA87" s="440">
        <v>0</v>
      </c>
      <c r="BB87" s="440">
        <v>0</v>
      </c>
      <c r="BC87" s="440">
        <v>0</v>
      </c>
      <c r="BD87" s="440">
        <v>0</v>
      </c>
      <c r="BE87" s="440">
        <v>0</v>
      </c>
      <c r="BF87" s="440">
        <v>0</v>
      </c>
      <c r="BG87" s="440">
        <v>0</v>
      </c>
      <c r="BH87" s="440">
        <v>0</v>
      </c>
      <c r="BI87" s="440">
        <v>0</v>
      </c>
      <c r="BJ87" s="440">
        <v>0</v>
      </c>
      <c r="BK87" s="440">
        <v>0</v>
      </c>
      <c r="BL87" s="440">
        <v>0</v>
      </c>
      <c r="BM87" s="440">
        <v>0</v>
      </c>
      <c r="BN87" s="440">
        <v>0</v>
      </c>
      <c r="BO87" s="440">
        <v>0</v>
      </c>
      <c r="BP87" s="440">
        <v>0</v>
      </c>
      <c r="BQ87" s="440">
        <v>0</v>
      </c>
      <c r="BR87" s="415">
        <f t="shared" si="44"/>
        <v>0</v>
      </c>
      <c r="BS87" s="415">
        <f t="shared" si="46"/>
        <v>0</v>
      </c>
      <c r="BT87" s="935"/>
      <c r="BU87" s="935"/>
      <c r="BV87" s="935"/>
      <c r="BW87" s="935"/>
      <c r="BX87" s="935"/>
      <c r="BY87" s="935"/>
      <c r="BZ87" s="935"/>
      <c r="CA87" s="935"/>
      <c r="CB87" s="935"/>
      <c r="CC87" s="935"/>
      <c r="CD87" s="935"/>
      <c r="CE87" s="935"/>
      <c r="CF87" s="935"/>
      <c r="CG87" s="935"/>
      <c r="CH87" s="935"/>
      <c r="CI87" s="935"/>
      <c r="CJ87" s="935"/>
      <c r="CK87" s="935"/>
      <c r="CL87" s="935"/>
      <c r="CM87" s="935"/>
      <c r="CN87" s="935"/>
      <c r="CO87" s="935"/>
      <c r="CP87" s="935"/>
      <c r="CQ87" s="935"/>
      <c r="CR87" s="935"/>
      <c r="CS87" s="935"/>
      <c r="CT87" s="935"/>
      <c r="CU87" s="935"/>
      <c r="CV87" s="935"/>
    </row>
    <row r="88" spans="1:100" s="375" customFormat="1" ht="14.9" customHeight="1">
      <c r="A88" s="375">
        <f t="shared" si="29"/>
        <v>8</v>
      </c>
      <c r="B88" s="455">
        <v>44417</v>
      </c>
      <c r="C88" s="445" t="s">
        <v>2001</v>
      </c>
      <c r="D88" s="376" t="str">
        <f>IFERROR(VLOOKUP(E:E,'Item Data Support Sheet'!A:O,7,0),"")</f>
        <v>NIPPLE MOLDED</v>
      </c>
      <c r="E88" s="446" t="s">
        <v>72</v>
      </c>
      <c r="F88" s="447" t="s">
        <v>1678</v>
      </c>
      <c r="G88" s="376" t="s">
        <v>1691</v>
      </c>
      <c r="H88" s="602" t="str">
        <f>IFERROR(VLOOKUP(E:E,'Item Data Support Sheet'!A:O,2,0),"")</f>
        <v>NIPPLE S TYPE S SIZE INJECTION</v>
      </c>
      <c r="I88" s="447" t="s">
        <v>2309</v>
      </c>
      <c r="J88" s="447" t="s">
        <v>2810</v>
      </c>
      <c r="K88" s="438">
        <v>8</v>
      </c>
      <c r="L88" s="439">
        <v>4815</v>
      </c>
      <c r="M88" s="366">
        <f t="shared" si="45"/>
        <v>601.875</v>
      </c>
      <c r="N88" s="367">
        <f t="shared" si="28"/>
        <v>3770</v>
      </c>
      <c r="O88" s="61">
        <v>3700</v>
      </c>
      <c r="P88" s="368">
        <v>0</v>
      </c>
      <c r="Q88" s="369">
        <v>30</v>
      </c>
      <c r="R88" s="370">
        <v>0</v>
      </c>
      <c r="S88" s="370">
        <v>0</v>
      </c>
      <c r="T88" s="370">
        <v>40</v>
      </c>
      <c r="U88" s="370">
        <v>0</v>
      </c>
      <c r="V88" s="450">
        <v>1</v>
      </c>
      <c r="W88" s="453">
        <f t="shared" si="30"/>
        <v>3700</v>
      </c>
      <c r="X88" s="748">
        <f t="shared" si="31"/>
        <v>0.76843198338525442</v>
      </c>
      <c r="Y88" s="451" t="str">
        <f>IFERROR(VLOOKUP(E:E,'Item Data Support Sheet'!A:J,6,0),0)</f>
        <v>Silicon</v>
      </c>
      <c r="Z88" s="428">
        <f>IFERROR(VLOOKUP(E:E,'Item Data Support Sheet'!A:O,4,0),0)</f>
        <v>6.8</v>
      </c>
      <c r="AA88" s="428">
        <f t="shared" si="32"/>
        <v>25.635999999999999</v>
      </c>
      <c r="AB88" s="429">
        <f t="shared" si="33"/>
        <v>0.98143236074270557</v>
      </c>
      <c r="AC88" s="424">
        <f t="shared" si="34"/>
        <v>1.06951871657754E-2</v>
      </c>
      <c r="AD88" s="371">
        <f t="shared" si="35"/>
        <v>7.8947368421052634E-3</v>
      </c>
      <c r="AE88" s="748">
        <f t="shared" si="36"/>
        <v>0.98938992042440321</v>
      </c>
      <c r="AF88" s="417">
        <f t="shared" si="37"/>
        <v>1.5</v>
      </c>
      <c r="AG88" s="416">
        <f t="shared" si="38"/>
        <v>6.5</v>
      </c>
      <c r="AH88" s="372">
        <f t="shared" si="39"/>
        <v>0.8125</v>
      </c>
      <c r="AI88" s="373">
        <f t="shared" si="40"/>
        <v>462.5</v>
      </c>
      <c r="AJ88" s="418">
        <f>VLOOKUP(D88,'Standard Cycle time'!C:D,2,0)</f>
        <v>5.25</v>
      </c>
      <c r="AK88" s="418">
        <f t="shared" si="41"/>
        <v>6.3243243243243246</v>
      </c>
      <c r="AL88" s="374">
        <f t="shared" si="42"/>
        <v>0.83012820512820507</v>
      </c>
      <c r="AM88" s="372">
        <f t="shared" si="43"/>
        <v>0.66732288903625114</v>
      </c>
      <c r="AN88" s="799">
        <v>2304</v>
      </c>
      <c r="AO88" s="929"/>
      <c r="AP88" s="440">
        <v>0</v>
      </c>
      <c r="AQ88" s="440">
        <v>0</v>
      </c>
      <c r="AR88" s="440">
        <v>0</v>
      </c>
      <c r="AS88" s="440">
        <v>0</v>
      </c>
      <c r="AT88" s="440">
        <v>0</v>
      </c>
      <c r="AU88" s="440">
        <v>60</v>
      </c>
      <c r="AV88" s="440">
        <v>30</v>
      </c>
      <c r="AW88" s="440">
        <v>0</v>
      </c>
      <c r="AX88" s="440">
        <v>0</v>
      </c>
      <c r="AY88" s="440">
        <v>0</v>
      </c>
      <c r="AZ88" s="440">
        <v>0</v>
      </c>
      <c r="BA88" s="440">
        <v>0</v>
      </c>
      <c r="BB88" s="440">
        <v>0</v>
      </c>
      <c r="BC88" s="440">
        <v>0</v>
      </c>
      <c r="BD88" s="440">
        <v>0</v>
      </c>
      <c r="BE88" s="440">
        <v>0</v>
      </c>
      <c r="BF88" s="440">
        <v>0</v>
      </c>
      <c r="BG88" s="440">
        <v>0</v>
      </c>
      <c r="BH88" s="440">
        <v>0</v>
      </c>
      <c r="BI88" s="440">
        <v>0</v>
      </c>
      <c r="BJ88" s="440">
        <v>0</v>
      </c>
      <c r="BK88" s="440">
        <v>0</v>
      </c>
      <c r="BL88" s="440">
        <v>0</v>
      </c>
      <c r="BM88" s="440">
        <v>0</v>
      </c>
      <c r="BN88" s="440">
        <v>0</v>
      </c>
      <c r="BO88" s="440">
        <v>0</v>
      </c>
      <c r="BP88" s="440">
        <v>0</v>
      </c>
      <c r="BQ88" s="440">
        <v>0</v>
      </c>
      <c r="BR88" s="415">
        <f t="shared" si="44"/>
        <v>1.5</v>
      </c>
      <c r="BS88" s="415">
        <f t="shared" si="46"/>
        <v>1.5249999999999999</v>
      </c>
      <c r="BT88" s="935"/>
      <c r="BU88" s="935"/>
      <c r="BV88" s="935"/>
      <c r="BW88" s="935"/>
      <c r="BX88" s="935"/>
      <c r="BY88" s="935"/>
      <c r="BZ88" s="935"/>
      <c r="CA88" s="935"/>
      <c r="CB88" s="935"/>
      <c r="CC88" s="935"/>
      <c r="CD88" s="935"/>
      <c r="CE88" s="935"/>
      <c r="CF88" s="935"/>
      <c r="CG88" s="935"/>
      <c r="CH88" s="935"/>
      <c r="CI88" s="935"/>
      <c r="CJ88" s="935"/>
      <c r="CK88" s="935"/>
      <c r="CL88" s="935"/>
      <c r="CM88" s="935"/>
      <c r="CN88" s="935"/>
      <c r="CO88" s="935"/>
      <c r="CP88" s="935"/>
      <c r="CQ88" s="935"/>
      <c r="CR88" s="935"/>
      <c r="CS88" s="935"/>
      <c r="CT88" s="935"/>
      <c r="CU88" s="935"/>
      <c r="CV88" s="935"/>
    </row>
    <row r="89" spans="1:100" s="375" customFormat="1" ht="14.9" customHeight="1">
      <c r="A89" s="375">
        <f t="shared" si="29"/>
        <v>8</v>
      </c>
      <c r="B89" s="455">
        <v>44417</v>
      </c>
      <c r="C89" s="445" t="s">
        <v>2001</v>
      </c>
      <c r="D89" s="376" t="str">
        <f>IFERROR(VLOOKUP(E:E,'Item Data Support Sheet'!A:O,7,0),"")</f>
        <v>CAP MOLDED</v>
      </c>
      <c r="E89" s="446" t="s">
        <v>2107</v>
      </c>
      <c r="F89" s="447"/>
      <c r="G89" s="376" t="s">
        <v>2220</v>
      </c>
      <c r="H89" s="602" t="str">
        <f>IFERROR(VLOOKUP(E:E,'Item Data Support Sheet'!A:O,2,0),"")</f>
        <v>CAP S TYPE MOLDED PINK</v>
      </c>
      <c r="I89" s="447" t="s">
        <v>2311</v>
      </c>
      <c r="J89" s="447" t="s">
        <v>2810</v>
      </c>
      <c r="K89" s="438">
        <v>8</v>
      </c>
      <c r="L89" s="439">
        <v>4137</v>
      </c>
      <c r="M89" s="366">
        <f t="shared" si="45"/>
        <v>517.125</v>
      </c>
      <c r="N89" s="367">
        <f t="shared" si="28"/>
        <v>3752</v>
      </c>
      <c r="O89" s="61">
        <v>3750</v>
      </c>
      <c r="P89" s="368">
        <v>0</v>
      </c>
      <c r="Q89" s="369">
        <v>0</v>
      </c>
      <c r="R89" s="370">
        <v>0</v>
      </c>
      <c r="S89" s="370">
        <v>0</v>
      </c>
      <c r="T89" s="370">
        <v>2</v>
      </c>
      <c r="U89" s="370">
        <v>0</v>
      </c>
      <c r="V89" s="450">
        <v>1</v>
      </c>
      <c r="W89" s="453">
        <f t="shared" si="30"/>
        <v>3750</v>
      </c>
      <c r="X89" s="748">
        <f t="shared" si="31"/>
        <v>0.9064539521392313</v>
      </c>
      <c r="Y89" s="451" t="str">
        <f>IFERROR(VLOOKUP(E:E,'Item Data Support Sheet'!A:J,6,0),0)</f>
        <v>RM000123</v>
      </c>
      <c r="Z89" s="428">
        <f>IFERROR(VLOOKUP(E:E,'Item Data Support Sheet'!A:O,4,0),0)</f>
        <v>7.3</v>
      </c>
      <c r="AA89" s="428">
        <f t="shared" si="32"/>
        <v>27.389600000000002</v>
      </c>
      <c r="AB89" s="429">
        <f t="shared" si="33"/>
        <v>0.99946695095948823</v>
      </c>
      <c r="AC89" s="424">
        <f t="shared" si="34"/>
        <v>5.3304904051172707E-4</v>
      </c>
      <c r="AD89" s="371">
        <f t="shared" si="35"/>
        <v>0</v>
      </c>
      <c r="AE89" s="748">
        <f t="shared" si="36"/>
        <v>0.99946695095948823</v>
      </c>
      <c r="AF89" s="417">
        <f t="shared" si="37"/>
        <v>0</v>
      </c>
      <c r="AG89" s="416">
        <f t="shared" si="38"/>
        <v>8</v>
      </c>
      <c r="AH89" s="372">
        <f t="shared" si="39"/>
        <v>1</v>
      </c>
      <c r="AI89" s="373">
        <f t="shared" si="40"/>
        <v>468.75</v>
      </c>
      <c r="AJ89" s="418">
        <f>VLOOKUP(D89,'Standard Cycle time'!C:D,2,0)</f>
        <v>6</v>
      </c>
      <c r="AK89" s="418">
        <f t="shared" si="41"/>
        <v>7.68</v>
      </c>
      <c r="AL89" s="374">
        <f t="shared" si="42"/>
        <v>0.78125</v>
      </c>
      <c r="AM89" s="372">
        <f t="shared" si="43"/>
        <v>0.7808335554371002</v>
      </c>
      <c r="AN89" s="799">
        <v>2689</v>
      </c>
      <c r="AO89" s="761"/>
      <c r="AP89" s="440">
        <v>0</v>
      </c>
      <c r="AQ89" s="440">
        <v>0</v>
      </c>
      <c r="AR89" s="440">
        <v>0</v>
      </c>
      <c r="AS89" s="440">
        <v>0</v>
      </c>
      <c r="AT89" s="440">
        <v>0</v>
      </c>
      <c r="AU89" s="440">
        <v>0</v>
      </c>
      <c r="AV89" s="440">
        <v>0</v>
      </c>
      <c r="AW89" s="440">
        <v>0</v>
      </c>
      <c r="AX89" s="440">
        <v>0</v>
      </c>
      <c r="AY89" s="440">
        <v>0</v>
      </c>
      <c r="AZ89" s="440">
        <v>0</v>
      </c>
      <c r="BA89" s="440">
        <v>0</v>
      </c>
      <c r="BB89" s="440">
        <v>0</v>
      </c>
      <c r="BC89" s="440">
        <v>0</v>
      </c>
      <c r="BD89" s="440">
        <v>0</v>
      </c>
      <c r="BE89" s="440">
        <v>0</v>
      </c>
      <c r="BF89" s="440">
        <v>0</v>
      </c>
      <c r="BG89" s="440">
        <v>0</v>
      </c>
      <c r="BH89" s="440">
        <v>0</v>
      </c>
      <c r="BI89" s="440">
        <v>0</v>
      </c>
      <c r="BJ89" s="440">
        <v>0</v>
      </c>
      <c r="BK89" s="440">
        <v>0</v>
      </c>
      <c r="BL89" s="440">
        <v>0</v>
      </c>
      <c r="BM89" s="440">
        <v>0</v>
      </c>
      <c r="BN89" s="440">
        <v>0</v>
      </c>
      <c r="BO89" s="440">
        <v>0</v>
      </c>
      <c r="BP89" s="440">
        <v>0</v>
      </c>
      <c r="BQ89" s="440">
        <v>0</v>
      </c>
      <c r="BR89" s="415">
        <f t="shared" si="44"/>
        <v>0</v>
      </c>
      <c r="BS89" s="415">
        <f t="shared" si="46"/>
        <v>0</v>
      </c>
      <c r="BT89" s="935"/>
      <c r="BU89" s="935"/>
      <c r="BV89" s="935"/>
      <c r="BW89" s="935"/>
      <c r="BX89" s="935"/>
      <c r="BY89" s="935"/>
      <c r="BZ89" s="935"/>
      <c r="CA89" s="935"/>
      <c r="CB89" s="935"/>
      <c r="CC89" s="935"/>
      <c r="CD89" s="935"/>
      <c r="CE89" s="935"/>
      <c r="CF89" s="935"/>
      <c r="CG89" s="935"/>
      <c r="CH89" s="935"/>
      <c r="CI89" s="935"/>
      <c r="CJ89" s="935"/>
      <c r="CK89" s="935"/>
      <c r="CL89" s="935"/>
      <c r="CM89" s="935"/>
      <c r="CN89" s="935"/>
      <c r="CO89" s="935"/>
      <c r="CP89" s="935"/>
      <c r="CQ89" s="935"/>
      <c r="CR89" s="935"/>
      <c r="CS89" s="935"/>
      <c r="CT89" s="935"/>
      <c r="CU89" s="935"/>
      <c r="CV89" s="935"/>
    </row>
    <row r="90" spans="1:100" s="375" customFormat="1" ht="14.9" customHeight="1">
      <c r="A90" s="375">
        <f t="shared" si="29"/>
        <v>8</v>
      </c>
      <c r="B90" s="455">
        <v>44417</v>
      </c>
      <c r="C90" s="445" t="s">
        <v>2001</v>
      </c>
      <c r="D90" s="376" t="str">
        <f>IFERROR(VLOOKUP(E:E,'Item Data Support Sheet'!A:O,7,0),"")</f>
        <v>NIPPLE POSTCURE</v>
      </c>
      <c r="E90" s="446" t="s">
        <v>76</v>
      </c>
      <c r="F90" s="447"/>
      <c r="G90" s="376" t="s">
        <v>1705</v>
      </c>
      <c r="H90" s="602" t="str">
        <f>IFERROR(VLOOKUP(E:E,'Item Data Support Sheet'!A:O,2,0),"")</f>
        <v>NIPPLE S TYPE S SIZE POSTCURED</v>
      </c>
      <c r="I90" s="447" t="s">
        <v>2312</v>
      </c>
      <c r="J90" s="447" t="s">
        <v>2810</v>
      </c>
      <c r="K90" s="438">
        <v>8</v>
      </c>
      <c r="L90" s="439">
        <v>9000</v>
      </c>
      <c r="M90" s="366">
        <f t="shared" si="45"/>
        <v>1125</v>
      </c>
      <c r="N90" s="367">
        <f t="shared" si="28"/>
        <v>9600</v>
      </c>
      <c r="O90" s="61">
        <f>4000+4000+1600</f>
        <v>9600</v>
      </c>
      <c r="P90" s="368">
        <v>0</v>
      </c>
      <c r="Q90" s="369">
        <v>0</v>
      </c>
      <c r="R90" s="370">
        <v>0</v>
      </c>
      <c r="S90" s="370">
        <v>0</v>
      </c>
      <c r="T90" s="370">
        <v>0</v>
      </c>
      <c r="U90" s="370">
        <v>0</v>
      </c>
      <c r="V90" s="450">
        <v>1</v>
      </c>
      <c r="W90" s="453">
        <f t="shared" si="30"/>
        <v>9600</v>
      </c>
      <c r="X90" s="748">
        <f t="shared" si="31"/>
        <v>1.0666666666666667</v>
      </c>
      <c r="Y90" s="451" t="str">
        <f>IFERROR(VLOOKUP(E:E,'Item Data Support Sheet'!A:J,6,0),0)</f>
        <v>FO011</v>
      </c>
      <c r="Z90" s="428">
        <f>IFERROR(VLOOKUP(E:E,'Item Data Support Sheet'!A:O,4,0),0)</f>
        <v>0</v>
      </c>
      <c r="AA90" s="428">
        <f t="shared" si="32"/>
        <v>0</v>
      </c>
      <c r="AB90" s="429" t="str">
        <f t="shared" si="33"/>
        <v xml:space="preserve"> </v>
      </c>
      <c r="AC90" s="424">
        <f t="shared" si="34"/>
        <v>0</v>
      </c>
      <c r="AD90" s="371">
        <f t="shared" si="35"/>
        <v>0</v>
      </c>
      <c r="AE90" s="748">
        <f t="shared" si="36"/>
        <v>1</v>
      </c>
      <c r="AF90" s="417">
        <f t="shared" si="37"/>
        <v>0.66666666666666663</v>
      </c>
      <c r="AG90" s="416">
        <f t="shared" si="38"/>
        <v>7.333333333333333</v>
      </c>
      <c r="AH90" s="372">
        <f t="shared" si="39"/>
        <v>0.91666666666666663</v>
      </c>
      <c r="AI90" s="373">
        <f t="shared" si="40"/>
        <v>1200</v>
      </c>
      <c r="AJ90" s="418">
        <f>VLOOKUP(D90,'Standard Cycle time'!C:D,2,0)</f>
        <v>2.2999999999999998</v>
      </c>
      <c r="AK90" s="418">
        <f t="shared" si="41"/>
        <v>2.75</v>
      </c>
      <c r="AL90" s="374">
        <f t="shared" si="42"/>
        <v>0.83636363636363631</v>
      </c>
      <c r="AM90" s="372">
        <f t="shared" si="43"/>
        <v>0.76666666666666661</v>
      </c>
      <c r="AN90" s="799" t="s">
        <v>2314</v>
      </c>
      <c r="AO90" s="761"/>
      <c r="AP90" s="440">
        <v>40</v>
      </c>
      <c r="AQ90" s="440">
        <v>0</v>
      </c>
      <c r="AR90" s="440">
        <v>0</v>
      </c>
      <c r="AS90" s="440">
        <v>0</v>
      </c>
      <c r="AT90" s="440">
        <v>0</v>
      </c>
      <c r="AU90" s="440">
        <v>0</v>
      </c>
      <c r="AV90" s="440">
        <v>0</v>
      </c>
      <c r="AW90" s="440">
        <v>0</v>
      </c>
      <c r="AX90" s="440">
        <v>0</v>
      </c>
      <c r="AY90" s="440">
        <v>0</v>
      </c>
      <c r="AZ90" s="440">
        <v>0</v>
      </c>
      <c r="BA90" s="440">
        <v>0</v>
      </c>
      <c r="BB90" s="440">
        <v>0</v>
      </c>
      <c r="BC90" s="440">
        <v>0</v>
      </c>
      <c r="BD90" s="440">
        <v>0</v>
      </c>
      <c r="BE90" s="440">
        <v>0</v>
      </c>
      <c r="BF90" s="440">
        <v>0</v>
      </c>
      <c r="BG90" s="440">
        <v>0</v>
      </c>
      <c r="BH90" s="440">
        <v>0</v>
      </c>
      <c r="BI90" s="440">
        <v>0</v>
      </c>
      <c r="BJ90" s="440">
        <v>0</v>
      </c>
      <c r="BK90" s="440">
        <v>0</v>
      </c>
      <c r="BL90" s="440">
        <v>0</v>
      </c>
      <c r="BM90" s="440">
        <v>0</v>
      </c>
      <c r="BN90" s="440">
        <v>0</v>
      </c>
      <c r="BO90" s="440">
        <v>0</v>
      </c>
      <c r="BP90" s="440">
        <v>0</v>
      </c>
      <c r="BQ90" s="440">
        <v>0</v>
      </c>
      <c r="BR90" s="415">
        <f t="shared" si="44"/>
        <v>0.66666666666666663</v>
      </c>
      <c r="BS90" s="415">
        <f t="shared" si="46"/>
        <v>0.6777777777777777</v>
      </c>
      <c r="BT90" s="935"/>
      <c r="BU90" s="935"/>
      <c r="BV90" s="935"/>
      <c r="BW90" s="935"/>
      <c r="BX90" s="935"/>
      <c r="BY90" s="935"/>
      <c r="BZ90" s="935"/>
      <c r="CA90" s="935"/>
      <c r="CB90" s="935"/>
      <c r="CC90" s="935"/>
      <c r="CD90" s="935"/>
      <c r="CE90" s="935"/>
      <c r="CF90" s="935"/>
      <c r="CG90" s="935"/>
      <c r="CH90" s="935"/>
      <c r="CI90" s="935"/>
      <c r="CJ90" s="935"/>
      <c r="CK90" s="935"/>
      <c r="CL90" s="935"/>
      <c r="CM90" s="935"/>
      <c r="CN90" s="935"/>
      <c r="CO90" s="935"/>
      <c r="CP90" s="935"/>
      <c r="CQ90" s="935"/>
      <c r="CR90" s="935"/>
      <c r="CS90" s="935"/>
      <c r="CT90" s="935"/>
      <c r="CU90" s="935"/>
      <c r="CV90" s="935"/>
    </row>
    <row r="91" spans="1:100" s="375" customFormat="1" ht="14.9" customHeight="1">
      <c r="A91" s="375">
        <f t="shared" si="29"/>
        <v>8</v>
      </c>
      <c r="B91" s="455">
        <v>44417</v>
      </c>
      <c r="C91" s="445" t="s">
        <v>2053</v>
      </c>
      <c r="D91" s="376" t="str">
        <f>IFERROR(VLOOKUP(E:E,'Item Data Support Sheet'!A:O,7,0),"")</f>
        <v>BOTTLE MOLDED</v>
      </c>
      <c r="E91" s="446" t="s">
        <v>66</v>
      </c>
      <c r="F91" s="508" t="s">
        <v>1680</v>
      </c>
      <c r="G91" s="376" t="s">
        <v>1888</v>
      </c>
      <c r="H91" s="602" t="str">
        <f>IFERROR(VLOOKUP(E:E,'Item Data Support Sheet'!A:O,2,0),"")</f>
        <v>KPP 200 ML BOTTLE MOLDED</v>
      </c>
      <c r="I91" s="447" t="s">
        <v>2318</v>
      </c>
      <c r="J91" s="447" t="s">
        <v>2808</v>
      </c>
      <c r="K91" s="438">
        <v>8</v>
      </c>
      <c r="L91" s="439">
        <v>2574</v>
      </c>
      <c r="M91" s="366">
        <f t="shared" si="45"/>
        <v>321.75</v>
      </c>
      <c r="N91" s="367">
        <f t="shared" si="28"/>
        <v>3498</v>
      </c>
      <c r="O91" s="61">
        <f>2808+548</f>
        <v>3356</v>
      </c>
      <c r="P91" s="368">
        <v>0</v>
      </c>
      <c r="Q91" s="369">
        <v>26</v>
      </c>
      <c r="R91" s="370">
        <v>0</v>
      </c>
      <c r="S91" s="370">
        <v>0</v>
      </c>
      <c r="T91" s="370">
        <f>60+48</f>
        <v>108</v>
      </c>
      <c r="U91" s="370">
        <v>8</v>
      </c>
      <c r="V91" s="450">
        <v>1</v>
      </c>
      <c r="W91" s="453">
        <f t="shared" si="30"/>
        <v>3356</v>
      </c>
      <c r="X91" s="748">
        <f t="shared" si="31"/>
        <v>1.3038073038073037</v>
      </c>
      <c r="Y91" s="451" t="str">
        <f>IFERROR(VLOOKUP(E:E,'Item Data Support Sheet'!A:J,6,0),0)</f>
        <v>HMC</v>
      </c>
      <c r="Z91" s="428">
        <f>IFERROR(VLOOKUP(E:E,'Item Data Support Sheet'!A:O,4,0),0)</f>
        <v>28.1</v>
      </c>
      <c r="AA91" s="428">
        <f t="shared" si="32"/>
        <v>98.293800000000005</v>
      </c>
      <c r="AB91" s="429">
        <f t="shared" si="33"/>
        <v>0.95940537449971408</v>
      </c>
      <c r="AC91" s="424">
        <f t="shared" si="34"/>
        <v>3.117782909930716E-2</v>
      </c>
      <c r="AD91" s="371">
        <f t="shared" si="35"/>
        <v>7.3779795686719635E-3</v>
      </c>
      <c r="AE91" s="748">
        <f t="shared" si="36"/>
        <v>0.96912521440823329</v>
      </c>
      <c r="AF91" s="417">
        <f t="shared" si="37"/>
        <v>0.5</v>
      </c>
      <c r="AG91" s="416">
        <f t="shared" si="38"/>
        <v>7.5</v>
      </c>
      <c r="AH91" s="372">
        <f t="shared" si="39"/>
        <v>0.9375</v>
      </c>
      <c r="AI91" s="373">
        <f t="shared" si="40"/>
        <v>419.5</v>
      </c>
      <c r="AJ91" s="418">
        <f>VLOOKUP(D91,'Standard Cycle time'!C:D,2,0)</f>
        <v>9</v>
      </c>
      <c r="AK91" s="418">
        <f t="shared" si="41"/>
        <v>8.045292014302742</v>
      </c>
      <c r="AL91" s="374">
        <f t="shared" si="42"/>
        <v>1.1186666666666665</v>
      </c>
      <c r="AM91" s="372">
        <f t="shared" si="43"/>
        <v>1.0163700686106345</v>
      </c>
      <c r="AN91" s="836" t="s">
        <v>2321</v>
      </c>
      <c r="AO91" s="761" t="s">
        <v>2320</v>
      </c>
      <c r="AP91" s="440">
        <v>0</v>
      </c>
      <c r="AQ91" s="440">
        <v>0</v>
      </c>
      <c r="AR91" s="440">
        <v>0</v>
      </c>
      <c r="AS91" s="440">
        <v>0</v>
      </c>
      <c r="AT91" s="440">
        <v>0</v>
      </c>
      <c r="AU91" s="440">
        <v>0</v>
      </c>
      <c r="AV91" s="440">
        <v>0</v>
      </c>
      <c r="AW91" s="440">
        <v>0</v>
      </c>
      <c r="AX91" s="440">
        <v>0</v>
      </c>
      <c r="AY91" s="440">
        <v>0</v>
      </c>
      <c r="AZ91" s="440">
        <v>30</v>
      </c>
      <c r="BA91" s="440">
        <v>0</v>
      </c>
      <c r="BB91" s="440">
        <v>0</v>
      </c>
      <c r="BC91" s="440">
        <v>0</v>
      </c>
      <c r="BD91" s="440">
        <v>0</v>
      </c>
      <c r="BE91" s="440">
        <v>0</v>
      </c>
      <c r="BF91" s="440">
        <v>0</v>
      </c>
      <c r="BG91" s="440">
        <v>0</v>
      </c>
      <c r="BH91" s="440">
        <v>0</v>
      </c>
      <c r="BI91" s="440">
        <v>0</v>
      </c>
      <c r="BJ91" s="440">
        <v>0</v>
      </c>
      <c r="BK91" s="440">
        <v>0</v>
      </c>
      <c r="BL91" s="440">
        <v>0</v>
      </c>
      <c r="BM91" s="440">
        <v>0</v>
      </c>
      <c r="BN91" s="440">
        <v>0</v>
      </c>
      <c r="BO91" s="440">
        <v>0</v>
      </c>
      <c r="BP91" s="440">
        <v>0</v>
      </c>
      <c r="BQ91" s="440">
        <v>0</v>
      </c>
      <c r="BR91" s="415">
        <f t="shared" si="44"/>
        <v>0.5</v>
      </c>
      <c r="BS91" s="415">
        <f t="shared" si="46"/>
        <v>0.5083333333333333</v>
      </c>
      <c r="BT91" s="935"/>
      <c r="BU91" s="935"/>
      <c r="BV91" s="935"/>
      <c r="BW91" s="935"/>
      <c r="BX91" s="935"/>
      <c r="BY91" s="935"/>
      <c r="BZ91" s="935"/>
      <c r="CA91" s="935"/>
      <c r="CB91" s="935"/>
      <c r="CC91" s="935"/>
      <c r="CD91" s="935"/>
      <c r="CE91" s="935"/>
      <c r="CF91" s="935"/>
      <c r="CG91" s="935"/>
      <c r="CH91" s="935"/>
      <c r="CI91" s="935"/>
      <c r="CJ91" s="935"/>
      <c r="CK91" s="935"/>
      <c r="CL91" s="935"/>
      <c r="CM91" s="935"/>
      <c r="CN91" s="935"/>
      <c r="CO91" s="935"/>
      <c r="CP91" s="935"/>
      <c r="CQ91" s="935"/>
      <c r="CR91" s="935"/>
      <c r="CS91" s="935"/>
      <c r="CT91" s="935"/>
      <c r="CU91" s="935"/>
      <c r="CV91" s="935"/>
    </row>
    <row r="92" spans="1:100" s="375" customFormat="1" ht="14.9" customHeight="1">
      <c r="A92" s="375">
        <f t="shared" si="29"/>
        <v>8</v>
      </c>
      <c r="B92" s="455">
        <v>44417</v>
      </c>
      <c r="C92" s="445" t="s">
        <v>2053</v>
      </c>
      <c r="D92" s="376" t="str">
        <f>IFERROR(VLOOKUP(E:E,'Item Data Support Sheet'!A:O,7,0),"")</f>
        <v>NIPPLE MOLDED</v>
      </c>
      <c r="E92" s="446" t="s">
        <v>72</v>
      </c>
      <c r="F92" s="447" t="s">
        <v>1678</v>
      </c>
      <c r="G92" s="376" t="s">
        <v>1691</v>
      </c>
      <c r="H92" s="602" t="str">
        <f>IFERROR(VLOOKUP(E:E,'Item Data Support Sheet'!A:O,2,0),"")</f>
        <v>NIPPLE S TYPE S SIZE INJECTION</v>
      </c>
      <c r="I92" s="447" t="s">
        <v>2317</v>
      </c>
      <c r="J92" s="447" t="s">
        <v>2808</v>
      </c>
      <c r="K92" s="438">
        <v>8</v>
      </c>
      <c r="L92" s="439">
        <v>4815</v>
      </c>
      <c r="M92" s="366">
        <f t="shared" si="45"/>
        <v>601.875</v>
      </c>
      <c r="N92" s="367">
        <f t="shared" si="28"/>
        <v>5086</v>
      </c>
      <c r="O92" s="61">
        <v>5000</v>
      </c>
      <c r="P92" s="368">
        <v>0</v>
      </c>
      <c r="Q92" s="369">
        <v>34</v>
      </c>
      <c r="R92" s="370">
        <v>0</v>
      </c>
      <c r="S92" s="370">
        <v>0</v>
      </c>
      <c r="T92" s="370">
        <v>52</v>
      </c>
      <c r="U92" s="370">
        <v>0</v>
      </c>
      <c r="V92" s="450">
        <v>1</v>
      </c>
      <c r="W92" s="453">
        <f t="shared" si="30"/>
        <v>5000</v>
      </c>
      <c r="X92" s="748">
        <f t="shared" si="31"/>
        <v>1.0384215991692627</v>
      </c>
      <c r="Y92" s="451" t="str">
        <f>IFERROR(VLOOKUP(E:E,'Item Data Support Sheet'!A:J,6,0),0)</f>
        <v>Silicon</v>
      </c>
      <c r="Z92" s="428">
        <f>IFERROR(VLOOKUP(E:E,'Item Data Support Sheet'!A:O,4,0),0)</f>
        <v>6.8</v>
      </c>
      <c r="AA92" s="428">
        <f t="shared" si="32"/>
        <v>34.584800000000001</v>
      </c>
      <c r="AB92" s="429">
        <f t="shared" si="33"/>
        <v>0.98309083759339355</v>
      </c>
      <c r="AC92" s="424">
        <f t="shared" si="34"/>
        <v>1.0292953285827395E-2</v>
      </c>
      <c r="AD92" s="371">
        <f t="shared" si="35"/>
        <v>6.6406249999999998E-3</v>
      </c>
      <c r="AE92" s="748">
        <f t="shared" si="36"/>
        <v>0.98977585528902867</v>
      </c>
      <c r="AF92" s="417">
        <f t="shared" si="37"/>
        <v>0.5</v>
      </c>
      <c r="AG92" s="416">
        <f t="shared" si="38"/>
        <v>7.5</v>
      </c>
      <c r="AH92" s="372">
        <f t="shared" si="39"/>
        <v>0.9375</v>
      </c>
      <c r="AI92" s="373">
        <f t="shared" si="40"/>
        <v>625</v>
      </c>
      <c r="AJ92" s="418">
        <f>VLOOKUP(D92,'Standard Cycle time'!C:D,2,0)</f>
        <v>5.25</v>
      </c>
      <c r="AK92" s="418">
        <f t="shared" si="41"/>
        <v>5.4</v>
      </c>
      <c r="AL92" s="374">
        <f t="shared" si="42"/>
        <v>0.97222222222222221</v>
      </c>
      <c r="AM92" s="372">
        <f t="shared" si="43"/>
        <v>0.90213945143531249</v>
      </c>
      <c r="AN92" s="799">
        <v>2311</v>
      </c>
      <c r="AO92" s="761"/>
      <c r="AP92" s="440">
        <v>0</v>
      </c>
      <c r="AQ92" s="440">
        <v>0</v>
      </c>
      <c r="AR92" s="440">
        <v>0</v>
      </c>
      <c r="AS92" s="440">
        <v>0</v>
      </c>
      <c r="AT92" s="440">
        <v>0</v>
      </c>
      <c r="AU92" s="440">
        <v>30</v>
      </c>
      <c r="AV92" s="440">
        <v>0</v>
      </c>
      <c r="AW92" s="440">
        <v>0</v>
      </c>
      <c r="AX92" s="440">
        <v>0</v>
      </c>
      <c r="AY92" s="440">
        <v>0</v>
      </c>
      <c r="AZ92" s="440">
        <v>0</v>
      </c>
      <c r="BA92" s="440">
        <v>0</v>
      </c>
      <c r="BB92" s="440">
        <v>0</v>
      </c>
      <c r="BC92" s="440">
        <v>0</v>
      </c>
      <c r="BD92" s="440">
        <v>0</v>
      </c>
      <c r="BE92" s="440">
        <v>0</v>
      </c>
      <c r="BF92" s="440">
        <v>0</v>
      </c>
      <c r="BG92" s="440">
        <v>0</v>
      </c>
      <c r="BH92" s="440">
        <v>0</v>
      </c>
      <c r="BI92" s="440">
        <v>0</v>
      </c>
      <c r="BJ92" s="440">
        <v>0</v>
      </c>
      <c r="BK92" s="440">
        <v>0</v>
      </c>
      <c r="BL92" s="440">
        <v>0</v>
      </c>
      <c r="BM92" s="440">
        <v>0</v>
      </c>
      <c r="BN92" s="440">
        <v>0</v>
      </c>
      <c r="BO92" s="440">
        <v>0</v>
      </c>
      <c r="BP92" s="440">
        <v>0</v>
      </c>
      <c r="BQ92" s="440">
        <v>0</v>
      </c>
      <c r="BR92" s="415">
        <f t="shared" si="44"/>
        <v>0.5</v>
      </c>
      <c r="BS92" s="415">
        <f t="shared" si="46"/>
        <v>0.5083333333333333</v>
      </c>
      <c r="BT92" s="935"/>
      <c r="BU92" s="935"/>
      <c r="BV92" s="935"/>
      <c r="BW92" s="935"/>
      <c r="BX92" s="935"/>
      <c r="BY92" s="935"/>
      <c r="BZ92" s="935"/>
      <c r="CA92" s="935"/>
      <c r="CB92" s="935"/>
      <c r="CC92" s="935"/>
      <c r="CD92" s="935"/>
      <c r="CE92" s="935"/>
      <c r="CF92" s="935"/>
      <c r="CG92" s="935"/>
      <c r="CH92" s="935"/>
      <c r="CI92" s="935"/>
      <c r="CJ92" s="935"/>
      <c r="CK92" s="935"/>
      <c r="CL92" s="935"/>
      <c r="CM92" s="935"/>
      <c r="CN92" s="935"/>
      <c r="CO92" s="935"/>
      <c r="CP92" s="935"/>
      <c r="CQ92" s="935"/>
      <c r="CR92" s="935"/>
      <c r="CS92" s="935"/>
      <c r="CT92" s="935"/>
      <c r="CU92" s="935"/>
      <c r="CV92" s="935"/>
    </row>
    <row r="93" spans="1:100" s="375" customFormat="1" ht="14.9" customHeight="1">
      <c r="A93" s="375">
        <f t="shared" si="29"/>
        <v>8</v>
      </c>
      <c r="B93" s="455">
        <v>44417</v>
      </c>
      <c r="C93" s="445" t="s">
        <v>2053</v>
      </c>
      <c r="D93" s="376" t="str">
        <f>IFERROR(VLOOKUP(E:E,'Item Data Support Sheet'!A:O,7,0),"")</f>
        <v>CAP MOLDED</v>
      </c>
      <c r="E93" s="446" t="s">
        <v>2107</v>
      </c>
      <c r="F93" s="447"/>
      <c r="G93" s="376" t="s">
        <v>2220</v>
      </c>
      <c r="H93" s="602" t="str">
        <f>IFERROR(VLOOKUP(E:E,'Item Data Support Sheet'!A:O,2,0),"")</f>
        <v>CAP S TYPE MOLDED PINK</v>
      </c>
      <c r="I93" s="447" t="s">
        <v>2328</v>
      </c>
      <c r="J93" s="447" t="s">
        <v>2808</v>
      </c>
      <c r="K93" s="438">
        <v>8</v>
      </c>
      <c r="L93" s="439">
        <v>4137</v>
      </c>
      <c r="M93" s="366">
        <f t="shared" si="45"/>
        <v>517.125</v>
      </c>
      <c r="N93" s="367">
        <f t="shared" si="28"/>
        <v>4320</v>
      </c>
      <c r="O93" s="61">
        <v>4300</v>
      </c>
      <c r="P93" s="368">
        <v>0</v>
      </c>
      <c r="Q93" s="369">
        <v>0</v>
      </c>
      <c r="R93" s="370">
        <v>0</v>
      </c>
      <c r="S93" s="370">
        <v>0</v>
      </c>
      <c r="T93" s="370">
        <v>4</v>
      </c>
      <c r="U93" s="370">
        <v>16</v>
      </c>
      <c r="V93" s="450">
        <v>1</v>
      </c>
      <c r="W93" s="453">
        <f t="shared" si="30"/>
        <v>4300</v>
      </c>
      <c r="X93" s="748">
        <f t="shared" si="31"/>
        <v>1.0394005317863186</v>
      </c>
      <c r="Y93" s="451" t="str">
        <f>IFERROR(VLOOKUP(E:E,'Item Data Support Sheet'!A:J,6,0),0)</f>
        <v>RM000123</v>
      </c>
      <c r="Z93" s="428">
        <f>IFERROR(VLOOKUP(E:E,'Item Data Support Sheet'!A:O,4,0),0)</f>
        <v>7.3</v>
      </c>
      <c r="AA93" s="428">
        <f t="shared" si="32"/>
        <v>31.536000000000001</v>
      </c>
      <c r="AB93" s="429">
        <f t="shared" si="33"/>
        <v>0.99537037037037035</v>
      </c>
      <c r="AC93" s="424">
        <f t="shared" si="34"/>
        <v>9.2936802973977691E-4</v>
      </c>
      <c r="AD93" s="371">
        <f t="shared" si="35"/>
        <v>0</v>
      </c>
      <c r="AE93" s="748">
        <f t="shared" si="36"/>
        <v>0.99907407407407411</v>
      </c>
      <c r="AF93" s="417">
        <f t="shared" si="37"/>
        <v>0</v>
      </c>
      <c r="AG93" s="416">
        <f t="shared" si="38"/>
        <v>8</v>
      </c>
      <c r="AH93" s="372">
        <f t="shared" si="39"/>
        <v>1</v>
      </c>
      <c r="AI93" s="373">
        <f t="shared" si="40"/>
        <v>537.5</v>
      </c>
      <c r="AJ93" s="418">
        <f>VLOOKUP(D93,'Standard Cycle time'!C:D,2,0)</f>
        <v>6</v>
      </c>
      <c r="AK93" s="418">
        <f t="shared" si="41"/>
        <v>6.6976744186046515</v>
      </c>
      <c r="AL93" s="374">
        <f t="shared" si="42"/>
        <v>0.89583333333333326</v>
      </c>
      <c r="AM93" s="372">
        <f t="shared" si="43"/>
        <v>0.89500385802469129</v>
      </c>
      <c r="AN93" s="799">
        <v>2689</v>
      </c>
      <c r="AO93" s="761"/>
      <c r="AP93" s="440">
        <v>0</v>
      </c>
      <c r="AQ93" s="440">
        <v>0</v>
      </c>
      <c r="AR93" s="440">
        <v>0</v>
      </c>
      <c r="AS93" s="440">
        <v>0</v>
      </c>
      <c r="AT93" s="440">
        <v>0</v>
      </c>
      <c r="AU93" s="440">
        <v>0</v>
      </c>
      <c r="AV93" s="440">
        <v>0</v>
      </c>
      <c r="AW93" s="440">
        <v>0</v>
      </c>
      <c r="AX93" s="440">
        <v>0</v>
      </c>
      <c r="AY93" s="440">
        <v>0</v>
      </c>
      <c r="AZ93" s="440">
        <v>0</v>
      </c>
      <c r="BA93" s="440">
        <v>0</v>
      </c>
      <c r="BB93" s="440">
        <v>0</v>
      </c>
      <c r="BC93" s="440">
        <v>0</v>
      </c>
      <c r="BD93" s="440">
        <v>0</v>
      </c>
      <c r="BE93" s="440">
        <v>0</v>
      </c>
      <c r="BF93" s="440">
        <v>0</v>
      </c>
      <c r="BG93" s="440">
        <v>0</v>
      </c>
      <c r="BH93" s="440">
        <v>0</v>
      </c>
      <c r="BI93" s="440">
        <v>0</v>
      </c>
      <c r="BJ93" s="440">
        <v>0</v>
      </c>
      <c r="BK93" s="440">
        <v>0</v>
      </c>
      <c r="BL93" s="440">
        <v>0</v>
      </c>
      <c r="BM93" s="440">
        <v>0</v>
      </c>
      <c r="BN93" s="440">
        <v>0</v>
      </c>
      <c r="BO93" s="440">
        <v>0</v>
      </c>
      <c r="BP93" s="440">
        <v>0</v>
      </c>
      <c r="BQ93" s="440">
        <v>0</v>
      </c>
      <c r="BR93" s="415">
        <f t="shared" si="44"/>
        <v>0</v>
      </c>
      <c r="BS93" s="415">
        <f t="shared" si="46"/>
        <v>0</v>
      </c>
      <c r="BT93" s="935"/>
      <c r="BU93" s="935"/>
      <c r="BV93" s="935"/>
      <c r="BW93" s="935"/>
      <c r="BX93" s="935"/>
      <c r="BY93" s="935"/>
      <c r="BZ93" s="935"/>
      <c r="CA93" s="935"/>
      <c r="CB93" s="935"/>
      <c r="CC93" s="935"/>
      <c r="CD93" s="935"/>
      <c r="CE93" s="935"/>
      <c r="CF93" s="935"/>
      <c r="CG93" s="935"/>
      <c r="CH93" s="935"/>
      <c r="CI93" s="935"/>
      <c r="CJ93" s="935"/>
      <c r="CK93" s="935"/>
      <c r="CL93" s="935"/>
      <c r="CM93" s="935"/>
      <c r="CN93" s="935"/>
      <c r="CO93" s="935"/>
      <c r="CP93" s="935"/>
      <c r="CQ93" s="935"/>
      <c r="CR93" s="935"/>
      <c r="CS93" s="935"/>
      <c r="CT93" s="935"/>
      <c r="CU93" s="935"/>
      <c r="CV93" s="935"/>
    </row>
    <row r="94" spans="1:100" s="375" customFormat="1" ht="14.9" customHeight="1">
      <c r="A94" s="375">
        <f t="shared" si="29"/>
        <v>8</v>
      </c>
      <c r="B94" s="455">
        <v>44417</v>
      </c>
      <c r="C94" s="445" t="s">
        <v>2053</v>
      </c>
      <c r="D94" s="376" t="str">
        <f>IFERROR(VLOOKUP(E:E,'Item Data Support Sheet'!A:O,7,0),"")</f>
        <v>NIPPLE POSTCURE</v>
      </c>
      <c r="E94" s="446" t="s">
        <v>76</v>
      </c>
      <c r="F94" s="447"/>
      <c r="G94" s="376" t="s">
        <v>1705</v>
      </c>
      <c r="H94" s="602" t="str">
        <f>IFERROR(VLOOKUP(E:E,'Item Data Support Sheet'!A:O,2,0),"")</f>
        <v>NIPPLE S TYPE S SIZE POSTCURED</v>
      </c>
      <c r="I94" s="447" t="s">
        <v>2315</v>
      </c>
      <c r="J94" s="447" t="s">
        <v>2808</v>
      </c>
      <c r="K94" s="438">
        <v>8</v>
      </c>
      <c r="L94" s="439">
        <v>7000</v>
      </c>
      <c r="M94" s="366">
        <f t="shared" si="45"/>
        <v>875</v>
      </c>
      <c r="N94" s="367">
        <f t="shared" si="28"/>
        <v>10200</v>
      </c>
      <c r="O94" s="61">
        <f>3500+3700+3000</f>
        <v>10200</v>
      </c>
      <c r="P94" s="368">
        <v>0</v>
      </c>
      <c r="Q94" s="369">
        <v>0</v>
      </c>
      <c r="R94" s="370">
        <v>0</v>
      </c>
      <c r="S94" s="370">
        <v>0</v>
      </c>
      <c r="T94" s="370">
        <v>0</v>
      </c>
      <c r="U94" s="370">
        <v>0</v>
      </c>
      <c r="V94" s="450">
        <v>1</v>
      </c>
      <c r="W94" s="453">
        <f t="shared" si="30"/>
        <v>10200</v>
      </c>
      <c r="X94" s="748">
        <f t="shared" si="31"/>
        <v>1.4571428571428571</v>
      </c>
      <c r="Y94" s="451" t="str">
        <f>IFERROR(VLOOKUP(E:E,'Item Data Support Sheet'!A:J,6,0),0)</f>
        <v>FO011</v>
      </c>
      <c r="Z94" s="428">
        <f>IFERROR(VLOOKUP(E:E,'Item Data Support Sheet'!A:O,4,0),0)</f>
        <v>0</v>
      </c>
      <c r="AA94" s="428">
        <f t="shared" si="32"/>
        <v>0</v>
      </c>
      <c r="AB94" s="429" t="str">
        <f t="shared" si="33"/>
        <v xml:space="preserve"> </v>
      </c>
      <c r="AC94" s="424">
        <f t="shared" si="34"/>
        <v>0</v>
      </c>
      <c r="AD94" s="371">
        <f t="shared" si="35"/>
        <v>0</v>
      </c>
      <c r="AE94" s="748">
        <f t="shared" si="36"/>
        <v>1</v>
      </c>
      <c r="AF94" s="417">
        <f t="shared" si="37"/>
        <v>0.66666666666666663</v>
      </c>
      <c r="AG94" s="416">
        <f t="shared" si="38"/>
        <v>7.333333333333333</v>
      </c>
      <c r="AH94" s="372">
        <f t="shared" si="39"/>
        <v>0.91666666666666663</v>
      </c>
      <c r="AI94" s="373">
        <f t="shared" si="40"/>
        <v>1275</v>
      </c>
      <c r="AJ94" s="418">
        <f>VLOOKUP(D94,'Standard Cycle time'!C:D,2,0)</f>
        <v>2.2999999999999998</v>
      </c>
      <c r="AK94" s="418">
        <f t="shared" si="41"/>
        <v>2.5882352941176472</v>
      </c>
      <c r="AL94" s="374">
        <f t="shared" si="42"/>
        <v>0.88863636363636356</v>
      </c>
      <c r="AM94" s="372">
        <f t="shared" si="43"/>
        <v>0.81458333333333321</v>
      </c>
      <c r="AN94" s="799" t="s">
        <v>2319</v>
      </c>
      <c r="AO94" s="761" t="s">
        <v>2316</v>
      </c>
      <c r="AP94" s="440">
        <v>40</v>
      </c>
      <c r="AQ94" s="440">
        <v>0</v>
      </c>
      <c r="AR94" s="440">
        <v>0</v>
      </c>
      <c r="AS94" s="440">
        <v>0</v>
      </c>
      <c r="AT94" s="440">
        <v>0</v>
      </c>
      <c r="AU94" s="440">
        <v>0</v>
      </c>
      <c r="AV94" s="440">
        <v>0</v>
      </c>
      <c r="AW94" s="440">
        <v>0</v>
      </c>
      <c r="AX94" s="440">
        <v>0</v>
      </c>
      <c r="AY94" s="440">
        <v>0</v>
      </c>
      <c r="AZ94" s="440">
        <v>0</v>
      </c>
      <c r="BA94" s="440">
        <v>0</v>
      </c>
      <c r="BB94" s="440">
        <v>0</v>
      </c>
      <c r="BC94" s="440">
        <v>0</v>
      </c>
      <c r="BD94" s="440">
        <v>0</v>
      </c>
      <c r="BE94" s="440">
        <v>0</v>
      </c>
      <c r="BF94" s="440">
        <v>0</v>
      </c>
      <c r="BG94" s="440">
        <v>0</v>
      </c>
      <c r="BH94" s="440">
        <v>0</v>
      </c>
      <c r="BI94" s="440">
        <v>0</v>
      </c>
      <c r="BJ94" s="440">
        <v>0</v>
      </c>
      <c r="BK94" s="440">
        <v>0</v>
      </c>
      <c r="BL94" s="440">
        <v>0</v>
      </c>
      <c r="BM94" s="440">
        <v>0</v>
      </c>
      <c r="BN94" s="440">
        <v>0</v>
      </c>
      <c r="BO94" s="440">
        <v>0</v>
      </c>
      <c r="BP94" s="440">
        <v>0</v>
      </c>
      <c r="BQ94" s="440">
        <v>0</v>
      </c>
      <c r="BR94" s="415">
        <f>SUM(AP94:BQ94)/60</f>
        <v>0.66666666666666663</v>
      </c>
      <c r="BS94" s="415">
        <f>SUM(AP94:BR94)/60</f>
        <v>0.6777777777777777</v>
      </c>
      <c r="BT94" s="935"/>
      <c r="BU94" s="935"/>
      <c r="BV94" s="935"/>
      <c r="BW94" s="935"/>
      <c r="BX94" s="935"/>
      <c r="BY94" s="935"/>
      <c r="BZ94" s="935"/>
      <c r="CA94" s="935"/>
      <c r="CB94" s="935"/>
      <c r="CC94" s="935"/>
      <c r="CD94" s="935"/>
      <c r="CE94" s="935"/>
      <c r="CF94" s="935"/>
      <c r="CG94" s="935"/>
      <c r="CH94" s="935"/>
      <c r="CI94" s="935"/>
      <c r="CJ94" s="935"/>
      <c r="CK94" s="935"/>
      <c r="CL94" s="935"/>
      <c r="CM94" s="935"/>
      <c r="CN94" s="935"/>
      <c r="CO94" s="935"/>
      <c r="CP94" s="935"/>
      <c r="CQ94" s="935"/>
      <c r="CR94" s="935"/>
      <c r="CS94" s="935"/>
      <c r="CT94" s="935"/>
      <c r="CU94" s="935"/>
      <c r="CV94" s="935"/>
    </row>
    <row r="95" spans="1:100" s="375" customFormat="1" ht="14.9" customHeight="1">
      <c r="A95" s="375">
        <f t="shared" si="29"/>
        <v>8</v>
      </c>
      <c r="B95" s="455">
        <v>44418</v>
      </c>
      <c r="C95" s="445" t="s">
        <v>1980</v>
      </c>
      <c r="D95" s="376" t="str">
        <f>IFERROR(VLOOKUP(E:E,'Item Data Support Sheet'!A:O,7,0),"")</f>
        <v>CAP MOLDED</v>
      </c>
      <c r="E95" s="446" t="s">
        <v>2107</v>
      </c>
      <c r="F95" s="447"/>
      <c r="G95" s="376" t="s">
        <v>2220</v>
      </c>
      <c r="H95" s="602" t="str">
        <f>IFERROR(VLOOKUP(E:E,'Item Data Support Sheet'!A:O,2,0),"")</f>
        <v>CAP S TYPE MOLDED PINK</v>
      </c>
      <c r="I95" s="447" t="s">
        <v>2327</v>
      </c>
      <c r="J95" s="447" t="s">
        <v>2809</v>
      </c>
      <c r="K95" s="438">
        <v>1</v>
      </c>
      <c r="L95" s="439">
        <v>550</v>
      </c>
      <c r="M95" s="366">
        <f t="shared" si="45"/>
        <v>550</v>
      </c>
      <c r="N95" s="367">
        <f t="shared" si="28"/>
        <v>550</v>
      </c>
      <c r="O95" s="61">
        <v>550</v>
      </c>
      <c r="P95" s="368">
        <v>0</v>
      </c>
      <c r="Q95" s="369">
        <v>0</v>
      </c>
      <c r="R95" s="370">
        <v>0</v>
      </c>
      <c r="S95" s="370">
        <v>0</v>
      </c>
      <c r="T95" s="370">
        <v>0</v>
      </c>
      <c r="U95" s="370">
        <v>0</v>
      </c>
      <c r="V95" s="450">
        <v>1</v>
      </c>
      <c r="W95" s="453">
        <f t="shared" si="30"/>
        <v>550</v>
      </c>
      <c r="X95" s="748">
        <f t="shared" si="31"/>
        <v>1</v>
      </c>
      <c r="Y95" s="451" t="str">
        <f>IFERROR(VLOOKUP(E:E,'Item Data Support Sheet'!A:J,6,0),0)</f>
        <v>RM000123</v>
      </c>
      <c r="Z95" s="428">
        <f>IFERROR(VLOOKUP(E:E,'Item Data Support Sheet'!A:O,4,0),0)</f>
        <v>7.3</v>
      </c>
      <c r="AA95" s="428">
        <f t="shared" si="32"/>
        <v>4.0149999999999997</v>
      </c>
      <c r="AB95" s="429">
        <f t="shared" si="33"/>
        <v>1</v>
      </c>
      <c r="AC95" s="424">
        <f t="shared" si="34"/>
        <v>0</v>
      </c>
      <c r="AD95" s="371">
        <f t="shared" si="35"/>
        <v>0</v>
      </c>
      <c r="AE95" s="748">
        <f t="shared" si="36"/>
        <v>1</v>
      </c>
      <c r="AF95" s="417">
        <f t="shared" si="37"/>
        <v>0</v>
      </c>
      <c r="AG95" s="416">
        <f t="shared" si="38"/>
        <v>1</v>
      </c>
      <c r="AH95" s="372">
        <f t="shared" si="39"/>
        <v>1</v>
      </c>
      <c r="AI95" s="373">
        <f t="shared" si="40"/>
        <v>550</v>
      </c>
      <c r="AJ95" s="418">
        <f>VLOOKUP(D95,'Standard Cycle time'!C:D,2,0)</f>
        <v>6</v>
      </c>
      <c r="AK95" s="418">
        <f t="shared" si="41"/>
        <v>6.5454545454545459</v>
      </c>
      <c r="AL95" s="374">
        <f t="shared" si="42"/>
        <v>0.91666666666666663</v>
      </c>
      <c r="AM95" s="372">
        <f t="shared" si="43"/>
        <v>0.91666666666666663</v>
      </c>
      <c r="AN95" s="799">
        <v>2689</v>
      </c>
      <c r="AO95" s="761"/>
      <c r="AP95" s="440">
        <v>0</v>
      </c>
      <c r="AQ95" s="440">
        <v>0</v>
      </c>
      <c r="AR95" s="440">
        <v>0</v>
      </c>
      <c r="AS95" s="440">
        <v>0</v>
      </c>
      <c r="AT95" s="440">
        <v>0</v>
      </c>
      <c r="AU95" s="440">
        <v>0</v>
      </c>
      <c r="AV95" s="440">
        <v>0</v>
      </c>
      <c r="AW95" s="440">
        <v>0</v>
      </c>
      <c r="AX95" s="440">
        <v>0</v>
      </c>
      <c r="AY95" s="440">
        <v>0</v>
      </c>
      <c r="AZ95" s="440">
        <v>0</v>
      </c>
      <c r="BA95" s="440">
        <v>0</v>
      </c>
      <c r="BB95" s="440">
        <v>0</v>
      </c>
      <c r="BC95" s="440">
        <v>0</v>
      </c>
      <c r="BD95" s="440">
        <v>0</v>
      </c>
      <c r="BE95" s="440">
        <v>0</v>
      </c>
      <c r="BF95" s="440">
        <v>0</v>
      </c>
      <c r="BG95" s="440">
        <v>0</v>
      </c>
      <c r="BH95" s="440">
        <v>0</v>
      </c>
      <c r="BI95" s="440">
        <v>0</v>
      </c>
      <c r="BJ95" s="440">
        <v>0</v>
      </c>
      <c r="BK95" s="440">
        <v>0</v>
      </c>
      <c r="BL95" s="440">
        <v>0</v>
      </c>
      <c r="BM95" s="440">
        <v>0</v>
      </c>
      <c r="BN95" s="440">
        <v>0</v>
      </c>
      <c r="BO95" s="440">
        <v>0</v>
      </c>
      <c r="BP95" s="440">
        <v>0</v>
      </c>
      <c r="BQ95" s="440">
        <v>0</v>
      </c>
      <c r="BR95" s="415">
        <f t="shared" si="44"/>
        <v>0</v>
      </c>
      <c r="BS95" s="415">
        <f t="shared" si="46"/>
        <v>0</v>
      </c>
      <c r="BT95" s="935"/>
      <c r="BU95" s="935"/>
      <c r="BV95" s="935"/>
      <c r="BW95" s="935"/>
      <c r="BX95" s="935"/>
      <c r="BY95" s="935"/>
      <c r="BZ95" s="935"/>
      <c r="CA95" s="935"/>
      <c r="CB95" s="935"/>
      <c r="CC95" s="935"/>
      <c r="CD95" s="935"/>
      <c r="CE95" s="935"/>
      <c r="CF95" s="935"/>
      <c r="CG95" s="935"/>
      <c r="CH95" s="935"/>
      <c r="CI95" s="935"/>
      <c r="CJ95" s="935"/>
      <c r="CK95" s="935"/>
      <c r="CL95" s="935"/>
      <c r="CM95" s="935"/>
      <c r="CN95" s="935"/>
      <c r="CO95" s="935"/>
      <c r="CP95" s="935"/>
      <c r="CQ95" s="935"/>
      <c r="CR95" s="935"/>
      <c r="CS95" s="935"/>
      <c r="CT95" s="935"/>
      <c r="CU95" s="935"/>
      <c r="CV95" s="935"/>
    </row>
    <row r="96" spans="1:100" s="375" customFormat="1" ht="14.9" customHeight="1">
      <c r="A96" s="375">
        <f t="shared" si="29"/>
        <v>8</v>
      </c>
      <c r="B96" s="455">
        <v>44418</v>
      </c>
      <c r="C96" s="445" t="s">
        <v>1980</v>
      </c>
      <c r="D96" s="376" t="str">
        <f>IFERROR(VLOOKUP(E:E,'Item Data Support Sheet'!A:O,7,0),"")</f>
        <v>CAP MOLDED</v>
      </c>
      <c r="E96" s="446" t="s">
        <v>2107</v>
      </c>
      <c r="F96" s="447"/>
      <c r="G96" s="376" t="s">
        <v>2220</v>
      </c>
      <c r="H96" s="602" t="str">
        <f>IFERROR(VLOOKUP(E:E,'Item Data Support Sheet'!A:O,2,0),"")</f>
        <v>CAP S TYPE MOLDED PINK</v>
      </c>
      <c r="I96" s="447" t="s">
        <v>2322</v>
      </c>
      <c r="J96" s="447" t="s">
        <v>2809</v>
      </c>
      <c r="K96" s="438">
        <v>7</v>
      </c>
      <c r="L96" s="439">
        <v>3587</v>
      </c>
      <c r="M96" s="366">
        <f t="shared" si="45"/>
        <v>512.42857142857144</v>
      </c>
      <c r="N96" s="367">
        <f t="shared" si="28"/>
        <v>3402</v>
      </c>
      <c r="O96" s="61">
        <v>3390</v>
      </c>
      <c r="P96" s="368">
        <v>0</v>
      </c>
      <c r="Q96" s="369">
        <v>0</v>
      </c>
      <c r="R96" s="370">
        <v>0</v>
      </c>
      <c r="S96" s="370">
        <v>0</v>
      </c>
      <c r="T96" s="370">
        <v>4</v>
      </c>
      <c r="U96" s="370">
        <v>8</v>
      </c>
      <c r="V96" s="450">
        <v>1</v>
      </c>
      <c r="W96" s="453">
        <f t="shared" si="30"/>
        <v>3390</v>
      </c>
      <c r="X96" s="748">
        <f t="shared" si="31"/>
        <v>0.94507945358238077</v>
      </c>
      <c r="Y96" s="451" t="str">
        <f>IFERROR(VLOOKUP(E:E,'Item Data Support Sheet'!A:J,6,0),0)</f>
        <v>RM000123</v>
      </c>
      <c r="Z96" s="428">
        <f>IFERROR(VLOOKUP(E:E,'Item Data Support Sheet'!A:O,4,0),0)</f>
        <v>7.3</v>
      </c>
      <c r="AA96" s="428">
        <f t="shared" si="32"/>
        <v>24.834600000000002</v>
      </c>
      <c r="AB96" s="429">
        <f t="shared" si="33"/>
        <v>0.9964726631393297</v>
      </c>
      <c r="AC96" s="424">
        <f t="shared" si="34"/>
        <v>1.1785503830288745E-3</v>
      </c>
      <c r="AD96" s="371">
        <f t="shared" si="35"/>
        <v>0</v>
      </c>
      <c r="AE96" s="748">
        <f t="shared" si="36"/>
        <v>0.99882422104644331</v>
      </c>
      <c r="AF96" s="417">
        <f t="shared" si="37"/>
        <v>0.75</v>
      </c>
      <c r="AG96" s="416">
        <f t="shared" si="38"/>
        <v>6.25</v>
      </c>
      <c r="AH96" s="372">
        <f t="shared" si="39"/>
        <v>0.8928571428571429</v>
      </c>
      <c r="AI96" s="373">
        <f t="shared" si="40"/>
        <v>484.28571428571428</v>
      </c>
      <c r="AJ96" s="418">
        <f>VLOOKUP(D96,'Standard Cycle time'!C:D,2,0)</f>
        <v>6</v>
      </c>
      <c r="AK96" s="418">
        <f t="shared" si="41"/>
        <v>6.6371681415929205</v>
      </c>
      <c r="AL96" s="374">
        <f t="shared" si="42"/>
        <v>0.90400000000000003</v>
      </c>
      <c r="AM96" s="372">
        <f t="shared" si="43"/>
        <v>0.806193835558915</v>
      </c>
      <c r="AN96" s="799">
        <v>2688</v>
      </c>
      <c r="AO96" s="761"/>
      <c r="AP96" s="440">
        <v>0</v>
      </c>
      <c r="AQ96" s="440">
        <v>0</v>
      </c>
      <c r="AR96" s="440">
        <v>0</v>
      </c>
      <c r="AS96" s="440">
        <v>0</v>
      </c>
      <c r="AT96" s="440">
        <v>0</v>
      </c>
      <c r="AU96" s="440">
        <v>0</v>
      </c>
      <c r="AV96" s="440">
        <v>0</v>
      </c>
      <c r="AW96" s="440">
        <v>0</v>
      </c>
      <c r="AX96" s="440">
        <v>0</v>
      </c>
      <c r="AY96" s="440">
        <v>0</v>
      </c>
      <c r="AZ96" s="440">
        <v>0</v>
      </c>
      <c r="BA96" s="440">
        <v>0</v>
      </c>
      <c r="BB96" s="440">
        <v>0</v>
      </c>
      <c r="BC96" s="440">
        <v>0</v>
      </c>
      <c r="BD96" s="440">
        <v>0</v>
      </c>
      <c r="BE96" s="440">
        <v>0</v>
      </c>
      <c r="BF96" s="440">
        <v>0</v>
      </c>
      <c r="BG96" s="440">
        <v>0</v>
      </c>
      <c r="BH96" s="440">
        <v>0</v>
      </c>
      <c r="BI96" s="440">
        <v>0</v>
      </c>
      <c r="BJ96" s="440">
        <v>0</v>
      </c>
      <c r="BK96" s="440">
        <v>0</v>
      </c>
      <c r="BL96" s="440">
        <v>0</v>
      </c>
      <c r="BM96" s="440">
        <v>45</v>
      </c>
      <c r="BN96" s="440">
        <v>0</v>
      </c>
      <c r="BO96" s="440">
        <v>0</v>
      </c>
      <c r="BP96" s="440">
        <v>0</v>
      </c>
      <c r="BQ96" s="440">
        <v>0</v>
      </c>
      <c r="BR96" s="415">
        <f t="shared" si="44"/>
        <v>0.75</v>
      </c>
      <c r="BS96" s="415">
        <f t="shared" si="46"/>
        <v>0.76249999999999996</v>
      </c>
      <c r="BT96" s="935"/>
      <c r="BU96" s="935"/>
      <c r="BV96" s="935"/>
      <c r="BW96" s="935"/>
      <c r="BX96" s="935"/>
      <c r="BY96" s="935"/>
      <c r="BZ96" s="935"/>
      <c r="CA96" s="935"/>
      <c r="CB96" s="935"/>
      <c r="CC96" s="935"/>
      <c r="CD96" s="935"/>
      <c r="CE96" s="935"/>
      <c r="CF96" s="935"/>
      <c r="CG96" s="935"/>
      <c r="CH96" s="935"/>
      <c r="CI96" s="935"/>
      <c r="CJ96" s="935"/>
      <c r="CK96" s="935"/>
      <c r="CL96" s="935"/>
      <c r="CM96" s="935"/>
      <c r="CN96" s="935"/>
      <c r="CO96" s="935"/>
      <c r="CP96" s="935"/>
      <c r="CQ96" s="935"/>
      <c r="CR96" s="935"/>
      <c r="CS96" s="935"/>
      <c r="CT96" s="935"/>
      <c r="CU96" s="935"/>
      <c r="CV96" s="935"/>
    </row>
    <row r="97" spans="1:100" s="375" customFormat="1" ht="14.9" customHeight="1">
      <c r="A97" s="375">
        <f t="shared" si="29"/>
        <v>8</v>
      </c>
      <c r="B97" s="455">
        <v>44418</v>
      </c>
      <c r="C97" s="445" t="s">
        <v>1980</v>
      </c>
      <c r="D97" s="376" t="str">
        <f>IFERROR(VLOOKUP(E:E,'Item Data Support Sheet'!A:O,7,0),"")</f>
        <v>NIPPLE MOLDED</v>
      </c>
      <c r="E97" s="446" t="s">
        <v>72</v>
      </c>
      <c r="F97" s="447" t="s">
        <v>1678</v>
      </c>
      <c r="G97" s="376" t="s">
        <v>1691</v>
      </c>
      <c r="H97" s="602" t="str">
        <f>IFERROR(VLOOKUP(E:E,'Item Data Support Sheet'!A:O,2,0),"")</f>
        <v>NIPPLE S TYPE S SIZE INJECTION</v>
      </c>
      <c r="I97" s="447" t="s">
        <v>2323</v>
      </c>
      <c r="J97" s="447" t="s">
        <v>2809</v>
      </c>
      <c r="K97" s="438">
        <v>8</v>
      </c>
      <c r="L97" s="439">
        <v>4815</v>
      </c>
      <c r="M97" s="366">
        <f t="shared" si="45"/>
        <v>601.875</v>
      </c>
      <c r="N97" s="367">
        <f t="shared" si="28"/>
        <v>5405</v>
      </c>
      <c r="O97" s="61">
        <v>5300</v>
      </c>
      <c r="P97" s="368">
        <v>0</v>
      </c>
      <c r="Q97" s="369">
        <v>30</v>
      </c>
      <c r="R97" s="370">
        <v>0</v>
      </c>
      <c r="S97" s="370"/>
      <c r="T97" s="370">
        <v>67</v>
      </c>
      <c r="U97" s="370">
        <v>8</v>
      </c>
      <c r="V97" s="450">
        <v>1</v>
      </c>
      <c r="W97" s="453">
        <f t="shared" si="30"/>
        <v>5300</v>
      </c>
      <c r="X97" s="748">
        <f t="shared" si="31"/>
        <v>1.1007268951194185</v>
      </c>
      <c r="Y97" s="451" t="str">
        <f>IFERROR(VLOOKUP(E:E,'Item Data Support Sheet'!A:J,6,0),0)</f>
        <v>Silicon</v>
      </c>
      <c r="Z97" s="428">
        <f>IFERROR(VLOOKUP(E:E,'Item Data Support Sheet'!A:O,4,0),0)</f>
        <v>6.8</v>
      </c>
      <c r="AA97" s="428">
        <f t="shared" si="32"/>
        <v>36.753999999999998</v>
      </c>
      <c r="AB97" s="429">
        <f t="shared" si="33"/>
        <v>0.98057354301572619</v>
      </c>
      <c r="AC97" s="424">
        <f t="shared" si="34"/>
        <v>1.2483696664803428E-2</v>
      </c>
      <c r="AD97" s="371">
        <f t="shared" si="35"/>
        <v>5.5197792088316471E-3</v>
      </c>
      <c r="AE97" s="748">
        <f t="shared" si="36"/>
        <v>0.98760407030527286</v>
      </c>
      <c r="AF97" s="417">
        <f t="shared" si="37"/>
        <v>0</v>
      </c>
      <c r="AG97" s="416">
        <f t="shared" si="38"/>
        <v>8</v>
      </c>
      <c r="AH97" s="372">
        <f t="shared" si="39"/>
        <v>1</v>
      </c>
      <c r="AI97" s="373">
        <f t="shared" si="40"/>
        <v>662.5</v>
      </c>
      <c r="AJ97" s="418">
        <f>VLOOKUP(D97,'Standard Cycle time'!C:D,2,0)</f>
        <v>5.25</v>
      </c>
      <c r="AK97" s="418">
        <f t="shared" si="41"/>
        <v>5.4339622641509431</v>
      </c>
      <c r="AL97" s="374">
        <f t="shared" si="42"/>
        <v>0.96614583333333337</v>
      </c>
      <c r="AM97" s="372">
        <f t="shared" si="43"/>
        <v>0.95416955750847976</v>
      </c>
      <c r="AN97" s="799" t="s">
        <v>2324</v>
      </c>
      <c r="AO97" s="761"/>
      <c r="AP97" s="440">
        <v>0</v>
      </c>
      <c r="AQ97" s="440">
        <v>0</v>
      </c>
      <c r="AR97" s="440">
        <v>0</v>
      </c>
      <c r="AS97" s="440">
        <v>0</v>
      </c>
      <c r="AT97" s="440">
        <v>0</v>
      </c>
      <c r="AU97" s="440">
        <v>0</v>
      </c>
      <c r="AV97" s="440">
        <v>0</v>
      </c>
      <c r="AW97" s="440">
        <v>0</v>
      </c>
      <c r="AX97" s="440">
        <v>0</v>
      </c>
      <c r="AY97" s="440">
        <v>0</v>
      </c>
      <c r="AZ97" s="440">
        <v>0</v>
      </c>
      <c r="BA97" s="440">
        <v>0</v>
      </c>
      <c r="BB97" s="440">
        <v>0</v>
      </c>
      <c r="BC97" s="440">
        <v>0</v>
      </c>
      <c r="BD97" s="440">
        <v>0</v>
      </c>
      <c r="BE97" s="440">
        <v>0</v>
      </c>
      <c r="BF97" s="440">
        <v>0</v>
      </c>
      <c r="BG97" s="440">
        <v>0</v>
      </c>
      <c r="BH97" s="440">
        <v>0</v>
      </c>
      <c r="BI97" s="440">
        <v>0</v>
      </c>
      <c r="BJ97" s="440">
        <v>0</v>
      </c>
      <c r="BK97" s="440">
        <v>0</v>
      </c>
      <c r="BL97" s="440">
        <v>0</v>
      </c>
      <c r="BM97" s="440">
        <v>0</v>
      </c>
      <c r="BN97" s="440">
        <v>0</v>
      </c>
      <c r="BO97" s="440">
        <v>0</v>
      </c>
      <c r="BP97" s="440">
        <v>0</v>
      </c>
      <c r="BQ97" s="440">
        <v>0</v>
      </c>
      <c r="BR97" s="415">
        <f t="shared" si="44"/>
        <v>0</v>
      </c>
      <c r="BS97" s="415">
        <f t="shared" si="46"/>
        <v>0</v>
      </c>
      <c r="BT97" s="935"/>
      <c r="BU97" s="935"/>
      <c r="BV97" s="935"/>
      <c r="BW97" s="935"/>
      <c r="BX97" s="935"/>
      <c r="BY97" s="935"/>
      <c r="BZ97" s="935"/>
      <c r="CA97" s="935"/>
      <c r="CB97" s="935"/>
      <c r="CC97" s="935"/>
      <c r="CD97" s="935"/>
      <c r="CE97" s="935"/>
      <c r="CF97" s="935"/>
      <c r="CG97" s="935"/>
      <c r="CH97" s="935"/>
      <c r="CI97" s="935"/>
      <c r="CJ97" s="935"/>
      <c r="CK97" s="935"/>
      <c r="CL97" s="935"/>
      <c r="CM97" s="935"/>
      <c r="CN97" s="935"/>
      <c r="CO97" s="935"/>
      <c r="CP97" s="935"/>
      <c r="CQ97" s="935"/>
      <c r="CR97" s="935"/>
      <c r="CS97" s="935"/>
      <c r="CT97" s="935"/>
      <c r="CU97" s="935"/>
      <c r="CV97" s="935"/>
    </row>
    <row r="98" spans="1:100" s="375" customFormat="1" ht="14.9" customHeight="1">
      <c r="A98" s="375">
        <f t="shared" si="29"/>
        <v>8</v>
      </c>
      <c r="B98" s="455">
        <v>44418</v>
      </c>
      <c r="C98" s="445" t="s">
        <v>1980</v>
      </c>
      <c r="D98" s="376" t="str">
        <f>IFERROR(VLOOKUP(E:E,'Item Data Support Sheet'!A:O,7,0),"")</f>
        <v>NIPPLE PUNCH</v>
      </c>
      <c r="E98" s="446" t="s">
        <v>80</v>
      </c>
      <c r="F98" s="447"/>
      <c r="G98" s="376" t="s">
        <v>1692</v>
      </c>
      <c r="H98" s="602" t="str">
        <f>IFERROR(VLOOKUP(E:E,'Item Data Support Sheet'!A:O,2,0),"")</f>
        <v>NIPPLE S TYPE S SIZE PUNCHED</v>
      </c>
      <c r="I98" s="447" t="s">
        <v>2326</v>
      </c>
      <c r="J98" s="447" t="s">
        <v>2809</v>
      </c>
      <c r="K98" s="438">
        <v>8</v>
      </c>
      <c r="L98" s="439">
        <v>7036</v>
      </c>
      <c r="M98" s="366">
        <f t="shared" si="45"/>
        <v>879.5</v>
      </c>
      <c r="N98" s="367">
        <f t="shared" si="28"/>
        <v>7000</v>
      </c>
      <c r="O98" s="61">
        <v>7000</v>
      </c>
      <c r="P98" s="368">
        <v>0</v>
      </c>
      <c r="Q98" s="369">
        <v>0</v>
      </c>
      <c r="R98" s="370">
        <v>0</v>
      </c>
      <c r="S98" s="370">
        <v>0</v>
      </c>
      <c r="T98" s="370">
        <v>0</v>
      </c>
      <c r="U98" s="370">
        <v>0</v>
      </c>
      <c r="V98" s="450">
        <v>1</v>
      </c>
      <c r="W98" s="453">
        <f t="shared" si="30"/>
        <v>7000</v>
      </c>
      <c r="X98" s="748">
        <f t="shared" si="31"/>
        <v>0.99488345650938037</v>
      </c>
      <c r="Y98" s="451" t="str">
        <f>IFERROR(VLOOKUP(E:E,'Item Data Support Sheet'!A:J,6,0),0)</f>
        <v>FO015</v>
      </c>
      <c r="Z98" s="428">
        <f>IFERROR(VLOOKUP(E:E,'Item Data Support Sheet'!A:O,4,0),0)</f>
        <v>0</v>
      </c>
      <c r="AA98" s="428">
        <f t="shared" si="32"/>
        <v>0</v>
      </c>
      <c r="AB98" s="429" t="str">
        <f t="shared" si="33"/>
        <v xml:space="preserve"> </v>
      </c>
      <c r="AC98" s="424">
        <f t="shared" si="34"/>
        <v>0</v>
      </c>
      <c r="AD98" s="371">
        <f t="shared" si="35"/>
        <v>0</v>
      </c>
      <c r="AE98" s="748">
        <f t="shared" si="36"/>
        <v>1</v>
      </c>
      <c r="AF98" s="417">
        <f t="shared" si="37"/>
        <v>0.66666666666666663</v>
      </c>
      <c r="AG98" s="416">
        <f t="shared" si="38"/>
        <v>7.333333333333333</v>
      </c>
      <c r="AH98" s="372">
        <f t="shared" si="39"/>
        <v>0.91666666666666663</v>
      </c>
      <c r="AI98" s="373">
        <f t="shared" si="40"/>
        <v>875</v>
      </c>
      <c r="AJ98" s="418">
        <f>VLOOKUP(D98,'Standard Cycle time'!C:D,2,0)</f>
        <v>3.5</v>
      </c>
      <c r="AK98" s="418">
        <f t="shared" si="41"/>
        <v>3.7714285714285714</v>
      </c>
      <c r="AL98" s="374">
        <f t="shared" si="42"/>
        <v>0.92803030303030309</v>
      </c>
      <c r="AM98" s="372">
        <f t="shared" si="43"/>
        <v>0.85069444444444442</v>
      </c>
      <c r="AN98" s="799" t="s">
        <v>2325</v>
      </c>
      <c r="AO98" s="929"/>
      <c r="AP98" s="440">
        <v>40</v>
      </c>
      <c r="AQ98" s="440">
        <v>0</v>
      </c>
      <c r="AR98" s="440">
        <v>0</v>
      </c>
      <c r="AS98" s="440">
        <v>0</v>
      </c>
      <c r="AT98" s="440">
        <v>0</v>
      </c>
      <c r="AU98" s="440">
        <v>0</v>
      </c>
      <c r="AV98" s="440">
        <v>0</v>
      </c>
      <c r="AW98" s="440">
        <v>0</v>
      </c>
      <c r="AX98" s="440">
        <v>0</v>
      </c>
      <c r="AY98" s="440">
        <v>0</v>
      </c>
      <c r="AZ98" s="440">
        <v>0</v>
      </c>
      <c r="BA98" s="440">
        <v>0</v>
      </c>
      <c r="BB98" s="440">
        <v>0</v>
      </c>
      <c r="BC98" s="440">
        <v>0</v>
      </c>
      <c r="BD98" s="440">
        <v>0</v>
      </c>
      <c r="BE98" s="440">
        <v>0</v>
      </c>
      <c r="BF98" s="440">
        <v>0</v>
      </c>
      <c r="BG98" s="440">
        <v>0</v>
      </c>
      <c r="BH98" s="440">
        <v>0</v>
      </c>
      <c r="BI98" s="440">
        <v>0</v>
      </c>
      <c r="BJ98" s="440">
        <v>0</v>
      </c>
      <c r="BK98" s="440">
        <v>0</v>
      </c>
      <c r="BL98" s="440">
        <v>0</v>
      </c>
      <c r="BM98" s="440">
        <v>0</v>
      </c>
      <c r="BN98" s="440">
        <v>0</v>
      </c>
      <c r="BO98" s="440">
        <v>0</v>
      </c>
      <c r="BP98" s="440">
        <v>0</v>
      </c>
      <c r="BQ98" s="440">
        <v>0</v>
      </c>
      <c r="BR98" s="415">
        <f t="shared" si="44"/>
        <v>0.66666666666666663</v>
      </c>
      <c r="BS98" s="415">
        <f t="shared" si="46"/>
        <v>0.6777777777777777</v>
      </c>
      <c r="BT98" s="935"/>
      <c r="BU98" s="935"/>
      <c r="BV98" s="935"/>
      <c r="BW98" s="935"/>
      <c r="BX98" s="935"/>
      <c r="BY98" s="935"/>
      <c r="BZ98" s="935"/>
      <c r="CA98" s="935"/>
      <c r="CB98" s="935"/>
      <c r="CC98" s="935"/>
      <c r="CD98" s="935"/>
      <c r="CE98" s="935"/>
      <c r="CF98" s="935"/>
      <c r="CG98" s="935"/>
      <c r="CH98" s="935"/>
      <c r="CI98" s="935"/>
      <c r="CJ98" s="935"/>
      <c r="CK98" s="935"/>
      <c r="CL98" s="935"/>
      <c r="CM98" s="935"/>
      <c r="CN98" s="935"/>
      <c r="CO98" s="935"/>
      <c r="CP98" s="935"/>
      <c r="CQ98" s="935"/>
      <c r="CR98" s="935"/>
      <c r="CS98" s="935"/>
      <c r="CT98" s="935"/>
      <c r="CU98" s="935"/>
      <c r="CV98" s="935"/>
    </row>
    <row r="99" spans="1:100" s="375" customFormat="1" ht="14.9" customHeight="1">
      <c r="A99" s="375">
        <f t="shared" si="29"/>
        <v>8</v>
      </c>
      <c r="B99" s="455">
        <v>44418</v>
      </c>
      <c r="C99" s="445" t="s">
        <v>2000</v>
      </c>
      <c r="D99" s="376" t="str">
        <f>IFERROR(VLOOKUP(E:E,'Item Data Support Sheet'!A:O,7,0),"")</f>
        <v>BOTTLE PRINTED</v>
      </c>
      <c r="E99" s="446" t="s">
        <v>70</v>
      </c>
      <c r="F99" s="447"/>
      <c r="G99" s="376" t="s">
        <v>1698</v>
      </c>
      <c r="H99" s="602" t="str">
        <f>IFERROR(VLOOKUP(E:E,'Item Data Support Sheet'!A:O,2,0),"")</f>
        <v>KPP 200 ML BOTTLE PRINTED</v>
      </c>
      <c r="I99" s="447" t="s">
        <v>2329</v>
      </c>
      <c r="J99" s="447" t="s">
        <v>2813</v>
      </c>
      <c r="K99" s="438">
        <v>8.5</v>
      </c>
      <c r="L99" s="439">
        <v>5100</v>
      </c>
      <c r="M99" s="366">
        <f t="shared" si="45"/>
        <v>600</v>
      </c>
      <c r="N99" s="367">
        <f t="shared" si="28"/>
        <v>5324</v>
      </c>
      <c r="O99" s="61">
        <v>5292</v>
      </c>
      <c r="P99" s="368">
        <v>0</v>
      </c>
      <c r="Q99" s="369">
        <v>0</v>
      </c>
      <c r="R99" s="370">
        <v>52</v>
      </c>
      <c r="S99" s="370">
        <v>0</v>
      </c>
      <c r="T99" s="370">
        <v>32</v>
      </c>
      <c r="U99" s="370">
        <v>0</v>
      </c>
      <c r="V99" s="450">
        <v>6</v>
      </c>
      <c r="W99" s="453">
        <f t="shared" si="30"/>
        <v>882</v>
      </c>
      <c r="X99" s="748">
        <f t="shared" si="31"/>
        <v>1.0376470588235294</v>
      </c>
      <c r="Y99" s="451" t="str">
        <f>IFERROR(VLOOKUP(E:E,'Item Data Support Sheet'!A:J,6,0),0)</f>
        <v>FO002</v>
      </c>
      <c r="Z99" s="428">
        <f>IFERROR(VLOOKUP(E:E,'Item Data Support Sheet'!A:O,4,0),0)</f>
        <v>0</v>
      </c>
      <c r="AA99" s="428">
        <f t="shared" si="32"/>
        <v>0</v>
      </c>
      <c r="AB99" s="429" t="str">
        <f t="shared" si="33"/>
        <v xml:space="preserve"> </v>
      </c>
      <c r="AC99" s="424">
        <f t="shared" si="34"/>
        <v>6.0105184072126224E-3</v>
      </c>
      <c r="AD99" s="371">
        <f t="shared" si="35"/>
        <v>0</v>
      </c>
      <c r="AE99" s="748">
        <f t="shared" si="36"/>
        <v>0.99398948159278733</v>
      </c>
      <c r="AF99" s="417">
        <f t="shared" si="37"/>
        <v>0.83333333333333337</v>
      </c>
      <c r="AG99" s="416">
        <f t="shared" si="38"/>
        <v>7.666666666666667</v>
      </c>
      <c r="AH99" s="372">
        <f t="shared" si="39"/>
        <v>0.90196078431372551</v>
      </c>
      <c r="AI99" s="373">
        <f t="shared" si="40"/>
        <v>622.58823529411768</v>
      </c>
      <c r="AJ99" s="418">
        <f>VLOOKUP(D99,'Standard Cycle time'!C:D,2,0)</f>
        <v>32.4</v>
      </c>
      <c r="AK99" s="418">
        <f t="shared" si="41"/>
        <v>31.292517006802722</v>
      </c>
      <c r="AL99" s="374">
        <f t="shared" si="42"/>
        <v>1.035391304347826</v>
      </c>
      <c r="AM99" s="372">
        <f t="shared" si="43"/>
        <v>0.92826923586865229</v>
      </c>
      <c r="AN99" s="799" t="s">
        <v>2651</v>
      </c>
      <c r="AO99" s="761"/>
      <c r="AP99" s="440">
        <v>50</v>
      </c>
      <c r="AQ99" s="440">
        <v>0</v>
      </c>
      <c r="AR99" s="440">
        <v>0</v>
      </c>
      <c r="AS99" s="440">
        <v>0</v>
      </c>
      <c r="AT99" s="440">
        <v>0</v>
      </c>
      <c r="AU99" s="440">
        <v>0</v>
      </c>
      <c r="AV99" s="440">
        <v>0</v>
      </c>
      <c r="AW99" s="440">
        <v>0</v>
      </c>
      <c r="AX99" s="440">
        <v>0</v>
      </c>
      <c r="AY99" s="440">
        <v>0</v>
      </c>
      <c r="AZ99" s="440">
        <v>0</v>
      </c>
      <c r="BA99" s="440">
        <v>0</v>
      </c>
      <c r="BB99" s="440">
        <v>0</v>
      </c>
      <c r="BC99" s="440">
        <v>0</v>
      </c>
      <c r="BD99" s="440">
        <v>0</v>
      </c>
      <c r="BE99" s="440">
        <v>0</v>
      </c>
      <c r="BF99" s="440">
        <v>0</v>
      </c>
      <c r="BG99" s="440">
        <v>0</v>
      </c>
      <c r="BH99" s="440">
        <v>0</v>
      </c>
      <c r="BI99" s="440">
        <v>0</v>
      </c>
      <c r="BJ99" s="440">
        <v>0</v>
      </c>
      <c r="BK99" s="440">
        <v>0</v>
      </c>
      <c r="BL99" s="440">
        <v>0</v>
      </c>
      <c r="BM99" s="440">
        <v>0</v>
      </c>
      <c r="BN99" s="440">
        <v>0</v>
      </c>
      <c r="BO99" s="440">
        <v>0</v>
      </c>
      <c r="BP99" s="440">
        <v>0</v>
      </c>
      <c r="BQ99" s="440">
        <v>0</v>
      </c>
      <c r="BR99" s="415">
        <f t="shared" si="44"/>
        <v>0.83333333333333337</v>
      </c>
      <c r="BS99" s="415">
        <f t="shared" si="46"/>
        <v>0.84722222222222221</v>
      </c>
      <c r="BT99" s="935"/>
      <c r="BU99" s="935"/>
      <c r="BV99" s="935"/>
      <c r="BW99" s="935"/>
      <c r="BX99" s="935"/>
      <c r="BY99" s="935"/>
      <c r="BZ99" s="935"/>
      <c r="CA99" s="935"/>
      <c r="CB99" s="935"/>
      <c r="CC99" s="935"/>
      <c r="CD99" s="935"/>
      <c r="CE99" s="935"/>
      <c r="CF99" s="935"/>
      <c r="CG99" s="935"/>
      <c r="CH99" s="935"/>
      <c r="CI99" s="935"/>
      <c r="CJ99" s="935"/>
      <c r="CK99" s="935"/>
      <c r="CL99" s="935"/>
      <c r="CM99" s="935"/>
      <c r="CN99" s="935"/>
      <c r="CO99" s="935"/>
      <c r="CP99" s="935"/>
      <c r="CQ99" s="935"/>
      <c r="CR99" s="935"/>
      <c r="CS99" s="935"/>
      <c r="CT99" s="935"/>
      <c r="CU99" s="935"/>
      <c r="CV99" s="935"/>
    </row>
    <row r="100" spans="1:100" s="375" customFormat="1" ht="14.9" customHeight="1">
      <c r="A100" s="375">
        <f t="shared" si="29"/>
        <v>8</v>
      </c>
      <c r="B100" s="455">
        <v>44418</v>
      </c>
      <c r="C100" s="445" t="s">
        <v>2000</v>
      </c>
      <c r="D100" s="376" t="str">
        <f>IFERROR(VLOOKUP(E:E,'Item Data Support Sheet'!A:O,7,0),"")</f>
        <v>NIPPLE PUNCH INSPECTED</v>
      </c>
      <c r="E100" s="446" t="s">
        <v>1818</v>
      </c>
      <c r="F100" s="447"/>
      <c r="G100" s="376"/>
      <c r="H100" s="602" t="str">
        <f>IFERROR(VLOOKUP(E:E,'Item Data Support Sheet'!A:O,2,0),"")</f>
        <v>NIPPLE S TYPE S SIZE PUNCHED INSPECTED</v>
      </c>
      <c r="I100" s="447" t="s">
        <v>2330</v>
      </c>
      <c r="J100" s="447" t="s">
        <v>2812</v>
      </c>
      <c r="K100" s="438">
        <v>8.5</v>
      </c>
      <c r="L100" s="439">
        <v>14182</v>
      </c>
      <c r="M100" s="366">
        <f t="shared" si="45"/>
        <v>1668.4705882352941</v>
      </c>
      <c r="N100" s="367">
        <f t="shared" si="28"/>
        <v>14000</v>
      </c>
      <c r="O100" s="61">
        <v>13925</v>
      </c>
      <c r="P100" s="368">
        <v>0</v>
      </c>
      <c r="Q100" s="369">
        <v>0</v>
      </c>
      <c r="R100" s="370">
        <v>0</v>
      </c>
      <c r="S100" s="370">
        <v>0</v>
      </c>
      <c r="T100" s="370">
        <v>75</v>
      </c>
      <c r="U100" s="370">
        <v>0</v>
      </c>
      <c r="V100" s="450">
        <v>2</v>
      </c>
      <c r="W100" s="453">
        <f t="shared" si="30"/>
        <v>6962.5</v>
      </c>
      <c r="X100" s="748">
        <f t="shared" si="31"/>
        <v>0.98187843745593006</v>
      </c>
      <c r="Y100" s="451" t="str">
        <f>IFERROR(VLOOKUP(E:E,'Item Data Support Sheet'!A:J,6,0),0)</f>
        <v>FO104</v>
      </c>
      <c r="Z100" s="428">
        <f>IFERROR(VLOOKUP(E:E,'Item Data Support Sheet'!A:O,4,0),0)</f>
        <v>0</v>
      </c>
      <c r="AA100" s="428">
        <f t="shared" si="32"/>
        <v>0</v>
      </c>
      <c r="AB100" s="429" t="str">
        <f t="shared" si="33"/>
        <v xml:space="preserve"> </v>
      </c>
      <c r="AC100" s="424">
        <f t="shared" si="34"/>
        <v>5.3571428571428572E-3</v>
      </c>
      <c r="AD100" s="371">
        <f t="shared" si="35"/>
        <v>0</v>
      </c>
      <c r="AE100" s="748">
        <f t="shared" si="36"/>
        <v>0.99464285714285716</v>
      </c>
      <c r="AF100" s="417">
        <f t="shared" si="37"/>
        <v>0.83333333333333337</v>
      </c>
      <c r="AG100" s="416">
        <f t="shared" si="38"/>
        <v>7.666666666666667</v>
      </c>
      <c r="AH100" s="372">
        <f t="shared" si="39"/>
        <v>0.90196078431372551</v>
      </c>
      <c r="AI100" s="373">
        <f t="shared" si="40"/>
        <v>1638.2352941176471</v>
      </c>
      <c r="AJ100" s="418">
        <f>VLOOKUP(D100,'Standard Cycle time'!C:D,2,0)</f>
        <v>4</v>
      </c>
      <c r="AK100" s="418">
        <f t="shared" si="41"/>
        <v>3.964093357271095</v>
      </c>
      <c r="AL100" s="374">
        <f t="shared" si="42"/>
        <v>1.0090579710144927</v>
      </c>
      <c r="AM100" s="372">
        <f t="shared" si="43"/>
        <v>0.90525501867413638</v>
      </c>
      <c r="AN100" s="799" t="s">
        <v>2334</v>
      </c>
      <c r="AO100" s="929"/>
      <c r="AP100" s="440">
        <v>50</v>
      </c>
      <c r="AQ100" s="440">
        <v>0</v>
      </c>
      <c r="AR100" s="440">
        <v>0</v>
      </c>
      <c r="AS100" s="440">
        <v>0</v>
      </c>
      <c r="AT100" s="440">
        <v>0</v>
      </c>
      <c r="AU100" s="440">
        <v>0</v>
      </c>
      <c r="AV100" s="440">
        <v>0</v>
      </c>
      <c r="AW100" s="440">
        <v>0</v>
      </c>
      <c r="AX100" s="440">
        <v>0</v>
      </c>
      <c r="AY100" s="440">
        <v>0</v>
      </c>
      <c r="AZ100" s="440">
        <v>0</v>
      </c>
      <c r="BA100" s="440">
        <v>0</v>
      </c>
      <c r="BB100" s="440">
        <v>0</v>
      </c>
      <c r="BC100" s="440">
        <v>0</v>
      </c>
      <c r="BD100" s="440">
        <v>0</v>
      </c>
      <c r="BE100" s="440">
        <v>0</v>
      </c>
      <c r="BF100" s="440">
        <v>0</v>
      </c>
      <c r="BG100" s="440">
        <v>0</v>
      </c>
      <c r="BH100" s="440">
        <v>0</v>
      </c>
      <c r="BI100" s="440">
        <v>0</v>
      </c>
      <c r="BJ100" s="440">
        <v>0</v>
      </c>
      <c r="BK100" s="440">
        <v>0</v>
      </c>
      <c r="BL100" s="440">
        <v>0</v>
      </c>
      <c r="BM100" s="440">
        <v>0</v>
      </c>
      <c r="BN100" s="440">
        <v>0</v>
      </c>
      <c r="BO100" s="440">
        <v>0</v>
      </c>
      <c r="BP100" s="440">
        <v>0</v>
      </c>
      <c r="BQ100" s="440">
        <v>0</v>
      </c>
      <c r="BR100" s="415">
        <f t="shared" si="44"/>
        <v>0.83333333333333337</v>
      </c>
      <c r="BS100" s="415">
        <f t="shared" si="46"/>
        <v>0.84722222222222221</v>
      </c>
      <c r="BT100" s="935"/>
      <c r="BU100" s="935"/>
      <c r="BV100" s="935"/>
      <c r="BW100" s="935"/>
      <c r="BX100" s="935"/>
      <c r="BY100" s="935"/>
      <c r="BZ100" s="935"/>
      <c r="CA100" s="935"/>
      <c r="CB100" s="935"/>
      <c r="CC100" s="935"/>
      <c r="CD100" s="935"/>
      <c r="CE100" s="935"/>
      <c r="CF100" s="935"/>
      <c r="CG100" s="935"/>
      <c r="CH100" s="935"/>
      <c r="CI100" s="935"/>
      <c r="CJ100" s="935"/>
      <c r="CK100" s="935"/>
      <c r="CL100" s="935"/>
      <c r="CM100" s="935"/>
      <c r="CN100" s="935"/>
      <c r="CO100" s="935"/>
      <c r="CP100" s="935"/>
      <c r="CQ100" s="935"/>
      <c r="CR100" s="935"/>
      <c r="CS100" s="935"/>
      <c r="CT100" s="935"/>
      <c r="CU100" s="935"/>
      <c r="CV100" s="935"/>
    </row>
    <row r="101" spans="1:100" s="375" customFormat="1" ht="14.9" customHeight="1">
      <c r="A101" s="375">
        <f t="shared" si="29"/>
        <v>8</v>
      </c>
      <c r="B101" s="455">
        <v>44418</v>
      </c>
      <c r="C101" s="445" t="s">
        <v>2001</v>
      </c>
      <c r="D101" s="376" t="str">
        <f>IFERROR(VLOOKUP(E:E,'Item Data Support Sheet'!A:O,7,0),"")</f>
        <v>NIPPLE PUNCH</v>
      </c>
      <c r="E101" s="446" t="s">
        <v>80</v>
      </c>
      <c r="F101" s="509"/>
      <c r="G101" s="376" t="s">
        <v>1692</v>
      </c>
      <c r="H101" s="602" t="str">
        <f>IFERROR(VLOOKUP(E:E,'Item Data Support Sheet'!A:O,2,0),"")</f>
        <v>NIPPLE S TYPE S SIZE PUNCHED</v>
      </c>
      <c r="I101" s="447" t="s">
        <v>2331</v>
      </c>
      <c r="J101" s="447" t="s">
        <v>2810</v>
      </c>
      <c r="K101" s="438">
        <v>8</v>
      </c>
      <c r="L101" s="439">
        <v>7036</v>
      </c>
      <c r="M101" s="366">
        <f t="shared" si="45"/>
        <v>879.5</v>
      </c>
      <c r="N101" s="367">
        <f t="shared" si="28"/>
        <v>7100</v>
      </c>
      <c r="O101" s="61">
        <f>2600+4500</f>
        <v>7100</v>
      </c>
      <c r="P101" s="368">
        <v>0</v>
      </c>
      <c r="Q101" s="369">
        <v>0</v>
      </c>
      <c r="R101" s="370">
        <v>0</v>
      </c>
      <c r="S101" s="370">
        <v>0</v>
      </c>
      <c r="T101" s="370">
        <v>0</v>
      </c>
      <c r="U101" s="370">
        <v>0</v>
      </c>
      <c r="V101" s="450">
        <v>1</v>
      </c>
      <c r="W101" s="453">
        <f t="shared" si="30"/>
        <v>7100</v>
      </c>
      <c r="X101" s="748">
        <f t="shared" si="31"/>
        <v>1.0090960773166573</v>
      </c>
      <c r="Y101" s="451" t="str">
        <f>IFERROR(VLOOKUP(E:E,'Item Data Support Sheet'!A:J,6,0),0)</f>
        <v>FO015</v>
      </c>
      <c r="Z101" s="428">
        <f>IFERROR(VLOOKUP(E:E,'Item Data Support Sheet'!A:O,4,0),0)</f>
        <v>0</v>
      </c>
      <c r="AA101" s="428">
        <f t="shared" si="32"/>
        <v>0</v>
      </c>
      <c r="AB101" s="429" t="str">
        <f t="shared" si="33"/>
        <v xml:space="preserve"> </v>
      </c>
      <c r="AC101" s="424">
        <f t="shared" si="34"/>
        <v>0</v>
      </c>
      <c r="AD101" s="371">
        <f t="shared" si="35"/>
        <v>0</v>
      </c>
      <c r="AE101" s="748">
        <f t="shared" si="36"/>
        <v>1</v>
      </c>
      <c r="AF101" s="417">
        <f t="shared" si="37"/>
        <v>0.66666666666666663</v>
      </c>
      <c r="AG101" s="416">
        <f t="shared" si="38"/>
        <v>7.333333333333333</v>
      </c>
      <c r="AH101" s="372">
        <f t="shared" si="39"/>
        <v>0.91666666666666663</v>
      </c>
      <c r="AI101" s="373">
        <f t="shared" si="40"/>
        <v>887.5</v>
      </c>
      <c r="AJ101" s="418">
        <f>VLOOKUP(D101,'Standard Cycle time'!C:D,2,0)</f>
        <v>3.5</v>
      </c>
      <c r="AK101" s="418">
        <f t="shared" si="41"/>
        <v>3.7183098591549295</v>
      </c>
      <c r="AL101" s="374">
        <f t="shared" si="42"/>
        <v>0.94128787878787878</v>
      </c>
      <c r="AM101" s="372">
        <f t="shared" si="43"/>
        <v>0.86284722222222221</v>
      </c>
      <c r="AN101" s="799" t="s">
        <v>2336</v>
      </c>
      <c r="AO101" s="929"/>
      <c r="AP101" s="440">
        <v>40</v>
      </c>
      <c r="AQ101" s="440">
        <v>0</v>
      </c>
      <c r="AR101" s="440">
        <v>0</v>
      </c>
      <c r="AS101" s="440">
        <v>0</v>
      </c>
      <c r="AT101" s="440">
        <v>0</v>
      </c>
      <c r="AU101" s="440">
        <v>0</v>
      </c>
      <c r="AV101" s="440">
        <v>0</v>
      </c>
      <c r="AW101" s="440">
        <v>0</v>
      </c>
      <c r="AX101" s="440">
        <v>0</v>
      </c>
      <c r="AY101" s="440">
        <v>0</v>
      </c>
      <c r="AZ101" s="440">
        <v>0</v>
      </c>
      <c r="BA101" s="440">
        <v>0</v>
      </c>
      <c r="BB101" s="440">
        <v>0</v>
      </c>
      <c r="BC101" s="440">
        <v>0</v>
      </c>
      <c r="BD101" s="440">
        <v>0</v>
      </c>
      <c r="BE101" s="440">
        <v>0</v>
      </c>
      <c r="BF101" s="440">
        <v>0</v>
      </c>
      <c r="BG101" s="440">
        <v>0</v>
      </c>
      <c r="BH101" s="440">
        <v>0</v>
      </c>
      <c r="BI101" s="440">
        <v>0</v>
      </c>
      <c r="BJ101" s="440">
        <v>0</v>
      </c>
      <c r="BK101" s="440">
        <v>0</v>
      </c>
      <c r="BL101" s="440">
        <v>0</v>
      </c>
      <c r="BM101" s="440">
        <v>0</v>
      </c>
      <c r="BN101" s="440">
        <v>0</v>
      </c>
      <c r="BO101" s="440">
        <v>0</v>
      </c>
      <c r="BP101" s="440">
        <v>0</v>
      </c>
      <c r="BQ101" s="440">
        <v>0</v>
      </c>
      <c r="BR101" s="415">
        <f t="shared" si="44"/>
        <v>0.66666666666666663</v>
      </c>
      <c r="BS101" s="415">
        <f t="shared" si="46"/>
        <v>0.6777777777777777</v>
      </c>
      <c r="BT101" s="935"/>
      <c r="BU101" s="935"/>
      <c r="BV101" s="935"/>
      <c r="BW101" s="935"/>
      <c r="BX101" s="935"/>
      <c r="BY101" s="935"/>
      <c r="BZ101" s="935"/>
      <c r="CA101" s="935"/>
      <c r="CB101" s="935"/>
      <c r="CC101" s="935"/>
      <c r="CD101" s="935"/>
      <c r="CE101" s="935"/>
      <c r="CF101" s="935"/>
      <c r="CG101" s="935"/>
      <c r="CH101" s="935"/>
      <c r="CI101" s="935"/>
      <c r="CJ101" s="935"/>
      <c r="CK101" s="935"/>
      <c r="CL101" s="935"/>
      <c r="CM101" s="935"/>
      <c r="CN101" s="935"/>
      <c r="CO101" s="935"/>
      <c r="CP101" s="935"/>
      <c r="CQ101" s="935"/>
      <c r="CR101" s="935"/>
      <c r="CS101" s="935"/>
      <c r="CT101" s="935"/>
      <c r="CU101" s="935"/>
      <c r="CV101" s="935"/>
    </row>
    <row r="102" spans="1:100" s="375" customFormat="1" ht="14.9" customHeight="1">
      <c r="A102" s="375">
        <f t="shared" si="29"/>
        <v>8</v>
      </c>
      <c r="B102" s="455">
        <v>44418</v>
      </c>
      <c r="C102" s="445" t="s">
        <v>2001</v>
      </c>
      <c r="D102" s="376" t="str">
        <f>IFERROR(VLOOKUP(E:E,'Item Data Support Sheet'!A:O,7,0),"")</f>
        <v>NIPPLE MOLDED</v>
      </c>
      <c r="E102" s="446" t="s">
        <v>72</v>
      </c>
      <c r="F102" s="447" t="s">
        <v>1678</v>
      </c>
      <c r="G102" s="376" t="s">
        <v>1691</v>
      </c>
      <c r="H102" s="602" t="str">
        <f>IFERROR(VLOOKUP(E:E,'Item Data Support Sheet'!A:O,2,0),"")</f>
        <v>NIPPLE S TYPE S SIZE INJECTION</v>
      </c>
      <c r="I102" s="447" t="s">
        <v>2332</v>
      </c>
      <c r="J102" s="447" t="s">
        <v>2810</v>
      </c>
      <c r="K102" s="438">
        <v>8</v>
      </c>
      <c r="L102" s="439">
        <v>4815</v>
      </c>
      <c r="M102" s="366">
        <f t="shared" si="45"/>
        <v>601.875</v>
      </c>
      <c r="N102" s="367">
        <f t="shared" si="28"/>
        <v>5109</v>
      </c>
      <c r="O102" s="61">
        <v>5000</v>
      </c>
      <c r="P102" s="368">
        <v>0</v>
      </c>
      <c r="Q102" s="369">
        <v>40</v>
      </c>
      <c r="R102" s="370">
        <v>0</v>
      </c>
      <c r="S102" s="370">
        <v>0</v>
      </c>
      <c r="T102" s="370">
        <v>69</v>
      </c>
      <c r="U102" s="370">
        <v>0</v>
      </c>
      <c r="V102" s="450">
        <v>1</v>
      </c>
      <c r="W102" s="453">
        <f t="shared" si="30"/>
        <v>5000</v>
      </c>
      <c r="X102" s="748">
        <f t="shared" si="31"/>
        <v>1.0384215991692627</v>
      </c>
      <c r="Y102" s="451" t="str">
        <f>IFERROR(VLOOKUP(E:E,'Item Data Support Sheet'!A:J,6,0),0)</f>
        <v>Silicon</v>
      </c>
      <c r="Z102" s="428">
        <f>IFERROR(VLOOKUP(E:E,'Item Data Support Sheet'!A:O,4,0),0)</f>
        <v>6.8</v>
      </c>
      <c r="AA102" s="428">
        <f t="shared" si="32"/>
        <v>34.741199999999999</v>
      </c>
      <c r="AB102" s="429">
        <f t="shared" si="33"/>
        <v>0.97866510080250535</v>
      </c>
      <c r="AC102" s="424">
        <f t="shared" si="34"/>
        <v>1.3612152298283685E-2</v>
      </c>
      <c r="AD102" s="371">
        <f t="shared" si="35"/>
        <v>7.768498737618955E-3</v>
      </c>
      <c r="AE102" s="748">
        <f t="shared" si="36"/>
        <v>0.98649442160892542</v>
      </c>
      <c r="AF102" s="417">
        <f t="shared" si="37"/>
        <v>0</v>
      </c>
      <c r="AG102" s="416">
        <f t="shared" si="38"/>
        <v>8</v>
      </c>
      <c r="AH102" s="372">
        <f t="shared" si="39"/>
        <v>1</v>
      </c>
      <c r="AI102" s="373">
        <f t="shared" si="40"/>
        <v>625</v>
      </c>
      <c r="AJ102" s="418">
        <f>VLOOKUP(D102,'Standard Cycle time'!C:D,2,0)</f>
        <v>5.25</v>
      </c>
      <c r="AK102" s="418">
        <f t="shared" si="41"/>
        <v>5.76</v>
      </c>
      <c r="AL102" s="374">
        <f t="shared" si="42"/>
        <v>0.91145833333333337</v>
      </c>
      <c r="AM102" s="372">
        <f t="shared" si="43"/>
        <v>0.89914856136230181</v>
      </c>
      <c r="AN102" s="799" t="s">
        <v>2338</v>
      </c>
      <c r="AO102" s="761"/>
      <c r="AP102" s="440">
        <v>0</v>
      </c>
      <c r="AQ102" s="440">
        <v>0</v>
      </c>
      <c r="AR102" s="440">
        <v>0</v>
      </c>
      <c r="AS102" s="440">
        <v>0</v>
      </c>
      <c r="AT102" s="440">
        <v>0</v>
      </c>
      <c r="AU102" s="440">
        <v>0</v>
      </c>
      <c r="AV102" s="440">
        <v>0</v>
      </c>
      <c r="AW102" s="440">
        <v>0</v>
      </c>
      <c r="AX102" s="440">
        <v>0</v>
      </c>
      <c r="AY102" s="440">
        <v>0</v>
      </c>
      <c r="AZ102" s="440">
        <v>0</v>
      </c>
      <c r="BA102" s="440">
        <v>0</v>
      </c>
      <c r="BB102" s="440">
        <v>0</v>
      </c>
      <c r="BC102" s="440">
        <v>0</v>
      </c>
      <c r="BD102" s="440">
        <v>0</v>
      </c>
      <c r="BE102" s="440">
        <v>0</v>
      </c>
      <c r="BF102" s="440">
        <v>0</v>
      </c>
      <c r="BG102" s="440">
        <v>0</v>
      </c>
      <c r="BH102" s="440">
        <v>0</v>
      </c>
      <c r="BI102" s="440">
        <v>0</v>
      </c>
      <c r="BJ102" s="440">
        <v>0</v>
      </c>
      <c r="BK102" s="440">
        <v>0</v>
      </c>
      <c r="BL102" s="440">
        <v>0</v>
      </c>
      <c r="BM102" s="440">
        <v>0</v>
      </c>
      <c r="BN102" s="440">
        <v>0</v>
      </c>
      <c r="BO102" s="440">
        <v>0</v>
      </c>
      <c r="BP102" s="440">
        <v>0</v>
      </c>
      <c r="BQ102" s="440">
        <v>0</v>
      </c>
      <c r="BR102" s="415">
        <f t="shared" si="44"/>
        <v>0</v>
      </c>
      <c r="BS102" s="415">
        <f t="shared" si="46"/>
        <v>0</v>
      </c>
      <c r="BT102" s="935"/>
      <c r="BU102" s="935"/>
      <c r="BV102" s="935"/>
      <c r="BW102" s="935"/>
      <c r="BX102" s="935"/>
      <c r="BY102" s="935"/>
      <c r="BZ102" s="935"/>
      <c r="CA102" s="935"/>
      <c r="CB102" s="935"/>
      <c r="CC102" s="935"/>
      <c r="CD102" s="935"/>
      <c r="CE102" s="935"/>
      <c r="CF102" s="935"/>
      <c r="CG102" s="935"/>
      <c r="CH102" s="935"/>
      <c r="CI102" s="935"/>
      <c r="CJ102" s="935"/>
      <c r="CK102" s="935"/>
      <c r="CL102" s="935"/>
      <c r="CM102" s="935"/>
      <c r="CN102" s="935"/>
      <c r="CO102" s="935"/>
      <c r="CP102" s="935"/>
      <c r="CQ102" s="935"/>
      <c r="CR102" s="935"/>
      <c r="CS102" s="935"/>
      <c r="CT102" s="935"/>
      <c r="CU102" s="935"/>
      <c r="CV102" s="935"/>
    </row>
    <row r="103" spans="1:100" s="375" customFormat="1" ht="14.9" customHeight="1">
      <c r="A103" s="375">
        <f t="shared" si="29"/>
        <v>8</v>
      </c>
      <c r="B103" s="455">
        <v>44418</v>
      </c>
      <c r="C103" s="445" t="s">
        <v>2001</v>
      </c>
      <c r="D103" s="376" t="str">
        <f>IFERROR(VLOOKUP(E:E,'Item Data Support Sheet'!A:O,7,0),"")</f>
        <v>NIPPLE POSTCURE</v>
      </c>
      <c r="E103" s="446" t="s">
        <v>76</v>
      </c>
      <c r="F103" s="447"/>
      <c r="G103" s="376" t="s">
        <v>1705</v>
      </c>
      <c r="H103" s="602" t="str">
        <f>IFERROR(VLOOKUP(E:E,'Item Data Support Sheet'!A:O,2,0),"")</f>
        <v>NIPPLE S TYPE S SIZE POSTCURED</v>
      </c>
      <c r="I103" s="501" t="s">
        <v>2333</v>
      </c>
      <c r="J103" s="447" t="s">
        <v>2810</v>
      </c>
      <c r="K103" s="438">
        <v>8</v>
      </c>
      <c r="L103" s="820">
        <v>11000</v>
      </c>
      <c r="M103" s="366">
        <f t="shared" si="45"/>
        <v>1375</v>
      </c>
      <c r="N103" s="367">
        <f t="shared" si="28"/>
        <v>11300</v>
      </c>
      <c r="O103" s="61">
        <f>4000+3300+4000</f>
        <v>11300</v>
      </c>
      <c r="P103" s="368">
        <v>0</v>
      </c>
      <c r="Q103" s="369">
        <v>0</v>
      </c>
      <c r="R103" s="370">
        <v>0</v>
      </c>
      <c r="S103" s="370">
        <v>0</v>
      </c>
      <c r="T103" s="370">
        <v>0</v>
      </c>
      <c r="U103" s="370">
        <v>0</v>
      </c>
      <c r="V103" s="450">
        <v>1</v>
      </c>
      <c r="W103" s="453">
        <f t="shared" si="30"/>
        <v>11300</v>
      </c>
      <c r="X103" s="748">
        <f t="shared" si="31"/>
        <v>1.0272727272727273</v>
      </c>
      <c r="Y103" s="451" t="str">
        <f>IFERROR(VLOOKUP(E:E,'Item Data Support Sheet'!A:J,6,0),0)</f>
        <v>FO011</v>
      </c>
      <c r="Z103" s="428">
        <f>IFERROR(VLOOKUP(E:E,'Item Data Support Sheet'!A:O,4,0),0)</f>
        <v>0</v>
      </c>
      <c r="AA103" s="428">
        <f t="shared" si="32"/>
        <v>0</v>
      </c>
      <c r="AB103" s="429" t="str">
        <f t="shared" si="33"/>
        <v xml:space="preserve"> </v>
      </c>
      <c r="AC103" s="424">
        <f t="shared" si="34"/>
        <v>0</v>
      </c>
      <c r="AD103" s="371">
        <f t="shared" si="35"/>
        <v>0</v>
      </c>
      <c r="AE103" s="748">
        <f t="shared" si="36"/>
        <v>1</v>
      </c>
      <c r="AF103" s="417">
        <f t="shared" si="37"/>
        <v>0</v>
      </c>
      <c r="AG103" s="416">
        <f t="shared" si="38"/>
        <v>8</v>
      </c>
      <c r="AH103" s="372">
        <f t="shared" si="39"/>
        <v>1</v>
      </c>
      <c r="AI103" s="373">
        <f t="shared" si="40"/>
        <v>1412.5</v>
      </c>
      <c r="AJ103" s="418">
        <f>VLOOKUP(D103,'Standard Cycle time'!C:D,2,0)</f>
        <v>2.2999999999999998</v>
      </c>
      <c r="AK103" s="418">
        <f t="shared" si="41"/>
        <v>2.5486725663716814</v>
      </c>
      <c r="AL103" s="374">
        <f t="shared" si="42"/>
        <v>0.90243055555555551</v>
      </c>
      <c r="AM103" s="372">
        <f t="shared" si="43"/>
        <v>0.90243055555555551</v>
      </c>
      <c r="AN103" s="799" t="s">
        <v>2337</v>
      </c>
      <c r="AO103" s="761"/>
      <c r="AP103" s="440">
        <v>40</v>
      </c>
      <c r="AQ103" s="440">
        <v>0</v>
      </c>
      <c r="AR103" s="440">
        <v>0</v>
      </c>
      <c r="AS103" s="440">
        <v>0</v>
      </c>
      <c r="AT103" s="440">
        <v>0</v>
      </c>
      <c r="AU103" s="440">
        <v>0</v>
      </c>
      <c r="AV103" s="440">
        <v>0</v>
      </c>
      <c r="AW103" s="440">
        <v>0</v>
      </c>
      <c r="AX103" s="440">
        <v>0</v>
      </c>
      <c r="AY103" s="440">
        <v>0</v>
      </c>
      <c r="AZ103" s="440">
        <v>0</v>
      </c>
      <c r="BA103" s="440">
        <v>0</v>
      </c>
      <c r="BB103" s="440">
        <v>0</v>
      </c>
      <c r="BC103" s="440">
        <v>0</v>
      </c>
      <c r="BD103" s="440">
        <v>0</v>
      </c>
      <c r="BE103" s="440">
        <v>0</v>
      </c>
      <c r="BF103" s="440">
        <v>0</v>
      </c>
      <c r="BG103" s="440">
        <v>0</v>
      </c>
      <c r="BH103" s="440">
        <v>0</v>
      </c>
      <c r="BI103" s="440">
        <v>0</v>
      </c>
      <c r="BJ103" s="440">
        <v>0</v>
      </c>
      <c r="BK103" s="440">
        <v>0</v>
      </c>
      <c r="BL103" s="440">
        <v>0</v>
      </c>
      <c r="BM103" s="440">
        <v>0</v>
      </c>
      <c r="BN103" s="440">
        <v>0</v>
      </c>
      <c r="BO103" s="440">
        <v>0</v>
      </c>
      <c r="BP103" s="440">
        <v>0</v>
      </c>
      <c r="BQ103" s="440">
        <v>0</v>
      </c>
      <c r="BR103" s="415"/>
      <c r="BS103" s="415"/>
      <c r="BT103" s="935"/>
      <c r="BU103" s="935"/>
      <c r="BV103" s="935"/>
      <c r="BW103" s="935"/>
      <c r="BX103" s="935"/>
      <c r="BY103" s="935"/>
      <c r="BZ103" s="935"/>
      <c r="CA103" s="935"/>
      <c r="CB103" s="935"/>
      <c r="CC103" s="935"/>
      <c r="CD103" s="935"/>
      <c r="CE103" s="935"/>
      <c r="CF103" s="935"/>
      <c r="CG103" s="935"/>
      <c r="CH103" s="935"/>
      <c r="CI103" s="935"/>
      <c r="CJ103" s="935"/>
      <c r="CK103" s="935"/>
      <c r="CL103" s="935"/>
      <c r="CM103" s="935"/>
      <c r="CN103" s="935"/>
      <c r="CO103" s="935"/>
      <c r="CP103" s="935"/>
      <c r="CQ103" s="935"/>
      <c r="CR103" s="935"/>
      <c r="CS103" s="935"/>
      <c r="CT103" s="935"/>
      <c r="CU103" s="935"/>
      <c r="CV103" s="935"/>
    </row>
    <row r="104" spans="1:100" s="375" customFormat="1" ht="14.9" customHeight="1">
      <c r="A104" s="375">
        <f t="shared" si="29"/>
        <v>8</v>
      </c>
      <c r="B104" s="455">
        <v>44418</v>
      </c>
      <c r="C104" s="445" t="s">
        <v>2001</v>
      </c>
      <c r="D104" s="376" t="str">
        <f>IFERROR(VLOOKUP(E:E,'Item Data Support Sheet'!A:O,7,0),"")</f>
        <v>CAP MOLDED</v>
      </c>
      <c r="E104" s="446" t="s">
        <v>2107</v>
      </c>
      <c r="F104" s="447"/>
      <c r="G104" s="376" t="s">
        <v>2220</v>
      </c>
      <c r="H104" s="602" t="str">
        <f>IFERROR(VLOOKUP(E:E,'Item Data Support Sheet'!A:O,2,0),"")</f>
        <v>CAP S TYPE MOLDED PINK</v>
      </c>
      <c r="I104" s="447" t="s">
        <v>2335</v>
      </c>
      <c r="J104" s="447" t="s">
        <v>2810</v>
      </c>
      <c r="K104" s="438">
        <v>8</v>
      </c>
      <c r="L104" s="439">
        <v>4137</v>
      </c>
      <c r="M104" s="366">
        <f t="shared" si="45"/>
        <v>517.125</v>
      </c>
      <c r="N104" s="367">
        <f t="shared" si="28"/>
        <v>4320</v>
      </c>
      <c r="O104" s="61">
        <v>4320</v>
      </c>
      <c r="P104" s="368">
        <v>0</v>
      </c>
      <c r="Q104" s="369">
        <v>0</v>
      </c>
      <c r="R104" s="370">
        <v>0</v>
      </c>
      <c r="S104" s="370">
        <v>0</v>
      </c>
      <c r="T104" s="370">
        <v>0</v>
      </c>
      <c r="U104" s="370">
        <v>0</v>
      </c>
      <c r="V104" s="450">
        <v>1</v>
      </c>
      <c r="W104" s="453">
        <f t="shared" si="30"/>
        <v>4320</v>
      </c>
      <c r="X104" s="748">
        <f t="shared" si="31"/>
        <v>1.0442349528643944</v>
      </c>
      <c r="Y104" s="451" t="str">
        <f>IFERROR(VLOOKUP(E:E,'Item Data Support Sheet'!A:J,6,0),0)</f>
        <v>RM000123</v>
      </c>
      <c r="Z104" s="428">
        <f>IFERROR(VLOOKUP(E:E,'Item Data Support Sheet'!A:O,4,0),0)</f>
        <v>7.3</v>
      </c>
      <c r="AA104" s="428">
        <f t="shared" si="32"/>
        <v>31.536000000000001</v>
      </c>
      <c r="AB104" s="429">
        <f t="shared" si="33"/>
        <v>1</v>
      </c>
      <c r="AC104" s="424">
        <f t="shared" si="34"/>
        <v>0</v>
      </c>
      <c r="AD104" s="371">
        <f t="shared" si="35"/>
        <v>0</v>
      </c>
      <c r="AE104" s="748">
        <f t="shared" si="36"/>
        <v>1</v>
      </c>
      <c r="AF104" s="417">
        <f t="shared" si="37"/>
        <v>0</v>
      </c>
      <c r="AG104" s="416">
        <f t="shared" si="38"/>
        <v>8</v>
      </c>
      <c r="AH104" s="372">
        <f t="shared" si="39"/>
        <v>1</v>
      </c>
      <c r="AI104" s="373">
        <f t="shared" si="40"/>
        <v>540</v>
      </c>
      <c r="AJ104" s="418">
        <f>VLOOKUP(D104,'Standard Cycle time'!C:D,2,0)</f>
        <v>6</v>
      </c>
      <c r="AK104" s="418">
        <f t="shared" si="41"/>
        <v>6.666666666666667</v>
      </c>
      <c r="AL104" s="374">
        <f t="shared" si="42"/>
        <v>0.89999999999999991</v>
      </c>
      <c r="AM104" s="372">
        <f t="shared" si="43"/>
        <v>0.89999999999999991</v>
      </c>
      <c r="AN104" s="799">
        <v>2689</v>
      </c>
      <c r="AO104" s="761"/>
      <c r="AP104" s="440">
        <v>0</v>
      </c>
      <c r="AQ104" s="440">
        <v>0</v>
      </c>
      <c r="AR104" s="440">
        <v>0</v>
      </c>
      <c r="AS104" s="440">
        <v>0</v>
      </c>
      <c r="AT104" s="440">
        <v>0</v>
      </c>
      <c r="AU104" s="440">
        <v>0</v>
      </c>
      <c r="AV104" s="440">
        <v>0</v>
      </c>
      <c r="AW104" s="440">
        <v>0</v>
      </c>
      <c r="AX104" s="440">
        <v>0</v>
      </c>
      <c r="AY104" s="440">
        <v>0</v>
      </c>
      <c r="AZ104" s="440">
        <v>0</v>
      </c>
      <c r="BA104" s="440">
        <v>0</v>
      </c>
      <c r="BB104" s="440">
        <v>0</v>
      </c>
      <c r="BC104" s="440">
        <v>0</v>
      </c>
      <c r="BD104" s="440">
        <v>0</v>
      </c>
      <c r="BE104" s="440">
        <v>0</v>
      </c>
      <c r="BF104" s="440">
        <v>0</v>
      </c>
      <c r="BG104" s="440">
        <v>0</v>
      </c>
      <c r="BH104" s="440">
        <v>0</v>
      </c>
      <c r="BI104" s="440">
        <v>0</v>
      </c>
      <c r="BJ104" s="440">
        <v>0</v>
      </c>
      <c r="BK104" s="440">
        <v>0</v>
      </c>
      <c r="BL104" s="440">
        <v>0</v>
      </c>
      <c r="BM104" s="440">
        <v>0</v>
      </c>
      <c r="BN104" s="440">
        <v>0</v>
      </c>
      <c r="BO104" s="440">
        <v>0</v>
      </c>
      <c r="BP104" s="440">
        <v>0</v>
      </c>
      <c r="BQ104" s="440">
        <v>0</v>
      </c>
      <c r="BR104" s="415">
        <f t="shared" si="44"/>
        <v>0</v>
      </c>
      <c r="BS104" s="415">
        <f t="shared" si="46"/>
        <v>0</v>
      </c>
      <c r="BT104" s="935"/>
      <c r="BU104" s="935"/>
      <c r="BV104" s="935"/>
      <c r="BW104" s="935"/>
      <c r="BX104" s="935"/>
      <c r="BY104" s="935"/>
      <c r="BZ104" s="935"/>
      <c r="CA104" s="935"/>
      <c r="CB104" s="935"/>
      <c r="CC104" s="935"/>
      <c r="CD104" s="935"/>
      <c r="CE104" s="935"/>
      <c r="CF104" s="935"/>
      <c r="CG104" s="935"/>
      <c r="CH104" s="935"/>
      <c r="CI104" s="935"/>
      <c r="CJ104" s="935"/>
      <c r="CK104" s="935"/>
      <c r="CL104" s="935"/>
      <c r="CM104" s="935"/>
      <c r="CN104" s="935"/>
      <c r="CO104" s="935"/>
      <c r="CP104" s="935"/>
      <c r="CQ104" s="935"/>
      <c r="CR104" s="935"/>
      <c r="CS104" s="935"/>
      <c r="CT104" s="935"/>
      <c r="CU104" s="935"/>
      <c r="CV104" s="935"/>
    </row>
    <row r="105" spans="1:100" s="375" customFormat="1" ht="14.9" customHeight="1">
      <c r="A105" s="375">
        <f t="shared" si="29"/>
        <v>8</v>
      </c>
      <c r="B105" s="455">
        <v>44418</v>
      </c>
      <c r="C105" s="445" t="s">
        <v>2053</v>
      </c>
      <c r="D105" s="376" t="str">
        <f>IFERROR(VLOOKUP(E:E,'Item Data Support Sheet'!A:O,7,0),"")</f>
        <v>BOTTLE MOLDED</v>
      </c>
      <c r="E105" s="446" t="s">
        <v>14</v>
      </c>
      <c r="F105" s="508" t="s">
        <v>1681</v>
      </c>
      <c r="G105" s="376" t="s">
        <v>1888</v>
      </c>
      <c r="H105" s="602" t="str">
        <f>IFERROR(VLOOKUP(E:E,'Item Data Support Sheet'!A:O,2,0),"")</f>
        <v>KPP 240 ML BOTTLE MOLDED</v>
      </c>
      <c r="I105" s="447" t="s">
        <v>2340</v>
      </c>
      <c r="J105" s="447" t="s">
        <v>2808</v>
      </c>
      <c r="K105" s="438">
        <v>8</v>
      </c>
      <c r="L105" s="439">
        <v>2574</v>
      </c>
      <c r="M105" s="366">
        <f t="shared" si="45"/>
        <v>321.75</v>
      </c>
      <c r="N105" s="367">
        <f t="shared" si="28"/>
        <v>1773</v>
      </c>
      <c r="O105" s="61">
        <f>15*108</f>
        <v>1620</v>
      </c>
      <c r="P105" s="368">
        <v>0.23</v>
      </c>
      <c r="Q105" s="369">
        <f>48+59</f>
        <v>107</v>
      </c>
      <c r="R105" s="370">
        <v>0</v>
      </c>
      <c r="S105" s="370">
        <v>0</v>
      </c>
      <c r="T105" s="370">
        <v>38</v>
      </c>
      <c r="U105" s="370">
        <v>8</v>
      </c>
      <c r="V105" s="450">
        <v>1</v>
      </c>
      <c r="W105" s="453">
        <f t="shared" si="30"/>
        <v>1620</v>
      </c>
      <c r="X105" s="748">
        <f t="shared" si="31"/>
        <v>0.62937062937062938</v>
      </c>
      <c r="Y105" s="451" t="str">
        <f>IFERROR(VLOOKUP(E:E,'Item Data Support Sheet'!A:J,6,0),0)</f>
        <v>HMC</v>
      </c>
      <c r="Z105" s="428">
        <f>IFERROR(VLOOKUP(E:E,'Item Data Support Sheet'!A:O,4,0),0)</f>
        <v>32.1</v>
      </c>
      <c r="AA105" s="428">
        <f t="shared" si="32"/>
        <v>57.143300000000004</v>
      </c>
      <c r="AB105" s="429">
        <f t="shared" si="33"/>
        <v>0.91002794728340852</v>
      </c>
      <c r="AC105" s="424">
        <f t="shared" si="34"/>
        <v>2.2919179734620022E-2</v>
      </c>
      <c r="AD105" s="371">
        <f t="shared" si="35"/>
        <v>5.6914893617021275E-2</v>
      </c>
      <c r="AE105" s="748">
        <f t="shared" si="36"/>
        <v>0.97856739988719688</v>
      </c>
      <c r="AF105" s="417">
        <f t="shared" si="37"/>
        <v>3.3333333333333335</v>
      </c>
      <c r="AG105" s="416">
        <f t="shared" si="38"/>
        <v>4.6666666666666661</v>
      </c>
      <c r="AH105" s="372">
        <f t="shared" si="39"/>
        <v>0.58333333333333326</v>
      </c>
      <c r="AI105" s="373">
        <f t="shared" si="40"/>
        <v>202.5</v>
      </c>
      <c r="AJ105" s="418">
        <f>VLOOKUP(D105,'Standard Cycle time'!C:D,2,0)</f>
        <v>9</v>
      </c>
      <c r="AK105" s="418">
        <f t="shared" si="41"/>
        <v>10.370370370370368</v>
      </c>
      <c r="AL105" s="374">
        <f t="shared" si="42"/>
        <v>0.86785714285714299</v>
      </c>
      <c r="AM105" s="372">
        <f t="shared" si="43"/>
        <v>0.49539974619289345</v>
      </c>
      <c r="AN105" s="799">
        <v>2372</v>
      </c>
      <c r="AO105" s="761" t="s">
        <v>2344</v>
      </c>
      <c r="AP105" s="440">
        <v>0</v>
      </c>
      <c r="AQ105" s="440">
        <v>0</v>
      </c>
      <c r="AR105" s="440">
        <v>150</v>
      </c>
      <c r="AS105" s="440">
        <v>0</v>
      </c>
      <c r="AT105" s="440">
        <v>0</v>
      </c>
      <c r="AU105" s="440">
        <v>0</v>
      </c>
      <c r="AV105" s="440">
        <v>20</v>
      </c>
      <c r="AW105" s="440">
        <v>30</v>
      </c>
      <c r="AX105" s="440">
        <v>0</v>
      </c>
      <c r="AY105" s="440">
        <v>0</v>
      </c>
      <c r="AZ105" s="440">
        <v>0</v>
      </c>
      <c r="BA105" s="440">
        <v>0</v>
      </c>
      <c r="BB105" s="440">
        <v>0</v>
      </c>
      <c r="BC105" s="440">
        <v>0</v>
      </c>
      <c r="BD105" s="440">
        <v>0</v>
      </c>
      <c r="BE105" s="440">
        <v>0</v>
      </c>
      <c r="BF105" s="440">
        <v>0</v>
      </c>
      <c r="BG105" s="440">
        <v>0</v>
      </c>
      <c r="BH105" s="440">
        <v>0</v>
      </c>
      <c r="BI105" s="440">
        <v>0</v>
      </c>
      <c r="BJ105" s="440">
        <v>0</v>
      </c>
      <c r="BK105" s="440">
        <v>0</v>
      </c>
      <c r="BL105" s="440">
        <v>0</v>
      </c>
      <c r="BM105" s="440">
        <v>0</v>
      </c>
      <c r="BN105" s="440">
        <v>0</v>
      </c>
      <c r="BO105" s="440">
        <v>0</v>
      </c>
      <c r="BP105" s="440">
        <v>0</v>
      </c>
      <c r="BQ105" s="440">
        <v>0</v>
      </c>
      <c r="BR105" s="415">
        <f t="shared" si="44"/>
        <v>3.3333333333333335</v>
      </c>
      <c r="BS105" s="415">
        <f t="shared" si="46"/>
        <v>3.3888888888888888</v>
      </c>
      <c r="BT105" s="935"/>
      <c r="BU105" s="935"/>
      <c r="BV105" s="935"/>
      <c r="BW105" s="935"/>
      <c r="BX105" s="935"/>
      <c r="BY105" s="935"/>
      <c r="BZ105" s="935"/>
      <c r="CA105" s="935"/>
      <c r="CB105" s="935"/>
      <c r="CC105" s="935"/>
      <c r="CD105" s="935"/>
      <c r="CE105" s="935"/>
      <c r="CF105" s="935"/>
      <c r="CG105" s="935"/>
      <c r="CH105" s="935"/>
      <c r="CI105" s="935"/>
      <c r="CJ105" s="935"/>
      <c r="CK105" s="935"/>
      <c r="CL105" s="935"/>
      <c r="CM105" s="935"/>
      <c r="CN105" s="935"/>
      <c r="CO105" s="935"/>
      <c r="CP105" s="935"/>
      <c r="CQ105" s="935"/>
      <c r="CR105" s="935"/>
      <c r="CS105" s="935"/>
      <c r="CT105" s="935"/>
      <c r="CU105" s="935"/>
      <c r="CV105" s="935"/>
    </row>
    <row r="106" spans="1:100" s="375" customFormat="1" ht="14.9" customHeight="1">
      <c r="A106" s="375">
        <f t="shared" si="29"/>
        <v>8</v>
      </c>
      <c r="B106" s="455">
        <v>44418</v>
      </c>
      <c r="C106" s="445" t="s">
        <v>2053</v>
      </c>
      <c r="D106" s="376" t="str">
        <f>IFERROR(VLOOKUP(E:E,'Item Data Support Sheet'!A:O,7,0),"")</f>
        <v>NIPPLE MOLDED</v>
      </c>
      <c r="E106" s="446" t="s">
        <v>72</v>
      </c>
      <c r="F106" s="447" t="s">
        <v>1678</v>
      </c>
      <c r="G106" s="376" t="s">
        <v>1691</v>
      </c>
      <c r="H106" s="602" t="str">
        <f>IFERROR(VLOOKUP(E:E,'Item Data Support Sheet'!A:O,2,0),"")</f>
        <v>NIPPLE S TYPE S SIZE INJECTION</v>
      </c>
      <c r="I106" s="447" t="s">
        <v>2341</v>
      </c>
      <c r="J106" s="447" t="s">
        <v>2808</v>
      </c>
      <c r="K106" s="438">
        <v>8</v>
      </c>
      <c r="L106" s="439">
        <v>4815</v>
      </c>
      <c r="M106" s="366">
        <f t="shared" si="45"/>
        <v>601.875</v>
      </c>
      <c r="N106" s="367">
        <f t="shared" si="28"/>
        <v>5090</v>
      </c>
      <c r="O106" s="61">
        <v>5000</v>
      </c>
      <c r="P106" s="368">
        <v>0</v>
      </c>
      <c r="Q106" s="369">
        <v>32</v>
      </c>
      <c r="R106" s="370">
        <v>0</v>
      </c>
      <c r="S106" s="370">
        <v>0</v>
      </c>
      <c r="T106" s="370">
        <v>50</v>
      </c>
      <c r="U106" s="370">
        <v>8</v>
      </c>
      <c r="V106" s="450">
        <v>1</v>
      </c>
      <c r="W106" s="453">
        <f t="shared" si="30"/>
        <v>5000</v>
      </c>
      <c r="X106" s="748">
        <f t="shared" si="31"/>
        <v>1.0384215991692627</v>
      </c>
      <c r="Y106" s="451" t="str">
        <f>IFERROR(VLOOKUP(E:E,'Item Data Support Sheet'!A:J,6,0),0)</f>
        <v>Silicon</v>
      </c>
      <c r="Z106" s="428">
        <f>IFERROR(VLOOKUP(E:E,'Item Data Support Sheet'!A:O,4,0),0)</f>
        <v>6.8</v>
      </c>
      <c r="AA106" s="428">
        <f t="shared" si="32"/>
        <v>34.611999999999995</v>
      </c>
      <c r="AB106" s="429">
        <f t="shared" si="33"/>
        <v>0.98231827111984293</v>
      </c>
      <c r="AC106" s="424">
        <f t="shared" si="34"/>
        <v>9.9009900990099011E-3</v>
      </c>
      <c r="AD106" s="371">
        <f t="shared" si="35"/>
        <v>6.247559547051933E-3</v>
      </c>
      <c r="AE106" s="748">
        <f t="shared" si="36"/>
        <v>0.99017681728880158</v>
      </c>
      <c r="AF106" s="417">
        <f t="shared" si="37"/>
        <v>0</v>
      </c>
      <c r="AG106" s="416">
        <f t="shared" si="38"/>
        <v>8</v>
      </c>
      <c r="AH106" s="372">
        <f t="shared" si="39"/>
        <v>1</v>
      </c>
      <c r="AI106" s="373">
        <f t="shared" si="40"/>
        <v>625</v>
      </c>
      <c r="AJ106" s="418">
        <f>VLOOKUP(D106,'Standard Cycle time'!C:D,2,0)</f>
        <v>5.25</v>
      </c>
      <c r="AK106" s="418">
        <f t="shared" si="41"/>
        <v>5.76</v>
      </c>
      <c r="AL106" s="374">
        <f t="shared" si="42"/>
        <v>0.91145833333333337</v>
      </c>
      <c r="AM106" s="372">
        <f t="shared" si="43"/>
        <v>0.9025049115913556</v>
      </c>
      <c r="AN106" s="799">
        <v>2341</v>
      </c>
      <c r="AO106" s="761"/>
      <c r="AP106" s="440">
        <v>0</v>
      </c>
      <c r="AQ106" s="440">
        <v>0</v>
      </c>
      <c r="AR106" s="440">
        <v>0</v>
      </c>
      <c r="AS106" s="440">
        <v>0</v>
      </c>
      <c r="AT106" s="440">
        <v>0</v>
      </c>
      <c r="AU106" s="440">
        <v>0</v>
      </c>
      <c r="AV106" s="440">
        <v>0</v>
      </c>
      <c r="AW106" s="440">
        <v>0</v>
      </c>
      <c r="AX106" s="440">
        <v>0</v>
      </c>
      <c r="AY106" s="440">
        <v>0</v>
      </c>
      <c r="AZ106" s="440">
        <v>0</v>
      </c>
      <c r="BA106" s="440">
        <v>0</v>
      </c>
      <c r="BB106" s="440">
        <v>0</v>
      </c>
      <c r="BC106" s="440">
        <v>0</v>
      </c>
      <c r="BD106" s="440">
        <v>0</v>
      </c>
      <c r="BE106" s="440">
        <v>0</v>
      </c>
      <c r="BF106" s="440">
        <v>0</v>
      </c>
      <c r="BG106" s="440">
        <v>0</v>
      </c>
      <c r="BH106" s="440">
        <v>0</v>
      </c>
      <c r="BI106" s="440">
        <v>0</v>
      </c>
      <c r="BJ106" s="440">
        <v>0</v>
      </c>
      <c r="BK106" s="440">
        <v>0</v>
      </c>
      <c r="BL106" s="440">
        <v>0</v>
      </c>
      <c r="BM106" s="440">
        <v>0</v>
      </c>
      <c r="BN106" s="440">
        <v>0</v>
      </c>
      <c r="BO106" s="440">
        <v>0</v>
      </c>
      <c r="BP106" s="440">
        <v>0</v>
      </c>
      <c r="BQ106" s="440">
        <v>0</v>
      </c>
      <c r="BR106" s="415">
        <f t="shared" si="44"/>
        <v>0</v>
      </c>
      <c r="BS106" s="415">
        <f t="shared" si="46"/>
        <v>0</v>
      </c>
      <c r="BT106" s="935"/>
      <c r="BU106" s="935"/>
      <c r="BV106" s="935"/>
      <c r="BW106" s="935"/>
      <c r="BX106" s="935"/>
      <c r="BY106" s="935"/>
      <c r="BZ106" s="935"/>
      <c r="CA106" s="935"/>
      <c r="CB106" s="935"/>
      <c r="CC106" s="935"/>
      <c r="CD106" s="935"/>
      <c r="CE106" s="935"/>
      <c r="CF106" s="935"/>
      <c r="CG106" s="935"/>
      <c r="CH106" s="935"/>
      <c r="CI106" s="935"/>
      <c r="CJ106" s="935"/>
      <c r="CK106" s="935"/>
      <c r="CL106" s="935"/>
      <c r="CM106" s="935"/>
      <c r="CN106" s="935"/>
      <c r="CO106" s="935"/>
      <c r="CP106" s="935"/>
      <c r="CQ106" s="935"/>
      <c r="CR106" s="935"/>
      <c r="CS106" s="935"/>
      <c r="CT106" s="935"/>
      <c r="CU106" s="935"/>
      <c r="CV106" s="935"/>
    </row>
    <row r="107" spans="1:100" s="375" customFormat="1" ht="14.9" customHeight="1">
      <c r="A107" s="375">
        <f t="shared" si="29"/>
        <v>8</v>
      </c>
      <c r="B107" s="455">
        <v>44418</v>
      </c>
      <c r="C107" s="445" t="s">
        <v>2053</v>
      </c>
      <c r="D107" s="376" t="str">
        <f>IFERROR(VLOOKUP(E:E,'Item Data Support Sheet'!A:O,7,0),"")</f>
        <v>CAP MOLDED</v>
      </c>
      <c r="E107" s="446" t="s">
        <v>2107</v>
      </c>
      <c r="F107" s="447"/>
      <c r="G107" s="376" t="s">
        <v>2220</v>
      </c>
      <c r="H107" s="602" t="str">
        <f>IFERROR(VLOOKUP(E:E,'Item Data Support Sheet'!A:O,2,0),"")</f>
        <v>CAP S TYPE MOLDED PINK</v>
      </c>
      <c r="I107" s="447" t="s">
        <v>2342</v>
      </c>
      <c r="J107" s="447" t="s">
        <v>2808</v>
      </c>
      <c r="K107" s="438">
        <v>8</v>
      </c>
      <c r="L107" s="439">
        <v>4137</v>
      </c>
      <c r="M107" s="366">
        <f t="shared" si="45"/>
        <v>517.125</v>
      </c>
      <c r="N107" s="367">
        <f t="shared" si="28"/>
        <v>3800</v>
      </c>
      <c r="O107" s="61">
        <v>3788</v>
      </c>
      <c r="P107" s="368">
        <v>0</v>
      </c>
      <c r="Q107" s="369">
        <v>0</v>
      </c>
      <c r="R107" s="370">
        <v>0</v>
      </c>
      <c r="S107" s="370">
        <v>0</v>
      </c>
      <c r="T107" s="370">
        <v>4</v>
      </c>
      <c r="U107" s="370">
        <v>8</v>
      </c>
      <c r="V107" s="450">
        <v>1</v>
      </c>
      <c r="W107" s="453">
        <f t="shared" si="30"/>
        <v>3788</v>
      </c>
      <c r="X107" s="748">
        <f t="shared" si="31"/>
        <v>0.91563935218757553</v>
      </c>
      <c r="Y107" s="451" t="str">
        <f>IFERROR(VLOOKUP(E:E,'Item Data Support Sheet'!A:J,6,0),0)</f>
        <v>RM000123</v>
      </c>
      <c r="Z107" s="428">
        <f>IFERROR(VLOOKUP(E:E,'Item Data Support Sheet'!A:O,4,0),0)</f>
        <v>7.3</v>
      </c>
      <c r="AA107" s="428">
        <f t="shared" si="32"/>
        <v>27.740000000000002</v>
      </c>
      <c r="AB107" s="429">
        <f t="shared" si="33"/>
        <v>0.99684210526315786</v>
      </c>
      <c r="AC107" s="424">
        <f t="shared" si="34"/>
        <v>1.0548523206751054E-3</v>
      </c>
      <c r="AD107" s="371">
        <f t="shared" si="35"/>
        <v>0</v>
      </c>
      <c r="AE107" s="748">
        <f t="shared" si="36"/>
        <v>0.99894736842105258</v>
      </c>
      <c r="AF107" s="417">
        <f t="shared" si="37"/>
        <v>1</v>
      </c>
      <c r="AG107" s="416">
        <f t="shared" si="38"/>
        <v>7</v>
      </c>
      <c r="AH107" s="372">
        <f t="shared" si="39"/>
        <v>0.875</v>
      </c>
      <c r="AI107" s="373">
        <f t="shared" si="40"/>
        <v>473.5</v>
      </c>
      <c r="AJ107" s="418">
        <f>VLOOKUP(D107,'Standard Cycle time'!C:D,2,0)</f>
        <v>6</v>
      </c>
      <c r="AK107" s="418">
        <f t="shared" si="41"/>
        <v>6.6525871172122493</v>
      </c>
      <c r="AL107" s="374">
        <f t="shared" si="42"/>
        <v>0.90190476190476188</v>
      </c>
      <c r="AM107" s="372">
        <f t="shared" si="43"/>
        <v>0.78833596491228064</v>
      </c>
      <c r="AN107" s="799">
        <v>2688</v>
      </c>
      <c r="AO107" s="761" t="s">
        <v>2345</v>
      </c>
      <c r="AP107" s="440">
        <v>0</v>
      </c>
      <c r="AQ107" s="440">
        <v>30</v>
      </c>
      <c r="AR107" s="440">
        <v>0</v>
      </c>
      <c r="AS107" s="440">
        <v>0</v>
      </c>
      <c r="AT107" s="440">
        <v>0</v>
      </c>
      <c r="AU107" s="440">
        <v>0</v>
      </c>
      <c r="AV107" s="440">
        <v>30</v>
      </c>
      <c r="AW107" s="440">
        <v>0</v>
      </c>
      <c r="AX107" s="440">
        <v>0</v>
      </c>
      <c r="AY107" s="440">
        <v>0</v>
      </c>
      <c r="AZ107" s="440">
        <v>0</v>
      </c>
      <c r="BA107" s="440">
        <v>0</v>
      </c>
      <c r="BB107" s="440">
        <v>0</v>
      </c>
      <c r="BC107" s="440">
        <v>0</v>
      </c>
      <c r="BD107" s="440">
        <v>0</v>
      </c>
      <c r="BE107" s="440">
        <v>0</v>
      </c>
      <c r="BF107" s="440">
        <v>0</v>
      </c>
      <c r="BG107" s="440">
        <v>0</v>
      </c>
      <c r="BH107" s="440">
        <v>0</v>
      </c>
      <c r="BI107" s="440">
        <v>0</v>
      </c>
      <c r="BJ107" s="440">
        <v>0</v>
      </c>
      <c r="BK107" s="440">
        <v>0</v>
      </c>
      <c r="BL107" s="440">
        <v>0</v>
      </c>
      <c r="BM107" s="440">
        <v>0</v>
      </c>
      <c r="BN107" s="440">
        <v>0</v>
      </c>
      <c r="BO107" s="440">
        <v>0</v>
      </c>
      <c r="BP107" s="440">
        <v>0</v>
      </c>
      <c r="BQ107" s="440">
        <v>0</v>
      </c>
      <c r="BR107" s="415">
        <f t="shared" si="44"/>
        <v>1</v>
      </c>
      <c r="BS107" s="415">
        <f t="shared" si="46"/>
        <v>1.0166666666666666</v>
      </c>
      <c r="BT107" s="935"/>
      <c r="BU107" s="935"/>
      <c r="BV107" s="935"/>
      <c r="BW107" s="935"/>
      <c r="BX107" s="935"/>
      <c r="BY107" s="935"/>
      <c r="BZ107" s="935"/>
      <c r="CA107" s="935"/>
      <c r="CB107" s="935"/>
      <c r="CC107" s="935"/>
      <c r="CD107" s="935"/>
      <c r="CE107" s="935"/>
      <c r="CF107" s="935"/>
      <c r="CG107" s="935"/>
      <c r="CH107" s="935"/>
      <c r="CI107" s="935"/>
      <c r="CJ107" s="935"/>
      <c r="CK107" s="935"/>
      <c r="CL107" s="935"/>
      <c r="CM107" s="935"/>
      <c r="CN107" s="935"/>
      <c r="CO107" s="935"/>
      <c r="CP107" s="935"/>
      <c r="CQ107" s="935"/>
      <c r="CR107" s="935"/>
      <c r="CS107" s="935"/>
      <c r="CT107" s="935"/>
      <c r="CU107" s="935"/>
      <c r="CV107" s="935"/>
    </row>
    <row r="108" spans="1:100" s="375" customFormat="1" ht="14.9" customHeight="1">
      <c r="A108" s="375">
        <f t="shared" si="29"/>
        <v>8</v>
      </c>
      <c r="B108" s="455">
        <v>44418</v>
      </c>
      <c r="C108" s="445" t="s">
        <v>2053</v>
      </c>
      <c r="D108" s="376" t="str">
        <f>IFERROR(VLOOKUP(E:E,'Item Data Support Sheet'!A:O,7,0),"")</f>
        <v>NIPPLE POSTCURE</v>
      </c>
      <c r="E108" s="446" t="s">
        <v>76</v>
      </c>
      <c r="F108" s="447"/>
      <c r="G108" s="376" t="s">
        <v>1705</v>
      </c>
      <c r="H108" s="602" t="str">
        <f>IFERROR(VLOOKUP(E:E,'Item Data Support Sheet'!A:O,2,0),"")</f>
        <v>NIPPLE S TYPE S SIZE POSTCURED</v>
      </c>
      <c r="I108" s="447" t="s">
        <v>2343</v>
      </c>
      <c r="J108" s="447" t="s">
        <v>2808</v>
      </c>
      <c r="K108" s="438">
        <v>4</v>
      </c>
      <c r="L108" s="439">
        <v>7000</v>
      </c>
      <c r="M108" s="366">
        <f t="shared" si="45"/>
        <v>1750</v>
      </c>
      <c r="N108" s="367">
        <f t="shared" si="28"/>
        <v>5000</v>
      </c>
      <c r="O108" s="61">
        <v>5000</v>
      </c>
      <c r="P108" s="368">
        <v>0</v>
      </c>
      <c r="Q108" s="369">
        <v>0</v>
      </c>
      <c r="R108" s="370">
        <v>0</v>
      </c>
      <c r="S108" s="370">
        <v>0</v>
      </c>
      <c r="T108" s="370">
        <v>0</v>
      </c>
      <c r="U108" s="370">
        <v>0</v>
      </c>
      <c r="V108" s="450">
        <v>1</v>
      </c>
      <c r="W108" s="453">
        <f t="shared" si="30"/>
        <v>5000</v>
      </c>
      <c r="X108" s="748">
        <f t="shared" si="31"/>
        <v>0.7142857142857143</v>
      </c>
      <c r="Y108" s="451" t="str">
        <f>IFERROR(VLOOKUP(E:E,'Item Data Support Sheet'!A:J,6,0),0)</f>
        <v>FO011</v>
      </c>
      <c r="Z108" s="428">
        <f>IFERROR(VLOOKUP(E:E,'Item Data Support Sheet'!A:O,4,0),0)</f>
        <v>0</v>
      </c>
      <c r="AA108" s="428">
        <f t="shared" si="32"/>
        <v>0</v>
      </c>
      <c r="AB108" s="429" t="str">
        <f t="shared" si="33"/>
        <v xml:space="preserve"> </v>
      </c>
      <c r="AC108" s="424">
        <f t="shared" si="34"/>
        <v>0</v>
      </c>
      <c r="AD108" s="371">
        <f t="shared" si="35"/>
        <v>0</v>
      </c>
      <c r="AE108" s="748">
        <f t="shared" si="36"/>
        <v>1</v>
      </c>
      <c r="AF108" s="417">
        <f t="shared" si="37"/>
        <v>0</v>
      </c>
      <c r="AG108" s="416">
        <f t="shared" si="38"/>
        <v>4</v>
      </c>
      <c r="AH108" s="372">
        <f t="shared" si="39"/>
        <v>1</v>
      </c>
      <c r="AI108" s="373">
        <f t="shared" si="40"/>
        <v>1250</v>
      </c>
      <c r="AJ108" s="418">
        <f>VLOOKUP(D108,'Standard Cycle time'!C:D,2,0)</f>
        <v>2.2999999999999998</v>
      </c>
      <c r="AK108" s="418">
        <f t="shared" si="41"/>
        <v>2.88</v>
      </c>
      <c r="AL108" s="374">
        <f t="shared" si="42"/>
        <v>0.79861111111111105</v>
      </c>
      <c r="AM108" s="372">
        <f t="shared" si="43"/>
        <v>0.79861111111111105</v>
      </c>
      <c r="AN108" s="799" t="s">
        <v>2347</v>
      </c>
      <c r="AO108" s="761" t="s">
        <v>2346</v>
      </c>
      <c r="AP108" s="440"/>
      <c r="AQ108" s="440">
        <v>0</v>
      </c>
      <c r="AR108" s="440">
        <v>0</v>
      </c>
      <c r="AS108" s="440">
        <v>0</v>
      </c>
      <c r="AT108" s="440">
        <v>0</v>
      </c>
      <c r="AU108" s="440">
        <v>0</v>
      </c>
      <c r="AV108" s="440">
        <v>0</v>
      </c>
      <c r="AW108" s="440">
        <v>0</v>
      </c>
      <c r="AX108" s="440">
        <v>0</v>
      </c>
      <c r="AY108" s="440">
        <v>0</v>
      </c>
      <c r="AZ108" s="440">
        <v>0</v>
      </c>
      <c r="BA108" s="440">
        <v>0</v>
      </c>
      <c r="BB108" s="440">
        <v>0</v>
      </c>
      <c r="BC108" s="440">
        <v>0</v>
      </c>
      <c r="BD108" s="440">
        <v>0</v>
      </c>
      <c r="BE108" s="440">
        <v>0</v>
      </c>
      <c r="BF108" s="440">
        <v>0</v>
      </c>
      <c r="BG108" s="440">
        <v>0</v>
      </c>
      <c r="BH108" s="440">
        <v>0</v>
      </c>
      <c r="BI108" s="440">
        <v>0</v>
      </c>
      <c r="BJ108" s="440">
        <v>0</v>
      </c>
      <c r="BK108" s="440">
        <v>0</v>
      </c>
      <c r="BL108" s="440">
        <v>0</v>
      </c>
      <c r="BM108" s="440">
        <v>0</v>
      </c>
      <c r="BN108" s="440">
        <v>0</v>
      </c>
      <c r="BO108" s="440">
        <v>0</v>
      </c>
      <c r="BP108" s="440">
        <v>0</v>
      </c>
      <c r="BQ108" s="440">
        <v>0</v>
      </c>
      <c r="BR108" s="415">
        <f t="shared" si="44"/>
        <v>0</v>
      </c>
      <c r="BS108" s="415">
        <f t="shared" si="46"/>
        <v>0</v>
      </c>
      <c r="BT108" s="935"/>
      <c r="BU108" s="935"/>
      <c r="BV108" s="935"/>
      <c r="BW108" s="935"/>
      <c r="BX108" s="935"/>
      <c r="BY108" s="935"/>
      <c r="BZ108" s="935"/>
      <c r="CA108" s="935"/>
      <c r="CB108" s="935"/>
      <c r="CC108" s="935"/>
      <c r="CD108" s="935"/>
      <c r="CE108" s="935"/>
      <c r="CF108" s="935"/>
      <c r="CG108" s="935"/>
      <c r="CH108" s="935"/>
      <c r="CI108" s="935"/>
      <c r="CJ108" s="935"/>
      <c r="CK108" s="935"/>
      <c r="CL108" s="935"/>
      <c r="CM108" s="935"/>
      <c r="CN108" s="935"/>
      <c r="CO108" s="935"/>
      <c r="CP108" s="935"/>
      <c r="CQ108" s="935"/>
      <c r="CR108" s="935"/>
      <c r="CS108" s="935"/>
      <c r="CT108" s="935"/>
      <c r="CU108" s="935"/>
      <c r="CV108" s="935"/>
    </row>
    <row r="109" spans="1:100" s="375" customFormat="1" ht="14.9" customHeight="1">
      <c r="A109" s="375">
        <f t="shared" si="29"/>
        <v>8</v>
      </c>
      <c r="B109" s="455">
        <v>44419</v>
      </c>
      <c r="C109" s="445" t="s">
        <v>1980</v>
      </c>
      <c r="D109" s="376" t="str">
        <f>IFERROR(VLOOKUP(E:E,'Item Data Support Sheet'!A:O,7,0),"")</f>
        <v>NIPPLE MOLDED</v>
      </c>
      <c r="E109" s="446" t="s">
        <v>72</v>
      </c>
      <c r="F109" s="447" t="s">
        <v>1678</v>
      </c>
      <c r="G109" s="376" t="s">
        <v>1691</v>
      </c>
      <c r="H109" s="602" t="str">
        <f>IFERROR(VLOOKUP(E:E,'Item Data Support Sheet'!A:O,2,0),"")</f>
        <v>NIPPLE S TYPE S SIZE INJECTION</v>
      </c>
      <c r="I109" s="447" t="s">
        <v>2349</v>
      </c>
      <c r="J109" s="447" t="s">
        <v>2809</v>
      </c>
      <c r="K109" s="438">
        <v>8</v>
      </c>
      <c r="L109" s="439">
        <v>4815</v>
      </c>
      <c r="M109" s="366">
        <f t="shared" si="45"/>
        <v>601.875</v>
      </c>
      <c r="N109" s="367">
        <f t="shared" si="28"/>
        <v>4959</v>
      </c>
      <c r="O109" s="61">
        <v>4820</v>
      </c>
      <c r="P109" s="368">
        <f>1.36+3.26+3.26+57</f>
        <v>64.88</v>
      </c>
      <c r="Q109" s="369">
        <v>70</v>
      </c>
      <c r="R109" s="370">
        <v>0</v>
      </c>
      <c r="S109" s="370">
        <v>0</v>
      </c>
      <c r="T109" s="370">
        <v>61</v>
      </c>
      <c r="U109" s="370">
        <v>8</v>
      </c>
      <c r="V109" s="450">
        <v>1</v>
      </c>
      <c r="W109" s="453">
        <f t="shared" si="30"/>
        <v>4820</v>
      </c>
      <c r="X109" s="748">
        <f t="shared" si="31"/>
        <v>1.0010384215991692</v>
      </c>
      <c r="Y109" s="451" t="str">
        <f>IFERROR(VLOOKUP(E:E,'Item Data Support Sheet'!A:J,6,0),0)</f>
        <v>Silicon</v>
      </c>
      <c r="Z109" s="428">
        <f>IFERROR(VLOOKUP(E:E,'Item Data Support Sheet'!A:O,4,0),0)</f>
        <v>6.8</v>
      </c>
      <c r="AA109" s="428">
        <f t="shared" si="32"/>
        <v>98.601199999999992</v>
      </c>
      <c r="AB109" s="429">
        <f t="shared" si="33"/>
        <v>0.33240974754871139</v>
      </c>
      <c r="AC109" s="424">
        <f t="shared" si="34"/>
        <v>1.2497439049375128E-2</v>
      </c>
      <c r="AD109" s="371">
        <f t="shared" si="35"/>
        <v>1.3919268244183734E-2</v>
      </c>
      <c r="AE109" s="748">
        <f t="shared" si="36"/>
        <v>0.98769913288969546</v>
      </c>
      <c r="AF109" s="417">
        <f t="shared" si="37"/>
        <v>0.75</v>
      </c>
      <c r="AG109" s="416">
        <f t="shared" si="38"/>
        <v>7.25</v>
      </c>
      <c r="AH109" s="372">
        <f t="shared" si="39"/>
        <v>0.90625</v>
      </c>
      <c r="AI109" s="373">
        <f t="shared" si="40"/>
        <v>602.5</v>
      </c>
      <c r="AJ109" s="418">
        <f>VLOOKUP(D109,'Standard Cycle time'!C:D,2,0)</f>
        <v>5.25</v>
      </c>
      <c r="AK109" s="418">
        <f t="shared" si="41"/>
        <v>5.4149377593360999</v>
      </c>
      <c r="AL109" s="374">
        <f t="shared" si="42"/>
        <v>0.96954022988505739</v>
      </c>
      <c r="AM109" s="372">
        <f t="shared" si="43"/>
        <v>0.86783772770047718</v>
      </c>
      <c r="AN109" s="799">
        <v>2359</v>
      </c>
      <c r="AO109" s="827" t="s">
        <v>2175</v>
      </c>
      <c r="AP109" s="440">
        <v>0</v>
      </c>
      <c r="AQ109" s="440">
        <v>0</v>
      </c>
      <c r="AR109" s="440">
        <v>0</v>
      </c>
      <c r="AS109" s="440">
        <v>0</v>
      </c>
      <c r="AT109" s="440">
        <v>0</v>
      </c>
      <c r="AU109" s="440">
        <v>0</v>
      </c>
      <c r="AV109" s="440">
        <v>0</v>
      </c>
      <c r="AW109" s="440">
        <v>0</v>
      </c>
      <c r="AX109" s="440">
        <v>45</v>
      </c>
      <c r="AY109" s="440">
        <v>0</v>
      </c>
      <c r="AZ109" s="440">
        <v>0</v>
      </c>
      <c r="BA109" s="440">
        <v>0</v>
      </c>
      <c r="BB109" s="440">
        <v>0</v>
      </c>
      <c r="BC109" s="440">
        <v>0</v>
      </c>
      <c r="BD109" s="440">
        <v>0</v>
      </c>
      <c r="BE109" s="440">
        <v>0</v>
      </c>
      <c r="BF109" s="440">
        <v>0</v>
      </c>
      <c r="BG109" s="440">
        <v>0</v>
      </c>
      <c r="BH109" s="440">
        <v>0</v>
      </c>
      <c r="BI109" s="440">
        <v>0</v>
      </c>
      <c r="BJ109" s="440">
        <v>0</v>
      </c>
      <c r="BK109" s="440">
        <v>0</v>
      </c>
      <c r="BL109" s="440">
        <v>0</v>
      </c>
      <c r="BM109" s="440">
        <v>0</v>
      </c>
      <c r="BN109" s="440">
        <v>0</v>
      </c>
      <c r="BO109" s="440">
        <v>0</v>
      </c>
      <c r="BP109" s="440">
        <v>0</v>
      </c>
      <c r="BQ109" s="440">
        <v>0</v>
      </c>
      <c r="BR109" s="415">
        <f t="shared" si="44"/>
        <v>0.75</v>
      </c>
      <c r="BS109" s="415">
        <f t="shared" si="46"/>
        <v>0.76249999999999996</v>
      </c>
      <c r="BT109" s="935"/>
      <c r="BU109" s="935"/>
      <c r="BV109" s="935"/>
      <c r="BW109" s="935"/>
      <c r="BX109" s="935"/>
      <c r="BY109" s="935"/>
      <c r="BZ109" s="935"/>
      <c r="CA109" s="935"/>
      <c r="CB109" s="935"/>
      <c r="CC109" s="935"/>
      <c r="CD109" s="935"/>
      <c r="CE109" s="935"/>
      <c r="CF109" s="935"/>
      <c r="CG109" s="935"/>
      <c r="CH109" s="935"/>
      <c r="CI109" s="935"/>
      <c r="CJ109" s="935"/>
      <c r="CK109" s="935"/>
      <c r="CL109" s="935"/>
      <c r="CM109" s="935"/>
      <c r="CN109" s="935"/>
      <c r="CO109" s="935"/>
      <c r="CP109" s="935"/>
      <c r="CQ109" s="935"/>
      <c r="CR109" s="935"/>
      <c r="CS109" s="935"/>
      <c r="CT109" s="935"/>
      <c r="CU109" s="935"/>
      <c r="CV109" s="935"/>
    </row>
    <row r="110" spans="1:100" s="375" customFormat="1" ht="14.9" customHeight="1">
      <c r="A110" s="375">
        <f t="shared" si="29"/>
        <v>8</v>
      </c>
      <c r="B110" s="455">
        <v>44419</v>
      </c>
      <c r="C110" s="445" t="s">
        <v>1980</v>
      </c>
      <c r="D110" s="376" t="str">
        <f>IFERROR(VLOOKUP(E:E,'Item Data Support Sheet'!A:O,7,0),"")</f>
        <v>NIPPLE PUNCH</v>
      </c>
      <c r="E110" s="446" t="s">
        <v>80</v>
      </c>
      <c r="F110" s="508"/>
      <c r="G110" s="376" t="s">
        <v>1692</v>
      </c>
      <c r="H110" s="602" t="str">
        <f>IFERROR(VLOOKUP(E:E,'Item Data Support Sheet'!A:O,2,0),"")</f>
        <v>NIPPLE S TYPE S SIZE PUNCHED</v>
      </c>
      <c r="I110" s="447" t="s">
        <v>2350</v>
      </c>
      <c r="J110" s="447" t="s">
        <v>2809</v>
      </c>
      <c r="K110" s="438">
        <v>8</v>
      </c>
      <c r="L110" s="439">
        <v>7036</v>
      </c>
      <c r="M110" s="366">
        <f t="shared" si="45"/>
        <v>879.5</v>
      </c>
      <c r="N110" s="367">
        <f t="shared" si="28"/>
        <v>6700</v>
      </c>
      <c r="O110" s="61">
        <v>6700</v>
      </c>
      <c r="P110" s="368">
        <v>0</v>
      </c>
      <c r="Q110" s="369">
        <v>0</v>
      </c>
      <c r="R110" s="370">
        <v>0</v>
      </c>
      <c r="S110" s="370">
        <v>0</v>
      </c>
      <c r="T110" s="370">
        <v>0</v>
      </c>
      <c r="U110" s="370">
        <v>0</v>
      </c>
      <c r="V110" s="450">
        <v>1</v>
      </c>
      <c r="W110" s="453">
        <f t="shared" si="30"/>
        <v>6700</v>
      </c>
      <c r="X110" s="748">
        <f t="shared" si="31"/>
        <v>0.95224559408754972</v>
      </c>
      <c r="Y110" s="451" t="str">
        <f>IFERROR(VLOOKUP(E:E,'Item Data Support Sheet'!A:J,6,0),0)</f>
        <v>FO015</v>
      </c>
      <c r="Z110" s="428">
        <f>IFERROR(VLOOKUP(E:E,'Item Data Support Sheet'!A:O,4,0),0)</f>
        <v>0</v>
      </c>
      <c r="AA110" s="428">
        <f t="shared" si="32"/>
        <v>0</v>
      </c>
      <c r="AB110" s="429" t="str">
        <f t="shared" si="33"/>
        <v xml:space="preserve"> </v>
      </c>
      <c r="AC110" s="424">
        <f t="shared" si="34"/>
        <v>0</v>
      </c>
      <c r="AD110" s="371">
        <f t="shared" si="35"/>
        <v>0</v>
      </c>
      <c r="AE110" s="748">
        <f t="shared" si="36"/>
        <v>1</v>
      </c>
      <c r="AF110" s="417">
        <f t="shared" si="37"/>
        <v>0.66666666666666663</v>
      </c>
      <c r="AG110" s="416">
        <f t="shared" si="38"/>
        <v>7.333333333333333</v>
      </c>
      <c r="AH110" s="372">
        <f t="shared" si="39"/>
        <v>0.91666666666666663</v>
      </c>
      <c r="AI110" s="373">
        <f t="shared" si="40"/>
        <v>837.5</v>
      </c>
      <c r="AJ110" s="418">
        <f>VLOOKUP(D110,'Standard Cycle time'!C:D,2,0)</f>
        <v>3.5</v>
      </c>
      <c r="AK110" s="418">
        <f t="shared" si="41"/>
        <v>3.9402985074626864</v>
      </c>
      <c r="AL110" s="374">
        <f t="shared" si="42"/>
        <v>0.8882575757575758</v>
      </c>
      <c r="AM110" s="372">
        <f t="shared" si="43"/>
        <v>0.81423611111111116</v>
      </c>
      <c r="AN110" s="836" t="s">
        <v>2351</v>
      </c>
      <c r="AO110" s="929"/>
      <c r="AP110" s="440">
        <v>40</v>
      </c>
      <c r="AQ110" s="440">
        <v>0</v>
      </c>
      <c r="AR110" s="440">
        <v>0</v>
      </c>
      <c r="AS110" s="440">
        <v>0</v>
      </c>
      <c r="AT110" s="440">
        <v>0</v>
      </c>
      <c r="AU110" s="440">
        <v>0</v>
      </c>
      <c r="AV110" s="440">
        <v>0</v>
      </c>
      <c r="AW110" s="440">
        <v>0</v>
      </c>
      <c r="AX110" s="440">
        <v>0</v>
      </c>
      <c r="AY110" s="440">
        <v>0</v>
      </c>
      <c r="AZ110" s="440">
        <v>0</v>
      </c>
      <c r="BA110" s="440">
        <v>0</v>
      </c>
      <c r="BB110" s="440">
        <v>0</v>
      </c>
      <c r="BC110" s="440">
        <v>0</v>
      </c>
      <c r="BD110" s="440">
        <v>0</v>
      </c>
      <c r="BE110" s="440">
        <v>0</v>
      </c>
      <c r="BF110" s="440">
        <v>0</v>
      </c>
      <c r="BG110" s="440">
        <v>0</v>
      </c>
      <c r="BH110" s="440">
        <v>0</v>
      </c>
      <c r="BI110" s="440">
        <v>0</v>
      </c>
      <c r="BJ110" s="440">
        <v>0</v>
      </c>
      <c r="BK110" s="440">
        <v>0</v>
      </c>
      <c r="BL110" s="440">
        <v>0</v>
      </c>
      <c r="BM110" s="440">
        <v>0</v>
      </c>
      <c r="BN110" s="440">
        <v>0</v>
      </c>
      <c r="BO110" s="440">
        <v>0</v>
      </c>
      <c r="BP110" s="440">
        <v>0</v>
      </c>
      <c r="BQ110" s="440">
        <v>0</v>
      </c>
      <c r="BR110" s="415">
        <f t="shared" si="44"/>
        <v>0.66666666666666663</v>
      </c>
      <c r="BS110" s="415">
        <f t="shared" si="46"/>
        <v>0.6777777777777777</v>
      </c>
      <c r="BT110" s="935"/>
      <c r="BU110" s="935"/>
      <c r="BV110" s="935"/>
      <c r="BW110" s="935"/>
      <c r="BX110" s="935"/>
      <c r="BY110" s="935"/>
      <c r="BZ110" s="935"/>
      <c r="CA110" s="935"/>
      <c r="CB110" s="935"/>
      <c r="CC110" s="935"/>
      <c r="CD110" s="935"/>
      <c r="CE110" s="935"/>
      <c r="CF110" s="935"/>
      <c r="CG110" s="935"/>
      <c r="CH110" s="935"/>
      <c r="CI110" s="935"/>
      <c r="CJ110" s="935"/>
      <c r="CK110" s="935"/>
      <c r="CL110" s="935"/>
      <c r="CM110" s="935"/>
      <c r="CN110" s="935"/>
      <c r="CO110" s="935"/>
      <c r="CP110" s="935"/>
      <c r="CQ110" s="935"/>
      <c r="CR110" s="935"/>
      <c r="CS110" s="935"/>
      <c r="CT110" s="935"/>
      <c r="CU110" s="935"/>
      <c r="CV110" s="935"/>
    </row>
    <row r="111" spans="1:100" s="375" customFormat="1" ht="14.9" customHeight="1">
      <c r="A111" s="375">
        <f t="shared" si="29"/>
        <v>8</v>
      </c>
      <c r="B111" s="455">
        <v>44419</v>
      </c>
      <c r="C111" s="445" t="s">
        <v>1980</v>
      </c>
      <c r="D111" s="376" t="str">
        <f>IFERROR(VLOOKUP(E:E,'Item Data Support Sheet'!A:O,7,0),"")</f>
        <v>CAP MOLDED</v>
      </c>
      <c r="E111" s="446" t="s">
        <v>2108</v>
      </c>
      <c r="F111" s="447"/>
      <c r="G111" s="376" t="s">
        <v>2220</v>
      </c>
      <c r="H111" s="602" t="str">
        <f>IFERROR(VLOOKUP(E:E,'Item Data Support Sheet'!A:O,2,0),"")</f>
        <v>CAP S TYPE MOLDED BLUE</v>
      </c>
      <c r="I111" s="447" t="s">
        <v>2352</v>
      </c>
      <c r="J111" s="447" t="s">
        <v>2809</v>
      </c>
      <c r="K111" s="438">
        <v>8</v>
      </c>
      <c r="L111" s="439">
        <v>4137</v>
      </c>
      <c r="M111" s="366">
        <f t="shared" si="45"/>
        <v>517.125</v>
      </c>
      <c r="N111" s="367">
        <f t="shared" si="28"/>
        <v>4372</v>
      </c>
      <c r="O111" s="61">
        <v>4300</v>
      </c>
      <c r="P111" s="368">
        <v>0</v>
      </c>
      <c r="Q111" s="369">
        <v>41</v>
      </c>
      <c r="R111" s="370">
        <v>0</v>
      </c>
      <c r="S111" s="370">
        <v>0</v>
      </c>
      <c r="T111" s="370">
        <v>23</v>
      </c>
      <c r="U111" s="370">
        <v>8</v>
      </c>
      <c r="V111" s="450">
        <v>1</v>
      </c>
      <c r="W111" s="453">
        <f t="shared" si="30"/>
        <v>4300</v>
      </c>
      <c r="X111" s="748">
        <f t="shared" si="31"/>
        <v>1.0394005317863186</v>
      </c>
      <c r="Y111" s="451" t="str">
        <f>IFERROR(VLOOKUP(E:E,'Item Data Support Sheet'!A:J,6,0),0)</f>
        <v>RM000114</v>
      </c>
      <c r="Z111" s="428">
        <f>IFERROR(VLOOKUP(E:E,'Item Data Support Sheet'!A:O,4,0),0)</f>
        <v>7.3</v>
      </c>
      <c r="AA111" s="428">
        <f t="shared" si="32"/>
        <v>31.915600000000001</v>
      </c>
      <c r="AB111" s="429">
        <f t="shared" si="33"/>
        <v>0.98353156450137236</v>
      </c>
      <c r="AC111" s="424">
        <f t="shared" si="34"/>
        <v>5.320379366180893E-3</v>
      </c>
      <c r="AD111" s="371">
        <f t="shared" si="35"/>
        <v>9.290731928393383E-3</v>
      </c>
      <c r="AE111" s="748">
        <f t="shared" si="36"/>
        <v>0.99473924977127171</v>
      </c>
      <c r="AF111" s="417">
        <f t="shared" si="37"/>
        <v>0.5</v>
      </c>
      <c r="AG111" s="416">
        <f t="shared" si="38"/>
        <v>7.5</v>
      </c>
      <c r="AH111" s="372">
        <f t="shared" si="39"/>
        <v>0.9375</v>
      </c>
      <c r="AI111" s="373">
        <f t="shared" si="40"/>
        <v>537.5</v>
      </c>
      <c r="AJ111" s="418">
        <f>VLOOKUP(D111,'Standard Cycle time'!C:D,2,0)</f>
        <v>6</v>
      </c>
      <c r="AK111" s="418">
        <f t="shared" si="41"/>
        <v>6.2790697674418601</v>
      </c>
      <c r="AL111" s="374">
        <f t="shared" si="42"/>
        <v>0.9555555555555556</v>
      </c>
      <c r="AM111" s="372">
        <f t="shared" si="43"/>
        <v>0.89112057792009769</v>
      </c>
      <c r="AN111" s="799">
        <v>2690</v>
      </c>
      <c r="AO111" s="827" t="s">
        <v>2621</v>
      </c>
      <c r="AP111" s="440">
        <v>0</v>
      </c>
      <c r="AQ111" s="440">
        <v>30</v>
      </c>
      <c r="AR111" s="440">
        <v>0</v>
      </c>
      <c r="AS111" s="440">
        <v>0</v>
      </c>
      <c r="AT111" s="440">
        <v>0</v>
      </c>
      <c r="AU111" s="440">
        <v>0</v>
      </c>
      <c r="AV111" s="440">
        <v>0</v>
      </c>
      <c r="AW111" s="440">
        <v>0</v>
      </c>
      <c r="AX111" s="440">
        <v>0</v>
      </c>
      <c r="AY111" s="440">
        <v>0</v>
      </c>
      <c r="AZ111" s="440">
        <v>0</v>
      </c>
      <c r="BA111" s="440">
        <v>0</v>
      </c>
      <c r="BB111" s="440">
        <v>0</v>
      </c>
      <c r="BC111" s="440">
        <v>0</v>
      </c>
      <c r="BD111" s="440">
        <v>0</v>
      </c>
      <c r="BE111" s="440">
        <v>0</v>
      </c>
      <c r="BF111" s="440">
        <v>0</v>
      </c>
      <c r="BG111" s="440">
        <v>0</v>
      </c>
      <c r="BH111" s="440">
        <v>0</v>
      </c>
      <c r="BI111" s="440">
        <v>0</v>
      </c>
      <c r="BJ111" s="440">
        <v>0</v>
      </c>
      <c r="BK111" s="440">
        <v>0</v>
      </c>
      <c r="BL111" s="440">
        <v>0</v>
      </c>
      <c r="BM111" s="440">
        <v>0</v>
      </c>
      <c r="BN111" s="440">
        <v>0</v>
      </c>
      <c r="BO111" s="440">
        <v>0</v>
      </c>
      <c r="BP111" s="440">
        <v>0</v>
      </c>
      <c r="BQ111" s="440">
        <v>0</v>
      </c>
      <c r="BR111" s="415">
        <f t="shared" si="44"/>
        <v>0.5</v>
      </c>
      <c r="BS111" s="415">
        <f t="shared" si="46"/>
        <v>0.5083333333333333</v>
      </c>
      <c r="BT111" s="935"/>
      <c r="BU111" s="935"/>
      <c r="BV111" s="935"/>
      <c r="BW111" s="935"/>
      <c r="BX111" s="935"/>
      <c r="BY111" s="935"/>
      <c r="BZ111" s="935"/>
      <c r="CA111" s="935"/>
      <c r="CB111" s="935"/>
      <c r="CC111" s="935"/>
      <c r="CD111" s="935"/>
      <c r="CE111" s="935"/>
      <c r="CF111" s="935"/>
      <c r="CG111" s="935"/>
      <c r="CH111" s="935"/>
      <c r="CI111" s="935"/>
      <c r="CJ111" s="935"/>
      <c r="CK111" s="935"/>
      <c r="CL111" s="935"/>
      <c r="CM111" s="935"/>
      <c r="CN111" s="935"/>
      <c r="CO111" s="935"/>
      <c r="CP111" s="935"/>
      <c r="CQ111" s="935"/>
      <c r="CR111" s="935"/>
      <c r="CS111" s="935"/>
      <c r="CT111" s="935"/>
      <c r="CU111" s="935"/>
      <c r="CV111" s="935"/>
    </row>
    <row r="112" spans="1:100" s="375" customFormat="1" ht="14.9" customHeight="1">
      <c r="A112" s="375">
        <f t="shared" si="29"/>
        <v>8</v>
      </c>
      <c r="B112" s="455">
        <v>44419</v>
      </c>
      <c r="C112" s="445" t="s">
        <v>1980</v>
      </c>
      <c r="D112" s="376" t="str">
        <f>IFERROR(VLOOKUP(E:E,'Item Data Support Sheet'!A:O,7,0),"")</f>
        <v>NIPPLE POSTCURE</v>
      </c>
      <c r="E112" s="446" t="s">
        <v>76</v>
      </c>
      <c r="F112" s="447"/>
      <c r="G112" s="376" t="s">
        <v>1705</v>
      </c>
      <c r="H112" s="602" t="str">
        <f>IFERROR(VLOOKUP(E:E,'Item Data Support Sheet'!A:O,2,0),"")</f>
        <v>NIPPLE S TYPE S SIZE POSTCURED</v>
      </c>
      <c r="I112" s="447" t="s">
        <v>2353</v>
      </c>
      <c r="J112" s="447" t="s">
        <v>2809</v>
      </c>
      <c r="K112" s="438">
        <v>2</v>
      </c>
      <c r="L112" s="439">
        <v>3000</v>
      </c>
      <c r="M112" s="366">
        <f t="shared" si="45"/>
        <v>1500</v>
      </c>
      <c r="N112" s="367">
        <f t="shared" si="28"/>
        <v>3000</v>
      </c>
      <c r="O112" s="61">
        <v>3000</v>
      </c>
      <c r="P112" s="368">
        <v>0</v>
      </c>
      <c r="Q112" s="369">
        <v>0</v>
      </c>
      <c r="R112" s="370">
        <v>0</v>
      </c>
      <c r="S112" s="370">
        <v>0</v>
      </c>
      <c r="T112" s="370">
        <v>0</v>
      </c>
      <c r="U112" s="370">
        <v>0</v>
      </c>
      <c r="V112" s="450">
        <v>1</v>
      </c>
      <c r="W112" s="453">
        <f t="shared" si="30"/>
        <v>3000</v>
      </c>
      <c r="X112" s="748">
        <f t="shared" si="31"/>
        <v>1</v>
      </c>
      <c r="Y112" s="451" t="str">
        <f>IFERROR(VLOOKUP(E:E,'Item Data Support Sheet'!A:J,6,0),0)</f>
        <v>FO011</v>
      </c>
      <c r="Z112" s="428">
        <f>IFERROR(VLOOKUP(E:E,'Item Data Support Sheet'!A:O,4,0),0)</f>
        <v>0</v>
      </c>
      <c r="AA112" s="428">
        <f t="shared" si="32"/>
        <v>0</v>
      </c>
      <c r="AB112" s="429" t="str">
        <f t="shared" si="33"/>
        <v xml:space="preserve"> </v>
      </c>
      <c r="AC112" s="424">
        <f t="shared" si="34"/>
        <v>0</v>
      </c>
      <c r="AD112" s="371">
        <f t="shared" si="35"/>
        <v>0</v>
      </c>
      <c r="AE112" s="748">
        <f t="shared" si="36"/>
        <v>1</v>
      </c>
      <c r="AF112" s="417">
        <f t="shared" si="37"/>
        <v>0</v>
      </c>
      <c r="AG112" s="416">
        <f t="shared" si="38"/>
        <v>2</v>
      </c>
      <c r="AH112" s="372">
        <f t="shared" si="39"/>
        <v>1</v>
      </c>
      <c r="AI112" s="373">
        <f t="shared" si="40"/>
        <v>1500</v>
      </c>
      <c r="AJ112" s="418">
        <f>VLOOKUP(D112,'Standard Cycle time'!C:D,2,0)</f>
        <v>2.2999999999999998</v>
      </c>
      <c r="AK112" s="418">
        <f t="shared" si="41"/>
        <v>2.4</v>
      </c>
      <c r="AL112" s="374">
        <f t="shared" si="42"/>
        <v>0.95833333333333326</v>
      </c>
      <c r="AM112" s="372">
        <f t="shared" si="43"/>
        <v>0.95833333333333326</v>
      </c>
      <c r="AN112" s="799" t="s">
        <v>2354</v>
      </c>
      <c r="AO112" s="761"/>
      <c r="AP112" s="440">
        <v>0</v>
      </c>
      <c r="AQ112" s="440">
        <v>0</v>
      </c>
      <c r="AR112" s="440">
        <v>0</v>
      </c>
      <c r="AS112" s="440">
        <v>0</v>
      </c>
      <c r="AT112" s="440">
        <v>0</v>
      </c>
      <c r="AU112" s="440">
        <v>0</v>
      </c>
      <c r="AV112" s="440">
        <v>0</v>
      </c>
      <c r="AW112" s="440">
        <v>0</v>
      </c>
      <c r="AX112" s="440">
        <v>0</v>
      </c>
      <c r="AY112" s="440">
        <v>0</v>
      </c>
      <c r="AZ112" s="440">
        <v>0</v>
      </c>
      <c r="BA112" s="440">
        <v>0</v>
      </c>
      <c r="BB112" s="440">
        <v>0</v>
      </c>
      <c r="BC112" s="440">
        <v>0</v>
      </c>
      <c r="BD112" s="440">
        <v>0</v>
      </c>
      <c r="BE112" s="440">
        <v>0</v>
      </c>
      <c r="BF112" s="440">
        <v>0</v>
      </c>
      <c r="BG112" s="440">
        <v>0</v>
      </c>
      <c r="BH112" s="440">
        <v>0</v>
      </c>
      <c r="BI112" s="440">
        <v>0</v>
      </c>
      <c r="BJ112" s="440">
        <v>0</v>
      </c>
      <c r="BK112" s="440">
        <v>0</v>
      </c>
      <c r="BL112" s="440">
        <v>0</v>
      </c>
      <c r="BM112" s="440">
        <v>0</v>
      </c>
      <c r="BN112" s="440">
        <v>0</v>
      </c>
      <c r="BO112" s="440">
        <v>0</v>
      </c>
      <c r="BP112" s="440">
        <v>0</v>
      </c>
      <c r="BQ112" s="440">
        <v>0</v>
      </c>
      <c r="BR112" s="415">
        <f t="shared" si="44"/>
        <v>0</v>
      </c>
      <c r="BS112" s="415">
        <f t="shared" si="46"/>
        <v>0</v>
      </c>
      <c r="BT112" s="935"/>
      <c r="BU112" s="935"/>
      <c r="BV112" s="935"/>
      <c r="BW112" s="935"/>
      <c r="BX112" s="935"/>
      <c r="BY112" s="935"/>
      <c r="BZ112" s="935"/>
      <c r="CA112" s="935"/>
      <c r="CB112" s="935"/>
      <c r="CC112" s="935"/>
      <c r="CD112" s="935"/>
      <c r="CE112" s="935"/>
      <c r="CF112" s="935"/>
      <c r="CG112" s="935"/>
      <c r="CH112" s="935"/>
      <c r="CI112" s="935"/>
      <c r="CJ112" s="935"/>
      <c r="CK112" s="935"/>
      <c r="CL112" s="935"/>
      <c r="CM112" s="935"/>
      <c r="CN112" s="935"/>
      <c r="CO112" s="935"/>
      <c r="CP112" s="935"/>
      <c r="CQ112" s="935"/>
      <c r="CR112" s="935"/>
      <c r="CS112" s="935"/>
      <c r="CT112" s="935"/>
      <c r="CU112" s="935"/>
      <c r="CV112" s="935"/>
    </row>
    <row r="113" spans="1:100" s="375" customFormat="1" ht="14.9" customHeight="1">
      <c r="A113" s="375">
        <f t="shared" si="29"/>
        <v>8</v>
      </c>
      <c r="B113" s="455">
        <v>44419</v>
      </c>
      <c r="C113" s="445" t="s">
        <v>2000</v>
      </c>
      <c r="D113" s="376" t="str">
        <f>IFERROR(VLOOKUP(E:E,'Item Data Support Sheet'!A:O,7,0),"")</f>
        <v>BOTTLE PRINTED</v>
      </c>
      <c r="E113" s="446" t="s">
        <v>70</v>
      </c>
      <c r="F113" s="447"/>
      <c r="G113" s="376" t="s">
        <v>1698</v>
      </c>
      <c r="H113" s="602" t="str">
        <f>IFERROR(VLOOKUP(E:E,'Item Data Support Sheet'!A:O,2,0),"")</f>
        <v>KPP 200 ML BOTTLE PRINTED</v>
      </c>
      <c r="I113" s="447" t="s">
        <v>2355</v>
      </c>
      <c r="J113" s="447" t="s">
        <v>2813</v>
      </c>
      <c r="K113" s="438">
        <v>8.5</v>
      </c>
      <c r="L113" s="439">
        <v>5100</v>
      </c>
      <c r="M113" s="366">
        <f t="shared" si="45"/>
        <v>600</v>
      </c>
      <c r="N113" s="367">
        <f t="shared" si="28"/>
        <v>5928</v>
      </c>
      <c r="O113" s="61">
        <v>5899</v>
      </c>
      <c r="P113" s="368">
        <v>0</v>
      </c>
      <c r="Q113" s="369">
        <v>0</v>
      </c>
      <c r="R113" s="370">
        <v>56</v>
      </c>
      <c r="S113" s="370">
        <v>0</v>
      </c>
      <c r="T113" s="370">
        <v>29</v>
      </c>
      <c r="U113" s="370">
        <v>0</v>
      </c>
      <c r="V113" s="450">
        <v>6</v>
      </c>
      <c r="W113" s="453">
        <f t="shared" si="30"/>
        <v>983.16666666666663</v>
      </c>
      <c r="X113" s="748">
        <f t="shared" si="31"/>
        <v>1.1566666666666667</v>
      </c>
      <c r="Y113" s="451" t="str">
        <f>IFERROR(VLOOKUP(E:E,'Item Data Support Sheet'!A:J,6,0),0)</f>
        <v>FO002</v>
      </c>
      <c r="Z113" s="428">
        <f>IFERROR(VLOOKUP(E:E,'Item Data Support Sheet'!A:O,4,0),0)</f>
        <v>0</v>
      </c>
      <c r="AA113" s="428">
        <f t="shared" si="32"/>
        <v>0</v>
      </c>
      <c r="AB113" s="429" t="str">
        <f t="shared" si="33"/>
        <v xml:space="preserve"> </v>
      </c>
      <c r="AC113" s="424">
        <f t="shared" si="34"/>
        <v>4.8920377867746291E-3</v>
      </c>
      <c r="AD113" s="371">
        <f t="shared" si="35"/>
        <v>0</v>
      </c>
      <c r="AE113" s="748">
        <f t="shared" si="36"/>
        <v>0.99510796221322539</v>
      </c>
      <c r="AF113" s="417">
        <f t="shared" si="37"/>
        <v>0.83333333333333337</v>
      </c>
      <c r="AG113" s="416">
        <f t="shared" si="38"/>
        <v>7.666666666666667</v>
      </c>
      <c r="AH113" s="372">
        <f t="shared" si="39"/>
        <v>0.90196078431372551</v>
      </c>
      <c r="AI113" s="373">
        <f t="shared" si="40"/>
        <v>694</v>
      </c>
      <c r="AJ113" s="418">
        <f>VLOOKUP(D113,'Standard Cycle time'!C:D,2,0)</f>
        <v>32.4</v>
      </c>
      <c r="AK113" s="418">
        <f t="shared" si="41"/>
        <v>28.0725546702831</v>
      </c>
      <c r="AL113" s="374">
        <f t="shared" si="42"/>
        <v>1.1541521739130434</v>
      </c>
      <c r="AM113" s="372">
        <f t="shared" si="43"/>
        <v>1.0359073886639676</v>
      </c>
      <c r="AN113" s="799" t="s">
        <v>2652</v>
      </c>
      <c r="AO113" s="761"/>
      <c r="AP113" s="440">
        <v>50</v>
      </c>
      <c r="AQ113" s="440">
        <v>0</v>
      </c>
      <c r="AR113" s="440">
        <v>0</v>
      </c>
      <c r="AS113" s="440">
        <v>0</v>
      </c>
      <c r="AT113" s="440">
        <v>0</v>
      </c>
      <c r="AU113" s="440">
        <v>0</v>
      </c>
      <c r="AV113" s="440">
        <v>0</v>
      </c>
      <c r="AW113" s="440">
        <v>0</v>
      </c>
      <c r="AX113" s="440">
        <v>0</v>
      </c>
      <c r="AY113" s="440">
        <v>0</v>
      </c>
      <c r="AZ113" s="440">
        <v>0</v>
      </c>
      <c r="BA113" s="440">
        <v>0</v>
      </c>
      <c r="BB113" s="440">
        <v>0</v>
      </c>
      <c r="BC113" s="440">
        <v>0</v>
      </c>
      <c r="BD113" s="440">
        <v>0</v>
      </c>
      <c r="BE113" s="440">
        <v>0</v>
      </c>
      <c r="BF113" s="440">
        <v>0</v>
      </c>
      <c r="BG113" s="440">
        <v>0</v>
      </c>
      <c r="BH113" s="440">
        <v>0</v>
      </c>
      <c r="BI113" s="440">
        <v>0</v>
      </c>
      <c r="BJ113" s="440">
        <v>0</v>
      </c>
      <c r="BK113" s="440">
        <v>0</v>
      </c>
      <c r="BL113" s="440">
        <v>0</v>
      </c>
      <c r="BM113" s="440">
        <v>0</v>
      </c>
      <c r="BN113" s="440">
        <v>0</v>
      </c>
      <c r="BO113" s="440">
        <v>0</v>
      </c>
      <c r="BP113" s="440">
        <v>0</v>
      </c>
      <c r="BQ113" s="440">
        <v>0</v>
      </c>
      <c r="BR113" s="415">
        <f t="shared" si="44"/>
        <v>0.83333333333333337</v>
      </c>
      <c r="BS113" s="415">
        <f t="shared" si="46"/>
        <v>0.84722222222222221</v>
      </c>
      <c r="BT113" s="935"/>
      <c r="BU113" s="935"/>
      <c r="BV113" s="935"/>
      <c r="BW113" s="935"/>
      <c r="BX113" s="935"/>
      <c r="BY113" s="935"/>
      <c r="BZ113" s="935"/>
      <c r="CA113" s="935"/>
      <c r="CB113" s="935"/>
      <c r="CC113" s="935"/>
      <c r="CD113" s="935"/>
      <c r="CE113" s="935"/>
      <c r="CF113" s="935"/>
      <c r="CG113" s="935"/>
      <c r="CH113" s="935"/>
      <c r="CI113" s="935"/>
      <c r="CJ113" s="935"/>
      <c r="CK113" s="935"/>
      <c r="CL113" s="935"/>
      <c r="CM113" s="935"/>
      <c r="CN113" s="935"/>
      <c r="CO113" s="935"/>
      <c r="CP113" s="935"/>
      <c r="CQ113" s="935"/>
      <c r="CR113" s="935"/>
      <c r="CS113" s="935"/>
      <c r="CT113" s="935"/>
      <c r="CU113" s="935"/>
      <c r="CV113" s="935"/>
    </row>
    <row r="114" spans="1:100" s="375" customFormat="1" ht="14.9" customHeight="1">
      <c r="A114" s="375">
        <f t="shared" si="29"/>
        <v>8</v>
      </c>
      <c r="B114" s="455">
        <v>44419</v>
      </c>
      <c r="C114" s="445" t="s">
        <v>2000</v>
      </c>
      <c r="D114" s="376" t="str">
        <f>IFERROR(VLOOKUP(E:E,'Item Data Support Sheet'!A:O,7,0),"")</f>
        <v>NIPPLE PUNCH INSPECTED</v>
      </c>
      <c r="E114" s="446" t="s">
        <v>1818</v>
      </c>
      <c r="F114" s="447"/>
      <c r="G114" s="376"/>
      <c r="H114" s="602" t="str">
        <f>IFERROR(VLOOKUP(E:E,'Item Data Support Sheet'!A:O,2,0),"")</f>
        <v>NIPPLE S TYPE S SIZE PUNCHED INSPECTED</v>
      </c>
      <c r="I114" s="447" t="s">
        <v>2356</v>
      </c>
      <c r="J114" s="447" t="s">
        <v>2812</v>
      </c>
      <c r="K114" s="438">
        <v>8.5</v>
      </c>
      <c r="L114" s="439">
        <v>14182</v>
      </c>
      <c r="M114" s="366">
        <f t="shared" si="45"/>
        <v>1668.4705882352941</v>
      </c>
      <c r="N114" s="367">
        <f t="shared" si="28"/>
        <v>13200</v>
      </c>
      <c r="O114" s="61">
        <v>13116</v>
      </c>
      <c r="P114" s="368">
        <v>0</v>
      </c>
      <c r="Q114" s="369">
        <v>0</v>
      </c>
      <c r="R114" s="370">
        <v>0</v>
      </c>
      <c r="S114" s="370">
        <v>0</v>
      </c>
      <c r="T114" s="370">
        <v>84</v>
      </c>
      <c r="U114" s="370">
        <v>0</v>
      </c>
      <c r="V114" s="450">
        <v>2</v>
      </c>
      <c r="W114" s="453">
        <f t="shared" si="30"/>
        <v>6558</v>
      </c>
      <c r="X114" s="748">
        <f t="shared" si="31"/>
        <v>0.92483429699619235</v>
      </c>
      <c r="Y114" s="451" t="str">
        <f>IFERROR(VLOOKUP(E:E,'Item Data Support Sheet'!A:J,6,0),0)</f>
        <v>FO104</v>
      </c>
      <c r="Z114" s="428">
        <f>IFERROR(VLOOKUP(E:E,'Item Data Support Sheet'!A:O,4,0),0)</f>
        <v>0</v>
      </c>
      <c r="AA114" s="428">
        <f t="shared" si="32"/>
        <v>0</v>
      </c>
      <c r="AB114" s="429" t="str">
        <f t="shared" si="33"/>
        <v xml:space="preserve"> </v>
      </c>
      <c r="AC114" s="424">
        <f t="shared" si="34"/>
        <v>6.3636363636363638E-3</v>
      </c>
      <c r="AD114" s="371">
        <f t="shared" si="35"/>
        <v>0</v>
      </c>
      <c r="AE114" s="748">
        <f t="shared" si="36"/>
        <v>0.99363636363636365</v>
      </c>
      <c r="AF114" s="417">
        <f t="shared" si="37"/>
        <v>1.5</v>
      </c>
      <c r="AG114" s="416">
        <f t="shared" si="38"/>
        <v>7</v>
      </c>
      <c r="AH114" s="372">
        <f t="shared" si="39"/>
        <v>0.82352941176470584</v>
      </c>
      <c r="AI114" s="373">
        <f t="shared" si="40"/>
        <v>1543.0588235294117</v>
      </c>
      <c r="AJ114" s="418">
        <f>VLOOKUP(D114,'Standard Cycle time'!C:D,2,0)</f>
        <v>4</v>
      </c>
      <c r="AK114" s="418">
        <f t="shared" si="41"/>
        <v>3.8426349496797805</v>
      </c>
      <c r="AL114" s="374">
        <f t="shared" si="42"/>
        <v>1.0409523809523809</v>
      </c>
      <c r="AM114" s="372">
        <f t="shared" si="43"/>
        <v>0.85179964349376103</v>
      </c>
      <c r="AN114" s="799" t="s">
        <v>2359</v>
      </c>
      <c r="AO114" s="929"/>
      <c r="AP114" s="440">
        <v>50</v>
      </c>
      <c r="AQ114" s="440">
        <v>0</v>
      </c>
      <c r="AR114" s="440">
        <v>0</v>
      </c>
      <c r="AS114" s="440">
        <v>40</v>
      </c>
      <c r="AT114" s="440">
        <v>0</v>
      </c>
      <c r="AU114" s="440">
        <v>0</v>
      </c>
      <c r="AV114" s="440">
        <v>0</v>
      </c>
      <c r="AW114" s="440">
        <v>0</v>
      </c>
      <c r="AX114" s="440">
        <v>0</v>
      </c>
      <c r="AY114" s="440">
        <v>0</v>
      </c>
      <c r="AZ114" s="440">
        <v>0</v>
      </c>
      <c r="BA114" s="440">
        <v>0</v>
      </c>
      <c r="BB114" s="440">
        <v>0</v>
      </c>
      <c r="BC114" s="440">
        <v>0</v>
      </c>
      <c r="BD114" s="440">
        <v>0</v>
      </c>
      <c r="BE114" s="440">
        <v>0</v>
      </c>
      <c r="BF114" s="440">
        <v>0</v>
      </c>
      <c r="BG114" s="440">
        <v>0</v>
      </c>
      <c r="BH114" s="440">
        <v>0</v>
      </c>
      <c r="BI114" s="440">
        <v>0</v>
      </c>
      <c r="BJ114" s="440">
        <v>0</v>
      </c>
      <c r="BK114" s="440">
        <v>0</v>
      </c>
      <c r="BL114" s="440">
        <v>0</v>
      </c>
      <c r="BM114" s="440">
        <v>0</v>
      </c>
      <c r="BN114" s="440">
        <v>0</v>
      </c>
      <c r="BO114" s="440">
        <v>0</v>
      </c>
      <c r="BP114" s="440">
        <v>0</v>
      </c>
      <c r="BQ114" s="440">
        <v>0</v>
      </c>
      <c r="BR114" s="415">
        <f t="shared" si="44"/>
        <v>1.5</v>
      </c>
      <c r="BS114" s="415">
        <f t="shared" si="46"/>
        <v>1.5249999999999999</v>
      </c>
      <c r="BT114" s="935"/>
      <c r="BU114" s="935"/>
      <c r="BV114" s="935"/>
      <c r="BW114" s="935"/>
      <c r="BX114" s="935"/>
      <c r="BY114" s="935"/>
      <c r="BZ114" s="935"/>
      <c r="CA114" s="935"/>
      <c r="CB114" s="935"/>
      <c r="CC114" s="935"/>
      <c r="CD114" s="935"/>
      <c r="CE114" s="935"/>
      <c r="CF114" s="935"/>
      <c r="CG114" s="935"/>
      <c r="CH114" s="935"/>
      <c r="CI114" s="935"/>
      <c r="CJ114" s="935"/>
      <c r="CK114" s="935"/>
      <c r="CL114" s="935"/>
      <c r="CM114" s="935"/>
      <c r="CN114" s="935"/>
      <c r="CO114" s="935"/>
      <c r="CP114" s="935"/>
      <c r="CQ114" s="935"/>
      <c r="CR114" s="935"/>
      <c r="CS114" s="935"/>
      <c r="CT114" s="935"/>
      <c r="CU114" s="935"/>
      <c r="CV114" s="935"/>
    </row>
    <row r="115" spans="1:100" s="375" customFormat="1" ht="14.9" customHeight="1">
      <c r="A115" s="375">
        <f t="shared" si="29"/>
        <v>8</v>
      </c>
      <c r="B115" s="455">
        <v>44419</v>
      </c>
      <c r="C115" s="445" t="s">
        <v>2001</v>
      </c>
      <c r="D115" s="376" t="str">
        <f>IFERROR(VLOOKUP(E:E,'Item Data Support Sheet'!A:O,7,0),"")</f>
        <v>NIPPLE PUNCH</v>
      </c>
      <c r="E115" s="447" t="s">
        <v>80</v>
      </c>
      <c r="F115" s="447"/>
      <c r="G115" s="376" t="s">
        <v>1692</v>
      </c>
      <c r="H115" s="602" t="str">
        <f>IFERROR(VLOOKUP(E:E,'Item Data Support Sheet'!A:O,2,0),"")</f>
        <v>NIPPLE S TYPE S SIZE PUNCHED</v>
      </c>
      <c r="I115" s="447" t="s">
        <v>2333</v>
      </c>
      <c r="J115" s="447" t="s">
        <v>2810</v>
      </c>
      <c r="K115" s="438">
        <v>8</v>
      </c>
      <c r="L115" s="439">
        <v>7036</v>
      </c>
      <c r="M115" s="366">
        <f t="shared" si="45"/>
        <v>879.5</v>
      </c>
      <c r="N115" s="367">
        <f t="shared" si="28"/>
        <v>7300</v>
      </c>
      <c r="O115" s="61">
        <v>7300</v>
      </c>
      <c r="P115" s="368">
        <v>0</v>
      </c>
      <c r="Q115" s="369">
        <v>0</v>
      </c>
      <c r="R115" s="370">
        <v>0</v>
      </c>
      <c r="S115" s="370">
        <v>0</v>
      </c>
      <c r="T115" s="370">
        <v>0</v>
      </c>
      <c r="U115" s="370">
        <v>0</v>
      </c>
      <c r="V115" s="450">
        <v>1</v>
      </c>
      <c r="W115" s="453">
        <f t="shared" si="30"/>
        <v>7300</v>
      </c>
      <c r="X115" s="748">
        <f t="shared" si="31"/>
        <v>1.0375213189312109</v>
      </c>
      <c r="Y115" s="451" t="str">
        <f>IFERROR(VLOOKUP(E:E,'Item Data Support Sheet'!A:J,6,0),0)</f>
        <v>FO015</v>
      </c>
      <c r="Z115" s="428">
        <f>IFERROR(VLOOKUP(E:E,'Item Data Support Sheet'!A:O,4,0),0)</f>
        <v>0</v>
      </c>
      <c r="AA115" s="428">
        <f t="shared" si="32"/>
        <v>0</v>
      </c>
      <c r="AB115" s="429" t="str">
        <f t="shared" si="33"/>
        <v xml:space="preserve"> </v>
      </c>
      <c r="AC115" s="424">
        <f t="shared" si="34"/>
        <v>0</v>
      </c>
      <c r="AD115" s="371">
        <f t="shared" si="35"/>
        <v>0</v>
      </c>
      <c r="AE115" s="748">
        <f t="shared" si="36"/>
        <v>1</v>
      </c>
      <c r="AF115" s="417">
        <f t="shared" si="37"/>
        <v>0.66666666666666663</v>
      </c>
      <c r="AG115" s="416">
        <f t="shared" si="38"/>
        <v>7.333333333333333</v>
      </c>
      <c r="AH115" s="372">
        <f t="shared" si="39"/>
        <v>0.91666666666666663</v>
      </c>
      <c r="AI115" s="373">
        <f t="shared" si="40"/>
        <v>912.5</v>
      </c>
      <c r="AJ115" s="418">
        <f>VLOOKUP(D115,'Standard Cycle time'!C:D,2,0)</f>
        <v>3.5</v>
      </c>
      <c r="AK115" s="418">
        <f t="shared" si="41"/>
        <v>3.6164383561643834</v>
      </c>
      <c r="AL115" s="374">
        <f t="shared" si="42"/>
        <v>0.96780303030303039</v>
      </c>
      <c r="AM115" s="372">
        <f t="shared" si="43"/>
        <v>0.88715277777777779</v>
      </c>
      <c r="AN115" s="799" t="s">
        <v>2357</v>
      </c>
      <c r="AO115" s="929"/>
      <c r="AP115" s="440">
        <v>40</v>
      </c>
      <c r="AQ115" s="440">
        <v>0</v>
      </c>
      <c r="AR115" s="440">
        <v>0</v>
      </c>
      <c r="AS115" s="440">
        <v>0</v>
      </c>
      <c r="AT115" s="440">
        <v>0</v>
      </c>
      <c r="AU115" s="440">
        <v>0</v>
      </c>
      <c r="AV115" s="440">
        <v>0</v>
      </c>
      <c r="AW115" s="440">
        <v>0</v>
      </c>
      <c r="AX115" s="440">
        <v>0</v>
      </c>
      <c r="AY115" s="440">
        <v>0</v>
      </c>
      <c r="AZ115" s="440">
        <v>0</v>
      </c>
      <c r="BA115" s="440">
        <v>0</v>
      </c>
      <c r="BB115" s="440">
        <v>0</v>
      </c>
      <c r="BC115" s="440">
        <v>0</v>
      </c>
      <c r="BD115" s="440">
        <v>0</v>
      </c>
      <c r="BE115" s="440">
        <v>0</v>
      </c>
      <c r="BF115" s="440">
        <v>0</v>
      </c>
      <c r="BG115" s="440">
        <v>0</v>
      </c>
      <c r="BH115" s="440">
        <v>0</v>
      </c>
      <c r="BI115" s="440">
        <v>0</v>
      </c>
      <c r="BJ115" s="440">
        <v>0</v>
      </c>
      <c r="BK115" s="440">
        <v>0</v>
      </c>
      <c r="BL115" s="440">
        <v>0</v>
      </c>
      <c r="BM115" s="440">
        <v>0</v>
      </c>
      <c r="BN115" s="440">
        <v>0</v>
      </c>
      <c r="BO115" s="440">
        <v>0</v>
      </c>
      <c r="BP115" s="440">
        <v>0</v>
      </c>
      <c r="BQ115" s="440">
        <v>0</v>
      </c>
      <c r="BR115" s="415">
        <f t="shared" si="44"/>
        <v>0.66666666666666663</v>
      </c>
      <c r="BS115" s="415">
        <f t="shared" si="46"/>
        <v>0.6777777777777777</v>
      </c>
      <c r="BT115" s="935"/>
      <c r="BU115" s="935"/>
      <c r="BV115" s="935"/>
      <c r="BW115" s="935"/>
      <c r="BX115" s="935"/>
      <c r="BY115" s="935"/>
      <c r="BZ115" s="935"/>
      <c r="CA115" s="935"/>
      <c r="CB115" s="935"/>
      <c r="CC115" s="935"/>
      <c r="CD115" s="935"/>
      <c r="CE115" s="935"/>
      <c r="CF115" s="935"/>
      <c r="CG115" s="935"/>
      <c r="CH115" s="935"/>
      <c r="CI115" s="935"/>
      <c r="CJ115" s="935"/>
      <c r="CK115" s="935"/>
      <c r="CL115" s="935"/>
      <c r="CM115" s="935"/>
      <c r="CN115" s="935"/>
      <c r="CO115" s="935"/>
      <c r="CP115" s="935"/>
      <c r="CQ115" s="935"/>
      <c r="CR115" s="935"/>
      <c r="CS115" s="935"/>
      <c r="CT115" s="935"/>
      <c r="CU115" s="935"/>
      <c r="CV115" s="935"/>
    </row>
    <row r="116" spans="1:100" s="375" customFormat="1" ht="14.9" customHeight="1">
      <c r="A116" s="375">
        <f t="shared" si="29"/>
        <v>8</v>
      </c>
      <c r="B116" s="455">
        <v>44419</v>
      </c>
      <c r="C116" s="445" t="s">
        <v>2001</v>
      </c>
      <c r="D116" s="376" t="str">
        <f>IFERROR(VLOOKUP(E:E,'Item Data Support Sheet'!A:O,7,0),"")</f>
        <v>NIPPLE POSTCURE</v>
      </c>
      <c r="E116" s="447" t="s">
        <v>76</v>
      </c>
      <c r="F116" s="447"/>
      <c r="G116" s="376" t="s">
        <v>1705</v>
      </c>
      <c r="H116" s="602" t="str">
        <f>IFERROR(VLOOKUP(E:E,'Item Data Support Sheet'!A:O,2,0),"")</f>
        <v>NIPPLE S TYPE S SIZE POSTCURED</v>
      </c>
      <c r="I116" s="447" t="s">
        <v>2358</v>
      </c>
      <c r="J116" s="447" t="s">
        <v>2810</v>
      </c>
      <c r="K116" s="438">
        <v>8</v>
      </c>
      <c r="L116" s="439">
        <v>7091</v>
      </c>
      <c r="M116" s="366">
        <f t="shared" si="45"/>
        <v>886.375</v>
      </c>
      <c r="N116" s="367">
        <f t="shared" si="28"/>
        <v>6820</v>
      </c>
      <c r="O116" s="61">
        <f>2820+4000</f>
        <v>6820</v>
      </c>
      <c r="P116" s="368">
        <v>0</v>
      </c>
      <c r="Q116" s="369">
        <v>0</v>
      </c>
      <c r="R116" s="370">
        <v>0</v>
      </c>
      <c r="S116" s="370">
        <v>0</v>
      </c>
      <c r="T116" s="370">
        <v>0</v>
      </c>
      <c r="U116" s="370">
        <v>0</v>
      </c>
      <c r="V116" s="450">
        <v>1</v>
      </c>
      <c r="W116" s="453">
        <f t="shared" si="30"/>
        <v>6820</v>
      </c>
      <c r="X116" s="748">
        <f t="shared" si="31"/>
        <v>0.96178254124947116</v>
      </c>
      <c r="Y116" s="451" t="str">
        <f>IFERROR(VLOOKUP(E:E,'Item Data Support Sheet'!A:J,6,0),0)</f>
        <v>FO011</v>
      </c>
      <c r="Z116" s="428">
        <f>IFERROR(VLOOKUP(E:E,'Item Data Support Sheet'!A:O,4,0),0)</f>
        <v>0</v>
      </c>
      <c r="AA116" s="428">
        <f t="shared" si="32"/>
        <v>0</v>
      </c>
      <c r="AB116" s="429" t="str">
        <f t="shared" si="33"/>
        <v xml:space="preserve"> </v>
      </c>
      <c r="AC116" s="424">
        <f t="shared" si="34"/>
        <v>0</v>
      </c>
      <c r="AD116" s="371">
        <f t="shared" si="35"/>
        <v>0</v>
      </c>
      <c r="AE116" s="748">
        <f t="shared" si="36"/>
        <v>1</v>
      </c>
      <c r="AF116" s="417">
        <f t="shared" si="37"/>
        <v>2.6666666666666665</v>
      </c>
      <c r="AG116" s="416">
        <f t="shared" si="38"/>
        <v>5.3333333333333339</v>
      </c>
      <c r="AH116" s="372">
        <f t="shared" si="39"/>
        <v>0.66666666666666674</v>
      </c>
      <c r="AI116" s="373">
        <f t="shared" si="40"/>
        <v>852.5</v>
      </c>
      <c r="AJ116" s="418">
        <f>VLOOKUP(D116,'Standard Cycle time'!C:D,2,0)</f>
        <v>2.2999999999999998</v>
      </c>
      <c r="AK116" s="418">
        <f t="shared" si="41"/>
        <v>2.8152492668621707</v>
      </c>
      <c r="AL116" s="374">
        <f t="shared" si="42"/>
        <v>0.81697916666666648</v>
      </c>
      <c r="AM116" s="372">
        <f t="shared" si="43"/>
        <v>0.54465277777777776</v>
      </c>
      <c r="AN116" s="799">
        <v>2369</v>
      </c>
      <c r="AO116" s="761" t="s">
        <v>2346</v>
      </c>
      <c r="AP116" s="440">
        <v>40</v>
      </c>
      <c r="AQ116" s="440">
        <v>0</v>
      </c>
      <c r="AR116" s="440">
        <v>0</v>
      </c>
      <c r="AS116" s="440">
        <v>120</v>
      </c>
      <c r="AT116" s="440">
        <v>0</v>
      </c>
      <c r="AU116" s="440">
        <v>0</v>
      </c>
      <c r="AV116" s="440">
        <v>0</v>
      </c>
      <c r="AW116" s="440">
        <v>0</v>
      </c>
      <c r="AX116" s="440">
        <v>0</v>
      </c>
      <c r="AY116" s="440">
        <v>0</v>
      </c>
      <c r="AZ116" s="440">
        <v>0</v>
      </c>
      <c r="BA116" s="440">
        <v>0</v>
      </c>
      <c r="BB116" s="440">
        <v>0</v>
      </c>
      <c r="BC116" s="440">
        <v>0</v>
      </c>
      <c r="BD116" s="440">
        <v>0</v>
      </c>
      <c r="BE116" s="440">
        <v>0</v>
      </c>
      <c r="BF116" s="440">
        <v>0</v>
      </c>
      <c r="BG116" s="440">
        <v>0</v>
      </c>
      <c r="BH116" s="440">
        <v>0</v>
      </c>
      <c r="BI116" s="440">
        <v>0</v>
      </c>
      <c r="BJ116" s="440">
        <v>0</v>
      </c>
      <c r="BK116" s="440">
        <v>0</v>
      </c>
      <c r="BL116" s="440">
        <v>0</v>
      </c>
      <c r="BM116" s="440">
        <v>0</v>
      </c>
      <c r="BN116" s="440">
        <v>0</v>
      </c>
      <c r="BO116" s="440">
        <v>0</v>
      </c>
      <c r="BP116" s="440">
        <v>0</v>
      </c>
      <c r="BQ116" s="440">
        <v>0</v>
      </c>
      <c r="BR116" s="415">
        <f t="shared" si="44"/>
        <v>2.6666666666666665</v>
      </c>
      <c r="BS116" s="415">
        <f t="shared" si="46"/>
        <v>2.7111111111111108</v>
      </c>
      <c r="BT116" s="935"/>
      <c r="BU116" s="935"/>
      <c r="BV116" s="935"/>
      <c r="BW116" s="935"/>
      <c r="BX116" s="935"/>
      <c r="BY116" s="935"/>
      <c r="BZ116" s="935"/>
      <c r="CA116" s="935"/>
      <c r="CB116" s="935"/>
      <c r="CC116" s="935"/>
      <c r="CD116" s="935"/>
      <c r="CE116" s="935"/>
      <c r="CF116" s="935"/>
      <c r="CG116" s="935"/>
      <c r="CH116" s="935"/>
      <c r="CI116" s="935"/>
      <c r="CJ116" s="935"/>
      <c r="CK116" s="935"/>
      <c r="CL116" s="935"/>
      <c r="CM116" s="935"/>
      <c r="CN116" s="935"/>
      <c r="CO116" s="935"/>
      <c r="CP116" s="935"/>
      <c r="CQ116" s="935"/>
      <c r="CR116" s="935"/>
      <c r="CS116" s="935"/>
      <c r="CT116" s="935"/>
      <c r="CU116" s="935"/>
      <c r="CV116" s="935"/>
    </row>
    <row r="117" spans="1:100" s="375" customFormat="1" ht="14.9" customHeight="1">
      <c r="A117" s="375">
        <f t="shared" si="29"/>
        <v>8</v>
      </c>
      <c r="B117" s="455">
        <v>44419</v>
      </c>
      <c r="C117" s="445" t="s">
        <v>2001</v>
      </c>
      <c r="D117" s="376" t="str">
        <f>IFERROR(VLOOKUP(E:E,'Item Data Support Sheet'!A:O,7,0),"")</f>
        <v>NIPPLE MOLDED</v>
      </c>
      <c r="E117" s="447" t="s">
        <v>72</v>
      </c>
      <c r="F117" s="447" t="s">
        <v>1678</v>
      </c>
      <c r="G117" s="376" t="s">
        <v>1691</v>
      </c>
      <c r="H117" s="602" t="str">
        <f>IFERROR(VLOOKUP(E:E,'Item Data Support Sheet'!A:O,2,0),"")</f>
        <v>NIPPLE S TYPE S SIZE INJECTION</v>
      </c>
      <c r="I117" s="447" t="s">
        <v>2360</v>
      </c>
      <c r="J117" s="447" t="s">
        <v>2810</v>
      </c>
      <c r="K117" s="438">
        <v>8</v>
      </c>
      <c r="L117" s="439">
        <v>4815</v>
      </c>
      <c r="M117" s="366">
        <f t="shared" si="45"/>
        <v>601.875</v>
      </c>
      <c r="N117" s="367">
        <f t="shared" si="28"/>
        <v>4586</v>
      </c>
      <c r="O117" s="61">
        <v>4500</v>
      </c>
      <c r="P117" s="368">
        <v>0</v>
      </c>
      <c r="Q117" s="369">
        <v>35</v>
      </c>
      <c r="R117" s="370">
        <v>0</v>
      </c>
      <c r="S117" s="370">
        <v>0</v>
      </c>
      <c r="T117" s="370">
        <v>51</v>
      </c>
      <c r="U117" s="370">
        <v>0</v>
      </c>
      <c r="V117" s="450">
        <v>1</v>
      </c>
      <c r="W117" s="453">
        <f t="shared" si="30"/>
        <v>4500</v>
      </c>
      <c r="X117" s="748">
        <f t="shared" si="31"/>
        <v>0.93457943925233644</v>
      </c>
      <c r="Y117" s="451" t="str">
        <f>IFERROR(VLOOKUP(E:E,'Item Data Support Sheet'!A:J,6,0),0)</f>
        <v>Silicon</v>
      </c>
      <c r="Z117" s="428">
        <f>IFERROR(VLOOKUP(E:E,'Item Data Support Sheet'!A:O,4,0),0)</f>
        <v>6.8</v>
      </c>
      <c r="AA117" s="428">
        <f t="shared" si="32"/>
        <v>31.184799999999999</v>
      </c>
      <c r="AB117" s="429">
        <f t="shared" si="33"/>
        <v>0.98124727431312686</v>
      </c>
      <c r="AC117" s="424">
        <f t="shared" si="34"/>
        <v>1.1206328279499011E-2</v>
      </c>
      <c r="AD117" s="371">
        <f t="shared" si="35"/>
        <v>7.5741181562432374E-3</v>
      </c>
      <c r="AE117" s="748">
        <f t="shared" si="36"/>
        <v>0.98887919755778453</v>
      </c>
      <c r="AF117" s="417">
        <f t="shared" si="37"/>
        <v>0</v>
      </c>
      <c r="AG117" s="416">
        <f t="shared" si="38"/>
        <v>8</v>
      </c>
      <c r="AH117" s="372">
        <f t="shared" si="39"/>
        <v>1</v>
      </c>
      <c r="AI117" s="373">
        <f t="shared" si="40"/>
        <v>562.5</v>
      </c>
      <c r="AJ117" s="418">
        <f>VLOOKUP(D117,'Standard Cycle time'!C:D,2,0)</f>
        <v>5.25</v>
      </c>
      <c r="AK117" s="418">
        <f t="shared" si="41"/>
        <v>6.4</v>
      </c>
      <c r="AL117" s="374">
        <f t="shared" si="42"/>
        <v>0.8203125</v>
      </c>
      <c r="AM117" s="372">
        <f t="shared" si="43"/>
        <v>0.81118996674662014</v>
      </c>
      <c r="AN117" s="799">
        <v>2370</v>
      </c>
      <c r="AO117" s="761"/>
      <c r="AP117" s="440">
        <v>0</v>
      </c>
      <c r="AQ117" s="440">
        <v>0</v>
      </c>
      <c r="AR117" s="440">
        <v>0</v>
      </c>
      <c r="AS117" s="440">
        <v>0</v>
      </c>
      <c r="AT117" s="440">
        <v>0</v>
      </c>
      <c r="AU117" s="440">
        <v>0</v>
      </c>
      <c r="AV117" s="440">
        <v>0</v>
      </c>
      <c r="AW117" s="440">
        <v>0</v>
      </c>
      <c r="AX117" s="440">
        <v>0</v>
      </c>
      <c r="AY117" s="440">
        <v>0</v>
      </c>
      <c r="AZ117" s="440">
        <v>0</v>
      </c>
      <c r="BA117" s="440">
        <v>0</v>
      </c>
      <c r="BB117" s="440">
        <v>0</v>
      </c>
      <c r="BC117" s="440">
        <v>0</v>
      </c>
      <c r="BD117" s="440">
        <v>0</v>
      </c>
      <c r="BE117" s="440">
        <v>0</v>
      </c>
      <c r="BF117" s="440">
        <v>0</v>
      </c>
      <c r="BG117" s="440">
        <v>0</v>
      </c>
      <c r="BH117" s="440">
        <v>0</v>
      </c>
      <c r="BI117" s="440">
        <v>0</v>
      </c>
      <c r="BJ117" s="440">
        <v>0</v>
      </c>
      <c r="BK117" s="440">
        <v>0</v>
      </c>
      <c r="BL117" s="440">
        <v>0</v>
      </c>
      <c r="BM117" s="440">
        <v>0</v>
      </c>
      <c r="BN117" s="440">
        <v>0</v>
      </c>
      <c r="BO117" s="440">
        <v>0</v>
      </c>
      <c r="BP117" s="440">
        <v>0</v>
      </c>
      <c r="BQ117" s="440">
        <v>0</v>
      </c>
      <c r="BR117" s="415">
        <f t="shared" si="44"/>
        <v>0</v>
      </c>
      <c r="BS117" s="415">
        <f t="shared" si="46"/>
        <v>0</v>
      </c>
      <c r="BT117" s="935"/>
      <c r="BU117" s="935"/>
      <c r="BV117" s="935"/>
      <c r="BW117" s="935"/>
      <c r="BX117" s="935"/>
      <c r="BY117" s="935"/>
      <c r="BZ117" s="935"/>
      <c r="CA117" s="935"/>
      <c r="CB117" s="935"/>
      <c r="CC117" s="935"/>
      <c r="CD117" s="935"/>
      <c r="CE117" s="935"/>
      <c r="CF117" s="935"/>
      <c r="CG117" s="935"/>
      <c r="CH117" s="935"/>
      <c r="CI117" s="935"/>
      <c r="CJ117" s="935"/>
      <c r="CK117" s="935"/>
      <c r="CL117" s="935"/>
      <c r="CM117" s="935"/>
      <c r="CN117" s="935"/>
      <c r="CO117" s="935"/>
      <c r="CP117" s="935"/>
      <c r="CQ117" s="935"/>
      <c r="CR117" s="935"/>
      <c r="CS117" s="935"/>
      <c r="CT117" s="935"/>
      <c r="CU117" s="935"/>
      <c r="CV117" s="935"/>
    </row>
    <row r="118" spans="1:100" s="375" customFormat="1" ht="14.9" customHeight="1">
      <c r="A118" s="375">
        <f t="shared" si="29"/>
        <v>8</v>
      </c>
      <c r="B118" s="455">
        <v>44419</v>
      </c>
      <c r="C118" s="445" t="s">
        <v>2001</v>
      </c>
      <c r="D118" s="376" t="str">
        <f>IFERROR(VLOOKUP(E:E,'Item Data Support Sheet'!A:O,7,0),"")</f>
        <v>CAP MOLDED</v>
      </c>
      <c r="E118" s="447" t="s">
        <v>2108</v>
      </c>
      <c r="F118" s="447"/>
      <c r="G118" s="376" t="s">
        <v>2220</v>
      </c>
      <c r="H118" s="602" t="str">
        <f>IFERROR(VLOOKUP(E:E,'Item Data Support Sheet'!A:O,2,0),"")</f>
        <v>CAP S TYPE MOLDED BLUE</v>
      </c>
      <c r="I118" s="447" t="s">
        <v>2361</v>
      </c>
      <c r="J118" s="447" t="s">
        <v>2810</v>
      </c>
      <c r="K118" s="438">
        <v>2</v>
      </c>
      <c r="L118" s="439">
        <v>1040</v>
      </c>
      <c r="M118" s="366">
        <f t="shared" si="45"/>
        <v>520</v>
      </c>
      <c r="N118" s="367">
        <f t="shared" si="28"/>
        <v>1040</v>
      </c>
      <c r="O118" s="61">
        <v>1040</v>
      </c>
      <c r="P118" s="368">
        <v>0</v>
      </c>
      <c r="Q118" s="369">
        <v>0</v>
      </c>
      <c r="R118" s="370">
        <v>0</v>
      </c>
      <c r="S118" s="370">
        <v>0</v>
      </c>
      <c r="T118" s="370">
        <v>0</v>
      </c>
      <c r="U118" s="370">
        <v>0</v>
      </c>
      <c r="V118" s="450">
        <v>1</v>
      </c>
      <c r="W118" s="453">
        <f t="shared" si="30"/>
        <v>1040</v>
      </c>
      <c r="X118" s="748">
        <f t="shared" si="31"/>
        <v>1</v>
      </c>
      <c r="Y118" s="451" t="str">
        <f>IFERROR(VLOOKUP(E:E,'Item Data Support Sheet'!A:J,6,0),0)</f>
        <v>RM000114</v>
      </c>
      <c r="Z118" s="428">
        <f>IFERROR(VLOOKUP(E:E,'Item Data Support Sheet'!A:O,4,0),0)</f>
        <v>7.3</v>
      </c>
      <c r="AA118" s="428">
        <f t="shared" si="32"/>
        <v>7.5919999999999996</v>
      </c>
      <c r="AB118" s="429">
        <f t="shared" si="33"/>
        <v>1</v>
      </c>
      <c r="AC118" s="424">
        <f t="shared" si="34"/>
        <v>0</v>
      </c>
      <c r="AD118" s="371">
        <f t="shared" si="35"/>
        <v>0</v>
      </c>
      <c r="AE118" s="748">
        <f t="shared" si="36"/>
        <v>1</v>
      </c>
      <c r="AF118" s="417">
        <f t="shared" si="37"/>
        <v>0</v>
      </c>
      <c r="AG118" s="416">
        <f t="shared" si="38"/>
        <v>2</v>
      </c>
      <c r="AH118" s="372">
        <f t="shared" si="39"/>
        <v>1</v>
      </c>
      <c r="AI118" s="373">
        <f t="shared" si="40"/>
        <v>520</v>
      </c>
      <c r="AJ118" s="418">
        <f>VLOOKUP(D118,'Standard Cycle time'!C:D,2,0)</f>
        <v>6</v>
      </c>
      <c r="AK118" s="418">
        <f t="shared" si="41"/>
        <v>6.9230769230769234</v>
      </c>
      <c r="AL118" s="374">
        <f t="shared" si="42"/>
        <v>0.86666666666666659</v>
      </c>
      <c r="AM118" s="372">
        <f t="shared" si="43"/>
        <v>0.86666666666666659</v>
      </c>
      <c r="AN118" s="799">
        <v>2690</v>
      </c>
      <c r="AO118" s="761"/>
      <c r="AP118" s="440">
        <v>0</v>
      </c>
      <c r="AQ118" s="440">
        <v>0</v>
      </c>
      <c r="AR118" s="440">
        <v>0</v>
      </c>
      <c r="AS118" s="440">
        <v>0</v>
      </c>
      <c r="AT118" s="440">
        <v>0</v>
      </c>
      <c r="AU118" s="440">
        <v>0</v>
      </c>
      <c r="AV118" s="440">
        <v>0</v>
      </c>
      <c r="AW118" s="440">
        <v>0</v>
      </c>
      <c r="AX118" s="440">
        <v>0</v>
      </c>
      <c r="AY118" s="440">
        <v>0</v>
      </c>
      <c r="AZ118" s="440">
        <v>0</v>
      </c>
      <c r="BA118" s="440">
        <v>0</v>
      </c>
      <c r="BB118" s="440">
        <v>0</v>
      </c>
      <c r="BC118" s="440">
        <v>0</v>
      </c>
      <c r="BD118" s="440">
        <v>0</v>
      </c>
      <c r="BE118" s="440">
        <v>0</v>
      </c>
      <c r="BF118" s="440">
        <v>0</v>
      </c>
      <c r="BG118" s="440">
        <v>0</v>
      </c>
      <c r="BH118" s="440">
        <v>0</v>
      </c>
      <c r="BI118" s="440">
        <v>0</v>
      </c>
      <c r="BJ118" s="440">
        <v>0</v>
      </c>
      <c r="BK118" s="440">
        <v>0</v>
      </c>
      <c r="BL118" s="440">
        <v>0</v>
      </c>
      <c r="BM118" s="440">
        <v>0</v>
      </c>
      <c r="BN118" s="440">
        <v>0</v>
      </c>
      <c r="BO118" s="440">
        <v>0</v>
      </c>
      <c r="BP118" s="440">
        <v>0</v>
      </c>
      <c r="BQ118" s="440">
        <v>0</v>
      </c>
      <c r="BR118" s="415">
        <f t="shared" si="44"/>
        <v>0</v>
      </c>
      <c r="BS118" s="415">
        <f t="shared" si="46"/>
        <v>0</v>
      </c>
      <c r="BT118" s="935"/>
      <c r="BU118" s="935"/>
      <c r="BV118" s="935"/>
      <c r="BW118" s="935"/>
      <c r="BX118" s="935"/>
      <c r="BY118" s="935"/>
      <c r="BZ118" s="935"/>
      <c r="CA118" s="935"/>
      <c r="CB118" s="935"/>
      <c r="CC118" s="935"/>
      <c r="CD118" s="935"/>
      <c r="CE118" s="935"/>
      <c r="CF118" s="935"/>
      <c r="CG118" s="935"/>
      <c r="CH118" s="935"/>
      <c r="CI118" s="935"/>
      <c r="CJ118" s="935"/>
      <c r="CK118" s="935"/>
      <c r="CL118" s="935"/>
      <c r="CM118" s="935"/>
      <c r="CN118" s="935"/>
      <c r="CO118" s="935"/>
      <c r="CP118" s="935"/>
      <c r="CQ118" s="935"/>
      <c r="CR118" s="935"/>
      <c r="CS118" s="935"/>
      <c r="CT118" s="935"/>
      <c r="CU118" s="935"/>
      <c r="CV118" s="935"/>
    </row>
    <row r="119" spans="1:100" s="375" customFormat="1" ht="14.9" customHeight="1">
      <c r="A119" s="375">
        <f t="shared" si="29"/>
        <v>8</v>
      </c>
      <c r="B119" s="455">
        <v>44419</v>
      </c>
      <c r="C119" s="445" t="s">
        <v>2001</v>
      </c>
      <c r="D119" s="376" t="str">
        <f>IFERROR(VLOOKUP(E:E,'Item Data Support Sheet'!A:O,7,0),"")</f>
        <v>CAP MOLDED</v>
      </c>
      <c r="E119" s="447" t="s">
        <v>2108</v>
      </c>
      <c r="F119" s="447"/>
      <c r="G119" s="376" t="s">
        <v>2220</v>
      </c>
      <c r="H119" s="602" t="str">
        <f>IFERROR(VLOOKUP(E:E,'Item Data Support Sheet'!A:O,2,0),"")</f>
        <v>CAP S TYPE MOLDED BLUE</v>
      </c>
      <c r="I119" s="447" t="s">
        <v>2362</v>
      </c>
      <c r="J119" s="447" t="s">
        <v>2810</v>
      </c>
      <c r="K119" s="438">
        <v>6</v>
      </c>
      <c r="L119" s="439">
        <f>4137-1040</f>
        <v>3097</v>
      </c>
      <c r="M119" s="366">
        <f t="shared" si="45"/>
        <v>516.16666666666663</v>
      </c>
      <c r="N119" s="367">
        <f t="shared" si="28"/>
        <v>3505</v>
      </c>
      <c r="O119" s="61">
        <v>3500</v>
      </c>
      <c r="P119" s="368">
        <v>0</v>
      </c>
      <c r="Q119" s="369">
        <v>0</v>
      </c>
      <c r="R119" s="370">
        <v>0</v>
      </c>
      <c r="S119" s="370">
        <v>0</v>
      </c>
      <c r="T119" s="370">
        <v>5</v>
      </c>
      <c r="U119" s="370">
        <v>0</v>
      </c>
      <c r="V119" s="450">
        <v>1</v>
      </c>
      <c r="W119" s="453">
        <f t="shared" si="30"/>
        <v>3500</v>
      </c>
      <c r="X119" s="748">
        <f t="shared" si="31"/>
        <v>1.1301259283177267</v>
      </c>
      <c r="Y119" s="451" t="str">
        <f>IFERROR(VLOOKUP(E:E,'Item Data Support Sheet'!A:J,6,0),0)</f>
        <v>RM000114</v>
      </c>
      <c r="Z119" s="428">
        <f>IFERROR(VLOOKUP(E:E,'Item Data Support Sheet'!A:O,4,0),0)</f>
        <v>7.3</v>
      </c>
      <c r="AA119" s="428">
        <f t="shared" si="32"/>
        <v>25.586500000000001</v>
      </c>
      <c r="AB119" s="429">
        <f t="shared" si="33"/>
        <v>0.99857346647646217</v>
      </c>
      <c r="AC119" s="424">
        <f t="shared" si="34"/>
        <v>1.4265335235378032E-3</v>
      </c>
      <c r="AD119" s="371">
        <f t="shared" si="35"/>
        <v>0</v>
      </c>
      <c r="AE119" s="748">
        <f t="shared" si="36"/>
        <v>0.99857346647646217</v>
      </c>
      <c r="AF119" s="417">
        <f t="shared" si="37"/>
        <v>0</v>
      </c>
      <c r="AG119" s="416">
        <f t="shared" si="38"/>
        <v>6</v>
      </c>
      <c r="AH119" s="372">
        <f t="shared" si="39"/>
        <v>1</v>
      </c>
      <c r="AI119" s="373">
        <f t="shared" si="40"/>
        <v>583.33333333333337</v>
      </c>
      <c r="AJ119" s="418">
        <f>VLOOKUP(D119,'Standard Cycle time'!C:D,2,0)</f>
        <v>6</v>
      </c>
      <c r="AK119" s="418">
        <f t="shared" si="41"/>
        <v>6.1714285714285717</v>
      </c>
      <c r="AL119" s="374">
        <f t="shared" si="42"/>
        <v>0.97222222222222221</v>
      </c>
      <c r="AM119" s="372">
        <f t="shared" si="43"/>
        <v>0.97083531462989381</v>
      </c>
      <c r="AN119" s="799">
        <v>2691</v>
      </c>
      <c r="AO119" s="761"/>
      <c r="AP119" s="440">
        <v>0</v>
      </c>
      <c r="AQ119" s="440">
        <v>0</v>
      </c>
      <c r="AR119" s="440">
        <v>0</v>
      </c>
      <c r="AS119" s="440">
        <v>0</v>
      </c>
      <c r="AT119" s="440">
        <v>0</v>
      </c>
      <c r="AU119" s="440">
        <v>0</v>
      </c>
      <c r="AV119" s="440">
        <v>0</v>
      </c>
      <c r="AW119" s="440">
        <v>0</v>
      </c>
      <c r="AX119" s="440">
        <v>0</v>
      </c>
      <c r="AY119" s="440">
        <v>0</v>
      </c>
      <c r="AZ119" s="440">
        <v>0</v>
      </c>
      <c r="BA119" s="440">
        <v>0</v>
      </c>
      <c r="BB119" s="440">
        <v>0</v>
      </c>
      <c r="BC119" s="440">
        <v>0</v>
      </c>
      <c r="BD119" s="440">
        <v>0</v>
      </c>
      <c r="BE119" s="440">
        <v>0</v>
      </c>
      <c r="BF119" s="440">
        <v>0</v>
      </c>
      <c r="BG119" s="440">
        <v>0</v>
      </c>
      <c r="BH119" s="440">
        <v>0</v>
      </c>
      <c r="BI119" s="440">
        <v>0</v>
      </c>
      <c r="BJ119" s="440">
        <v>0</v>
      </c>
      <c r="BK119" s="440">
        <v>0</v>
      </c>
      <c r="BL119" s="440">
        <v>0</v>
      </c>
      <c r="BM119" s="440">
        <v>0</v>
      </c>
      <c r="BN119" s="440">
        <v>0</v>
      </c>
      <c r="BO119" s="440">
        <v>0</v>
      </c>
      <c r="BP119" s="440">
        <v>0</v>
      </c>
      <c r="BQ119" s="440">
        <v>0</v>
      </c>
      <c r="BR119" s="415">
        <f t="shared" si="44"/>
        <v>0</v>
      </c>
      <c r="BS119" s="415">
        <f t="shared" si="46"/>
        <v>0</v>
      </c>
      <c r="BT119" s="935"/>
      <c r="BU119" s="935"/>
      <c r="BV119" s="935"/>
      <c r="BW119" s="935"/>
      <c r="BX119" s="935"/>
      <c r="BY119" s="935"/>
      <c r="BZ119" s="935"/>
      <c r="CA119" s="935"/>
      <c r="CB119" s="935"/>
      <c r="CC119" s="935"/>
      <c r="CD119" s="935"/>
      <c r="CE119" s="935"/>
      <c r="CF119" s="935"/>
      <c r="CG119" s="935"/>
      <c r="CH119" s="935"/>
      <c r="CI119" s="935"/>
      <c r="CJ119" s="935"/>
      <c r="CK119" s="935"/>
      <c r="CL119" s="935"/>
      <c r="CM119" s="935"/>
      <c r="CN119" s="935"/>
      <c r="CO119" s="935"/>
      <c r="CP119" s="935"/>
      <c r="CQ119" s="935"/>
      <c r="CR119" s="935"/>
      <c r="CS119" s="935"/>
      <c r="CT119" s="935"/>
      <c r="CU119" s="935"/>
      <c r="CV119" s="935"/>
    </row>
    <row r="120" spans="1:100" s="375" customFormat="1" ht="14.9" customHeight="1">
      <c r="A120" s="375">
        <f t="shared" si="29"/>
        <v>8</v>
      </c>
      <c r="B120" s="455">
        <v>44419</v>
      </c>
      <c r="C120" s="445" t="s">
        <v>2053</v>
      </c>
      <c r="D120" s="376" t="str">
        <f>IFERROR(VLOOKUP(E:E,'Item Data Support Sheet'!A:O,7,0),"")</f>
        <v>BOTTLE MOLDED</v>
      </c>
      <c r="E120" s="447" t="s">
        <v>65</v>
      </c>
      <c r="F120" s="447" t="s">
        <v>1682</v>
      </c>
      <c r="G120" s="376" t="s">
        <v>1665</v>
      </c>
      <c r="H120" s="602" t="str">
        <f>IFERROR(VLOOKUP(E:E,'Item Data Support Sheet'!A:O,2,0),"")</f>
        <v>KPP 120 ML BOTTLE MOLDED</v>
      </c>
      <c r="I120" s="447" t="s">
        <v>2363</v>
      </c>
      <c r="J120" s="447" t="s">
        <v>2808</v>
      </c>
      <c r="K120" s="438">
        <v>1.2</v>
      </c>
      <c r="L120" s="439">
        <v>500</v>
      </c>
      <c r="M120" s="366">
        <f t="shared" si="45"/>
        <v>416.66666666666669</v>
      </c>
      <c r="N120" s="367">
        <f t="shared" si="28"/>
        <v>489</v>
      </c>
      <c r="O120" s="61">
        <f>360+93</f>
        <v>453</v>
      </c>
      <c r="P120" s="368">
        <v>0.25</v>
      </c>
      <c r="Q120" s="369">
        <v>18</v>
      </c>
      <c r="R120" s="370">
        <v>0</v>
      </c>
      <c r="S120" s="370">
        <v>0</v>
      </c>
      <c r="T120" s="370">
        <v>10</v>
      </c>
      <c r="U120" s="370">
        <v>8</v>
      </c>
      <c r="V120" s="450">
        <v>1</v>
      </c>
      <c r="W120" s="453">
        <f t="shared" si="30"/>
        <v>453</v>
      </c>
      <c r="X120" s="748">
        <f t="shared" si="31"/>
        <v>0.90600000000000003</v>
      </c>
      <c r="Y120" s="451" t="str">
        <f>IFERROR(VLOOKUP(E:E,'Item Data Support Sheet'!A:J,6,0),0)</f>
        <v>HMC</v>
      </c>
      <c r="Z120" s="428">
        <f>IFERROR(VLOOKUP(E:E,'Item Data Support Sheet'!A:O,4,0),0)</f>
        <v>21.3</v>
      </c>
      <c r="AA120" s="428">
        <f t="shared" si="32"/>
        <v>10.665699999999999</v>
      </c>
      <c r="AB120" s="429">
        <f t="shared" si="33"/>
        <v>0.90466636038891024</v>
      </c>
      <c r="AC120" s="424">
        <f t="shared" si="34"/>
        <v>2.159827213822894E-2</v>
      </c>
      <c r="AD120" s="371">
        <f t="shared" si="35"/>
        <v>3.5502958579881658E-2</v>
      </c>
      <c r="AE120" s="748">
        <f t="shared" si="36"/>
        <v>0.9795501022494888</v>
      </c>
      <c r="AF120" s="417">
        <f t="shared" si="37"/>
        <v>0</v>
      </c>
      <c r="AG120" s="416">
        <f t="shared" si="38"/>
        <v>1.2</v>
      </c>
      <c r="AH120" s="372">
        <f t="shared" si="39"/>
        <v>1</v>
      </c>
      <c r="AI120" s="373">
        <f t="shared" si="40"/>
        <v>377.5</v>
      </c>
      <c r="AJ120" s="418">
        <f>VLOOKUP(D120,'Standard Cycle time'!C:D,2,0)</f>
        <v>9</v>
      </c>
      <c r="AK120" s="418">
        <f t="shared" si="41"/>
        <v>9.5364238410596034</v>
      </c>
      <c r="AL120" s="374">
        <f t="shared" si="42"/>
        <v>0.94374999999999998</v>
      </c>
      <c r="AM120" s="372">
        <f t="shared" si="43"/>
        <v>0.92445040899795505</v>
      </c>
      <c r="AN120" s="799">
        <v>2373</v>
      </c>
      <c r="AO120" s="761" t="s">
        <v>2364</v>
      </c>
      <c r="AP120" s="440">
        <v>0</v>
      </c>
      <c r="AQ120" s="440">
        <v>0</v>
      </c>
      <c r="AR120" s="440">
        <v>0</v>
      </c>
      <c r="AS120" s="440">
        <v>0</v>
      </c>
      <c r="AT120" s="440">
        <v>0</v>
      </c>
      <c r="AU120" s="440">
        <v>0</v>
      </c>
      <c r="AV120" s="440">
        <v>0</v>
      </c>
      <c r="AW120" s="440">
        <v>0</v>
      </c>
      <c r="AX120" s="440">
        <v>0</v>
      </c>
      <c r="AY120" s="440">
        <v>0</v>
      </c>
      <c r="AZ120" s="440">
        <v>0</v>
      </c>
      <c r="BA120" s="440">
        <v>0</v>
      </c>
      <c r="BB120" s="440">
        <v>0</v>
      </c>
      <c r="BC120" s="440">
        <v>0</v>
      </c>
      <c r="BD120" s="440">
        <v>0</v>
      </c>
      <c r="BE120" s="440">
        <v>0</v>
      </c>
      <c r="BF120" s="440">
        <v>0</v>
      </c>
      <c r="BG120" s="440">
        <v>0</v>
      </c>
      <c r="BH120" s="440">
        <v>0</v>
      </c>
      <c r="BI120" s="440">
        <v>0</v>
      </c>
      <c r="BJ120" s="440">
        <v>0</v>
      </c>
      <c r="BK120" s="440">
        <v>0</v>
      </c>
      <c r="BL120" s="440">
        <v>0</v>
      </c>
      <c r="BM120" s="440">
        <v>0</v>
      </c>
      <c r="BN120" s="440">
        <v>0</v>
      </c>
      <c r="BO120" s="440">
        <v>0</v>
      </c>
      <c r="BP120" s="440">
        <v>0</v>
      </c>
      <c r="BQ120" s="440">
        <v>0</v>
      </c>
      <c r="BR120" s="415">
        <f t="shared" si="44"/>
        <v>0</v>
      </c>
      <c r="BS120" s="415">
        <f t="shared" si="46"/>
        <v>0</v>
      </c>
      <c r="BT120" s="935"/>
      <c r="BU120" s="935"/>
      <c r="BV120" s="935"/>
      <c r="BW120" s="935"/>
      <c r="BX120" s="935"/>
      <c r="BY120" s="935"/>
      <c r="BZ120" s="935"/>
      <c r="CA120" s="935"/>
      <c r="CB120" s="935"/>
      <c r="CC120" s="935"/>
      <c r="CD120" s="935"/>
      <c r="CE120" s="935"/>
      <c r="CF120" s="935"/>
      <c r="CG120" s="935"/>
      <c r="CH120" s="935"/>
      <c r="CI120" s="935"/>
      <c r="CJ120" s="935"/>
      <c r="CK120" s="935"/>
      <c r="CL120" s="935"/>
      <c r="CM120" s="935"/>
      <c r="CN120" s="935"/>
      <c r="CO120" s="935"/>
      <c r="CP120" s="935"/>
      <c r="CQ120" s="935"/>
      <c r="CR120" s="935"/>
      <c r="CS120" s="935"/>
      <c r="CT120" s="935"/>
      <c r="CU120" s="935"/>
      <c r="CV120" s="935"/>
    </row>
    <row r="121" spans="1:100" s="375" customFormat="1" ht="14.9" customHeight="1">
      <c r="A121" s="375">
        <f t="shared" si="29"/>
        <v>8</v>
      </c>
      <c r="B121" s="455">
        <v>44419</v>
      </c>
      <c r="C121" s="445" t="s">
        <v>2053</v>
      </c>
      <c r="D121" s="376" t="str">
        <f>IFERROR(VLOOKUP(E:E,'Item Data Support Sheet'!A:O,7,0),"")</f>
        <v>NIPPLE MOLDED</v>
      </c>
      <c r="E121" s="447" t="s">
        <v>72</v>
      </c>
      <c r="F121" s="447" t="s">
        <v>1678</v>
      </c>
      <c r="G121" s="376" t="s">
        <v>1691</v>
      </c>
      <c r="H121" s="602" t="str">
        <f>IFERROR(VLOOKUP(E:E,'Item Data Support Sheet'!A:O,2,0),"")</f>
        <v>NIPPLE S TYPE S SIZE INJECTION</v>
      </c>
      <c r="I121" s="447" t="s">
        <v>2365</v>
      </c>
      <c r="J121" s="447" t="s">
        <v>2808</v>
      </c>
      <c r="K121" s="438">
        <v>8</v>
      </c>
      <c r="L121" s="439">
        <v>4815</v>
      </c>
      <c r="M121" s="366">
        <f t="shared" si="45"/>
        <v>601.875</v>
      </c>
      <c r="N121" s="367">
        <f t="shared" si="28"/>
        <v>5373</v>
      </c>
      <c r="O121" s="61">
        <v>5300</v>
      </c>
      <c r="P121" s="368">
        <v>0</v>
      </c>
      <c r="Q121" s="369">
        <v>0</v>
      </c>
      <c r="R121" s="370">
        <v>0</v>
      </c>
      <c r="S121" s="370">
        <v>0</v>
      </c>
      <c r="T121" s="370">
        <v>65</v>
      </c>
      <c r="U121" s="370">
        <v>8</v>
      </c>
      <c r="V121" s="450">
        <v>1</v>
      </c>
      <c r="W121" s="453">
        <f t="shared" si="30"/>
        <v>5300</v>
      </c>
      <c r="X121" s="748">
        <f t="shared" si="31"/>
        <v>1.1007268951194185</v>
      </c>
      <c r="Y121" s="451" t="str">
        <f>IFERROR(VLOOKUP(E:E,'Item Data Support Sheet'!A:J,6,0),0)</f>
        <v>Silicon</v>
      </c>
      <c r="Z121" s="428">
        <f>IFERROR(VLOOKUP(E:E,'Item Data Support Sheet'!A:O,4,0),0)</f>
        <v>6.8</v>
      </c>
      <c r="AA121" s="428">
        <f t="shared" si="32"/>
        <v>36.5364</v>
      </c>
      <c r="AB121" s="429">
        <f t="shared" si="33"/>
        <v>0.98641354922761959</v>
      </c>
      <c r="AC121" s="424">
        <f t="shared" si="34"/>
        <v>1.2115563839701771E-2</v>
      </c>
      <c r="AD121" s="371">
        <f t="shared" si="35"/>
        <v>0</v>
      </c>
      <c r="AE121" s="748">
        <f t="shared" si="36"/>
        <v>0.98790247533966125</v>
      </c>
      <c r="AF121" s="417">
        <f t="shared" si="37"/>
        <v>0</v>
      </c>
      <c r="AG121" s="416">
        <f t="shared" si="38"/>
        <v>8</v>
      </c>
      <c r="AH121" s="372">
        <f t="shared" si="39"/>
        <v>1</v>
      </c>
      <c r="AI121" s="373">
        <f t="shared" si="40"/>
        <v>662.5</v>
      </c>
      <c r="AJ121" s="418">
        <f>VLOOKUP(D121,'Standard Cycle time'!C:D,2,0)</f>
        <v>5.25</v>
      </c>
      <c r="AK121" s="418">
        <f t="shared" si="41"/>
        <v>5.4339622641509431</v>
      </c>
      <c r="AL121" s="374">
        <f t="shared" si="42"/>
        <v>0.96614583333333337</v>
      </c>
      <c r="AM121" s="372">
        <f t="shared" si="43"/>
        <v>0.95445786028909985</v>
      </c>
      <c r="AN121" s="799">
        <v>2374</v>
      </c>
      <c r="AO121" s="761"/>
      <c r="AP121" s="440">
        <v>0</v>
      </c>
      <c r="AQ121" s="440">
        <v>0</v>
      </c>
      <c r="AR121" s="440">
        <v>0</v>
      </c>
      <c r="AS121" s="440">
        <v>0</v>
      </c>
      <c r="AT121" s="440">
        <v>0</v>
      </c>
      <c r="AU121" s="440">
        <v>0</v>
      </c>
      <c r="AV121" s="440">
        <v>0</v>
      </c>
      <c r="AW121" s="440">
        <v>0</v>
      </c>
      <c r="AX121" s="440">
        <v>0</v>
      </c>
      <c r="AY121" s="440">
        <v>0</v>
      </c>
      <c r="AZ121" s="440">
        <v>0</v>
      </c>
      <c r="BA121" s="440">
        <v>0</v>
      </c>
      <c r="BB121" s="440">
        <v>0</v>
      </c>
      <c r="BC121" s="440">
        <v>0</v>
      </c>
      <c r="BD121" s="440">
        <v>0</v>
      </c>
      <c r="BE121" s="440">
        <v>0</v>
      </c>
      <c r="BF121" s="440">
        <v>0</v>
      </c>
      <c r="BG121" s="440">
        <v>0</v>
      </c>
      <c r="BH121" s="440">
        <v>0</v>
      </c>
      <c r="BI121" s="440">
        <v>0</v>
      </c>
      <c r="BJ121" s="440">
        <v>0</v>
      </c>
      <c r="BK121" s="440">
        <v>0</v>
      </c>
      <c r="BL121" s="440">
        <v>0</v>
      </c>
      <c r="BM121" s="440">
        <v>0</v>
      </c>
      <c r="BN121" s="440">
        <v>0</v>
      </c>
      <c r="BO121" s="440">
        <v>0</v>
      </c>
      <c r="BP121" s="440">
        <v>0</v>
      </c>
      <c r="BQ121" s="440">
        <v>0</v>
      </c>
      <c r="BR121" s="415">
        <f t="shared" si="44"/>
        <v>0</v>
      </c>
      <c r="BS121" s="415">
        <f t="shared" si="46"/>
        <v>0</v>
      </c>
      <c r="BT121" s="935"/>
      <c r="BU121" s="935"/>
      <c r="BV121" s="935"/>
      <c r="BW121" s="935"/>
      <c r="BX121" s="935"/>
      <c r="BY121" s="935"/>
      <c r="BZ121" s="935"/>
      <c r="CA121" s="935"/>
      <c r="CB121" s="935"/>
      <c r="CC121" s="935"/>
      <c r="CD121" s="935"/>
      <c r="CE121" s="935"/>
      <c r="CF121" s="935"/>
      <c r="CG121" s="935"/>
      <c r="CH121" s="935"/>
      <c r="CI121" s="935"/>
      <c r="CJ121" s="935"/>
      <c r="CK121" s="935"/>
      <c r="CL121" s="935"/>
      <c r="CM121" s="935"/>
      <c r="CN121" s="935"/>
      <c r="CO121" s="935"/>
      <c r="CP121" s="935"/>
      <c r="CQ121" s="935"/>
      <c r="CR121" s="935"/>
      <c r="CS121" s="935"/>
      <c r="CT121" s="935"/>
      <c r="CU121" s="935"/>
      <c r="CV121" s="935"/>
    </row>
    <row r="122" spans="1:100" s="375" customFormat="1" ht="14.9" customHeight="1">
      <c r="A122" s="375">
        <f t="shared" si="29"/>
        <v>8</v>
      </c>
      <c r="B122" s="455">
        <v>44419</v>
      </c>
      <c r="C122" s="445" t="s">
        <v>2053</v>
      </c>
      <c r="D122" s="376" t="str">
        <f>IFERROR(VLOOKUP(E:E,'Item Data Support Sheet'!A:O,7,0),"")</f>
        <v>NIPPLE POSTCURE</v>
      </c>
      <c r="E122" s="446" t="s">
        <v>76</v>
      </c>
      <c r="F122" s="447"/>
      <c r="G122" s="376" t="s">
        <v>1705</v>
      </c>
      <c r="H122" s="602" t="str">
        <f>IFERROR(VLOOKUP(E:E,'Item Data Support Sheet'!A:O,2,0),"")</f>
        <v>NIPPLE S TYPE S SIZE POSTCURED</v>
      </c>
      <c r="I122" s="447" t="s">
        <v>2366</v>
      </c>
      <c r="J122" s="447" t="s">
        <v>2808</v>
      </c>
      <c r="K122" s="438">
        <v>4</v>
      </c>
      <c r="L122" s="439">
        <v>7000</v>
      </c>
      <c r="M122" s="366">
        <f t="shared" si="45"/>
        <v>1750</v>
      </c>
      <c r="N122" s="367">
        <f t="shared" si="28"/>
        <v>5500</v>
      </c>
      <c r="O122" s="61">
        <v>5500</v>
      </c>
      <c r="P122" s="368">
        <v>0</v>
      </c>
      <c r="Q122" s="369">
        <v>0</v>
      </c>
      <c r="R122" s="370">
        <v>0</v>
      </c>
      <c r="S122" s="370">
        <v>0</v>
      </c>
      <c r="T122" s="370">
        <v>0</v>
      </c>
      <c r="U122" s="370">
        <v>0</v>
      </c>
      <c r="V122" s="450">
        <v>1</v>
      </c>
      <c r="W122" s="453">
        <f t="shared" si="30"/>
        <v>5500</v>
      </c>
      <c r="X122" s="748">
        <f t="shared" si="31"/>
        <v>0.7857142857142857</v>
      </c>
      <c r="Y122" s="451" t="str">
        <f>IFERROR(VLOOKUP(E:E,'Item Data Support Sheet'!A:J,6,0),0)</f>
        <v>FO011</v>
      </c>
      <c r="Z122" s="428">
        <f>IFERROR(VLOOKUP(E:E,'Item Data Support Sheet'!A:O,4,0),0)</f>
        <v>0</v>
      </c>
      <c r="AA122" s="428">
        <f t="shared" si="32"/>
        <v>0</v>
      </c>
      <c r="AB122" s="429" t="str">
        <f t="shared" si="33"/>
        <v xml:space="preserve"> </v>
      </c>
      <c r="AC122" s="424">
        <f t="shared" si="34"/>
        <v>0</v>
      </c>
      <c r="AD122" s="371">
        <f t="shared" si="35"/>
        <v>0</v>
      </c>
      <c r="AE122" s="748">
        <f t="shared" si="36"/>
        <v>1</v>
      </c>
      <c r="AF122" s="417">
        <f t="shared" si="37"/>
        <v>0</v>
      </c>
      <c r="AG122" s="416">
        <f t="shared" si="38"/>
        <v>4</v>
      </c>
      <c r="AH122" s="372">
        <f t="shared" si="39"/>
        <v>1</v>
      </c>
      <c r="AI122" s="373">
        <f t="shared" si="40"/>
        <v>1375</v>
      </c>
      <c r="AJ122" s="418">
        <f>VLOOKUP(D122,'Standard Cycle time'!C:D,2,0)</f>
        <v>2.2999999999999998</v>
      </c>
      <c r="AK122" s="418">
        <f t="shared" si="41"/>
        <v>2.6181818181818182</v>
      </c>
      <c r="AL122" s="374">
        <f t="shared" si="42"/>
        <v>0.87847222222222221</v>
      </c>
      <c r="AM122" s="372">
        <f t="shared" si="43"/>
        <v>0.87847222222222221</v>
      </c>
      <c r="AN122" s="799" t="s">
        <v>2368</v>
      </c>
      <c r="AO122" s="761" t="s">
        <v>2346</v>
      </c>
      <c r="AP122" s="440"/>
      <c r="AQ122" s="440">
        <v>0</v>
      </c>
      <c r="AR122" s="440">
        <v>0</v>
      </c>
      <c r="AS122" s="440">
        <v>0</v>
      </c>
      <c r="AT122" s="440">
        <v>0</v>
      </c>
      <c r="AU122" s="440">
        <v>0</v>
      </c>
      <c r="AV122" s="440">
        <v>0</v>
      </c>
      <c r="AW122" s="440">
        <v>0</v>
      </c>
      <c r="AX122" s="440">
        <v>0</v>
      </c>
      <c r="AY122" s="440">
        <v>0</v>
      </c>
      <c r="AZ122" s="440">
        <v>0</v>
      </c>
      <c r="BA122" s="440">
        <v>0</v>
      </c>
      <c r="BB122" s="440">
        <v>0</v>
      </c>
      <c r="BC122" s="440">
        <v>0</v>
      </c>
      <c r="BD122" s="440">
        <v>0</v>
      </c>
      <c r="BE122" s="440">
        <v>0</v>
      </c>
      <c r="BF122" s="440">
        <v>0</v>
      </c>
      <c r="BG122" s="440">
        <v>0</v>
      </c>
      <c r="BH122" s="440">
        <v>0</v>
      </c>
      <c r="BI122" s="440">
        <v>0</v>
      </c>
      <c r="BJ122" s="440">
        <v>0</v>
      </c>
      <c r="BK122" s="440">
        <v>0</v>
      </c>
      <c r="BL122" s="440">
        <v>0</v>
      </c>
      <c r="BM122" s="440">
        <v>0</v>
      </c>
      <c r="BN122" s="440">
        <v>0</v>
      </c>
      <c r="BO122" s="440">
        <v>0</v>
      </c>
      <c r="BP122" s="440">
        <v>0</v>
      </c>
      <c r="BQ122" s="440">
        <v>0</v>
      </c>
      <c r="BR122" s="415">
        <f t="shared" si="44"/>
        <v>0</v>
      </c>
      <c r="BS122" s="415">
        <f t="shared" si="46"/>
        <v>0</v>
      </c>
      <c r="BT122" s="935"/>
      <c r="BU122" s="935"/>
      <c r="BV122" s="935"/>
      <c r="BW122" s="935"/>
      <c r="BX122" s="935"/>
      <c r="BY122" s="935"/>
      <c r="BZ122" s="935"/>
      <c r="CA122" s="935"/>
      <c r="CB122" s="935"/>
      <c r="CC122" s="935"/>
      <c r="CD122" s="935"/>
      <c r="CE122" s="935"/>
      <c r="CF122" s="935"/>
      <c r="CG122" s="935"/>
      <c r="CH122" s="935"/>
      <c r="CI122" s="935"/>
      <c r="CJ122" s="935"/>
      <c r="CK122" s="935"/>
      <c r="CL122" s="935"/>
      <c r="CM122" s="935"/>
      <c r="CN122" s="935"/>
      <c r="CO122" s="935"/>
      <c r="CP122" s="935"/>
      <c r="CQ122" s="935"/>
      <c r="CR122" s="935"/>
      <c r="CS122" s="935"/>
      <c r="CT122" s="935"/>
      <c r="CU122" s="935"/>
      <c r="CV122" s="935"/>
    </row>
    <row r="123" spans="1:100" s="375" customFormat="1" ht="14.9" customHeight="1">
      <c r="A123" s="375">
        <f t="shared" si="29"/>
        <v>8</v>
      </c>
      <c r="B123" s="455">
        <v>44419</v>
      </c>
      <c r="C123" s="445" t="s">
        <v>2053</v>
      </c>
      <c r="D123" s="376" t="str">
        <f>IFERROR(VLOOKUP(E:E,'Item Data Support Sheet'!A:O,7,0),"")</f>
        <v>CAP MOLDED</v>
      </c>
      <c r="E123" s="447" t="s">
        <v>2108</v>
      </c>
      <c r="F123" s="447"/>
      <c r="G123" s="376" t="s">
        <v>2220</v>
      </c>
      <c r="H123" s="602" t="str">
        <f>IFERROR(VLOOKUP(E:E,'Item Data Support Sheet'!A:O,2,0),"")</f>
        <v>CAP S TYPE MOLDED BLUE</v>
      </c>
      <c r="I123" s="447" t="s">
        <v>2367</v>
      </c>
      <c r="J123" s="447" t="s">
        <v>2808</v>
      </c>
      <c r="K123" s="438">
        <v>8</v>
      </c>
      <c r="L123" s="439">
        <v>7091</v>
      </c>
      <c r="M123" s="366">
        <f t="shared" si="45"/>
        <v>886.375</v>
      </c>
      <c r="N123" s="367">
        <f t="shared" si="28"/>
        <v>4223</v>
      </c>
      <c r="O123" s="61">
        <v>4200</v>
      </c>
      <c r="P123" s="368">
        <v>0.15</v>
      </c>
      <c r="Q123" s="369">
        <v>0</v>
      </c>
      <c r="R123" s="370">
        <v>0</v>
      </c>
      <c r="S123" s="370">
        <v>0</v>
      </c>
      <c r="T123" s="370">
        <v>15</v>
      </c>
      <c r="U123" s="370">
        <v>8</v>
      </c>
      <c r="V123" s="450">
        <v>1</v>
      </c>
      <c r="W123" s="453">
        <f t="shared" si="30"/>
        <v>4200</v>
      </c>
      <c r="X123" s="748">
        <f t="shared" si="31"/>
        <v>0.5923000987166831</v>
      </c>
      <c r="Y123" s="451" t="str">
        <f>IFERROR(VLOOKUP(E:E,'Item Data Support Sheet'!A:J,6,0),0)</f>
        <v>RM000114</v>
      </c>
      <c r="Z123" s="428">
        <f>IFERROR(VLOOKUP(E:E,'Item Data Support Sheet'!A:O,4,0),0)</f>
        <v>7.3</v>
      </c>
      <c r="AA123" s="428">
        <f t="shared" si="32"/>
        <v>30.977899999999998</v>
      </c>
      <c r="AB123" s="429">
        <f t="shared" si="33"/>
        <v>0.98973784536718123</v>
      </c>
      <c r="AC123" s="424">
        <f t="shared" si="34"/>
        <v>3.5587188612099642E-3</v>
      </c>
      <c r="AD123" s="371">
        <f t="shared" si="35"/>
        <v>0</v>
      </c>
      <c r="AE123" s="748">
        <f t="shared" si="36"/>
        <v>0.99644802273265454</v>
      </c>
      <c r="AF123" s="417">
        <f t="shared" si="37"/>
        <v>0</v>
      </c>
      <c r="AG123" s="416">
        <f t="shared" si="38"/>
        <v>8</v>
      </c>
      <c r="AH123" s="372">
        <f t="shared" si="39"/>
        <v>1</v>
      </c>
      <c r="AI123" s="373">
        <f t="shared" si="40"/>
        <v>525</v>
      </c>
      <c r="AJ123" s="418">
        <f>VLOOKUP(D123,'Standard Cycle time'!C:D,2,0)</f>
        <v>6</v>
      </c>
      <c r="AK123" s="418">
        <f t="shared" si="41"/>
        <v>6.8571428571428568</v>
      </c>
      <c r="AL123" s="374">
        <f t="shared" si="42"/>
        <v>0.875</v>
      </c>
      <c r="AM123" s="372">
        <f t="shared" si="43"/>
        <v>0.87189201989107268</v>
      </c>
      <c r="AN123" s="799">
        <v>2691</v>
      </c>
      <c r="AO123" s="761"/>
      <c r="AP123" s="440">
        <v>0</v>
      </c>
      <c r="AQ123" s="440">
        <v>0</v>
      </c>
      <c r="AR123" s="440">
        <v>0</v>
      </c>
      <c r="AS123" s="440">
        <v>0</v>
      </c>
      <c r="AT123" s="440">
        <v>0</v>
      </c>
      <c r="AU123" s="440">
        <v>0</v>
      </c>
      <c r="AV123" s="440">
        <v>0</v>
      </c>
      <c r="AW123" s="440">
        <v>0</v>
      </c>
      <c r="AX123" s="440">
        <v>0</v>
      </c>
      <c r="AY123" s="440">
        <v>0</v>
      </c>
      <c r="AZ123" s="440">
        <v>0</v>
      </c>
      <c r="BA123" s="440">
        <v>0</v>
      </c>
      <c r="BB123" s="440">
        <v>0</v>
      </c>
      <c r="BC123" s="440">
        <v>0</v>
      </c>
      <c r="BD123" s="440">
        <v>0</v>
      </c>
      <c r="BE123" s="440">
        <v>0</v>
      </c>
      <c r="BF123" s="440">
        <v>0</v>
      </c>
      <c r="BG123" s="440">
        <v>0</v>
      </c>
      <c r="BH123" s="440">
        <v>0</v>
      </c>
      <c r="BI123" s="440">
        <v>0</v>
      </c>
      <c r="BJ123" s="440">
        <v>0</v>
      </c>
      <c r="BK123" s="440">
        <v>0</v>
      </c>
      <c r="BL123" s="440">
        <v>0</v>
      </c>
      <c r="BM123" s="440">
        <v>0</v>
      </c>
      <c r="BN123" s="440">
        <v>0</v>
      </c>
      <c r="BO123" s="440">
        <v>0</v>
      </c>
      <c r="BP123" s="440">
        <v>0</v>
      </c>
      <c r="BQ123" s="440">
        <v>0</v>
      </c>
      <c r="BR123" s="415">
        <f t="shared" si="44"/>
        <v>0</v>
      </c>
      <c r="BS123" s="415">
        <f t="shared" si="46"/>
        <v>0</v>
      </c>
      <c r="BT123" s="935"/>
      <c r="BU123" s="935"/>
      <c r="BV123" s="935"/>
      <c r="BW123" s="935"/>
      <c r="BX123" s="935"/>
      <c r="BY123" s="935"/>
      <c r="BZ123" s="935"/>
      <c r="CA123" s="935"/>
      <c r="CB123" s="935"/>
      <c r="CC123" s="935"/>
      <c r="CD123" s="935"/>
      <c r="CE123" s="935"/>
      <c r="CF123" s="935"/>
      <c r="CG123" s="935"/>
      <c r="CH123" s="935"/>
      <c r="CI123" s="935"/>
      <c r="CJ123" s="935"/>
      <c r="CK123" s="935"/>
      <c r="CL123" s="935"/>
      <c r="CM123" s="935"/>
      <c r="CN123" s="935"/>
      <c r="CO123" s="935"/>
      <c r="CP123" s="935"/>
      <c r="CQ123" s="935"/>
      <c r="CR123" s="935"/>
      <c r="CS123" s="935"/>
      <c r="CT123" s="935"/>
      <c r="CU123" s="935"/>
      <c r="CV123" s="935"/>
    </row>
    <row r="124" spans="1:100" s="375" customFormat="1" ht="14.9" customHeight="1">
      <c r="A124" s="375">
        <f t="shared" si="29"/>
        <v>8</v>
      </c>
      <c r="B124" s="455">
        <v>44420</v>
      </c>
      <c r="C124" s="445" t="s">
        <v>1980</v>
      </c>
      <c r="D124" s="376" t="str">
        <f>IFERROR(VLOOKUP(E:E,'Item Data Support Sheet'!A:O,7,0),"")</f>
        <v>NIPPLE MOLDED</v>
      </c>
      <c r="E124" s="446" t="s">
        <v>72</v>
      </c>
      <c r="F124" s="447" t="s">
        <v>1678</v>
      </c>
      <c r="G124" s="376" t="s">
        <v>1691</v>
      </c>
      <c r="H124" s="602" t="str">
        <f>IFERROR(VLOOKUP(E:E,'Item Data Support Sheet'!A:O,2,0),"")</f>
        <v>NIPPLE S TYPE S SIZE INJECTION</v>
      </c>
      <c r="I124" s="447" t="s">
        <v>2369</v>
      </c>
      <c r="J124" s="447" t="s">
        <v>2809</v>
      </c>
      <c r="K124" s="438">
        <v>8</v>
      </c>
      <c r="L124" s="439">
        <v>4815</v>
      </c>
      <c r="M124" s="366">
        <f t="shared" si="45"/>
        <v>601.875</v>
      </c>
      <c r="N124" s="367">
        <f t="shared" si="28"/>
        <v>5096</v>
      </c>
      <c r="O124" s="61">
        <v>5000</v>
      </c>
      <c r="P124" s="368">
        <v>0</v>
      </c>
      <c r="Q124" s="369">
        <v>30</v>
      </c>
      <c r="R124" s="370">
        <v>0</v>
      </c>
      <c r="S124" s="370">
        <v>0</v>
      </c>
      <c r="T124" s="370">
        <v>58</v>
      </c>
      <c r="U124" s="370">
        <v>8</v>
      </c>
      <c r="V124" s="450">
        <v>1</v>
      </c>
      <c r="W124" s="453">
        <f t="shared" si="30"/>
        <v>5000</v>
      </c>
      <c r="X124" s="748">
        <f t="shared" si="31"/>
        <v>1.0384215991692627</v>
      </c>
      <c r="Y124" s="451" t="str">
        <f>IFERROR(VLOOKUP(E:E,'Item Data Support Sheet'!A:J,6,0),0)</f>
        <v>Silicon</v>
      </c>
      <c r="Z124" s="428">
        <f>IFERROR(VLOOKUP(E:E,'Item Data Support Sheet'!A:O,4,0),0)</f>
        <v>6.8</v>
      </c>
      <c r="AA124" s="428">
        <f t="shared" si="32"/>
        <v>34.652799999999999</v>
      </c>
      <c r="AB124" s="429">
        <f t="shared" si="33"/>
        <v>0.98116169544740972</v>
      </c>
      <c r="AC124" s="424">
        <f t="shared" si="34"/>
        <v>1.1466982997232108E-2</v>
      </c>
      <c r="AD124" s="371">
        <f t="shared" si="35"/>
        <v>5.8525165821303156E-3</v>
      </c>
      <c r="AE124" s="748">
        <f t="shared" si="36"/>
        <v>0.98861852433281006</v>
      </c>
      <c r="AF124" s="417">
        <f t="shared" si="37"/>
        <v>0.75</v>
      </c>
      <c r="AG124" s="416">
        <f t="shared" si="38"/>
        <v>7.25</v>
      </c>
      <c r="AH124" s="372">
        <f t="shared" si="39"/>
        <v>0.90625</v>
      </c>
      <c r="AI124" s="373">
        <f t="shared" si="40"/>
        <v>625</v>
      </c>
      <c r="AJ124" s="418">
        <f>VLOOKUP(D124,'Standard Cycle time'!C:D,2,0)</f>
        <v>5.25</v>
      </c>
      <c r="AK124" s="418">
        <f t="shared" si="41"/>
        <v>5.22</v>
      </c>
      <c r="AL124" s="374">
        <f t="shared" si="42"/>
        <v>1.0057471264367817</v>
      </c>
      <c r="AM124" s="372">
        <f t="shared" si="43"/>
        <v>0.90108459249084261</v>
      </c>
      <c r="AN124" s="799" t="s">
        <v>2373</v>
      </c>
      <c r="AO124" s="761"/>
      <c r="AP124" s="440">
        <v>0</v>
      </c>
      <c r="AQ124" s="440">
        <v>0</v>
      </c>
      <c r="AR124" s="440">
        <v>0</v>
      </c>
      <c r="AS124" s="440">
        <v>0</v>
      </c>
      <c r="AT124" s="440">
        <v>0</v>
      </c>
      <c r="AU124" s="440">
        <v>45</v>
      </c>
      <c r="AV124" s="440">
        <v>0</v>
      </c>
      <c r="AW124" s="440">
        <v>0</v>
      </c>
      <c r="AX124" s="440">
        <v>0</v>
      </c>
      <c r="AY124" s="440">
        <v>0</v>
      </c>
      <c r="AZ124" s="440">
        <v>0</v>
      </c>
      <c r="BA124" s="440">
        <v>0</v>
      </c>
      <c r="BB124" s="440">
        <v>0</v>
      </c>
      <c r="BC124" s="440">
        <v>0</v>
      </c>
      <c r="BD124" s="440">
        <v>0</v>
      </c>
      <c r="BE124" s="440">
        <v>0</v>
      </c>
      <c r="BF124" s="440">
        <v>0</v>
      </c>
      <c r="BG124" s="440">
        <v>0</v>
      </c>
      <c r="BH124" s="440">
        <v>0</v>
      </c>
      <c r="BI124" s="440">
        <v>0</v>
      </c>
      <c r="BJ124" s="440">
        <v>0</v>
      </c>
      <c r="BK124" s="440">
        <v>0</v>
      </c>
      <c r="BL124" s="440">
        <v>0</v>
      </c>
      <c r="BM124" s="440">
        <v>0</v>
      </c>
      <c r="BN124" s="440">
        <v>0</v>
      </c>
      <c r="BO124" s="440">
        <v>0</v>
      </c>
      <c r="BP124" s="440">
        <v>0</v>
      </c>
      <c r="BQ124" s="440">
        <v>0</v>
      </c>
      <c r="BR124" s="415">
        <f t="shared" si="44"/>
        <v>0.75</v>
      </c>
      <c r="BS124" s="415">
        <f t="shared" si="46"/>
        <v>0.76249999999999996</v>
      </c>
      <c r="BT124" s="935"/>
      <c r="BU124" s="935"/>
      <c r="BV124" s="935"/>
      <c r="BW124" s="935"/>
      <c r="BX124" s="935"/>
      <c r="BY124" s="935"/>
      <c r="BZ124" s="935"/>
      <c r="CA124" s="935"/>
      <c r="CB124" s="935"/>
      <c r="CC124" s="935"/>
      <c r="CD124" s="935"/>
      <c r="CE124" s="935"/>
      <c r="CF124" s="935"/>
      <c r="CG124" s="935"/>
      <c r="CH124" s="935"/>
      <c r="CI124" s="935"/>
      <c r="CJ124" s="935"/>
      <c r="CK124" s="935"/>
      <c r="CL124" s="935"/>
      <c r="CM124" s="935"/>
      <c r="CN124" s="935"/>
      <c r="CO124" s="935"/>
      <c r="CP124" s="935"/>
      <c r="CQ124" s="935"/>
      <c r="CR124" s="935"/>
      <c r="CS124" s="935"/>
      <c r="CT124" s="935"/>
      <c r="CU124" s="935"/>
      <c r="CV124" s="935"/>
    </row>
    <row r="125" spans="1:100" s="375" customFormat="1" ht="14.9" customHeight="1">
      <c r="A125" s="375">
        <f t="shared" si="29"/>
        <v>8</v>
      </c>
      <c r="B125" s="455">
        <v>44420</v>
      </c>
      <c r="C125" s="445" t="s">
        <v>1980</v>
      </c>
      <c r="D125" s="376" t="str">
        <f>IFERROR(VLOOKUP(E:E,'Item Data Support Sheet'!A:O,7,0),"")</f>
        <v>NIPPLE PUNCH</v>
      </c>
      <c r="E125" s="446" t="s">
        <v>80</v>
      </c>
      <c r="F125" s="447"/>
      <c r="G125" s="376" t="s">
        <v>1692</v>
      </c>
      <c r="H125" s="602" t="str">
        <f>IFERROR(VLOOKUP(E:E,'Item Data Support Sheet'!A:O,2,0),"")</f>
        <v>NIPPLE S TYPE S SIZE PUNCHED</v>
      </c>
      <c r="I125" s="447" t="s">
        <v>2370</v>
      </c>
      <c r="J125" s="447" t="s">
        <v>2809</v>
      </c>
      <c r="K125" s="438">
        <v>8</v>
      </c>
      <c r="L125" s="439">
        <v>7091</v>
      </c>
      <c r="M125" s="366">
        <f t="shared" si="45"/>
        <v>886.375</v>
      </c>
      <c r="N125" s="367">
        <f t="shared" si="28"/>
        <v>7000</v>
      </c>
      <c r="O125" s="61">
        <v>7000</v>
      </c>
      <c r="P125" s="368">
        <v>0</v>
      </c>
      <c r="Q125" s="369">
        <v>0</v>
      </c>
      <c r="R125" s="370">
        <v>0</v>
      </c>
      <c r="S125" s="370">
        <v>0</v>
      </c>
      <c r="T125" s="370">
        <v>0</v>
      </c>
      <c r="U125" s="370">
        <v>0</v>
      </c>
      <c r="V125" s="450">
        <v>1</v>
      </c>
      <c r="W125" s="453">
        <f t="shared" si="30"/>
        <v>7000</v>
      </c>
      <c r="X125" s="748">
        <f t="shared" si="31"/>
        <v>0.98716683119447191</v>
      </c>
      <c r="Y125" s="451" t="str">
        <f>IFERROR(VLOOKUP(E:E,'Item Data Support Sheet'!A:J,6,0),0)</f>
        <v>FO015</v>
      </c>
      <c r="Z125" s="428">
        <f>IFERROR(VLOOKUP(E:E,'Item Data Support Sheet'!A:O,4,0),0)</f>
        <v>0</v>
      </c>
      <c r="AA125" s="428">
        <f t="shared" si="32"/>
        <v>0</v>
      </c>
      <c r="AB125" s="429" t="str">
        <f t="shared" si="33"/>
        <v xml:space="preserve"> </v>
      </c>
      <c r="AC125" s="424">
        <f t="shared" si="34"/>
        <v>0</v>
      </c>
      <c r="AD125" s="371">
        <f t="shared" si="35"/>
        <v>0</v>
      </c>
      <c r="AE125" s="748">
        <f t="shared" si="36"/>
        <v>1</v>
      </c>
      <c r="AF125" s="417">
        <f t="shared" si="37"/>
        <v>0.66666666666666663</v>
      </c>
      <c r="AG125" s="416">
        <f t="shared" si="38"/>
        <v>7.333333333333333</v>
      </c>
      <c r="AH125" s="372">
        <f t="shared" si="39"/>
        <v>0.91666666666666663</v>
      </c>
      <c r="AI125" s="373">
        <f t="shared" si="40"/>
        <v>875</v>
      </c>
      <c r="AJ125" s="418">
        <f>VLOOKUP(D125,'Standard Cycle time'!C:D,2,0)</f>
        <v>3.5</v>
      </c>
      <c r="AK125" s="418">
        <f t="shared" si="41"/>
        <v>3.7714285714285714</v>
      </c>
      <c r="AL125" s="374">
        <f t="shared" si="42"/>
        <v>0.92803030303030309</v>
      </c>
      <c r="AM125" s="372">
        <f t="shared" si="43"/>
        <v>0.85069444444444442</v>
      </c>
      <c r="AN125" s="799" t="s">
        <v>2371</v>
      </c>
      <c r="AO125" s="929"/>
      <c r="AP125" s="440">
        <v>40</v>
      </c>
      <c r="AQ125" s="440">
        <v>0</v>
      </c>
      <c r="AR125" s="440">
        <v>0</v>
      </c>
      <c r="AS125" s="440">
        <v>0</v>
      </c>
      <c r="AT125" s="440">
        <v>0</v>
      </c>
      <c r="AU125" s="440">
        <v>0</v>
      </c>
      <c r="AV125" s="440">
        <v>0</v>
      </c>
      <c r="AW125" s="440">
        <v>0</v>
      </c>
      <c r="AX125" s="440">
        <v>0</v>
      </c>
      <c r="AY125" s="440">
        <v>0</v>
      </c>
      <c r="AZ125" s="440">
        <v>0</v>
      </c>
      <c r="BA125" s="440">
        <v>0</v>
      </c>
      <c r="BB125" s="440">
        <v>0</v>
      </c>
      <c r="BC125" s="440">
        <v>0</v>
      </c>
      <c r="BD125" s="440">
        <v>0</v>
      </c>
      <c r="BE125" s="440">
        <v>0</v>
      </c>
      <c r="BF125" s="440">
        <v>0</v>
      </c>
      <c r="BG125" s="440">
        <v>0</v>
      </c>
      <c r="BH125" s="440">
        <v>0</v>
      </c>
      <c r="BI125" s="440">
        <v>0</v>
      </c>
      <c r="BJ125" s="440">
        <v>0</v>
      </c>
      <c r="BK125" s="440">
        <v>0</v>
      </c>
      <c r="BL125" s="440">
        <v>0</v>
      </c>
      <c r="BM125" s="440">
        <v>0</v>
      </c>
      <c r="BN125" s="440">
        <v>0</v>
      </c>
      <c r="BO125" s="440">
        <v>0</v>
      </c>
      <c r="BP125" s="440">
        <v>0</v>
      </c>
      <c r="BQ125" s="440">
        <v>0</v>
      </c>
      <c r="BR125" s="415">
        <f t="shared" si="44"/>
        <v>0.66666666666666663</v>
      </c>
      <c r="BS125" s="415">
        <f t="shared" si="46"/>
        <v>0.6777777777777777</v>
      </c>
      <c r="BT125" s="935"/>
      <c r="BU125" s="935"/>
      <c r="BV125" s="935"/>
      <c r="BW125" s="935"/>
      <c r="BX125" s="935"/>
      <c r="BY125" s="935"/>
      <c r="BZ125" s="935"/>
      <c r="CA125" s="935"/>
      <c r="CB125" s="935"/>
      <c r="CC125" s="935"/>
      <c r="CD125" s="935"/>
      <c r="CE125" s="935"/>
      <c r="CF125" s="935"/>
      <c r="CG125" s="935"/>
      <c r="CH125" s="935"/>
      <c r="CI125" s="935"/>
      <c r="CJ125" s="935"/>
      <c r="CK125" s="935"/>
      <c r="CL125" s="935"/>
      <c r="CM125" s="935"/>
      <c r="CN125" s="935"/>
      <c r="CO125" s="935"/>
      <c r="CP125" s="935"/>
      <c r="CQ125" s="935"/>
      <c r="CR125" s="935"/>
      <c r="CS125" s="935"/>
      <c r="CT125" s="935"/>
      <c r="CU125" s="935"/>
      <c r="CV125" s="935"/>
    </row>
    <row r="126" spans="1:100" s="375" customFormat="1" ht="14.9" customHeight="1">
      <c r="A126" s="375">
        <f t="shared" si="29"/>
        <v>8</v>
      </c>
      <c r="B126" s="455">
        <v>44420</v>
      </c>
      <c r="C126" s="445" t="s">
        <v>1980</v>
      </c>
      <c r="D126" s="376" t="str">
        <f>IFERROR(VLOOKUP(E:E,'Item Data Support Sheet'!A:O,7,0),"")</f>
        <v>BOTTLE MOLDED</v>
      </c>
      <c r="E126" s="446" t="s">
        <v>14</v>
      </c>
      <c r="F126" s="447" t="s">
        <v>1681</v>
      </c>
      <c r="G126" s="376" t="s">
        <v>1888</v>
      </c>
      <c r="H126" s="602" t="str">
        <f>IFERROR(VLOOKUP(E:E,'Item Data Support Sheet'!A:O,2,0),"")</f>
        <v>KPP 240 ML BOTTLE MOLDED</v>
      </c>
      <c r="I126" s="447" t="s">
        <v>2372</v>
      </c>
      <c r="J126" s="447" t="s">
        <v>2809</v>
      </c>
      <c r="K126" s="438">
        <v>8</v>
      </c>
      <c r="L126" s="439">
        <v>2574</v>
      </c>
      <c r="M126" s="366">
        <f t="shared" si="45"/>
        <v>321.75</v>
      </c>
      <c r="N126" s="367">
        <f t="shared" si="28"/>
        <v>2787</v>
      </c>
      <c r="O126" s="61">
        <v>2700</v>
      </c>
      <c r="P126" s="368">
        <v>0.12</v>
      </c>
      <c r="Q126" s="369">
        <v>30</v>
      </c>
      <c r="R126" s="370">
        <v>0</v>
      </c>
      <c r="S126" s="370">
        <v>0</v>
      </c>
      <c r="T126" s="370">
        <v>49</v>
      </c>
      <c r="U126" s="370">
        <v>8</v>
      </c>
      <c r="V126" s="450">
        <v>1</v>
      </c>
      <c r="W126" s="453">
        <f t="shared" si="30"/>
        <v>2700</v>
      </c>
      <c r="X126" s="748">
        <f t="shared" si="31"/>
        <v>1.048951048951049</v>
      </c>
      <c r="Y126" s="451" t="str">
        <f>IFERROR(VLOOKUP(E:E,'Item Data Support Sheet'!A:J,6,0),0)</f>
        <v>HMC</v>
      </c>
      <c r="Z126" s="428">
        <f>IFERROR(VLOOKUP(E:E,'Item Data Support Sheet'!A:O,4,0),0)</f>
        <v>32.1</v>
      </c>
      <c r="AA126" s="428">
        <f t="shared" si="32"/>
        <v>89.582700000000017</v>
      </c>
      <c r="AB126" s="429">
        <f t="shared" si="33"/>
        <v>0.96748590966782644</v>
      </c>
      <c r="AC126" s="424">
        <f t="shared" si="34"/>
        <v>1.7824663514005093E-2</v>
      </c>
      <c r="AD126" s="371">
        <f t="shared" si="35"/>
        <v>1.0649627263045794E-2</v>
      </c>
      <c r="AE126" s="748">
        <f t="shared" si="36"/>
        <v>0.98241837100825258</v>
      </c>
      <c r="AF126" s="417">
        <f t="shared" si="37"/>
        <v>1.25</v>
      </c>
      <c r="AG126" s="416">
        <f t="shared" si="38"/>
        <v>6.75</v>
      </c>
      <c r="AH126" s="372">
        <f t="shared" si="39"/>
        <v>0.84375</v>
      </c>
      <c r="AI126" s="373">
        <f t="shared" si="40"/>
        <v>337.5</v>
      </c>
      <c r="AJ126" s="418">
        <f>VLOOKUP(D126,'Standard Cycle time'!C:D,2,0)</f>
        <v>9</v>
      </c>
      <c r="AK126" s="418">
        <f t="shared" si="41"/>
        <v>9</v>
      </c>
      <c r="AL126" s="374">
        <f t="shared" si="42"/>
        <v>1</v>
      </c>
      <c r="AM126" s="372">
        <f t="shared" si="43"/>
        <v>0.82891550053821317</v>
      </c>
      <c r="AN126" s="799" t="s">
        <v>2374</v>
      </c>
      <c r="AO126" s="761"/>
      <c r="AP126" s="440">
        <v>0</v>
      </c>
      <c r="AQ126" s="440">
        <v>0</v>
      </c>
      <c r="AR126" s="440">
        <v>0</v>
      </c>
      <c r="AS126" s="440">
        <v>0</v>
      </c>
      <c r="AT126" s="440">
        <v>0</v>
      </c>
      <c r="AU126" s="440">
        <v>0</v>
      </c>
      <c r="AV126" s="440">
        <v>15</v>
      </c>
      <c r="AW126" s="440">
        <v>0</v>
      </c>
      <c r="AX126" s="440">
        <v>0</v>
      </c>
      <c r="AY126" s="440">
        <v>0</v>
      </c>
      <c r="AZ126" s="440">
        <v>0</v>
      </c>
      <c r="BA126" s="440">
        <v>0</v>
      </c>
      <c r="BB126" s="440">
        <v>60</v>
      </c>
      <c r="BC126" s="440">
        <v>0</v>
      </c>
      <c r="BD126" s="440">
        <v>0</v>
      </c>
      <c r="BE126" s="440">
        <v>0</v>
      </c>
      <c r="BF126" s="440">
        <v>0</v>
      </c>
      <c r="BG126" s="440">
        <v>0</v>
      </c>
      <c r="BH126" s="440">
        <v>0</v>
      </c>
      <c r="BI126" s="440">
        <v>0</v>
      </c>
      <c r="BJ126" s="440">
        <v>0</v>
      </c>
      <c r="BK126" s="440">
        <v>0</v>
      </c>
      <c r="BL126" s="440">
        <v>0</v>
      </c>
      <c r="BM126" s="440">
        <v>0</v>
      </c>
      <c r="BN126" s="440">
        <v>0</v>
      </c>
      <c r="BO126" s="440">
        <v>0</v>
      </c>
      <c r="BP126" s="440">
        <v>0</v>
      </c>
      <c r="BQ126" s="440">
        <v>0</v>
      </c>
      <c r="BR126" s="415">
        <f t="shared" si="44"/>
        <v>1.25</v>
      </c>
      <c r="BS126" s="415">
        <f t="shared" si="46"/>
        <v>1.2708333333333333</v>
      </c>
      <c r="BT126" s="935"/>
      <c r="BU126" s="935"/>
      <c r="BV126" s="935"/>
      <c r="BW126" s="935"/>
      <c r="BX126" s="935"/>
      <c r="BY126" s="935"/>
      <c r="BZ126" s="935"/>
      <c r="CA126" s="935"/>
      <c r="CB126" s="935"/>
      <c r="CC126" s="935"/>
      <c r="CD126" s="935"/>
      <c r="CE126" s="935"/>
      <c r="CF126" s="935"/>
      <c r="CG126" s="935"/>
      <c r="CH126" s="935"/>
      <c r="CI126" s="935"/>
      <c r="CJ126" s="935"/>
      <c r="CK126" s="935"/>
      <c r="CL126" s="935"/>
      <c r="CM126" s="935"/>
      <c r="CN126" s="935"/>
      <c r="CO126" s="935"/>
      <c r="CP126" s="935"/>
      <c r="CQ126" s="935"/>
      <c r="CR126" s="935"/>
      <c r="CS126" s="935"/>
      <c r="CT126" s="935"/>
      <c r="CU126" s="935"/>
      <c r="CV126" s="935"/>
    </row>
    <row r="127" spans="1:100" s="375" customFormat="1" ht="14.9" customHeight="1">
      <c r="A127" s="375">
        <f t="shared" si="29"/>
        <v>8</v>
      </c>
      <c r="B127" s="455">
        <v>44420</v>
      </c>
      <c r="C127" s="445" t="s">
        <v>1980</v>
      </c>
      <c r="D127" s="376" t="str">
        <f>IFERROR(VLOOKUP(E:E,'Item Data Support Sheet'!A:O,7,0),"")</f>
        <v>CAP MOLDED</v>
      </c>
      <c r="E127" s="446" t="s">
        <v>2108</v>
      </c>
      <c r="F127" s="447"/>
      <c r="G127" s="376" t="s">
        <v>2220</v>
      </c>
      <c r="H127" s="602" t="str">
        <f>IFERROR(VLOOKUP(E:E,'Item Data Support Sheet'!A:O,2,0),"")</f>
        <v>CAP S TYPE MOLDED BLUE</v>
      </c>
      <c r="I127" s="447" t="s">
        <v>2375</v>
      </c>
      <c r="J127" s="447" t="s">
        <v>2809</v>
      </c>
      <c r="K127" s="438">
        <v>5</v>
      </c>
      <c r="L127" s="439">
        <v>2887</v>
      </c>
      <c r="M127" s="366">
        <f t="shared" si="45"/>
        <v>577.4</v>
      </c>
      <c r="N127" s="367">
        <f t="shared" si="28"/>
        <v>3034</v>
      </c>
      <c r="O127" s="61">
        <v>3000</v>
      </c>
      <c r="P127" s="368">
        <v>0</v>
      </c>
      <c r="Q127" s="369">
        <v>20</v>
      </c>
      <c r="R127" s="370">
        <v>0</v>
      </c>
      <c r="S127" s="370">
        <v>0</v>
      </c>
      <c r="T127" s="370">
        <v>10</v>
      </c>
      <c r="U127" s="370">
        <v>4</v>
      </c>
      <c r="V127" s="450">
        <v>1</v>
      </c>
      <c r="W127" s="453">
        <f t="shared" si="30"/>
        <v>3000</v>
      </c>
      <c r="X127" s="748">
        <f t="shared" si="31"/>
        <v>1.0391409767925182</v>
      </c>
      <c r="Y127" s="451" t="str">
        <f>IFERROR(VLOOKUP(E:E,'Item Data Support Sheet'!A:J,6,0),0)</f>
        <v>RM000114</v>
      </c>
      <c r="Z127" s="428">
        <f>IFERROR(VLOOKUP(E:E,'Item Data Support Sheet'!A:O,4,0),0)</f>
        <v>7.3</v>
      </c>
      <c r="AA127" s="428">
        <f t="shared" si="32"/>
        <v>22.148199999999999</v>
      </c>
      <c r="AB127" s="429">
        <f t="shared" si="33"/>
        <v>0.98879367172050092</v>
      </c>
      <c r="AC127" s="424">
        <f t="shared" si="34"/>
        <v>3.3222591362126247E-3</v>
      </c>
      <c r="AD127" s="371">
        <f t="shared" si="35"/>
        <v>6.5487884741322853E-3</v>
      </c>
      <c r="AE127" s="748">
        <f t="shared" si="36"/>
        <v>0.99670402109426504</v>
      </c>
      <c r="AF127" s="417">
        <f t="shared" si="37"/>
        <v>0</v>
      </c>
      <c r="AG127" s="416">
        <f t="shared" si="38"/>
        <v>5</v>
      </c>
      <c r="AH127" s="372">
        <f t="shared" si="39"/>
        <v>1</v>
      </c>
      <c r="AI127" s="373">
        <f t="shared" si="40"/>
        <v>600</v>
      </c>
      <c r="AJ127" s="418">
        <f>VLOOKUP(D127,'Standard Cycle time'!C:D,2,0)</f>
        <v>6</v>
      </c>
      <c r="AK127" s="418">
        <f t="shared" si="41"/>
        <v>6</v>
      </c>
      <c r="AL127" s="374">
        <f t="shared" si="42"/>
        <v>1</v>
      </c>
      <c r="AM127" s="372">
        <f t="shared" si="43"/>
        <v>0.99670402109426504</v>
      </c>
      <c r="AN127" s="799">
        <v>2690</v>
      </c>
      <c r="AO127" s="761"/>
      <c r="AP127" s="440">
        <v>0</v>
      </c>
      <c r="AQ127" s="440">
        <v>0</v>
      </c>
      <c r="AR127" s="440">
        <v>0</v>
      </c>
      <c r="AS127" s="440">
        <v>0</v>
      </c>
      <c r="AT127" s="440">
        <v>0</v>
      </c>
      <c r="AU127" s="440">
        <v>0</v>
      </c>
      <c r="AV127" s="440">
        <v>0</v>
      </c>
      <c r="AW127" s="440">
        <v>0</v>
      </c>
      <c r="AX127" s="440">
        <v>0</v>
      </c>
      <c r="AY127" s="440">
        <v>0</v>
      </c>
      <c r="AZ127" s="440">
        <v>0</v>
      </c>
      <c r="BA127" s="440">
        <v>0</v>
      </c>
      <c r="BB127" s="440">
        <v>0</v>
      </c>
      <c r="BC127" s="440">
        <v>0</v>
      </c>
      <c r="BD127" s="440">
        <v>0</v>
      </c>
      <c r="BE127" s="440">
        <v>0</v>
      </c>
      <c r="BF127" s="440">
        <v>0</v>
      </c>
      <c r="BG127" s="440">
        <v>0</v>
      </c>
      <c r="BH127" s="440">
        <v>0</v>
      </c>
      <c r="BI127" s="440">
        <v>0</v>
      </c>
      <c r="BJ127" s="440">
        <v>0</v>
      </c>
      <c r="BK127" s="440">
        <v>0</v>
      </c>
      <c r="BL127" s="440">
        <v>0</v>
      </c>
      <c r="BM127" s="440">
        <v>0</v>
      </c>
      <c r="BN127" s="440">
        <v>0</v>
      </c>
      <c r="BO127" s="440">
        <v>0</v>
      </c>
      <c r="BP127" s="440">
        <v>0</v>
      </c>
      <c r="BQ127" s="440">
        <v>0</v>
      </c>
      <c r="BR127" s="415">
        <f t="shared" si="44"/>
        <v>0</v>
      </c>
      <c r="BS127" s="415">
        <f t="shared" si="46"/>
        <v>0</v>
      </c>
      <c r="BT127" s="935"/>
      <c r="BU127" s="935"/>
      <c r="BV127" s="935"/>
      <c r="BW127" s="935"/>
      <c r="BX127" s="935"/>
      <c r="BY127" s="935"/>
      <c r="BZ127" s="935"/>
      <c r="CA127" s="935"/>
      <c r="CB127" s="935"/>
      <c r="CC127" s="935"/>
      <c r="CD127" s="935"/>
      <c r="CE127" s="935"/>
      <c r="CF127" s="935"/>
      <c r="CG127" s="935"/>
      <c r="CH127" s="935"/>
      <c r="CI127" s="935"/>
      <c r="CJ127" s="935"/>
      <c r="CK127" s="935"/>
      <c r="CL127" s="935"/>
      <c r="CM127" s="935"/>
      <c r="CN127" s="935"/>
      <c r="CO127" s="935"/>
      <c r="CP127" s="935"/>
      <c r="CQ127" s="935"/>
      <c r="CR127" s="935"/>
      <c r="CS127" s="935"/>
      <c r="CT127" s="935"/>
      <c r="CU127" s="935"/>
      <c r="CV127" s="935"/>
    </row>
    <row r="128" spans="1:100" s="375" customFormat="1" ht="14.9" customHeight="1">
      <c r="A128" s="375">
        <f t="shared" si="29"/>
        <v>8</v>
      </c>
      <c r="B128" s="455">
        <v>44420</v>
      </c>
      <c r="C128" s="445" t="s">
        <v>1980</v>
      </c>
      <c r="D128" s="376" t="str">
        <f>IFERROR(VLOOKUP(E:E,'Item Data Support Sheet'!A:O,7,0),"")</f>
        <v>CAP MOLDED</v>
      </c>
      <c r="E128" s="446" t="s">
        <v>2108</v>
      </c>
      <c r="F128" s="447"/>
      <c r="G128" s="376" t="s">
        <v>2220</v>
      </c>
      <c r="H128" s="602" t="str">
        <f>IFERROR(VLOOKUP(E:E,'Item Data Support Sheet'!A:O,2,0),"")</f>
        <v>CAP S TYPE MOLDED BLUE</v>
      </c>
      <c r="I128" s="447" t="s">
        <v>2376</v>
      </c>
      <c r="J128" s="447" t="s">
        <v>2809</v>
      </c>
      <c r="K128" s="438">
        <v>3</v>
      </c>
      <c r="L128" s="439">
        <v>1250</v>
      </c>
      <c r="M128" s="366">
        <f t="shared" si="45"/>
        <v>416.66666666666669</v>
      </c>
      <c r="N128" s="367">
        <f t="shared" si="28"/>
        <v>1269</v>
      </c>
      <c r="O128" s="61">
        <v>1250</v>
      </c>
      <c r="P128" s="368">
        <v>0</v>
      </c>
      <c r="Q128" s="369">
        <v>10</v>
      </c>
      <c r="R128" s="370">
        <v>0</v>
      </c>
      <c r="S128" s="370">
        <v>0</v>
      </c>
      <c r="T128" s="370">
        <v>5</v>
      </c>
      <c r="U128" s="370">
        <v>4</v>
      </c>
      <c r="V128" s="450">
        <v>1</v>
      </c>
      <c r="W128" s="453">
        <f t="shared" si="30"/>
        <v>1250</v>
      </c>
      <c r="X128" s="748">
        <f t="shared" si="31"/>
        <v>1</v>
      </c>
      <c r="Y128" s="451" t="str">
        <f>IFERROR(VLOOKUP(E:E,'Item Data Support Sheet'!A:J,6,0),0)</f>
        <v>RM000114</v>
      </c>
      <c r="Z128" s="428">
        <f>IFERROR(VLOOKUP(E:E,'Item Data Support Sheet'!A:O,4,0),0)</f>
        <v>7.3</v>
      </c>
      <c r="AA128" s="428">
        <f t="shared" si="32"/>
        <v>9.2637</v>
      </c>
      <c r="AB128" s="429">
        <f t="shared" si="33"/>
        <v>0.9850275807722616</v>
      </c>
      <c r="AC128" s="424">
        <f t="shared" si="34"/>
        <v>3.9840637450199202E-3</v>
      </c>
      <c r="AD128" s="371">
        <f t="shared" si="35"/>
        <v>7.8186082877247844E-3</v>
      </c>
      <c r="AE128" s="748">
        <f t="shared" si="36"/>
        <v>0.99605988967691095</v>
      </c>
      <c r="AF128" s="417">
        <f t="shared" si="37"/>
        <v>0.75</v>
      </c>
      <c r="AG128" s="416">
        <f t="shared" si="38"/>
        <v>2.25</v>
      </c>
      <c r="AH128" s="372">
        <f t="shared" si="39"/>
        <v>0.75</v>
      </c>
      <c r="AI128" s="373">
        <f t="shared" si="40"/>
        <v>416.66666666666669</v>
      </c>
      <c r="AJ128" s="418">
        <f>VLOOKUP(D128,'Standard Cycle time'!C:D,2,0)</f>
        <v>6</v>
      </c>
      <c r="AK128" s="418">
        <f t="shared" si="41"/>
        <v>6.48</v>
      </c>
      <c r="AL128" s="374">
        <f t="shared" si="42"/>
        <v>0.92592592592592582</v>
      </c>
      <c r="AM128" s="372">
        <f t="shared" si="43"/>
        <v>0.69170825672007696</v>
      </c>
      <c r="AN128" s="799">
        <v>2691</v>
      </c>
      <c r="AO128" s="761"/>
      <c r="AP128" s="440">
        <v>0</v>
      </c>
      <c r="AQ128" s="440">
        <v>0</v>
      </c>
      <c r="AR128" s="440">
        <v>0</v>
      </c>
      <c r="AS128" s="440">
        <v>0</v>
      </c>
      <c r="AT128" s="440">
        <v>0</v>
      </c>
      <c r="AU128" s="440">
        <v>0</v>
      </c>
      <c r="AV128" s="440">
        <v>0</v>
      </c>
      <c r="AW128" s="440">
        <v>0</v>
      </c>
      <c r="AX128" s="440">
        <v>0</v>
      </c>
      <c r="AY128" s="440">
        <v>0</v>
      </c>
      <c r="AZ128" s="440">
        <v>0</v>
      </c>
      <c r="BA128" s="440">
        <v>0</v>
      </c>
      <c r="BB128" s="440">
        <v>0</v>
      </c>
      <c r="BC128" s="440">
        <v>0</v>
      </c>
      <c r="BD128" s="440">
        <v>0</v>
      </c>
      <c r="BE128" s="440">
        <v>0</v>
      </c>
      <c r="BF128" s="440">
        <v>0</v>
      </c>
      <c r="BG128" s="440">
        <v>0</v>
      </c>
      <c r="BH128" s="440">
        <v>0</v>
      </c>
      <c r="BI128" s="440">
        <v>0</v>
      </c>
      <c r="BJ128" s="440">
        <v>0</v>
      </c>
      <c r="BK128" s="440">
        <v>0</v>
      </c>
      <c r="BL128" s="440">
        <v>0</v>
      </c>
      <c r="BM128" s="440">
        <v>45</v>
      </c>
      <c r="BN128" s="440">
        <v>0</v>
      </c>
      <c r="BO128" s="440">
        <v>0</v>
      </c>
      <c r="BP128" s="440">
        <v>0</v>
      </c>
      <c r="BQ128" s="440">
        <v>0</v>
      </c>
      <c r="BR128" s="415">
        <f t="shared" si="44"/>
        <v>0.75</v>
      </c>
      <c r="BS128" s="415">
        <f t="shared" si="46"/>
        <v>0.76249999999999996</v>
      </c>
      <c r="BT128" s="935"/>
      <c r="BU128" s="935"/>
      <c r="BV128" s="935"/>
      <c r="BW128" s="935"/>
      <c r="BX128" s="935"/>
      <c r="BY128" s="935"/>
      <c r="BZ128" s="935"/>
      <c r="CA128" s="935"/>
      <c r="CB128" s="935"/>
      <c r="CC128" s="935"/>
      <c r="CD128" s="935"/>
      <c r="CE128" s="935"/>
      <c r="CF128" s="935"/>
      <c r="CG128" s="935"/>
      <c r="CH128" s="935"/>
      <c r="CI128" s="935"/>
      <c r="CJ128" s="935"/>
      <c r="CK128" s="935"/>
      <c r="CL128" s="935"/>
      <c r="CM128" s="935"/>
      <c r="CN128" s="935"/>
      <c r="CO128" s="935"/>
      <c r="CP128" s="935"/>
      <c r="CQ128" s="935"/>
      <c r="CR128" s="935"/>
      <c r="CS128" s="935"/>
      <c r="CT128" s="935"/>
      <c r="CU128" s="935"/>
      <c r="CV128" s="935"/>
    </row>
    <row r="129" spans="1:100" s="375" customFormat="1" ht="14.9" customHeight="1">
      <c r="A129" s="375">
        <f t="shared" si="29"/>
        <v>8</v>
      </c>
      <c r="B129" s="455">
        <v>44420</v>
      </c>
      <c r="C129" s="445" t="s">
        <v>2000</v>
      </c>
      <c r="D129" s="376" t="str">
        <f>IFERROR(VLOOKUP(E:E,'Item Data Support Sheet'!A:O,7,0),"")</f>
        <v>BOTTLE PRINTED</v>
      </c>
      <c r="E129" s="447" t="s">
        <v>64</v>
      </c>
      <c r="F129" s="447"/>
      <c r="G129" s="376" t="s">
        <v>1698</v>
      </c>
      <c r="H129" s="602" t="str">
        <f>IFERROR(VLOOKUP(E:E,'Item Data Support Sheet'!A:O,2,0),"")</f>
        <v>KPP 240 ML BOTTLE PRINTED</v>
      </c>
      <c r="I129" s="447" t="s">
        <v>2340</v>
      </c>
      <c r="J129" s="447" t="s">
        <v>2813</v>
      </c>
      <c r="K129" s="438">
        <v>7.5</v>
      </c>
      <c r="L129" s="439">
        <v>4250</v>
      </c>
      <c r="M129" s="366">
        <f t="shared" si="45"/>
        <v>566.66666666666663</v>
      </c>
      <c r="N129" s="367">
        <f t="shared" si="28"/>
        <v>4303</v>
      </c>
      <c r="O129" s="61">
        <v>4273</v>
      </c>
      <c r="P129" s="368">
        <v>0</v>
      </c>
      <c r="Q129" s="369">
        <v>0</v>
      </c>
      <c r="R129" s="370">
        <v>28</v>
      </c>
      <c r="S129" s="370">
        <v>0</v>
      </c>
      <c r="T129" s="370">
        <v>30</v>
      </c>
      <c r="U129" s="370">
        <v>0</v>
      </c>
      <c r="V129" s="450">
        <v>6</v>
      </c>
      <c r="W129" s="453">
        <f t="shared" si="30"/>
        <v>712.16666666666663</v>
      </c>
      <c r="X129" s="748">
        <f t="shared" si="31"/>
        <v>1.0054117647058824</v>
      </c>
      <c r="Y129" s="451" t="str">
        <f>IFERROR(VLOOKUP(E:E,'Item Data Support Sheet'!A:J,6,0),0)</f>
        <v>FO003</v>
      </c>
      <c r="Z129" s="428">
        <f>IFERROR(VLOOKUP(E:E,'Item Data Support Sheet'!A:O,4,0),0)</f>
        <v>0</v>
      </c>
      <c r="AA129" s="428">
        <f t="shared" si="32"/>
        <v>0</v>
      </c>
      <c r="AB129" s="429" t="str">
        <f t="shared" si="33"/>
        <v xml:space="preserve"> </v>
      </c>
      <c r="AC129" s="424">
        <f t="shared" si="34"/>
        <v>6.971880083662561E-3</v>
      </c>
      <c r="AD129" s="371">
        <f t="shared" si="35"/>
        <v>0</v>
      </c>
      <c r="AE129" s="748">
        <f t="shared" si="36"/>
        <v>0.99302811991633744</v>
      </c>
      <c r="AF129" s="417">
        <f t="shared" si="37"/>
        <v>1.3333333333333333</v>
      </c>
      <c r="AG129" s="416">
        <f t="shared" si="38"/>
        <v>6.166666666666667</v>
      </c>
      <c r="AH129" s="372">
        <f t="shared" si="39"/>
        <v>0.8222222222222223</v>
      </c>
      <c r="AI129" s="373">
        <f t="shared" si="40"/>
        <v>569.73333333333335</v>
      </c>
      <c r="AJ129" s="418">
        <f>VLOOKUP(D129,'Standard Cycle time'!C:D,2,0)</f>
        <v>32.4</v>
      </c>
      <c r="AK129" s="418">
        <f t="shared" si="41"/>
        <v>31.172478352445587</v>
      </c>
      <c r="AL129" s="374">
        <f t="shared" si="42"/>
        <v>1.0393783783783783</v>
      </c>
      <c r="AM129" s="372">
        <f t="shared" si="43"/>
        <v>0.84864183128050208</v>
      </c>
      <c r="AN129" s="799" t="s">
        <v>2653</v>
      </c>
      <c r="AO129" s="929" t="s">
        <v>2392</v>
      </c>
      <c r="AP129" s="440">
        <v>30</v>
      </c>
      <c r="AQ129" s="440">
        <v>50</v>
      </c>
      <c r="AR129" s="440">
        <v>0</v>
      </c>
      <c r="AS129" s="440">
        <v>0</v>
      </c>
      <c r="AT129" s="440">
        <v>0</v>
      </c>
      <c r="AU129" s="440">
        <v>0</v>
      </c>
      <c r="AV129" s="440">
        <v>0</v>
      </c>
      <c r="AW129" s="440">
        <v>0</v>
      </c>
      <c r="AX129" s="440">
        <v>0</v>
      </c>
      <c r="AY129" s="440">
        <v>0</v>
      </c>
      <c r="AZ129" s="440">
        <v>0</v>
      </c>
      <c r="BA129" s="440">
        <v>0</v>
      </c>
      <c r="BB129" s="440">
        <v>0</v>
      </c>
      <c r="BC129" s="440">
        <v>0</v>
      </c>
      <c r="BD129" s="440">
        <v>0</v>
      </c>
      <c r="BE129" s="440">
        <v>0</v>
      </c>
      <c r="BF129" s="440">
        <v>0</v>
      </c>
      <c r="BG129" s="440">
        <v>0</v>
      </c>
      <c r="BH129" s="440">
        <v>0</v>
      </c>
      <c r="BI129" s="440">
        <v>0</v>
      </c>
      <c r="BJ129" s="440">
        <v>0</v>
      </c>
      <c r="BK129" s="440">
        <v>0</v>
      </c>
      <c r="BL129" s="440">
        <v>0</v>
      </c>
      <c r="BM129" s="440">
        <v>0</v>
      </c>
      <c r="BN129" s="440">
        <v>0</v>
      </c>
      <c r="BO129" s="440">
        <v>0</v>
      </c>
      <c r="BP129" s="440">
        <v>0</v>
      </c>
      <c r="BQ129" s="440">
        <v>0</v>
      </c>
      <c r="BR129" s="415">
        <f t="shared" si="44"/>
        <v>1.3333333333333333</v>
      </c>
      <c r="BS129" s="415">
        <f t="shared" si="46"/>
        <v>1.3555555555555554</v>
      </c>
      <c r="BT129" s="935"/>
      <c r="BU129" s="935"/>
      <c r="BV129" s="935"/>
      <c r="BW129" s="935"/>
      <c r="BX129" s="935"/>
      <c r="BY129" s="935"/>
      <c r="BZ129" s="935"/>
      <c r="CA129" s="935"/>
      <c r="CB129" s="935"/>
      <c r="CC129" s="935"/>
      <c r="CD129" s="935"/>
      <c r="CE129" s="935"/>
      <c r="CF129" s="935"/>
      <c r="CG129" s="935"/>
      <c r="CH129" s="935"/>
      <c r="CI129" s="935"/>
      <c r="CJ129" s="935"/>
      <c r="CK129" s="935"/>
      <c r="CL129" s="935"/>
      <c r="CM129" s="935"/>
      <c r="CN129" s="935"/>
      <c r="CO129" s="935"/>
      <c r="CP129" s="935"/>
      <c r="CQ129" s="935"/>
      <c r="CR129" s="935"/>
      <c r="CS129" s="935"/>
      <c r="CT129" s="935"/>
      <c r="CU129" s="935"/>
      <c r="CV129" s="935"/>
    </row>
    <row r="130" spans="1:100" s="375" customFormat="1" ht="14.9" customHeight="1">
      <c r="A130" s="375">
        <f t="shared" si="29"/>
        <v>8</v>
      </c>
      <c r="B130" s="455">
        <v>44420</v>
      </c>
      <c r="C130" s="445" t="s">
        <v>2000</v>
      </c>
      <c r="D130" s="376" t="str">
        <f>IFERROR(VLOOKUP(E:E,'Item Data Support Sheet'!A:O,7,0),"")</f>
        <v>NIPPLE PUNCH INSPECTED</v>
      </c>
      <c r="E130" s="446" t="s">
        <v>1818</v>
      </c>
      <c r="F130" s="447"/>
      <c r="G130" s="376"/>
      <c r="H130" s="602" t="str">
        <f>IFERROR(VLOOKUP(E:E,'Item Data Support Sheet'!A:O,2,0),"")</f>
        <v>NIPPLE S TYPE S SIZE PUNCHED INSPECTED</v>
      </c>
      <c r="I130" s="447" t="s">
        <v>2377</v>
      </c>
      <c r="J130" s="447" t="s">
        <v>2812</v>
      </c>
      <c r="K130" s="438">
        <v>8.5</v>
      </c>
      <c r="L130" s="439">
        <v>14182</v>
      </c>
      <c r="M130" s="366">
        <f t="shared" si="45"/>
        <v>1668.4705882352941</v>
      </c>
      <c r="N130" s="367">
        <f t="shared" si="28"/>
        <v>15300</v>
      </c>
      <c r="O130" s="61">
        <v>15251</v>
      </c>
      <c r="P130" s="368">
        <v>0</v>
      </c>
      <c r="Q130" s="369">
        <v>0</v>
      </c>
      <c r="R130" s="370">
        <v>0</v>
      </c>
      <c r="S130" s="370">
        <v>0</v>
      </c>
      <c r="T130" s="370">
        <v>49</v>
      </c>
      <c r="U130" s="370">
        <v>0</v>
      </c>
      <c r="V130" s="450">
        <v>2</v>
      </c>
      <c r="W130" s="453">
        <f t="shared" si="30"/>
        <v>7625.5</v>
      </c>
      <c r="X130" s="748">
        <f t="shared" si="31"/>
        <v>1.0753772387533493</v>
      </c>
      <c r="Y130" s="451" t="str">
        <f>IFERROR(VLOOKUP(E:E,'Item Data Support Sheet'!A:J,6,0),0)</f>
        <v>FO104</v>
      </c>
      <c r="Z130" s="428">
        <f>IFERROR(VLOOKUP(E:E,'Item Data Support Sheet'!A:O,4,0),0)</f>
        <v>0</v>
      </c>
      <c r="AA130" s="428">
        <f t="shared" si="32"/>
        <v>0</v>
      </c>
      <c r="AB130" s="429" t="str">
        <f t="shared" si="33"/>
        <v xml:space="preserve"> </v>
      </c>
      <c r="AC130" s="424">
        <f t="shared" si="34"/>
        <v>3.2026143790849673E-3</v>
      </c>
      <c r="AD130" s="371">
        <f t="shared" si="35"/>
        <v>0</v>
      </c>
      <c r="AE130" s="748">
        <f t="shared" si="36"/>
        <v>0.99679738562091502</v>
      </c>
      <c r="AF130" s="417">
        <f t="shared" si="37"/>
        <v>0.83333333333333337</v>
      </c>
      <c r="AG130" s="416">
        <f t="shared" si="38"/>
        <v>7.666666666666667</v>
      </c>
      <c r="AH130" s="372">
        <f t="shared" si="39"/>
        <v>0.90196078431372551</v>
      </c>
      <c r="AI130" s="373">
        <f t="shared" si="40"/>
        <v>1794.2352941176471</v>
      </c>
      <c r="AJ130" s="418">
        <f>VLOOKUP(D130,'Standard Cycle time'!C:D,2,0)</f>
        <v>4</v>
      </c>
      <c r="AK130" s="418">
        <f t="shared" si="41"/>
        <v>3.6194347911612352</v>
      </c>
      <c r="AL130" s="374">
        <f t="shared" si="42"/>
        <v>1.1051449275362319</v>
      </c>
      <c r="AM130" s="372">
        <f t="shared" si="43"/>
        <v>0.99360502798069117</v>
      </c>
      <c r="AN130" s="799" t="s">
        <v>2382</v>
      </c>
      <c r="AO130" s="929"/>
      <c r="AP130" s="440">
        <v>50</v>
      </c>
      <c r="AQ130" s="440">
        <v>0</v>
      </c>
      <c r="AR130" s="440">
        <v>0</v>
      </c>
      <c r="AS130" s="440">
        <v>0</v>
      </c>
      <c r="AT130" s="440">
        <v>0</v>
      </c>
      <c r="AU130" s="440">
        <v>0</v>
      </c>
      <c r="AV130" s="440">
        <v>0</v>
      </c>
      <c r="AW130" s="440">
        <v>0</v>
      </c>
      <c r="AX130" s="440">
        <v>0</v>
      </c>
      <c r="AY130" s="440">
        <v>0</v>
      </c>
      <c r="AZ130" s="440">
        <v>0</v>
      </c>
      <c r="BA130" s="440">
        <v>0</v>
      </c>
      <c r="BB130" s="440">
        <v>0</v>
      </c>
      <c r="BC130" s="440">
        <v>0</v>
      </c>
      <c r="BD130" s="440">
        <v>0</v>
      </c>
      <c r="BE130" s="440">
        <v>0</v>
      </c>
      <c r="BF130" s="440">
        <v>0</v>
      </c>
      <c r="BG130" s="440">
        <v>0</v>
      </c>
      <c r="BH130" s="440">
        <v>0</v>
      </c>
      <c r="BI130" s="440">
        <v>0</v>
      </c>
      <c r="BJ130" s="440">
        <v>0</v>
      </c>
      <c r="BK130" s="440">
        <v>0</v>
      </c>
      <c r="BL130" s="440">
        <v>0</v>
      </c>
      <c r="BM130" s="440">
        <v>0</v>
      </c>
      <c r="BN130" s="440">
        <v>0</v>
      </c>
      <c r="BO130" s="440">
        <v>0</v>
      </c>
      <c r="BP130" s="440">
        <v>0</v>
      </c>
      <c r="BQ130" s="440">
        <v>0</v>
      </c>
      <c r="BR130" s="415">
        <f t="shared" si="44"/>
        <v>0.83333333333333337</v>
      </c>
      <c r="BS130" s="415">
        <f t="shared" si="46"/>
        <v>0.84722222222222221</v>
      </c>
      <c r="BT130" s="935"/>
      <c r="BU130" s="935"/>
      <c r="BV130" s="935"/>
      <c r="BW130" s="935"/>
      <c r="BX130" s="935"/>
      <c r="BY130" s="935"/>
      <c r="BZ130" s="935"/>
      <c r="CA130" s="935"/>
      <c r="CB130" s="935"/>
      <c r="CC130" s="935"/>
      <c r="CD130" s="935"/>
      <c r="CE130" s="935"/>
      <c r="CF130" s="935"/>
      <c r="CG130" s="935"/>
      <c r="CH130" s="935"/>
      <c r="CI130" s="935"/>
      <c r="CJ130" s="935"/>
      <c r="CK130" s="935"/>
      <c r="CL130" s="935"/>
      <c r="CM130" s="935"/>
      <c r="CN130" s="935"/>
      <c r="CO130" s="935"/>
      <c r="CP130" s="935"/>
      <c r="CQ130" s="935"/>
      <c r="CR130" s="935"/>
      <c r="CS130" s="935"/>
      <c r="CT130" s="935"/>
      <c r="CU130" s="935"/>
      <c r="CV130" s="935"/>
    </row>
    <row r="131" spans="1:100" s="375" customFormat="1" ht="14.9" customHeight="1">
      <c r="A131" s="375">
        <f t="shared" si="29"/>
        <v>8</v>
      </c>
      <c r="B131" s="455">
        <v>44420</v>
      </c>
      <c r="C131" s="445" t="s">
        <v>2001</v>
      </c>
      <c r="D131" s="376" t="str">
        <f>IFERROR(VLOOKUP(E:E,'Item Data Support Sheet'!A:O,7,0),"")</f>
        <v>BOTTLE MOLDED</v>
      </c>
      <c r="E131" s="446" t="s">
        <v>14</v>
      </c>
      <c r="F131" s="447" t="s">
        <v>1681</v>
      </c>
      <c r="G131" s="376" t="s">
        <v>1888</v>
      </c>
      <c r="H131" s="602" t="str">
        <f>IFERROR(VLOOKUP(E:E,'Item Data Support Sheet'!A:O,2,0),"")</f>
        <v>KPP 240 ML BOTTLE MOLDED</v>
      </c>
      <c r="I131" s="447" t="s">
        <v>2378</v>
      </c>
      <c r="J131" s="447" t="s">
        <v>2810</v>
      </c>
      <c r="K131" s="438">
        <v>8</v>
      </c>
      <c r="L131" s="439">
        <v>2574</v>
      </c>
      <c r="M131" s="366">
        <f t="shared" si="45"/>
        <v>321.75</v>
      </c>
      <c r="N131" s="367">
        <f t="shared" si="28"/>
        <v>3347</v>
      </c>
      <c r="O131" s="61">
        <f>29*108</f>
        <v>3132</v>
      </c>
      <c r="P131" s="368">
        <v>0.2</v>
      </c>
      <c r="Q131" s="369">
        <v>155</v>
      </c>
      <c r="R131" s="370">
        <v>0</v>
      </c>
      <c r="S131" s="370">
        <v>0</v>
      </c>
      <c r="T131" s="370">
        <v>60</v>
      </c>
      <c r="U131" s="370">
        <v>0</v>
      </c>
      <c r="V131" s="450">
        <v>1</v>
      </c>
      <c r="W131" s="453">
        <f t="shared" si="30"/>
        <v>3132</v>
      </c>
      <c r="X131" s="748">
        <f t="shared" si="31"/>
        <v>1.2167832167832169</v>
      </c>
      <c r="Y131" s="451" t="str">
        <f>IFERROR(VLOOKUP(E:E,'Item Data Support Sheet'!A:J,6,0),0)</f>
        <v>HMC</v>
      </c>
      <c r="Z131" s="428">
        <f>IFERROR(VLOOKUP(E:E,'Item Data Support Sheet'!A:O,4,0),0)</f>
        <v>32.1</v>
      </c>
      <c r="AA131" s="428">
        <f t="shared" si="32"/>
        <v>107.63870000000001</v>
      </c>
      <c r="AB131" s="429">
        <f t="shared" si="33"/>
        <v>0.93402465841746507</v>
      </c>
      <c r="AC131" s="424">
        <f t="shared" si="34"/>
        <v>1.8796992481203006E-2</v>
      </c>
      <c r="AD131" s="371">
        <f t="shared" si="35"/>
        <v>4.42604226156482E-2</v>
      </c>
      <c r="AE131" s="748">
        <f t="shared" si="36"/>
        <v>0.98207349865551241</v>
      </c>
      <c r="AF131" s="417">
        <f t="shared" si="37"/>
        <v>0</v>
      </c>
      <c r="AG131" s="416">
        <f t="shared" si="38"/>
        <v>8</v>
      </c>
      <c r="AH131" s="372">
        <f t="shared" si="39"/>
        <v>1</v>
      </c>
      <c r="AI131" s="373">
        <f t="shared" si="40"/>
        <v>391.5</v>
      </c>
      <c r="AJ131" s="418">
        <f>VLOOKUP(D131,'Standard Cycle time'!C:D,2,0)</f>
        <v>9</v>
      </c>
      <c r="AK131" s="418">
        <f t="shared" si="41"/>
        <v>9.1954022988505741</v>
      </c>
      <c r="AL131" s="374">
        <f t="shared" si="42"/>
        <v>0.97875000000000001</v>
      </c>
      <c r="AM131" s="372">
        <f t="shared" si="43"/>
        <v>0.96120443680908274</v>
      </c>
      <c r="AN131" s="799">
        <v>2395</v>
      </c>
      <c r="AO131" s="761" t="s">
        <v>2384</v>
      </c>
      <c r="AP131" s="440">
        <v>0</v>
      </c>
      <c r="AQ131" s="440">
        <v>0</v>
      </c>
      <c r="AR131" s="440">
        <v>0</v>
      </c>
      <c r="AS131" s="440">
        <v>0</v>
      </c>
      <c r="AT131" s="440">
        <v>0</v>
      </c>
      <c r="AU131" s="440">
        <v>0</v>
      </c>
      <c r="AV131" s="440">
        <v>0</v>
      </c>
      <c r="AW131" s="440">
        <v>0</v>
      </c>
      <c r="AX131" s="440">
        <v>0</v>
      </c>
      <c r="AY131" s="440">
        <v>0</v>
      </c>
      <c r="AZ131" s="440">
        <v>0</v>
      </c>
      <c r="BA131" s="440">
        <v>0</v>
      </c>
      <c r="BB131" s="440">
        <v>0</v>
      </c>
      <c r="BC131" s="440">
        <v>0</v>
      </c>
      <c r="BD131" s="440">
        <v>0</v>
      </c>
      <c r="BE131" s="440">
        <v>0</v>
      </c>
      <c r="BF131" s="440">
        <v>0</v>
      </c>
      <c r="BG131" s="440">
        <v>0</v>
      </c>
      <c r="BH131" s="440">
        <v>0</v>
      </c>
      <c r="BI131" s="440">
        <v>0</v>
      </c>
      <c r="BJ131" s="440">
        <v>0</v>
      </c>
      <c r="BK131" s="440">
        <v>0</v>
      </c>
      <c r="BL131" s="440">
        <v>0</v>
      </c>
      <c r="BM131" s="440">
        <v>0</v>
      </c>
      <c r="BN131" s="440">
        <v>0</v>
      </c>
      <c r="BO131" s="440">
        <v>0</v>
      </c>
      <c r="BP131" s="440">
        <v>0</v>
      </c>
      <c r="BQ131" s="440">
        <v>0</v>
      </c>
      <c r="BR131" s="415">
        <f t="shared" si="44"/>
        <v>0</v>
      </c>
      <c r="BS131" s="415">
        <f t="shared" si="46"/>
        <v>0</v>
      </c>
      <c r="BT131" s="935"/>
      <c r="BU131" s="935"/>
      <c r="BV131" s="935"/>
      <c r="BW131" s="935"/>
      <c r="BX131" s="935"/>
      <c r="BY131" s="935"/>
      <c r="BZ131" s="935"/>
      <c r="CA131" s="935"/>
      <c r="CB131" s="935"/>
      <c r="CC131" s="935"/>
      <c r="CD131" s="935"/>
      <c r="CE131" s="935"/>
      <c r="CF131" s="935"/>
      <c r="CG131" s="935"/>
      <c r="CH131" s="935"/>
      <c r="CI131" s="935"/>
      <c r="CJ131" s="935"/>
      <c r="CK131" s="935"/>
      <c r="CL131" s="935"/>
      <c r="CM131" s="935"/>
      <c r="CN131" s="935"/>
      <c r="CO131" s="935"/>
      <c r="CP131" s="935"/>
      <c r="CQ131" s="935"/>
      <c r="CR131" s="935"/>
      <c r="CS131" s="935"/>
      <c r="CT131" s="935"/>
      <c r="CU131" s="935"/>
      <c r="CV131" s="935"/>
    </row>
    <row r="132" spans="1:100" s="375" customFormat="1" ht="14.9" customHeight="1">
      <c r="A132" s="375">
        <f t="shared" si="29"/>
        <v>8</v>
      </c>
      <c r="B132" s="455">
        <v>44420</v>
      </c>
      <c r="C132" s="445" t="s">
        <v>2001</v>
      </c>
      <c r="D132" s="376" t="str">
        <f>IFERROR(VLOOKUP(E:E,'Item Data Support Sheet'!A:O,7,0),"")</f>
        <v>NIPPLE PUNCH</v>
      </c>
      <c r="E132" s="446" t="s">
        <v>80</v>
      </c>
      <c r="F132" s="447"/>
      <c r="G132" s="376" t="s">
        <v>1692</v>
      </c>
      <c r="H132" s="602" t="str">
        <f>IFERROR(VLOOKUP(E:E,'Item Data Support Sheet'!A:O,2,0),"")</f>
        <v>NIPPLE S TYPE S SIZE PUNCHED</v>
      </c>
      <c r="I132" s="447" t="s">
        <v>2379</v>
      </c>
      <c r="J132" s="447" t="s">
        <v>2810</v>
      </c>
      <c r="K132" s="438">
        <v>8</v>
      </c>
      <c r="L132" s="439">
        <v>7036</v>
      </c>
      <c r="M132" s="366">
        <f t="shared" si="45"/>
        <v>879.5</v>
      </c>
      <c r="N132" s="367">
        <f t="shared" ref="N132:N195" si="47">+O132+Q132+T132+U132</f>
        <v>7000</v>
      </c>
      <c r="O132" s="61">
        <f>3000+4000</f>
        <v>7000</v>
      </c>
      <c r="P132" s="368">
        <v>0</v>
      </c>
      <c r="Q132" s="369">
        <v>0</v>
      </c>
      <c r="R132" s="370">
        <v>0</v>
      </c>
      <c r="S132" s="370">
        <v>0</v>
      </c>
      <c r="T132" s="370">
        <v>0</v>
      </c>
      <c r="U132" s="370">
        <v>0</v>
      </c>
      <c r="V132" s="450">
        <v>1</v>
      </c>
      <c r="W132" s="453">
        <f t="shared" si="30"/>
        <v>7000</v>
      </c>
      <c r="X132" s="748">
        <f t="shared" si="31"/>
        <v>0.99488345650938037</v>
      </c>
      <c r="Y132" s="451" t="str">
        <f>IFERROR(VLOOKUP(E:E,'Item Data Support Sheet'!A:J,6,0),0)</f>
        <v>FO015</v>
      </c>
      <c r="Z132" s="428">
        <f>IFERROR(VLOOKUP(E:E,'Item Data Support Sheet'!A:O,4,0),0)</f>
        <v>0</v>
      </c>
      <c r="AA132" s="428">
        <f t="shared" si="32"/>
        <v>0</v>
      </c>
      <c r="AB132" s="429" t="str">
        <f t="shared" si="33"/>
        <v xml:space="preserve"> </v>
      </c>
      <c r="AC132" s="424">
        <f t="shared" si="34"/>
        <v>0</v>
      </c>
      <c r="AD132" s="371">
        <f t="shared" si="35"/>
        <v>0</v>
      </c>
      <c r="AE132" s="748">
        <f t="shared" si="36"/>
        <v>1</v>
      </c>
      <c r="AF132" s="417">
        <f t="shared" si="37"/>
        <v>0.66666666666666663</v>
      </c>
      <c r="AG132" s="416">
        <f t="shared" si="38"/>
        <v>7.333333333333333</v>
      </c>
      <c r="AH132" s="372">
        <f t="shared" si="39"/>
        <v>0.91666666666666663</v>
      </c>
      <c r="AI132" s="373">
        <f t="shared" si="40"/>
        <v>875</v>
      </c>
      <c r="AJ132" s="418">
        <f>VLOOKUP(D132,'Standard Cycle time'!C:D,2,0)</f>
        <v>3.5</v>
      </c>
      <c r="AK132" s="418">
        <f t="shared" si="41"/>
        <v>3.7714285714285714</v>
      </c>
      <c r="AL132" s="374">
        <f t="shared" si="42"/>
        <v>0.92803030303030309</v>
      </c>
      <c r="AM132" s="372">
        <f t="shared" si="43"/>
        <v>0.85069444444444442</v>
      </c>
      <c r="AN132" s="799" t="s">
        <v>2380</v>
      </c>
      <c r="AO132" s="929"/>
      <c r="AP132" s="440">
        <v>40</v>
      </c>
      <c r="AQ132" s="440">
        <v>0</v>
      </c>
      <c r="AR132" s="440">
        <v>0</v>
      </c>
      <c r="AS132" s="440">
        <v>0</v>
      </c>
      <c r="AT132" s="440">
        <v>0</v>
      </c>
      <c r="AU132" s="440">
        <v>0</v>
      </c>
      <c r="AV132" s="440">
        <v>0</v>
      </c>
      <c r="AW132" s="440">
        <v>0</v>
      </c>
      <c r="AX132" s="440">
        <v>0</v>
      </c>
      <c r="AY132" s="440">
        <v>0</v>
      </c>
      <c r="AZ132" s="440">
        <v>0</v>
      </c>
      <c r="BA132" s="440">
        <v>0</v>
      </c>
      <c r="BB132" s="440">
        <v>0</v>
      </c>
      <c r="BC132" s="440">
        <v>0</v>
      </c>
      <c r="BD132" s="440">
        <v>0</v>
      </c>
      <c r="BE132" s="440">
        <v>0</v>
      </c>
      <c r="BF132" s="440">
        <v>0</v>
      </c>
      <c r="BG132" s="440">
        <v>0</v>
      </c>
      <c r="BH132" s="440">
        <v>0</v>
      </c>
      <c r="BI132" s="440">
        <v>0</v>
      </c>
      <c r="BJ132" s="440">
        <v>0</v>
      </c>
      <c r="BK132" s="440">
        <v>0</v>
      </c>
      <c r="BL132" s="440">
        <v>0</v>
      </c>
      <c r="BM132" s="440">
        <v>0</v>
      </c>
      <c r="BN132" s="440">
        <v>0</v>
      </c>
      <c r="BO132" s="440">
        <v>0</v>
      </c>
      <c r="BP132" s="440">
        <v>0</v>
      </c>
      <c r="BQ132" s="440">
        <v>0</v>
      </c>
      <c r="BR132" s="415">
        <f t="shared" si="44"/>
        <v>0.66666666666666663</v>
      </c>
      <c r="BS132" s="415">
        <f t="shared" si="46"/>
        <v>0.6777777777777777</v>
      </c>
      <c r="BT132" s="935"/>
      <c r="BU132" s="935"/>
      <c r="BV132" s="935"/>
      <c r="BW132" s="935"/>
      <c r="BX132" s="935"/>
      <c r="BY132" s="935"/>
      <c r="BZ132" s="935"/>
      <c r="CA132" s="935"/>
      <c r="CB132" s="935"/>
      <c r="CC132" s="935"/>
      <c r="CD132" s="935"/>
      <c r="CE132" s="935"/>
      <c r="CF132" s="935"/>
      <c r="CG132" s="935"/>
      <c r="CH132" s="935"/>
      <c r="CI132" s="935"/>
      <c r="CJ132" s="935"/>
      <c r="CK132" s="935"/>
      <c r="CL132" s="935"/>
      <c r="CM132" s="935"/>
      <c r="CN132" s="935"/>
      <c r="CO132" s="935"/>
      <c r="CP132" s="935"/>
      <c r="CQ132" s="935"/>
      <c r="CR132" s="935"/>
      <c r="CS132" s="935"/>
      <c r="CT132" s="935"/>
      <c r="CU132" s="935"/>
      <c r="CV132" s="935"/>
    </row>
    <row r="133" spans="1:100" s="375" customFormat="1" ht="14.9" customHeight="1">
      <c r="A133" s="375">
        <f t="shared" ref="A133:A196" si="48">MONTH(B133)</f>
        <v>8</v>
      </c>
      <c r="B133" s="455">
        <v>44420</v>
      </c>
      <c r="C133" s="445" t="s">
        <v>2001</v>
      </c>
      <c r="D133" s="376" t="str">
        <f>IFERROR(VLOOKUP(E:E,'Item Data Support Sheet'!A:O,7,0),"")</f>
        <v>NIPPLE MOLDED</v>
      </c>
      <c r="E133" s="446" t="s">
        <v>72</v>
      </c>
      <c r="F133" s="447" t="s">
        <v>1678</v>
      </c>
      <c r="G133" s="376" t="s">
        <v>1691</v>
      </c>
      <c r="H133" s="602" t="str">
        <f>IFERROR(VLOOKUP(E:E,'Item Data Support Sheet'!A:O,2,0),"")</f>
        <v>NIPPLE S TYPE S SIZE INJECTION</v>
      </c>
      <c r="I133" s="447" t="s">
        <v>2381</v>
      </c>
      <c r="J133" s="447" t="s">
        <v>2810</v>
      </c>
      <c r="K133" s="438">
        <v>8</v>
      </c>
      <c r="L133" s="439">
        <v>4815</v>
      </c>
      <c r="M133" s="366">
        <f t="shared" si="45"/>
        <v>601.875</v>
      </c>
      <c r="N133" s="367">
        <f t="shared" si="47"/>
        <v>5099</v>
      </c>
      <c r="O133" s="61">
        <v>5000</v>
      </c>
      <c r="P133" s="368">
        <v>0</v>
      </c>
      <c r="Q133" s="369">
        <v>35</v>
      </c>
      <c r="R133" s="370">
        <v>0</v>
      </c>
      <c r="S133" s="370">
        <v>0</v>
      </c>
      <c r="T133" s="370">
        <v>64</v>
      </c>
      <c r="U133" s="370">
        <v>0</v>
      </c>
      <c r="V133" s="450">
        <v>1</v>
      </c>
      <c r="W133" s="453">
        <f t="shared" ref="W133:W196" si="49">IFERROR(O133/V133,0)</f>
        <v>5000</v>
      </c>
      <c r="X133" s="748">
        <f t="shared" ref="X133:X196" si="50">O133/L133</f>
        <v>1.0384215991692627</v>
      </c>
      <c r="Y133" s="451" t="str">
        <f>IFERROR(VLOOKUP(E:E,'Item Data Support Sheet'!A:J,6,0),0)</f>
        <v>Silicon</v>
      </c>
      <c r="Z133" s="428">
        <f>IFERROR(VLOOKUP(E:E,'Item Data Support Sheet'!A:O,4,0),0)</f>
        <v>6.8</v>
      </c>
      <c r="AA133" s="428">
        <f t="shared" ref="AA133:AA196" si="51">IFERROR(((N133)*(Z133/1000))+P133,0)</f>
        <v>34.673200000000001</v>
      </c>
      <c r="AB133" s="429">
        <f t="shared" ref="AB133:AB196" si="52">IFERROR((O133*(Z133/1000)/(AA133))," ")</f>
        <v>0.98058442831927828</v>
      </c>
      <c r="AC133" s="424">
        <f t="shared" ref="AC133:AC196" si="53">IFERROR((T133)/((T133)+O133),0)</f>
        <v>1.2638230647709321E-2</v>
      </c>
      <c r="AD133" s="371">
        <f t="shared" ref="AD133:AD196" si="54">IFERROR(Q133/(Q133+N133),0)</f>
        <v>6.8172964550058434E-3</v>
      </c>
      <c r="AE133" s="748">
        <f t="shared" ref="AE133:AE196" si="55">(N133-T133)/N133</f>
        <v>0.98744851931751321</v>
      </c>
      <c r="AF133" s="417">
        <f t="shared" ref="AF133:AF196" si="56">BR133</f>
        <v>0</v>
      </c>
      <c r="AG133" s="416">
        <f t="shared" ref="AG133:AG196" si="57">K133-AF133</f>
        <v>8</v>
      </c>
      <c r="AH133" s="372">
        <f t="shared" ref="AH133:AH196" si="58">IFERROR(AG133/K133," ")</f>
        <v>1</v>
      </c>
      <c r="AI133" s="373">
        <f t="shared" ref="AI133:AI196" si="59">IFERROR(O133/K133,0)</f>
        <v>625</v>
      </c>
      <c r="AJ133" s="418">
        <f>VLOOKUP(D133,'Standard Cycle time'!C:D,2,0)</f>
        <v>5.25</v>
      </c>
      <c r="AK133" s="418">
        <f t="shared" ref="AK133:AK196" si="60">AG133*V133*3600/O133</f>
        <v>5.76</v>
      </c>
      <c r="AL133" s="374">
        <f t="shared" ref="AL133:AL196" si="61">AJ133/AK133</f>
        <v>0.91145833333333337</v>
      </c>
      <c r="AM133" s="372">
        <f t="shared" ref="AM133:AM196" si="62">AE133*AL133*AH133</f>
        <v>0.90001818166960845</v>
      </c>
      <c r="AN133" s="799">
        <v>2394</v>
      </c>
      <c r="AO133" s="761"/>
      <c r="AP133" s="440">
        <v>0</v>
      </c>
      <c r="AQ133" s="440">
        <v>0</v>
      </c>
      <c r="AR133" s="440">
        <v>0</v>
      </c>
      <c r="AS133" s="440">
        <v>0</v>
      </c>
      <c r="AT133" s="440">
        <v>0</v>
      </c>
      <c r="AU133" s="440">
        <v>0</v>
      </c>
      <c r="AV133" s="440">
        <v>0</v>
      </c>
      <c r="AW133" s="440">
        <v>0</v>
      </c>
      <c r="AX133" s="440">
        <v>0</v>
      </c>
      <c r="AY133" s="440">
        <v>0</v>
      </c>
      <c r="AZ133" s="440">
        <v>0</v>
      </c>
      <c r="BA133" s="440">
        <v>0</v>
      </c>
      <c r="BB133" s="440">
        <v>0</v>
      </c>
      <c r="BC133" s="440">
        <v>0</v>
      </c>
      <c r="BD133" s="440">
        <v>0</v>
      </c>
      <c r="BE133" s="440">
        <v>0</v>
      </c>
      <c r="BF133" s="440">
        <v>0</v>
      </c>
      <c r="BG133" s="440">
        <v>0</v>
      </c>
      <c r="BH133" s="440">
        <v>0</v>
      </c>
      <c r="BI133" s="440">
        <v>0</v>
      </c>
      <c r="BJ133" s="440">
        <v>0</v>
      </c>
      <c r="BK133" s="440">
        <v>0</v>
      </c>
      <c r="BL133" s="440">
        <v>0</v>
      </c>
      <c r="BM133" s="440">
        <v>0</v>
      </c>
      <c r="BN133" s="440">
        <v>0</v>
      </c>
      <c r="BO133" s="440">
        <v>0</v>
      </c>
      <c r="BP133" s="440">
        <v>0</v>
      </c>
      <c r="BQ133" s="440">
        <v>0</v>
      </c>
      <c r="BR133" s="415">
        <f t="shared" si="44"/>
        <v>0</v>
      </c>
      <c r="BS133" s="415">
        <f t="shared" si="46"/>
        <v>0</v>
      </c>
      <c r="BT133" s="935"/>
      <c r="BU133" s="935"/>
      <c r="BV133" s="935"/>
      <c r="BW133" s="935"/>
      <c r="BX133" s="935"/>
      <c r="BY133" s="935"/>
      <c r="BZ133" s="935"/>
      <c r="CA133" s="935"/>
      <c r="CB133" s="935"/>
      <c r="CC133" s="935"/>
      <c r="CD133" s="935"/>
      <c r="CE133" s="935"/>
      <c r="CF133" s="935"/>
      <c r="CG133" s="935"/>
      <c r="CH133" s="935"/>
      <c r="CI133" s="935"/>
      <c r="CJ133" s="935"/>
      <c r="CK133" s="935"/>
      <c r="CL133" s="935"/>
      <c r="CM133" s="935"/>
      <c r="CN133" s="935"/>
      <c r="CO133" s="935"/>
      <c r="CP133" s="935"/>
      <c r="CQ133" s="935"/>
      <c r="CR133" s="935"/>
      <c r="CS133" s="935"/>
      <c r="CT133" s="935"/>
      <c r="CU133" s="935"/>
      <c r="CV133" s="935"/>
    </row>
    <row r="134" spans="1:100" s="375" customFormat="1" ht="14.9" customHeight="1">
      <c r="A134" s="375">
        <f t="shared" si="48"/>
        <v>8</v>
      </c>
      <c r="B134" s="455">
        <v>44420</v>
      </c>
      <c r="C134" s="445" t="s">
        <v>2001</v>
      </c>
      <c r="D134" s="376" t="str">
        <f>IFERROR(VLOOKUP(E:E,'Item Data Support Sheet'!A:O,7,0),"")</f>
        <v>CAP MOLDED</v>
      </c>
      <c r="E134" s="446" t="s">
        <v>2108</v>
      </c>
      <c r="F134" s="447"/>
      <c r="G134" s="376" t="s">
        <v>2220</v>
      </c>
      <c r="H134" s="602" t="str">
        <f>IFERROR(VLOOKUP(E:E,'Item Data Support Sheet'!A:O,2,0),"")</f>
        <v>CAP S TYPE MOLDED BLUE</v>
      </c>
      <c r="I134" s="447" t="s">
        <v>2383</v>
      </c>
      <c r="J134" s="447" t="s">
        <v>2810</v>
      </c>
      <c r="K134" s="438">
        <v>8</v>
      </c>
      <c r="L134" s="439">
        <v>4137</v>
      </c>
      <c r="M134" s="366">
        <f t="shared" si="45"/>
        <v>517.125</v>
      </c>
      <c r="N134" s="367">
        <f t="shared" si="47"/>
        <v>4002</v>
      </c>
      <c r="O134" s="61">
        <v>4000</v>
      </c>
      <c r="P134" s="368">
        <v>0</v>
      </c>
      <c r="Q134" s="369">
        <v>0</v>
      </c>
      <c r="R134" s="370">
        <v>0</v>
      </c>
      <c r="S134" s="370">
        <v>0</v>
      </c>
      <c r="T134" s="370">
        <v>2</v>
      </c>
      <c r="U134" s="370">
        <v>0</v>
      </c>
      <c r="V134" s="450">
        <v>1</v>
      </c>
      <c r="W134" s="453">
        <f t="shared" si="49"/>
        <v>4000</v>
      </c>
      <c r="X134" s="748">
        <f t="shared" si="50"/>
        <v>0.96688421561518012</v>
      </c>
      <c r="Y134" s="451" t="str">
        <f>IFERROR(VLOOKUP(E:E,'Item Data Support Sheet'!A:J,6,0),0)</f>
        <v>RM000114</v>
      </c>
      <c r="Z134" s="428">
        <f>IFERROR(VLOOKUP(E:E,'Item Data Support Sheet'!A:O,4,0),0)</f>
        <v>7.3</v>
      </c>
      <c r="AA134" s="428">
        <f t="shared" si="51"/>
        <v>29.214600000000001</v>
      </c>
      <c r="AB134" s="429">
        <f t="shared" si="52"/>
        <v>0.99950024987506236</v>
      </c>
      <c r="AC134" s="424">
        <f t="shared" si="53"/>
        <v>4.9975012493753122E-4</v>
      </c>
      <c r="AD134" s="371">
        <f t="shared" si="54"/>
        <v>0</v>
      </c>
      <c r="AE134" s="748">
        <f t="shared" si="55"/>
        <v>0.99950024987506247</v>
      </c>
      <c r="AF134" s="417">
        <f t="shared" si="56"/>
        <v>0</v>
      </c>
      <c r="AG134" s="416">
        <f t="shared" si="57"/>
        <v>8</v>
      </c>
      <c r="AH134" s="372">
        <f t="shared" si="58"/>
        <v>1</v>
      </c>
      <c r="AI134" s="373">
        <f t="shared" si="59"/>
        <v>500</v>
      </c>
      <c r="AJ134" s="418">
        <f>VLOOKUP(D134,'Standard Cycle time'!C:D,2,0)</f>
        <v>6</v>
      </c>
      <c r="AK134" s="418">
        <f t="shared" si="60"/>
        <v>7.2</v>
      </c>
      <c r="AL134" s="374">
        <f t="shared" si="61"/>
        <v>0.83333333333333326</v>
      </c>
      <c r="AM134" s="372">
        <f t="shared" si="62"/>
        <v>0.83291687489588528</v>
      </c>
      <c r="AN134" s="799">
        <v>2690</v>
      </c>
      <c r="AO134" s="761"/>
      <c r="AP134" s="440">
        <v>0</v>
      </c>
      <c r="AQ134" s="440">
        <v>0</v>
      </c>
      <c r="AR134" s="440">
        <v>0</v>
      </c>
      <c r="AS134" s="440">
        <v>0</v>
      </c>
      <c r="AT134" s="440">
        <v>0</v>
      </c>
      <c r="AU134" s="440">
        <v>0</v>
      </c>
      <c r="AV134" s="440">
        <v>0</v>
      </c>
      <c r="AW134" s="440">
        <v>0</v>
      </c>
      <c r="AX134" s="440">
        <v>0</v>
      </c>
      <c r="AY134" s="440">
        <v>0</v>
      </c>
      <c r="AZ134" s="440">
        <v>0</v>
      </c>
      <c r="BA134" s="440">
        <v>0</v>
      </c>
      <c r="BB134" s="440">
        <v>0</v>
      </c>
      <c r="BC134" s="440">
        <v>0</v>
      </c>
      <c r="BD134" s="440">
        <v>0</v>
      </c>
      <c r="BE134" s="440">
        <v>0</v>
      </c>
      <c r="BF134" s="440">
        <v>0</v>
      </c>
      <c r="BG134" s="440">
        <v>0</v>
      </c>
      <c r="BH134" s="440">
        <v>0</v>
      </c>
      <c r="BI134" s="440">
        <v>0</v>
      </c>
      <c r="BJ134" s="440">
        <v>0</v>
      </c>
      <c r="BK134" s="440">
        <v>0</v>
      </c>
      <c r="BL134" s="440">
        <v>0</v>
      </c>
      <c r="BM134" s="440">
        <v>0</v>
      </c>
      <c r="BN134" s="440">
        <v>0</v>
      </c>
      <c r="BO134" s="440">
        <v>0</v>
      </c>
      <c r="BP134" s="440">
        <v>0</v>
      </c>
      <c r="BQ134" s="440">
        <v>0</v>
      </c>
      <c r="BR134" s="415">
        <f t="shared" si="44"/>
        <v>0</v>
      </c>
      <c r="BS134" s="415">
        <f t="shared" si="46"/>
        <v>0</v>
      </c>
      <c r="BT134" s="935"/>
      <c r="BU134" s="935"/>
      <c r="BV134" s="935"/>
      <c r="BW134" s="935"/>
      <c r="BX134" s="935"/>
      <c r="BY134" s="935"/>
      <c r="BZ134" s="935"/>
      <c r="CA134" s="935"/>
      <c r="CB134" s="935"/>
      <c r="CC134" s="935"/>
      <c r="CD134" s="935"/>
      <c r="CE134" s="935"/>
      <c r="CF134" s="935"/>
      <c r="CG134" s="935"/>
      <c r="CH134" s="935"/>
      <c r="CI134" s="935"/>
      <c r="CJ134" s="935"/>
      <c r="CK134" s="935"/>
      <c r="CL134" s="935"/>
      <c r="CM134" s="935"/>
      <c r="CN134" s="935"/>
      <c r="CO134" s="935"/>
      <c r="CP134" s="935"/>
      <c r="CQ134" s="935"/>
      <c r="CR134" s="935"/>
      <c r="CS134" s="935"/>
      <c r="CT134" s="935"/>
      <c r="CU134" s="935"/>
      <c r="CV134" s="935"/>
    </row>
    <row r="135" spans="1:100" s="375" customFormat="1" ht="14.9" customHeight="1">
      <c r="A135" s="375">
        <f t="shared" si="48"/>
        <v>8</v>
      </c>
      <c r="B135" s="455">
        <v>44420</v>
      </c>
      <c r="C135" s="445" t="s">
        <v>2053</v>
      </c>
      <c r="D135" s="376" t="str">
        <f>IFERROR(VLOOKUP(E:E,'Item Data Support Sheet'!A:O,7,0),"")</f>
        <v>BOTTLE MOLDED</v>
      </c>
      <c r="E135" s="446" t="s">
        <v>14</v>
      </c>
      <c r="F135" s="447" t="s">
        <v>1681</v>
      </c>
      <c r="G135" s="376" t="s">
        <v>1888</v>
      </c>
      <c r="H135" s="602" t="str">
        <f>IFERROR(VLOOKUP(E:E,'Item Data Support Sheet'!A:O,2,0),"")</f>
        <v>KPP 240 ML BOTTLE MOLDED</v>
      </c>
      <c r="I135" s="376" t="s">
        <v>2388</v>
      </c>
      <c r="J135" s="447" t="s">
        <v>2808</v>
      </c>
      <c r="K135" s="438">
        <v>8</v>
      </c>
      <c r="L135" s="439">
        <v>2574</v>
      </c>
      <c r="M135" s="366">
        <f t="shared" si="45"/>
        <v>321.75</v>
      </c>
      <c r="N135" s="367">
        <f t="shared" si="47"/>
        <v>3277</v>
      </c>
      <c r="O135" s="61">
        <f>29*108</f>
        <v>3132</v>
      </c>
      <c r="P135" s="369">
        <v>0.23</v>
      </c>
      <c r="Q135" s="369">
        <v>70</v>
      </c>
      <c r="R135" s="370">
        <v>0</v>
      </c>
      <c r="S135" s="370">
        <v>0</v>
      </c>
      <c r="T135" s="370">
        <v>67</v>
      </c>
      <c r="U135" s="370">
        <v>8</v>
      </c>
      <c r="V135" s="450">
        <v>1</v>
      </c>
      <c r="W135" s="453">
        <f t="shared" si="49"/>
        <v>3132</v>
      </c>
      <c r="X135" s="748">
        <f t="shared" si="50"/>
        <v>1.2167832167832169</v>
      </c>
      <c r="Y135" s="451" t="str">
        <f>IFERROR(VLOOKUP(E:E,'Item Data Support Sheet'!A:J,6,0),0)</f>
        <v>HMC</v>
      </c>
      <c r="Z135" s="428">
        <f>IFERROR(VLOOKUP(E:E,'Item Data Support Sheet'!A:O,4,0),0)</f>
        <v>32.1</v>
      </c>
      <c r="AA135" s="428">
        <f t="shared" si="51"/>
        <v>105.42170000000002</v>
      </c>
      <c r="AB135" s="429">
        <f t="shared" si="52"/>
        <v>0.9536670343961442</v>
      </c>
      <c r="AC135" s="424">
        <f t="shared" si="53"/>
        <v>2.0944045014066895E-2</v>
      </c>
      <c r="AD135" s="371">
        <f t="shared" si="54"/>
        <v>2.0914251568568867E-2</v>
      </c>
      <c r="AE135" s="748">
        <f t="shared" si="55"/>
        <v>0.97955447055233447</v>
      </c>
      <c r="AF135" s="417">
        <f t="shared" si="56"/>
        <v>0</v>
      </c>
      <c r="AG135" s="416">
        <f t="shared" si="57"/>
        <v>8</v>
      </c>
      <c r="AH135" s="372">
        <f t="shared" si="58"/>
        <v>1</v>
      </c>
      <c r="AI135" s="373">
        <f t="shared" si="59"/>
        <v>391.5</v>
      </c>
      <c r="AJ135" s="418">
        <f>VLOOKUP(D135,'Standard Cycle time'!C:D,2,0)</f>
        <v>9</v>
      </c>
      <c r="AK135" s="418">
        <f t="shared" si="60"/>
        <v>9.1954022988505741</v>
      </c>
      <c r="AL135" s="374">
        <f t="shared" si="61"/>
        <v>0.97875000000000001</v>
      </c>
      <c r="AM135" s="372">
        <f t="shared" si="62"/>
        <v>0.9587389380530974</v>
      </c>
      <c r="AN135" s="799">
        <v>2400</v>
      </c>
      <c r="AO135" s="761"/>
      <c r="AP135" s="440">
        <v>0</v>
      </c>
      <c r="AQ135" s="440">
        <v>0</v>
      </c>
      <c r="AR135" s="440">
        <v>0</v>
      </c>
      <c r="AS135" s="440">
        <v>0</v>
      </c>
      <c r="AT135" s="440">
        <v>0</v>
      </c>
      <c r="AU135" s="440">
        <v>0</v>
      </c>
      <c r="AV135" s="440">
        <v>0</v>
      </c>
      <c r="AW135" s="440">
        <v>0</v>
      </c>
      <c r="AX135" s="440">
        <v>0</v>
      </c>
      <c r="AY135" s="440">
        <v>0</v>
      </c>
      <c r="AZ135" s="440">
        <v>0</v>
      </c>
      <c r="BA135" s="440">
        <v>0</v>
      </c>
      <c r="BB135" s="440">
        <v>0</v>
      </c>
      <c r="BC135" s="440">
        <v>0</v>
      </c>
      <c r="BD135" s="440">
        <v>0</v>
      </c>
      <c r="BE135" s="440">
        <v>0</v>
      </c>
      <c r="BF135" s="440">
        <v>0</v>
      </c>
      <c r="BG135" s="440">
        <v>0</v>
      </c>
      <c r="BH135" s="440">
        <v>0</v>
      </c>
      <c r="BI135" s="440">
        <v>0</v>
      </c>
      <c r="BJ135" s="440">
        <v>0</v>
      </c>
      <c r="BK135" s="440">
        <v>0</v>
      </c>
      <c r="BL135" s="440">
        <v>0</v>
      </c>
      <c r="BM135" s="440">
        <v>0</v>
      </c>
      <c r="BN135" s="440">
        <v>0</v>
      </c>
      <c r="BO135" s="440">
        <v>0</v>
      </c>
      <c r="BP135" s="440">
        <v>0</v>
      </c>
      <c r="BQ135" s="440">
        <v>0</v>
      </c>
      <c r="BR135" s="415">
        <f t="shared" si="44"/>
        <v>0</v>
      </c>
      <c r="BS135" s="415">
        <f t="shared" si="46"/>
        <v>0</v>
      </c>
      <c r="BT135" s="935"/>
      <c r="BU135" s="935"/>
      <c r="BV135" s="935"/>
      <c r="BW135" s="935"/>
      <c r="BX135" s="935"/>
      <c r="BY135" s="935"/>
      <c r="BZ135" s="935"/>
      <c r="CA135" s="935"/>
      <c r="CB135" s="935"/>
      <c r="CC135" s="935"/>
      <c r="CD135" s="935"/>
      <c r="CE135" s="935"/>
      <c r="CF135" s="935"/>
      <c r="CG135" s="935"/>
      <c r="CH135" s="935"/>
      <c r="CI135" s="935"/>
      <c r="CJ135" s="935"/>
      <c r="CK135" s="935"/>
      <c r="CL135" s="935"/>
      <c r="CM135" s="935"/>
      <c r="CN135" s="935"/>
      <c r="CO135" s="935"/>
      <c r="CP135" s="935"/>
      <c r="CQ135" s="935"/>
      <c r="CR135" s="935"/>
      <c r="CS135" s="935"/>
      <c r="CT135" s="935"/>
      <c r="CU135" s="935"/>
      <c r="CV135" s="935"/>
    </row>
    <row r="136" spans="1:100" s="375" customFormat="1" ht="14.9" customHeight="1">
      <c r="A136" s="375">
        <f t="shared" si="48"/>
        <v>8</v>
      </c>
      <c r="B136" s="455">
        <v>44420</v>
      </c>
      <c r="C136" s="445" t="s">
        <v>2053</v>
      </c>
      <c r="D136" s="376" t="str">
        <f>IFERROR(VLOOKUP(E:E,'Item Data Support Sheet'!A:O,7,0),"")</f>
        <v>NIPPLE MOLDED</v>
      </c>
      <c r="E136" s="446" t="s">
        <v>72</v>
      </c>
      <c r="F136" s="447" t="s">
        <v>1678</v>
      </c>
      <c r="G136" s="376" t="s">
        <v>1691</v>
      </c>
      <c r="H136" s="602" t="str">
        <f>IFERROR(VLOOKUP(E:E,'Item Data Support Sheet'!A:O,2,0),"")</f>
        <v>NIPPLE S TYPE S SIZE INJECTION</v>
      </c>
      <c r="I136" s="376" t="s">
        <v>2387</v>
      </c>
      <c r="J136" s="447" t="s">
        <v>2808</v>
      </c>
      <c r="K136" s="438">
        <v>8</v>
      </c>
      <c r="L136" s="439">
        <v>4815</v>
      </c>
      <c r="M136" s="366">
        <f t="shared" si="45"/>
        <v>601.875</v>
      </c>
      <c r="N136" s="367">
        <f t="shared" si="47"/>
        <v>5368</v>
      </c>
      <c r="O136" s="61">
        <v>5300</v>
      </c>
      <c r="P136" s="368">
        <v>0</v>
      </c>
      <c r="Q136" s="369">
        <v>0</v>
      </c>
      <c r="R136" s="370">
        <v>0</v>
      </c>
      <c r="S136" s="370">
        <v>0</v>
      </c>
      <c r="T136" s="370">
        <v>60</v>
      </c>
      <c r="U136" s="370">
        <v>8</v>
      </c>
      <c r="V136" s="450">
        <v>1</v>
      </c>
      <c r="W136" s="453">
        <f t="shared" si="49"/>
        <v>5300</v>
      </c>
      <c r="X136" s="748">
        <f t="shared" si="50"/>
        <v>1.1007268951194185</v>
      </c>
      <c r="Y136" s="451" t="str">
        <f>IFERROR(VLOOKUP(E:E,'Item Data Support Sheet'!A:J,6,0),0)</f>
        <v>Silicon</v>
      </c>
      <c r="Z136" s="428">
        <f>IFERROR(VLOOKUP(E:E,'Item Data Support Sheet'!A:O,4,0),0)</f>
        <v>6.8</v>
      </c>
      <c r="AA136" s="428">
        <f t="shared" si="51"/>
        <v>36.502400000000002</v>
      </c>
      <c r="AB136" s="429">
        <f t="shared" si="52"/>
        <v>0.98733233979135615</v>
      </c>
      <c r="AC136" s="424">
        <f t="shared" si="53"/>
        <v>1.1194029850746268E-2</v>
      </c>
      <c r="AD136" s="371">
        <f t="shared" si="54"/>
        <v>0</v>
      </c>
      <c r="AE136" s="748">
        <f t="shared" si="55"/>
        <v>0.98882265275707903</v>
      </c>
      <c r="AF136" s="417">
        <f t="shared" si="56"/>
        <v>0.58333333333333337</v>
      </c>
      <c r="AG136" s="416">
        <f t="shared" si="57"/>
        <v>7.416666666666667</v>
      </c>
      <c r="AH136" s="372">
        <f t="shared" si="58"/>
        <v>0.92708333333333337</v>
      </c>
      <c r="AI136" s="373">
        <f t="shared" si="59"/>
        <v>662.5</v>
      </c>
      <c r="AJ136" s="418">
        <f>VLOOKUP(D136,'Standard Cycle time'!C:D,2,0)</f>
        <v>5.25</v>
      </c>
      <c r="AK136" s="418">
        <f t="shared" si="60"/>
        <v>5.0377358490566042</v>
      </c>
      <c r="AL136" s="374">
        <f t="shared" si="61"/>
        <v>1.042134831460674</v>
      </c>
      <c r="AM136" s="372">
        <f t="shared" si="62"/>
        <v>0.95534688586686534</v>
      </c>
      <c r="AN136" s="799">
        <v>2399</v>
      </c>
      <c r="AO136" s="761"/>
      <c r="AP136" s="440">
        <v>0</v>
      </c>
      <c r="AQ136" s="440">
        <v>0</v>
      </c>
      <c r="AR136" s="440">
        <v>0</v>
      </c>
      <c r="AS136" s="440">
        <v>0</v>
      </c>
      <c r="AT136" s="440">
        <v>0</v>
      </c>
      <c r="AU136" s="440">
        <v>35</v>
      </c>
      <c r="AV136" s="440">
        <v>0</v>
      </c>
      <c r="AW136" s="440">
        <v>0</v>
      </c>
      <c r="AX136" s="440">
        <v>0</v>
      </c>
      <c r="AY136" s="440">
        <v>0</v>
      </c>
      <c r="AZ136" s="440">
        <v>0</v>
      </c>
      <c r="BA136" s="440">
        <v>0</v>
      </c>
      <c r="BB136" s="440">
        <v>0</v>
      </c>
      <c r="BC136" s="440">
        <v>0</v>
      </c>
      <c r="BD136" s="440">
        <v>0</v>
      </c>
      <c r="BE136" s="440">
        <v>0</v>
      </c>
      <c r="BF136" s="440">
        <v>0</v>
      </c>
      <c r="BG136" s="440">
        <v>0</v>
      </c>
      <c r="BH136" s="440">
        <v>0</v>
      </c>
      <c r="BI136" s="440">
        <v>0</v>
      </c>
      <c r="BJ136" s="440">
        <v>0</v>
      </c>
      <c r="BK136" s="440">
        <v>0</v>
      </c>
      <c r="BL136" s="440">
        <v>0</v>
      </c>
      <c r="BM136" s="440">
        <v>0</v>
      </c>
      <c r="BN136" s="440">
        <v>0</v>
      </c>
      <c r="BO136" s="440">
        <v>0</v>
      </c>
      <c r="BP136" s="440">
        <v>0</v>
      </c>
      <c r="BQ136" s="440">
        <v>0</v>
      </c>
      <c r="BR136" s="415">
        <f t="shared" si="44"/>
        <v>0.58333333333333337</v>
      </c>
      <c r="BS136" s="415">
        <f t="shared" si="46"/>
        <v>0.59305555555555556</v>
      </c>
      <c r="BT136" s="935"/>
      <c r="BU136" s="935"/>
      <c r="BV136" s="935"/>
      <c r="BW136" s="935"/>
      <c r="BX136" s="935"/>
      <c r="BY136" s="935"/>
      <c r="BZ136" s="935"/>
      <c r="CA136" s="935"/>
      <c r="CB136" s="935"/>
      <c r="CC136" s="935"/>
      <c r="CD136" s="935"/>
      <c r="CE136" s="935"/>
      <c r="CF136" s="935"/>
      <c r="CG136" s="935"/>
      <c r="CH136" s="935"/>
      <c r="CI136" s="935"/>
      <c r="CJ136" s="935"/>
      <c r="CK136" s="935"/>
      <c r="CL136" s="935"/>
      <c r="CM136" s="935"/>
      <c r="CN136" s="935"/>
      <c r="CO136" s="935"/>
      <c r="CP136" s="935"/>
      <c r="CQ136" s="935"/>
      <c r="CR136" s="935"/>
      <c r="CS136" s="935"/>
      <c r="CT136" s="935"/>
      <c r="CU136" s="935"/>
      <c r="CV136" s="935"/>
    </row>
    <row r="137" spans="1:100" s="375" customFormat="1" ht="14.9" customHeight="1">
      <c r="A137" s="375">
        <f t="shared" si="48"/>
        <v>8</v>
      </c>
      <c r="B137" s="455">
        <v>44420</v>
      </c>
      <c r="C137" s="445" t="s">
        <v>2053</v>
      </c>
      <c r="D137" s="376" t="str">
        <f>IFERROR(VLOOKUP(E:E,'Item Data Support Sheet'!A:O,7,0),"")</f>
        <v>NIPPLE POSTCURE</v>
      </c>
      <c r="E137" s="446" t="s">
        <v>76</v>
      </c>
      <c r="F137" s="447"/>
      <c r="G137" s="376" t="s">
        <v>1705</v>
      </c>
      <c r="H137" s="602" t="str">
        <f>IFERROR(VLOOKUP(E:E,'Item Data Support Sheet'!A:O,2,0),"")</f>
        <v>NIPPLE S TYPE S SIZE POSTCURED</v>
      </c>
      <c r="I137" s="376" t="s">
        <v>2386</v>
      </c>
      <c r="J137" s="447" t="s">
        <v>2808</v>
      </c>
      <c r="K137" s="438">
        <v>8</v>
      </c>
      <c r="L137" s="439">
        <v>7000</v>
      </c>
      <c r="M137" s="366">
        <f t="shared" si="45"/>
        <v>875</v>
      </c>
      <c r="N137" s="367">
        <f t="shared" si="47"/>
        <v>10300</v>
      </c>
      <c r="O137" s="61">
        <f>3300+4000+3000</f>
        <v>10300</v>
      </c>
      <c r="P137" s="368">
        <v>0</v>
      </c>
      <c r="Q137" s="369">
        <v>0</v>
      </c>
      <c r="R137" s="370">
        <v>0</v>
      </c>
      <c r="S137" s="370">
        <v>0</v>
      </c>
      <c r="T137" s="370">
        <v>0</v>
      </c>
      <c r="U137" s="370">
        <v>0</v>
      </c>
      <c r="V137" s="450">
        <v>1</v>
      </c>
      <c r="W137" s="453">
        <f t="shared" si="49"/>
        <v>10300</v>
      </c>
      <c r="X137" s="748">
        <f t="shared" si="50"/>
        <v>1.4714285714285715</v>
      </c>
      <c r="Y137" s="451" t="str">
        <f>IFERROR(VLOOKUP(E:E,'Item Data Support Sheet'!A:J,6,0),0)</f>
        <v>FO011</v>
      </c>
      <c r="Z137" s="428">
        <f>IFERROR(VLOOKUP(E:E,'Item Data Support Sheet'!A:O,4,0),0)</f>
        <v>0</v>
      </c>
      <c r="AA137" s="428">
        <f t="shared" si="51"/>
        <v>0</v>
      </c>
      <c r="AB137" s="429" t="str">
        <f t="shared" si="52"/>
        <v xml:space="preserve"> </v>
      </c>
      <c r="AC137" s="424">
        <f t="shared" si="53"/>
        <v>0</v>
      </c>
      <c r="AD137" s="371">
        <f t="shared" si="54"/>
        <v>0</v>
      </c>
      <c r="AE137" s="748">
        <f t="shared" si="55"/>
        <v>1</v>
      </c>
      <c r="AF137" s="417">
        <f t="shared" si="56"/>
        <v>0.66666666666666663</v>
      </c>
      <c r="AG137" s="416">
        <f t="shared" si="57"/>
        <v>7.333333333333333</v>
      </c>
      <c r="AH137" s="372">
        <f t="shared" si="58"/>
        <v>0.91666666666666663</v>
      </c>
      <c r="AI137" s="373">
        <f t="shared" si="59"/>
        <v>1287.5</v>
      </c>
      <c r="AJ137" s="418">
        <f>VLOOKUP(D137,'Standard Cycle time'!C:D,2,0)</f>
        <v>2.2999999999999998</v>
      </c>
      <c r="AK137" s="418">
        <f t="shared" si="60"/>
        <v>2.563106796116505</v>
      </c>
      <c r="AL137" s="374">
        <f t="shared" si="61"/>
        <v>0.89734848484848473</v>
      </c>
      <c r="AM137" s="372">
        <f t="shared" si="62"/>
        <v>0.82256944444444435</v>
      </c>
      <c r="AN137" s="799" t="s">
        <v>2385</v>
      </c>
      <c r="AO137" s="761"/>
      <c r="AP137" s="440">
        <v>40</v>
      </c>
      <c r="AQ137" s="440">
        <v>0</v>
      </c>
      <c r="AR137" s="440">
        <v>0</v>
      </c>
      <c r="AS137" s="440">
        <v>0</v>
      </c>
      <c r="AT137" s="440">
        <v>0</v>
      </c>
      <c r="AU137" s="440">
        <v>0</v>
      </c>
      <c r="AV137" s="440">
        <v>0</v>
      </c>
      <c r="AW137" s="440">
        <v>0</v>
      </c>
      <c r="AX137" s="440">
        <v>0</v>
      </c>
      <c r="AY137" s="440">
        <v>0</v>
      </c>
      <c r="AZ137" s="440">
        <v>0</v>
      </c>
      <c r="BA137" s="440">
        <v>0</v>
      </c>
      <c r="BB137" s="440">
        <v>0</v>
      </c>
      <c r="BC137" s="440">
        <v>0</v>
      </c>
      <c r="BD137" s="440">
        <v>0</v>
      </c>
      <c r="BE137" s="440">
        <v>0</v>
      </c>
      <c r="BF137" s="440">
        <v>0</v>
      </c>
      <c r="BG137" s="440">
        <v>0</v>
      </c>
      <c r="BH137" s="440">
        <v>0</v>
      </c>
      <c r="BI137" s="440">
        <v>0</v>
      </c>
      <c r="BJ137" s="440">
        <v>0</v>
      </c>
      <c r="BK137" s="440">
        <v>0</v>
      </c>
      <c r="BL137" s="440">
        <v>0</v>
      </c>
      <c r="BM137" s="440">
        <v>0</v>
      </c>
      <c r="BN137" s="440">
        <v>0</v>
      </c>
      <c r="BO137" s="440">
        <v>0</v>
      </c>
      <c r="BP137" s="440">
        <v>0</v>
      </c>
      <c r="BQ137" s="440">
        <v>0</v>
      </c>
      <c r="BR137" s="415">
        <f t="shared" si="44"/>
        <v>0.66666666666666663</v>
      </c>
      <c r="BS137" s="415">
        <f t="shared" si="46"/>
        <v>0.6777777777777777</v>
      </c>
      <c r="BT137" s="935"/>
      <c r="BU137" s="935"/>
      <c r="BV137" s="935"/>
      <c r="BW137" s="935"/>
      <c r="BX137" s="935"/>
      <c r="BY137" s="935"/>
      <c r="BZ137" s="935"/>
      <c r="CA137" s="935"/>
      <c r="CB137" s="935"/>
      <c r="CC137" s="935"/>
      <c r="CD137" s="935"/>
      <c r="CE137" s="935"/>
      <c r="CF137" s="935"/>
      <c r="CG137" s="935"/>
      <c r="CH137" s="935"/>
      <c r="CI137" s="935"/>
      <c r="CJ137" s="935"/>
      <c r="CK137" s="935"/>
      <c r="CL137" s="935"/>
      <c r="CM137" s="935"/>
      <c r="CN137" s="935"/>
      <c r="CO137" s="935"/>
      <c r="CP137" s="935"/>
      <c r="CQ137" s="935"/>
      <c r="CR137" s="935"/>
      <c r="CS137" s="935"/>
      <c r="CT137" s="935"/>
      <c r="CU137" s="935"/>
      <c r="CV137" s="935"/>
    </row>
    <row r="138" spans="1:100" s="375" customFormat="1" ht="14.9" customHeight="1">
      <c r="A138" s="375">
        <f t="shared" si="48"/>
        <v>8</v>
      </c>
      <c r="B138" s="455">
        <v>44420</v>
      </c>
      <c r="C138" s="445" t="s">
        <v>2053</v>
      </c>
      <c r="D138" s="376" t="str">
        <f>IFERROR(VLOOKUP(E:E,'Item Data Support Sheet'!A:O,7,0),"")</f>
        <v>CAP MOLDED</v>
      </c>
      <c r="E138" s="446" t="s">
        <v>2108</v>
      </c>
      <c r="F138" s="447"/>
      <c r="G138" s="376" t="s">
        <v>2220</v>
      </c>
      <c r="H138" s="602" t="str">
        <f>IFERROR(VLOOKUP(E:E,'Item Data Support Sheet'!A:O,2,0),"")</f>
        <v>CAP S TYPE MOLDED BLUE</v>
      </c>
      <c r="I138" s="447" t="s">
        <v>2389</v>
      </c>
      <c r="J138" s="447" t="s">
        <v>2808</v>
      </c>
      <c r="K138" s="438">
        <v>8</v>
      </c>
      <c r="L138" s="439">
        <v>4137</v>
      </c>
      <c r="M138" s="366">
        <f t="shared" si="45"/>
        <v>517.125</v>
      </c>
      <c r="N138" s="367">
        <f t="shared" si="47"/>
        <v>4033</v>
      </c>
      <c r="O138" s="61">
        <v>4000</v>
      </c>
      <c r="P138" s="368">
        <v>0</v>
      </c>
      <c r="Q138" s="369">
        <v>0</v>
      </c>
      <c r="R138" s="370">
        <v>0</v>
      </c>
      <c r="S138" s="370">
        <v>0</v>
      </c>
      <c r="T138" s="370">
        <v>25</v>
      </c>
      <c r="U138" s="370">
        <v>8</v>
      </c>
      <c r="V138" s="450">
        <v>1</v>
      </c>
      <c r="W138" s="453">
        <f t="shared" si="49"/>
        <v>4000</v>
      </c>
      <c r="X138" s="748">
        <f t="shared" si="50"/>
        <v>0.96688421561518012</v>
      </c>
      <c r="Y138" s="451" t="str">
        <f>IFERROR(VLOOKUP(E:E,'Item Data Support Sheet'!A:J,6,0),0)</f>
        <v>RM000114</v>
      </c>
      <c r="Z138" s="428">
        <f>IFERROR(VLOOKUP(E:E,'Item Data Support Sheet'!A:O,4,0),0)</f>
        <v>7.3</v>
      </c>
      <c r="AA138" s="428">
        <f t="shared" si="51"/>
        <v>29.440899999999999</v>
      </c>
      <c r="AB138" s="429">
        <f t="shared" si="52"/>
        <v>0.99181750557897352</v>
      </c>
      <c r="AC138" s="424">
        <f t="shared" si="53"/>
        <v>6.2111801242236021E-3</v>
      </c>
      <c r="AD138" s="371">
        <f t="shared" si="54"/>
        <v>0</v>
      </c>
      <c r="AE138" s="748">
        <f t="shared" si="55"/>
        <v>0.99380114059013147</v>
      </c>
      <c r="AF138" s="417">
        <f t="shared" si="56"/>
        <v>0</v>
      </c>
      <c r="AG138" s="416">
        <f t="shared" si="57"/>
        <v>8</v>
      </c>
      <c r="AH138" s="372">
        <f t="shared" si="58"/>
        <v>1</v>
      </c>
      <c r="AI138" s="373">
        <f t="shared" si="59"/>
        <v>500</v>
      </c>
      <c r="AJ138" s="418">
        <f>VLOOKUP(D138,'Standard Cycle time'!C:D,2,0)</f>
        <v>6</v>
      </c>
      <c r="AK138" s="418">
        <f t="shared" si="60"/>
        <v>7.2</v>
      </c>
      <c r="AL138" s="374">
        <f t="shared" si="61"/>
        <v>0.83333333333333326</v>
      </c>
      <c r="AM138" s="372">
        <f t="shared" si="62"/>
        <v>0.82816761715844278</v>
      </c>
      <c r="AN138" s="799">
        <v>2691</v>
      </c>
      <c r="AO138" s="761"/>
      <c r="AP138" s="440">
        <v>0</v>
      </c>
      <c r="AQ138" s="440">
        <v>0</v>
      </c>
      <c r="AR138" s="440">
        <v>0</v>
      </c>
      <c r="AS138" s="440">
        <v>0</v>
      </c>
      <c r="AT138" s="440">
        <v>0</v>
      </c>
      <c r="AU138" s="440">
        <v>0</v>
      </c>
      <c r="AV138" s="440">
        <v>0</v>
      </c>
      <c r="AW138" s="440">
        <v>0</v>
      </c>
      <c r="AX138" s="440">
        <v>0</v>
      </c>
      <c r="AY138" s="440">
        <v>0</v>
      </c>
      <c r="AZ138" s="440">
        <v>0</v>
      </c>
      <c r="BA138" s="440">
        <v>0</v>
      </c>
      <c r="BB138" s="440">
        <v>0</v>
      </c>
      <c r="BC138" s="440">
        <v>0</v>
      </c>
      <c r="BD138" s="440">
        <v>0</v>
      </c>
      <c r="BE138" s="440">
        <v>0</v>
      </c>
      <c r="BF138" s="440">
        <v>0</v>
      </c>
      <c r="BG138" s="440">
        <v>0</v>
      </c>
      <c r="BH138" s="440">
        <v>0</v>
      </c>
      <c r="BI138" s="440">
        <v>0</v>
      </c>
      <c r="BJ138" s="440">
        <v>0</v>
      </c>
      <c r="BK138" s="440">
        <v>0</v>
      </c>
      <c r="BL138" s="440">
        <v>0</v>
      </c>
      <c r="BM138" s="440">
        <v>0</v>
      </c>
      <c r="BN138" s="440">
        <v>0</v>
      </c>
      <c r="BO138" s="440">
        <v>0</v>
      </c>
      <c r="BP138" s="440">
        <v>0</v>
      </c>
      <c r="BQ138" s="440">
        <v>0</v>
      </c>
      <c r="BR138" s="415">
        <f t="shared" si="44"/>
        <v>0</v>
      </c>
      <c r="BS138" s="415">
        <f t="shared" si="46"/>
        <v>0</v>
      </c>
      <c r="BT138" s="935"/>
      <c r="BU138" s="935"/>
      <c r="BV138" s="935"/>
      <c r="BW138" s="935"/>
      <c r="BX138" s="935"/>
      <c r="BY138" s="935"/>
      <c r="BZ138" s="935"/>
      <c r="CA138" s="935"/>
      <c r="CB138" s="935"/>
      <c r="CC138" s="935"/>
      <c r="CD138" s="935"/>
      <c r="CE138" s="935"/>
      <c r="CF138" s="935"/>
      <c r="CG138" s="935"/>
      <c r="CH138" s="935"/>
      <c r="CI138" s="935"/>
      <c r="CJ138" s="935"/>
      <c r="CK138" s="935"/>
      <c r="CL138" s="935"/>
      <c r="CM138" s="935"/>
      <c r="CN138" s="935"/>
      <c r="CO138" s="935"/>
      <c r="CP138" s="935"/>
      <c r="CQ138" s="935"/>
      <c r="CR138" s="935"/>
      <c r="CS138" s="935"/>
      <c r="CT138" s="935"/>
      <c r="CU138" s="935"/>
      <c r="CV138" s="935"/>
    </row>
    <row r="139" spans="1:100" s="375" customFormat="1" ht="14.9" customHeight="1">
      <c r="A139" s="375">
        <f t="shared" si="48"/>
        <v>8</v>
      </c>
      <c r="B139" s="455">
        <v>44421</v>
      </c>
      <c r="C139" s="445" t="s">
        <v>2000</v>
      </c>
      <c r="D139" s="376" t="str">
        <f>IFERROR(VLOOKUP(E:E,'Item Data Support Sheet'!A:O,7,0),"")</f>
        <v>BOTTLE PRINTED</v>
      </c>
      <c r="E139" s="446" t="s">
        <v>187</v>
      </c>
      <c r="F139" s="447"/>
      <c r="G139" s="376"/>
      <c r="H139" s="602" t="str">
        <f>IFERROR(VLOOKUP(E:E,'Item Data Support Sheet'!A:O,2,0),"")</f>
        <v>KPP 240 BOTTLE PRINTED (WMG3B) W/O OZ &amp; W/BIS LOGO</v>
      </c>
      <c r="I139" s="447" t="s">
        <v>2390</v>
      </c>
      <c r="J139" s="447" t="s">
        <v>2813</v>
      </c>
      <c r="K139" s="438">
        <v>1</v>
      </c>
      <c r="L139" s="439">
        <v>600</v>
      </c>
      <c r="M139" s="366">
        <f t="shared" si="45"/>
        <v>600</v>
      </c>
      <c r="N139" s="367">
        <f t="shared" si="47"/>
        <v>328</v>
      </c>
      <c r="O139" s="61">
        <v>324</v>
      </c>
      <c r="P139" s="368">
        <v>0</v>
      </c>
      <c r="Q139" s="369">
        <v>0</v>
      </c>
      <c r="R139" s="370">
        <v>4</v>
      </c>
      <c r="S139" s="370">
        <v>0</v>
      </c>
      <c r="T139" s="370">
        <v>4</v>
      </c>
      <c r="U139" s="370">
        <v>0</v>
      </c>
      <c r="V139" s="450">
        <v>6</v>
      </c>
      <c r="W139" s="453">
        <f t="shared" si="49"/>
        <v>54</v>
      </c>
      <c r="X139" s="748">
        <f t="shared" si="50"/>
        <v>0.54</v>
      </c>
      <c r="Y139" s="451" t="str">
        <f>IFERROR(VLOOKUP(E:E,'Item Data Support Sheet'!A:J,6,0),0)</f>
        <v>FO044</v>
      </c>
      <c r="Z139" s="428">
        <f>IFERROR(VLOOKUP(E:E,'Item Data Support Sheet'!A:O,4,0),0)</f>
        <v>0</v>
      </c>
      <c r="AA139" s="428">
        <f t="shared" si="51"/>
        <v>0</v>
      </c>
      <c r="AB139" s="429" t="str">
        <f t="shared" si="52"/>
        <v xml:space="preserve"> </v>
      </c>
      <c r="AC139" s="424">
        <f t="shared" si="53"/>
        <v>1.2195121951219513E-2</v>
      </c>
      <c r="AD139" s="371">
        <f t="shared" si="54"/>
        <v>0</v>
      </c>
      <c r="AE139" s="748">
        <f t="shared" si="55"/>
        <v>0.98780487804878048</v>
      </c>
      <c r="AF139" s="417">
        <f t="shared" si="56"/>
        <v>0.5</v>
      </c>
      <c r="AG139" s="416">
        <f t="shared" si="57"/>
        <v>0.5</v>
      </c>
      <c r="AH139" s="372">
        <f t="shared" si="58"/>
        <v>0.5</v>
      </c>
      <c r="AI139" s="373">
        <f t="shared" si="59"/>
        <v>324</v>
      </c>
      <c r="AJ139" s="418">
        <f>VLOOKUP(D139,'Standard Cycle time'!C:D,2,0)</f>
        <v>32.4</v>
      </c>
      <c r="AK139" s="418">
        <f t="shared" si="60"/>
        <v>33.333333333333336</v>
      </c>
      <c r="AL139" s="374">
        <f t="shared" si="61"/>
        <v>0.97199999999999986</v>
      </c>
      <c r="AM139" s="372">
        <f t="shared" si="62"/>
        <v>0.48007317073170724</v>
      </c>
      <c r="AN139" s="799" t="s">
        <v>2654</v>
      </c>
      <c r="AO139" s="929" t="s">
        <v>2391</v>
      </c>
      <c r="AP139" s="440">
        <v>0</v>
      </c>
      <c r="AQ139" s="440">
        <v>30</v>
      </c>
      <c r="AR139" s="440">
        <v>0</v>
      </c>
      <c r="AS139" s="440">
        <v>0</v>
      </c>
      <c r="AT139" s="440">
        <v>0</v>
      </c>
      <c r="AU139" s="440">
        <v>0</v>
      </c>
      <c r="AV139" s="440">
        <v>0</v>
      </c>
      <c r="AW139" s="440">
        <v>0</v>
      </c>
      <c r="AX139" s="440">
        <v>0</v>
      </c>
      <c r="AY139" s="440">
        <v>0</v>
      </c>
      <c r="AZ139" s="440">
        <v>0</v>
      </c>
      <c r="BA139" s="440">
        <v>0</v>
      </c>
      <c r="BB139" s="440">
        <v>0</v>
      </c>
      <c r="BC139" s="440">
        <v>0</v>
      </c>
      <c r="BD139" s="440">
        <v>0</v>
      </c>
      <c r="BE139" s="440">
        <v>0</v>
      </c>
      <c r="BF139" s="440">
        <v>0</v>
      </c>
      <c r="BG139" s="440">
        <v>0</v>
      </c>
      <c r="BH139" s="440">
        <v>0</v>
      </c>
      <c r="BI139" s="440">
        <v>0</v>
      </c>
      <c r="BJ139" s="440">
        <v>0</v>
      </c>
      <c r="BK139" s="440">
        <v>0</v>
      </c>
      <c r="BL139" s="440">
        <v>0</v>
      </c>
      <c r="BM139" s="440">
        <v>0</v>
      </c>
      <c r="BN139" s="440">
        <v>0</v>
      </c>
      <c r="BO139" s="440">
        <v>0</v>
      </c>
      <c r="BP139" s="440">
        <v>0</v>
      </c>
      <c r="BQ139" s="440">
        <v>0</v>
      </c>
      <c r="BR139" s="415">
        <f t="shared" si="44"/>
        <v>0.5</v>
      </c>
      <c r="BS139" s="415">
        <f t="shared" si="46"/>
        <v>0.5083333333333333</v>
      </c>
      <c r="BT139" s="935"/>
      <c r="BU139" s="935"/>
      <c r="BV139" s="935"/>
      <c r="BW139" s="935"/>
      <c r="BX139" s="935"/>
      <c r="BY139" s="935"/>
      <c r="BZ139" s="935"/>
      <c r="CA139" s="935"/>
      <c r="CB139" s="935"/>
      <c r="CC139" s="935"/>
      <c r="CD139" s="935"/>
      <c r="CE139" s="935"/>
      <c r="CF139" s="935"/>
      <c r="CG139" s="935"/>
      <c r="CH139" s="935"/>
      <c r="CI139" s="935"/>
      <c r="CJ139" s="935"/>
      <c r="CK139" s="935"/>
      <c r="CL139" s="935"/>
      <c r="CM139" s="935"/>
      <c r="CN139" s="935"/>
      <c r="CO139" s="935"/>
      <c r="CP139" s="935"/>
      <c r="CQ139" s="935"/>
      <c r="CR139" s="935"/>
      <c r="CS139" s="935"/>
      <c r="CT139" s="935"/>
      <c r="CU139" s="935"/>
      <c r="CV139" s="935"/>
    </row>
    <row r="140" spans="1:100" s="375" customFormat="1">
      <c r="A140" s="375">
        <f t="shared" si="48"/>
        <v>8</v>
      </c>
      <c r="B140" s="455">
        <v>44421</v>
      </c>
      <c r="C140" s="445" t="s">
        <v>1980</v>
      </c>
      <c r="D140" s="376" t="str">
        <f>IFERROR(VLOOKUP(E:E,'Item Data Support Sheet'!A:O,7,0),"")</f>
        <v>NIPPLE POSTCURE</v>
      </c>
      <c r="E140" s="446" t="s">
        <v>76</v>
      </c>
      <c r="F140" s="447"/>
      <c r="G140" s="376" t="s">
        <v>1705</v>
      </c>
      <c r="H140" s="602" t="str">
        <f>IFERROR(VLOOKUP(E:E,'Item Data Support Sheet'!A:O,2,0),"")</f>
        <v>NIPPLE S TYPE S SIZE POSTCURED</v>
      </c>
      <c r="I140" s="447" t="s">
        <v>2393</v>
      </c>
      <c r="J140" s="447" t="s">
        <v>2809</v>
      </c>
      <c r="K140" s="438">
        <v>8</v>
      </c>
      <c r="L140" s="439">
        <v>7000</v>
      </c>
      <c r="M140" s="366">
        <f t="shared" si="45"/>
        <v>875</v>
      </c>
      <c r="N140" s="367">
        <f t="shared" si="47"/>
        <v>9300</v>
      </c>
      <c r="O140" s="61">
        <f>5300+4000</f>
        <v>9300</v>
      </c>
      <c r="P140" s="368">
        <v>0</v>
      </c>
      <c r="Q140" s="369">
        <v>0</v>
      </c>
      <c r="R140" s="370">
        <v>0</v>
      </c>
      <c r="S140" s="370">
        <v>0</v>
      </c>
      <c r="T140" s="370">
        <v>0</v>
      </c>
      <c r="U140" s="370">
        <v>0</v>
      </c>
      <c r="V140" s="450">
        <v>1</v>
      </c>
      <c r="W140" s="453">
        <f t="shared" si="49"/>
        <v>9300</v>
      </c>
      <c r="X140" s="748">
        <f t="shared" si="50"/>
        <v>1.3285714285714285</v>
      </c>
      <c r="Y140" s="451" t="str">
        <f>IFERROR(VLOOKUP(E:E,'Item Data Support Sheet'!A:J,6,0),0)</f>
        <v>FO011</v>
      </c>
      <c r="Z140" s="428">
        <f>IFERROR(VLOOKUP(E:E,'Item Data Support Sheet'!A:O,4,0),0)</f>
        <v>0</v>
      </c>
      <c r="AA140" s="428">
        <f t="shared" si="51"/>
        <v>0</v>
      </c>
      <c r="AB140" s="429" t="str">
        <f t="shared" si="52"/>
        <v xml:space="preserve"> </v>
      </c>
      <c r="AC140" s="424">
        <f t="shared" si="53"/>
        <v>0</v>
      </c>
      <c r="AD140" s="371">
        <f t="shared" si="54"/>
        <v>0</v>
      </c>
      <c r="AE140" s="748">
        <f t="shared" si="55"/>
        <v>1</v>
      </c>
      <c r="AF140" s="417">
        <f t="shared" si="56"/>
        <v>0.66666666666666663</v>
      </c>
      <c r="AG140" s="416">
        <f t="shared" si="57"/>
        <v>7.333333333333333</v>
      </c>
      <c r="AH140" s="372">
        <f t="shared" si="58"/>
        <v>0.91666666666666663</v>
      </c>
      <c r="AI140" s="373">
        <f t="shared" si="59"/>
        <v>1162.5</v>
      </c>
      <c r="AJ140" s="418">
        <f>VLOOKUP(D140,'Standard Cycle time'!C:D,2,0)</f>
        <v>2.2999999999999998</v>
      </c>
      <c r="AK140" s="418">
        <f t="shared" si="60"/>
        <v>2.838709677419355</v>
      </c>
      <c r="AL140" s="374">
        <f t="shared" si="61"/>
        <v>0.81022727272727257</v>
      </c>
      <c r="AM140" s="372">
        <f t="shared" si="62"/>
        <v>0.74270833333333319</v>
      </c>
      <c r="AN140" s="799" t="s">
        <v>2400</v>
      </c>
      <c r="AO140" s="761"/>
      <c r="AP140" s="440">
        <v>40</v>
      </c>
      <c r="AQ140" s="440">
        <v>0</v>
      </c>
      <c r="AR140" s="440">
        <v>0</v>
      </c>
      <c r="AS140" s="440">
        <v>0</v>
      </c>
      <c r="AT140" s="440">
        <v>0</v>
      </c>
      <c r="AU140" s="440">
        <v>0</v>
      </c>
      <c r="AV140" s="440">
        <v>0</v>
      </c>
      <c r="AW140" s="440">
        <v>0</v>
      </c>
      <c r="AX140" s="440">
        <v>0</v>
      </c>
      <c r="AY140" s="440">
        <v>0</v>
      </c>
      <c r="AZ140" s="440">
        <v>0</v>
      </c>
      <c r="BA140" s="440">
        <v>0</v>
      </c>
      <c r="BB140" s="440">
        <v>0</v>
      </c>
      <c r="BC140" s="440">
        <v>0</v>
      </c>
      <c r="BD140" s="440">
        <v>0</v>
      </c>
      <c r="BE140" s="440">
        <v>0</v>
      </c>
      <c r="BF140" s="440">
        <v>0</v>
      </c>
      <c r="BG140" s="440">
        <v>0</v>
      </c>
      <c r="BH140" s="440">
        <v>0</v>
      </c>
      <c r="BI140" s="440">
        <v>0</v>
      </c>
      <c r="BJ140" s="440">
        <v>0</v>
      </c>
      <c r="BK140" s="440">
        <v>0</v>
      </c>
      <c r="BL140" s="440">
        <v>0</v>
      </c>
      <c r="BM140" s="440">
        <v>0</v>
      </c>
      <c r="BN140" s="440">
        <v>0</v>
      </c>
      <c r="BO140" s="440">
        <v>0</v>
      </c>
      <c r="BP140" s="440">
        <v>0</v>
      </c>
      <c r="BQ140" s="440">
        <v>0</v>
      </c>
      <c r="BR140" s="415">
        <f t="shared" ref="BR140:BR176" si="63">SUM(AP140:BQ140)/60</f>
        <v>0.66666666666666663</v>
      </c>
      <c r="BS140" s="415">
        <f t="shared" si="46"/>
        <v>0.6777777777777777</v>
      </c>
      <c r="BT140" s="935"/>
      <c r="BU140" s="935"/>
      <c r="BV140" s="935"/>
      <c r="BW140" s="935"/>
      <c r="BX140" s="935"/>
      <c r="BY140" s="935"/>
      <c r="BZ140" s="935"/>
      <c r="CA140" s="935"/>
      <c r="CB140" s="935"/>
      <c r="CC140" s="935"/>
      <c r="CD140" s="935"/>
      <c r="CE140" s="935"/>
      <c r="CF140" s="935"/>
      <c r="CG140" s="935"/>
      <c r="CH140" s="935"/>
      <c r="CI140" s="935"/>
      <c r="CJ140" s="935"/>
      <c r="CK140" s="935"/>
      <c r="CL140" s="935"/>
      <c r="CM140" s="935"/>
      <c r="CN140" s="935"/>
      <c r="CO140" s="935"/>
      <c r="CP140" s="935"/>
      <c r="CQ140" s="935"/>
      <c r="CR140" s="935"/>
      <c r="CS140" s="935"/>
      <c r="CT140" s="935"/>
      <c r="CU140" s="935"/>
      <c r="CV140" s="935"/>
    </row>
    <row r="141" spans="1:100" s="375" customFormat="1">
      <c r="A141" s="375">
        <f t="shared" si="48"/>
        <v>8</v>
      </c>
      <c r="B141" s="455">
        <v>44421</v>
      </c>
      <c r="C141" s="445" t="s">
        <v>1980</v>
      </c>
      <c r="D141" s="376" t="str">
        <f>IFERROR(VLOOKUP(E:E,'Item Data Support Sheet'!A:O,7,0),"")</f>
        <v>CAP MOLDED</v>
      </c>
      <c r="E141" s="446" t="s">
        <v>2108</v>
      </c>
      <c r="F141" s="447"/>
      <c r="G141" s="376" t="s">
        <v>2220</v>
      </c>
      <c r="H141" s="602" t="str">
        <f>IFERROR(VLOOKUP(E:E,'Item Data Support Sheet'!A:O,2,0),"")</f>
        <v>CAP S TYPE MOLDED BLUE</v>
      </c>
      <c r="I141" s="447" t="s">
        <v>2394</v>
      </c>
      <c r="J141" s="447" t="s">
        <v>2809</v>
      </c>
      <c r="K141" s="438">
        <v>6</v>
      </c>
      <c r="L141" s="439">
        <v>3000</v>
      </c>
      <c r="M141" s="366">
        <f t="shared" ref="M141:M204" si="64">IFERROR(L141/K141,0)</f>
        <v>500</v>
      </c>
      <c r="N141" s="367">
        <f t="shared" si="47"/>
        <v>3414</v>
      </c>
      <c r="O141" s="61">
        <v>3400</v>
      </c>
      <c r="P141" s="368">
        <v>0.2</v>
      </c>
      <c r="Q141" s="369">
        <v>0</v>
      </c>
      <c r="R141" s="370">
        <v>0</v>
      </c>
      <c r="S141" s="370">
        <v>0</v>
      </c>
      <c r="T141" s="370">
        <v>6</v>
      </c>
      <c r="U141" s="370">
        <v>8</v>
      </c>
      <c r="V141" s="450">
        <v>1</v>
      </c>
      <c r="W141" s="453">
        <f t="shared" si="49"/>
        <v>3400</v>
      </c>
      <c r="X141" s="748">
        <f t="shared" si="50"/>
        <v>1.1333333333333333</v>
      </c>
      <c r="Y141" s="451" t="str">
        <f>IFERROR(VLOOKUP(E:E,'Item Data Support Sheet'!A:J,6,0),0)</f>
        <v>RM000114</v>
      </c>
      <c r="Z141" s="428">
        <f>IFERROR(VLOOKUP(E:E,'Item Data Support Sheet'!A:O,4,0),0)</f>
        <v>7.3</v>
      </c>
      <c r="AA141" s="428">
        <f t="shared" si="51"/>
        <v>25.122199999999999</v>
      </c>
      <c r="AB141" s="429">
        <f t="shared" si="52"/>
        <v>0.98797079873577953</v>
      </c>
      <c r="AC141" s="424">
        <f t="shared" si="53"/>
        <v>1.7615971814445098E-3</v>
      </c>
      <c r="AD141" s="371">
        <f t="shared" si="54"/>
        <v>0</v>
      </c>
      <c r="AE141" s="748">
        <f t="shared" si="55"/>
        <v>0.99824253075571179</v>
      </c>
      <c r="AF141" s="417">
        <f t="shared" si="56"/>
        <v>0</v>
      </c>
      <c r="AG141" s="416">
        <f t="shared" si="57"/>
        <v>6</v>
      </c>
      <c r="AH141" s="372">
        <f t="shared" si="58"/>
        <v>1</v>
      </c>
      <c r="AI141" s="373">
        <f t="shared" si="59"/>
        <v>566.66666666666663</v>
      </c>
      <c r="AJ141" s="418">
        <f>VLOOKUP(D141,'Standard Cycle time'!C:D,2,0)</f>
        <v>6</v>
      </c>
      <c r="AK141" s="418">
        <f t="shared" si="60"/>
        <v>6.3529411764705879</v>
      </c>
      <c r="AL141" s="374">
        <f t="shared" si="61"/>
        <v>0.94444444444444453</v>
      </c>
      <c r="AM141" s="372">
        <f t="shared" si="62"/>
        <v>0.94278461238039457</v>
      </c>
      <c r="AN141" s="799">
        <v>2691</v>
      </c>
      <c r="AO141" s="761"/>
      <c r="AP141" s="440">
        <v>0</v>
      </c>
      <c r="AQ141" s="440">
        <v>0</v>
      </c>
      <c r="AR141" s="440">
        <v>0</v>
      </c>
      <c r="AS141" s="440">
        <v>0</v>
      </c>
      <c r="AT141" s="440">
        <v>0</v>
      </c>
      <c r="AU141" s="440">
        <v>0</v>
      </c>
      <c r="AV141" s="440">
        <v>0</v>
      </c>
      <c r="AW141" s="440">
        <v>0</v>
      </c>
      <c r="AX141" s="440">
        <v>0</v>
      </c>
      <c r="AY141" s="440">
        <v>0</v>
      </c>
      <c r="AZ141" s="440">
        <v>0</v>
      </c>
      <c r="BA141" s="440">
        <v>0</v>
      </c>
      <c r="BB141" s="440">
        <v>0</v>
      </c>
      <c r="BC141" s="440">
        <v>0</v>
      </c>
      <c r="BD141" s="440">
        <v>0</v>
      </c>
      <c r="BE141" s="440">
        <v>0</v>
      </c>
      <c r="BF141" s="440">
        <v>0</v>
      </c>
      <c r="BG141" s="440">
        <v>0</v>
      </c>
      <c r="BH141" s="440">
        <v>0</v>
      </c>
      <c r="BI141" s="440">
        <v>0</v>
      </c>
      <c r="BJ141" s="440">
        <v>0</v>
      </c>
      <c r="BK141" s="440">
        <v>0</v>
      </c>
      <c r="BL141" s="440">
        <v>0</v>
      </c>
      <c r="BM141" s="440">
        <v>0</v>
      </c>
      <c r="BN141" s="440">
        <v>0</v>
      </c>
      <c r="BO141" s="440">
        <v>0</v>
      </c>
      <c r="BP141" s="440">
        <v>0</v>
      </c>
      <c r="BQ141" s="440">
        <v>0</v>
      </c>
      <c r="BR141" s="415">
        <f t="shared" si="63"/>
        <v>0</v>
      </c>
      <c r="BS141" s="415">
        <f t="shared" si="46"/>
        <v>0</v>
      </c>
      <c r="BT141" s="935"/>
      <c r="BU141" s="935"/>
      <c r="BV141" s="935"/>
      <c r="BW141" s="935"/>
      <c r="BX141" s="935"/>
      <c r="BY141" s="935"/>
      <c r="BZ141" s="935"/>
      <c r="CA141" s="935"/>
      <c r="CB141" s="935"/>
      <c r="CC141" s="935"/>
      <c r="CD141" s="935"/>
      <c r="CE141" s="935"/>
      <c r="CF141" s="935"/>
      <c r="CG141" s="935"/>
      <c r="CH141" s="935"/>
      <c r="CI141" s="935"/>
      <c r="CJ141" s="935"/>
      <c r="CK141" s="935"/>
      <c r="CL141" s="935"/>
      <c r="CM141" s="935"/>
      <c r="CN141" s="935"/>
      <c r="CO141" s="935"/>
      <c r="CP141" s="935"/>
      <c r="CQ141" s="935"/>
      <c r="CR141" s="935"/>
      <c r="CS141" s="935"/>
      <c r="CT141" s="935"/>
      <c r="CU141" s="935"/>
      <c r="CV141" s="935"/>
    </row>
    <row r="142" spans="1:100" s="375" customFormat="1" ht="15" customHeight="1">
      <c r="A142" s="375">
        <f t="shared" si="48"/>
        <v>8</v>
      </c>
      <c r="B142" s="455">
        <v>44421</v>
      </c>
      <c r="C142" s="445" t="s">
        <v>1980</v>
      </c>
      <c r="D142" s="376" t="str">
        <f>IFERROR(VLOOKUP(E:E,'Item Data Support Sheet'!A:O,7,0),"")</f>
        <v>CAP MOLDED</v>
      </c>
      <c r="E142" s="446" t="s">
        <v>2108</v>
      </c>
      <c r="F142" s="447"/>
      <c r="G142" s="376" t="s">
        <v>2220</v>
      </c>
      <c r="H142" s="602" t="str">
        <f>IFERROR(VLOOKUP(E:E,'Item Data Support Sheet'!A:O,2,0),"")</f>
        <v>CAP S TYPE MOLDED BLUE</v>
      </c>
      <c r="I142" s="447" t="s">
        <v>2395</v>
      </c>
      <c r="J142" s="447" t="s">
        <v>2809</v>
      </c>
      <c r="K142" s="438">
        <v>2</v>
      </c>
      <c r="L142" s="439">
        <f>4037-L141</f>
        <v>1037</v>
      </c>
      <c r="M142" s="366">
        <f t="shared" si="64"/>
        <v>518.5</v>
      </c>
      <c r="N142" s="367">
        <f t="shared" si="47"/>
        <v>1012</v>
      </c>
      <c r="O142" s="61">
        <v>1000</v>
      </c>
      <c r="P142" s="368">
        <v>0</v>
      </c>
      <c r="Q142" s="369">
        <v>0</v>
      </c>
      <c r="R142" s="370">
        <v>0</v>
      </c>
      <c r="S142" s="370">
        <v>0</v>
      </c>
      <c r="T142" s="370">
        <v>12</v>
      </c>
      <c r="U142" s="370">
        <v>0</v>
      </c>
      <c r="V142" s="450">
        <v>1</v>
      </c>
      <c r="W142" s="453">
        <f t="shared" si="49"/>
        <v>1000</v>
      </c>
      <c r="X142" s="748">
        <f t="shared" si="50"/>
        <v>0.96432015429122464</v>
      </c>
      <c r="Y142" s="451" t="str">
        <f>IFERROR(VLOOKUP(E:E,'Item Data Support Sheet'!A:J,6,0),0)</f>
        <v>RM000114</v>
      </c>
      <c r="Z142" s="428">
        <f>IFERROR(VLOOKUP(E:E,'Item Data Support Sheet'!A:O,4,0),0)</f>
        <v>7.3</v>
      </c>
      <c r="AA142" s="428">
        <f t="shared" si="51"/>
        <v>7.3875999999999999</v>
      </c>
      <c r="AB142" s="429">
        <f t="shared" si="52"/>
        <v>0.98814229249011853</v>
      </c>
      <c r="AC142" s="424">
        <f t="shared" si="53"/>
        <v>1.1857707509881422E-2</v>
      </c>
      <c r="AD142" s="371">
        <f t="shared" si="54"/>
        <v>0</v>
      </c>
      <c r="AE142" s="748">
        <f t="shared" si="55"/>
        <v>0.98814229249011853</v>
      </c>
      <c r="AF142" s="417">
        <f t="shared" si="56"/>
        <v>0</v>
      </c>
      <c r="AG142" s="416">
        <f t="shared" si="57"/>
        <v>2</v>
      </c>
      <c r="AH142" s="372">
        <f t="shared" si="58"/>
        <v>1</v>
      </c>
      <c r="AI142" s="373">
        <f t="shared" si="59"/>
        <v>500</v>
      </c>
      <c r="AJ142" s="418">
        <f>VLOOKUP(D142,'Standard Cycle time'!C:D,2,0)</f>
        <v>6</v>
      </c>
      <c r="AK142" s="418">
        <f t="shared" si="60"/>
        <v>7.2</v>
      </c>
      <c r="AL142" s="374">
        <f t="shared" si="61"/>
        <v>0.83333333333333326</v>
      </c>
      <c r="AM142" s="372">
        <f t="shared" si="62"/>
        <v>0.82345191040843202</v>
      </c>
      <c r="AN142" s="799">
        <v>2690</v>
      </c>
      <c r="AO142" s="761"/>
      <c r="AP142" s="440">
        <v>0</v>
      </c>
      <c r="AQ142" s="440">
        <v>0</v>
      </c>
      <c r="AR142" s="440">
        <v>0</v>
      </c>
      <c r="AS142" s="440">
        <v>0</v>
      </c>
      <c r="AT142" s="440">
        <v>0</v>
      </c>
      <c r="AU142" s="440">
        <v>0</v>
      </c>
      <c r="AV142" s="440">
        <v>0</v>
      </c>
      <c r="AW142" s="440">
        <v>0</v>
      </c>
      <c r="AX142" s="440">
        <v>0</v>
      </c>
      <c r="AY142" s="440">
        <v>0</v>
      </c>
      <c r="AZ142" s="440">
        <v>0</v>
      </c>
      <c r="BA142" s="440">
        <v>0</v>
      </c>
      <c r="BB142" s="440">
        <v>0</v>
      </c>
      <c r="BC142" s="440">
        <v>0</v>
      </c>
      <c r="BD142" s="440">
        <v>0</v>
      </c>
      <c r="BE142" s="440">
        <v>0</v>
      </c>
      <c r="BF142" s="440">
        <v>0</v>
      </c>
      <c r="BG142" s="440">
        <v>0</v>
      </c>
      <c r="BH142" s="440">
        <v>0</v>
      </c>
      <c r="BI142" s="440">
        <v>0</v>
      </c>
      <c r="BJ142" s="440">
        <v>0</v>
      </c>
      <c r="BK142" s="440">
        <v>0</v>
      </c>
      <c r="BL142" s="440">
        <v>0</v>
      </c>
      <c r="BM142" s="440">
        <v>0</v>
      </c>
      <c r="BN142" s="440">
        <v>0</v>
      </c>
      <c r="BO142" s="440">
        <v>0</v>
      </c>
      <c r="BP142" s="440">
        <v>0</v>
      </c>
      <c r="BQ142" s="440">
        <v>0</v>
      </c>
      <c r="BR142" s="415">
        <f t="shared" si="63"/>
        <v>0</v>
      </c>
      <c r="BS142" s="415">
        <f t="shared" si="46"/>
        <v>0</v>
      </c>
      <c r="BT142" s="935"/>
      <c r="BU142" s="935"/>
      <c r="BV142" s="935"/>
      <c r="BW142" s="935"/>
      <c r="BX142" s="935"/>
      <c r="BY142" s="935"/>
      <c r="BZ142" s="935"/>
      <c r="CA142" s="935"/>
      <c r="CB142" s="935"/>
      <c r="CC142" s="935"/>
      <c r="CD142" s="935"/>
      <c r="CE142" s="935"/>
      <c r="CF142" s="935"/>
      <c r="CG142" s="935"/>
      <c r="CH142" s="935"/>
      <c r="CI142" s="935"/>
      <c r="CJ142" s="935"/>
      <c r="CK142" s="935"/>
      <c r="CL142" s="935"/>
      <c r="CM142" s="935"/>
      <c r="CN142" s="935"/>
      <c r="CO142" s="935"/>
      <c r="CP142" s="935"/>
      <c r="CQ142" s="935"/>
      <c r="CR142" s="935"/>
      <c r="CS142" s="935"/>
      <c r="CT142" s="935"/>
      <c r="CU142" s="935"/>
      <c r="CV142" s="935"/>
    </row>
    <row r="143" spans="1:100" s="375" customFormat="1" ht="15" customHeight="1">
      <c r="A143" s="375">
        <f t="shared" si="48"/>
        <v>8</v>
      </c>
      <c r="B143" s="455">
        <v>44421</v>
      </c>
      <c r="C143" s="445" t="s">
        <v>1980</v>
      </c>
      <c r="D143" s="376" t="str">
        <f>IFERROR(VLOOKUP(E:E,'Item Data Support Sheet'!A:O,7,0),"")</f>
        <v>BOTTLE MOLDED</v>
      </c>
      <c r="E143" s="446" t="s">
        <v>14</v>
      </c>
      <c r="F143" s="447" t="s">
        <v>1681</v>
      </c>
      <c r="G143" s="376" t="s">
        <v>1888</v>
      </c>
      <c r="H143" s="602" t="str">
        <f>IFERROR(VLOOKUP(E:E,'Item Data Support Sheet'!A:O,2,0),"")</f>
        <v>KPP 240 ML BOTTLE MOLDED</v>
      </c>
      <c r="I143" s="447" t="s">
        <v>2396</v>
      </c>
      <c r="J143" s="447" t="s">
        <v>2809</v>
      </c>
      <c r="K143" s="438">
        <v>8</v>
      </c>
      <c r="L143" s="439">
        <v>2574</v>
      </c>
      <c r="M143" s="366">
        <f t="shared" si="64"/>
        <v>321.75</v>
      </c>
      <c r="N143" s="367">
        <f t="shared" si="47"/>
        <v>3202</v>
      </c>
      <c r="O143" s="61">
        <f>27*108</f>
        <v>2916</v>
      </c>
      <c r="P143" s="368">
        <v>0.12</v>
      </c>
      <c r="Q143" s="369">
        <v>200</v>
      </c>
      <c r="R143" s="370">
        <v>0</v>
      </c>
      <c r="S143" s="370">
        <v>0</v>
      </c>
      <c r="T143" s="370">
        <v>78</v>
      </c>
      <c r="U143" s="370">
        <v>8</v>
      </c>
      <c r="V143" s="450">
        <v>1</v>
      </c>
      <c r="W143" s="453">
        <f t="shared" si="49"/>
        <v>2916</v>
      </c>
      <c r="X143" s="748">
        <f t="shared" si="50"/>
        <v>1.1328671328671329</v>
      </c>
      <c r="Y143" s="451" t="str">
        <f>IFERROR(VLOOKUP(E:E,'Item Data Support Sheet'!A:J,6,0),0)</f>
        <v>HMC</v>
      </c>
      <c r="Z143" s="428">
        <f>IFERROR(VLOOKUP(E:E,'Item Data Support Sheet'!A:O,4,0),0)</f>
        <v>32.1</v>
      </c>
      <c r="AA143" s="428">
        <f t="shared" si="51"/>
        <v>102.90420000000002</v>
      </c>
      <c r="AB143" s="429">
        <f t="shared" si="52"/>
        <v>0.90961884937641024</v>
      </c>
      <c r="AC143" s="424">
        <f t="shared" si="53"/>
        <v>2.6052104208416832E-2</v>
      </c>
      <c r="AD143" s="371">
        <f t="shared" si="54"/>
        <v>5.8788947677836566E-2</v>
      </c>
      <c r="AE143" s="748">
        <f t="shared" si="55"/>
        <v>0.97564022485946289</v>
      </c>
      <c r="AF143" s="417">
        <f t="shared" si="56"/>
        <v>0</v>
      </c>
      <c r="AG143" s="416">
        <f t="shared" si="57"/>
        <v>8</v>
      </c>
      <c r="AH143" s="372">
        <f t="shared" si="58"/>
        <v>1</v>
      </c>
      <c r="AI143" s="373">
        <f t="shared" si="59"/>
        <v>364.5</v>
      </c>
      <c r="AJ143" s="418">
        <f>VLOOKUP(D143,'Standard Cycle time'!C:D,2,0)</f>
        <v>9</v>
      </c>
      <c r="AK143" s="418">
        <f t="shared" si="60"/>
        <v>9.8765432098765427</v>
      </c>
      <c r="AL143" s="374">
        <f t="shared" si="61"/>
        <v>0.91125</v>
      </c>
      <c r="AM143" s="372">
        <f t="shared" si="62"/>
        <v>0.88905215490318557</v>
      </c>
      <c r="AN143" s="799">
        <v>2419</v>
      </c>
      <c r="AO143" s="761" t="s">
        <v>2401</v>
      </c>
      <c r="AP143" s="440">
        <v>0</v>
      </c>
      <c r="AQ143" s="440">
        <v>0</v>
      </c>
      <c r="AR143" s="440">
        <v>0</v>
      </c>
      <c r="AS143" s="440">
        <v>0</v>
      </c>
      <c r="AT143" s="440">
        <v>0</v>
      </c>
      <c r="AU143" s="440">
        <v>0</v>
      </c>
      <c r="AV143" s="440">
        <v>0</v>
      </c>
      <c r="AW143" s="440">
        <v>0</v>
      </c>
      <c r="AX143" s="440">
        <v>0</v>
      </c>
      <c r="AY143" s="440">
        <v>0</v>
      </c>
      <c r="AZ143" s="440">
        <v>0</v>
      </c>
      <c r="BA143" s="440">
        <v>0</v>
      </c>
      <c r="BB143" s="440">
        <v>0</v>
      </c>
      <c r="BC143" s="440">
        <v>0</v>
      </c>
      <c r="BD143" s="440">
        <v>0</v>
      </c>
      <c r="BE143" s="440">
        <v>0</v>
      </c>
      <c r="BF143" s="440">
        <v>0</v>
      </c>
      <c r="BG143" s="440">
        <v>0</v>
      </c>
      <c r="BH143" s="440">
        <v>0</v>
      </c>
      <c r="BI143" s="440">
        <v>0</v>
      </c>
      <c r="BJ143" s="440">
        <v>0</v>
      </c>
      <c r="BK143" s="440">
        <v>0</v>
      </c>
      <c r="BL143" s="440">
        <v>0</v>
      </c>
      <c r="BM143" s="440">
        <v>0</v>
      </c>
      <c r="BN143" s="440">
        <v>0</v>
      </c>
      <c r="BO143" s="440">
        <v>0</v>
      </c>
      <c r="BP143" s="440">
        <v>0</v>
      </c>
      <c r="BQ143" s="440">
        <v>0</v>
      </c>
      <c r="BR143" s="415">
        <f t="shared" si="63"/>
        <v>0</v>
      </c>
      <c r="BS143" s="415">
        <f t="shared" si="46"/>
        <v>0</v>
      </c>
      <c r="BT143" s="935"/>
      <c r="BU143" s="935"/>
      <c r="BV143" s="935"/>
      <c r="BW143" s="935"/>
      <c r="BX143" s="935"/>
      <c r="BY143" s="935"/>
      <c r="BZ143" s="935"/>
      <c r="CA143" s="935"/>
      <c r="CB143" s="935"/>
      <c r="CC143" s="935"/>
      <c r="CD143" s="935"/>
      <c r="CE143" s="935"/>
      <c r="CF143" s="935"/>
      <c r="CG143" s="935"/>
      <c r="CH143" s="935"/>
      <c r="CI143" s="935"/>
      <c r="CJ143" s="935"/>
      <c r="CK143" s="935"/>
      <c r="CL143" s="935"/>
      <c r="CM143" s="935"/>
      <c r="CN143" s="935"/>
      <c r="CO143" s="935"/>
      <c r="CP143" s="935"/>
      <c r="CQ143" s="935"/>
      <c r="CR143" s="935"/>
      <c r="CS143" s="935"/>
      <c r="CT143" s="935"/>
      <c r="CU143" s="935"/>
      <c r="CV143" s="935"/>
    </row>
    <row r="144" spans="1:100" s="375" customFormat="1" ht="15" thickBot="1">
      <c r="A144" s="375">
        <f t="shared" si="48"/>
        <v>8</v>
      </c>
      <c r="B144" s="455">
        <v>44421</v>
      </c>
      <c r="C144" s="445" t="s">
        <v>1980</v>
      </c>
      <c r="D144" s="376" t="str">
        <f>IFERROR(VLOOKUP(E:E,'Item Data Support Sheet'!A:O,7,0),"")</f>
        <v>NIPPLE MOLDED</v>
      </c>
      <c r="E144" s="446" t="s">
        <v>72</v>
      </c>
      <c r="F144" s="447" t="s">
        <v>1678</v>
      </c>
      <c r="G144" s="376" t="s">
        <v>1691</v>
      </c>
      <c r="H144" s="602" t="str">
        <f>IFERROR(VLOOKUP(E:E,'Item Data Support Sheet'!A:O,2,0),"")</f>
        <v>NIPPLE S TYPE S SIZE INJECTION</v>
      </c>
      <c r="I144" s="438" t="s">
        <v>2397</v>
      </c>
      <c r="J144" s="447" t="s">
        <v>2809</v>
      </c>
      <c r="K144" s="438">
        <v>8</v>
      </c>
      <c r="L144" s="439">
        <v>4815</v>
      </c>
      <c r="M144" s="366">
        <f t="shared" si="64"/>
        <v>601.875</v>
      </c>
      <c r="N144" s="367">
        <f t="shared" si="47"/>
        <v>5080</v>
      </c>
      <c r="O144" s="61">
        <v>5000</v>
      </c>
      <c r="P144" s="368">
        <v>0</v>
      </c>
      <c r="Q144" s="369">
        <v>0</v>
      </c>
      <c r="R144" s="370">
        <v>0</v>
      </c>
      <c r="S144" s="370">
        <v>0</v>
      </c>
      <c r="T144" s="370">
        <v>72</v>
      </c>
      <c r="U144" s="370">
        <v>8</v>
      </c>
      <c r="V144" s="450">
        <v>1</v>
      </c>
      <c r="W144" s="453">
        <f t="shared" si="49"/>
        <v>5000</v>
      </c>
      <c r="X144" s="748">
        <f t="shared" si="50"/>
        <v>1.0384215991692627</v>
      </c>
      <c r="Y144" s="451" t="str">
        <f>IFERROR(VLOOKUP(E:E,'Item Data Support Sheet'!A:J,6,0),0)</f>
        <v>Silicon</v>
      </c>
      <c r="Z144" s="428">
        <f>IFERROR(VLOOKUP(E:E,'Item Data Support Sheet'!A:O,4,0),0)</f>
        <v>6.8</v>
      </c>
      <c r="AA144" s="428">
        <f t="shared" si="51"/>
        <v>34.543999999999997</v>
      </c>
      <c r="AB144" s="429">
        <f t="shared" si="52"/>
        <v>0.98425196850393715</v>
      </c>
      <c r="AC144" s="424">
        <f t="shared" si="53"/>
        <v>1.4195583596214511E-2</v>
      </c>
      <c r="AD144" s="371">
        <f t="shared" si="54"/>
        <v>0</v>
      </c>
      <c r="AE144" s="748">
        <f t="shared" si="55"/>
        <v>0.98582677165354327</v>
      </c>
      <c r="AF144" s="417">
        <f t="shared" si="56"/>
        <v>1</v>
      </c>
      <c r="AG144" s="416">
        <f t="shared" si="57"/>
        <v>7</v>
      </c>
      <c r="AH144" s="372">
        <f t="shared" si="58"/>
        <v>0.875</v>
      </c>
      <c r="AI144" s="373">
        <f t="shared" si="59"/>
        <v>625</v>
      </c>
      <c r="AJ144" s="418">
        <f>VLOOKUP(D144,'Standard Cycle time'!C:D,2,0)</f>
        <v>5.25</v>
      </c>
      <c r="AK144" s="418">
        <f t="shared" si="60"/>
        <v>5.04</v>
      </c>
      <c r="AL144" s="374">
        <f t="shared" si="61"/>
        <v>1.0416666666666667</v>
      </c>
      <c r="AM144" s="372">
        <f t="shared" si="62"/>
        <v>0.89854002624671925</v>
      </c>
      <c r="AN144" s="799">
        <v>2416</v>
      </c>
      <c r="AO144" s="761"/>
      <c r="AP144" s="440">
        <v>0</v>
      </c>
      <c r="AQ144" s="440">
        <v>0</v>
      </c>
      <c r="AR144" s="440">
        <v>0</v>
      </c>
      <c r="AS144" s="440">
        <v>0</v>
      </c>
      <c r="AT144" s="440">
        <v>0</v>
      </c>
      <c r="AU144" s="440">
        <v>30</v>
      </c>
      <c r="AV144" s="440">
        <v>0</v>
      </c>
      <c r="AW144" s="440">
        <v>30</v>
      </c>
      <c r="AX144" s="440">
        <v>0</v>
      </c>
      <c r="AY144" s="440">
        <v>0</v>
      </c>
      <c r="AZ144" s="440">
        <v>0</v>
      </c>
      <c r="BA144" s="440">
        <v>0</v>
      </c>
      <c r="BB144" s="440">
        <v>0</v>
      </c>
      <c r="BC144" s="440">
        <v>0</v>
      </c>
      <c r="BD144" s="440">
        <v>0</v>
      </c>
      <c r="BE144" s="440">
        <v>0</v>
      </c>
      <c r="BF144" s="440">
        <v>0</v>
      </c>
      <c r="BG144" s="440">
        <v>0</v>
      </c>
      <c r="BH144" s="440">
        <v>0</v>
      </c>
      <c r="BI144" s="440">
        <v>0</v>
      </c>
      <c r="BJ144" s="440">
        <v>0</v>
      </c>
      <c r="BK144" s="440">
        <v>0</v>
      </c>
      <c r="BL144" s="440">
        <v>0</v>
      </c>
      <c r="BM144" s="440">
        <v>0</v>
      </c>
      <c r="BN144" s="440">
        <v>0</v>
      </c>
      <c r="BO144" s="440">
        <v>0</v>
      </c>
      <c r="BP144" s="440">
        <v>0</v>
      </c>
      <c r="BQ144" s="440">
        <v>0</v>
      </c>
      <c r="BR144" s="415">
        <f t="shared" si="63"/>
        <v>1</v>
      </c>
      <c r="BS144" s="531">
        <f t="shared" si="46"/>
        <v>1.0166666666666666</v>
      </c>
      <c r="BT144" s="935"/>
      <c r="BU144" s="935"/>
      <c r="BV144" s="935"/>
      <c r="BW144" s="935"/>
      <c r="BX144" s="935"/>
      <c r="BY144" s="935"/>
      <c r="BZ144" s="935"/>
      <c r="CA144" s="935"/>
      <c r="CB144" s="935"/>
      <c r="CC144" s="935"/>
      <c r="CD144" s="935"/>
      <c r="CE144" s="935"/>
      <c r="CF144" s="935"/>
      <c r="CG144" s="935"/>
      <c r="CH144" s="935"/>
      <c r="CI144" s="935"/>
      <c r="CJ144" s="935"/>
      <c r="CK144" s="935"/>
      <c r="CL144" s="935"/>
      <c r="CM144" s="935"/>
      <c r="CN144" s="935"/>
      <c r="CO144" s="935"/>
      <c r="CP144" s="935"/>
      <c r="CQ144" s="935"/>
      <c r="CR144" s="935"/>
      <c r="CS144" s="935"/>
      <c r="CT144" s="935"/>
      <c r="CU144" s="935"/>
      <c r="CV144" s="935"/>
    </row>
    <row r="145" spans="1:177" s="375" customFormat="1" ht="15" thickBot="1">
      <c r="A145" s="375">
        <f t="shared" si="48"/>
        <v>8</v>
      </c>
      <c r="B145" s="455">
        <v>44421</v>
      </c>
      <c r="C145" s="445" t="s">
        <v>1980</v>
      </c>
      <c r="D145" s="376" t="str">
        <f>IFERROR(VLOOKUP(E:E,'Item Data Support Sheet'!A:O,7,0),"")</f>
        <v>NIPPLE PUNCH</v>
      </c>
      <c r="E145" s="446" t="s">
        <v>80</v>
      </c>
      <c r="F145" s="447"/>
      <c r="G145" s="376" t="s">
        <v>1705</v>
      </c>
      <c r="H145" s="602" t="str">
        <f>IFERROR(VLOOKUP(E:E,'Item Data Support Sheet'!A:O,2,0),"")</f>
        <v>NIPPLE S TYPE S SIZE PUNCHED</v>
      </c>
      <c r="I145" s="447" t="s">
        <v>2398</v>
      </c>
      <c r="J145" s="447" t="s">
        <v>2809</v>
      </c>
      <c r="K145" s="438">
        <v>8</v>
      </c>
      <c r="L145" s="439">
        <v>7036</v>
      </c>
      <c r="M145" s="366">
        <f t="shared" si="64"/>
        <v>879.5</v>
      </c>
      <c r="N145" s="367">
        <f t="shared" si="47"/>
        <v>7320</v>
      </c>
      <c r="O145" s="61">
        <f>6500+820</f>
        <v>7320</v>
      </c>
      <c r="P145" s="368">
        <v>0</v>
      </c>
      <c r="Q145" s="369">
        <v>0</v>
      </c>
      <c r="R145" s="370">
        <v>0</v>
      </c>
      <c r="S145" s="370">
        <v>0</v>
      </c>
      <c r="T145" s="370">
        <v>0</v>
      </c>
      <c r="U145" s="370">
        <v>0</v>
      </c>
      <c r="V145" s="450">
        <v>1</v>
      </c>
      <c r="W145" s="453">
        <f t="shared" si="49"/>
        <v>7320</v>
      </c>
      <c r="X145" s="748">
        <f t="shared" si="50"/>
        <v>1.0403638430926663</v>
      </c>
      <c r="Y145" s="451" t="str">
        <f>IFERROR(VLOOKUP(E:E,'Item Data Support Sheet'!A:J,6,0),0)</f>
        <v>FO015</v>
      </c>
      <c r="Z145" s="428">
        <f>IFERROR(VLOOKUP(E:E,'Item Data Support Sheet'!A:O,4,0),0)</f>
        <v>0</v>
      </c>
      <c r="AA145" s="428">
        <f t="shared" si="51"/>
        <v>0</v>
      </c>
      <c r="AB145" s="429" t="str">
        <f t="shared" si="52"/>
        <v xml:space="preserve"> </v>
      </c>
      <c r="AC145" s="424">
        <f t="shared" si="53"/>
        <v>0</v>
      </c>
      <c r="AD145" s="371">
        <f t="shared" si="54"/>
        <v>0</v>
      </c>
      <c r="AE145" s="748">
        <f t="shared" si="55"/>
        <v>1</v>
      </c>
      <c r="AF145" s="417">
        <f t="shared" si="56"/>
        <v>0</v>
      </c>
      <c r="AG145" s="416">
        <f t="shared" si="57"/>
        <v>8</v>
      </c>
      <c r="AH145" s="372">
        <f t="shared" si="58"/>
        <v>1</v>
      </c>
      <c r="AI145" s="373">
        <f t="shared" si="59"/>
        <v>915</v>
      </c>
      <c r="AJ145" s="418">
        <f>VLOOKUP(D145,'Standard Cycle time'!C:D,2,0)</f>
        <v>3.5</v>
      </c>
      <c r="AK145" s="418">
        <f t="shared" si="60"/>
        <v>3.9344262295081966</v>
      </c>
      <c r="AL145" s="374">
        <f t="shared" si="61"/>
        <v>0.88958333333333339</v>
      </c>
      <c r="AM145" s="372">
        <f t="shared" si="62"/>
        <v>0.88958333333333339</v>
      </c>
      <c r="AN145" s="799" t="s">
        <v>2399</v>
      </c>
      <c r="AO145" s="929"/>
      <c r="AP145" s="440">
        <v>0</v>
      </c>
      <c r="AQ145" s="440">
        <v>0</v>
      </c>
      <c r="AR145" s="440">
        <v>0</v>
      </c>
      <c r="AS145" s="440">
        <v>0</v>
      </c>
      <c r="AT145" s="440">
        <v>0</v>
      </c>
      <c r="AU145" s="440">
        <v>0</v>
      </c>
      <c r="AV145" s="440">
        <v>0</v>
      </c>
      <c r="AW145" s="440">
        <v>0</v>
      </c>
      <c r="AX145" s="440">
        <v>0</v>
      </c>
      <c r="AY145" s="440">
        <v>0</v>
      </c>
      <c r="AZ145" s="440">
        <v>0</v>
      </c>
      <c r="BA145" s="440">
        <v>0</v>
      </c>
      <c r="BB145" s="440">
        <v>0</v>
      </c>
      <c r="BC145" s="440">
        <v>0</v>
      </c>
      <c r="BD145" s="440">
        <v>0</v>
      </c>
      <c r="BE145" s="440">
        <v>0</v>
      </c>
      <c r="BF145" s="440">
        <v>0</v>
      </c>
      <c r="BG145" s="440">
        <v>0</v>
      </c>
      <c r="BH145" s="440">
        <v>0</v>
      </c>
      <c r="BI145" s="440">
        <v>0</v>
      </c>
      <c r="BJ145" s="440">
        <v>0</v>
      </c>
      <c r="BK145" s="440">
        <v>0</v>
      </c>
      <c r="BL145" s="440">
        <v>0</v>
      </c>
      <c r="BM145" s="440">
        <v>0</v>
      </c>
      <c r="BN145" s="440">
        <v>0</v>
      </c>
      <c r="BO145" s="440">
        <v>0</v>
      </c>
      <c r="BP145" s="440">
        <v>0</v>
      </c>
      <c r="BQ145" s="440">
        <v>0</v>
      </c>
      <c r="BR145" s="415">
        <f t="shared" si="63"/>
        <v>0</v>
      </c>
      <c r="BS145" s="532">
        <f t="shared" si="46"/>
        <v>0</v>
      </c>
      <c r="BT145" s="935"/>
      <c r="BU145" s="935"/>
      <c r="BV145" s="935"/>
      <c r="BW145" s="935"/>
      <c r="BX145" s="935"/>
      <c r="BY145" s="935"/>
      <c r="BZ145" s="935"/>
      <c r="CA145" s="935"/>
      <c r="CB145" s="935"/>
      <c r="CC145" s="935"/>
      <c r="CD145" s="935"/>
      <c r="CE145" s="935"/>
      <c r="CF145" s="935"/>
      <c r="CG145" s="935"/>
      <c r="CH145" s="935"/>
      <c r="CI145" s="935"/>
      <c r="CJ145" s="935"/>
      <c r="CK145" s="935"/>
      <c r="CL145" s="935"/>
      <c r="CM145" s="935"/>
      <c r="CN145" s="935"/>
      <c r="CO145" s="935"/>
      <c r="CP145" s="935"/>
      <c r="CQ145" s="935"/>
      <c r="CR145" s="935"/>
      <c r="CS145" s="935"/>
      <c r="CT145" s="935"/>
      <c r="CU145" s="935"/>
      <c r="CV145" s="935"/>
    </row>
    <row r="146" spans="1:177" s="375" customFormat="1" ht="15" thickBot="1">
      <c r="A146" s="375">
        <f t="shared" si="48"/>
        <v>8</v>
      </c>
      <c r="B146" s="455">
        <v>44421</v>
      </c>
      <c r="C146" s="445" t="s">
        <v>2000</v>
      </c>
      <c r="D146" s="376" t="str">
        <f>IFERROR(VLOOKUP(E:E,'Item Data Support Sheet'!A:O,7,0),"")</f>
        <v>NIPPLE PUNCH INSPECTED</v>
      </c>
      <c r="E146" s="446" t="s">
        <v>1818</v>
      </c>
      <c r="F146" s="447"/>
      <c r="G146" s="376"/>
      <c r="H146" s="602" t="str">
        <f>IFERROR(VLOOKUP(E:E,'Item Data Support Sheet'!A:O,2,0),"")</f>
        <v>NIPPLE S TYPE S SIZE PUNCHED INSPECTED</v>
      </c>
      <c r="I146" s="447" t="s">
        <v>2402</v>
      </c>
      <c r="J146" s="447" t="s">
        <v>2812</v>
      </c>
      <c r="K146" s="438">
        <v>8.5</v>
      </c>
      <c r="L146" s="439">
        <v>7091</v>
      </c>
      <c r="M146" s="366">
        <f t="shared" si="64"/>
        <v>834.23529411764707</v>
      </c>
      <c r="N146" s="367">
        <f t="shared" si="47"/>
        <v>9320</v>
      </c>
      <c r="O146" s="61">
        <v>9263</v>
      </c>
      <c r="P146" s="368">
        <v>0</v>
      </c>
      <c r="Q146" s="369">
        <v>0</v>
      </c>
      <c r="R146" s="370">
        <v>0</v>
      </c>
      <c r="S146" s="370">
        <v>0</v>
      </c>
      <c r="T146" s="370">
        <v>57</v>
      </c>
      <c r="U146" s="370">
        <v>0</v>
      </c>
      <c r="V146" s="450">
        <v>1</v>
      </c>
      <c r="W146" s="453">
        <f t="shared" si="49"/>
        <v>9263</v>
      </c>
      <c r="X146" s="748">
        <f t="shared" si="50"/>
        <v>1.3063037653363418</v>
      </c>
      <c r="Y146" s="451" t="str">
        <f>IFERROR(VLOOKUP(E:E,'Item Data Support Sheet'!A:J,6,0),0)</f>
        <v>FO104</v>
      </c>
      <c r="Z146" s="428">
        <f>IFERROR(VLOOKUP(E:E,'Item Data Support Sheet'!A:O,4,0),0)</f>
        <v>0</v>
      </c>
      <c r="AA146" s="428">
        <f t="shared" si="51"/>
        <v>0</v>
      </c>
      <c r="AB146" s="429" t="str">
        <f t="shared" si="52"/>
        <v xml:space="preserve"> </v>
      </c>
      <c r="AC146" s="424">
        <f t="shared" si="53"/>
        <v>6.1158798283261805E-3</v>
      </c>
      <c r="AD146" s="371">
        <f t="shared" si="54"/>
        <v>0</v>
      </c>
      <c r="AE146" s="748">
        <f t="shared" si="55"/>
        <v>0.99388412017167382</v>
      </c>
      <c r="AF146" s="417">
        <f t="shared" si="56"/>
        <v>0.83333333333333337</v>
      </c>
      <c r="AG146" s="416">
        <f t="shared" si="57"/>
        <v>7.666666666666667</v>
      </c>
      <c r="AH146" s="372">
        <f t="shared" si="58"/>
        <v>0.90196078431372551</v>
      </c>
      <c r="AI146" s="373">
        <f t="shared" si="59"/>
        <v>1089.7647058823529</v>
      </c>
      <c r="AJ146" s="418">
        <f>VLOOKUP(D146,'Standard Cycle time'!C:D,2,0)</f>
        <v>4</v>
      </c>
      <c r="AK146" s="418">
        <f t="shared" si="60"/>
        <v>2.9795962431177805</v>
      </c>
      <c r="AL146" s="374">
        <f t="shared" si="61"/>
        <v>1.3424637681159419</v>
      </c>
      <c r="AM146" s="372">
        <f t="shared" si="62"/>
        <v>1.2034442621111392</v>
      </c>
      <c r="AN146" s="799" t="s">
        <v>2407</v>
      </c>
      <c r="AO146" s="929"/>
      <c r="AP146" s="440">
        <v>50</v>
      </c>
      <c r="AQ146" s="440">
        <v>0</v>
      </c>
      <c r="AR146" s="440">
        <v>0</v>
      </c>
      <c r="AS146" s="440">
        <v>0</v>
      </c>
      <c r="AT146" s="440">
        <v>0</v>
      </c>
      <c r="AU146" s="440">
        <v>0</v>
      </c>
      <c r="AV146" s="440">
        <v>0</v>
      </c>
      <c r="AW146" s="440">
        <v>0</v>
      </c>
      <c r="AX146" s="440">
        <v>0</v>
      </c>
      <c r="AY146" s="440">
        <v>0</v>
      </c>
      <c r="AZ146" s="440">
        <v>0</v>
      </c>
      <c r="BA146" s="440">
        <v>0</v>
      </c>
      <c r="BB146" s="440">
        <v>0</v>
      </c>
      <c r="BC146" s="440">
        <v>0</v>
      </c>
      <c r="BD146" s="440">
        <v>0</v>
      </c>
      <c r="BE146" s="440">
        <v>0</v>
      </c>
      <c r="BF146" s="440">
        <v>0</v>
      </c>
      <c r="BG146" s="440">
        <v>0</v>
      </c>
      <c r="BH146" s="440">
        <v>0</v>
      </c>
      <c r="BI146" s="440">
        <v>0</v>
      </c>
      <c r="BJ146" s="440">
        <v>0</v>
      </c>
      <c r="BK146" s="440">
        <v>0</v>
      </c>
      <c r="BL146" s="440">
        <v>0</v>
      </c>
      <c r="BM146" s="440">
        <v>0</v>
      </c>
      <c r="BN146" s="440">
        <v>0</v>
      </c>
      <c r="BO146" s="440">
        <v>0</v>
      </c>
      <c r="BP146" s="440">
        <v>0</v>
      </c>
      <c r="BQ146" s="440">
        <v>0</v>
      </c>
      <c r="BR146" s="415">
        <f t="shared" si="63"/>
        <v>0.83333333333333337</v>
      </c>
      <c r="BS146" s="532">
        <f t="shared" si="46"/>
        <v>0.84722222222222221</v>
      </c>
      <c r="BT146" s="935"/>
      <c r="BU146" s="935"/>
      <c r="BV146" s="935"/>
      <c r="BW146" s="935"/>
      <c r="BX146" s="935"/>
      <c r="BY146" s="935"/>
      <c r="BZ146" s="935"/>
      <c r="CA146" s="935"/>
      <c r="CB146" s="935"/>
      <c r="CC146" s="935"/>
      <c r="CD146" s="935"/>
      <c r="CE146" s="935"/>
      <c r="CF146" s="935"/>
      <c r="CG146" s="935"/>
      <c r="CH146" s="935"/>
      <c r="CI146" s="935"/>
      <c r="CJ146" s="935"/>
      <c r="CK146" s="935"/>
      <c r="CL146" s="935"/>
      <c r="CM146" s="935"/>
      <c r="CN146" s="935"/>
      <c r="CO146" s="935"/>
      <c r="CP146" s="935"/>
      <c r="CQ146" s="935"/>
      <c r="CR146" s="935"/>
      <c r="CS146" s="935"/>
      <c r="CT146" s="935"/>
      <c r="CU146" s="935"/>
      <c r="CV146" s="935"/>
    </row>
    <row r="147" spans="1:177" s="375" customFormat="1" ht="15" thickBot="1">
      <c r="A147" s="375">
        <f t="shared" si="48"/>
        <v>8</v>
      </c>
      <c r="B147" s="455">
        <v>44421</v>
      </c>
      <c r="C147" s="445" t="s">
        <v>2000</v>
      </c>
      <c r="D147" s="376" t="str">
        <f>IFERROR(VLOOKUP(E:E,'Item Data Support Sheet'!A:O,7,0),"")</f>
        <v>BOTTLE PRINTED</v>
      </c>
      <c r="E147" s="446" t="s">
        <v>187</v>
      </c>
      <c r="F147" s="447"/>
      <c r="G147" s="376" t="s">
        <v>1698</v>
      </c>
      <c r="H147" s="602" t="str">
        <f>IFERROR(VLOOKUP(E:E,'Item Data Support Sheet'!A:O,2,0),"")</f>
        <v>KPP 240 BOTTLE PRINTED (WMG3B) W/O OZ &amp; W/BIS LOGO</v>
      </c>
      <c r="I147" s="447" t="s">
        <v>2403</v>
      </c>
      <c r="J147" s="447" t="s">
        <v>2813</v>
      </c>
      <c r="K147" s="438">
        <v>4</v>
      </c>
      <c r="L147" s="439">
        <v>2100</v>
      </c>
      <c r="M147" s="366">
        <f t="shared" si="64"/>
        <v>525</v>
      </c>
      <c r="N147" s="367">
        <f t="shared" si="47"/>
        <v>1863</v>
      </c>
      <c r="O147" s="61">
        <v>1836</v>
      </c>
      <c r="P147" s="368">
        <v>0</v>
      </c>
      <c r="Q147" s="369">
        <v>0</v>
      </c>
      <c r="R147" s="370">
        <v>27</v>
      </c>
      <c r="S147" s="370">
        <v>0</v>
      </c>
      <c r="T147" s="370">
        <v>27</v>
      </c>
      <c r="U147" s="370">
        <v>0</v>
      </c>
      <c r="V147" s="450">
        <v>6</v>
      </c>
      <c r="W147" s="453">
        <f t="shared" si="49"/>
        <v>306</v>
      </c>
      <c r="X147" s="748">
        <f t="shared" si="50"/>
        <v>0.87428571428571433</v>
      </c>
      <c r="Y147" s="451" t="str">
        <f>IFERROR(VLOOKUP(E:E,'Item Data Support Sheet'!A:J,6,0),0)</f>
        <v>FO044</v>
      </c>
      <c r="Z147" s="428">
        <f>IFERROR(VLOOKUP(E:E,'Item Data Support Sheet'!A:O,4,0),0)</f>
        <v>0</v>
      </c>
      <c r="AA147" s="428">
        <f t="shared" si="51"/>
        <v>0</v>
      </c>
      <c r="AB147" s="429" t="str">
        <f t="shared" si="52"/>
        <v xml:space="preserve"> </v>
      </c>
      <c r="AC147" s="424">
        <f t="shared" si="53"/>
        <v>1.4492753623188406E-2</v>
      </c>
      <c r="AD147" s="371">
        <f t="shared" si="54"/>
        <v>0</v>
      </c>
      <c r="AE147" s="748">
        <f t="shared" si="55"/>
        <v>0.98550724637681164</v>
      </c>
      <c r="AF147" s="417">
        <f t="shared" si="56"/>
        <v>1.3333333333333333</v>
      </c>
      <c r="AG147" s="416">
        <f t="shared" si="57"/>
        <v>2.666666666666667</v>
      </c>
      <c r="AH147" s="372">
        <f t="shared" si="58"/>
        <v>0.66666666666666674</v>
      </c>
      <c r="AI147" s="373">
        <f t="shared" si="59"/>
        <v>459</v>
      </c>
      <c r="AJ147" s="418">
        <f>VLOOKUP(D147,'Standard Cycle time'!C:D,2,0)</f>
        <v>32.4</v>
      </c>
      <c r="AK147" s="418">
        <f t="shared" si="60"/>
        <v>31.372549019607842</v>
      </c>
      <c r="AL147" s="374">
        <f t="shared" si="61"/>
        <v>1.0327500000000001</v>
      </c>
      <c r="AM147" s="372">
        <f t="shared" si="62"/>
        <v>0.6785217391304349</v>
      </c>
      <c r="AN147" s="799" t="s">
        <v>2655</v>
      </c>
      <c r="AO147" s="929" t="s">
        <v>2405</v>
      </c>
      <c r="AP147" s="440">
        <v>20</v>
      </c>
      <c r="AQ147" s="440">
        <v>60</v>
      </c>
      <c r="AR147" s="440">
        <v>0</v>
      </c>
      <c r="AS147" s="440">
        <v>0</v>
      </c>
      <c r="AT147" s="440">
        <v>0</v>
      </c>
      <c r="AU147" s="440">
        <v>0</v>
      </c>
      <c r="AV147" s="440">
        <v>0</v>
      </c>
      <c r="AW147" s="440">
        <v>0</v>
      </c>
      <c r="AX147" s="440">
        <v>0</v>
      </c>
      <c r="AY147" s="440">
        <v>0</v>
      </c>
      <c r="AZ147" s="440">
        <v>0</v>
      </c>
      <c r="BA147" s="440">
        <v>0</v>
      </c>
      <c r="BB147" s="440">
        <v>0</v>
      </c>
      <c r="BC147" s="440">
        <v>0</v>
      </c>
      <c r="BD147" s="440">
        <v>0</v>
      </c>
      <c r="BE147" s="440">
        <v>0</v>
      </c>
      <c r="BF147" s="440">
        <v>0</v>
      </c>
      <c r="BG147" s="440">
        <v>0</v>
      </c>
      <c r="BH147" s="440">
        <v>0</v>
      </c>
      <c r="BI147" s="440">
        <v>0</v>
      </c>
      <c r="BJ147" s="440">
        <v>0</v>
      </c>
      <c r="BK147" s="440">
        <v>0</v>
      </c>
      <c r="BL147" s="440">
        <v>0</v>
      </c>
      <c r="BM147" s="440">
        <v>0</v>
      </c>
      <c r="BN147" s="440">
        <v>0</v>
      </c>
      <c r="BO147" s="440">
        <v>0</v>
      </c>
      <c r="BP147" s="440">
        <v>0</v>
      </c>
      <c r="BQ147" s="440">
        <v>0</v>
      </c>
      <c r="BR147" s="415">
        <f t="shared" si="63"/>
        <v>1.3333333333333333</v>
      </c>
      <c r="BS147" s="532">
        <f t="shared" si="46"/>
        <v>1.3555555555555554</v>
      </c>
      <c r="BT147" s="935"/>
      <c r="BU147" s="935"/>
      <c r="BV147" s="935"/>
      <c r="BW147" s="935"/>
      <c r="BX147" s="935"/>
      <c r="BY147" s="935"/>
      <c r="BZ147" s="935"/>
      <c r="CA147" s="935"/>
      <c r="CB147" s="935"/>
      <c r="CC147" s="935"/>
      <c r="CD147" s="935"/>
      <c r="CE147" s="935"/>
      <c r="CF147" s="935"/>
      <c r="CG147" s="935"/>
      <c r="CH147" s="935"/>
      <c r="CI147" s="935"/>
      <c r="CJ147" s="935"/>
      <c r="CK147" s="935"/>
      <c r="CL147" s="935"/>
      <c r="CM147" s="935"/>
      <c r="CN147" s="935"/>
      <c r="CO147" s="935"/>
      <c r="CP147" s="935"/>
      <c r="CQ147" s="935"/>
      <c r="CR147" s="935"/>
      <c r="CS147" s="935"/>
      <c r="CT147" s="935"/>
      <c r="CU147" s="935"/>
      <c r="CV147" s="935"/>
    </row>
    <row r="148" spans="1:177" s="362" customFormat="1" ht="15" thickBot="1">
      <c r="A148" s="375">
        <f t="shared" si="48"/>
        <v>8</v>
      </c>
      <c r="B148" s="455">
        <v>44421</v>
      </c>
      <c r="C148" s="445" t="s">
        <v>2000</v>
      </c>
      <c r="D148" s="376" t="str">
        <f>IFERROR(VLOOKUP(E:E,'Item Data Support Sheet'!A:O,7,0),"")</f>
        <v>BOTTLE PRINTED</v>
      </c>
      <c r="E148" s="446" t="s">
        <v>64</v>
      </c>
      <c r="F148" s="447"/>
      <c r="G148" s="376" t="s">
        <v>1698</v>
      </c>
      <c r="H148" s="602" t="str">
        <f>IFERROR(VLOOKUP(E:E,'Item Data Support Sheet'!A:O,2,0),"")</f>
        <v>KPP 240 ML BOTTLE PRINTED</v>
      </c>
      <c r="I148" s="447" t="s">
        <v>2404</v>
      </c>
      <c r="J148" s="447" t="s">
        <v>2813</v>
      </c>
      <c r="K148" s="438">
        <v>4.5</v>
      </c>
      <c r="L148" s="439">
        <v>3000</v>
      </c>
      <c r="M148" s="366">
        <f t="shared" si="64"/>
        <v>666.66666666666663</v>
      </c>
      <c r="N148" s="367">
        <f t="shared" si="47"/>
        <v>1739</v>
      </c>
      <c r="O148" s="61">
        <v>1728</v>
      </c>
      <c r="P148" s="368">
        <v>0</v>
      </c>
      <c r="Q148" s="369">
        <v>0</v>
      </c>
      <c r="R148" s="370">
        <v>16</v>
      </c>
      <c r="S148" s="370">
        <v>0</v>
      </c>
      <c r="T148" s="370">
        <v>11</v>
      </c>
      <c r="U148" s="370">
        <v>0</v>
      </c>
      <c r="V148" s="450">
        <v>6</v>
      </c>
      <c r="W148" s="453">
        <f t="shared" si="49"/>
        <v>288</v>
      </c>
      <c r="X148" s="748">
        <f t="shared" si="50"/>
        <v>0.57599999999999996</v>
      </c>
      <c r="Y148" s="451" t="str">
        <f>IFERROR(VLOOKUP(E:E,'Item Data Support Sheet'!A:J,6,0),0)</f>
        <v>FO003</v>
      </c>
      <c r="Z148" s="428">
        <f>IFERROR(VLOOKUP(E:E,'Item Data Support Sheet'!A:O,4,0),0)</f>
        <v>0</v>
      </c>
      <c r="AA148" s="428">
        <f t="shared" si="51"/>
        <v>0</v>
      </c>
      <c r="AB148" s="429" t="str">
        <f t="shared" si="52"/>
        <v xml:space="preserve"> </v>
      </c>
      <c r="AC148" s="424">
        <f t="shared" si="53"/>
        <v>6.3254744105807935E-3</v>
      </c>
      <c r="AD148" s="371">
        <f t="shared" si="54"/>
        <v>0</v>
      </c>
      <c r="AE148" s="748">
        <f t="shared" si="55"/>
        <v>0.99367452558941916</v>
      </c>
      <c r="AF148" s="417">
        <f t="shared" si="56"/>
        <v>1.8333333333333333</v>
      </c>
      <c r="AG148" s="416">
        <f t="shared" si="57"/>
        <v>2.666666666666667</v>
      </c>
      <c r="AH148" s="372">
        <f t="shared" si="58"/>
        <v>0.59259259259259267</v>
      </c>
      <c r="AI148" s="373">
        <f t="shared" si="59"/>
        <v>384</v>
      </c>
      <c r="AJ148" s="418">
        <f>VLOOKUP(D148,'Standard Cycle time'!C:D,2,0)</f>
        <v>32.4</v>
      </c>
      <c r="AK148" s="418">
        <f t="shared" si="60"/>
        <v>33.333333333333336</v>
      </c>
      <c r="AL148" s="374">
        <f t="shared" si="61"/>
        <v>0.97199999999999986</v>
      </c>
      <c r="AM148" s="372">
        <f t="shared" si="62"/>
        <v>0.57235652673950543</v>
      </c>
      <c r="AN148" s="799" t="s">
        <v>2656</v>
      </c>
      <c r="AO148" s="929" t="s">
        <v>2406</v>
      </c>
      <c r="AP148" s="440">
        <v>30</v>
      </c>
      <c r="AQ148" s="440">
        <v>80</v>
      </c>
      <c r="AR148" s="440">
        <v>0</v>
      </c>
      <c r="AS148" s="440">
        <v>0</v>
      </c>
      <c r="AT148" s="440">
        <v>0</v>
      </c>
      <c r="AU148" s="440">
        <v>0</v>
      </c>
      <c r="AV148" s="440">
        <v>0</v>
      </c>
      <c r="AW148" s="440">
        <v>0</v>
      </c>
      <c r="AX148" s="440">
        <v>0</v>
      </c>
      <c r="AY148" s="440">
        <v>0</v>
      </c>
      <c r="AZ148" s="440">
        <v>0</v>
      </c>
      <c r="BA148" s="440">
        <v>0</v>
      </c>
      <c r="BB148" s="440">
        <v>0</v>
      </c>
      <c r="BC148" s="440">
        <v>0</v>
      </c>
      <c r="BD148" s="440">
        <v>0</v>
      </c>
      <c r="BE148" s="440">
        <v>0</v>
      </c>
      <c r="BF148" s="440">
        <v>0</v>
      </c>
      <c r="BG148" s="440">
        <v>0</v>
      </c>
      <c r="BH148" s="440">
        <v>0</v>
      </c>
      <c r="BI148" s="440">
        <v>0</v>
      </c>
      <c r="BJ148" s="440">
        <v>0</v>
      </c>
      <c r="BK148" s="440">
        <v>0</v>
      </c>
      <c r="BL148" s="440">
        <v>0</v>
      </c>
      <c r="BM148" s="440">
        <v>0</v>
      </c>
      <c r="BN148" s="440">
        <v>0</v>
      </c>
      <c r="BO148" s="440">
        <v>0</v>
      </c>
      <c r="BP148" s="440">
        <v>0</v>
      </c>
      <c r="BQ148" s="440">
        <v>0</v>
      </c>
      <c r="BR148" s="415">
        <f t="shared" si="63"/>
        <v>1.8333333333333333</v>
      </c>
      <c r="BS148" s="532">
        <f t="shared" si="46"/>
        <v>1.8638888888888887</v>
      </c>
      <c r="BT148" s="935"/>
      <c r="BU148" s="935"/>
      <c r="BV148" s="935"/>
      <c r="BW148" s="935"/>
      <c r="BX148" s="935"/>
      <c r="BY148" s="935"/>
      <c r="BZ148" s="935"/>
      <c r="CA148" s="935"/>
      <c r="CB148" s="935"/>
      <c r="CC148" s="935"/>
      <c r="CD148" s="935"/>
      <c r="CE148" s="935"/>
      <c r="CF148" s="935"/>
      <c r="CG148" s="935"/>
      <c r="CH148" s="935"/>
      <c r="CI148" s="935"/>
      <c r="CJ148" s="935"/>
      <c r="CK148" s="935"/>
      <c r="CL148" s="935"/>
      <c r="CM148" s="935"/>
      <c r="CN148" s="935"/>
      <c r="CO148" s="935"/>
      <c r="CP148" s="935"/>
      <c r="CQ148" s="935"/>
      <c r="CR148" s="935"/>
      <c r="CS148" s="935"/>
      <c r="CT148" s="935"/>
      <c r="CU148" s="935"/>
      <c r="CV148" s="935"/>
      <c r="CW148" s="530"/>
      <c r="CX148" s="530"/>
      <c r="CY148" s="530"/>
      <c r="CZ148" s="530"/>
      <c r="DA148" s="530"/>
      <c r="DB148" s="530"/>
      <c r="DC148" s="530"/>
      <c r="DD148" s="530"/>
      <c r="DE148" s="530"/>
      <c r="DF148" s="530"/>
      <c r="DG148" s="530"/>
      <c r="DH148" s="530"/>
      <c r="DI148" s="530"/>
      <c r="DJ148" s="530"/>
      <c r="DK148" s="530"/>
      <c r="DL148" s="530"/>
      <c r="DM148" s="530"/>
      <c r="DN148" s="530"/>
      <c r="DO148" s="530"/>
      <c r="DP148" s="530"/>
      <c r="DQ148" s="530"/>
      <c r="DR148" s="530"/>
      <c r="DS148" s="530"/>
      <c r="DT148" s="530"/>
      <c r="DU148" s="530"/>
      <c r="DV148" s="530"/>
      <c r="DW148" s="530"/>
      <c r="DX148" s="530"/>
      <c r="DY148" s="530"/>
      <c r="DZ148" s="530"/>
      <c r="EA148" s="530"/>
      <c r="EB148" s="530"/>
      <c r="EC148" s="530"/>
      <c r="ED148" s="530"/>
      <c r="EE148" s="530"/>
      <c r="EF148" s="530"/>
      <c r="EG148" s="530"/>
      <c r="EH148" s="530"/>
      <c r="EI148" s="530"/>
      <c r="EJ148" s="530"/>
      <c r="EK148" s="530"/>
      <c r="EL148" s="530"/>
      <c r="EM148" s="530"/>
      <c r="EN148" s="530"/>
      <c r="EO148" s="530"/>
      <c r="EP148" s="530"/>
      <c r="EQ148" s="530"/>
      <c r="ER148" s="530"/>
      <c r="ES148" s="530"/>
      <c r="ET148" s="530"/>
      <c r="EU148" s="530"/>
      <c r="EV148" s="530"/>
      <c r="EW148" s="530"/>
      <c r="EX148" s="530"/>
      <c r="EY148" s="530"/>
      <c r="EZ148" s="530"/>
      <c r="FA148" s="530"/>
      <c r="FB148" s="530"/>
      <c r="FC148" s="530"/>
      <c r="FD148" s="530"/>
      <c r="FE148" s="530"/>
      <c r="FF148" s="530"/>
      <c r="FG148" s="530"/>
      <c r="FH148" s="530"/>
      <c r="FI148" s="530"/>
      <c r="FJ148" s="530"/>
      <c r="FK148" s="530"/>
      <c r="FL148" s="530"/>
      <c r="FM148" s="530"/>
      <c r="FN148" s="530"/>
      <c r="FO148" s="530"/>
      <c r="FP148" s="530"/>
      <c r="FQ148" s="530"/>
      <c r="FR148" s="530"/>
      <c r="FS148" s="530"/>
      <c r="FT148" s="530"/>
      <c r="FU148" s="530"/>
    </row>
    <row r="149" spans="1:177" s="442" customFormat="1" ht="16.5" customHeight="1" thickBot="1">
      <c r="A149" s="375">
        <f t="shared" si="48"/>
        <v>8</v>
      </c>
      <c r="B149" s="455">
        <v>44421</v>
      </c>
      <c r="C149" s="445" t="s">
        <v>2001</v>
      </c>
      <c r="D149" s="376" t="str">
        <f>IFERROR(VLOOKUP(E:E,'Item Data Support Sheet'!A:O,7,0),"")</f>
        <v>CAP MOLDED</v>
      </c>
      <c r="E149" s="446" t="s">
        <v>2108</v>
      </c>
      <c r="F149" s="447"/>
      <c r="G149" s="376" t="s">
        <v>2220</v>
      </c>
      <c r="H149" s="602" t="str">
        <f>IFERROR(VLOOKUP(E:E,'Item Data Support Sheet'!A:O,2,0),"")</f>
        <v>CAP S TYPE MOLDED BLUE</v>
      </c>
      <c r="I149" s="496" t="s">
        <v>2408</v>
      </c>
      <c r="J149" s="447" t="s">
        <v>2810</v>
      </c>
      <c r="K149" s="438">
        <v>8</v>
      </c>
      <c r="L149" s="439">
        <v>4137</v>
      </c>
      <c r="M149" s="366">
        <f t="shared" si="64"/>
        <v>517.125</v>
      </c>
      <c r="N149" s="367">
        <f t="shared" si="47"/>
        <v>3450</v>
      </c>
      <c r="O149" s="61">
        <v>3445</v>
      </c>
      <c r="P149" s="368">
        <v>0</v>
      </c>
      <c r="Q149" s="369">
        <v>0</v>
      </c>
      <c r="R149" s="370">
        <v>0</v>
      </c>
      <c r="S149" s="370">
        <v>0</v>
      </c>
      <c r="T149" s="370">
        <v>5</v>
      </c>
      <c r="U149" s="370">
        <v>0</v>
      </c>
      <c r="V149" s="450">
        <v>1</v>
      </c>
      <c r="W149" s="453">
        <f t="shared" si="49"/>
        <v>3445</v>
      </c>
      <c r="X149" s="748">
        <f t="shared" si="50"/>
        <v>0.83272903069857385</v>
      </c>
      <c r="Y149" s="451" t="str">
        <f>IFERROR(VLOOKUP(E:E,'Item Data Support Sheet'!A:J,6,0),0)</f>
        <v>RM000114</v>
      </c>
      <c r="Z149" s="428">
        <f>IFERROR(VLOOKUP(E:E,'Item Data Support Sheet'!A:O,4,0),0)</f>
        <v>7.3</v>
      </c>
      <c r="AA149" s="428">
        <f t="shared" si="51"/>
        <v>25.184999999999999</v>
      </c>
      <c r="AB149" s="429">
        <f t="shared" si="52"/>
        <v>0.99855072463768113</v>
      </c>
      <c r="AC149" s="424">
        <f t="shared" si="53"/>
        <v>1.4492753623188406E-3</v>
      </c>
      <c r="AD149" s="371">
        <f t="shared" si="54"/>
        <v>0</v>
      </c>
      <c r="AE149" s="748">
        <f t="shared" si="55"/>
        <v>0.99855072463768113</v>
      </c>
      <c r="AF149" s="417">
        <f t="shared" si="56"/>
        <v>1.1666666666666667</v>
      </c>
      <c r="AG149" s="416">
        <f t="shared" si="57"/>
        <v>6.833333333333333</v>
      </c>
      <c r="AH149" s="372">
        <f t="shared" si="58"/>
        <v>0.85416666666666663</v>
      </c>
      <c r="AI149" s="373">
        <f t="shared" si="59"/>
        <v>430.625</v>
      </c>
      <c r="AJ149" s="418">
        <f>VLOOKUP(D149,'Standard Cycle time'!C:D,2,0)</f>
        <v>6</v>
      </c>
      <c r="AK149" s="418">
        <f t="shared" si="60"/>
        <v>7.1407837445573294</v>
      </c>
      <c r="AL149" s="374">
        <f t="shared" si="61"/>
        <v>0.84024390243902436</v>
      </c>
      <c r="AM149" s="372">
        <f t="shared" si="62"/>
        <v>0.71666817632850233</v>
      </c>
      <c r="AN149" s="799">
        <v>2690</v>
      </c>
      <c r="AO149" s="761" t="s">
        <v>2409</v>
      </c>
      <c r="AP149" s="440">
        <v>0</v>
      </c>
      <c r="AQ149" s="440">
        <v>30</v>
      </c>
      <c r="AR149" s="440">
        <v>0</v>
      </c>
      <c r="AS149" s="440">
        <v>0</v>
      </c>
      <c r="AT149" s="440">
        <v>0</v>
      </c>
      <c r="AU149" s="440">
        <v>0</v>
      </c>
      <c r="AV149" s="440">
        <v>40</v>
      </c>
      <c r="AW149" s="440">
        <v>0</v>
      </c>
      <c r="AX149" s="440">
        <v>0</v>
      </c>
      <c r="AY149" s="440">
        <v>0</v>
      </c>
      <c r="AZ149" s="440">
        <v>0</v>
      </c>
      <c r="BA149" s="440">
        <v>0</v>
      </c>
      <c r="BB149" s="440">
        <v>0</v>
      </c>
      <c r="BC149" s="440">
        <v>0</v>
      </c>
      <c r="BD149" s="440">
        <v>0</v>
      </c>
      <c r="BE149" s="440">
        <v>0</v>
      </c>
      <c r="BF149" s="440">
        <v>0</v>
      </c>
      <c r="BG149" s="440">
        <v>0</v>
      </c>
      <c r="BH149" s="440">
        <v>0</v>
      </c>
      <c r="BI149" s="440">
        <v>0</v>
      </c>
      <c r="BJ149" s="440">
        <v>0</v>
      </c>
      <c r="BK149" s="440">
        <v>0</v>
      </c>
      <c r="BL149" s="440">
        <v>0</v>
      </c>
      <c r="BM149" s="440">
        <v>0</v>
      </c>
      <c r="BN149" s="440">
        <v>0</v>
      </c>
      <c r="BO149" s="440">
        <v>0</v>
      </c>
      <c r="BP149" s="440">
        <v>0</v>
      </c>
      <c r="BQ149" s="440">
        <v>0</v>
      </c>
      <c r="BR149" s="415">
        <f t="shared" si="63"/>
        <v>1.1666666666666667</v>
      </c>
      <c r="BS149" s="532">
        <f t="shared" si="46"/>
        <v>1.1861111111111111</v>
      </c>
      <c r="BT149" s="935"/>
      <c r="BU149" s="935"/>
      <c r="BV149" s="935"/>
      <c r="BW149" s="935"/>
      <c r="BX149" s="935"/>
      <c r="BY149" s="935"/>
      <c r="BZ149" s="935"/>
      <c r="CA149" s="935"/>
      <c r="CB149" s="935"/>
      <c r="CC149" s="935"/>
      <c r="CD149" s="935"/>
      <c r="CE149" s="935"/>
      <c r="CF149" s="935"/>
      <c r="CG149" s="935"/>
      <c r="CH149" s="935"/>
      <c r="CI149" s="935"/>
      <c r="CJ149" s="935"/>
      <c r="CK149" s="935"/>
      <c r="CL149" s="935"/>
      <c r="CM149" s="935"/>
      <c r="CN149" s="935"/>
      <c r="CO149" s="935"/>
      <c r="CP149" s="935"/>
      <c r="CQ149" s="935"/>
      <c r="CR149" s="935"/>
      <c r="CS149" s="935"/>
      <c r="CT149" s="935"/>
      <c r="CU149" s="935"/>
      <c r="CV149" s="935"/>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row>
    <row r="150" spans="1:177" s="755" customFormat="1" ht="16.5" customHeight="1" thickBot="1">
      <c r="A150" s="375">
        <f t="shared" si="48"/>
        <v>8</v>
      </c>
      <c r="B150" s="455">
        <v>44421</v>
      </c>
      <c r="C150" s="445" t="s">
        <v>2001</v>
      </c>
      <c r="D150" s="376" t="str">
        <f>IFERROR(VLOOKUP(E:E,'Item Data Support Sheet'!A:O,7,0),"")</f>
        <v>BOTTLE MOLDED</v>
      </c>
      <c r="E150" s="501" t="s">
        <v>14</v>
      </c>
      <c r="F150" s="500" t="s">
        <v>1681</v>
      </c>
      <c r="G150" s="376" t="s">
        <v>1888</v>
      </c>
      <c r="H150" s="602" t="str">
        <f>IFERROR(VLOOKUP(E:E,'Item Data Support Sheet'!A:O,2,0),"")</f>
        <v>KPP 240 ML BOTTLE MOLDED</v>
      </c>
      <c r="I150" s="501" t="s">
        <v>2410</v>
      </c>
      <c r="J150" s="447" t="s">
        <v>2810</v>
      </c>
      <c r="K150" s="438">
        <v>8</v>
      </c>
      <c r="L150" s="820">
        <v>2574</v>
      </c>
      <c r="M150" s="366">
        <f t="shared" si="64"/>
        <v>321.75</v>
      </c>
      <c r="N150" s="367">
        <f t="shared" si="47"/>
        <v>3023</v>
      </c>
      <c r="O150" s="61">
        <f>27*108</f>
        <v>2916</v>
      </c>
      <c r="P150" s="368">
        <v>0</v>
      </c>
      <c r="Q150" s="369">
        <v>42</v>
      </c>
      <c r="R150" s="370">
        <v>0</v>
      </c>
      <c r="S150" s="370">
        <v>0</v>
      </c>
      <c r="T150" s="370">
        <v>65</v>
      </c>
      <c r="U150" s="370">
        <v>0</v>
      </c>
      <c r="V150" s="450">
        <v>1</v>
      </c>
      <c r="W150" s="453">
        <f t="shared" si="49"/>
        <v>2916</v>
      </c>
      <c r="X150" s="748">
        <f t="shared" si="50"/>
        <v>1.1328671328671329</v>
      </c>
      <c r="Y150" s="451" t="str">
        <f>IFERROR(VLOOKUP(E:E,'Item Data Support Sheet'!A:J,6,0),0)</f>
        <v>HMC</v>
      </c>
      <c r="Z150" s="428">
        <f>IFERROR(VLOOKUP(E:E,'Item Data Support Sheet'!A:O,4,0),0)</f>
        <v>32.1</v>
      </c>
      <c r="AA150" s="428">
        <f t="shared" si="51"/>
        <v>97.038300000000007</v>
      </c>
      <c r="AB150" s="429">
        <f t="shared" si="52"/>
        <v>0.96460469732054255</v>
      </c>
      <c r="AC150" s="424">
        <f t="shared" si="53"/>
        <v>2.1804763502180476E-2</v>
      </c>
      <c r="AD150" s="371">
        <f t="shared" si="54"/>
        <v>1.3703099510603589E-2</v>
      </c>
      <c r="AE150" s="748">
        <f t="shared" si="55"/>
        <v>0.97849818061528282</v>
      </c>
      <c r="AF150" s="417">
        <f t="shared" si="56"/>
        <v>0</v>
      </c>
      <c r="AG150" s="416">
        <f t="shared" si="57"/>
        <v>8</v>
      </c>
      <c r="AH150" s="372">
        <f t="shared" si="58"/>
        <v>1</v>
      </c>
      <c r="AI150" s="373">
        <f t="shared" si="59"/>
        <v>364.5</v>
      </c>
      <c r="AJ150" s="418">
        <f>VLOOKUP(D150,'Standard Cycle time'!C:D,2,0)</f>
        <v>9</v>
      </c>
      <c r="AK150" s="418">
        <f t="shared" si="60"/>
        <v>9.8765432098765427</v>
      </c>
      <c r="AL150" s="374">
        <f t="shared" si="61"/>
        <v>0.91125</v>
      </c>
      <c r="AM150" s="372">
        <f t="shared" si="62"/>
        <v>0.89165646708567647</v>
      </c>
      <c r="AN150" s="799">
        <v>2431</v>
      </c>
      <c r="AO150" s="761"/>
      <c r="AP150" s="440">
        <v>0</v>
      </c>
      <c r="AQ150" s="440">
        <v>0</v>
      </c>
      <c r="AR150" s="440">
        <v>0</v>
      </c>
      <c r="AS150" s="440">
        <v>0</v>
      </c>
      <c r="AT150" s="440">
        <v>0</v>
      </c>
      <c r="AU150" s="440">
        <v>0</v>
      </c>
      <c r="AV150" s="440">
        <v>0</v>
      </c>
      <c r="AW150" s="440">
        <v>0</v>
      </c>
      <c r="AX150" s="440">
        <v>0</v>
      </c>
      <c r="AY150" s="440">
        <v>0</v>
      </c>
      <c r="AZ150" s="440">
        <v>0</v>
      </c>
      <c r="BA150" s="440">
        <v>0</v>
      </c>
      <c r="BB150" s="440">
        <v>0</v>
      </c>
      <c r="BC150" s="440">
        <v>0</v>
      </c>
      <c r="BD150" s="440">
        <v>0</v>
      </c>
      <c r="BE150" s="440">
        <v>0</v>
      </c>
      <c r="BF150" s="440">
        <v>0</v>
      </c>
      <c r="BG150" s="440">
        <v>0</v>
      </c>
      <c r="BH150" s="440">
        <v>0</v>
      </c>
      <c r="BI150" s="440">
        <v>0</v>
      </c>
      <c r="BJ150" s="440">
        <v>0</v>
      </c>
      <c r="BK150" s="440">
        <v>0</v>
      </c>
      <c r="BL150" s="440">
        <v>0</v>
      </c>
      <c r="BM150" s="440">
        <v>0</v>
      </c>
      <c r="BN150" s="440">
        <v>0</v>
      </c>
      <c r="BO150" s="440">
        <v>0</v>
      </c>
      <c r="BP150" s="440">
        <v>0</v>
      </c>
      <c r="BQ150" s="440">
        <v>0</v>
      </c>
      <c r="BR150" s="415"/>
      <c r="BS150" s="532">
        <f t="shared" si="46"/>
        <v>0</v>
      </c>
      <c r="BT150" s="935"/>
      <c r="BU150" s="935"/>
      <c r="BV150" s="935"/>
      <c r="BW150" s="935"/>
      <c r="BX150" s="935"/>
      <c r="BY150" s="935"/>
      <c r="BZ150" s="935"/>
      <c r="CA150" s="935"/>
      <c r="CB150" s="935"/>
      <c r="CC150" s="935"/>
      <c r="CD150" s="935"/>
      <c r="CE150" s="935"/>
      <c r="CF150" s="935"/>
      <c r="CG150" s="935"/>
      <c r="CH150" s="935"/>
      <c r="CI150" s="935"/>
      <c r="CJ150" s="935"/>
      <c r="CK150" s="935"/>
      <c r="CL150" s="935"/>
      <c r="CM150" s="935"/>
      <c r="CN150" s="935"/>
      <c r="CO150" s="935"/>
      <c r="CP150" s="935"/>
      <c r="CQ150" s="935"/>
      <c r="CR150" s="935"/>
      <c r="CS150" s="935"/>
      <c r="CT150" s="935"/>
      <c r="CU150" s="935"/>
      <c r="CV150" s="935"/>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row>
    <row r="151" spans="1:177" s="442" customFormat="1" ht="15" thickBot="1">
      <c r="A151" s="375">
        <f t="shared" si="48"/>
        <v>8</v>
      </c>
      <c r="B151" s="455">
        <v>44421</v>
      </c>
      <c r="C151" s="445" t="s">
        <v>2001</v>
      </c>
      <c r="D151" s="376" t="str">
        <f>IFERROR(VLOOKUP(E:E,'Item Data Support Sheet'!A:O,7,0),"")</f>
        <v>NIPPLE MOLDED</v>
      </c>
      <c r="E151" s="446" t="s">
        <v>72</v>
      </c>
      <c r="F151" s="447" t="s">
        <v>1678</v>
      </c>
      <c r="G151" s="376" t="s">
        <v>1691</v>
      </c>
      <c r="H151" s="602" t="str">
        <f>IFERROR(VLOOKUP(E:E,'Item Data Support Sheet'!A:O,2,0),"")</f>
        <v>NIPPLE S TYPE S SIZE INJECTION</v>
      </c>
      <c r="I151" s="496" t="s">
        <v>2411</v>
      </c>
      <c r="J151" s="447" t="s">
        <v>2810</v>
      </c>
      <c r="K151" s="438">
        <v>8</v>
      </c>
      <c r="L151" s="439">
        <v>4815</v>
      </c>
      <c r="M151" s="366">
        <f t="shared" si="64"/>
        <v>601.875</v>
      </c>
      <c r="N151" s="367">
        <f t="shared" si="47"/>
        <v>5612</v>
      </c>
      <c r="O151" s="61">
        <v>5500</v>
      </c>
      <c r="P151" s="368">
        <v>0</v>
      </c>
      <c r="Q151" s="369">
        <v>44</v>
      </c>
      <c r="R151" s="370">
        <v>0</v>
      </c>
      <c r="S151" s="370">
        <v>0</v>
      </c>
      <c r="T151" s="370">
        <v>68</v>
      </c>
      <c r="U151" s="370">
        <v>0</v>
      </c>
      <c r="V151" s="450">
        <v>1</v>
      </c>
      <c r="W151" s="453">
        <f t="shared" si="49"/>
        <v>5500</v>
      </c>
      <c r="X151" s="748">
        <f t="shared" si="50"/>
        <v>1.142263759086189</v>
      </c>
      <c r="Y151" s="451" t="str">
        <f>IFERROR(VLOOKUP(E:E,'Item Data Support Sheet'!A:J,6,0),0)</f>
        <v>Silicon</v>
      </c>
      <c r="Z151" s="428">
        <f>IFERROR(VLOOKUP(E:E,'Item Data Support Sheet'!A:O,4,0),0)</f>
        <v>6.8</v>
      </c>
      <c r="AA151" s="428">
        <f t="shared" si="51"/>
        <v>38.1616</v>
      </c>
      <c r="AB151" s="429">
        <f t="shared" si="52"/>
        <v>0.98004276550249458</v>
      </c>
      <c r="AC151" s="424">
        <f t="shared" si="53"/>
        <v>1.221264367816092E-2</v>
      </c>
      <c r="AD151" s="371">
        <f t="shared" si="54"/>
        <v>7.7793493635077791E-3</v>
      </c>
      <c r="AE151" s="748">
        <f t="shared" si="55"/>
        <v>0.98788310762651466</v>
      </c>
      <c r="AF151" s="417">
        <f t="shared" si="56"/>
        <v>0</v>
      </c>
      <c r="AG151" s="416">
        <f t="shared" si="57"/>
        <v>8</v>
      </c>
      <c r="AH151" s="372">
        <f t="shared" si="58"/>
        <v>1</v>
      </c>
      <c r="AI151" s="373">
        <f t="shared" si="59"/>
        <v>687.5</v>
      </c>
      <c r="AJ151" s="418">
        <f>VLOOKUP(D151,'Standard Cycle time'!C:D,2,0)</f>
        <v>5.25</v>
      </c>
      <c r="AK151" s="418">
        <f t="shared" si="60"/>
        <v>5.2363636363636363</v>
      </c>
      <c r="AL151" s="374">
        <f t="shared" si="61"/>
        <v>1.0026041666666667</v>
      </c>
      <c r="AM151" s="372">
        <f t="shared" si="62"/>
        <v>0.99045571988595882</v>
      </c>
      <c r="AN151" s="799">
        <v>2430</v>
      </c>
      <c r="AO151" s="761"/>
      <c r="AP151" s="440">
        <v>0</v>
      </c>
      <c r="AQ151" s="440">
        <v>0</v>
      </c>
      <c r="AR151" s="440">
        <v>0</v>
      </c>
      <c r="AS151" s="440">
        <v>0</v>
      </c>
      <c r="AT151" s="440">
        <v>0</v>
      </c>
      <c r="AU151" s="440">
        <v>0</v>
      </c>
      <c r="AV151" s="440">
        <v>0</v>
      </c>
      <c r="AW151" s="440">
        <v>0</v>
      </c>
      <c r="AX151" s="440">
        <v>0</v>
      </c>
      <c r="AY151" s="440">
        <v>0</v>
      </c>
      <c r="AZ151" s="440">
        <v>0</v>
      </c>
      <c r="BA151" s="440">
        <v>0</v>
      </c>
      <c r="BB151" s="440">
        <v>0</v>
      </c>
      <c r="BC151" s="440">
        <v>0</v>
      </c>
      <c r="BD151" s="440">
        <v>0</v>
      </c>
      <c r="BE151" s="440">
        <v>0</v>
      </c>
      <c r="BF151" s="440">
        <v>0</v>
      </c>
      <c r="BG151" s="440">
        <v>0</v>
      </c>
      <c r="BH151" s="440">
        <v>0</v>
      </c>
      <c r="BI151" s="440">
        <v>0</v>
      </c>
      <c r="BJ151" s="440">
        <v>0</v>
      </c>
      <c r="BK151" s="440">
        <v>0</v>
      </c>
      <c r="BL151" s="440">
        <v>0</v>
      </c>
      <c r="BM151" s="440">
        <v>0</v>
      </c>
      <c r="BN151" s="440">
        <v>0</v>
      </c>
      <c r="BO151" s="440">
        <v>0</v>
      </c>
      <c r="BP151" s="440">
        <v>0</v>
      </c>
      <c r="BQ151" s="440">
        <v>0</v>
      </c>
      <c r="BR151" s="415">
        <f t="shared" si="63"/>
        <v>0</v>
      </c>
      <c r="BS151" s="532">
        <f t="shared" si="46"/>
        <v>0</v>
      </c>
      <c r="BT151" s="935"/>
      <c r="BU151" s="935"/>
      <c r="BV151" s="935"/>
      <c r="BW151" s="935"/>
      <c r="BX151" s="935"/>
      <c r="BY151" s="935"/>
      <c r="BZ151" s="935"/>
      <c r="CA151" s="935"/>
      <c r="CB151" s="935"/>
      <c r="CC151" s="935"/>
      <c r="CD151" s="935"/>
      <c r="CE151" s="935"/>
      <c r="CF151" s="935"/>
      <c r="CG151" s="935"/>
      <c r="CH151" s="935"/>
      <c r="CI151" s="935"/>
      <c r="CJ151" s="935"/>
      <c r="CK151" s="935"/>
      <c r="CL151" s="935"/>
      <c r="CM151" s="935"/>
      <c r="CN151" s="935"/>
      <c r="CO151" s="935"/>
      <c r="CP151" s="935"/>
      <c r="CQ151" s="935"/>
      <c r="CR151" s="935"/>
      <c r="CS151" s="935"/>
      <c r="CT151" s="935"/>
      <c r="CU151" s="935"/>
      <c r="CV151" s="935"/>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row>
    <row r="152" spans="1:177" s="442" customFormat="1" ht="15" thickBot="1">
      <c r="A152" s="375">
        <f t="shared" si="48"/>
        <v>8</v>
      </c>
      <c r="B152" s="455">
        <v>44421</v>
      </c>
      <c r="C152" s="445" t="s">
        <v>2001</v>
      </c>
      <c r="D152" s="376" t="str">
        <f>IFERROR(VLOOKUP(E:E,'Item Data Support Sheet'!A:O,7,0),"")</f>
        <v>NIPPLE PUNCH</v>
      </c>
      <c r="E152" s="446" t="s">
        <v>80</v>
      </c>
      <c r="F152" s="490"/>
      <c r="G152" s="376" t="s">
        <v>1692</v>
      </c>
      <c r="H152" s="602" t="str">
        <f>IFERROR(VLOOKUP(E:E,'Item Data Support Sheet'!A:O,2,0),"")</f>
        <v>NIPPLE S TYPE S SIZE PUNCHED</v>
      </c>
      <c r="I152" s="496" t="s">
        <v>2412</v>
      </c>
      <c r="J152" s="447" t="s">
        <v>2810</v>
      </c>
      <c r="K152" s="438">
        <v>8</v>
      </c>
      <c r="L152" s="439">
        <v>7036</v>
      </c>
      <c r="M152" s="366">
        <f t="shared" si="64"/>
        <v>879.5</v>
      </c>
      <c r="N152" s="367">
        <f t="shared" si="47"/>
        <v>7300</v>
      </c>
      <c r="O152" s="61">
        <v>7300</v>
      </c>
      <c r="P152" s="368">
        <v>0</v>
      </c>
      <c r="Q152" s="369">
        <v>0</v>
      </c>
      <c r="R152" s="370">
        <v>0</v>
      </c>
      <c r="S152" s="370">
        <v>0</v>
      </c>
      <c r="T152" s="370">
        <v>0</v>
      </c>
      <c r="U152" s="370">
        <v>0</v>
      </c>
      <c r="V152" s="450">
        <v>1</v>
      </c>
      <c r="W152" s="453">
        <f t="shared" si="49"/>
        <v>7300</v>
      </c>
      <c r="X152" s="748">
        <f t="shared" si="50"/>
        <v>1.0375213189312109</v>
      </c>
      <c r="Y152" s="451" t="str">
        <f>IFERROR(VLOOKUP(E:E,'Item Data Support Sheet'!A:J,6,0),0)</f>
        <v>FO015</v>
      </c>
      <c r="Z152" s="428">
        <f>IFERROR(VLOOKUP(E:E,'Item Data Support Sheet'!A:O,4,0),0)</f>
        <v>0</v>
      </c>
      <c r="AA152" s="428">
        <f t="shared" si="51"/>
        <v>0</v>
      </c>
      <c r="AB152" s="429" t="str">
        <f t="shared" si="52"/>
        <v xml:space="preserve"> </v>
      </c>
      <c r="AC152" s="424">
        <f t="shared" si="53"/>
        <v>0</v>
      </c>
      <c r="AD152" s="371">
        <f t="shared" si="54"/>
        <v>0</v>
      </c>
      <c r="AE152" s="748">
        <f t="shared" si="55"/>
        <v>1</v>
      </c>
      <c r="AF152" s="417">
        <f t="shared" si="56"/>
        <v>0</v>
      </c>
      <c r="AG152" s="416">
        <f t="shared" si="57"/>
        <v>8</v>
      </c>
      <c r="AH152" s="372">
        <f t="shared" si="58"/>
        <v>1</v>
      </c>
      <c r="AI152" s="373">
        <f t="shared" si="59"/>
        <v>912.5</v>
      </c>
      <c r="AJ152" s="418">
        <f>VLOOKUP(D152,'Standard Cycle time'!C:D,2,0)</f>
        <v>3.5</v>
      </c>
      <c r="AK152" s="418">
        <f t="shared" si="60"/>
        <v>3.9452054794520546</v>
      </c>
      <c r="AL152" s="374">
        <f t="shared" si="61"/>
        <v>0.88715277777777779</v>
      </c>
      <c r="AM152" s="372">
        <f t="shared" si="62"/>
        <v>0.88715277777777779</v>
      </c>
      <c r="AN152" s="799" t="s">
        <v>2413</v>
      </c>
      <c r="AO152" s="929"/>
      <c r="AP152" s="440">
        <v>0</v>
      </c>
      <c r="AQ152" s="440">
        <v>0</v>
      </c>
      <c r="AR152" s="440">
        <v>0</v>
      </c>
      <c r="AS152" s="440">
        <v>0</v>
      </c>
      <c r="AT152" s="440">
        <v>0</v>
      </c>
      <c r="AU152" s="440">
        <v>0</v>
      </c>
      <c r="AV152" s="440">
        <v>0</v>
      </c>
      <c r="AW152" s="440">
        <v>0</v>
      </c>
      <c r="AX152" s="440">
        <v>0</v>
      </c>
      <c r="AY152" s="440">
        <v>0</v>
      </c>
      <c r="AZ152" s="440">
        <v>0</v>
      </c>
      <c r="BA152" s="440">
        <v>0</v>
      </c>
      <c r="BB152" s="440">
        <v>0</v>
      </c>
      <c r="BC152" s="440">
        <v>0</v>
      </c>
      <c r="BD152" s="440">
        <v>0</v>
      </c>
      <c r="BE152" s="440">
        <v>0</v>
      </c>
      <c r="BF152" s="440">
        <v>0</v>
      </c>
      <c r="BG152" s="440">
        <v>0</v>
      </c>
      <c r="BH152" s="440">
        <v>0</v>
      </c>
      <c r="BI152" s="440">
        <v>0</v>
      </c>
      <c r="BJ152" s="440">
        <v>0</v>
      </c>
      <c r="BK152" s="440">
        <v>0</v>
      </c>
      <c r="BL152" s="440">
        <v>0</v>
      </c>
      <c r="BM152" s="440">
        <v>0</v>
      </c>
      <c r="BN152" s="440">
        <v>0</v>
      </c>
      <c r="BO152" s="440">
        <v>0</v>
      </c>
      <c r="BP152" s="440">
        <v>0</v>
      </c>
      <c r="BQ152" s="440">
        <v>0</v>
      </c>
      <c r="BR152" s="415">
        <f t="shared" si="63"/>
        <v>0</v>
      </c>
      <c r="BS152" s="532">
        <f>SUM(AP152:BR152)/60</f>
        <v>0</v>
      </c>
      <c r="BT152" s="935"/>
      <c r="BU152" s="935"/>
      <c r="BV152" s="935"/>
      <c r="BW152" s="935"/>
      <c r="BX152" s="935"/>
      <c r="BY152" s="935"/>
      <c r="BZ152" s="935"/>
      <c r="CA152" s="935"/>
      <c r="CB152" s="935"/>
      <c r="CC152" s="935"/>
      <c r="CD152" s="935"/>
      <c r="CE152" s="935"/>
      <c r="CF152" s="935"/>
      <c r="CG152" s="935"/>
      <c r="CH152" s="935"/>
      <c r="CI152" s="935"/>
      <c r="CJ152" s="935"/>
      <c r="CK152" s="935"/>
      <c r="CL152" s="935"/>
      <c r="CM152" s="935"/>
      <c r="CN152" s="935"/>
      <c r="CO152" s="935"/>
      <c r="CP152" s="935"/>
      <c r="CQ152" s="935"/>
      <c r="CR152" s="935"/>
      <c r="CS152" s="935"/>
      <c r="CT152" s="935"/>
      <c r="CU152" s="935"/>
      <c r="CV152" s="935"/>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row>
    <row r="153" spans="1:177" s="441" customFormat="1" ht="15" thickBot="1">
      <c r="A153" s="375">
        <f t="shared" si="48"/>
        <v>8</v>
      </c>
      <c r="B153" s="455">
        <v>44421</v>
      </c>
      <c r="C153" s="445" t="s">
        <v>2053</v>
      </c>
      <c r="D153" s="376" t="str">
        <f>IFERROR(VLOOKUP(E:E,'Item Data Support Sheet'!A:O,7,0),"")</f>
        <v>NIPPLE MOLDED</v>
      </c>
      <c r="E153" s="446" t="s">
        <v>72</v>
      </c>
      <c r="F153" s="490" t="s">
        <v>1681</v>
      </c>
      <c r="G153" s="376" t="s">
        <v>1888</v>
      </c>
      <c r="H153" s="602" t="str">
        <f>IFERROR(VLOOKUP(E:E,'Item Data Support Sheet'!A:O,2,0),"")</f>
        <v>NIPPLE S TYPE S SIZE INJECTION</v>
      </c>
      <c r="I153" s="501" t="s">
        <v>2415</v>
      </c>
      <c r="J153" s="447" t="s">
        <v>2808</v>
      </c>
      <c r="K153" s="438">
        <v>8</v>
      </c>
      <c r="L153" s="499">
        <v>4815</v>
      </c>
      <c r="M153" s="366">
        <f t="shared" si="64"/>
        <v>601.875</v>
      </c>
      <c r="N153" s="367">
        <f t="shared" si="47"/>
        <v>4564</v>
      </c>
      <c r="O153" s="61">
        <v>4500</v>
      </c>
      <c r="P153" s="368">
        <v>0.39</v>
      </c>
      <c r="Q153" s="369">
        <v>16</v>
      </c>
      <c r="R153" s="370">
        <v>0</v>
      </c>
      <c r="S153" s="370">
        <v>0</v>
      </c>
      <c r="T153" s="370">
        <v>40</v>
      </c>
      <c r="U153" s="370">
        <v>8</v>
      </c>
      <c r="V153" s="450">
        <v>1</v>
      </c>
      <c r="W153" s="453">
        <f t="shared" si="49"/>
        <v>4500</v>
      </c>
      <c r="X153" s="748">
        <f t="shared" si="50"/>
        <v>0.93457943925233644</v>
      </c>
      <c r="Y153" s="451" t="str">
        <f>IFERROR(VLOOKUP(E:E,'Item Data Support Sheet'!A:J,6,0),0)</f>
        <v>Silicon</v>
      </c>
      <c r="Z153" s="428">
        <f>IFERROR(VLOOKUP(E:E,'Item Data Support Sheet'!A:O,4,0),0)</f>
        <v>6.8</v>
      </c>
      <c r="AA153" s="428">
        <f t="shared" si="51"/>
        <v>31.4252</v>
      </c>
      <c r="AB153" s="429">
        <f t="shared" si="52"/>
        <v>0.97374081946972491</v>
      </c>
      <c r="AC153" s="424">
        <f t="shared" si="53"/>
        <v>8.8105726872246704E-3</v>
      </c>
      <c r="AD153" s="371">
        <f t="shared" si="54"/>
        <v>3.4934497816593887E-3</v>
      </c>
      <c r="AE153" s="748">
        <f t="shared" si="55"/>
        <v>0.99123575810692377</v>
      </c>
      <c r="AF153" s="417">
        <f t="shared" si="56"/>
        <v>1.3333333333333333</v>
      </c>
      <c r="AG153" s="416">
        <f t="shared" si="57"/>
        <v>6.666666666666667</v>
      </c>
      <c r="AH153" s="372">
        <f t="shared" si="58"/>
        <v>0.83333333333333337</v>
      </c>
      <c r="AI153" s="373">
        <f t="shared" si="59"/>
        <v>562.5</v>
      </c>
      <c r="AJ153" s="418">
        <f>VLOOKUP(D153,'Standard Cycle time'!C:D,2,0)</f>
        <v>5.25</v>
      </c>
      <c r="AK153" s="418">
        <f t="shared" si="60"/>
        <v>5.333333333333333</v>
      </c>
      <c r="AL153" s="374">
        <f t="shared" si="61"/>
        <v>0.984375</v>
      </c>
      <c r="AM153" s="372">
        <f t="shared" si="62"/>
        <v>0.8131230828220859</v>
      </c>
      <c r="AN153" s="799" t="s">
        <v>2417</v>
      </c>
      <c r="AO153" s="761"/>
      <c r="AP153" s="440">
        <v>0</v>
      </c>
      <c r="AQ153" s="440">
        <v>0</v>
      </c>
      <c r="AR153" s="440">
        <v>0</v>
      </c>
      <c r="AS153" s="440">
        <v>0</v>
      </c>
      <c r="AT153" s="440">
        <v>0</v>
      </c>
      <c r="AU153" s="440">
        <v>0</v>
      </c>
      <c r="AV153" s="440">
        <v>0</v>
      </c>
      <c r="AW153" s="440">
        <v>0</v>
      </c>
      <c r="AX153" s="440">
        <v>0</v>
      </c>
      <c r="AY153" s="440">
        <v>0</v>
      </c>
      <c r="AZ153" s="440">
        <v>0</v>
      </c>
      <c r="BA153" s="440">
        <v>0</v>
      </c>
      <c r="BB153" s="440">
        <v>80</v>
      </c>
      <c r="BC153" s="440">
        <v>0</v>
      </c>
      <c r="BD153" s="440">
        <v>0</v>
      </c>
      <c r="BE153" s="440">
        <v>0</v>
      </c>
      <c r="BF153" s="440">
        <v>0</v>
      </c>
      <c r="BG153" s="440">
        <v>0</v>
      </c>
      <c r="BH153" s="440">
        <v>0</v>
      </c>
      <c r="BI153" s="440">
        <v>0</v>
      </c>
      <c r="BJ153" s="440">
        <v>0</v>
      </c>
      <c r="BK153" s="440">
        <v>0</v>
      </c>
      <c r="BL153" s="440">
        <v>0</v>
      </c>
      <c r="BM153" s="440">
        <v>0</v>
      </c>
      <c r="BN153" s="440">
        <v>0</v>
      </c>
      <c r="BO153" s="440">
        <v>0</v>
      </c>
      <c r="BP153" s="440">
        <v>0</v>
      </c>
      <c r="BQ153" s="440">
        <v>0</v>
      </c>
      <c r="BR153" s="415">
        <f t="shared" si="63"/>
        <v>1.3333333333333333</v>
      </c>
      <c r="BS153" s="532">
        <f>SUM(AP153:BR153)/60</f>
        <v>1.3555555555555554</v>
      </c>
      <c r="BT153" s="935"/>
      <c r="BU153" s="935"/>
      <c r="BV153" s="935"/>
      <c r="BW153" s="935"/>
      <c r="BX153" s="935"/>
      <c r="BY153" s="935"/>
      <c r="BZ153" s="935"/>
      <c r="CA153" s="935"/>
      <c r="CB153" s="935"/>
      <c r="CC153" s="935"/>
      <c r="CD153" s="935"/>
      <c r="CE153" s="935"/>
      <c r="CF153" s="935"/>
      <c r="CG153" s="935"/>
      <c r="CH153" s="935"/>
      <c r="CI153" s="935"/>
      <c r="CJ153" s="935"/>
      <c r="CK153" s="935"/>
      <c r="CL153" s="935"/>
      <c r="CM153" s="935"/>
      <c r="CN153" s="935"/>
      <c r="CO153" s="935"/>
      <c r="CP153" s="935"/>
      <c r="CQ153" s="935"/>
      <c r="CR153" s="935"/>
      <c r="CS153" s="935"/>
      <c r="CT153" s="935"/>
      <c r="CU153" s="935"/>
      <c r="CV153" s="935"/>
    </row>
    <row r="154" spans="1:177" s="442" customFormat="1">
      <c r="A154" s="375">
        <f t="shared" si="48"/>
        <v>8</v>
      </c>
      <c r="B154" s="455">
        <v>44421</v>
      </c>
      <c r="C154" s="445" t="s">
        <v>2053</v>
      </c>
      <c r="D154" s="376" t="str">
        <f>IFERROR(VLOOKUP(E:E,'Item Data Support Sheet'!A:O,7,0),"")</f>
        <v>NIPPLE POSTCURE</v>
      </c>
      <c r="E154" s="446" t="s">
        <v>76</v>
      </c>
      <c r="F154" s="490"/>
      <c r="G154" s="376" t="s">
        <v>1705</v>
      </c>
      <c r="H154" s="602" t="str">
        <f>IFERROR(VLOOKUP(E:E,'Item Data Support Sheet'!A:O,2,0),"")</f>
        <v>NIPPLE S TYPE S SIZE POSTCURED</v>
      </c>
      <c r="I154" s="496" t="s">
        <v>2416</v>
      </c>
      <c r="J154" s="447" t="s">
        <v>2808</v>
      </c>
      <c r="K154" s="438">
        <v>8</v>
      </c>
      <c r="L154" s="492">
        <v>11000</v>
      </c>
      <c r="M154" s="366">
        <f t="shared" si="64"/>
        <v>1375</v>
      </c>
      <c r="N154" s="367">
        <f t="shared" si="47"/>
        <v>11000</v>
      </c>
      <c r="O154" s="61">
        <f>4000+3500+3500</f>
        <v>11000</v>
      </c>
      <c r="P154" s="368">
        <v>0</v>
      </c>
      <c r="Q154" s="369">
        <v>0</v>
      </c>
      <c r="R154" s="370">
        <v>0</v>
      </c>
      <c r="S154" s="370">
        <v>0</v>
      </c>
      <c r="T154" s="370">
        <v>0</v>
      </c>
      <c r="U154" s="370">
        <v>0</v>
      </c>
      <c r="V154" s="450">
        <v>1</v>
      </c>
      <c r="W154" s="453">
        <f t="shared" si="49"/>
        <v>11000</v>
      </c>
      <c r="X154" s="748">
        <f t="shared" si="50"/>
        <v>1</v>
      </c>
      <c r="Y154" s="451" t="str">
        <f>IFERROR(VLOOKUP(E:E,'Item Data Support Sheet'!A:J,6,0),0)</f>
        <v>FO011</v>
      </c>
      <c r="Z154" s="428">
        <f>IFERROR(VLOOKUP(E:E,'Item Data Support Sheet'!A:O,4,0),0)</f>
        <v>0</v>
      </c>
      <c r="AA154" s="428">
        <f t="shared" si="51"/>
        <v>0</v>
      </c>
      <c r="AB154" s="429" t="str">
        <f t="shared" si="52"/>
        <v xml:space="preserve"> </v>
      </c>
      <c r="AC154" s="424">
        <f t="shared" si="53"/>
        <v>0</v>
      </c>
      <c r="AD154" s="371">
        <f t="shared" si="54"/>
        <v>0</v>
      </c>
      <c r="AE154" s="748">
        <f t="shared" si="55"/>
        <v>1</v>
      </c>
      <c r="AF154" s="417">
        <f t="shared" si="56"/>
        <v>0.66666666666666663</v>
      </c>
      <c r="AG154" s="416">
        <f t="shared" si="57"/>
        <v>7.333333333333333</v>
      </c>
      <c r="AH154" s="372">
        <f t="shared" si="58"/>
        <v>0.91666666666666663</v>
      </c>
      <c r="AI154" s="373">
        <f t="shared" si="59"/>
        <v>1375</v>
      </c>
      <c r="AJ154" s="418">
        <f>VLOOKUP(D154,'Standard Cycle time'!C:D,2,0)</f>
        <v>2.2999999999999998</v>
      </c>
      <c r="AK154" s="418">
        <f t="shared" si="60"/>
        <v>2.4</v>
      </c>
      <c r="AL154" s="374">
        <f t="shared" si="61"/>
        <v>0.95833333333333326</v>
      </c>
      <c r="AM154" s="372">
        <f t="shared" si="62"/>
        <v>0.8784722222222221</v>
      </c>
      <c r="AN154" s="799" t="s">
        <v>2419</v>
      </c>
      <c r="AO154" s="761"/>
      <c r="AP154" s="440">
        <v>40</v>
      </c>
      <c r="AQ154" s="440">
        <v>0</v>
      </c>
      <c r="AR154" s="440">
        <v>0</v>
      </c>
      <c r="AS154" s="440">
        <v>0</v>
      </c>
      <c r="AT154" s="440">
        <v>0</v>
      </c>
      <c r="AU154" s="440">
        <v>0</v>
      </c>
      <c r="AV154" s="440">
        <v>0</v>
      </c>
      <c r="AW154" s="440">
        <v>0</v>
      </c>
      <c r="AX154" s="440">
        <v>0</v>
      </c>
      <c r="AY154" s="440">
        <v>0</v>
      </c>
      <c r="AZ154" s="440">
        <v>0</v>
      </c>
      <c r="BA154" s="440">
        <v>0</v>
      </c>
      <c r="BB154" s="440">
        <v>0</v>
      </c>
      <c r="BC154" s="440">
        <v>0</v>
      </c>
      <c r="BD154" s="440">
        <v>0</v>
      </c>
      <c r="BE154" s="440">
        <v>0</v>
      </c>
      <c r="BF154" s="440">
        <v>0</v>
      </c>
      <c r="BG154" s="440">
        <v>0</v>
      </c>
      <c r="BH154" s="440">
        <v>0</v>
      </c>
      <c r="BI154" s="440">
        <v>0</v>
      </c>
      <c r="BJ154" s="440">
        <v>0</v>
      </c>
      <c r="BK154" s="440">
        <v>0</v>
      </c>
      <c r="BL154" s="440">
        <v>0</v>
      </c>
      <c r="BM154" s="440">
        <v>0</v>
      </c>
      <c r="BN154" s="440">
        <v>0</v>
      </c>
      <c r="BO154" s="440">
        <v>0</v>
      </c>
      <c r="BP154" s="440">
        <v>0</v>
      </c>
      <c r="BQ154" s="440">
        <v>0</v>
      </c>
      <c r="BR154" s="415">
        <f t="shared" si="63"/>
        <v>0.66666666666666663</v>
      </c>
      <c r="BS154" s="532">
        <f>SUM(AP154:BR154)/60</f>
        <v>0.6777777777777777</v>
      </c>
      <c r="BT154" s="935"/>
      <c r="BU154" s="935"/>
      <c r="BV154" s="935"/>
      <c r="BW154" s="935"/>
      <c r="BX154" s="935"/>
      <c r="BY154" s="935"/>
      <c r="BZ154" s="935"/>
      <c r="CA154" s="935"/>
      <c r="CB154" s="935"/>
      <c r="CC154" s="935"/>
      <c r="CD154" s="935"/>
      <c r="CE154" s="935"/>
      <c r="CF154" s="935"/>
      <c r="CG154" s="935"/>
      <c r="CH154" s="935"/>
      <c r="CI154" s="935"/>
      <c r="CJ154" s="935"/>
      <c r="CK154" s="935"/>
      <c r="CL154" s="935"/>
      <c r="CM154" s="935"/>
      <c r="CN154" s="935"/>
      <c r="CO154" s="935"/>
      <c r="CP154" s="935"/>
      <c r="CQ154" s="935"/>
      <c r="CR154" s="935"/>
      <c r="CS154" s="935"/>
      <c r="CT154" s="935"/>
      <c r="CU154" s="935"/>
      <c r="CV154" s="935"/>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row>
    <row r="155" spans="1:177" s="442" customFormat="1">
      <c r="A155" s="375">
        <f t="shared" si="48"/>
        <v>8</v>
      </c>
      <c r="B155" s="455">
        <v>44421</v>
      </c>
      <c r="C155" s="445" t="s">
        <v>2053</v>
      </c>
      <c r="D155" s="376" t="str">
        <f>IFERROR(VLOOKUP(E:E,'Item Data Support Sheet'!A:O,7,0),"")</f>
        <v>BOTTLE MOLDED</v>
      </c>
      <c r="E155" s="446" t="s">
        <v>14</v>
      </c>
      <c r="F155" s="490" t="s">
        <v>1681</v>
      </c>
      <c r="G155" s="376" t="s">
        <v>1888</v>
      </c>
      <c r="H155" s="602" t="str">
        <f>IFERROR(VLOOKUP(E:E,'Item Data Support Sheet'!A:O,2,0),"")</f>
        <v>KPP 240 ML BOTTLE MOLDED</v>
      </c>
      <c r="I155" s="496" t="s">
        <v>2414</v>
      </c>
      <c r="J155" s="447" t="s">
        <v>2808</v>
      </c>
      <c r="K155" s="438">
        <v>8</v>
      </c>
      <c r="L155" s="492">
        <v>2574</v>
      </c>
      <c r="M155" s="366">
        <f t="shared" si="64"/>
        <v>321.75</v>
      </c>
      <c r="N155" s="367">
        <f t="shared" si="47"/>
        <v>3036</v>
      </c>
      <c r="O155" s="61">
        <f>108*27</f>
        <v>2916</v>
      </c>
      <c r="P155" s="368">
        <v>0</v>
      </c>
      <c r="Q155" s="369">
        <v>40</v>
      </c>
      <c r="R155" s="370">
        <v>0</v>
      </c>
      <c r="S155" s="370">
        <v>0</v>
      </c>
      <c r="T155" s="370">
        <v>72</v>
      </c>
      <c r="U155" s="370">
        <v>8</v>
      </c>
      <c r="V155" s="450">
        <v>1</v>
      </c>
      <c r="W155" s="453">
        <f t="shared" si="49"/>
        <v>2916</v>
      </c>
      <c r="X155" s="748">
        <f t="shared" si="50"/>
        <v>1.1328671328671329</v>
      </c>
      <c r="Y155" s="451" t="str">
        <f>IFERROR(VLOOKUP(E:E,'Item Data Support Sheet'!A:J,6,0),0)</f>
        <v>HMC</v>
      </c>
      <c r="Z155" s="428">
        <f>IFERROR(VLOOKUP(E:E,'Item Data Support Sheet'!A:O,4,0),0)</f>
        <v>32.1</v>
      </c>
      <c r="AA155" s="428">
        <f t="shared" si="51"/>
        <v>97.455600000000004</v>
      </c>
      <c r="AB155" s="429">
        <f t="shared" si="52"/>
        <v>0.96047430830039537</v>
      </c>
      <c r="AC155" s="424">
        <f t="shared" si="53"/>
        <v>2.4096385542168676E-2</v>
      </c>
      <c r="AD155" s="371">
        <f t="shared" si="54"/>
        <v>1.3003901170351105E-2</v>
      </c>
      <c r="AE155" s="748">
        <f t="shared" si="55"/>
        <v>0.97628458498023718</v>
      </c>
      <c r="AF155" s="417">
        <f t="shared" si="56"/>
        <v>0.66666666666666663</v>
      </c>
      <c r="AG155" s="416">
        <f t="shared" si="57"/>
        <v>7.333333333333333</v>
      </c>
      <c r="AH155" s="372">
        <f t="shared" si="58"/>
        <v>0.91666666666666663</v>
      </c>
      <c r="AI155" s="373">
        <f t="shared" si="59"/>
        <v>364.5</v>
      </c>
      <c r="AJ155" s="418">
        <f>VLOOKUP(D155,'Standard Cycle time'!C:D,2,0)</f>
        <v>9</v>
      </c>
      <c r="AK155" s="418">
        <f t="shared" si="60"/>
        <v>9.0534979423868318</v>
      </c>
      <c r="AL155" s="374">
        <f t="shared" si="61"/>
        <v>0.99409090909090903</v>
      </c>
      <c r="AM155" s="372">
        <f t="shared" si="62"/>
        <v>0.88963932806324098</v>
      </c>
      <c r="AN155" s="799" t="s">
        <v>2418</v>
      </c>
      <c r="AO155" s="761"/>
      <c r="AP155" s="440">
        <v>0</v>
      </c>
      <c r="AQ155" s="440">
        <v>0</v>
      </c>
      <c r="AR155" s="440">
        <v>0</v>
      </c>
      <c r="AS155" s="440">
        <v>0</v>
      </c>
      <c r="AT155" s="440">
        <v>0</v>
      </c>
      <c r="AU155" s="440">
        <v>0</v>
      </c>
      <c r="AV155" s="440">
        <v>0</v>
      </c>
      <c r="AW155" s="440">
        <v>0</v>
      </c>
      <c r="AX155" s="440">
        <v>0</v>
      </c>
      <c r="AY155" s="440">
        <v>0</v>
      </c>
      <c r="AZ155" s="440">
        <v>0</v>
      </c>
      <c r="BA155" s="440">
        <v>0</v>
      </c>
      <c r="BB155" s="440">
        <v>40</v>
      </c>
      <c r="BC155" s="440">
        <v>0</v>
      </c>
      <c r="BD155" s="440">
        <v>0</v>
      </c>
      <c r="BE155" s="440">
        <v>0</v>
      </c>
      <c r="BF155" s="440">
        <v>0</v>
      </c>
      <c r="BG155" s="440">
        <v>0</v>
      </c>
      <c r="BH155" s="440">
        <v>0</v>
      </c>
      <c r="BI155" s="440">
        <v>0</v>
      </c>
      <c r="BJ155" s="440">
        <v>0</v>
      </c>
      <c r="BK155" s="440">
        <v>0</v>
      </c>
      <c r="BL155" s="440">
        <v>0</v>
      </c>
      <c r="BM155" s="440">
        <v>0</v>
      </c>
      <c r="BN155" s="440">
        <v>0</v>
      </c>
      <c r="BO155" s="440">
        <v>0</v>
      </c>
      <c r="BP155" s="440">
        <v>0</v>
      </c>
      <c r="BQ155" s="440">
        <v>0</v>
      </c>
      <c r="BR155" s="415">
        <f t="shared" si="63"/>
        <v>0.66666666666666663</v>
      </c>
      <c r="BS155" s="415">
        <f t="shared" ref="BS155:BS176" si="65">SUM(AP155:BR155)/60</f>
        <v>0.6777777777777777</v>
      </c>
      <c r="BT155" s="935"/>
      <c r="BU155" s="935"/>
      <c r="BV155" s="935"/>
      <c r="BW155" s="935"/>
      <c r="BX155" s="935"/>
      <c r="BY155" s="935"/>
      <c r="BZ155" s="935"/>
      <c r="CA155" s="935"/>
      <c r="CB155" s="935"/>
      <c r="CC155" s="935"/>
      <c r="CD155" s="935"/>
      <c r="CE155" s="935"/>
      <c r="CF155" s="935"/>
      <c r="CG155" s="935"/>
      <c r="CH155" s="935"/>
      <c r="CI155" s="935"/>
      <c r="CJ155" s="935"/>
      <c r="CK155" s="935"/>
      <c r="CL155" s="935"/>
      <c r="CM155" s="935"/>
      <c r="CN155" s="935"/>
      <c r="CO155" s="935"/>
      <c r="CP155" s="935"/>
      <c r="CQ155" s="935"/>
      <c r="CR155" s="935"/>
      <c r="CS155" s="935"/>
      <c r="CT155" s="935"/>
      <c r="CU155" s="935"/>
      <c r="CV155" s="935"/>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row>
    <row r="156" spans="1:177" s="442" customFormat="1" ht="43.5">
      <c r="A156" s="375">
        <f t="shared" si="48"/>
        <v>8</v>
      </c>
      <c r="B156" s="455">
        <v>44421</v>
      </c>
      <c r="C156" s="445" t="s">
        <v>2053</v>
      </c>
      <c r="D156" s="376" t="str">
        <f>IFERROR(VLOOKUP(E:E,'Item Data Support Sheet'!A:O,7,0),"")</f>
        <v>CAP MOLDED</v>
      </c>
      <c r="E156" s="446" t="s">
        <v>2109</v>
      </c>
      <c r="F156" s="490"/>
      <c r="G156" s="376" t="s">
        <v>2220</v>
      </c>
      <c r="H156" s="602" t="str">
        <f>IFERROR(VLOOKUP(E:E,'Item Data Support Sheet'!A:O,2,0),"")</f>
        <v>CAP S TYPE MOLDED PALE BLUE</v>
      </c>
      <c r="I156" s="496" t="s">
        <v>2395</v>
      </c>
      <c r="J156" s="447" t="s">
        <v>2808</v>
      </c>
      <c r="K156" s="438">
        <v>8</v>
      </c>
      <c r="L156" s="492">
        <v>4137</v>
      </c>
      <c r="M156" s="366">
        <f t="shared" si="64"/>
        <v>517.125</v>
      </c>
      <c r="N156" s="367">
        <f t="shared" si="47"/>
        <v>4014</v>
      </c>
      <c r="O156" s="61">
        <v>4000</v>
      </c>
      <c r="P156" s="368">
        <v>0.57999999999999996</v>
      </c>
      <c r="Q156" s="369">
        <v>0</v>
      </c>
      <c r="R156" s="370">
        <v>0</v>
      </c>
      <c r="S156" s="370">
        <v>0</v>
      </c>
      <c r="T156" s="370">
        <v>6</v>
      </c>
      <c r="U156" s="370">
        <v>8</v>
      </c>
      <c r="V156" s="450">
        <v>1</v>
      </c>
      <c r="W156" s="453">
        <f t="shared" si="49"/>
        <v>4000</v>
      </c>
      <c r="X156" s="748">
        <f t="shared" si="50"/>
        <v>0.96688421561518012</v>
      </c>
      <c r="Y156" s="451" t="str">
        <f>IFERROR(VLOOKUP(E:E,'Item Data Support Sheet'!A:J,6,0),0)</f>
        <v>RM000115</v>
      </c>
      <c r="Z156" s="428">
        <f>IFERROR(VLOOKUP(E:E,'Item Data Support Sheet'!A:O,4,0),0)</f>
        <v>7.3</v>
      </c>
      <c r="AA156" s="428">
        <f t="shared" si="51"/>
        <v>29.882199999999997</v>
      </c>
      <c r="AB156" s="429">
        <f t="shared" si="52"/>
        <v>0.97717035559630827</v>
      </c>
      <c r="AC156" s="424">
        <f t="shared" si="53"/>
        <v>1.4977533699450823E-3</v>
      </c>
      <c r="AD156" s="371">
        <f t="shared" si="54"/>
        <v>0</v>
      </c>
      <c r="AE156" s="748">
        <f t="shared" si="55"/>
        <v>0.99850523168908822</v>
      </c>
      <c r="AF156" s="417">
        <f t="shared" si="56"/>
        <v>1.25</v>
      </c>
      <c r="AG156" s="416">
        <f t="shared" si="57"/>
        <v>6.75</v>
      </c>
      <c r="AH156" s="372">
        <f t="shared" si="58"/>
        <v>0.84375</v>
      </c>
      <c r="AI156" s="373">
        <f t="shared" si="59"/>
        <v>500</v>
      </c>
      <c r="AJ156" s="418">
        <f>VLOOKUP(D156,'Standard Cycle time'!C:D,2,0)</f>
        <v>6</v>
      </c>
      <c r="AK156" s="418">
        <f t="shared" si="60"/>
        <v>6.0750000000000002</v>
      </c>
      <c r="AL156" s="374">
        <f t="shared" si="61"/>
        <v>0.98765432098765427</v>
      </c>
      <c r="AM156" s="372">
        <f t="shared" si="62"/>
        <v>0.83208769307424013</v>
      </c>
      <c r="AN156" s="799">
        <v>2692</v>
      </c>
      <c r="AO156" s="827" t="s">
        <v>2622</v>
      </c>
      <c r="AP156" s="440">
        <v>0</v>
      </c>
      <c r="AQ156" s="440">
        <v>45</v>
      </c>
      <c r="AR156" s="440">
        <v>0</v>
      </c>
      <c r="AS156" s="440">
        <v>0</v>
      </c>
      <c r="AT156" s="440">
        <v>0</v>
      </c>
      <c r="AU156" s="440">
        <v>0</v>
      </c>
      <c r="AV156" s="440">
        <v>0</v>
      </c>
      <c r="AW156" s="440">
        <v>0</v>
      </c>
      <c r="AX156" s="440">
        <v>0</v>
      </c>
      <c r="AY156" s="440">
        <v>0</v>
      </c>
      <c r="AZ156" s="440">
        <v>0</v>
      </c>
      <c r="BA156" s="440">
        <v>0</v>
      </c>
      <c r="BB156" s="440">
        <v>30</v>
      </c>
      <c r="BC156" s="440">
        <v>0</v>
      </c>
      <c r="BD156" s="440">
        <v>0</v>
      </c>
      <c r="BE156" s="440">
        <v>0</v>
      </c>
      <c r="BF156" s="440">
        <v>0</v>
      </c>
      <c r="BG156" s="440">
        <v>0</v>
      </c>
      <c r="BH156" s="440">
        <v>0</v>
      </c>
      <c r="BI156" s="440">
        <v>0</v>
      </c>
      <c r="BJ156" s="440">
        <v>0</v>
      </c>
      <c r="BK156" s="440">
        <v>0</v>
      </c>
      <c r="BL156" s="440">
        <v>0</v>
      </c>
      <c r="BM156" s="440">
        <v>0</v>
      </c>
      <c r="BN156" s="440">
        <v>0</v>
      </c>
      <c r="BO156" s="440">
        <v>0</v>
      </c>
      <c r="BP156" s="440">
        <v>0</v>
      </c>
      <c r="BQ156" s="440">
        <v>0</v>
      </c>
      <c r="BR156" s="415">
        <f t="shared" si="63"/>
        <v>1.25</v>
      </c>
      <c r="BS156" s="415">
        <f t="shared" si="65"/>
        <v>1.2708333333333333</v>
      </c>
      <c r="BT156" s="935"/>
      <c r="BU156" s="935"/>
      <c r="BV156" s="935"/>
      <c r="BW156" s="935"/>
      <c r="BX156" s="935"/>
      <c r="BY156" s="935"/>
      <c r="BZ156" s="935"/>
      <c r="CA156" s="935"/>
      <c r="CB156" s="935"/>
      <c r="CC156" s="935"/>
      <c r="CD156" s="935"/>
      <c r="CE156" s="935"/>
      <c r="CF156" s="935"/>
      <c r="CG156" s="935"/>
      <c r="CH156" s="935"/>
      <c r="CI156" s="935"/>
      <c r="CJ156" s="935"/>
      <c r="CK156" s="935"/>
      <c r="CL156" s="935"/>
      <c r="CM156" s="935"/>
      <c r="CN156" s="935"/>
      <c r="CO156" s="935"/>
      <c r="CP156" s="935"/>
      <c r="CQ156" s="935"/>
      <c r="CR156" s="935"/>
      <c r="CS156" s="935"/>
      <c r="CT156" s="935"/>
      <c r="CU156" s="935"/>
      <c r="CV156" s="935"/>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row>
    <row r="157" spans="1:177" s="442" customFormat="1">
      <c r="A157" s="375">
        <f t="shared" si="48"/>
        <v>8</v>
      </c>
      <c r="B157" s="455">
        <v>44425</v>
      </c>
      <c r="C157" s="445" t="s">
        <v>1980</v>
      </c>
      <c r="D157" s="376" t="str">
        <f>IFERROR(VLOOKUP(E:E,'Item Data Support Sheet'!A:O,7,0),"")</f>
        <v>NIPPLE MOLDED</v>
      </c>
      <c r="E157" s="446" t="s">
        <v>72</v>
      </c>
      <c r="F157" s="447" t="s">
        <v>1678</v>
      </c>
      <c r="G157" s="376" t="s">
        <v>1691</v>
      </c>
      <c r="H157" s="602" t="str">
        <f>IFERROR(VLOOKUP(E:E,'Item Data Support Sheet'!A:O,2,0),"")</f>
        <v>NIPPLE S TYPE S SIZE INJECTION</v>
      </c>
      <c r="I157" s="496" t="s">
        <v>2420</v>
      </c>
      <c r="J157" s="447" t="s">
        <v>2809</v>
      </c>
      <c r="K157" s="438">
        <v>6</v>
      </c>
      <c r="L157" s="492">
        <v>3600</v>
      </c>
      <c r="M157" s="366">
        <f t="shared" si="64"/>
        <v>600</v>
      </c>
      <c r="N157" s="367">
        <f t="shared" si="47"/>
        <v>4160</v>
      </c>
      <c r="O157" s="61">
        <v>4000</v>
      </c>
      <c r="P157" s="368">
        <v>1.147</v>
      </c>
      <c r="Q157" s="369">
        <v>90</v>
      </c>
      <c r="R157" s="370">
        <v>0</v>
      </c>
      <c r="S157" s="370">
        <v>0</v>
      </c>
      <c r="T157" s="370">
        <v>62</v>
      </c>
      <c r="U157" s="370">
        <v>8</v>
      </c>
      <c r="V157" s="450">
        <v>1</v>
      </c>
      <c r="W157" s="453">
        <f t="shared" si="49"/>
        <v>4000</v>
      </c>
      <c r="X157" s="748">
        <f t="shared" si="50"/>
        <v>1.1111111111111112</v>
      </c>
      <c r="Y157" s="451" t="str">
        <f>IFERROR(VLOOKUP(E:E,'Item Data Support Sheet'!A:J,6,0),0)</f>
        <v>Silicon</v>
      </c>
      <c r="Z157" s="428">
        <f>IFERROR(VLOOKUP(E:E,'Item Data Support Sheet'!A:O,4,0),0)</f>
        <v>6.8</v>
      </c>
      <c r="AA157" s="428">
        <f t="shared" si="51"/>
        <v>29.434999999999995</v>
      </c>
      <c r="AB157" s="429">
        <f t="shared" si="52"/>
        <v>0.92406998471207757</v>
      </c>
      <c r="AC157" s="424">
        <f t="shared" si="53"/>
        <v>1.5263417035942885E-2</v>
      </c>
      <c r="AD157" s="371">
        <f t="shared" si="54"/>
        <v>2.1176470588235293E-2</v>
      </c>
      <c r="AE157" s="748">
        <f t="shared" si="55"/>
        <v>0.9850961538461539</v>
      </c>
      <c r="AF157" s="417">
        <f t="shared" si="56"/>
        <v>0</v>
      </c>
      <c r="AG157" s="416">
        <f t="shared" si="57"/>
        <v>6</v>
      </c>
      <c r="AH157" s="372">
        <f t="shared" si="58"/>
        <v>1</v>
      </c>
      <c r="AI157" s="373">
        <f t="shared" si="59"/>
        <v>666.66666666666663</v>
      </c>
      <c r="AJ157" s="418">
        <f>VLOOKUP(D157,'Standard Cycle time'!C:D,2,0)</f>
        <v>5.25</v>
      </c>
      <c r="AK157" s="418">
        <f t="shared" si="60"/>
        <v>5.4</v>
      </c>
      <c r="AL157" s="374">
        <f t="shared" si="61"/>
        <v>0.97222222222222221</v>
      </c>
      <c r="AM157" s="372">
        <f t="shared" si="62"/>
        <v>0.95773237179487181</v>
      </c>
      <c r="AN157" s="799" t="s">
        <v>2424</v>
      </c>
      <c r="AO157" s="761"/>
      <c r="AP157" s="440">
        <v>0</v>
      </c>
      <c r="AQ157" s="440">
        <v>0</v>
      </c>
      <c r="AR157" s="440">
        <v>0</v>
      </c>
      <c r="AS157" s="440">
        <v>0</v>
      </c>
      <c r="AT157" s="440">
        <v>0</v>
      </c>
      <c r="AU157" s="440">
        <v>0</v>
      </c>
      <c r="AV157" s="440">
        <v>0</v>
      </c>
      <c r="AW157" s="440">
        <v>0</v>
      </c>
      <c r="AX157" s="440">
        <v>0</v>
      </c>
      <c r="AY157" s="440">
        <v>0</v>
      </c>
      <c r="AZ157" s="440">
        <v>0</v>
      </c>
      <c r="BA157" s="440">
        <v>0</v>
      </c>
      <c r="BB157" s="440">
        <v>0</v>
      </c>
      <c r="BC157" s="440">
        <v>0</v>
      </c>
      <c r="BD157" s="440">
        <v>0</v>
      </c>
      <c r="BE157" s="440">
        <v>0</v>
      </c>
      <c r="BF157" s="440">
        <v>0</v>
      </c>
      <c r="BG157" s="440">
        <v>0</v>
      </c>
      <c r="BH157" s="440">
        <v>0</v>
      </c>
      <c r="BI157" s="440">
        <v>0</v>
      </c>
      <c r="BJ157" s="440">
        <v>0</v>
      </c>
      <c r="BK157" s="440">
        <v>0</v>
      </c>
      <c r="BL157" s="440">
        <v>0</v>
      </c>
      <c r="BM157" s="440">
        <v>0</v>
      </c>
      <c r="BN157" s="440">
        <v>0</v>
      </c>
      <c r="BO157" s="440">
        <v>0</v>
      </c>
      <c r="BP157" s="440">
        <v>0</v>
      </c>
      <c r="BQ157" s="440">
        <v>0</v>
      </c>
      <c r="BR157" s="415">
        <f t="shared" si="63"/>
        <v>0</v>
      </c>
      <c r="BS157" s="415">
        <f t="shared" si="65"/>
        <v>0</v>
      </c>
      <c r="BT157" s="935"/>
      <c r="BU157" s="935"/>
      <c r="BV157" s="935"/>
      <c r="BW157" s="935"/>
      <c r="BX157" s="935"/>
      <c r="BY157" s="935"/>
      <c r="BZ157" s="935"/>
      <c r="CA157" s="935"/>
      <c r="CB157" s="935"/>
      <c r="CC157" s="935"/>
      <c r="CD157" s="935"/>
      <c r="CE157" s="935"/>
      <c r="CF157" s="935"/>
      <c r="CG157" s="935"/>
      <c r="CH157" s="935"/>
      <c r="CI157" s="935"/>
      <c r="CJ157" s="935"/>
      <c r="CK157" s="935"/>
      <c r="CL157" s="935"/>
      <c r="CM157" s="935"/>
      <c r="CN157" s="935"/>
      <c r="CO157" s="935"/>
      <c r="CP157" s="935"/>
      <c r="CQ157" s="935"/>
      <c r="CR157" s="935"/>
      <c r="CS157" s="935"/>
      <c r="CT157" s="935"/>
      <c r="CU157" s="935"/>
      <c r="CV157" s="935"/>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row>
    <row r="158" spans="1:177" s="442" customFormat="1">
      <c r="A158" s="375">
        <f t="shared" si="48"/>
        <v>8</v>
      </c>
      <c r="B158" s="455">
        <v>44425</v>
      </c>
      <c r="C158" s="445" t="s">
        <v>1980</v>
      </c>
      <c r="D158" s="376" t="str">
        <f>IFERROR(VLOOKUP(E:E,'Item Data Support Sheet'!A:O,7,0),"")</f>
        <v>NIPPLE POSTCURE</v>
      </c>
      <c r="E158" s="446" t="s">
        <v>76</v>
      </c>
      <c r="F158" s="490"/>
      <c r="G158" s="376" t="s">
        <v>1705</v>
      </c>
      <c r="H158" s="602" t="str">
        <f>IFERROR(VLOOKUP(E:E,'Item Data Support Sheet'!A:O,2,0),"")</f>
        <v>NIPPLE S TYPE S SIZE POSTCURED</v>
      </c>
      <c r="I158" s="496" t="s">
        <v>2421</v>
      </c>
      <c r="J158" s="447" t="s">
        <v>2809</v>
      </c>
      <c r="K158" s="438">
        <v>3</v>
      </c>
      <c r="L158" s="492">
        <v>4000</v>
      </c>
      <c r="M158" s="366">
        <f t="shared" si="64"/>
        <v>1333.3333333333333</v>
      </c>
      <c r="N158" s="367">
        <f t="shared" si="47"/>
        <v>4000</v>
      </c>
      <c r="O158" s="61">
        <v>4000</v>
      </c>
      <c r="P158" s="368">
        <v>0</v>
      </c>
      <c r="Q158" s="369">
        <v>0</v>
      </c>
      <c r="R158" s="370">
        <v>0</v>
      </c>
      <c r="S158" s="370">
        <v>0</v>
      </c>
      <c r="T158" s="370">
        <v>0</v>
      </c>
      <c r="U158" s="370">
        <v>0</v>
      </c>
      <c r="V158" s="450">
        <v>1</v>
      </c>
      <c r="W158" s="453">
        <f t="shared" si="49"/>
        <v>4000</v>
      </c>
      <c r="X158" s="748">
        <f t="shared" si="50"/>
        <v>1</v>
      </c>
      <c r="Y158" s="451" t="str">
        <f>IFERROR(VLOOKUP(E:E,'Item Data Support Sheet'!A:J,6,0),0)</f>
        <v>FO011</v>
      </c>
      <c r="Z158" s="428">
        <f>IFERROR(VLOOKUP(E:E,'Item Data Support Sheet'!A:O,4,0),0)</f>
        <v>0</v>
      </c>
      <c r="AA158" s="428">
        <f t="shared" si="51"/>
        <v>0</v>
      </c>
      <c r="AB158" s="429" t="str">
        <f t="shared" si="52"/>
        <v xml:space="preserve"> </v>
      </c>
      <c r="AC158" s="424">
        <f t="shared" si="53"/>
        <v>0</v>
      </c>
      <c r="AD158" s="371">
        <f t="shared" si="54"/>
        <v>0</v>
      </c>
      <c r="AE158" s="748">
        <f t="shared" si="55"/>
        <v>1</v>
      </c>
      <c r="AF158" s="417">
        <f t="shared" si="56"/>
        <v>0</v>
      </c>
      <c r="AG158" s="416">
        <f t="shared" si="57"/>
        <v>3</v>
      </c>
      <c r="AH158" s="372">
        <f t="shared" si="58"/>
        <v>1</v>
      </c>
      <c r="AI158" s="373">
        <f t="shared" si="59"/>
        <v>1333.3333333333333</v>
      </c>
      <c r="AJ158" s="418">
        <f>VLOOKUP(D158,'Standard Cycle time'!C:D,2,0)</f>
        <v>2.2999999999999998</v>
      </c>
      <c r="AK158" s="418">
        <f t="shared" si="60"/>
        <v>2.7</v>
      </c>
      <c r="AL158" s="374">
        <f t="shared" si="61"/>
        <v>0.85185185185185175</v>
      </c>
      <c r="AM158" s="372">
        <f t="shared" si="62"/>
        <v>0.85185185185185175</v>
      </c>
      <c r="AN158" s="799">
        <v>2453</v>
      </c>
      <c r="AO158" s="761"/>
      <c r="AP158" s="440">
        <v>0</v>
      </c>
      <c r="AQ158" s="440">
        <v>0</v>
      </c>
      <c r="AR158" s="440">
        <v>0</v>
      </c>
      <c r="AS158" s="440">
        <v>0</v>
      </c>
      <c r="AT158" s="440">
        <v>0</v>
      </c>
      <c r="AU158" s="440">
        <v>0</v>
      </c>
      <c r="AV158" s="440">
        <v>0</v>
      </c>
      <c r="AW158" s="440">
        <v>0</v>
      </c>
      <c r="AX158" s="440">
        <v>0</v>
      </c>
      <c r="AY158" s="440">
        <v>0</v>
      </c>
      <c r="AZ158" s="440">
        <v>0</v>
      </c>
      <c r="BA158" s="440">
        <v>0</v>
      </c>
      <c r="BB158" s="440">
        <v>0</v>
      </c>
      <c r="BC158" s="440">
        <v>0</v>
      </c>
      <c r="BD158" s="440">
        <v>0</v>
      </c>
      <c r="BE158" s="440">
        <v>0</v>
      </c>
      <c r="BF158" s="440">
        <v>0</v>
      </c>
      <c r="BG158" s="440">
        <v>0</v>
      </c>
      <c r="BH158" s="440">
        <v>0</v>
      </c>
      <c r="BI158" s="440">
        <v>0</v>
      </c>
      <c r="BJ158" s="440">
        <v>0</v>
      </c>
      <c r="BK158" s="440">
        <v>0</v>
      </c>
      <c r="BL158" s="440">
        <v>0</v>
      </c>
      <c r="BM158" s="440">
        <v>0</v>
      </c>
      <c r="BN158" s="440">
        <v>0</v>
      </c>
      <c r="BO158" s="440">
        <v>0</v>
      </c>
      <c r="BP158" s="440">
        <v>0</v>
      </c>
      <c r="BQ158" s="440">
        <v>0</v>
      </c>
      <c r="BR158" s="415">
        <f t="shared" si="63"/>
        <v>0</v>
      </c>
      <c r="BS158" s="415">
        <f t="shared" si="65"/>
        <v>0</v>
      </c>
      <c r="BT158" s="935"/>
      <c r="BU158" s="935"/>
      <c r="BV158" s="935"/>
      <c r="BW158" s="935"/>
      <c r="BX158" s="935"/>
      <c r="BY158" s="935"/>
      <c r="BZ158" s="935"/>
      <c r="CA158" s="935"/>
      <c r="CB158" s="935"/>
      <c r="CC158" s="935"/>
      <c r="CD158" s="935"/>
      <c r="CE158" s="935"/>
      <c r="CF158" s="935"/>
      <c r="CG158" s="935"/>
      <c r="CH158" s="935"/>
      <c r="CI158" s="935"/>
      <c r="CJ158" s="935"/>
      <c r="CK158" s="935"/>
      <c r="CL158" s="935"/>
      <c r="CM158" s="935"/>
      <c r="CN158" s="935"/>
      <c r="CO158" s="935"/>
      <c r="CP158" s="935"/>
      <c r="CQ158" s="935"/>
      <c r="CR158" s="935"/>
      <c r="CS158" s="935"/>
      <c r="CT158" s="935"/>
      <c r="CU158" s="935"/>
      <c r="CV158" s="935"/>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row>
    <row r="159" spans="1:177" s="442" customFormat="1">
      <c r="A159" s="375">
        <f t="shared" si="48"/>
        <v>8</v>
      </c>
      <c r="B159" s="455">
        <v>44425</v>
      </c>
      <c r="C159" s="445" t="s">
        <v>1980</v>
      </c>
      <c r="D159" s="376" t="str">
        <f>IFERROR(VLOOKUP(E:E,'Item Data Support Sheet'!A:O,7,0),"")</f>
        <v>NIPPLE PUNCH</v>
      </c>
      <c r="E159" s="446" t="s">
        <v>80</v>
      </c>
      <c r="F159" s="447"/>
      <c r="G159" s="376" t="s">
        <v>1692</v>
      </c>
      <c r="H159" s="602" t="str">
        <f>IFERROR(VLOOKUP(E:E,'Item Data Support Sheet'!A:O,2,0),"")</f>
        <v>NIPPLE S TYPE S SIZE PUNCHED</v>
      </c>
      <c r="I159" s="496" t="s">
        <v>2426</v>
      </c>
      <c r="J159" s="447" t="s">
        <v>2809</v>
      </c>
      <c r="K159" s="438">
        <v>8</v>
      </c>
      <c r="L159" s="492">
        <v>7000</v>
      </c>
      <c r="M159" s="366">
        <f t="shared" si="64"/>
        <v>875</v>
      </c>
      <c r="N159" s="367">
        <f t="shared" si="47"/>
        <v>4000</v>
      </c>
      <c r="O159" s="61">
        <v>4000</v>
      </c>
      <c r="P159" s="368">
        <v>0</v>
      </c>
      <c r="Q159" s="369">
        <v>0</v>
      </c>
      <c r="R159" s="370">
        <v>0</v>
      </c>
      <c r="S159" s="370">
        <v>0</v>
      </c>
      <c r="T159" s="370">
        <v>0</v>
      </c>
      <c r="U159" s="370">
        <v>0</v>
      </c>
      <c r="V159" s="450">
        <v>1</v>
      </c>
      <c r="W159" s="453">
        <f t="shared" si="49"/>
        <v>4000</v>
      </c>
      <c r="X159" s="748">
        <f t="shared" si="50"/>
        <v>0.5714285714285714</v>
      </c>
      <c r="Y159" s="451" t="str">
        <f>IFERROR(VLOOKUP(E:E,'Item Data Support Sheet'!A:J,6,0),0)</f>
        <v>FO015</v>
      </c>
      <c r="Z159" s="428">
        <f>IFERROR(VLOOKUP(E:E,'Item Data Support Sheet'!A:O,4,0),0)</f>
        <v>0</v>
      </c>
      <c r="AA159" s="428">
        <f t="shared" si="51"/>
        <v>0</v>
      </c>
      <c r="AB159" s="429" t="str">
        <f t="shared" si="52"/>
        <v xml:space="preserve"> </v>
      </c>
      <c r="AC159" s="424">
        <f t="shared" si="53"/>
        <v>0</v>
      </c>
      <c r="AD159" s="371">
        <f t="shared" si="54"/>
        <v>0</v>
      </c>
      <c r="AE159" s="748">
        <f t="shared" si="55"/>
        <v>1</v>
      </c>
      <c r="AF159" s="417">
        <f t="shared" si="56"/>
        <v>4.083333333333333</v>
      </c>
      <c r="AG159" s="416">
        <f t="shared" si="57"/>
        <v>3.916666666666667</v>
      </c>
      <c r="AH159" s="372">
        <f t="shared" si="58"/>
        <v>0.48958333333333337</v>
      </c>
      <c r="AI159" s="373">
        <f t="shared" si="59"/>
        <v>500</v>
      </c>
      <c r="AJ159" s="418">
        <f>VLOOKUP(D159,'Standard Cycle time'!C:D,2,0)</f>
        <v>3.5</v>
      </c>
      <c r="AK159" s="418">
        <f t="shared" si="60"/>
        <v>3.5250000000000004</v>
      </c>
      <c r="AL159" s="374">
        <f t="shared" si="61"/>
        <v>0.9929078014184396</v>
      </c>
      <c r="AM159" s="372">
        <f t="shared" si="62"/>
        <v>0.4861111111111111</v>
      </c>
      <c r="AN159" s="799" t="s">
        <v>2423</v>
      </c>
      <c r="AO159" s="929"/>
      <c r="AP159" s="440">
        <v>40</v>
      </c>
      <c r="AQ159" s="440">
        <v>0</v>
      </c>
      <c r="AR159" s="440">
        <v>0</v>
      </c>
      <c r="AS159" s="440">
        <v>0</v>
      </c>
      <c r="AT159" s="440">
        <v>0</v>
      </c>
      <c r="AU159" s="440">
        <v>0</v>
      </c>
      <c r="AV159" s="440">
        <v>45</v>
      </c>
      <c r="AW159" s="440">
        <v>0</v>
      </c>
      <c r="AX159" s="440">
        <v>0</v>
      </c>
      <c r="AY159" s="440">
        <v>0</v>
      </c>
      <c r="AZ159" s="440">
        <v>0</v>
      </c>
      <c r="BA159" s="440">
        <v>0</v>
      </c>
      <c r="BB159" s="440">
        <v>0</v>
      </c>
      <c r="BC159" s="440">
        <v>0</v>
      </c>
      <c r="BD159" s="440">
        <v>0</v>
      </c>
      <c r="BE159" s="440">
        <v>0</v>
      </c>
      <c r="BF159" s="440">
        <v>0</v>
      </c>
      <c r="BG159" s="440">
        <v>0</v>
      </c>
      <c r="BH159" s="440">
        <v>0</v>
      </c>
      <c r="BI159" s="440">
        <v>0</v>
      </c>
      <c r="BJ159" s="440">
        <v>0</v>
      </c>
      <c r="BK159" s="440">
        <v>160</v>
      </c>
      <c r="BL159" s="440">
        <v>0</v>
      </c>
      <c r="BM159" s="440">
        <v>0</v>
      </c>
      <c r="BN159" s="440">
        <v>0</v>
      </c>
      <c r="BO159" s="440">
        <v>0</v>
      </c>
      <c r="BP159" s="440">
        <v>0</v>
      </c>
      <c r="BQ159" s="440">
        <v>0</v>
      </c>
      <c r="BR159" s="415">
        <f t="shared" si="63"/>
        <v>4.083333333333333</v>
      </c>
      <c r="BS159" s="415">
        <f t="shared" si="65"/>
        <v>4.1513888888888895</v>
      </c>
      <c r="BT159" s="935"/>
      <c r="BU159" s="935"/>
      <c r="BV159" s="935"/>
      <c r="BW159" s="935"/>
      <c r="BX159" s="935"/>
      <c r="BY159" s="935"/>
      <c r="BZ159" s="935"/>
      <c r="CA159" s="935"/>
      <c r="CB159" s="935"/>
      <c r="CC159" s="935"/>
      <c r="CD159" s="935"/>
      <c r="CE159" s="935"/>
      <c r="CF159" s="935"/>
      <c r="CG159" s="935"/>
      <c r="CH159" s="935"/>
      <c r="CI159" s="935"/>
      <c r="CJ159" s="935"/>
      <c r="CK159" s="935"/>
      <c r="CL159" s="935"/>
      <c r="CM159" s="935"/>
      <c r="CN159" s="935"/>
      <c r="CO159" s="935"/>
      <c r="CP159" s="935"/>
      <c r="CQ159" s="935"/>
      <c r="CR159" s="935"/>
      <c r="CS159" s="935"/>
      <c r="CT159" s="935"/>
      <c r="CU159" s="935"/>
      <c r="CV159" s="935"/>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row>
    <row r="160" spans="1:177" s="442" customFormat="1">
      <c r="A160" s="375">
        <f t="shared" si="48"/>
        <v>8</v>
      </c>
      <c r="B160" s="455">
        <v>44425</v>
      </c>
      <c r="C160" s="445" t="s">
        <v>1980</v>
      </c>
      <c r="D160" s="376" t="str">
        <f>IFERROR(VLOOKUP(E:E,'Item Data Support Sheet'!A:O,7,0),"")</f>
        <v>BOTTLE MOLDED</v>
      </c>
      <c r="E160" s="446" t="s">
        <v>14</v>
      </c>
      <c r="F160" s="490" t="s">
        <v>1681</v>
      </c>
      <c r="G160" s="376" t="s">
        <v>1888</v>
      </c>
      <c r="H160" s="602" t="str">
        <f>IFERROR(VLOOKUP(E:E,'Item Data Support Sheet'!A:O,2,0),"")</f>
        <v>KPP 240 ML BOTTLE MOLDED</v>
      </c>
      <c r="I160" s="496" t="s">
        <v>2422</v>
      </c>
      <c r="J160" s="447" t="s">
        <v>2809</v>
      </c>
      <c r="K160" s="438">
        <v>8</v>
      </c>
      <c r="L160" s="499">
        <v>2574</v>
      </c>
      <c r="M160" s="366">
        <f t="shared" si="64"/>
        <v>321.75</v>
      </c>
      <c r="N160" s="367">
        <f t="shared" si="47"/>
        <v>1141</v>
      </c>
      <c r="O160" s="61">
        <v>1080</v>
      </c>
      <c r="P160" s="368">
        <v>0.124</v>
      </c>
      <c r="Q160" s="369">
        <v>21</v>
      </c>
      <c r="R160" s="370">
        <v>0</v>
      </c>
      <c r="S160" s="370">
        <v>0</v>
      </c>
      <c r="T160" s="370">
        <v>32</v>
      </c>
      <c r="U160" s="370">
        <v>8</v>
      </c>
      <c r="V160" s="450">
        <v>1</v>
      </c>
      <c r="W160" s="453">
        <f t="shared" si="49"/>
        <v>1080</v>
      </c>
      <c r="X160" s="748">
        <f t="shared" si="50"/>
        <v>0.41958041958041958</v>
      </c>
      <c r="Y160" s="451" t="str">
        <f>IFERROR(VLOOKUP(E:E,'Item Data Support Sheet'!A:J,6,0),0)</f>
        <v>HMC</v>
      </c>
      <c r="Z160" s="428">
        <f>IFERROR(VLOOKUP(E:E,'Item Data Support Sheet'!A:O,4,0),0)</f>
        <v>32.1</v>
      </c>
      <c r="AA160" s="428">
        <f t="shared" si="51"/>
        <v>36.750100000000003</v>
      </c>
      <c r="AB160" s="429">
        <f t="shared" si="52"/>
        <v>0.94334437185204945</v>
      </c>
      <c r="AC160" s="424">
        <f t="shared" si="53"/>
        <v>2.8776978417266189E-2</v>
      </c>
      <c r="AD160" s="371">
        <f t="shared" si="54"/>
        <v>1.8072289156626505E-2</v>
      </c>
      <c r="AE160" s="748">
        <f t="shared" si="55"/>
        <v>0.97195442594215598</v>
      </c>
      <c r="AF160" s="417">
        <f t="shared" si="56"/>
        <v>5.166666666666667</v>
      </c>
      <c r="AG160" s="416">
        <f t="shared" si="57"/>
        <v>2.833333333333333</v>
      </c>
      <c r="AH160" s="372">
        <f t="shared" si="58"/>
        <v>0.35416666666666663</v>
      </c>
      <c r="AI160" s="373">
        <f t="shared" si="59"/>
        <v>135</v>
      </c>
      <c r="AJ160" s="418">
        <f>VLOOKUP(D160,'Standard Cycle time'!C:D,2,0)</f>
        <v>9</v>
      </c>
      <c r="AK160" s="418">
        <f t="shared" si="60"/>
        <v>9.4444444444444429</v>
      </c>
      <c r="AL160" s="374">
        <f t="shared" si="61"/>
        <v>0.9529411764705884</v>
      </c>
      <c r="AM160" s="372">
        <f t="shared" si="62"/>
        <v>0.32803461875547768</v>
      </c>
      <c r="AN160" s="799">
        <v>2452</v>
      </c>
      <c r="AO160" s="761"/>
      <c r="AP160" s="440">
        <v>0</v>
      </c>
      <c r="AQ160" s="440">
        <v>0</v>
      </c>
      <c r="AR160" s="440">
        <v>190</v>
      </c>
      <c r="AS160" s="440">
        <v>0</v>
      </c>
      <c r="AT160" s="440">
        <v>0</v>
      </c>
      <c r="AU160" s="440">
        <v>0</v>
      </c>
      <c r="AV160" s="440">
        <v>0</v>
      </c>
      <c r="AW160" s="440">
        <v>0</v>
      </c>
      <c r="AX160" s="440">
        <v>0</v>
      </c>
      <c r="AY160" s="440">
        <v>0</v>
      </c>
      <c r="AZ160" s="440">
        <v>0</v>
      </c>
      <c r="BA160" s="440">
        <v>0</v>
      </c>
      <c r="BB160" s="440">
        <v>120</v>
      </c>
      <c r="BC160" s="440">
        <v>0</v>
      </c>
      <c r="BD160" s="440">
        <v>0</v>
      </c>
      <c r="BE160" s="440">
        <v>0</v>
      </c>
      <c r="BF160" s="440">
        <v>0</v>
      </c>
      <c r="BG160" s="440">
        <v>0</v>
      </c>
      <c r="BH160" s="440">
        <v>0</v>
      </c>
      <c r="BI160" s="440">
        <v>0</v>
      </c>
      <c r="BJ160" s="440">
        <v>0</v>
      </c>
      <c r="BK160" s="440">
        <v>0</v>
      </c>
      <c r="BL160" s="440">
        <v>0</v>
      </c>
      <c r="BM160" s="440">
        <v>0</v>
      </c>
      <c r="BN160" s="440">
        <v>0</v>
      </c>
      <c r="BO160" s="440">
        <v>0</v>
      </c>
      <c r="BP160" s="440">
        <v>0</v>
      </c>
      <c r="BQ160" s="440">
        <v>0</v>
      </c>
      <c r="BR160" s="415">
        <f t="shared" si="63"/>
        <v>5.166666666666667</v>
      </c>
      <c r="BS160" s="415">
        <f t="shared" si="65"/>
        <v>5.2527777777777782</v>
      </c>
      <c r="BT160" s="935"/>
      <c r="BU160" s="935"/>
      <c r="BV160" s="935"/>
      <c r="BW160" s="935"/>
      <c r="BX160" s="935"/>
      <c r="BY160" s="935"/>
      <c r="BZ160" s="935"/>
      <c r="CA160" s="935"/>
      <c r="CB160" s="935"/>
      <c r="CC160" s="935"/>
      <c r="CD160" s="935"/>
      <c r="CE160" s="935"/>
      <c r="CF160" s="935"/>
      <c r="CG160" s="935"/>
      <c r="CH160" s="935"/>
      <c r="CI160" s="935"/>
      <c r="CJ160" s="935"/>
      <c r="CK160" s="935"/>
      <c r="CL160" s="935"/>
      <c r="CM160" s="935"/>
      <c r="CN160" s="935"/>
      <c r="CO160" s="935"/>
      <c r="CP160" s="935"/>
      <c r="CQ160" s="935"/>
      <c r="CR160" s="935"/>
      <c r="CS160" s="935"/>
      <c r="CT160" s="935"/>
      <c r="CU160" s="935"/>
      <c r="CV160" s="935"/>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row>
    <row r="161" spans="1:177" s="442" customFormat="1" ht="16.5" customHeight="1">
      <c r="A161" s="375">
        <f t="shared" si="48"/>
        <v>8</v>
      </c>
      <c r="B161" s="455">
        <v>44425</v>
      </c>
      <c r="C161" s="445" t="s">
        <v>1980</v>
      </c>
      <c r="D161" s="376" t="str">
        <f>IFERROR(VLOOKUP(E:E,'Item Data Support Sheet'!A:O,7,0),"")</f>
        <v>CAP MOLDED</v>
      </c>
      <c r="E161" s="446" t="s">
        <v>2109</v>
      </c>
      <c r="F161" s="490"/>
      <c r="G161" s="376" t="s">
        <v>2220</v>
      </c>
      <c r="H161" s="602" t="str">
        <f>IFERROR(VLOOKUP(E:E,'Item Data Support Sheet'!A:O,2,0),"")</f>
        <v>CAP S TYPE MOLDED PALE BLUE</v>
      </c>
      <c r="I161" s="496" t="s">
        <v>2425</v>
      </c>
      <c r="J161" s="447" t="s">
        <v>2809</v>
      </c>
      <c r="K161" s="491">
        <v>8</v>
      </c>
      <c r="L161" s="499">
        <v>4137</v>
      </c>
      <c r="M161" s="366">
        <f t="shared" si="64"/>
        <v>517.125</v>
      </c>
      <c r="N161" s="367">
        <f t="shared" si="47"/>
        <v>4012</v>
      </c>
      <c r="O161" s="61">
        <v>4000</v>
      </c>
      <c r="P161" s="368">
        <v>0</v>
      </c>
      <c r="Q161" s="369">
        <v>2</v>
      </c>
      <c r="R161" s="370">
        <v>0</v>
      </c>
      <c r="S161" s="370">
        <v>0</v>
      </c>
      <c r="T161" s="370">
        <v>2</v>
      </c>
      <c r="U161" s="370">
        <v>8</v>
      </c>
      <c r="V161" s="450">
        <v>1</v>
      </c>
      <c r="W161" s="453">
        <f t="shared" si="49"/>
        <v>4000</v>
      </c>
      <c r="X161" s="748">
        <f t="shared" si="50"/>
        <v>0.96688421561518012</v>
      </c>
      <c r="Y161" s="451" t="str">
        <f>IFERROR(VLOOKUP(E:E,'Item Data Support Sheet'!A:J,6,0),0)</f>
        <v>RM000115</v>
      </c>
      <c r="Z161" s="428">
        <f>IFERROR(VLOOKUP(E:E,'Item Data Support Sheet'!A:O,4,0),0)</f>
        <v>7.3</v>
      </c>
      <c r="AA161" s="428">
        <f t="shared" si="51"/>
        <v>29.287600000000001</v>
      </c>
      <c r="AB161" s="429">
        <f t="shared" si="52"/>
        <v>0.99700897308075764</v>
      </c>
      <c r="AC161" s="424">
        <f t="shared" si="53"/>
        <v>4.9975012493753122E-4</v>
      </c>
      <c r="AD161" s="371">
        <f t="shared" si="54"/>
        <v>4.9825610363726954E-4</v>
      </c>
      <c r="AE161" s="748">
        <f t="shared" si="55"/>
        <v>0.99950149551345957</v>
      </c>
      <c r="AF161" s="417">
        <f t="shared" si="56"/>
        <v>1</v>
      </c>
      <c r="AG161" s="416">
        <f t="shared" si="57"/>
        <v>7</v>
      </c>
      <c r="AH161" s="372">
        <f t="shared" si="58"/>
        <v>0.875</v>
      </c>
      <c r="AI161" s="373">
        <f t="shared" si="59"/>
        <v>500</v>
      </c>
      <c r="AJ161" s="418">
        <f>VLOOKUP(D161,'Standard Cycle time'!C:D,2,0)</f>
        <v>6</v>
      </c>
      <c r="AK161" s="418">
        <f t="shared" si="60"/>
        <v>6.3</v>
      </c>
      <c r="AL161" s="374">
        <f t="shared" si="61"/>
        <v>0.95238095238095244</v>
      </c>
      <c r="AM161" s="372">
        <f t="shared" si="62"/>
        <v>0.83291791292788309</v>
      </c>
      <c r="AN161" s="799">
        <v>2692</v>
      </c>
      <c r="AO161" s="761"/>
      <c r="AP161" s="440">
        <v>0</v>
      </c>
      <c r="AQ161" s="440">
        <v>0</v>
      </c>
      <c r="AR161" s="440">
        <v>0</v>
      </c>
      <c r="AS161" s="440">
        <v>0</v>
      </c>
      <c r="AT161" s="440">
        <v>0</v>
      </c>
      <c r="AU161" s="440">
        <v>0</v>
      </c>
      <c r="AV161" s="440">
        <v>0</v>
      </c>
      <c r="AW161" s="440">
        <v>0</v>
      </c>
      <c r="AX161" s="440">
        <v>0</v>
      </c>
      <c r="AY161" s="440">
        <v>0</v>
      </c>
      <c r="AZ161" s="440">
        <v>0</v>
      </c>
      <c r="BA161" s="440">
        <v>0</v>
      </c>
      <c r="BB161" s="440">
        <v>60</v>
      </c>
      <c r="BC161" s="440">
        <v>0</v>
      </c>
      <c r="BD161" s="440">
        <v>0</v>
      </c>
      <c r="BE161" s="440">
        <v>0</v>
      </c>
      <c r="BF161" s="440">
        <v>0</v>
      </c>
      <c r="BG161" s="440">
        <v>0</v>
      </c>
      <c r="BH161" s="440">
        <v>0</v>
      </c>
      <c r="BI161" s="440">
        <v>0</v>
      </c>
      <c r="BJ161" s="440">
        <v>0</v>
      </c>
      <c r="BK161" s="440">
        <v>0</v>
      </c>
      <c r="BL161" s="440">
        <v>0</v>
      </c>
      <c r="BM161" s="440">
        <v>0</v>
      </c>
      <c r="BN161" s="440">
        <v>0</v>
      </c>
      <c r="BO161" s="440">
        <v>0</v>
      </c>
      <c r="BP161" s="440">
        <v>0</v>
      </c>
      <c r="BQ161" s="440">
        <v>0</v>
      </c>
      <c r="BR161" s="415">
        <f t="shared" si="63"/>
        <v>1</v>
      </c>
      <c r="BS161" s="415">
        <f t="shared" si="65"/>
        <v>1.0166666666666666</v>
      </c>
      <c r="BT161" s="935"/>
      <c r="BU161" s="935"/>
      <c r="BV161" s="935"/>
      <c r="BW161" s="935"/>
      <c r="BX161" s="935"/>
      <c r="BY161" s="935"/>
      <c r="BZ161" s="935"/>
      <c r="CA161" s="935"/>
      <c r="CB161" s="935"/>
      <c r="CC161" s="935"/>
      <c r="CD161" s="935"/>
      <c r="CE161" s="935"/>
      <c r="CF161" s="935"/>
      <c r="CG161" s="935"/>
      <c r="CH161" s="935"/>
      <c r="CI161" s="935"/>
      <c r="CJ161" s="935"/>
      <c r="CK161" s="935"/>
      <c r="CL161" s="935"/>
      <c r="CM161" s="935"/>
      <c r="CN161" s="935"/>
      <c r="CO161" s="935"/>
      <c r="CP161" s="935"/>
      <c r="CQ161" s="935"/>
      <c r="CR161" s="935"/>
      <c r="CS161" s="935"/>
      <c r="CT161" s="935"/>
      <c r="CU161" s="935"/>
      <c r="CV161" s="935"/>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row>
    <row r="162" spans="1:177" s="442" customFormat="1">
      <c r="A162" s="375">
        <f t="shared" si="48"/>
        <v>8</v>
      </c>
      <c r="B162" s="455">
        <v>44425</v>
      </c>
      <c r="C162" s="445" t="s">
        <v>2000</v>
      </c>
      <c r="D162" s="376" t="str">
        <f>IFERROR(VLOOKUP(E:E,'Item Data Support Sheet'!A:O,7,0),"")</f>
        <v>BOTTLE PRINTED</v>
      </c>
      <c r="E162" s="446" t="s">
        <v>64</v>
      </c>
      <c r="F162" s="490"/>
      <c r="G162" s="376" t="s">
        <v>1698</v>
      </c>
      <c r="H162" s="602" t="str">
        <f>IFERROR(VLOOKUP(E:E,'Item Data Support Sheet'!A:O,2,0),"")</f>
        <v>KPP 240 ML BOTTLE PRINTED</v>
      </c>
      <c r="I162" s="496" t="s">
        <v>2430</v>
      </c>
      <c r="J162" s="447" t="s">
        <v>2813</v>
      </c>
      <c r="K162" s="491">
        <v>8.5</v>
      </c>
      <c r="L162" s="499">
        <v>5100</v>
      </c>
      <c r="M162" s="366">
        <f t="shared" si="64"/>
        <v>600</v>
      </c>
      <c r="N162" s="367">
        <f t="shared" si="47"/>
        <v>5205</v>
      </c>
      <c r="O162" s="61">
        <v>5184</v>
      </c>
      <c r="P162" s="368">
        <v>0</v>
      </c>
      <c r="Q162" s="369">
        <v>0</v>
      </c>
      <c r="R162" s="370">
        <v>61</v>
      </c>
      <c r="S162" s="370">
        <v>0</v>
      </c>
      <c r="T162" s="370">
        <v>21</v>
      </c>
      <c r="U162" s="370">
        <v>0</v>
      </c>
      <c r="V162" s="450">
        <v>6</v>
      </c>
      <c r="W162" s="453">
        <f t="shared" si="49"/>
        <v>864</v>
      </c>
      <c r="X162" s="748">
        <f t="shared" si="50"/>
        <v>1.016470588235294</v>
      </c>
      <c r="Y162" s="451" t="str">
        <f>IFERROR(VLOOKUP(E:E,'Item Data Support Sheet'!A:J,6,0),0)</f>
        <v>FO003</v>
      </c>
      <c r="Z162" s="428">
        <f>IFERROR(VLOOKUP(E:E,'Item Data Support Sheet'!A:O,4,0),0)</f>
        <v>0</v>
      </c>
      <c r="AA162" s="428">
        <f t="shared" si="51"/>
        <v>0</v>
      </c>
      <c r="AB162" s="429" t="str">
        <f t="shared" si="52"/>
        <v xml:space="preserve"> </v>
      </c>
      <c r="AC162" s="424">
        <f t="shared" si="53"/>
        <v>4.0345821325648411E-3</v>
      </c>
      <c r="AD162" s="371">
        <f t="shared" si="54"/>
        <v>0</v>
      </c>
      <c r="AE162" s="748">
        <f t="shared" si="55"/>
        <v>0.9959654178674352</v>
      </c>
      <c r="AF162" s="417">
        <f t="shared" si="56"/>
        <v>0.83333333333333337</v>
      </c>
      <c r="AG162" s="416">
        <f t="shared" si="57"/>
        <v>7.666666666666667</v>
      </c>
      <c r="AH162" s="372">
        <f t="shared" si="58"/>
        <v>0.90196078431372551</v>
      </c>
      <c r="AI162" s="373">
        <f t="shared" si="59"/>
        <v>609.88235294117646</v>
      </c>
      <c r="AJ162" s="418">
        <f>VLOOKUP(D162,'Standard Cycle time'!C:D,2,0)</f>
        <v>32.4</v>
      </c>
      <c r="AK162" s="418">
        <f t="shared" si="60"/>
        <v>31.944444444444443</v>
      </c>
      <c r="AL162" s="374">
        <f t="shared" si="61"/>
        <v>1.0142608695652173</v>
      </c>
      <c r="AM162" s="372">
        <f t="shared" si="62"/>
        <v>0.91113259874555008</v>
      </c>
      <c r="AN162" s="799" t="s">
        <v>2657</v>
      </c>
      <c r="AO162" s="929"/>
      <c r="AP162" s="440">
        <v>50</v>
      </c>
      <c r="AQ162" s="440">
        <v>0</v>
      </c>
      <c r="AR162" s="440">
        <v>0</v>
      </c>
      <c r="AS162" s="440">
        <v>0</v>
      </c>
      <c r="AT162" s="440">
        <v>0</v>
      </c>
      <c r="AU162" s="440">
        <v>0</v>
      </c>
      <c r="AV162" s="440">
        <v>0</v>
      </c>
      <c r="AW162" s="440">
        <v>0</v>
      </c>
      <c r="AX162" s="440">
        <v>0</v>
      </c>
      <c r="AY162" s="440">
        <v>0</v>
      </c>
      <c r="AZ162" s="440">
        <v>0</v>
      </c>
      <c r="BA162" s="440">
        <v>0</v>
      </c>
      <c r="BB162" s="440">
        <v>0</v>
      </c>
      <c r="BC162" s="440">
        <v>0</v>
      </c>
      <c r="BD162" s="440">
        <v>0</v>
      </c>
      <c r="BE162" s="440">
        <v>0</v>
      </c>
      <c r="BF162" s="440">
        <v>0</v>
      </c>
      <c r="BG162" s="440">
        <v>0</v>
      </c>
      <c r="BH162" s="440">
        <v>0</v>
      </c>
      <c r="BI162" s="440">
        <v>0</v>
      </c>
      <c r="BJ162" s="440">
        <v>0</v>
      </c>
      <c r="BK162" s="440">
        <v>0</v>
      </c>
      <c r="BL162" s="440">
        <v>0</v>
      </c>
      <c r="BM162" s="440">
        <v>0</v>
      </c>
      <c r="BN162" s="440">
        <v>0</v>
      </c>
      <c r="BO162" s="440">
        <v>0</v>
      </c>
      <c r="BP162" s="440">
        <v>0</v>
      </c>
      <c r="BQ162" s="440">
        <v>0</v>
      </c>
      <c r="BR162" s="415">
        <f t="shared" si="63"/>
        <v>0.83333333333333337</v>
      </c>
      <c r="BS162" s="415">
        <f t="shared" si="65"/>
        <v>0.84722222222222221</v>
      </c>
      <c r="BT162" s="935"/>
      <c r="BU162" s="935"/>
      <c r="BV162" s="935"/>
      <c r="BW162" s="935"/>
      <c r="BX162" s="935"/>
      <c r="BY162" s="935"/>
      <c r="BZ162" s="935"/>
      <c r="CA162" s="935"/>
      <c r="CB162" s="935"/>
      <c r="CC162" s="935"/>
      <c r="CD162" s="935"/>
      <c r="CE162" s="935"/>
      <c r="CF162" s="935"/>
      <c r="CG162" s="935"/>
      <c r="CH162" s="935"/>
      <c r="CI162" s="935"/>
      <c r="CJ162" s="935"/>
      <c r="CK162" s="935"/>
      <c r="CL162" s="935"/>
      <c r="CM162" s="935"/>
      <c r="CN162" s="935"/>
      <c r="CO162" s="935"/>
      <c r="CP162" s="935"/>
      <c r="CQ162" s="935"/>
      <c r="CR162" s="935"/>
      <c r="CS162" s="935"/>
      <c r="CT162" s="935"/>
      <c r="CU162" s="935"/>
      <c r="CV162" s="935"/>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row>
    <row r="163" spans="1:177" s="442" customFormat="1" ht="16.399999999999999" customHeight="1">
      <c r="A163" s="375">
        <f t="shared" si="48"/>
        <v>8</v>
      </c>
      <c r="B163" s="455">
        <v>44425</v>
      </c>
      <c r="C163" s="445" t="s">
        <v>2000</v>
      </c>
      <c r="D163" s="376" t="str">
        <f>IFERROR(VLOOKUP(E:E,'Item Data Support Sheet'!A:O,7,0),"")</f>
        <v>NIPPLE WRAP PRINTED</v>
      </c>
      <c r="E163" s="446" t="s">
        <v>109</v>
      </c>
      <c r="F163" s="490"/>
      <c r="G163" s="376" t="s">
        <v>1693</v>
      </c>
      <c r="H163" s="602" t="str">
        <f>IFERROR(VLOOKUP(E:E,'Item Data Support Sheet'!A:O,2,0),"")</f>
        <v>NIPPLE S TYPE M SIZE WITH PRINTED WRAP</v>
      </c>
      <c r="I163" s="496" t="s">
        <v>2431</v>
      </c>
      <c r="J163" s="447" t="s">
        <v>2812</v>
      </c>
      <c r="K163" s="491">
        <v>8.5</v>
      </c>
      <c r="L163" s="499">
        <v>16132</v>
      </c>
      <c r="M163" s="366">
        <f t="shared" si="64"/>
        <v>1897.8823529411766</v>
      </c>
      <c r="N163" s="367">
        <f t="shared" si="47"/>
        <v>11557</v>
      </c>
      <c r="O163" s="61">
        <v>11507</v>
      </c>
      <c r="P163" s="368">
        <v>0</v>
      </c>
      <c r="Q163" s="369">
        <v>0</v>
      </c>
      <c r="R163" s="370">
        <v>0</v>
      </c>
      <c r="S163" s="370">
        <v>0</v>
      </c>
      <c r="T163" s="370">
        <v>50</v>
      </c>
      <c r="U163" s="370">
        <v>0</v>
      </c>
      <c r="V163" s="450">
        <v>2</v>
      </c>
      <c r="W163" s="453">
        <f t="shared" si="49"/>
        <v>5753.5</v>
      </c>
      <c r="X163" s="748">
        <f t="shared" si="50"/>
        <v>0.71330275229357798</v>
      </c>
      <c r="Y163" s="451" t="str">
        <f>IFERROR(VLOOKUP(E:E,'Item Data Support Sheet'!A:J,6,0),0)</f>
        <v>FO020</v>
      </c>
      <c r="Z163" s="428">
        <f>IFERROR(VLOOKUP(E:E,'Item Data Support Sheet'!A:O,4,0),0)</f>
        <v>0</v>
      </c>
      <c r="AA163" s="428">
        <f t="shared" si="51"/>
        <v>0</v>
      </c>
      <c r="AB163" s="429" t="str">
        <f t="shared" si="52"/>
        <v xml:space="preserve"> </v>
      </c>
      <c r="AC163" s="424">
        <f t="shared" si="53"/>
        <v>4.3263822791381849E-3</v>
      </c>
      <c r="AD163" s="371">
        <f t="shared" si="54"/>
        <v>0</v>
      </c>
      <c r="AE163" s="748">
        <f t="shared" si="55"/>
        <v>0.99567361772086183</v>
      </c>
      <c r="AF163" s="417">
        <f t="shared" si="56"/>
        <v>2.1666666666666665</v>
      </c>
      <c r="AG163" s="416">
        <f t="shared" si="57"/>
        <v>6.3333333333333339</v>
      </c>
      <c r="AH163" s="372">
        <f t="shared" si="58"/>
        <v>0.74509803921568629</v>
      </c>
      <c r="AI163" s="373">
        <f t="shared" si="59"/>
        <v>1353.7647058823529</v>
      </c>
      <c r="AJ163" s="418">
        <f>VLOOKUP(D163,'Standard Cycle time'!C:D,2,0)</f>
        <v>2.5</v>
      </c>
      <c r="AK163" s="418">
        <f t="shared" si="60"/>
        <v>3.9628052489788832</v>
      </c>
      <c r="AL163" s="374">
        <f t="shared" si="61"/>
        <v>0.63086622807017534</v>
      </c>
      <c r="AM163" s="372">
        <f t="shared" si="62"/>
        <v>0.46802354244746547</v>
      </c>
      <c r="AN163" s="799" t="s">
        <v>2435</v>
      </c>
      <c r="AO163" s="827" t="s">
        <v>2452</v>
      </c>
      <c r="AP163" s="440">
        <v>50</v>
      </c>
      <c r="AQ163" s="440">
        <v>0</v>
      </c>
      <c r="AR163" s="440">
        <v>0</v>
      </c>
      <c r="AS163" s="440">
        <v>0</v>
      </c>
      <c r="AT163" s="440">
        <v>0</v>
      </c>
      <c r="AU163" s="440">
        <v>0</v>
      </c>
      <c r="AV163" s="440">
        <v>0</v>
      </c>
      <c r="AW163" s="440">
        <v>30</v>
      </c>
      <c r="AX163" s="440">
        <v>0</v>
      </c>
      <c r="AY163" s="440">
        <v>0</v>
      </c>
      <c r="AZ163" s="440">
        <v>0</v>
      </c>
      <c r="BA163" s="440">
        <v>0</v>
      </c>
      <c r="BB163" s="440">
        <v>0</v>
      </c>
      <c r="BC163" s="440">
        <v>0</v>
      </c>
      <c r="BD163" s="440">
        <v>0</v>
      </c>
      <c r="BE163" s="440">
        <v>0</v>
      </c>
      <c r="BF163" s="440">
        <v>0</v>
      </c>
      <c r="BG163" s="440">
        <v>0</v>
      </c>
      <c r="BH163" s="440">
        <v>0</v>
      </c>
      <c r="BI163" s="440">
        <v>0</v>
      </c>
      <c r="BJ163" s="440">
        <v>0</v>
      </c>
      <c r="BK163" s="440">
        <v>50</v>
      </c>
      <c r="BL163" s="440">
        <v>0</v>
      </c>
      <c r="BM163" s="440">
        <v>0</v>
      </c>
      <c r="BN163" s="440">
        <v>0</v>
      </c>
      <c r="BO163" s="440">
        <v>0</v>
      </c>
      <c r="BP163" s="440">
        <v>0</v>
      </c>
      <c r="BQ163" s="440">
        <v>0</v>
      </c>
      <c r="BR163" s="415">
        <f t="shared" si="63"/>
        <v>2.1666666666666665</v>
      </c>
      <c r="BS163" s="415">
        <f t="shared" si="65"/>
        <v>2.2027777777777775</v>
      </c>
      <c r="BT163" s="935"/>
      <c r="BU163" s="935"/>
      <c r="BV163" s="935"/>
      <c r="BW163" s="935"/>
      <c r="BX163" s="935"/>
      <c r="BY163" s="935"/>
      <c r="BZ163" s="935"/>
      <c r="CA163" s="935"/>
      <c r="CB163" s="935"/>
      <c r="CC163" s="935"/>
      <c r="CD163" s="935"/>
      <c r="CE163" s="935"/>
      <c r="CF163" s="935"/>
      <c r="CG163" s="935"/>
      <c r="CH163" s="935"/>
      <c r="CI163" s="935"/>
      <c r="CJ163" s="935"/>
      <c r="CK163" s="935"/>
      <c r="CL163" s="935"/>
      <c r="CM163" s="935"/>
      <c r="CN163" s="935"/>
      <c r="CO163" s="935"/>
      <c r="CP163" s="935"/>
      <c r="CQ163" s="935"/>
      <c r="CR163" s="935"/>
      <c r="CS163" s="935"/>
      <c r="CT163" s="935"/>
      <c r="CU163" s="935"/>
      <c r="CV163" s="935"/>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row>
    <row r="164" spans="1:177" s="442" customFormat="1">
      <c r="A164" s="375">
        <f t="shared" si="48"/>
        <v>8</v>
      </c>
      <c r="B164" s="455">
        <v>44425</v>
      </c>
      <c r="C164" s="445" t="s">
        <v>2000</v>
      </c>
      <c r="D164" s="376" t="str">
        <f>IFERROR(VLOOKUP(E:E,'Item Data Support Sheet'!A:O,7,0),"")</f>
        <v>NIPPLE PUNCH INSPECTED</v>
      </c>
      <c r="E164" s="446" t="s">
        <v>1818</v>
      </c>
      <c r="F164" s="490"/>
      <c r="G164" s="376"/>
      <c r="H164" s="602" t="str">
        <f>IFERROR(VLOOKUP(E:E,'Item Data Support Sheet'!A:O,2,0),"")</f>
        <v>NIPPLE S TYPE S SIZE PUNCHED INSPECTED</v>
      </c>
      <c r="I164" s="496" t="s">
        <v>2432</v>
      </c>
      <c r="J164" s="447" t="s">
        <v>2812</v>
      </c>
      <c r="K164" s="491">
        <v>8.5</v>
      </c>
      <c r="L164" s="499">
        <v>14182</v>
      </c>
      <c r="M164" s="366">
        <f t="shared" si="64"/>
        <v>1668.4705882352941</v>
      </c>
      <c r="N164" s="367">
        <f t="shared" si="47"/>
        <v>12300</v>
      </c>
      <c r="O164" s="61">
        <v>12216</v>
      </c>
      <c r="P164" s="368">
        <v>0</v>
      </c>
      <c r="Q164" s="369">
        <v>0</v>
      </c>
      <c r="R164" s="370">
        <v>0</v>
      </c>
      <c r="S164" s="370">
        <v>0</v>
      </c>
      <c r="T164" s="370">
        <v>84</v>
      </c>
      <c r="U164" s="370">
        <v>0</v>
      </c>
      <c r="V164" s="450">
        <v>1</v>
      </c>
      <c r="W164" s="453">
        <f t="shared" si="49"/>
        <v>12216</v>
      </c>
      <c r="X164" s="748">
        <f t="shared" si="50"/>
        <v>0.86137357213369059</v>
      </c>
      <c r="Y164" s="451" t="str">
        <f>IFERROR(VLOOKUP(E:E,'Item Data Support Sheet'!A:J,6,0),0)</f>
        <v>FO104</v>
      </c>
      <c r="Z164" s="428">
        <f>IFERROR(VLOOKUP(E:E,'Item Data Support Sheet'!A:O,4,0),0)</f>
        <v>0</v>
      </c>
      <c r="AA164" s="428">
        <f t="shared" si="51"/>
        <v>0</v>
      </c>
      <c r="AB164" s="429" t="str">
        <f t="shared" si="52"/>
        <v xml:space="preserve"> </v>
      </c>
      <c r="AC164" s="424">
        <f t="shared" si="53"/>
        <v>6.8292682926829268E-3</v>
      </c>
      <c r="AD164" s="371">
        <f t="shared" si="54"/>
        <v>0</v>
      </c>
      <c r="AE164" s="748">
        <f t="shared" si="55"/>
        <v>0.99317073170731707</v>
      </c>
      <c r="AF164" s="417">
        <f t="shared" si="56"/>
        <v>0.83333333333333337</v>
      </c>
      <c r="AG164" s="416">
        <f t="shared" si="57"/>
        <v>7.666666666666667</v>
      </c>
      <c r="AH164" s="372">
        <f t="shared" si="58"/>
        <v>0.90196078431372551</v>
      </c>
      <c r="AI164" s="373">
        <f t="shared" si="59"/>
        <v>1437.1764705882354</v>
      </c>
      <c r="AJ164" s="418">
        <f>VLOOKUP(D164,'Standard Cycle time'!C:D,2,0)</f>
        <v>4</v>
      </c>
      <c r="AK164" s="418">
        <f t="shared" si="60"/>
        <v>2.2593320235756384</v>
      </c>
      <c r="AL164" s="374">
        <f t="shared" si="61"/>
        <v>1.7704347826086957</v>
      </c>
      <c r="AM164" s="372">
        <f t="shared" si="62"/>
        <v>1.5859573409851746</v>
      </c>
      <c r="AN164" s="799" t="s">
        <v>2434</v>
      </c>
      <c r="AO164" s="929"/>
      <c r="AP164" s="440">
        <v>50</v>
      </c>
      <c r="AQ164" s="440">
        <v>0</v>
      </c>
      <c r="AR164" s="440">
        <v>0</v>
      </c>
      <c r="AS164" s="440">
        <v>0</v>
      </c>
      <c r="AT164" s="440">
        <v>0</v>
      </c>
      <c r="AU164" s="440">
        <v>0</v>
      </c>
      <c r="AV164" s="440">
        <v>0</v>
      </c>
      <c r="AW164" s="440">
        <v>0</v>
      </c>
      <c r="AX164" s="440">
        <v>0</v>
      </c>
      <c r="AY164" s="440">
        <v>0</v>
      </c>
      <c r="AZ164" s="440">
        <v>0</v>
      </c>
      <c r="BA164" s="440">
        <v>0</v>
      </c>
      <c r="BB164" s="440">
        <v>0</v>
      </c>
      <c r="BC164" s="440">
        <v>0</v>
      </c>
      <c r="BD164" s="440">
        <v>0</v>
      </c>
      <c r="BE164" s="440">
        <v>0</v>
      </c>
      <c r="BF164" s="440">
        <v>0</v>
      </c>
      <c r="BG164" s="440">
        <v>0</v>
      </c>
      <c r="BH164" s="440">
        <v>0</v>
      </c>
      <c r="BI164" s="440">
        <v>0</v>
      </c>
      <c r="BJ164" s="440">
        <v>0</v>
      </c>
      <c r="BK164" s="440">
        <v>0</v>
      </c>
      <c r="BL164" s="440">
        <v>0</v>
      </c>
      <c r="BM164" s="440">
        <v>0</v>
      </c>
      <c r="BN164" s="440">
        <v>0</v>
      </c>
      <c r="BO164" s="440">
        <v>0</v>
      </c>
      <c r="BP164" s="440">
        <v>0</v>
      </c>
      <c r="BQ164" s="440">
        <v>0</v>
      </c>
      <c r="BR164" s="415">
        <f t="shared" si="63"/>
        <v>0.83333333333333337</v>
      </c>
      <c r="BS164" s="415">
        <f t="shared" si="65"/>
        <v>0.84722222222222221</v>
      </c>
      <c r="BT164" s="935"/>
      <c r="BU164" s="935"/>
      <c r="BV164" s="935"/>
      <c r="BW164" s="935"/>
      <c r="BX164" s="935"/>
      <c r="BY164" s="935"/>
      <c r="BZ164" s="935"/>
      <c r="CA164" s="935"/>
      <c r="CB164" s="935"/>
      <c r="CC164" s="935"/>
      <c r="CD164" s="935"/>
      <c r="CE164" s="935"/>
      <c r="CF164" s="935"/>
      <c r="CG164" s="935"/>
      <c r="CH164" s="935"/>
      <c r="CI164" s="935"/>
      <c r="CJ164" s="935"/>
      <c r="CK164" s="935"/>
      <c r="CL164" s="935"/>
      <c r="CM164" s="935"/>
      <c r="CN164" s="935"/>
      <c r="CO164" s="935"/>
      <c r="CP164" s="935"/>
      <c r="CQ164" s="935"/>
      <c r="CR164" s="935"/>
      <c r="CS164" s="935"/>
      <c r="CT164" s="935"/>
      <c r="CU164" s="935"/>
      <c r="CV164" s="935"/>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row>
    <row r="165" spans="1:177" s="442" customFormat="1">
      <c r="A165" s="375">
        <f t="shared" si="48"/>
        <v>8</v>
      </c>
      <c r="B165" s="455">
        <v>44425</v>
      </c>
      <c r="C165" s="445" t="s">
        <v>2001</v>
      </c>
      <c r="D165" s="376" t="str">
        <f>IFERROR(VLOOKUP(E:E,'Item Data Support Sheet'!A:O,7,0),"")</f>
        <v>NIPPLE POSTCURE</v>
      </c>
      <c r="E165" s="446" t="s">
        <v>76</v>
      </c>
      <c r="F165" s="447"/>
      <c r="G165" s="376" t="s">
        <v>1705</v>
      </c>
      <c r="H165" s="602" t="str">
        <f>IFERROR(VLOOKUP(E:E,'Item Data Support Sheet'!A:O,2,0),"")</f>
        <v>NIPPLE S TYPE S SIZE POSTCURED</v>
      </c>
      <c r="I165" s="496" t="s">
        <v>2433</v>
      </c>
      <c r="J165" s="447" t="s">
        <v>2810</v>
      </c>
      <c r="K165" s="491">
        <v>1.5</v>
      </c>
      <c r="L165" s="499">
        <v>2000</v>
      </c>
      <c r="M165" s="366">
        <f t="shared" si="64"/>
        <v>1333.3333333333333</v>
      </c>
      <c r="N165" s="367">
        <f t="shared" si="47"/>
        <v>2000</v>
      </c>
      <c r="O165" s="61">
        <v>2000</v>
      </c>
      <c r="P165" s="368">
        <v>0</v>
      </c>
      <c r="Q165" s="369">
        <v>0</v>
      </c>
      <c r="R165" s="370">
        <v>0</v>
      </c>
      <c r="S165" s="370">
        <v>0</v>
      </c>
      <c r="T165" s="370">
        <v>0</v>
      </c>
      <c r="U165" s="370">
        <v>0</v>
      </c>
      <c r="V165" s="450">
        <v>1</v>
      </c>
      <c r="W165" s="453">
        <f t="shared" si="49"/>
        <v>2000</v>
      </c>
      <c r="X165" s="748">
        <f t="shared" si="50"/>
        <v>1</v>
      </c>
      <c r="Y165" s="451" t="str">
        <f>IFERROR(VLOOKUP(E:E,'Item Data Support Sheet'!A:J,6,0),0)</f>
        <v>FO011</v>
      </c>
      <c r="Z165" s="428">
        <f>IFERROR(VLOOKUP(E:E,'Item Data Support Sheet'!A:O,4,0),0)</f>
        <v>0</v>
      </c>
      <c r="AA165" s="428">
        <f t="shared" si="51"/>
        <v>0</v>
      </c>
      <c r="AB165" s="429" t="str">
        <f t="shared" si="52"/>
        <v xml:space="preserve"> </v>
      </c>
      <c r="AC165" s="424">
        <f t="shared" si="53"/>
        <v>0</v>
      </c>
      <c r="AD165" s="371">
        <f t="shared" si="54"/>
        <v>0</v>
      </c>
      <c r="AE165" s="748">
        <f t="shared" si="55"/>
        <v>1</v>
      </c>
      <c r="AF165" s="417">
        <f t="shared" si="56"/>
        <v>0</v>
      </c>
      <c r="AG165" s="416">
        <f t="shared" si="57"/>
        <v>1.5</v>
      </c>
      <c r="AH165" s="372">
        <f t="shared" si="58"/>
        <v>1</v>
      </c>
      <c r="AI165" s="373">
        <f t="shared" si="59"/>
        <v>1333.3333333333333</v>
      </c>
      <c r="AJ165" s="418">
        <f>VLOOKUP(D165,'Standard Cycle time'!C:D,2,0)</f>
        <v>2.2999999999999998</v>
      </c>
      <c r="AK165" s="418">
        <f t="shared" si="60"/>
        <v>2.7</v>
      </c>
      <c r="AL165" s="374">
        <f t="shared" si="61"/>
        <v>0.85185185185185175</v>
      </c>
      <c r="AM165" s="372">
        <f t="shared" si="62"/>
        <v>0.85185185185185175</v>
      </c>
      <c r="AN165" s="799">
        <v>2469</v>
      </c>
      <c r="AO165" s="761"/>
      <c r="AP165" s="440">
        <v>0</v>
      </c>
      <c r="AQ165" s="440">
        <v>0</v>
      </c>
      <c r="AR165" s="440">
        <v>0</v>
      </c>
      <c r="AS165" s="440">
        <v>0</v>
      </c>
      <c r="AT165" s="440">
        <v>0</v>
      </c>
      <c r="AU165" s="440">
        <v>0</v>
      </c>
      <c r="AV165" s="440">
        <v>0</v>
      </c>
      <c r="AW165" s="440">
        <v>0</v>
      </c>
      <c r="AX165" s="440">
        <v>0</v>
      </c>
      <c r="AY165" s="440">
        <v>0</v>
      </c>
      <c r="AZ165" s="440">
        <v>0</v>
      </c>
      <c r="BA165" s="440">
        <v>0</v>
      </c>
      <c r="BB165" s="440">
        <v>0</v>
      </c>
      <c r="BC165" s="440">
        <v>0</v>
      </c>
      <c r="BD165" s="440">
        <v>0</v>
      </c>
      <c r="BE165" s="440">
        <v>0</v>
      </c>
      <c r="BF165" s="440">
        <v>0</v>
      </c>
      <c r="BG165" s="440">
        <v>0</v>
      </c>
      <c r="BH165" s="440">
        <v>0</v>
      </c>
      <c r="BI165" s="440">
        <v>0</v>
      </c>
      <c r="BJ165" s="440">
        <v>0</v>
      </c>
      <c r="BK165" s="440">
        <v>0</v>
      </c>
      <c r="BL165" s="440">
        <v>0</v>
      </c>
      <c r="BM165" s="440">
        <v>0</v>
      </c>
      <c r="BN165" s="440">
        <v>0</v>
      </c>
      <c r="BO165" s="440">
        <v>0</v>
      </c>
      <c r="BP165" s="440">
        <v>0</v>
      </c>
      <c r="BQ165" s="440">
        <v>0</v>
      </c>
      <c r="BR165" s="415">
        <f t="shared" si="63"/>
        <v>0</v>
      </c>
      <c r="BS165" s="415">
        <f t="shared" si="65"/>
        <v>0</v>
      </c>
      <c r="BT165" s="935"/>
      <c r="BU165" s="935"/>
      <c r="BV165" s="935"/>
      <c r="BW165" s="935"/>
      <c r="BX165" s="935"/>
      <c r="BY165" s="935"/>
      <c r="BZ165" s="935"/>
      <c r="CA165" s="935"/>
      <c r="CB165" s="935"/>
      <c r="CC165" s="935"/>
      <c r="CD165" s="935"/>
      <c r="CE165" s="935"/>
      <c r="CF165" s="935"/>
      <c r="CG165" s="935"/>
      <c r="CH165" s="935"/>
      <c r="CI165" s="935"/>
      <c r="CJ165" s="935"/>
      <c r="CK165" s="935"/>
      <c r="CL165" s="935"/>
      <c r="CM165" s="935"/>
      <c r="CN165" s="935"/>
      <c r="CO165" s="935"/>
      <c r="CP165" s="935"/>
      <c r="CQ165" s="935"/>
      <c r="CR165" s="935"/>
      <c r="CS165" s="935"/>
      <c r="CT165" s="935"/>
      <c r="CU165" s="935"/>
      <c r="CV165" s="935"/>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row>
    <row r="166" spans="1:177" s="516" customFormat="1">
      <c r="A166" s="375">
        <f t="shared" si="48"/>
        <v>8</v>
      </c>
      <c r="B166" s="455">
        <v>44425</v>
      </c>
      <c r="C166" s="445" t="s">
        <v>2001</v>
      </c>
      <c r="D166" s="376" t="str">
        <f>IFERROR(VLOOKUP(E:E,'Item Data Support Sheet'!A:O,7,0),"")</f>
        <v>NIPPLE MOLDED</v>
      </c>
      <c r="E166" s="446" t="s">
        <v>72</v>
      </c>
      <c r="F166" s="490" t="s">
        <v>1678</v>
      </c>
      <c r="G166" s="376" t="s">
        <v>1691</v>
      </c>
      <c r="H166" s="602" t="str">
        <f>IFERROR(VLOOKUP(E:E,'Item Data Support Sheet'!A:O,2,0),"")</f>
        <v>NIPPLE S TYPE S SIZE INJECTION</v>
      </c>
      <c r="I166" s="496" t="s">
        <v>2436</v>
      </c>
      <c r="J166" s="447" t="s">
        <v>2810</v>
      </c>
      <c r="K166" s="491">
        <v>8</v>
      </c>
      <c r="L166" s="499">
        <v>4815</v>
      </c>
      <c r="M166" s="366">
        <f t="shared" si="64"/>
        <v>601.875</v>
      </c>
      <c r="N166" s="367">
        <f t="shared" si="47"/>
        <v>5417</v>
      </c>
      <c r="O166" s="61">
        <f>2000+3300</f>
        <v>5300</v>
      </c>
      <c r="P166" s="368">
        <v>0</v>
      </c>
      <c r="Q166" s="369">
        <v>45</v>
      </c>
      <c r="R166" s="370">
        <v>0</v>
      </c>
      <c r="S166" s="370">
        <v>0</v>
      </c>
      <c r="T166" s="370">
        <v>72</v>
      </c>
      <c r="U166" s="370">
        <v>0</v>
      </c>
      <c r="V166" s="450">
        <v>1</v>
      </c>
      <c r="W166" s="453">
        <f t="shared" si="49"/>
        <v>5300</v>
      </c>
      <c r="X166" s="748">
        <f t="shared" si="50"/>
        <v>1.1007268951194185</v>
      </c>
      <c r="Y166" s="451" t="str">
        <f>IFERROR(VLOOKUP(E:E,'Item Data Support Sheet'!A:J,6,0),0)</f>
        <v>Silicon</v>
      </c>
      <c r="Z166" s="428">
        <f>IFERROR(VLOOKUP(E:E,'Item Data Support Sheet'!A:O,4,0),0)</f>
        <v>6.8</v>
      </c>
      <c r="AA166" s="428">
        <f t="shared" si="51"/>
        <v>36.835599999999999</v>
      </c>
      <c r="AB166" s="429">
        <f t="shared" si="52"/>
        <v>0.97840132914897548</v>
      </c>
      <c r="AC166" s="424">
        <f t="shared" si="53"/>
        <v>1.3402829486224869E-2</v>
      </c>
      <c r="AD166" s="371">
        <f t="shared" si="54"/>
        <v>8.2387403881362137E-3</v>
      </c>
      <c r="AE166" s="748">
        <f t="shared" si="55"/>
        <v>0.98670851024552331</v>
      </c>
      <c r="AF166" s="417">
        <f t="shared" si="56"/>
        <v>0</v>
      </c>
      <c r="AG166" s="416">
        <f t="shared" si="57"/>
        <v>8</v>
      </c>
      <c r="AH166" s="372">
        <f t="shared" si="58"/>
        <v>1</v>
      </c>
      <c r="AI166" s="373">
        <f t="shared" si="59"/>
        <v>662.5</v>
      </c>
      <c r="AJ166" s="418">
        <f>VLOOKUP(D166,'Standard Cycle time'!C:D,2,0)</f>
        <v>5.25</v>
      </c>
      <c r="AK166" s="418">
        <f t="shared" si="60"/>
        <v>5.4339622641509431</v>
      </c>
      <c r="AL166" s="374">
        <f t="shared" si="61"/>
        <v>0.96614583333333337</v>
      </c>
      <c r="AM166" s="372">
        <f t="shared" si="62"/>
        <v>0.95330431588825304</v>
      </c>
      <c r="AN166" s="799" t="s">
        <v>2444</v>
      </c>
      <c r="AO166" s="929"/>
      <c r="AP166" s="440">
        <v>0</v>
      </c>
      <c r="AQ166" s="440">
        <v>0</v>
      </c>
      <c r="AR166" s="440">
        <v>0</v>
      </c>
      <c r="AS166" s="440">
        <v>0</v>
      </c>
      <c r="AT166" s="440">
        <v>0</v>
      </c>
      <c r="AU166" s="440">
        <v>0</v>
      </c>
      <c r="AV166" s="440">
        <v>0</v>
      </c>
      <c r="AW166" s="440">
        <v>0</v>
      </c>
      <c r="AX166" s="440">
        <v>0</v>
      </c>
      <c r="AY166" s="440">
        <v>0</v>
      </c>
      <c r="AZ166" s="440">
        <v>0</v>
      </c>
      <c r="BA166" s="440">
        <v>0</v>
      </c>
      <c r="BB166" s="440">
        <v>0</v>
      </c>
      <c r="BC166" s="440">
        <v>0</v>
      </c>
      <c r="BD166" s="440">
        <v>0</v>
      </c>
      <c r="BE166" s="440">
        <v>0</v>
      </c>
      <c r="BF166" s="440">
        <v>0</v>
      </c>
      <c r="BG166" s="440">
        <v>0</v>
      </c>
      <c r="BH166" s="440">
        <v>0</v>
      </c>
      <c r="BI166" s="440">
        <v>0</v>
      </c>
      <c r="BJ166" s="440">
        <v>0</v>
      </c>
      <c r="BK166" s="440">
        <v>0</v>
      </c>
      <c r="BL166" s="440">
        <v>0</v>
      </c>
      <c r="BM166" s="440">
        <v>0</v>
      </c>
      <c r="BN166" s="440">
        <v>0</v>
      </c>
      <c r="BO166" s="440">
        <v>0</v>
      </c>
      <c r="BP166" s="440">
        <v>0</v>
      </c>
      <c r="BQ166" s="440">
        <v>0</v>
      </c>
      <c r="BR166" s="415">
        <f t="shared" si="63"/>
        <v>0</v>
      </c>
      <c r="BS166" s="415">
        <f t="shared" si="65"/>
        <v>0</v>
      </c>
      <c r="BT166" s="935"/>
      <c r="BU166" s="935"/>
      <c r="BV166" s="935"/>
      <c r="BW166" s="935"/>
      <c r="BX166" s="935"/>
      <c r="BY166" s="935"/>
      <c r="BZ166" s="935"/>
      <c r="CA166" s="935"/>
      <c r="CB166" s="935"/>
      <c r="CC166" s="935"/>
      <c r="CD166" s="935"/>
      <c r="CE166" s="935"/>
      <c r="CF166" s="935"/>
      <c r="CG166" s="935"/>
      <c r="CH166" s="935"/>
      <c r="CI166" s="935"/>
      <c r="CJ166" s="935"/>
      <c r="CK166" s="935"/>
      <c r="CL166" s="935"/>
      <c r="CM166" s="935"/>
      <c r="CN166" s="935"/>
      <c r="CO166" s="935"/>
      <c r="CP166" s="935"/>
      <c r="CQ166" s="935"/>
      <c r="CR166" s="935"/>
      <c r="CS166" s="935"/>
      <c r="CT166" s="935"/>
      <c r="CU166" s="935"/>
      <c r="CV166" s="935"/>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row>
    <row r="167" spans="1:177" s="516" customFormat="1">
      <c r="A167" s="375">
        <f t="shared" si="48"/>
        <v>8</v>
      </c>
      <c r="B167" s="455">
        <v>44425</v>
      </c>
      <c r="C167" s="445" t="s">
        <v>2001</v>
      </c>
      <c r="D167" s="376" t="str">
        <f>IFERROR(VLOOKUP(E:E,'Item Data Support Sheet'!A:O,7,0),"")</f>
        <v>BOTTLE MOLDED</v>
      </c>
      <c r="E167" s="446" t="s">
        <v>14</v>
      </c>
      <c r="F167" s="490" t="s">
        <v>1681</v>
      </c>
      <c r="G167" s="376" t="s">
        <v>1888</v>
      </c>
      <c r="H167" s="602" t="str">
        <f>IFERROR(VLOOKUP(E:E,'Item Data Support Sheet'!A:O,2,0),"")</f>
        <v>KPP 240 ML BOTTLE MOLDED</v>
      </c>
      <c r="I167" s="496" t="s">
        <v>2437</v>
      </c>
      <c r="J167" s="447" t="s">
        <v>2810</v>
      </c>
      <c r="K167" s="636">
        <v>8</v>
      </c>
      <c r="L167" s="499">
        <v>2574</v>
      </c>
      <c r="M167" s="366">
        <f t="shared" si="64"/>
        <v>321.75</v>
      </c>
      <c r="N167" s="367">
        <f t="shared" si="47"/>
        <v>3180</v>
      </c>
      <c r="O167" s="61">
        <f>29*108</f>
        <v>3132</v>
      </c>
      <c r="P167" s="368">
        <v>0.1</v>
      </c>
      <c r="Q167" s="369">
        <v>0</v>
      </c>
      <c r="R167" s="370">
        <v>0</v>
      </c>
      <c r="S167" s="370">
        <v>0</v>
      </c>
      <c r="T167" s="370">
        <v>48</v>
      </c>
      <c r="U167" s="370">
        <v>0</v>
      </c>
      <c r="V167" s="450">
        <v>1</v>
      </c>
      <c r="W167" s="453">
        <f t="shared" si="49"/>
        <v>3132</v>
      </c>
      <c r="X167" s="748">
        <f t="shared" si="50"/>
        <v>1.2167832167832169</v>
      </c>
      <c r="Y167" s="451" t="str">
        <f>IFERROR(VLOOKUP(E:E,'Item Data Support Sheet'!A:J,6,0),0)</f>
        <v>HMC</v>
      </c>
      <c r="Z167" s="428">
        <f>IFERROR(VLOOKUP(E:E,'Item Data Support Sheet'!A:O,4,0),0)</f>
        <v>32.1</v>
      </c>
      <c r="AA167" s="428">
        <f t="shared" si="51"/>
        <v>102.17800000000001</v>
      </c>
      <c r="AB167" s="429">
        <f t="shared" si="52"/>
        <v>0.9839417487130302</v>
      </c>
      <c r="AC167" s="424">
        <f t="shared" si="53"/>
        <v>1.509433962264151E-2</v>
      </c>
      <c r="AD167" s="371">
        <f t="shared" si="54"/>
        <v>0</v>
      </c>
      <c r="AE167" s="748">
        <f t="shared" si="55"/>
        <v>0.98490566037735849</v>
      </c>
      <c r="AF167" s="417">
        <f t="shared" si="56"/>
        <v>0</v>
      </c>
      <c r="AG167" s="416">
        <f t="shared" si="57"/>
        <v>8</v>
      </c>
      <c r="AH167" s="372">
        <f t="shared" si="58"/>
        <v>1</v>
      </c>
      <c r="AI167" s="373">
        <f t="shared" si="59"/>
        <v>391.5</v>
      </c>
      <c r="AJ167" s="418">
        <f>VLOOKUP(D167,'Standard Cycle time'!C:D,2,0)</f>
        <v>9</v>
      </c>
      <c r="AK167" s="418">
        <f t="shared" si="60"/>
        <v>9.1954022988505741</v>
      </c>
      <c r="AL167" s="374">
        <f t="shared" si="61"/>
        <v>0.97875000000000001</v>
      </c>
      <c r="AM167" s="372">
        <f t="shared" si="62"/>
        <v>0.96397641509433962</v>
      </c>
      <c r="AN167" s="799">
        <v>2472</v>
      </c>
      <c r="AO167" s="761"/>
      <c r="AP167" s="440">
        <v>0</v>
      </c>
      <c r="AQ167" s="440">
        <v>0</v>
      </c>
      <c r="AR167" s="440">
        <v>0</v>
      </c>
      <c r="AS167" s="440">
        <v>0</v>
      </c>
      <c r="AT167" s="440">
        <v>0</v>
      </c>
      <c r="AU167" s="440">
        <v>0</v>
      </c>
      <c r="AV167" s="440">
        <v>0</v>
      </c>
      <c r="AW167" s="440">
        <v>0</v>
      </c>
      <c r="AX167" s="440">
        <v>0</v>
      </c>
      <c r="AY167" s="440">
        <v>0</v>
      </c>
      <c r="AZ167" s="440">
        <v>0</v>
      </c>
      <c r="BA167" s="440">
        <v>0</v>
      </c>
      <c r="BB167" s="440">
        <v>0</v>
      </c>
      <c r="BC167" s="440">
        <v>0</v>
      </c>
      <c r="BD167" s="440">
        <v>0</v>
      </c>
      <c r="BE167" s="440">
        <v>0</v>
      </c>
      <c r="BF167" s="440">
        <v>0</v>
      </c>
      <c r="BG167" s="440">
        <v>0</v>
      </c>
      <c r="BH167" s="440">
        <v>0</v>
      </c>
      <c r="BI167" s="440">
        <v>0</v>
      </c>
      <c r="BJ167" s="440">
        <v>0</v>
      </c>
      <c r="BK167" s="440">
        <v>0</v>
      </c>
      <c r="BL167" s="440">
        <v>0</v>
      </c>
      <c r="BM167" s="440">
        <v>0</v>
      </c>
      <c r="BN167" s="440">
        <v>0</v>
      </c>
      <c r="BO167" s="440">
        <v>0</v>
      </c>
      <c r="BP167" s="440">
        <v>0</v>
      </c>
      <c r="BQ167" s="440">
        <v>0</v>
      </c>
      <c r="BR167" s="415">
        <f t="shared" si="63"/>
        <v>0</v>
      </c>
      <c r="BS167" s="415">
        <f t="shared" si="65"/>
        <v>0</v>
      </c>
      <c r="BT167" s="935"/>
      <c r="BU167" s="935"/>
      <c r="BV167" s="935"/>
      <c r="BW167" s="935"/>
      <c r="BX167" s="935"/>
      <c r="BY167" s="935"/>
      <c r="BZ167" s="935"/>
      <c r="CA167" s="935"/>
      <c r="CB167" s="935"/>
      <c r="CC167" s="935"/>
      <c r="CD167" s="935"/>
      <c r="CE167" s="935"/>
      <c r="CF167" s="935"/>
      <c r="CG167" s="935"/>
      <c r="CH167" s="935"/>
      <c r="CI167" s="935"/>
      <c r="CJ167" s="935"/>
      <c r="CK167" s="935"/>
      <c r="CL167" s="935"/>
      <c r="CM167" s="935"/>
      <c r="CN167" s="935"/>
      <c r="CO167" s="935"/>
      <c r="CP167" s="935"/>
      <c r="CQ167" s="935"/>
      <c r="CR167" s="935"/>
      <c r="CS167" s="935"/>
      <c r="CT167" s="935"/>
      <c r="CU167" s="935"/>
      <c r="CV167" s="935"/>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row>
    <row r="168" spans="1:177" s="516" customFormat="1">
      <c r="A168" s="375">
        <f t="shared" si="48"/>
        <v>8</v>
      </c>
      <c r="B168" s="455">
        <v>44425</v>
      </c>
      <c r="C168" s="445" t="s">
        <v>2001</v>
      </c>
      <c r="D168" s="376" t="str">
        <f>IFERROR(VLOOKUP(E:E,'Item Data Support Sheet'!A:O,7,0),"")</f>
        <v>NIPPLE PUNCH</v>
      </c>
      <c r="E168" s="446" t="s">
        <v>80</v>
      </c>
      <c r="F168" s="490"/>
      <c r="G168" s="376" t="s">
        <v>1692</v>
      </c>
      <c r="H168" s="602" t="str">
        <f>IFERROR(VLOOKUP(E:E,'Item Data Support Sheet'!A:O,2,0),"")</f>
        <v>NIPPLE S TYPE S SIZE PUNCHED</v>
      </c>
      <c r="I168" s="496" t="s">
        <v>2439</v>
      </c>
      <c r="J168" s="447" t="s">
        <v>2810</v>
      </c>
      <c r="K168" s="636">
        <v>8</v>
      </c>
      <c r="L168" s="499">
        <v>7036</v>
      </c>
      <c r="M168" s="366">
        <f t="shared" si="64"/>
        <v>879.5</v>
      </c>
      <c r="N168" s="367">
        <f t="shared" si="47"/>
        <v>7300</v>
      </c>
      <c r="O168" s="61">
        <v>7300</v>
      </c>
      <c r="P168" s="368">
        <v>0</v>
      </c>
      <c r="Q168" s="369">
        <v>0</v>
      </c>
      <c r="R168" s="370">
        <v>0</v>
      </c>
      <c r="S168" s="370">
        <v>0</v>
      </c>
      <c r="T168" s="370">
        <v>0</v>
      </c>
      <c r="U168" s="370">
        <v>0</v>
      </c>
      <c r="V168" s="450">
        <v>1</v>
      </c>
      <c r="W168" s="453">
        <f t="shared" si="49"/>
        <v>7300</v>
      </c>
      <c r="X168" s="748">
        <f t="shared" si="50"/>
        <v>1.0375213189312109</v>
      </c>
      <c r="Y168" s="451" t="str">
        <f>IFERROR(VLOOKUP(E:E,'Item Data Support Sheet'!A:J,6,0),0)</f>
        <v>FO015</v>
      </c>
      <c r="Z168" s="428">
        <f>IFERROR(VLOOKUP(E:E,'Item Data Support Sheet'!A:O,4,0),0)</f>
        <v>0</v>
      </c>
      <c r="AA168" s="428">
        <f t="shared" si="51"/>
        <v>0</v>
      </c>
      <c r="AB168" s="429" t="str">
        <f t="shared" si="52"/>
        <v xml:space="preserve"> </v>
      </c>
      <c r="AC168" s="424">
        <f t="shared" si="53"/>
        <v>0</v>
      </c>
      <c r="AD168" s="371">
        <f t="shared" si="54"/>
        <v>0</v>
      </c>
      <c r="AE168" s="748">
        <f t="shared" si="55"/>
        <v>1</v>
      </c>
      <c r="AF168" s="417">
        <f t="shared" si="56"/>
        <v>0.66666666666666663</v>
      </c>
      <c r="AG168" s="416">
        <f t="shared" si="57"/>
        <v>7.333333333333333</v>
      </c>
      <c r="AH168" s="372">
        <f t="shared" si="58"/>
        <v>0.91666666666666663</v>
      </c>
      <c r="AI168" s="373">
        <f t="shared" si="59"/>
        <v>912.5</v>
      </c>
      <c r="AJ168" s="418">
        <f>VLOOKUP(D168,'Standard Cycle time'!C:D,2,0)</f>
        <v>3.5</v>
      </c>
      <c r="AK168" s="418">
        <f t="shared" si="60"/>
        <v>3.6164383561643834</v>
      </c>
      <c r="AL168" s="374">
        <f t="shared" si="61"/>
        <v>0.96780303030303039</v>
      </c>
      <c r="AM168" s="372">
        <f t="shared" si="62"/>
        <v>0.88715277777777779</v>
      </c>
      <c r="AN168" s="799" t="s">
        <v>2441</v>
      </c>
      <c r="AO168" s="929"/>
      <c r="AP168" s="440">
        <v>40</v>
      </c>
      <c r="AQ168" s="440">
        <v>0</v>
      </c>
      <c r="AR168" s="440">
        <v>0</v>
      </c>
      <c r="AS168" s="440">
        <v>0</v>
      </c>
      <c r="AT168" s="440">
        <v>0</v>
      </c>
      <c r="AU168" s="440">
        <v>0</v>
      </c>
      <c r="AV168" s="440">
        <v>0</v>
      </c>
      <c r="AW168" s="440">
        <v>0</v>
      </c>
      <c r="AX168" s="440">
        <v>0</v>
      </c>
      <c r="AY168" s="440">
        <v>0</v>
      </c>
      <c r="AZ168" s="440">
        <v>0</v>
      </c>
      <c r="BA168" s="440">
        <v>0</v>
      </c>
      <c r="BB168" s="440">
        <v>0</v>
      </c>
      <c r="BC168" s="440">
        <v>0</v>
      </c>
      <c r="BD168" s="440">
        <v>0</v>
      </c>
      <c r="BE168" s="440">
        <v>0</v>
      </c>
      <c r="BF168" s="440">
        <v>0</v>
      </c>
      <c r="BG168" s="440">
        <v>0</v>
      </c>
      <c r="BH168" s="440">
        <v>0</v>
      </c>
      <c r="BI168" s="440">
        <v>0</v>
      </c>
      <c r="BJ168" s="440">
        <v>0</v>
      </c>
      <c r="BK168" s="440">
        <v>0</v>
      </c>
      <c r="BL168" s="440">
        <v>0</v>
      </c>
      <c r="BM168" s="440">
        <v>0</v>
      </c>
      <c r="BN168" s="440">
        <v>0</v>
      </c>
      <c r="BO168" s="440">
        <v>0</v>
      </c>
      <c r="BP168" s="440">
        <v>0</v>
      </c>
      <c r="BQ168" s="440">
        <v>0</v>
      </c>
      <c r="BR168" s="415">
        <f t="shared" si="63"/>
        <v>0.66666666666666663</v>
      </c>
      <c r="BS168" s="415">
        <f t="shared" si="65"/>
        <v>0.6777777777777777</v>
      </c>
      <c r="BT168" s="935"/>
      <c r="BU168" s="935"/>
      <c r="BV168" s="935"/>
      <c r="BW168" s="935"/>
      <c r="BX168" s="935"/>
      <c r="BY168" s="935"/>
      <c r="BZ168" s="935"/>
      <c r="CA168" s="935"/>
      <c r="CB168" s="935"/>
      <c r="CC168" s="935"/>
      <c r="CD168" s="935"/>
      <c r="CE168" s="935"/>
      <c r="CF168" s="935"/>
      <c r="CG168" s="935"/>
      <c r="CH168" s="935"/>
      <c r="CI168" s="935"/>
      <c r="CJ168" s="935"/>
      <c r="CK168" s="935"/>
      <c r="CL168" s="935"/>
      <c r="CM168" s="935"/>
      <c r="CN168" s="935"/>
      <c r="CO168" s="935"/>
      <c r="CP168" s="935"/>
      <c r="CQ168" s="935"/>
      <c r="CR168" s="935"/>
      <c r="CS168" s="935"/>
      <c r="CT168" s="935"/>
      <c r="CU168" s="935"/>
      <c r="CV168" s="935"/>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row>
    <row r="169" spans="1:177" s="442" customFormat="1" ht="16.5" customHeight="1">
      <c r="A169" s="375">
        <f t="shared" si="48"/>
        <v>8</v>
      </c>
      <c r="B169" s="455">
        <v>44425</v>
      </c>
      <c r="C169" s="445" t="s">
        <v>2001</v>
      </c>
      <c r="D169" s="376" t="str">
        <f>IFERROR(VLOOKUP(E:E,'Item Data Support Sheet'!A:O,7,0),"")</f>
        <v>NIPPLE LASER MARKING</v>
      </c>
      <c r="E169" s="446" t="s">
        <v>1814</v>
      </c>
      <c r="F169" s="447"/>
      <c r="G169" s="376" t="s">
        <v>2438</v>
      </c>
      <c r="H169" s="602" t="str">
        <f>IFERROR(VLOOKUP(E:E,'Item Data Support Sheet'!A:O,2,0),"")</f>
        <v>NIPPLE S TYPE S SIZE PUNCHED LASER MARKED</v>
      </c>
      <c r="I169" s="496" t="s">
        <v>2440</v>
      </c>
      <c r="J169" s="447" t="s">
        <v>2810</v>
      </c>
      <c r="K169" s="636">
        <v>8</v>
      </c>
      <c r="L169" s="499">
        <v>7036</v>
      </c>
      <c r="M169" s="366">
        <f t="shared" si="64"/>
        <v>879.5</v>
      </c>
      <c r="N169" s="367">
        <f t="shared" si="47"/>
        <v>6000</v>
      </c>
      <c r="O169" s="61">
        <v>6000</v>
      </c>
      <c r="P169" s="368">
        <v>0</v>
      </c>
      <c r="Q169" s="369">
        <v>0</v>
      </c>
      <c r="R169" s="370">
        <v>0</v>
      </c>
      <c r="S169" s="370">
        <v>0</v>
      </c>
      <c r="T169" s="370">
        <v>0</v>
      </c>
      <c r="U169" s="370">
        <v>0</v>
      </c>
      <c r="V169" s="450">
        <v>1</v>
      </c>
      <c r="W169" s="453">
        <f t="shared" si="49"/>
        <v>6000</v>
      </c>
      <c r="X169" s="748">
        <f t="shared" si="50"/>
        <v>0.85275724843661171</v>
      </c>
      <c r="Y169" s="451" t="str">
        <f>IFERROR(VLOOKUP(E:E,'Item Data Support Sheet'!A:J,6,0),0)</f>
        <v>FO019</v>
      </c>
      <c r="Z169" s="428">
        <f>IFERROR(VLOOKUP(E:E,'Item Data Support Sheet'!A:O,4,0),0)</f>
        <v>0</v>
      </c>
      <c r="AA169" s="428">
        <f t="shared" si="51"/>
        <v>0</v>
      </c>
      <c r="AB169" s="429" t="str">
        <f t="shared" si="52"/>
        <v xml:space="preserve"> </v>
      </c>
      <c r="AC169" s="424">
        <f t="shared" si="53"/>
        <v>0</v>
      </c>
      <c r="AD169" s="371">
        <f t="shared" si="54"/>
        <v>0</v>
      </c>
      <c r="AE169" s="748">
        <f t="shared" si="55"/>
        <v>1</v>
      </c>
      <c r="AF169" s="417">
        <f t="shared" si="56"/>
        <v>1.6666666666666667</v>
      </c>
      <c r="AG169" s="416">
        <f t="shared" si="57"/>
        <v>6.333333333333333</v>
      </c>
      <c r="AH169" s="372">
        <f t="shared" si="58"/>
        <v>0.79166666666666663</v>
      </c>
      <c r="AI169" s="373">
        <f t="shared" si="59"/>
        <v>750</v>
      </c>
      <c r="AJ169" s="418">
        <f>VLOOKUP(D169,'Standard Cycle time'!C:D,2,0)</f>
        <v>3.5</v>
      </c>
      <c r="AK169" s="418">
        <f t="shared" si="60"/>
        <v>3.8</v>
      </c>
      <c r="AL169" s="374">
        <f t="shared" si="61"/>
        <v>0.92105263157894746</v>
      </c>
      <c r="AM169" s="372">
        <f t="shared" si="62"/>
        <v>0.72916666666666674</v>
      </c>
      <c r="AN169" s="799" t="s">
        <v>2445</v>
      </c>
      <c r="AO169" s="931" t="s">
        <v>2446</v>
      </c>
      <c r="AP169" s="440">
        <v>40</v>
      </c>
      <c r="AQ169" s="440">
        <v>0</v>
      </c>
      <c r="AR169" s="440">
        <v>0</v>
      </c>
      <c r="AS169" s="440">
        <v>0</v>
      </c>
      <c r="AT169" s="440">
        <v>0</v>
      </c>
      <c r="AU169" s="440">
        <v>0</v>
      </c>
      <c r="AV169" s="440">
        <v>60</v>
      </c>
      <c r="AW169" s="440">
        <v>0</v>
      </c>
      <c r="AX169" s="440">
        <v>0</v>
      </c>
      <c r="AY169" s="440">
        <v>0</v>
      </c>
      <c r="AZ169" s="440">
        <v>0</v>
      </c>
      <c r="BA169" s="440">
        <v>0</v>
      </c>
      <c r="BB169" s="440">
        <v>0</v>
      </c>
      <c r="BC169" s="440">
        <v>0</v>
      </c>
      <c r="BD169" s="440">
        <v>0</v>
      </c>
      <c r="BE169" s="440">
        <v>0</v>
      </c>
      <c r="BF169" s="440">
        <v>0</v>
      </c>
      <c r="BG169" s="440">
        <v>0</v>
      </c>
      <c r="BH169" s="440">
        <v>0</v>
      </c>
      <c r="BI169" s="440">
        <v>0</v>
      </c>
      <c r="BJ169" s="440">
        <v>0</v>
      </c>
      <c r="BK169" s="440">
        <v>0</v>
      </c>
      <c r="BL169" s="440">
        <v>0</v>
      </c>
      <c r="BM169" s="440">
        <v>0</v>
      </c>
      <c r="BN169" s="440">
        <v>0</v>
      </c>
      <c r="BO169" s="440">
        <v>0</v>
      </c>
      <c r="BP169" s="440">
        <v>0</v>
      </c>
      <c r="BQ169" s="440">
        <v>0</v>
      </c>
      <c r="BR169" s="415">
        <f t="shared" si="63"/>
        <v>1.6666666666666667</v>
      </c>
      <c r="BS169" s="415">
        <f t="shared" si="65"/>
        <v>1.6944444444444444</v>
      </c>
      <c r="BT169" s="935"/>
      <c r="BU169" s="935"/>
      <c r="BV169" s="935"/>
      <c r="BW169" s="935"/>
      <c r="BX169" s="935"/>
      <c r="BY169" s="935"/>
      <c r="BZ169" s="935"/>
      <c r="CA169" s="935"/>
      <c r="CB169" s="935"/>
      <c r="CC169" s="935"/>
      <c r="CD169" s="935"/>
      <c r="CE169" s="935"/>
      <c r="CF169" s="935"/>
      <c r="CG169" s="935"/>
      <c r="CH169" s="935"/>
      <c r="CI169" s="935"/>
      <c r="CJ169" s="935"/>
      <c r="CK169" s="935"/>
      <c r="CL169" s="935"/>
      <c r="CM169" s="935"/>
      <c r="CN169" s="935"/>
      <c r="CO169" s="935"/>
      <c r="CP169" s="935"/>
      <c r="CQ169" s="935"/>
      <c r="CR169" s="935"/>
      <c r="CS169" s="935"/>
      <c r="CT169" s="935"/>
      <c r="CU169" s="935"/>
      <c r="CV169" s="935"/>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row>
    <row r="170" spans="1:177" ht="13.5" customHeight="1">
      <c r="A170" s="375">
        <f t="shared" si="48"/>
        <v>8</v>
      </c>
      <c r="B170" s="455">
        <v>44425</v>
      </c>
      <c r="C170" s="445" t="s">
        <v>2001</v>
      </c>
      <c r="D170" s="376" t="str">
        <f>IFERROR(VLOOKUP(E:E,'Item Data Support Sheet'!A:O,7,0),"")</f>
        <v>CAP MOLDED</v>
      </c>
      <c r="E170" s="446" t="s">
        <v>2109</v>
      </c>
      <c r="F170" s="447"/>
      <c r="G170" s="376" t="s">
        <v>2220</v>
      </c>
      <c r="H170" s="602" t="str">
        <f>IFERROR(VLOOKUP(E:E,'Item Data Support Sheet'!A:O,2,0),"")</f>
        <v>CAP S TYPE MOLDED PALE BLUE</v>
      </c>
      <c r="I170" s="496" t="s">
        <v>2442</v>
      </c>
      <c r="J170" s="447" t="s">
        <v>2810</v>
      </c>
      <c r="K170" s="491">
        <v>2.5</v>
      </c>
      <c r="L170" s="499">
        <v>1290</v>
      </c>
      <c r="M170" s="366">
        <f t="shared" si="64"/>
        <v>516</v>
      </c>
      <c r="N170" s="367">
        <f t="shared" si="47"/>
        <v>1350</v>
      </c>
      <c r="O170" s="61">
        <v>1350</v>
      </c>
      <c r="P170" s="368">
        <v>0</v>
      </c>
      <c r="Q170" s="369">
        <v>0</v>
      </c>
      <c r="R170" s="370">
        <v>0</v>
      </c>
      <c r="S170" s="370">
        <v>0</v>
      </c>
      <c r="T170" s="370">
        <v>0</v>
      </c>
      <c r="U170" s="370">
        <v>0</v>
      </c>
      <c r="V170" s="450">
        <v>1</v>
      </c>
      <c r="W170" s="453">
        <f t="shared" si="49"/>
        <v>1350</v>
      </c>
      <c r="X170" s="748">
        <f t="shared" si="50"/>
        <v>1.0465116279069768</v>
      </c>
      <c r="Y170" s="451" t="str">
        <f>IFERROR(VLOOKUP(E:E,'Item Data Support Sheet'!A:J,6,0),0)</f>
        <v>RM000115</v>
      </c>
      <c r="Z170" s="428">
        <f>IFERROR(VLOOKUP(E:E,'Item Data Support Sheet'!A:O,4,0),0)</f>
        <v>7.3</v>
      </c>
      <c r="AA170" s="428">
        <f t="shared" si="51"/>
        <v>9.8550000000000004</v>
      </c>
      <c r="AB170" s="429">
        <f t="shared" si="52"/>
        <v>1</v>
      </c>
      <c r="AC170" s="424">
        <f t="shared" si="53"/>
        <v>0</v>
      </c>
      <c r="AD170" s="371">
        <f t="shared" si="54"/>
        <v>0</v>
      </c>
      <c r="AE170" s="748">
        <f t="shared" si="55"/>
        <v>1</v>
      </c>
      <c r="AF170" s="417">
        <f t="shared" si="56"/>
        <v>0</v>
      </c>
      <c r="AG170" s="416">
        <f t="shared" si="57"/>
        <v>2.5</v>
      </c>
      <c r="AH170" s="372">
        <f t="shared" si="58"/>
        <v>1</v>
      </c>
      <c r="AI170" s="373">
        <f t="shared" si="59"/>
        <v>540</v>
      </c>
      <c r="AJ170" s="418">
        <f>VLOOKUP(D170,'Standard Cycle time'!C:D,2,0)</f>
        <v>6</v>
      </c>
      <c r="AK170" s="418">
        <f t="shared" si="60"/>
        <v>6.666666666666667</v>
      </c>
      <c r="AL170" s="374">
        <f t="shared" si="61"/>
        <v>0.89999999999999991</v>
      </c>
      <c r="AM170" s="372">
        <f t="shared" si="62"/>
        <v>0.89999999999999991</v>
      </c>
      <c r="AN170" s="799">
        <v>2692</v>
      </c>
      <c r="AO170" s="761"/>
      <c r="AP170" s="440">
        <v>0</v>
      </c>
      <c r="AQ170" s="440">
        <v>0</v>
      </c>
      <c r="AR170" s="440">
        <v>0</v>
      </c>
      <c r="AS170" s="440">
        <v>0</v>
      </c>
      <c r="AT170" s="440">
        <v>0</v>
      </c>
      <c r="AU170" s="440">
        <v>0</v>
      </c>
      <c r="AV170" s="440">
        <v>0</v>
      </c>
      <c r="AW170" s="440">
        <v>0</v>
      </c>
      <c r="AX170" s="440">
        <v>0</v>
      </c>
      <c r="AY170" s="440">
        <v>0</v>
      </c>
      <c r="AZ170" s="440">
        <v>0</v>
      </c>
      <c r="BA170" s="440">
        <v>0</v>
      </c>
      <c r="BB170" s="440">
        <v>0</v>
      </c>
      <c r="BC170" s="440">
        <v>0</v>
      </c>
      <c r="BD170" s="440">
        <v>0</v>
      </c>
      <c r="BE170" s="440">
        <v>0</v>
      </c>
      <c r="BF170" s="440">
        <v>0</v>
      </c>
      <c r="BG170" s="440">
        <v>0</v>
      </c>
      <c r="BH170" s="440">
        <v>0</v>
      </c>
      <c r="BI170" s="440">
        <v>0</v>
      </c>
      <c r="BJ170" s="440">
        <v>0</v>
      </c>
      <c r="BK170" s="440">
        <v>0</v>
      </c>
      <c r="BL170" s="440">
        <v>0</v>
      </c>
      <c r="BM170" s="440">
        <v>0</v>
      </c>
      <c r="BN170" s="440">
        <v>0</v>
      </c>
      <c r="BO170" s="440">
        <v>0</v>
      </c>
      <c r="BP170" s="440">
        <v>0</v>
      </c>
      <c r="BQ170" s="440">
        <v>0</v>
      </c>
      <c r="BR170" s="415">
        <f t="shared" si="63"/>
        <v>0</v>
      </c>
      <c r="BS170" s="415">
        <f t="shared" si="65"/>
        <v>0</v>
      </c>
      <c r="BT170" s="935"/>
      <c r="BU170" s="935"/>
      <c r="BV170" s="935"/>
      <c r="BW170" s="935"/>
      <c r="BX170" s="935"/>
      <c r="BY170" s="935"/>
      <c r="BZ170" s="935"/>
      <c r="CA170" s="935"/>
      <c r="CB170" s="935"/>
      <c r="CC170" s="935"/>
      <c r="CD170" s="935"/>
      <c r="CE170" s="935"/>
      <c r="CF170" s="935"/>
      <c r="CG170" s="935"/>
      <c r="CH170" s="935"/>
      <c r="CI170" s="935"/>
      <c r="CJ170" s="935"/>
      <c r="CK170" s="935"/>
      <c r="CL170" s="935"/>
      <c r="CM170" s="935"/>
      <c r="CN170" s="935"/>
      <c r="CO170" s="935"/>
      <c r="CP170" s="935"/>
      <c r="CQ170" s="935"/>
      <c r="CR170" s="935"/>
      <c r="CS170" s="935"/>
      <c r="CT170" s="935"/>
      <c r="CU170" s="935"/>
      <c r="CV170" s="935"/>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row>
    <row r="171" spans="1:177">
      <c r="A171" s="375">
        <f t="shared" si="48"/>
        <v>8</v>
      </c>
      <c r="B171" s="455">
        <v>44425</v>
      </c>
      <c r="C171" s="445" t="s">
        <v>2001</v>
      </c>
      <c r="D171" s="376" t="str">
        <f>IFERROR(VLOOKUP(E:E,'Item Data Support Sheet'!A:O,7,0),"")</f>
        <v>CAP MOLDED</v>
      </c>
      <c r="E171" s="446" t="s">
        <v>2109</v>
      </c>
      <c r="F171" s="490"/>
      <c r="G171" s="376" t="s">
        <v>2220</v>
      </c>
      <c r="H171" s="602" t="str">
        <f>IFERROR(VLOOKUP(E:E,'Item Data Support Sheet'!A:O,2,0),"")</f>
        <v>CAP S TYPE MOLDED PALE BLUE</v>
      </c>
      <c r="I171" s="496" t="s">
        <v>2443</v>
      </c>
      <c r="J171" s="447" t="s">
        <v>2810</v>
      </c>
      <c r="K171" s="491">
        <f>8-2.5</f>
        <v>5.5</v>
      </c>
      <c r="L171" s="499">
        <f>4137-1290</f>
        <v>2847</v>
      </c>
      <c r="M171" s="366">
        <f t="shared" si="64"/>
        <v>517.63636363636363</v>
      </c>
      <c r="N171" s="367">
        <f t="shared" si="47"/>
        <v>3008</v>
      </c>
      <c r="O171" s="61">
        <v>3000</v>
      </c>
      <c r="P171" s="368">
        <v>0</v>
      </c>
      <c r="Q171" s="369">
        <v>0</v>
      </c>
      <c r="R171" s="370">
        <v>0</v>
      </c>
      <c r="S171" s="370">
        <v>0</v>
      </c>
      <c r="T171" s="370">
        <v>8</v>
      </c>
      <c r="U171" s="370">
        <v>0</v>
      </c>
      <c r="V171" s="450">
        <v>1</v>
      </c>
      <c r="W171" s="453">
        <f t="shared" si="49"/>
        <v>3000</v>
      </c>
      <c r="X171" s="748">
        <f t="shared" si="50"/>
        <v>1.053740779768177</v>
      </c>
      <c r="Y171" s="451" t="str">
        <f>IFERROR(VLOOKUP(E:E,'Item Data Support Sheet'!A:J,6,0),0)</f>
        <v>RM000115</v>
      </c>
      <c r="Z171" s="428">
        <f>IFERROR(VLOOKUP(E:E,'Item Data Support Sheet'!A:O,4,0),0)</f>
        <v>7.3</v>
      </c>
      <c r="AA171" s="428">
        <f t="shared" si="51"/>
        <v>21.958400000000001</v>
      </c>
      <c r="AB171" s="429">
        <f t="shared" si="52"/>
        <v>0.99734042553191482</v>
      </c>
      <c r="AC171" s="424">
        <f t="shared" si="53"/>
        <v>2.6595744680851063E-3</v>
      </c>
      <c r="AD171" s="371">
        <f t="shared" si="54"/>
        <v>0</v>
      </c>
      <c r="AE171" s="748">
        <f t="shared" si="55"/>
        <v>0.99734042553191493</v>
      </c>
      <c r="AF171" s="417">
        <f t="shared" si="56"/>
        <v>0</v>
      </c>
      <c r="AG171" s="416">
        <f t="shared" si="57"/>
        <v>5.5</v>
      </c>
      <c r="AH171" s="372">
        <f t="shared" si="58"/>
        <v>1</v>
      </c>
      <c r="AI171" s="373">
        <f t="shared" si="59"/>
        <v>545.4545454545455</v>
      </c>
      <c r="AJ171" s="418">
        <f>VLOOKUP(D171,'Standard Cycle time'!C:D,2,0)</f>
        <v>6</v>
      </c>
      <c r="AK171" s="418">
        <f t="shared" si="60"/>
        <v>6.6</v>
      </c>
      <c r="AL171" s="374">
        <f t="shared" si="61"/>
        <v>0.90909090909090917</v>
      </c>
      <c r="AM171" s="372">
        <f t="shared" si="62"/>
        <v>0.9066731141199228</v>
      </c>
      <c r="AN171" s="799">
        <v>2693</v>
      </c>
      <c r="AO171" s="761"/>
      <c r="AP171" s="440">
        <v>0</v>
      </c>
      <c r="AQ171" s="440">
        <v>0</v>
      </c>
      <c r="AR171" s="440">
        <v>0</v>
      </c>
      <c r="AS171" s="440">
        <v>0</v>
      </c>
      <c r="AT171" s="440">
        <v>0</v>
      </c>
      <c r="AU171" s="440">
        <v>0</v>
      </c>
      <c r="AV171" s="440">
        <v>0</v>
      </c>
      <c r="AW171" s="440">
        <v>0</v>
      </c>
      <c r="AX171" s="440">
        <v>0</v>
      </c>
      <c r="AY171" s="440">
        <v>0</v>
      </c>
      <c r="AZ171" s="440">
        <v>0</v>
      </c>
      <c r="BA171" s="440">
        <v>0</v>
      </c>
      <c r="BB171" s="440">
        <v>0</v>
      </c>
      <c r="BC171" s="440">
        <v>0</v>
      </c>
      <c r="BD171" s="440">
        <v>0</v>
      </c>
      <c r="BE171" s="440">
        <v>0</v>
      </c>
      <c r="BF171" s="440">
        <v>0</v>
      </c>
      <c r="BG171" s="440">
        <v>0</v>
      </c>
      <c r="BH171" s="440">
        <v>0</v>
      </c>
      <c r="BI171" s="440">
        <v>0</v>
      </c>
      <c r="BJ171" s="440">
        <v>0</v>
      </c>
      <c r="BK171" s="440">
        <v>0</v>
      </c>
      <c r="BL171" s="440">
        <v>0</v>
      </c>
      <c r="BM171" s="440">
        <v>0</v>
      </c>
      <c r="BN171" s="440">
        <v>0</v>
      </c>
      <c r="BO171" s="440">
        <v>0</v>
      </c>
      <c r="BP171" s="440">
        <v>0</v>
      </c>
      <c r="BQ171" s="440">
        <v>0</v>
      </c>
      <c r="BR171" s="415">
        <f t="shared" si="63"/>
        <v>0</v>
      </c>
      <c r="BS171" s="415">
        <f t="shared" si="65"/>
        <v>0</v>
      </c>
      <c r="BT171" s="935"/>
      <c r="BU171" s="935"/>
      <c r="BV171" s="935"/>
      <c r="BW171" s="935"/>
      <c r="BX171" s="935"/>
      <c r="BY171" s="935"/>
      <c r="BZ171" s="935"/>
      <c r="CA171" s="935"/>
      <c r="CB171" s="935"/>
      <c r="CC171" s="935"/>
      <c r="CD171" s="935"/>
      <c r="CE171" s="935"/>
      <c r="CF171" s="935"/>
      <c r="CG171" s="935"/>
      <c r="CH171" s="935"/>
      <c r="CI171" s="935"/>
      <c r="CJ171" s="935"/>
      <c r="CK171" s="935"/>
      <c r="CL171" s="935"/>
      <c r="CM171" s="935"/>
      <c r="CN171" s="935"/>
      <c r="CO171" s="935"/>
      <c r="CP171" s="935"/>
      <c r="CQ171" s="935"/>
      <c r="CR171" s="935"/>
      <c r="CS171" s="935"/>
      <c r="CT171" s="935"/>
      <c r="CU171" s="935"/>
      <c r="CV171" s="935"/>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row>
    <row r="172" spans="1:177" s="441" customFormat="1" ht="15.65" customHeight="1">
      <c r="A172" s="375">
        <f t="shared" si="48"/>
        <v>8</v>
      </c>
      <c r="B172" s="455">
        <v>44425</v>
      </c>
      <c r="C172" s="445" t="s">
        <v>2053</v>
      </c>
      <c r="D172" s="376" t="str">
        <f>IFERROR(VLOOKUP(E:E,'Item Data Support Sheet'!A:O,7,0),"")</f>
        <v>CAP MOLDED</v>
      </c>
      <c r="E172" s="446" t="s">
        <v>2109</v>
      </c>
      <c r="F172" s="447"/>
      <c r="G172" s="376" t="s">
        <v>2220</v>
      </c>
      <c r="H172" s="602" t="str">
        <f>IFERROR(VLOOKUP(E:E,'Item Data Support Sheet'!A:O,2,0),"")</f>
        <v>CAP S TYPE MOLDED PALE BLUE</v>
      </c>
      <c r="I172" s="496" t="s">
        <v>2448</v>
      </c>
      <c r="J172" s="447" t="s">
        <v>2808</v>
      </c>
      <c r="K172" s="802">
        <v>3</v>
      </c>
      <c r="L172" s="499">
        <f>4137-L173</f>
        <v>1537</v>
      </c>
      <c r="M172" s="366">
        <f t="shared" si="64"/>
        <v>512.33333333333337</v>
      </c>
      <c r="N172" s="367">
        <f t="shared" si="47"/>
        <v>1578</v>
      </c>
      <c r="O172" s="61">
        <v>1570</v>
      </c>
      <c r="P172" s="368">
        <v>0.19</v>
      </c>
      <c r="Q172" s="369">
        <v>0</v>
      </c>
      <c r="R172" s="370">
        <v>0</v>
      </c>
      <c r="S172" s="370">
        <v>0</v>
      </c>
      <c r="T172" s="370">
        <v>0</v>
      </c>
      <c r="U172" s="370">
        <v>8</v>
      </c>
      <c r="V172" s="450">
        <v>1</v>
      </c>
      <c r="W172" s="453">
        <f t="shared" si="49"/>
        <v>1570</v>
      </c>
      <c r="X172" s="748">
        <f t="shared" si="50"/>
        <v>1.0214703968770331</v>
      </c>
      <c r="Y172" s="451" t="str">
        <f>IFERROR(VLOOKUP(E:E,'Item Data Support Sheet'!A:J,6,0),0)</f>
        <v>RM000115</v>
      </c>
      <c r="Z172" s="428">
        <f>IFERROR(VLOOKUP(E:E,'Item Data Support Sheet'!A:O,4,0),0)</f>
        <v>7.3</v>
      </c>
      <c r="AA172" s="428">
        <f t="shared" si="51"/>
        <v>11.7094</v>
      </c>
      <c r="AB172" s="429">
        <f t="shared" si="52"/>
        <v>0.97878627427536846</v>
      </c>
      <c r="AC172" s="424">
        <f t="shared" si="53"/>
        <v>0</v>
      </c>
      <c r="AD172" s="371">
        <f t="shared" si="54"/>
        <v>0</v>
      </c>
      <c r="AE172" s="748">
        <f t="shared" si="55"/>
        <v>1</v>
      </c>
      <c r="AF172" s="417">
        <f t="shared" si="56"/>
        <v>0.5</v>
      </c>
      <c r="AG172" s="416">
        <f t="shared" si="57"/>
        <v>2.5</v>
      </c>
      <c r="AH172" s="372">
        <f t="shared" si="58"/>
        <v>0.83333333333333337</v>
      </c>
      <c r="AI172" s="373">
        <f t="shared" si="59"/>
        <v>523.33333333333337</v>
      </c>
      <c r="AJ172" s="418">
        <f>VLOOKUP(D172,'Standard Cycle time'!C:D,2,0)</f>
        <v>6</v>
      </c>
      <c r="AK172" s="418">
        <f t="shared" si="60"/>
        <v>5.7324840764331206</v>
      </c>
      <c r="AL172" s="374">
        <f t="shared" si="61"/>
        <v>1.0466666666666666</v>
      </c>
      <c r="AM172" s="372">
        <f t="shared" si="62"/>
        <v>0.87222222222222223</v>
      </c>
      <c r="AN172" s="799">
        <v>2693</v>
      </c>
      <c r="AO172" s="761" t="s">
        <v>2453</v>
      </c>
      <c r="AP172" s="440">
        <v>0</v>
      </c>
      <c r="AQ172" s="440">
        <v>30</v>
      </c>
      <c r="AR172" s="440">
        <v>0</v>
      </c>
      <c r="AS172" s="440">
        <v>0</v>
      </c>
      <c r="AT172" s="440">
        <v>0</v>
      </c>
      <c r="AU172" s="440">
        <v>0</v>
      </c>
      <c r="AV172" s="440">
        <v>0</v>
      </c>
      <c r="AW172" s="440">
        <v>0</v>
      </c>
      <c r="AX172" s="440">
        <v>0</v>
      </c>
      <c r="AY172" s="440">
        <v>0</v>
      </c>
      <c r="AZ172" s="440">
        <v>0</v>
      </c>
      <c r="BA172" s="440">
        <v>0</v>
      </c>
      <c r="BB172" s="440">
        <v>0</v>
      </c>
      <c r="BC172" s="440">
        <v>0</v>
      </c>
      <c r="BD172" s="440">
        <v>0</v>
      </c>
      <c r="BE172" s="440">
        <v>0</v>
      </c>
      <c r="BF172" s="440">
        <v>0</v>
      </c>
      <c r="BG172" s="440">
        <v>0</v>
      </c>
      <c r="BH172" s="440">
        <v>0</v>
      </c>
      <c r="BI172" s="440">
        <v>0</v>
      </c>
      <c r="BJ172" s="440">
        <v>0</v>
      </c>
      <c r="BK172" s="440">
        <v>0</v>
      </c>
      <c r="BL172" s="440">
        <v>0</v>
      </c>
      <c r="BM172" s="440">
        <v>0</v>
      </c>
      <c r="BN172" s="440">
        <v>0</v>
      </c>
      <c r="BO172" s="440">
        <v>0</v>
      </c>
      <c r="BP172" s="440">
        <v>0</v>
      </c>
      <c r="BQ172" s="440">
        <v>0</v>
      </c>
      <c r="BR172" s="415">
        <f t="shared" si="63"/>
        <v>0.5</v>
      </c>
      <c r="BS172" s="415">
        <f t="shared" si="65"/>
        <v>0.5083333333333333</v>
      </c>
      <c r="BT172" s="935"/>
      <c r="BU172" s="935"/>
      <c r="BV172" s="935"/>
      <c r="BW172" s="935"/>
      <c r="BX172" s="935"/>
      <c r="BY172" s="935"/>
      <c r="BZ172" s="935"/>
      <c r="CA172" s="935"/>
      <c r="CB172" s="935"/>
      <c r="CC172" s="935"/>
      <c r="CD172" s="935"/>
      <c r="CE172" s="935"/>
      <c r="CF172" s="935"/>
      <c r="CG172" s="935"/>
      <c r="CH172" s="935"/>
      <c r="CI172" s="935"/>
      <c r="CJ172" s="935"/>
      <c r="CK172" s="935"/>
      <c r="CL172" s="935"/>
      <c r="CM172" s="935"/>
      <c r="CN172" s="935"/>
      <c r="CO172" s="935"/>
      <c r="CP172" s="935"/>
      <c r="CQ172" s="935"/>
      <c r="CR172" s="935"/>
      <c r="CS172" s="935"/>
      <c r="CT172" s="935"/>
      <c r="CU172" s="935"/>
      <c r="CV172" s="935"/>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row>
    <row r="173" spans="1:177">
      <c r="A173" s="375">
        <f t="shared" si="48"/>
        <v>8</v>
      </c>
      <c r="B173" s="455">
        <v>44425</v>
      </c>
      <c r="C173" s="445" t="s">
        <v>2053</v>
      </c>
      <c r="D173" s="376" t="str">
        <f>IFERROR(VLOOKUP(E:E,'Item Data Support Sheet'!A:O,7,0),"")</f>
        <v>CAP MOLDED</v>
      </c>
      <c r="E173" s="446" t="s">
        <v>2110</v>
      </c>
      <c r="F173" s="447"/>
      <c r="G173" s="376" t="s">
        <v>2220</v>
      </c>
      <c r="H173" s="602" t="str">
        <f>IFERROR(VLOOKUP(E:E,'Item Data Support Sheet'!A:O,2,0),"")</f>
        <v>CAP S TYPE MOLDED WHITE</v>
      </c>
      <c r="I173" s="496" t="s">
        <v>2447</v>
      </c>
      <c r="J173" s="447" t="s">
        <v>2808</v>
      </c>
      <c r="K173" s="802">
        <v>5</v>
      </c>
      <c r="L173" s="499">
        <v>2600</v>
      </c>
      <c r="M173" s="366">
        <f t="shared" si="64"/>
        <v>520</v>
      </c>
      <c r="N173" s="367">
        <f t="shared" si="47"/>
        <v>3012</v>
      </c>
      <c r="O173" s="61">
        <v>3000</v>
      </c>
      <c r="P173" s="368">
        <v>0</v>
      </c>
      <c r="Q173" s="369">
        <v>0</v>
      </c>
      <c r="R173" s="370">
        <v>0</v>
      </c>
      <c r="S173" s="370">
        <v>0</v>
      </c>
      <c r="T173" s="370">
        <v>4</v>
      </c>
      <c r="U173" s="370">
        <v>8</v>
      </c>
      <c r="V173" s="450">
        <v>1</v>
      </c>
      <c r="W173" s="453">
        <f t="shared" si="49"/>
        <v>3000</v>
      </c>
      <c r="X173" s="748">
        <f t="shared" si="50"/>
        <v>1.1538461538461537</v>
      </c>
      <c r="Y173" s="451" t="str">
        <f>IFERROR(VLOOKUP(E:E,'Item Data Support Sheet'!A:J,6,0),0)</f>
        <v>RM000106</v>
      </c>
      <c r="Z173" s="428">
        <f>IFERROR(VLOOKUP(E:E,'Item Data Support Sheet'!A:O,4,0),0)</f>
        <v>7.3</v>
      </c>
      <c r="AA173" s="428">
        <f t="shared" si="51"/>
        <v>21.9876</v>
      </c>
      <c r="AB173" s="429">
        <f t="shared" si="52"/>
        <v>0.99601593625497997</v>
      </c>
      <c r="AC173" s="424">
        <f t="shared" si="53"/>
        <v>1.3315579227696406E-3</v>
      </c>
      <c r="AD173" s="371">
        <f t="shared" si="54"/>
        <v>0</v>
      </c>
      <c r="AE173" s="748">
        <f t="shared" si="55"/>
        <v>0.99867197875166003</v>
      </c>
      <c r="AF173" s="417">
        <f t="shared" si="56"/>
        <v>0</v>
      </c>
      <c r="AG173" s="416">
        <f t="shared" si="57"/>
        <v>5</v>
      </c>
      <c r="AH173" s="372">
        <f t="shared" si="58"/>
        <v>1</v>
      </c>
      <c r="AI173" s="373">
        <f t="shared" si="59"/>
        <v>600</v>
      </c>
      <c r="AJ173" s="418">
        <f>VLOOKUP(D173,'Standard Cycle time'!C:D,2,0)</f>
        <v>6</v>
      </c>
      <c r="AK173" s="418">
        <f t="shared" si="60"/>
        <v>6</v>
      </c>
      <c r="AL173" s="374">
        <f t="shared" si="61"/>
        <v>1</v>
      </c>
      <c r="AM173" s="372">
        <f t="shared" si="62"/>
        <v>0.99867197875166003</v>
      </c>
      <c r="AN173" s="799">
        <v>2694</v>
      </c>
      <c r="AO173" s="761"/>
      <c r="AP173" s="440">
        <v>0</v>
      </c>
      <c r="AQ173" s="440">
        <v>0</v>
      </c>
      <c r="AR173" s="440">
        <v>0</v>
      </c>
      <c r="AS173" s="440">
        <v>0</v>
      </c>
      <c r="AT173" s="440">
        <v>0</v>
      </c>
      <c r="AU173" s="440">
        <v>0</v>
      </c>
      <c r="AV173" s="440">
        <v>0</v>
      </c>
      <c r="AW173" s="440">
        <v>0</v>
      </c>
      <c r="AX173" s="440">
        <v>0</v>
      </c>
      <c r="AY173" s="440">
        <v>0</v>
      </c>
      <c r="AZ173" s="440">
        <v>0</v>
      </c>
      <c r="BA173" s="440">
        <v>0</v>
      </c>
      <c r="BB173" s="440">
        <v>0</v>
      </c>
      <c r="BC173" s="440">
        <v>0</v>
      </c>
      <c r="BD173" s="440">
        <v>0</v>
      </c>
      <c r="BE173" s="440">
        <v>0</v>
      </c>
      <c r="BF173" s="440">
        <v>0</v>
      </c>
      <c r="BG173" s="440">
        <v>0</v>
      </c>
      <c r="BH173" s="440">
        <v>0</v>
      </c>
      <c r="BI173" s="440">
        <v>0</v>
      </c>
      <c r="BJ173" s="440">
        <v>0</v>
      </c>
      <c r="BK173" s="440">
        <v>0</v>
      </c>
      <c r="BL173" s="440">
        <v>0</v>
      </c>
      <c r="BM173" s="440">
        <v>0</v>
      </c>
      <c r="BN173" s="440">
        <v>0</v>
      </c>
      <c r="BO173" s="440">
        <v>0</v>
      </c>
      <c r="BP173" s="440">
        <v>0</v>
      </c>
      <c r="BQ173" s="440">
        <v>0</v>
      </c>
      <c r="BR173" s="415">
        <f t="shared" si="63"/>
        <v>0</v>
      </c>
      <c r="BS173" s="415">
        <f t="shared" si="65"/>
        <v>0</v>
      </c>
      <c r="BT173" s="935"/>
      <c r="BU173" s="935"/>
      <c r="BV173" s="935"/>
      <c r="BW173" s="935"/>
      <c r="BX173" s="935"/>
      <c r="BY173" s="935"/>
      <c r="BZ173" s="935"/>
      <c r="CA173" s="935"/>
      <c r="CB173" s="935"/>
      <c r="CC173" s="935"/>
      <c r="CD173" s="935"/>
      <c r="CE173" s="935"/>
      <c r="CF173" s="935"/>
      <c r="CG173" s="935"/>
      <c r="CH173" s="935"/>
      <c r="CI173" s="935"/>
      <c r="CJ173" s="935"/>
      <c r="CK173" s="935"/>
      <c r="CL173" s="935"/>
      <c r="CM173" s="935"/>
      <c r="CN173" s="935"/>
      <c r="CO173" s="935"/>
      <c r="CP173" s="935"/>
      <c r="CQ173" s="935"/>
      <c r="CR173" s="935"/>
      <c r="CS173" s="935"/>
      <c r="CT173" s="935"/>
      <c r="CU173" s="935"/>
      <c r="CV173" s="935"/>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row>
    <row r="174" spans="1:177">
      <c r="A174" s="375">
        <f t="shared" si="48"/>
        <v>8</v>
      </c>
      <c r="B174" s="455">
        <v>44425</v>
      </c>
      <c r="C174" s="445" t="s">
        <v>2053</v>
      </c>
      <c r="D174" s="376" t="str">
        <f>IFERROR(VLOOKUP(E:E,'Item Data Support Sheet'!A:O,7,0),"")</f>
        <v>NIPPLE MOLDED</v>
      </c>
      <c r="E174" s="446" t="s">
        <v>72</v>
      </c>
      <c r="F174" s="490" t="s">
        <v>1678</v>
      </c>
      <c r="G174" s="376" t="s">
        <v>1691</v>
      </c>
      <c r="H174" s="602" t="str">
        <f>IFERROR(VLOOKUP(E:E,'Item Data Support Sheet'!A:O,2,0),"")</f>
        <v>NIPPLE S TYPE S SIZE INJECTION</v>
      </c>
      <c r="I174" s="496" t="s">
        <v>2449</v>
      </c>
      <c r="J174" s="447" t="s">
        <v>2808</v>
      </c>
      <c r="K174" s="491">
        <v>8</v>
      </c>
      <c r="L174" s="499">
        <v>4815</v>
      </c>
      <c r="M174" s="366">
        <f t="shared" si="64"/>
        <v>601.875</v>
      </c>
      <c r="N174" s="367">
        <f t="shared" si="47"/>
        <v>5326</v>
      </c>
      <c r="O174" s="61">
        <v>5200</v>
      </c>
      <c r="P174" s="368">
        <f>0.73+0.625+1.48+0.125+0.125+1.53+0.625+0.7</f>
        <v>5.94</v>
      </c>
      <c r="Q174" s="369">
        <v>64</v>
      </c>
      <c r="R174" s="370">
        <v>0</v>
      </c>
      <c r="S174" s="370">
        <v>0</v>
      </c>
      <c r="T174" s="370">
        <f>126-72</f>
        <v>54</v>
      </c>
      <c r="U174" s="370">
        <v>8</v>
      </c>
      <c r="V174" s="450">
        <v>1</v>
      </c>
      <c r="W174" s="453">
        <f t="shared" si="49"/>
        <v>5200</v>
      </c>
      <c r="X174" s="748">
        <f t="shared" si="50"/>
        <v>1.0799584631360333</v>
      </c>
      <c r="Y174" s="451" t="str">
        <f>IFERROR(VLOOKUP(E:E,'Item Data Support Sheet'!A:J,6,0),0)</f>
        <v>Silicon</v>
      </c>
      <c r="Z174" s="428">
        <f>IFERROR(VLOOKUP(E:E,'Item Data Support Sheet'!A:O,4,0),0)</f>
        <v>6.8</v>
      </c>
      <c r="AA174" s="428">
        <f t="shared" si="51"/>
        <v>42.156799999999997</v>
      </c>
      <c r="AB174" s="429">
        <f t="shared" si="52"/>
        <v>0.83877334143008964</v>
      </c>
      <c r="AC174" s="424">
        <f t="shared" si="53"/>
        <v>1.0277883517320136E-2</v>
      </c>
      <c r="AD174" s="371">
        <f t="shared" si="54"/>
        <v>1.1873840445269016E-2</v>
      </c>
      <c r="AE174" s="748">
        <f t="shared" si="55"/>
        <v>0.98986105895606458</v>
      </c>
      <c r="AF174" s="417">
        <f t="shared" si="56"/>
        <v>0.75</v>
      </c>
      <c r="AG174" s="416">
        <f t="shared" si="57"/>
        <v>7.25</v>
      </c>
      <c r="AH174" s="372">
        <f t="shared" si="58"/>
        <v>0.90625</v>
      </c>
      <c r="AI174" s="373">
        <f t="shared" si="59"/>
        <v>650</v>
      </c>
      <c r="AJ174" s="418">
        <f>VLOOKUP(D174,'Standard Cycle time'!C:D,2,0)</f>
        <v>5.25</v>
      </c>
      <c r="AK174" s="418">
        <f t="shared" si="60"/>
        <v>5.0192307692307692</v>
      </c>
      <c r="AL174" s="374">
        <f t="shared" si="61"/>
        <v>1.0459770114942528</v>
      </c>
      <c r="AM174" s="372">
        <f t="shared" si="62"/>
        <v>0.93830579546876958</v>
      </c>
      <c r="AN174" s="799">
        <v>2474</v>
      </c>
      <c r="AO174" s="929" t="s">
        <v>2451</v>
      </c>
      <c r="AP174" s="440">
        <v>0</v>
      </c>
      <c r="AQ174" s="440">
        <v>0</v>
      </c>
      <c r="AR174" s="440">
        <v>0</v>
      </c>
      <c r="AS174" s="440">
        <v>0</v>
      </c>
      <c r="AT174" s="440">
        <v>0</v>
      </c>
      <c r="AU174" s="440">
        <v>25</v>
      </c>
      <c r="AV174" s="440">
        <v>0</v>
      </c>
      <c r="AW174" s="440">
        <v>0</v>
      </c>
      <c r="AX174" s="440">
        <v>20</v>
      </c>
      <c r="AY174" s="440">
        <v>0</v>
      </c>
      <c r="AZ174" s="440">
        <v>0</v>
      </c>
      <c r="BA174" s="440">
        <v>0</v>
      </c>
      <c r="BB174" s="440">
        <v>0</v>
      </c>
      <c r="BC174" s="440">
        <v>0</v>
      </c>
      <c r="BD174" s="440">
        <v>0</v>
      </c>
      <c r="BE174" s="440">
        <v>0</v>
      </c>
      <c r="BF174" s="440">
        <v>0</v>
      </c>
      <c r="BG174" s="440">
        <v>0</v>
      </c>
      <c r="BH174" s="440">
        <v>0</v>
      </c>
      <c r="BI174" s="440">
        <v>0</v>
      </c>
      <c r="BJ174" s="440">
        <v>0</v>
      </c>
      <c r="BK174" s="440">
        <v>0</v>
      </c>
      <c r="BL174" s="440">
        <v>0</v>
      </c>
      <c r="BM174" s="440">
        <v>0</v>
      </c>
      <c r="BN174" s="440">
        <v>0</v>
      </c>
      <c r="BO174" s="440">
        <v>0</v>
      </c>
      <c r="BP174" s="440">
        <v>0</v>
      </c>
      <c r="BQ174" s="440">
        <v>0</v>
      </c>
      <c r="BR174" s="415">
        <f t="shared" si="63"/>
        <v>0.75</v>
      </c>
      <c r="BS174" s="415">
        <f t="shared" si="65"/>
        <v>0.76249999999999996</v>
      </c>
      <c r="BT174" s="935"/>
      <c r="BU174" s="935"/>
      <c r="BV174" s="935"/>
      <c r="BW174" s="935"/>
      <c r="BX174" s="935"/>
      <c r="BY174" s="935"/>
      <c r="BZ174" s="935"/>
      <c r="CA174" s="935"/>
      <c r="CB174" s="935"/>
      <c r="CC174" s="935"/>
      <c r="CD174" s="935"/>
      <c r="CE174" s="935"/>
      <c r="CF174" s="935"/>
      <c r="CG174" s="935"/>
      <c r="CH174" s="935"/>
      <c r="CI174" s="935"/>
      <c r="CJ174" s="935"/>
      <c r="CK174" s="935"/>
      <c r="CL174" s="935"/>
      <c r="CM174" s="935"/>
      <c r="CN174" s="935"/>
      <c r="CO174" s="935"/>
      <c r="CP174" s="935"/>
      <c r="CQ174" s="935"/>
      <c r="CR174" s="935"/>
      <c r="CS174" s="935"/>
      <c r="CT174" s="935"/>
      <c r="CU174" s="935"/>
      <c r="CV174" s="935"/>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row>
    <row r="175" spans="1:177" s="441" customFormat="1" ht="29">
      <c r="A175" s="375">
        <f t="shared" si="48"/>
        <v>8</v>
      </c>
      <c r="B175" s="455">
        <v>44425</v>
      </c>
      <c r="C175" s="445" t="s">
        <v>2053</v>
      </c>
      <c r="D175" s="376" t="str">
        <f>IFERROR(VLOOKUP(E:E,'Item Data Support Sheet'!A:O,7,0),"")</f>
        <v>BOTTLE MOLDED</v>
      </c>
      <c r="E175" s="446" t="s">
        <v>14</v>
      </c>
      <c r="F175" s="490" t="s">
        <v>1681</v>
      </c>
      <c r="G175" s="376" t="s">
        <v>1888</v>
      </c>
      <c r="H175" s="602" t="str">
        <f>IFERROR(VLOOKUP(E:E,'Item Data Support Sheet'!A:O,2,0),"")</f>
        <v>KPP 240 ML BOTTLE MOLDED</v>
      </c>
      <c r="I175" s="496" t="s">
        <v>2450</v>
      </c>
      <c r="J175" s="447" t="s">
        <v>2808</v>
      </c>
      <c r="K175" s="636">
        <v>8</v>
      </c>
      <c r="L175" s="499">
        <v>2574</v>
      </c>
      <c r="M175" s="366">
        <f t="shared" si="64"/>
        <v>321.75</v>
      </c>
      <c r="N175" s="367">
        <f t="shared" si="47"/>
        <v>3305</v>
      </c>
      <c r="O175" s="61">
        <f>30*108</f>
        <v>3240</v>
      </c>
      <c r="P175" s="368">
        <v>0</v>
      </c>
      <c r="Q175" s="369">
        <v>20</v>
      </c>
      <c r="R175" s="370">
        <v>0</v>
      </c>
      <c r="S175" s="370">
        <v>0</v>
      </c>
      <c r="T175" s="370">
        <v>37</v>
      </c>
      <c r="U175" s="370">
        <v>8</v>
      </c>
      <c r="V175" s="450">
        <v>1</v>
      </c>
      <c r="W175" s="453">
        <f t="shared" si="49"/>
        <v>3240</v>
      </c>
      <c r="X175" s="748">
        <f t="shared" si="50"/>
        <v>1.2587412587412588</v>
      </c>
      <c r="Y175" s="451" t="str">
        <f>IFERROR(VLOOKUP(E:E,'Item Data Support Sheet'!A:J,6,0),0)</f>
        <v>HMC</v>
      </c>
      <c r="Z175" s="428">
        <f>IFERROR(VLOOKUP(E:E,'Item Data Support Sheet'!A:O,4,0),0)</f>
        <v>32.1</v>
      </c>
      <c r="AA175" s="428">
        <f t="shared" si="51"/>
        <v>106.09050000000001</v>
      </c>
      <c r="AB175" s="429">
        <f t="shared" si="52"/>
        <v>0.98033282904689867</v>
      </c>
      <c r="AC175" s="424">
        <f t="shared" si="53"/>
        <v>1.1290814769606347E-2</v>
      </c>
      <c r="AD175" s="371">
        <f t="shared" si="54"/>
        <v>6.0150375939849628E-3</v>
      </c>
      <c r="AE175" s="748">
        <f t="shared" si="55"/>
        <v>0.98880484114977307</v>
      </c>
      <c r="AF175" s="417">
        <f t="shared" si="56"/>
        <v>0.33333333333333331</v>
      </c>
      <c r="AG175" s="416">
        <f t="shared" si="57"/>
        <v>7.666666666666667</v>
      </c>
      <c r="AH175" s="372">
        <f t="shared" si="58"/>
        <v>0.95833333333333337</v>
      </c>
      <c r="AI175" s="373">
        <f t="shared" si="59"/>
        <v>405</v>
      </c>
      <c r="AJ175" s="418">
        <f>VLOOKUP(D175,'Standard Cycle time'!C:D,2,0)</f>
        <v>9</v>
      </c>
      <c r="AK175" s="418">
        <f t="shared" si="60"/>
        <v>8.518518518518519</v>
      </c>
      <c r="AL175" s="374">
        <f t="shared" si="61"/>
        <v>1.0565217391304347</v>
      </c>
      <c r="AM175" s="372">
        <f t="shared" si="62"/>
        <v>1.0011649016641453</v>
      </c>
      <c r="AN175" s="799" t="s">
        <v>2456</v>
      </c>
      <c r="AO175" s="761" t="s">
        <v>2455</v>
      </c>
      <c r="AP175" s="440">
        <v>0</v>
      </c>
      <c r="AQ175" s="440">
        <v>0</v>
      </c>
      <c r="AR175" s="440">
        <v>0</v>
      </c>
      <c r="AS175" s="440">
        <v>0</v>
      </c>
      <c r="AT175" s="440">
        <v>0</v>
      </c>
      <c r="AU175" s="440">
        <v>0</v>
      </c>
      <c r="AV175" s="440">
        <v>0</v>
      </c>
      <c r="AW175" s="440">
        <v>0</v>
      </c>
      <c r="AX175" s="440">
        <v>0</v>
      </c>
      <c r="AY175" s="440">
        <v>0</v>
      </c>
      <c r="AZ175" s="440">
        <v>20</v>
      </c>
      <c r="BA175" s="440">
        <v>0</v>
      </c>
      <c r="BB175" s="440">
        <v>0</v>
      </c>
      <c r="BC175" s="440">
        <v>0</v>
      </c>
      <c r="BD175" s="440">
        <v>0</v>
      </c>
      <c r="BE175" s="440">
        <v>0</v>
      </c>
      <c r="BF175" s="440">
        <v>0</v>
      </c>
      <c r="BG175" s="440">
        <v>0</v>
      </c>
      <c r="BH175" s="440">
        <v>0</v>
      </c>
      <c r="BI175" s="440">
        <v>0</v>
      </c>
      <c r="BJ175" s="440">
        <v>0</v>
      </c>
      <c r="BK175" s="440">
        <v>0</v>
      </c>
      <c r="BL175" s="440">
        <v>0</v>
      </c>
      <c r="BM175" s="440">
        <v>0</v>
      </c>
      <c r="BN175" s="440">
        <v>0</v>
      </c>
      <c r="BO175" s="440">
        <v>0</v>
      </c>
      <c r="BP175" s="440">
        <v>0</v>
      </c>
      <c r="BQ175" s="440">
        <v>0</v>
      </c>
      <c r="BR175" s="415">
        <f t="shared" si="63"/>
        <v>0.33333333333333331</v>
      </c>
      <c r="BS175" s="415">
        <f t="shared" si="65"/>
        <v>0.33888888888888885</v>
      </c>
      <c r="BT175" s="935"/>
      <c r="BU175" s="935"/>
      <c r="BV175" s="935"/>
      <c r="BW175" s="935"/>
      <c r="BX175" s="935"/>
      <c r="BY175" s="935"/>
      <c r="BZ175" s="935"/>
      <c r="CA175" s="935"/>
      <c r="CB175" s="935"/>
      <c r="CC175" s="935"/>
      <c r="CD175" s="935"/>
      <c r="CE175" s="935"/>
      <c r="CF175" s="935"/>
      <c r="CG175" s="935"/>
      <c r="CH175" s="935"/>
      <c r="CI175" s="935"/>
      <c r="CJ175" s="935"/>
      <c r="CK175" s="935"/>
      <c r="CL175" s="935"/>
      <c r="CM175" s="935"/>
      <c r="CN175" s="935"/>
      <c r="CO175" s="935"/>
      <c r="CP175" s="935"/>
      <c r="CQ175" s="935"/>
      <c r="CR175" s="935"/>
      <c r="CS175" s="935"/>
      <c r="CT175" s="935"/>
      <c r="CU175" s="935"/>
      <c r="CV175" s="935"/>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row>
    <row r="176" spans="1:177" ht="15.65" customHeight="1">
      <c r="A176" s="375">
        <f t="shared" si="48"/>
        <v>8</v>
      </c>
      <c r="B176" s="455">
        <v>44426</v>
      </c>
      <c r="C176" s="445" t="s">
        <v>1980</v>
      </c>
      <c r="D176" s="376" t="str">
        <f>IFERROR(VLOOKUP(E:E,'Item Data Support Sheet'!A:O,7,0),"")</f>
        <v>NIPPLE MOLDED</v>
      </c>
      <c r="E176" s="446" t="s">
        <v>72</v>
      </c>
      <c r="F176" s="490"/>
      <c r="G176" s="376"/>
      <c r="H176" s="602" t="str">
        <f>IFERROR(VLOOKUP(E:E,'Item Data Support Sheet'!A:O,2,0),"")</f>
        <v>NIPPLE S TYPE S SIZE INJECTION</v>
      </c>
      <c r="I176" s="496" t="s">
        <v>2457</v>
      </c>
      <c r="J176" s="447" t="s">
        <v>2809</v>
      </c>
      <c r="K176" s="491">
        <v>8</v>
      </c>
      <c r="L176" s="499">
        <v>4815</v>
      </c>
      <c r="M176" s="366">
        <f t="shared" si="64"/>
        <v>601.875</v>
      </c>
      <c r="N176" s="367">
        <f t="shared" si="47"/>
        <v>5138</v>
      </c>
      <c r="O176" s="61">
        <v>5000</v>
      </c>
      <c r="P176" s="368">
        <v>0</v>
      </c>
      <c r="Q176" s="369">
        <v>90</v>
      </c>
      <c r="R176" s="370">
        <v>0</v>
      </c>
      <c r="S176" s="370">
        <v>0</v>
      </c>
      <c r="T176" s="370">
        <v>40</v>
      </c>
      <c r="U176" s="370">
        <v>8</v>
      </c>
      <c r="V176" s="450">
        <v>1</v>
      </c>
      <c r="W176" s="453">
        <f t="shared" si="49"/>
        <v>5000</v>
      </c>
      <c r="X176" s="748">
        <f t="shared" si="50"/>
        <v>1.0384215991692627</v>
      </c>
      <c r="Y176" s="451" t="str">
        <f>IFERROR(VLOOKUP(E:E,'Item Data Support Sheet'!A:J,6,0),0)</f>
        <v>Silicon</v>
      </c>
      <c r="Z176" s="428">
        <f>IFERROR(VLOOKUP(E:E,'Item Data Support Sheet'!A:O,4,0),0)</f>
        <v>6.8</v>
      </c>
      <c r="AA176" s="428">
        <f t="shared" si="51"/>
        <v>34.938400000000001</v>
      </c>
      <c r="AB176" s="429">
        <f t="shared" si="52"/>
        <v>0.97314130011677691</v>
      </c>
      <c r="AC176" s="424">
        <f t="shared" si="53"/>
        <v>7.9365079365079361E-3</v>
      </c>
      <c r="AD176" s="371">
        <f t="shared" si="54"/>
        <v>1.7214996174445295E-2</v>
      </c>
      <c r="AE176" s="748">
        <f t="shared" si="55"/>
        <v>0.9922148695990658</v>
      </c>
      <c r="AF176" s="417">
        <f t="shared" si="56"/>
        <v>0</v>
      </c>
      <c r="AG176" s="416">
        <f t="shared" si="57"/>
        <v>8</v>
      </c>
      <c r="AH176" s="372">
        <f t="shared" si="58"/>
        <v>1</v>
      </c>
      <c r="AI176" s="373">
        <f t="shared" si="59"/>
        <v>625</v>
      </c>
      <c r="AJ176" s="418">
        <f>VLOOKUP(D176,'Standard Cycle time'!C:D,2,0)</f>
        <v>5.25</v>
      </c>
      <c r="AK176" s="418">
        <f t="shared" si="60"/>
        <v>5.76</v>
      </c>
      <c r="AL176" s="374">
        <f t="shared" si="61"/>
        <v>0.91145833333333337</v>
      </c>
      <c r="AM176" s="372">
        <f t="shared" si="62"/>
        <v>0.90436251135331525</v>
      </c>
      <c r="AN176" s="799">
        <v>2484</v>
      </c>
      <c r="AO176" s="761" t="s">
        <v>2454</v>
      </c>
      <c r="AP176" s="440">
        <v>0</v>
      </c>
      <c r="AQ176" s="440">
        <v>0</v>
      </c>
      <c r="AR176" s="440">
        <v>0</v>
      </c>
      <c r="AS176" s="440">
        <v>0</v>
      </c>
      <c r="AT176" s="440">
        <v>0</v>
      </c>
      <c r="AU176" s="440">
        <v>0</v>
      </c>
      <c r="AV176" s="440">
        <v>0</v>
      </c>
      <c r="AW176" s="440">
        <v>0</v>
      </c>
      <c r="AX176" s="440">
        <v>0</v>
      </c>
      <c r="AY176" s="440">
        <v>0</v>
      </c>
      <c r="AZ176" s="440">
        <v>0</v>
      </c>
      <c r="BA176" s="440">
        <v>0</v>
      </c>
      <c r="BB176" s="440">
        <v>0</v>
      </c>
      <c r="BC176" s="440">
        <v>0</v>
      </c>
      <c r="BD176" s="440">
        <v>0</v>
      </c>
      <c r="BE176" s="440">
        <v>0</v>
      </c>
      <c r="BF176" s="440">
        <v>0</v>
      </c>
      <c r="BG176" s="440">
        <v>0</v>
      </c>
      <c r="BH176" s="440">
        <v>0</v>
      </c>
      <c r="BI176" s="440">
        <v>0</v>
      </c>
      <c r="BJ176" s="440">
        <v>0</v>
      </c>
      <c r="BK176" s="440">
        <v>0</v>
      </c>
      <c r="BL176" s="440">
        <v>0</v>
      </c>
      <c r="BM176" s="440">
        <v>0</v>
      </c>
      <c r="BN176" s="440">
        <v>0</v>
      </c>
      <c r="BO176" s="440">
        <v>0</v>
      </c>
      <c r="BP176" s="440">
        <v>0</v>
      </c>
      <c r="BQ176" s="440">
        <v>0</v>
      </c>
      <c r="BR176" s="415">
        <f t="shared" si="63"/>
        <v>0</v>
      </c>
      <c r="BS176" s="415">
        <f t="shared" si="65"/>
        <v>0</v>
      </c>
      <c r="BT176" s="935"/>
      <c r="BU176" s="935"/>
      <c r="BV176" s="935"/>
      <c r="BW176" s="935"/>
      <c r="BX176" s="935"/>
      <c r="BY176" s="935"/>
      <c r="BZ176" s="935"/>
      <c r="CA176" s="935"/>
      <c r="CB176" s="935"/>
      <c r="CC176" s="935"/>
      <c r="CD176" s="935"/>
      <c r="CE176" s="935"/>
      <c r="CF176" s="935"/>
      <c r="CG176" s="935"/>
      <c r="CH176" s="935"/>
      <c r="CI176" s="935"/>
      <c r="CJ176" s="935"/>
      <c r="CK176" s="935"/>
      <c r="CL176" s="935"/>
      <c r="CM176" s="935"/>
      <c r="CN176" s="935"/>
      <c r="CO176" s="935"/>
      <c r="CP176" s="935"/>
      <c r="CQ176" s="935"/>
      <c r="CR176" s="935"/>
      <c r="CS176" s="935"/>
      <c r="CT176" s="935"/>
      <c r="CU176" s="935"/>
      <c r="CV176" s="935"/>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row>
    <row r="177" spans="1:100" ht="29">
      <c r="A177" s="375">
        <f t="shared" si="48"/>
        <v>8</v>
      </c>
      <c r="B177" s="455">
        <v>44426</v>
      </c>
      <c r="C177" s="445" t="s">
        <v>1980</v>
      </c>
      <c r="D177" s="376" t="str">
        <f>IFERROR(VLOOKUP(E:E,'Item Data Support Sheet'!A:O,7,0),"")</f>
        <v>BOTTLE MOLDED</v>
      </c>
      <c r="E177" s="447" t="s">
        <v>14</v>
      </c>
      <c r="F177" s="490" t="s">
        <v>1681</v>
      </c>
      <c r="G177" s="376" t="s">
        <v>1888</v>
      </c>
      <c r="H177" s="602" t="str">
        <f>IFERROR(VLOOKUP(E:E,'Item Data Support Sheet'!A:O,2,0),"")</f>
        <v>KPP 240 ML BOTTLE MOLDED</v>
      </c>
      <c r="I177" s="501" t="s">
        <v>2458</v>
      </c>
      <c r="J177" s="447" t="s">
        <v>2809</v>
      </c>
      <c r="K177" s="438">
        <v>8</v>
      </c>
      <c r="L177" s="499">
        <v>2574</v>
      </c>
      <c r="M177" s="366">
        <f t="shared" si="64"/>
        <v>321.75</v>
      </c>
      <c r="N177" s="367">
        <f t="shared" si="47"/>
        <v>3270</v>
      </c>
      <c r="O177" s="61">
        <v>3132</v>
      </c>
      <c r="P177" s="368">
        <v>0.18</v>
      </c>
      <c r="Q177" s="369">
        <v>58</v>
      </c>
      <c r="R177" s="370">
        <v>0</v>
      </c>
      <c r="S177" s="370">
        <v>0</v>
      </c>
      <c r="T177" s="370">
        <v>72</v>
      </c>
      <c r="U177" s="370">
        <v>8</v>
      </c>
      <c r="V177" s="450">
        <v>1</v>
      </c>
      <c r="W177" s="453">
        <f t="shared" si="49"/>
        <v>3132</v>
      </c>
      <c r="X177" s="748">
        <f t="shared" si="50"/>
        <v>1.2167832167832169</v>
      </c>
      <c r="Y177" s="451" t="str">
        <f>IFERROR(VLOOKUP(E:E,'Item Data Support Sheet'!A:J,6,0),0)</f>
        <v>HMC</v>
      </c>
      <c r="Z177" s="428">
        <f>IFERROR(VLOOKUP(E:E,'Item Data Support Sheet'!A:O,4,0),0)</f>
        <v>32.1</v>
      </c>
      <c r="AA177" s="428">
        <f t="shared" si="51"/>
        <v>105.14700000000002</v>
      </c>
      <c r="AB177" s="429">
        <f t="shared" si="52"/>
        <v>0.95615852092784381</v>
      </c>
      <c r="AC177" s="424">
        <f t="shared" si="53"/>
        <v>2.247191011235955E-2</v>
      </c>
      <c r="AD177" s="371">
        <f t="shared" si="54"/>
        <v>1.7427884615384616E-2</v>
      </c>
      <c r="AE177" s="748">
        <f t="shared" si="55"/>
        <v>0.97798165137614679</v>
      </c>
      <c r="AF177" s="417">
        <f t="shared" si="56"/>
        <v>0</v>
      </c>
      <c r="AG177" s="416">
        <f t="shared" si="57"/>
        <v>8</v>
      </c>
      <c r="AH177" s="372">
        <f t="shared" si="58"/>
        <v>1</v>
      </c>
      <c r="AI177" s="373">
        <f t="shared" si="59"/>
        <v>391.5</v>
      </c>
      <c r="AJ177" s="418">
        <f>VLOOKUP(D177,'Standard Cycle time'!C:D,2,0)</f>
        <v>9</v>
      </c>
      <c r="AK177" s="418">
        <f t="shared" si="60"/>
        <v>9.1954022988505741</v>
      </c>
      <c r="AL177" s="374">
        <f t="shared" si="61"/>
        <v>0.97875000000000001</v>
      </c>
      <c r="AM177" s="372">
        <f t="shared" si="62"/>
        <v>0.95719954128440365</v>
      </c>
      <c r="AN177" s="799">
        <v>2485</v>
      </c>
      <c r="AO177" s="761" t="s">
        <v>2465</v>
      </c>
      <c r="AP177" s="440">
        <v>0</v>
      </c>
      <c r="AQ177" s="440">
        <v>0</v>
      </c>
      <c r="AR177" s="440">
        <v>0</v>
      </c>
      <c r="AS177" s="440">
        <v>0</v>
      </c>
      <c r="AT177" s="440">
        <v>0</v>
      </c>
      <c r="AU177" s="440">
        <v>0</v>
      </c>
      <c r="AV177" s="440">
        <v>0</v>
      </c>
      <c r="AW177" s="440">
        <v>0</v>
      </c>
      <c r="AX177" s="440">
        <v>0</v>
      </c>
      <c r="AY177" s="440">
        <v>0</v>
      </c>
      <c r="AZ177" s="440">
        <v>0</v>
      </c>
      <c r="BA177" s="440">
        <v>0</v>
      </c>
      <c r="BB177" s="440">
        <v>0</v>
      </c>
      <c r="BC177" s="440">
        <v>0</v>
      </c>
      <c r="BD177" s="440">
        <v>0</v>
      </c>
      <c r="BE177" s="440">
        <v>0</v>
      </c>
      <c r="BF177" s="440">
        <v>0</v>
      </c>
      <c r="BG177" s="440">
        <v>0</v>
      </c>
      <c r="BH177" s="440">
        <v>0</v>
      </c>
      <c r="BI177" s="440">
        <v>0</v>
      </c>
      <c r="BJ177" s="440">
        <v>0</v>
      </c>
      <c r="BK177" s="440">
        <v>0</v>
      </c>
      <c r="BL177" s="440">
        <v>0</v>
      </c>
      <c r="BM177" s="440">
        <v>0</v>
      </c>
      <c r="BN177" s="440">
        <v>0</v>
      </c>
      <c r="BO177" s="440">
        <v>0</v>
      </c>
      <c r="BP177" s="440">
        <v>0</v>
      </c>
      <c r="BQ177" s="440">
        <v>0</v>
      </c>
      <c r="BR177" s="415">
        <f t="shared" ref="BR177:BR184" si="66">SUM(AP177:BQ177)/60</f>
        <v>0</v>
      </c>
      <c r="BS177" s="415">
        <f t="shared" ref="BS177:BS194" si="67">SUM(AP177:BR177)/60</f>
        <v>0</v>
      </c>
      <c r="BT177" s="935"/>
      <c r="BU177" s="935"/>
      <c r="BV177" s="935"/>
      <c r="BW177" s="935"/>
      <c r="BX177" s="935"/>
      <c r="BY177" s="935"/>
      <c r="BZ177" s="935"/>
      <c r="CA177" s="935"/>
      <c r="CB177" s="935"/>
      <c r="CC177" s="935"/>
      <c r="CD177" s="935"/>
      <c r="CE177" s="935"/>
      <c r="CF177" s="935"/>
      <c r="CG177" s="935"/>
      <c r="CH177" s="935"/>
      <c r="CI177" s="935"/>
      <c r="CJ177" s="935"/>
      <c r="CK177" s="935"/>
      <c r="CL177" s="935"/>
      <c r="CM177" s="935"/>
      <c r="CN177" s="935"/>
      <c r="CO177" s="935"/>
      <c r="CP177" s="935"/>
      <c r="CQ177" s="935"/>
      <c r="CR177" s="935"/>
      <c r="CS177" s="935"/>
      <c r="CT177" s="935"/>
      <c r="CU177" s="935"/>
      <c r="CV177" s="935"/>
    </row>
    <row r="178" spans="1:100">
      <c r="A178" s="375">
        <f t="shared" si="48"/>
        <v>8</v>
      </c>
      <c r="B178" s="455">
        <v>44426</v>
      </c>
      <c r="C178" s="445" t="s">
        <v>1980</v>
      </c>
      <c r="D178" s="376" t="str">
        <f>IFERROR(VLOOKUP(E:E,'Item Data Support Sheet'!A:O,7,0),"")</f>
        <v>NIPPLE PUNCH</v>
      </c>
      <c r="E178" s="447" t="s">
        <v>80</v>
      </c>
      <c r="F178" s="500"/>
      <c r="G178" s="376"/>
      <c r="H178" s="602" t="str">
        <f>IFERROR(VLOOKUP(E:E,'Item Data Support Sheet'!A:O,2,0),"")</f>
        <v>NIPPLE S TYPE S SIZE PUNCHED</v>
      </c>
      <c r="I178" s="501" t="s">
        <v>2459</v>
      </c>
      <c r="J178" s="447" t="s">
        <v>2809</v>
      </c>
      <c r="K178" s="438">
        <v>8</v>
      </c>
      <c r="L178" s="499">
        <v>7000</v>
      </c>
      <c r="M178" s="366">
        <f t="shared" si="64"/>
        <v>875</v>
      </c>
      <c r="N178" s="367">
        <f t="shared" si="47"/>
        <v>7000</v>
      </c>
      <c r="O178" s="61">
        <v>7000</v>
      </c>
      <c r="P178" s="368">
        <v>0</v>
      </c>
      <c r="Q178" s="369">
        <v>0</v>
      </c>
      <c r="R178" s="370">
        <v>0</v>
      </c>
      <c r="S178" s="370">
        <v>0</v>
      </c>
      <c r="T178" s="370">
        <v>0</v>
      </c>
      <c r="U178" s="370">
        <v>0</v>
      </c>
      <c r="V178" s="450">
        <v>1</v>
      </c>
      <c r="W178" s="453">
        <f t="shared" si="49"/>
        <v>7000</v>
      </c>
      <c r="X178" s="748">
        <f t="shared" si="50"/>
        <v>1</v>
      </c>
      <c r="Y178" s="451" t="str">
        <f>IFERROR(VLOOKUP(E:E,'Item Data Support Sheet'!A:J,6,0),0)</f>
        <v>FO015</v>
      </c>
      <c r="Z178" s="428">
        <f>IFERROR(VLOOKUP(E:E,'Item Data Support Sheet'!A:O,4,0),0)</f>
        <v>0</v>
      </c>
      <c r="AA178" s="428">
        <f t="shared" si="51"/>
        <v>0</v>
      </c>
      <c r="AB178" s="429" t="str">
        <f t="shared" si="52"/>
        <v xml:space="preserve"> </v>
      </c>
      <c r="AC178" s="424">
        <f t="shared" si="53"/>
        <v>0</v>
      </c>
      <c r="AD178" s="371">
        <f t="shared" si="54"/>
        <v>0</v>
      </c>
      <c r="AE178" s="748">
        <f t="shared" si="55"/>
        <v>1</v>
      </c>
      <c r="AF178" s="417">
        <f t="shared" si="56"/>
        <v>0.66666666666666663</v>
      </c>
      <c r="AG178" s="416">
        <f t="shared" si="57"/>
        <v>7.333333333333333</v>
      </c>
      <c r="AH178" s="372">
        <f t="shared" si="58"/>
        <v>0.91666666666666663</v>
      </c>
      <c r="AI178" s="373">
        <f t="shared" si="59"/>
        <v>875</v>
      </c>
      <c r="AJ178" s="418">
        <f>VLOOKUP(D178,'Standard Cycle time'!C:D,2,0)</f>
        <v>3.5</v>
      </c>
      <c r="AK178" s="418">
        <f t="shared" si="60"/>
        <v>3.7714285714285714</v>
      </c>
      <c r="AL178" s="374">
        <f t="shared" si="61"/>
        <v>0.92803030303030309</v>
      </c>
      <c r="AM178" s="372">
        <f t="shared" si="62"/>
        <v>0.85069444444444442</v>
      </c>
      <c r="AN178" s="799" t="s">
        <v>2460</v>
      </c>
      <c r="AO178" s="929" t="s">
        <v>2454</v>
      </c>
      <c r="AP178" s="440">
        <v>40</v>
      </c>
      <c r="AQ178" s="440">
        <v>0</v>
      </c>
      <c r="AR178" s="440">
        <v>0</v>
      </c>
      <c r="AS178" s="440">
        <v>0</v>
      </c>
      <c r="AT178" s="440">
        <v>0</v>
      </c>
      <c r="AU178" s="440">
        <v>0</v>
      </c>
      <c r="AV178" s="440">
        <v>0</v>
      </c>
      <c r="AW178" s="440">
        <v>0</v>
      </c>
      <c r="AX178" s="440">
        <v>0</v>
      </c>
      <c r="AY178" s="440">
        <v>0</v>
      </c>
      <c r="AZ178" s="440">
        <v>0</v>
      </c>
      <c r="BA178" s="440">
        <v>0</v>
      </c>
      <c r="BB178" s="440">
        <v>0</v>
      </c>
      <c r="BC178" s="440">
        <v>0</v>
      </c>
      <c r="BD178" s="440">
        <v>0</v>
      </c>
      <c r="BE178" s="440">
        <v>0</v>
      </c>
      <c r="BF178" s="440">
        <v>0</v>
      </c>
      <c r="BG178" s="440">
        <v>0</v>
      </c>
      <c r="BH178" s="440">
        <v>0</v>
      </c>
      <c r="BI178" s="440">
        <v>0</v>
      </c>
      <c r="BJ178" s="440">
        <v>0</v>
      </c>
      <c r="BK178" s="440">
        <v>0</v>
      </c>
      <c r="BL178" s="440">
        <v>0</v>
      </c>
      <c r="BM178" s="440">
        <v>0</v>
      </c>
      <c r="BN178" s="440">
        <v>0</v>
      </c>
      <c r="BO178" s="440">
        <v>0</v>
      </c>
      <c r="BP178" s="440">
        <v>0</v>
      </c>
      <c r="BQ178" s="440">
        <v>0</v>
      </c>
      <c r="BR178" s="415">
        <f t="shared" si="66"/>
        <v>0.66666666666666663</v>
      </c>
      <c r="BS178" s="415">
        <f t="shared" si="67"/>
        <v>0.6777777777777777</v>
      </c>
      <c r="BT178" s="935"/>
      <c r="BU178" s="935"/>
      <c r="BV178" s="935"/>
      <c r="BW178" s="935"/>
      <c r="BX178" s="935"/>
      <c r="BY178" s="935"/>
      <c r="BZ178" s="935"/>
      <c r="CA178" s="935"/>
      <c r="CB178" s="935"/>
      <c r="CC178" s="935"/>
      <c r="CD178" s="935"/>
      <c r="CE178" s="935"/>
      <c r="CF178" s="935"/>
      <c r="CG178" s="935"/>
      <c r="CH178" s="935"/>
      <c r="CI178" s="935"/>
      <c r="CJ178" s="935"/>
      <c r="CK178" s="935"/>
      <c r="CL178" s="935"/>
      <c r="CM178" s="935"/>
      <c r="CN178" s="935"/>
      <c r="CO178" s="935"/>
      <c r="CP178" s="935"/>
      <c r="CQ178" s="935"/>
      <c r="CR178" s="935"/>
      <c r="CS178" s="935"/>
      <c r="CT178" s="935"/>
      <c r="CU178" s="935"/>
      <c r="CV178" s="935"/>
    </row>
    <row r="179" spans="1:100">
      <c r="A179" s="375">
        <f t="shared" si="48"/>
        <v>8</v>
      </c>
      <c r="B179" s="455">
        <v>44426</v>
      </c>
      <c r="C179" s="445" t="s">
        <v>1980</v>
      </c>
      <c r="D179" s="376" t="str">
        <f>IFERROR(VLOOKUP(E:E,'Item Data Support Sheet'!A:O,7,0),"")</f>
        <v>NIPPLE POSTCURE</v>
      </c>
      <c r="E179" s="447" t="s">
        <v>76</v>
      </c>
      <c r="F179" s="500"/>
      <c r="G179" s="376"/>
      <c r="H179" s="602" t="str">
        <f>IFERROR(VLOOKUP(E:E,'Item Data Support Sheet'!A:O,2,0),"")</f>
        <v>NIPPLE S TYPE S SIZE POSTCURED</v>
      </c>
      <c r="I179" s="501" t="s">
        <v>2461</v>
      </c>
      <c r="J179" s="447" t="s">
        <v>2809</v>
      </c>
      <c r="K179" s="438">
        <v>2</v>
      </c>
      <c r="L179" s="499">
        <v>3000</v>
      </c>
      <c r="M179" s="366">
        <f t="shared" si="64"/>
        <v>1500</v>
      </c>
      <c r="N179" s="367">
        <f t="shared" si="47"/>
        <v>3300</v>
      </c>
      <c r="O179" s="61">
        <v>3300</v>
      </c>
      <c r="P179" s="368">
        <v>0</v>
      </c>
      <c r="Q179" s="369">
        <v>0</v>
      </c>
      <c r="R179" s="370">
        <v>0</v>
      </c>
      <c r="S179" s="370">
        <v>0</v>
      </c>
      <c r="T179" s="370">
        <v>0</v>
      </c>
      <c r="U179" s="370">
        <v>0</v>
      </c>
      <c r="V179" s="450">
        <v>1</v>
      </c>
      <c r="W179" s="453">
        <f t="shared" si="49"/>
        <v>3300</v>
      </c>
      <c r="X179" s="748">
        <f t="shared" si="50"/>
        <v>1.1000000000000001</v>
      </c>
      <c r="Y179" s="451" t="str">
        <f>IFERROR(VLOOKUP(E:E,'Item Data Support Sheet'!A:J,6,0),0)</f>
        <v>FO011</v>
      </c>
      <c r="Z179" s="428">
        <f>IFERROR(VLOOKUP(E:E,'Item Data Support Sheet'!A:O,4,0),0)</f>
        <v>0</v>
      </c>
      <c r="AA179" s="428">
        <f t="shared" si="51"/>
        <v>0</v>
      </c>
      <c r="AB179" s="429" t="str">
        <f t="shared" si="52"/>
        <v xml:space="preserve"> </v>
      </c>
      <c r="AC179" s="424">
        <f t="shared" si="53"/>
        <v>0</v>
      </c>
      <c r="AD179" s="371">
        <f t="shared" si="54"/>
        <v>0</v>
      </c>
      <c r="AE179" s="748">
        <f t="shared" si="55"/>
        <v>1</v>
      </c>
      <c r="AF179" s="417">
        <f t="shared" si="56"/>
        <v>0</v>
      </c>
      <c r="AG179" s="416">
        <f t="shared" si="57"/>
        <v>2</v>
      </c>
      <c r="AH179" s="372">
        <f t="shared" si="58"/>
        <v>1</v>
      </c>
      <c r="AI179" s="373">
        <f t="shared" si="59"/>
        <v>1650</v>
      </c>
      <c r="AJ179" s="418">
        <f>VLOOKUP(D179,'Standard Cycle time'!C:D,2,0)</f>
        <v>2.2999999999999998</v>
      </c>
      <c r="AK179" s="418">
        <f t="shared" si="60"/>
        <v>2.1818181818181817</v>
      </c>
      <c r="AL179" s="374">
        <f t="shared" si="61"/>
        <v>1.0541666666666667</v>
      </c>
      <c r="AM179" s="372">
        <f t="shared" si="62"/>
        <v>1.0541666666666667</v>
      </c>
      <c r="AN179" s="799">
        <v>2486</v>
      </c>
      <c r="AO179" s="929" t="s">
        <v>2316</v>
      </c>
      <c r="AP179" s="440">
        <v>0</v>
      </c>
      <c r="AQ179" s="440">
        <v>0</v>
      </c>
      <c r="AR179" s="440">
        <v>0</v>
      </c>
      <c r="AS179" s="440">
        <v>0</v>
      </c>
      <c r="AT179" s="440">
        <v>0</v>
      </c>
      <c r="AU179" s="440">
        <v>0</v>
      </c>
      <c r="AV179" s="440">
        <v>0</v>
      </c>
      <c r="AW179" s="440">
        <v>0</v>
      </c>
      <c r="AX179" s="440">
        <v>0</v>
      </c>
      <c r="AY179" s="440">
        <v>0</v>
      </c>
      <c r="AZ179" s="440">
        <v>0</v>
      </c>
      <c r="BA179" s="440">
        <v>0</v>
      </c>
      <c r="BB179" s="440">
        <v>0</v>
      </c>
      <c r="BC179" s="440">
        <v>0</v>
      </c>
      <c r="BD179" s="440">
        <v>0</v>
      </c>
      <c r="BE179" s="440">
        <v>0</v>
      </c>
      <c r="BF179" s="440">
        <v>0</v>
      </c>
      <c r="BG179" s="440">
        <v>0</v>
      </c>
      <c r="BH179" s="440">
        <v>0</v>
      </c>
      <c r="BI179" s="440">
        <v>0</v>
      </c>
      <c r="BJ179" s="440">
        <v>0</v>
      </c>
      <c r="BK179" s="440">
        <v>0</v>
      </c>
      <c r="BL179" s="440">
        <v>0</v>
      </c>
      <c r="BM179" s="440">
        <v>0</v>
      </c>
      <c r="BN179" s="440">
        <v>0</v>
      </c>
      <c r="BO179" s="440">
        <v>0</v>
      </c>
      <c r="BP179" s="440">
        <v>0</v>
      </c>
      <c r="BQ179" s="440">
        <v>0</v>
      </c>
      <c r="BR179" s="415">
        <f t="shared" si="66"/>
        <v>0</v>
      </c>
      <c r="BS179" s="415">
        <f t="shared" si="67"/>
        <v>0</v>
      </c>
      <c r="BT179" s="935"/>
      <c r="BU179" s="935"/>
      <c r="BV179" s="935"/>
      <c r="BW179" s="935"/>
      <c r="BX179" s="935"/>
      <c r="BY179" s="935"/>
      <c r="BZ179" s="935"/>
      <c r="CA179" s="935"/>
      <c r="CB179" s="935"/>
      <c r="CC179" s="935"/>
      <c r="CD179" s="935"/>
      <c r="CE179" s="935"/>
      <c r="CF179" s="935"/>
      <c r="CG179" s="935"/>
      <c r="CH179" s="935"/>
      <c r="CI179" s="935"/>
      <c r="CJ179" s="935"/>
      <c r="CK179" s="935"/>
      <c r="CL179" s="935"/>
      <c r="CM179" s="935"/>
      <c r="CN179" s="935"/>
      <c r="CO179" s="935"/>
      <c r="CP179" s="935"/>
      <c r="CQ179" s="935"/>
      <c r="CR179" s="935"/>
      <c r="CS179" s="935"/>
      <c r="CT179" s="935"/>
      <c r="CU179" s="935"/>
      <c r="CV179" s="935"/>
    </row>
    <row r="180" spans="1:100">
      <c r="A180" s="375">
        <f t="shared" si="48"/>
        <v>8</v>
      </c>
      <c r="B180" s="455">
        <v>44426</v>
      </c>
      <c r="C180" s="445" t="s">
        <v>1980</v>
      </c>
      <c r="D180" s="376" t="str">
        <f>IFERROR(VLOOKUP(E:E,'Item Data Support Sheet'!A:O,7,0),"")</f>
        <v>NIPPLE LASER MARKING</v>
      </c>
      <c r="E180" s="447" t="s">
        <v>1814</v>
      </c>
      <c r="F180" s="500"/>
      <c r="G180" s="376"/>
      <c r="H180" s="602" t="str">
        <f>IFERROR(VLOOKUP(E:E,'Item Data Support Sheet'!A:O,2,0),"")</f>
        <v>NIPPLE S TYPE S SIZE PUNCHED LASER MARKED</v>
      </c>
      <c r="I180" s="501" t="s">
        <v>2463</v>
      </c>
      <c r="J180" s="447" t="s">
        <v>2809</v>
      </c>
      <c r="K180" s="438">
        <v>5</v>
      </c>
      <c r="L180" s="499">
        <v>4375</v>
      </c>
      <c r="M180" s="366">
        <f t="shared" si="64"/>
        <v>875</v>
      </c>
      <c r="N180" s="367">
        <f t="shared" si="47"/>
        <v>4300</v>
      </c>
      <c r="O180" s="61">
        <v>4300</v>
      </c>
      <c r="P180" s="368">
        <v>0</v>
      </c>
      <c r="Q180" s="369">
        <v>0</v>
      </c>
      <c r="R180" s="370">
        <v>0</v>
      </c>
      <c r="S180" s="370">
        <v>0</v>
      </c>
      <c r="T180" s="370">
        <v>0</v>
      </c>
      <c r="U180" s="370">
        <v>0</v>
      </c>
      <c r="V180" s="450">
        <v>1</v>
      </c>
      <c r="W180" s="453">
        <f t="shared" si="49"/>
        <v>4300</v>
      </c>
      <c r="X180" s="748">
        <f t="shared" si="50"/>
        <v>0.98285714285714287</v>
      </c>
      <c r="Y180" s="451" t="str">
        <f>IFERROR(VLOOKUP(E:E,'Item Data Support Sheet'!A:J,6,0),0)</f>
        <v>FO019</v>
      </c>
      <c r="Z180" s="428">
        <f>IFERROR(VLOOKUP(E:E,'Item Data Support Sheet'!A:O,4,0),0)</f>
        <v>0</v>
      </c>
      <c r="AA180" s="428">
        <f t="shared" si="51"/>
        <v>0</v>
      </c>
      <c r="AB180" s="429" t="str">
        <f t="shared" si="52"/>
        <v xml:space="preserve"> </v>
      </c>
      <c r="AC180" s="424">
        <f t="shared" si="53"/>
        <v>0</v>
      </c>
      <c r="AD180" s="371">
        <f t="shared" si="54"/>
        <v>0</v>
      </c>
      <c r="AE180" s="748">
        <f t="shared" si="55"/>
        <v>1</v>
      </c>
      <c r="AF180" s="417">
        <f t="shared" si="56"/>
        <v>0.66666666666666663</v>
      </c>
      <c r="AG180" s="416">
        <f t="shared" si="57"/>
        <v>4.333333333333333</v>
      </c>
      <c r="AH180" s="372">
        <f t="shared" si="58"/>
        <v>0.86666666666666659</v>
      </c>
      <c r="AI180" s="373">
        <f t="shared" si="59"/>
        <v>860</v>
      </c>
      <c r="AJ180" s="418">
        <f>VLOOKUP(D180,'Standard Cycle time'!C:D,2,0)</f>
        <v>3.5</v>
      </c>
      <c r="AK180" s="418">
        <f t="shared" si="60"/>
        <v>3.6279069767441858</v>
      </c>
      <c r="AL180" s="374">
        <f t="shared" si="61"/>
        <v>0.96474358974358976</v>
      </c>
      <c r="AM180" s="372">
        <f t="shared" si="62"/>
        <v>0.83611111111111103</v>
      </c>
      <c r="AN180" s="799" t="s">
        <v>2462</v>
      </c>
      <c r="AO180" s="929" t="s">
        <v>2464</v>
      </c>
      <c r="AP180" s="440">
        <v>30</v>
      </c>
      <c r="AQ180" s="440">
        <v>0</v>
      </c>
      <c r="AR180" s="440">
        <v>0</v>
      </c>
      <c r="AS180" s="440">
        <v>0</v>
      </c>
      <c r="AT180" s="440">
        <v>10</v>
      </c>
      <c r="AU180" s="440">
        <v>0</v>
      </c>
      <c r="AV180" s="440">
        <v>0</v>
      </c>
      <c r="AW180" s="440">
        <v>0</v>
      </c>
      <c r="AX180" s="440">
        <v>0</v>
      </c>
      <c r="AY180" s="440">
        <v>0</v>
      </c>
      <c r="AZ180" s="440">
        <v>0</v>
      </c>
      <c r="BA180" s="440">
        <v>0</v>
      </c>
      <c r="BB180" s="440">
        <v>0</v>
      </c>
      <c r="BC180" s="440">
        <v>0</v>
      </c>
      <c r="BD180" s="440">
        <v>0</v>
      </c>
      <c r="BE180" s="440">
        <v>0</v>
      </c>
      <c r="BF180" s="440">
        <v>0</v>
      </c>
      <c r="BG180" s="440">
        <v>0</v>
      </c>
      <c r="BH180" s="440">
        <v>0</v>
      </c>
      <c r="BI180" s="440">
        <v>0</v>
      </c>
      <c r="BJ180" s="440">
        <v>0</v>
      </c>
      <c r="BK180" s="440">
        <v>0</v>
      </c>
      <c r="BL180" s="440">
        <v>0</v>
      </c>
      <c r="BM180" s="440">
        <v>0</v>
      </c>
      <c r="BN180" s="440">
        <v>0</v>
      </c>
      <c r="BO180" s="440">
        <v>0</v>
      </c>
      <c r="BP180" s="440">
        <v>0</v>
      </c>
      <c r="BQ180" s="440">
        <v>0</v>
      </c>
      <c r="BR180" s="415">
        <f t="shared" si="66"/>
        <v>0.66666666666666663</v>
      </c>
      <c r="BS180" s="415">
        <f t="shared" si="67"/>
        <v>0.6777777777777777</v>
      </c>
      <c r="BT180" s="935"/>
      <c r="BU180" s="935"/>
      <c r="BV180" s="935"/>
      <c r="BW180" s="935"/>
      <c r="BX180" s="935"/>
      <c r="BY180" s="935"/>
      <c r="BZ180" s="935"/>
      <c r="CA180" s="935"/>
      <c r="CB180" s="935"/>
      <c r="CC180" s="935"/>
      <c r="CD180" s="935"/>
      <c r="CE180" s="935"/>
      <c r="CF180" s="935"/>
      <c r="CG180" s="935"/>
      <c r="CH180" s="935"/>
      <c r="CI180" s="935"/>
      <c r="CJ180" s="935"/>
      <c r="CK180" s="935"/>
      <c r="CL180" s="935"/>
      <c r="CM180" s="935"/>
      <c r="CN180" s="935"/>
      <c r="CO180" s="935"/>
      <c r="CP180" s="935"/>
      <c r="CQ180" s="935"/>
      <c r="CR180" s="935"/>
      <c r="CS180" s="935"/>
      <c r="CT180" s="935"/>
      <c r="CU180" s="935"/>
      <c r="CV180" s="935"/>
    </row>
    <row r="181" spans="1:100">
      <c r="A181" s="375">
        <f t="shared" si="48"/>
        <v>8</v>
      </c>
      <c r="B181" s="455">
        <v>44426</v>
      </c>
      <c r="C181" s="445" t="s">
        <v>1980</v>
      </c>
      <c r="D181" s="376" t="str">
        <f>IFERROR(VLOOKUP(E:E,'Item Data Support Sheet'!A:O,7,0),"")</f>
        <v>CAP MOLDED</v>
      </c>
      <c r="E181" s="447" t="s">
        <v>2110</v>
      </c>
      <c r="F181" s="500"/>
      <c r="G181" s="376" t="s">
        <v>2220</v>
      </c>
      <c r="H181" s="602" t="str">
        <f>IFERROR(VLOOKUP(E:E,'Item Data Support Sheet'!A:O,2,0),"")</f>
        <v>CAP S TYPE MOLDED WHITE</v>
      </c>
      <c r="I181" s="501" t="s">
        <v>2466</v>
      </c>
      <c r="J181" s="447" t="s">
        <v>2809</v>
      </c>
      <c r="K181" s="438">
        <v>8</v>
      </c>
      <c r="L181" s="499">
        <v>4137</v>
      </c>
      <c r="M181" s="366">
        <f t="shared" si="64"/>
        <v>517.125</v>
      </c>
      <c r="N181" s="367">
        <f t="shared" si="47"/>
        <v>4012</v>
      </c>
      <c r="O181" s="61">
        <v>4000</v>
      </c>
      <c r="P181" s="368">
        <v>0</v>
      </c>
      <c r="Q181" s="369">
        <v>0</v>
      </c>
      <c r="R181" s="370">
        <v>0</v>
      </c>
      <c r="S181" s="370">
        <v>0</v>
      </c>
      <c r="T181" s="370">
        <v>4</v>
      </c>
      <c r="U181" s="370">
        <v>8</v>
      </c>
      <c r="V181" s="450">
        <v>1</v>
      </c>
      <c r="W181" s="453">
        <f t="shared" si="49"/>
        <v>4000</v>
      </c>
      <c r="X181" s="748">
        <f t="shared" si="50"/>
        <v>0.96688421561518012</v>
      </c>
      <c r="Y181" s="451" t="str">
        <f>IFERROR(VLOOKUP(E:E,'Item Data Support Sheet'!A:J,6,0),0)</f>
        <v>RM000106</v>
      </c>
      <c r="Z181" s="428">
        <f>IFERROR(VLOOKUP(E:E,'Item Data Support Sheet'!A:O,4,0),0)</f>
        <v>7.3</v>
      </c>
      <c r="AA181" s="428">
        <f t="shared" si="51"/>
        <v>29.287600000000001</v>
      </c>
      <c r="AB181" s="429">
        <f t="shared" si="52"/>
        <v>0.99700897308075764</v>
      </c>
      <c r="AC181" s="424">
        <f t="shared" si="53"/>
        <v>9.99000999000999E-4</v>
      </c>
      <c r="AD181" s="371">
        <f t="shared" si="54"/>
        <v>0</v>
      </c>
      <c r="AE181" s="748">
        <f t="shared" si="55"/>
        <v>0.99900299102691925</v>
      </c>
      <c r="AF181" s="417">
        <f t="shared" si="56"/>
        <v>0.75</v>
      </c>
      <c r="AG181" s="416">
        <f t="shared" si="57"/>
        <v>7.25</v>
      </c>
      <c r="AH181" s="372">
        <f t="shared" si="58"/>
        <v>0.90625</v>
      </c>
      <c r="AI181" s="373">
        <f t="shared" si="59"/>
        <v>500</v>
      </c>
      <c r="AJ181" s="418">
        <f>VLOOKUP(D181,'Standard Cycle time'!C:D,2,0)</f>
        <v>6</v>
      </c>
      <c r="AK181" s="418">
        <f t="shared" si="60"/>
        <v>6.5250000000000004</v>
      </c>
      <c r="AL181" s="374">
        <f t="shared" si="61"/>
        <v>0.91954022988505746</v>
      </c>
      <c r="AM181" s="372">
        <f t="shared" si="62"/>
        <v>0.83250249252243269</v>
      </c>
      <c r="AN181" s="799">
        <v>2694</v>
      </c>
      <c r="AO181" s="761"/>
      <c r="AP181" s="440">
        <v>0</v>
      </c>
      <c r="AQ181" s="440">
        <v>0</v>
      </c>
      <c r="AR181" s="440">
        <v>0</v>
      </c>
      <c r="AS181" s="440">
        <v>0</v>
      </c>
      <c r="AT181" s="440">
        <v>0</v>
      </c>
      <c r="AU181" s="440">
        <v>0</v>
      </c>
      <c r="AV181" s="440">
        <v>0</v>
      </c>
      <c r="AW181" s="440">
        <v>0</v>
      </c>
      <c r="AX181" s="440">
        <v>0</v>
      </c>
      <c r="AY181" s="440">
        <v>0</v>
      </c>
      <c r="AZ181" s="440">
        <v>45</v>
      </c>
      <c r="BA181" s="440">
        <v>0</v>
      </c>
      <c r="BB181" s="440">
        <v>0</v>
      </c>
      <c r="BC181" s="440">
        <v>0</v>
      </c>
      <c r="BD181" s="440">
        <v>0</v>
      </c>
      <c r="BE181" s="440">
        <v>0</v>
      </c>
      <c r="BF181" s="440">
        <v>0</v>
      </c>
      <c r="BG181" s="440">
        <v>0</v>
      </c>
      <c r="BH181" s="440">
        <v>0</v>
      </c>
      <c r="BI181" s="440">
        <v>0</v>
      </c>
      <c r="BJ181" s="440">
        <v>0</v>
      </c>
      <c r="BK181" s="440">
        <v>0</v>
      </c>
      <c r="BL181" s="440">
        <v>0</v>
      </c>
      <c r="BM181" s="440">
        <v>0</v>
      </c>
      <c r="BN181" s="440">
        <v>0</v>
      </c>
      <c r="BO181" s="440">
        <v>0</v>
      </c>
      <c r="BP181" s="440">
        <v>0</v>
      </c>
      <c r="BQ181" s="440">
        <v>0</v>
      </c>
      <c r="BR181" s="415">
        <f t="shared" si="66"/>
        <v>0.75</v>
      </c>
      <c r="BS181" s="415">
        <f t="shared" si="67"/>
        <v>0.76249999999999996</v>
      </c>
      <c r="BT181" s="935"/>
      <c r="BU181" s="935"/>
      <c r="BV181" s="935"/>
      <c r="BW181" s="935"/>
      <c r="BX181" s="935"/>
      <c r="BY181" s="935"/>
      <c r="BZ181" s="935"/>
      <c r="CA181" s="935"/>
      <c r="CB181" s="935"/>
      <c r="CC181" s="935"/>
      <c r="CD181" s="935"/>
      <c r="CE181" s="935"/>
      <c r="CF181" s="935"/>
      <c r="CG181" s="935"/>
      <c r="CH181" s="935"/>
      <c r="CI181" s="935"/>
      <c r="CJ181" s="935"/>
      <c r="CK181" s="935"/>
      <c r="CL181" s="935"/>
      <c r="CM181" s="935"/>
      <c r="CN181" s="935"/>
      <c r="CO181" s="935"/>
      <c r="CP181" s="935"/>
      <c r="CQ181" s="935"/>
      <c r="CR181" s="935"/>
      <c r="CS181" s="935"/>
      <c r="CT181" s="935"/>
      <c r="CU181" s="935"/>
      <c r="CV181" s="935"/>
    </row>
    <row r="182" spans="1:100">
      <c r="A182" s="375">
        <f t="shared" si="48"/>
        <v>8</v>
      </c>
      <c r="B182" s="455">
        <v>44426</v>
      </c>
      <c r="C182" s="493" t="s">
        <v>2000</v>
      </c>
      <c r="D182" s="376" t="str">
        <f>IFERROR(VLOOKUP(E:E,'Item Data Support Sheet'!A:O,7,0),"")</f>
        <v>NIPPLE PUNCH INSPECTED</v>
      </c>
      <c r="E182" s="447" t="s">
        <v>1818</v>
      </c>
      <c r="F182" s="500"/>
      <c r="G182" s="376"/>
      <c r="H182" s="602" t="str">
        <f>IFERROR(VLOOKUP(E:E,'Item Data Support Sheet'!A:O,2,0),"")</f>
        <v>NIPPLE S TYPE S SIZE PUNCHED INSPECTED</v>
      </c>
      <c r="I182" s="501" t="s">
        <v>2467</v>
      </c>
      <c r="J182" s="447" t="s">
        <v>2812</v>
      </c>
      <c r="K182" s="438">
        <v>8.5</v>
      </c>
      <c r="L182" s="499">
        <v>14182</v>
      </c>
      <c r="M182" s="366">
        <f t="shared" si="64"/>
        <v>1668.4705882352941</v>
      </c>
      <c r="N182" s="367">
        <f t="shared" si="47"/>
        <v>12300</v>
      </c>
      <c r="O182" s="61">
        <v>12239</v>
      </c>
      <c r="P182" s="368">
        <v>0</v>
      </c>
      <c r="Q182" s="369">
        <v>0</v>
      </c>
      <c r="R182" s="370">
        <v>0</v>
      </c>
      <c r="S182" s="370">
        <v>0</v>
      </c>
      <c r="T182" s="370">
        <v>61</v>
      </c>
      <c r="U182" s="370">
        <v>0</v>
      </c>
      <c r="V182" s="450">
        <v>2</v>
      </c>
      <c r="W182" s="453">
        <f t="shared" si="49"/>
        <v>6119.5</v>
      </c>
      <c r="X182" s="748">
        <f t="shared" si="50"/>
        <v>0.86299534621351004</v>
      </c>
      <c r="Y182" s="451" t="str">
        <f>IFERROR(VLOOKUP(E:E,'Item Data Support Sheet'!A:J,6,0),0)</f>
        <v>FO104</v>
      </c>
      <c r="Z182" s="428">
        <f>IFERROR(VLOOKUP(E:E,'Item Data Support Sheet'!A:O,4,0),0)</f>
        <v>0</v>
      </c>
      <c r="AA182" s="428">
        <f t="shared" si="51"/>
        <v>0</v>
      </c>
      <c r="AB182" s="429" t="str">
        <f t="shared" si="52"/>
        <v xml:space="preserve"> </v>
      </c>
      <c r="AC182" s="424">
        <f t="shared" si="53"/>
        <v>4.9593495934959347E-3</v>
      </c>
      <c r="AD182" s="371">
        <f t="shared" si="54"/>
        <v>0</v>
      </c>
      <c r="AE182" s="748">
        <f t="shared" si="55"/>
        <v>0.99504065040650402</v>
      </c>
      <c r="AF182" s="417">
        <f t="shared" si="56"/>
        <v>1.8333333333333333</v>
      </c>
      <c r="AG182" s="416">
        <f t="shared" si="57"/>
        <v>6.666666666666667</v>
      </c>
      <c r="AH182" s="372">
        <f t="shared" si="58"/>
        <v>0.78431372549019607</v>
      </c>
      <c r="AI182" s="373">
        <f t="shared" si="59"/>
        <v>1439.8823529411766</v>
      </c>
      <c r="AJ182" s="418">
        <f>VLOOKUP(D182,'Standard Cycle time'!C:D,2,0)</f>
        <v>4</v>
      </c>
      <c r="AK182" s="418">
        <f t="shared" si="60"/>
        <v>3.9218890432224853</v>
      </c>
      <c r="AL182" s="374">
        <f t="shared" si="61"/>
        <v>1.0199166666666668</v>
      </c>
      <c r="AM182" s="372">
        <f t="shared" si="62"/>
        <v>0.7959674849885755</v>
      </c>
      <c r="AN182" s="799" t="s">
        <v>2512</v>
      </c>
      <c r="AO182" s="929" t="s">
        <v>2468</v>
      </c>
      <c r="AP182" s="440">
        <v>50</v>
      </c>
      <c r="AQ182" s="440">
        <v>0</v>
      </c>
      <c r="AR182" s="440">
        <v>0</v>
      </c>
      <c r="AS182" s="440">
        <v>60</v>
      </c>
      <c r="AT182" s="440">
        <v>0</v>
      </c>
      <c r="AU182" s="440">
        <v>0</v>
      </c>
      <c r="AV182" s="440">
        <v>0</v>
      </c>
      <c r="AW182" s="440">
        <v>0</v>
      </c>
      <c r="AX182" s="440">
        <v>0</v>
      </c>
      <c r="AY182" s="440">
        <v>0</v>
      </c>
      <c r="AZ182" s="440">
        <v>0</v>
      </c>
      <c r="BA182" s="440">
        <v>0</v>
      </c>
      <c r="BB182" s="440">
        <v>0</v>
      </c>
      <c r="BC182" s="440">
        <v>0</v>
      </c>
      <c r="BD182" s="440">
        <v>0</v>
      </c>
      <c r="BE182" s="440">
        <v>0</v>
      </c>
      <c r="BF182" s="440">
        <v>0</v>
      </c>
      <c r="BG182" s="440">
        <v>0</v>
      </c>
      <c r="BH182" s="440">
        <v>0</v>
      </c>
      <c r="BI182" s="440">
        <v>0</v>
      </c>
      <c r="BJ182" s="440">
        <v>0</v>
      </c>
      <c r="BK182" s="440">
        <v>0</v>
      </c>
      <c r="BL182" s="440">
        <v>0</v>
      </c>
      <c r="BM182" s="440">
        <v>0</v>
      </c>
      <c r="BN182" s="440">
        <v>0</v>
      </c>
      <c r="BO182" s="440">
        <v>0</v>
      </c>
      <c r="BP182" s="440">
        <v>0</v>
      </c>
      <c r="BQ182" s="440">
        <v>0</v>
      </c>
      <c r="BR182" s="415">
        <f t="shared" si="66"/>
        <v>1.8333333333333333</v>
      </c>
      <c r="BS182" s="415">
        <f t="shared" si="67"/>
        <v>1.8638888888888887</v>
      </c>
      <c r="BT182" s="935"/>
      <c r="BU182" s="935"/>
      <c r="BV182" s="935"/>
      <c r="BW182" s="935"/>
      <c r="BX182" s="935"/>
      <c r="BY182" s="935"/>
      <c r="BZ182" s="935"/>
      <c r="CA182" s="935"/>
      <c r="CB182" s="935"/>
      <c r="CC182" s="935"/>
      <c r="CD182" s="935"/>
      <c r="CE182" s="935"/>
      <c r="CF182" s="935"/>
      <c r="CG182" s="935"/>
      <c r="CH182" s="935"/>
      <c r="CI182" s="935"/>
      <c r="CJ182" s="935"/>
      <c r="CK182" s="935"/>
      <c r="CL182" s="935"/>
      <c r="CM182" s="935"/>
      <c r="CN182" s="935"/>
      <c r="CO182" s="935"/>
      <c r="CP182" s="935"/>
      <c r="CQ182" s="935"/>
      <c r="CR182" s="935"/>
      <c r="CS182" s="935"/>
      <c r="CT182" s="935"/>
      <c r="CU182" s="935"/>
      <c r="CV182" s="935"/>
    </row>
    <row r="183" spans="1:100">
      <c r="A183" s="375">
        <f t="shared" si="48"/>
        <v>8</v>
      </c>
      <c r="B183" s="455">
        <v>44426</v>
      </c>
      <c r="C183" s="493" t="s">
        <v>2000</v>
      </c>
      <c r="D183" s="376" t="str">
        <f>IFERROR(VLOOKUP(E:E,'Item Data Support Sheet'!A:O,7,0),"")</f>
        <v>NIPPLE WRAP PRINTED</v>
      </c>
      <c r="E183" s="447" t="s">
        <v>110</v>
      </c>
      <c r="F183" s="490"/>
      <c r="G183" s="376"/>
      <c r="H183" s="602" t="str">
        <f>IFERROR(VLOOKUP(E:E,'Item Data Support Sheet'!A:O,2,0),"")</f>
        <v>NIPPLE S TYPE L SIZE WITH PRINTED WRAP</v>
      </c>
      <c r="I183" s="501" t="s">
        <v>2469</v>
      </c>
      <c r="J183" s="447" t="s">
        <v>2812</v>
      </c>
      <c r="K183" s="438">
        <v>8.5</v>
      </c>
      <c r="L183" s="499">
        <v>16132</v>
      </c>
      <c r="M183" s="366">
        <f t="shared" si="64"/>
        <v>1897.8823529411766</v>
      </c>
      <c r="N183" s="367">
        <f t="shared" si="47"/>
        <v>15285</v>
      </c>
      <c r="O183" s="61">
        <v>15244</v>
      </c>
      <c r="P183" s="368">
        <v>0</v>
      </c>
      <c r="Q183" s="369">
        <v>0</v>
      </c>
      <c r="R183" s="370">
        <v>0</v>
      </c>
      <c r="S183" s="370">
        <v>0</v>
      </c>
      <c r="T183" s="370">
        <v>41</v>
      </c>
      <c r="U183" s="370">
        <v>0</v>
      </c>
      <c r="V183" s="450">
        <v>2</v>
      </c>
      <c r="W183" s="453">
        <f t="shared" si="49"/>
        <v>7622</v>
      </c>
      <c r="X183" s="748">
        <f t="shared" si="50"/>
        <v>0.94495412844036697</v>
      </c>
      <c r="Y183" s="451" t="str">
        <f>IFERROR(VLOOKUP(E:E,'Item Data Support Sheet'!A:J,6,0),0)</f>
        <v>FO021</v>
      </c>
      <c r="Z183" s="428">
        <f>IFERROR(VLOOKUP(E:E,'Item Data Support Sheet'!A:O,4,0),0)</f>
        <v>0</v>
      </c>
      <c r="AA183" s="428">
        <f t="shared" si="51"/>
        <v>0</v>
      </c>
      <c r="AB183" s="429" t="str">
        <f t="shared" si="52"/>
        <v xml:space="preserve"> </v>
      </c>
      <c r="AC183" s="424">
        <f t="shared" si="53"/>
        <v>2.6823683349689238E-3</v>
      </c>
      <c r="AD183" s="371">
        <f t="shared" si="54"/>
        <v>0</v>
      </c>
      <c r="AE183" s="748">
        <f t="shared" si="55"/>
        <v>0.99731763166503107</v>
      </c>
      <c r="AF183" s="417">
        <f t="shared" si="56"/>
        <v>0.83333333333333337</v>
      </c>
      <c r="AG183" s="416">
        <f t="shared" si="57"/>
        <v>7.666666666666667</v>
      </c>
      <c r="AH183" s="372">
        <f t="shared" si="58"/>
        <v>0.90196078431372551</v>
      </c>
      <c r="AI183" s="373">
        <f t="shared" si="59"/>
        <v>1793.4117647058824</v>
      </c>
      <c r="AJ183" s="418">
        <f>VLOOKUP(D183,'Standard Cycle time'!C:D,2,0)</f>
        <v>2.5</v>
      </c>
      <c r="AK183" s="418">
        <f t="shared" si="60"/>
        <v>3.6210968249803202</v>
      </c>
      <c r="AL183" s="374">
        <f t="shared" si="61"/>
        <v>0.69039855072463763</v>
      </c>
      <c r="AM183" s="372">
        <f t="shared" si="62"/>
        <v>0.62104207422801194</v>
      </c>
      <c r="AN183" s="799" t="s">
        <v>2471</v>
      </c>
      <c r="AO183" s="844" t="s">
        <v>2470</v>
      </c>
      <c r="AP183" s="440">
        <v>50</v>
      </c>
      <c r="AQ183" s="440">
        <v>0</v>
      </c>
      <c r="AR183" s="440">
        <v>0</v>
      </c>
      <c r="AS183" s="440">
        <v>0</v>
      </c>
      <c r="AT183" s="440">
        <v>0</v>
      </c>
      <c r="AU183" s="440">
        <v>0</v>
      </c>
      <c r="AV183" s="440">
        <v>0</v>
      </c>
      <c r="AW183" s="440">
        <v>0</v>
      </c>
      <c r="AX183" s="440">
        <v>0</v>
      </c>
      <c r="AY183" s="440">
        <v>0</v>
      </c>
      <c r="AZ183" s="440">
        <v>0</v>
      </c>
      <c r="BA183" s="440">
        <v>0</v>
      </c>
      <c r="BB183" s="440">
        <v>0</v>
      </c>
      <c r="BC183" s="440">
        <v>0</v>
      </c>
      <c r="BD183" s="440">
        <v>0</v>
      </c>
      <c r="BE183" s="440">
        <v>0</v>
      </c>
      <c r="BF183" s="440">
        <v>0</v>
      </c>
      <c r="BG183" s="440">
        <v>0</v>
      </c>
      <c r="BH183" s="440">
        <v>0</v>
      </c>
      <c r="BI183" s="440">
        <v>0</v>
      </c>
      <c r="BJ183" s="440">
        <v>0</v>
      </c>
      <c r="BK183" s="440">
        <v>0</v>
      </c>
      <c r="BL183" s="440">
        <v>0</v>
      </c>
      <c r="BM183" s="440">
        <v>0</v>
      </c>
      <c r="BN183" s="440">
        <v>0</v>
      </c>
      <c r="BO183" s="440">
        <v>0</v>
      </c>
      <c r="BP183" s="440">
        <v>0</v>
      </c>
      <c r="BQ183" s="440">
        <v>0</v>
      </c>
      <c r="BR183" s="415">
        <f t="shared" si="66"/>
        <v>0.83333333333333337</v>
      </c>
      <c r="BS183" s="415">
        <f t="shared" si="67"/>
        <v>0.84722222222222221</v>
      </c>
      <c r="BT183" s="935"/>
      <c r="BU183" s="935"/>
      <c r="BV183" s="935"/>
      <c r="BW183" s="935"/>
      <c r="BX183" s="935"/>
      <c r="BY183" s="935"/>
      <c r="BZ183" s="935"/>
      <c r="CA183" s="935"/>
      <c r="CB183" s="935"/>
      <c r="CC183" s="935"/>
      <c r="CD183" s="935"/>
      <c r="CE183" s="935"/>
      <c r="CF183" s="935"/>
      <c r="CG183" s="935"/>
      <c r="CH183" s="935"/>
      <c r="CI183" s="935"/>
      <c r="CJ183" s="935"/>
      <c r="CK183" s="935"/>
      <c r="CL183" s="935"/>
      <c r="CM183" s="935"/>
      <c r="CN183" s="935"/>
      <c r="CO183" s="935"/>
      <c r="CP183" s="935"/>
      <c r="CQ183" s="935"/>
      <c r="CR183" s="935"/>
      <c r="CS183" s="935"/>
      <c r="CT183" s="935"/>
      <c r="CU183" s="935"/>
      <c r="CV183" s="935"/>
    </row>
    <row r="184" spans="1:100" ht="15" customHeight="1">
      <c r="A184" s="375">
        <f t="shared" si="48"/>
        <v>8</v>
      </c>
      <c r="B184" s="455">
        <v>44426</v>
      </c>
      <c r="C184" s="493" t="s">
        <v>2000</v>
      </c>
      <c r="D184" s="376" t="str">
        <f>IFERROR(VLOOKUP(E:E,'Item Data Support Sheet'!A:O,7,0),"")</f>
        <v>BOTTLE PRINTED</v>
      </c>
      <c r="E184" s="447" t="s">
        <v>64</v>
      </c>
      <c r="F184" s="490"/>
      <c r="G184" s="376"/>
      <c r="H184" s="602" t="str">
        <f>IFERROR(VLOOKUP(E:E,'Item Data Support Sheet'!A:O,2,0),"")</f>
        <v>KPP 240 ML BOTTLE PRINTED</v>
      </c>
      <c r="I184" s="501" t="s">
        <v>2472</v>
      </c>
      <c r="J184" s="447" t="s">
        <v>2813</v>
      </c>
      <c r="K184" s="438">
        <v>8.5</v>
      </c>
      <c r="L184" s="499">
        <v>5100</v>
      </c>
      <c r="M184" s="366">
        <f t="shared" si="64"/>
        <v>600</v>
      </c>
      <c r="N184" s="367">
        <f t="shared" si="47"/>
        <v>3812</v>
      </c>
      <c r="O184" s="61">
        <v>3780</v>
      </c>
      <c r="P184" s="368">
        <v>0</v>
      </c>
      <c r="Q184" s="369">
        <v>0</v>
      </c>
      <c r="R184" s="370">
        <v>36</v>
      </c>
      <c r="S184" s="370">
        <v>0</v>
      </c>
      <c r="T184" s="370">
        <v>32</v>
      </c>
      <c r="U184" s="370">
        <v>0</v>
      </c>
      <c r="V184" s="450">
        <v>6</v>
      </c>
      <c r="W184" s="453">
        <f t="shared" si="49"/>
        <v>630</v>
      </c>
      <c r="X184" s="748">
        <f t="shared" si="50"/>
        <v>0.74117647058823533</v>
      </c>
      <c r="Y184" s="451" t="str">
        <f>IFERROR(VLOOKUP(E:E,'Item Data Support Sheet'!A:J,6,0),0)</f>
        <v>FO003</v>
      </c>
      <c r="Z184" s="428">
        <f>IFERROR(VLOOKUP(E:E,'Item Data Support Sheet'!A:O,4,0),0)</f>
        <v>0</v>
      </c>
      <c r="AA184" s="428">
        <f t="shared" si="51"/>
        <v>0</v>
      </c>
      <c r="AB184" s="429" t="str">
        <f t="shared" si="52"/>
        <v xml:space="preserve"> </v>
      </c>
      <c r="AC184" s="424">
        <f t="shared" si="53"/>
        <v>8.3945435466946487E-3</v>
      </c>
      <c r="AD184" s="371">
        <f t="shared" si="54"/>
        <v>0</v>
      </c>
      <c r="AE184" s="748">
        <f t="shared" si="55"/>
        <v>0.99160545645330533</v>
      </c>
      <c r="AF184" s="417">
        <f t="shared" si="56"/>
        <v>2.8333333333333335</v>
      </c>
      <c r="AG184" s="416">
        <f t="shared" si="57"/>
        <v>5.6666666666666661</v>
      </c>
      <c r="AH184" s="372">
        <f t="shared" si="58"/>
        <v>0.66666666666666663</v>
      </c>
      <c r="AI184" s="373">
        <f t="shared" si="59"/>
        <v>444.70588235294116</v>
      </c>
      <c r="AJ184" s="418">
        <f>VLOOKUP(D184,'Standard Cycle time'!C:D,2,0)</f>
        <v>32.4</v>
      </c>
      <c r="AK184" s="418">
        <f t="shared" si="60"/>
        <v>32.38095238095238</v>
      </c>
      <c r="AL184" s="374">
        <f t="shared" si="61"/>
        <v>1.0005882352941176</v>
      </c>
      <c r="AM184" s="372">
        <f t="shared" si="62"/>
        <v>0.66145916918708714</v>
      </c>
      <c r="AN184" s="799" t="s">
        <v>2658</v>
      </c>
      <c r="AO184" s="929" t="s">
        <v>2473</v>
      </c>
      <c r="AP184" s="440">
        <v>50</v>
      </c>
      <c r="AQ184" s="440">
        <v>120</v>
      </c>
      <c r="AR184" s="440">
        <v>0</v>
      </c>
      <c r="AS184" s="440">
        <v>0</v>
      </c>
      <c r="AT184" s="440">
        <v>0</v>
      </c>
      <c r="AU184" s="440">
        <v>0</v>
      </c>
      <c r="AV184" s="440">
        <v>0</v>
      </c>
      <c r="AW184" s="440">
        <v>0</v>
      </c>
      <c r="AX184" s="440">
        <v>0</v>
      </c>
      <c r="AY184" s="440">
        <v>0</v>
      </c>
      <c r="AZ184" s="440">
        <v>0</v>
      </c>
      <c r="BA184" s="440">
        <v>0</v>
      </c>
      <c r="BB184" s="440">
        <v>0</v>
      </c>
      <c r="BC184" s="440">
        <v>0</v>
      </c>
      <c r="BD184" s="440">
        <v>0</v>
      </c>
      <c r="BE184" s="440">
        <v>0</v>
      </c>
      <c r="BF184" s="440">
        <v>0</v>
      </c>
      <c r="BG184" s="440">
        <v>0</v>
      </c>
      <c r="BH184" s="440">
        <v>0</v>
      </c>
      <c r="BI184" s="440">
        <v>0</v>
      </c>
      <c r="BJ184" s="440">
        <v>0</v>
      </c>
      <c r="BK184" s="440">
        <v>0</v>
      </c>
      <c r="BL184" s="440">
        <v>0</v>
      </c>
      <c r="BM184" s="440">
        <v>0</v>
      </c>
      <c r="BN184" s="440">
        <v>0</v>
      </c>
      <c r="BO184" s="440">
        <v>0</v>
      </c>
      <c r="BP184" s="440">
        <v>0</v>
      </c>
      <c r="BQ184" s="440">
        <v>0</v>
      </c>
      <c r="BR184" s="415">
        <f t="shared" si="66"/>
        <v>2.8333333333333335</v>
      </c>
      <c r="BS184" s="415">
        <f t="shared" si="67"/>
        <v>2.8805555555555555</v>
      </c>
      <c r="BT184" s="935"/>
      <c r="BU184" s="935"/>
      <c r="BV184" s="935"/>
      <c r="BW184" s="935"/>
      <c r="BX184" s="935"/>
      <c r="BY184" s="935"/>
      <c r="BZ184" s="935"/>
      <c r="CA184" s="935"/>
      <c r="CB184" s="935"/>
      <c r="CC184" s="935"/>
      <c r="CD184" s="935"/>
      <c r="CE184" s="935"/>
      <c r="CF184" s="935"/>
      <c r="CG184" s="935"/>
      <c r="CH184" s="935"/>
      <c r="CI184" s="935"/>
      <c r="CJ184" s="935"/>
      <c r="CK184" s="935"/>
      <c r="CL184" s="935"/>
      <c r="CM184" s="935"/>
      <c r="CN184" s="935"/>
      <c r="CO184" s="935"/>
      <c r="CP184" s="935"/>
      <c r="CQ184" s="935"/>
      <c r="CR184" s="935"/>
      <c r="CS184" s="935"/>
      <c r="CT184" s="935"/>
      <c r="CU184" s="935"/>
      <c r="CV184" s="935"/>
    </row>
    <row r="185" spans="1:100">
      <c r="A185" s="375">
        <f t="shared" si="48"/>
        <v>8</v>
      </c>
      <c r="B185" s="455">
        <v>44426</v>
      </c>
      <c r="C185" s="493" t="s">
        <v>2001</v>
      </c>
      <c r="D185" s="376" t="str">
        <f>IFERROR(VLOOKUP(E:E,'Item Data Support Sheet'!A:O,7,0),"")</f>
        <v>NIPPLE PUNCH</v>
      </c>
      <c r="E185" s="447" t="s">
        <v>80</v>
      </c>
      <c r="F185" s="500"/>
      <c r="G185" s="376"/>
      <c r="H185" s="602" t="str">
        <f>IFERROR(VLOOKUP(E:E,'Item Data Support Sheet'!A:O,2,0),"")</f>
        <v>NIPPLE S TYPE S SIZE PUNCHED</v>
      </c>
      <c r="I185" s="501" t="s">
        <v>2474</v>
      </c>
      <c r="J185" s="447" t="s">
        <v>2810</v>
      </c>
      <c r="K185" s="438">
        <v>8</v>
      </c>
      <c r="L185" s="499">
        <v>7000</v>
      </c>
      <c r="M185" s="366">
        <f t="shared" si="64"/>
        <v>875</v>
      </c>
      <c r="N185" s="367">
        <f t="shared" si="47"/>
        <v>7000</v>
      </c>
      <c r="O185" s="61">
        <v>7000</v>
      </c>
      <c r="P185" s="368">
        <v>0</v>
      </c>
      <c r="Q185" s="369">
        <v>0</v>
      </c>
      <c r="R185" s="370">
        <v>0</v>
      </c>
      <c r="S185" s="370">
        <v>0</v>
      </c>
      <c r="T185" s="370">
        <v>0</v>
      </c>
      <c r="U185" s="370">
        <v>0</v>
      </c>
      <c r="V185" s="450">
        <v>1</v>
      </c>
      <c r="W185" s="453">
        <f t="shared" si="49"/>
        <v>7000</v>
      </c>
      <c r="X185" s="748">
        <f t="shared" si="50"/>
        <v>1</v>
      </c>
      <c r="Y185" s="451" t="str">
        <f>IFERROR(VLOOKUP(E:E,'Item Data Support Sheet'!A:J,6,0),0)</f>
        <v>FO015</v>
      </c>
      <c r="Z185" s="428">
        <f>IFERROR(VLOOKUP(E:E,'Item Data Support Sheet'!A:O,4,0),0)</f>
        <v>0</v>
      </c>
      <c r="AA185" s="428">
        <f t="shared" si="51"/>
        <v>0</v>
      </c>
      <c r="AB185" s="429" t="str">
        <f t="shared" si="52"/>
        <v xml:space="preserve"> </v>
      </c>
      <c r="AC185" s="424">
        <f t="shared" si="53"/>
        <v>0</v>
      </c>
      <c r="AD185" s="371">
        <f t="shared" si="54"/>
        <v>0</v>
      </c>
      <c r="AE185" s="748">
        <f t="shared" si="55"/>
        <v>1</v>
      </c>
      <c r="AF185" s="417">
        <f t="shared" si="56"/>
        <v>0.66666666666666663</v>
      </c>
      <c r="AG185" s="416">
        <f t="shared" si="57"/>
        <v>7.333333333333333</v>
      </c>
      <c r="AH185" s="372">
        <f t="shared" si="58"/>
        <v>0.91666666666666663</v>
      </c>
      <c r="AI185" s="373">
        <f t="shared" si="59"/>
        <v>875</v>
      </c>
      <c r="AJ185" s="418">
        <f>VLOOKUP(D185,'Standard Cycle time'!C:D,2,0)</f>
        <v>3.5</v>
      </c>
      <c r="AK185" s="418">
        <f t="shared" si="60"/>
        <v>3.7714285714285714</v>
      </c>
      <c r="AL185" s="374">
        <f t="shared" si="61"/>
        <v>0.92803030303030309</v>
      </c>
      <c r="AM185" s="372">
        <f t="shared" si="62"/>
        <v>0.85069444444444442</v>
      </c>
      <c r="AN185" s="799" t="s">
        <v>2476</v>
      </c>
      <c r="AO185" s="929"/>
      <c r="AP185" s="440">
        <v>40</v>
      </c>
      <c r="AQ185" s="440">
        <v>0</v>
      </c>
      <c r="AR185" s="440">
        <v>0</v>
      </c>
      <c r="AS185" s="440">
        <v>0</v>
      </c>
      <c r="AT185" s="440">
        <v>0</v>
      </c>
      <c r="AU185" s="440">
        <v>0</v>
      </c>
      <c r="AV185" s="440">
        <v>0</v>
      </c>
      <c r="AW185" s="440">
        <v>0</v>
      </c>
      <c r="AX185" s="440">
        <v>0</v>
      </c>
      <c r="AY185" s="440">
        <v>0</v>
      </c>
      <c r="AZ185" s="440">
        <v>0</v>
      </c>
      <c r="BA185" s="440">
        <v>0</v>
      </c>
      <c r="BB185" s="440">
        <v>0</v>
      </c>
      <c r="BC185" s="440">
        <v>0</v>
      </c>
      <c r="BD185" s="440">
        <v>0</v>
      </c>
      <c r="BE185" s="440">
        <v>0</v>
      </c>
      <c r="BF185" s="440">
        <v>0</v>
      </c>
      <c r="BG185" s="440">
        <v>0</v>
      </c>
      <c r="BH185" s="440">
        <v>0</v>
      </c>
      <c r="BI185" s="440">
        <v>0</v>
      </c>
      <c r="BJ185" s="440">
        <v>0</v>
      </c>
      <c r="BK185" s="440">
        <v>0</v>
      </c>
      <c r="BL185" s="440">
        <v>0</v>
      </c>
      <c r="BM185" s="440">
        <v>0</v>
      </c>
      <c r="BN185" s="440">
        <v>0</v>
      </c>
      <c r="BO185" s="440">
        <v>0</v>
      </c>
      <c r="BP185" s="440">
        <v>0</v>
      </c>
      <c r="BQ185" s="440">
        <v>0</v>
      </c>
      <c r="BR185" s="415">
        <f t="shared" ref="BR185:BR246" si="68">SUM(AP185:BQ185)/60</f>
        <v>0.66666666666666663</v>
      </c>
      <c r="BS185" s="415">
        <f t="shared" si="67"/>
        <v>0.6777777777777777</v>
      </c>
      <c r="BT185" s="935"/>
      <c r="BU185" s="935"/>
      <c r="BV185" s="935"/>
      <c r="BW185" s="935"/>
      <c r="BX185" s="935"/>
      <c r="BY185" s="935"/>
      <c r="BZ185" s="935"/>
      <c r="CA185" s="935"/>
      <c r="CB185" s="935"/>
      <c r="CC185" s="935"/>
      <c r="CD185" s="935"/>
      <c r="CE185" s="935"/>
      <c r="CF185" s="935"/>
      <c r="CG185" s="935"/>
      <c r="CH185" s="935"/>
      <c r="CI185" s="935"/>
      <c r="CJ185" s="935"/>
      <c r="CK185" s="935"/>
      <c r="CL185" s="935"/>
      <c r="CM185" s="935"/>
      <c r="CN185" s="935"/>
      <c r="CO185" s="935"/>
      <c r="CP185" s="935"/>
      <c r="CQ185" s="935"/>
      <c r="CR185" s="935"/>
      <c r="CS185" s="935"/>
      <c r="CT185" s="935"/>
      <c r="CU185" s="935"/>
      <c r="CV185" s="935"/>
    </row>
    <row r="186" spans="1:100">
      <c r="A186" s="375">
        <f t="shared" si="48"/>
        <v>8</v>
      </c>
      <c r="B186" s="455">
        <v>44426</v>
      </c>
      <c r="C186" s="493" t="s">
        <v>2001</v>
      </c>
      <c r="D186" s="376" t="str">
        <f>IFERROR(VLOOKUP(E:E,'Item Data Support Sheet'!A:O,7,0),"")</f>
        <v>NIPPLE LASER MARKING</v>
      </c>
      <c r="E186" s="447" t="s">
        <v>1814</v>
      </c>
      <c r="F186" s="500"/>
      <c r="G186" s="376"/>
      <c r="H186" s="602" t="str">
        <f>IFERROR(VLOOKUP(E:E,'Item Data Support Sheet'!A:O,2,0),"")</f>
        <v>NIPPLE S TYPE S SIZE PUNCHED LASER MARKED</v>
      </c>
      <c r="I186" s="501" t="s">
        <v>2475</v>
      </c>
      <c r="J186" s="447" t="s">
        <v>2810</v>
      </c>
      <c r="K186" s="438">
        <v>8</v>
      </c>
      <c r="L186" s="499">
        <v>7000</v>
      </c>
      <c r="M186" s="366">
        <f t="shared" si="64"/>
        <v>875</v>
      </c>
      <c r="N186" s="367">
        <f t="shared" si="47"/>
        <v>7000</v>
      </c>
      <c r="O186" s="61">
        <v>7000</v>
      </c>
      <c r="P186" s="368">
        <v>0</v>
      </c>
      <c r="Q186" s="369">
        <v>0</v>
      </c>
      <c r="R186" s="370">
        <v>0</v>
      </c>
      <c r="S186" s="370">
        <v>0</v>
      </c>
      <c r="T186" s="370">
        <v>0</v>
      </c>
      <c r="U186" s="370">
        <v>0</v>
      </c>
      <c r="V186" s="450">
        <v>1</v>
      </c>
      <c r="W186" s="453">
        <f t="shared" si="49"/>
        <v>7000</v>
      </c>
      <c r="X186" s="748">
        <f t="shared" si="50"/>
        <v>1</v>
      </c>
      <c r="Y186" s="451" t="str">
        <f>IFERROR(VLOOKUP(E:E,'Item Data Support Sheet'!A:J,6,0),0)</f>
        <v>FO019</v>
      </c>
      <c r="Z186" s="428">
        <f>IFERROR(VLOOKUP(E:E,'Item Data Support Sheet'!A:O,4,0),0)</f>
        <v>0</v>
      </c>
      <c r="AA186" s="428">
        <f t="shared" si="51"/>
        <v>0</v>
      </c>
      <c r="AB186" s="429" t="str">
        <f t="shared" si="52"/>
        <v xml:space="preserve"> </v>
      </c>
      <c r="AC186" s="424">
        <f t="shared" si="53"/>
        <v>0</v>
      </c>
      <c r="AD186" s="371">
        <f t="shared" si="54"/>
        <v>0</v>
      </c>
      <c r="AE186" s="748">
        <f t="shared" si="55"/>
        <v>1</v>
      </c>
      <c r="AF186" s="417">
        <f t="shared" si="56"/>
        <v>0.66666666666666663</v>
      </c>
      <c r="AG186" s="416">
        <f t="shared" si="57"/>
        <v>7.333333333333333</v>
      </c>
      <c r="AH186" s="372">
        <f t="shared" si="58"/>
        <v>0.91666666666666663</v>
      </c>
      <c r="AI186" s="373">
        <f t="shared" si="59"/>
        <v>875</v>
      </c>
      <c r="AJ186" s="418">
        <f>VLOOKUP(D186,'Standard Cycle time'!C:D,2,0)</f>
        <v>3.5</v>
      </c>
      <c r="AK186" s="418">
        <f t="shared" si="60"/>
        <v>3.7714285714285714</v>
      </c>
      <c r="AL186" s="374">
        <f t="shared" si="61"/>
        <v>0.92803030303030309</v>
      </c>
      <c r="AM186" s="372">
        <f t="shared" si="62"/>
        <v>0.85069444444444442</v>
      </c>
      <c r="AN186" s="799" t="s">
        <v>2481</v>
      </c>
      <c r="AO186" s="929"/>
      <c r="AP186" s="440">
        <v>40</v>
      </c>
      <c r="AQ186" s="440">
        <v>0</v>
      </c>
      <c r="AR186" s="440">
        <v>0</v>
      </c>
      <c r="AS186" s="440">
        <v>0</v>
      </c>
      <c r="AT186" s="440">
        <v>0</v>
      </c>
      <c r="AU186" s="440">
        <v>0</v>
      </c>
      <c r="AV186" s="440">
        <v>0</v>
      </c>
      <c r="AW186" s="440">
        <v>0</v>
      </c>
      <c r="AX186" s="440">
        <v>0</v>
      </c>
      <c r="AY186" s="440">
        <v>0</v>
      </c>
      <c r="AZ186" s="440">
        <v>0</v>
      </c>
      <c r="BA186" s="440">
        <v>0</v>
      </c>
      <c r="BB186" s="440">
        <v>0</v>
      </c>
      <c r="BC186" s="440">
        <v>0</v>
      </c>
      <c r="BD186" s="440">
        <v>0</v>
      </c>
      <c r="BE186" s="440">
        <v>0</v>
      </c>
      <c r="BF186" s="440">
        <v>0</v>
      </c>
      <c r="BG186" s="440">
        <v>0</v>
      </c>
      <c r="BH186" s="440">
        <v>0</v>
      </c>
      <c r="BI186" s="440">
        <v>0</v>
      </c>
      <c r="BJ186" s="440">
        <v>0</v>
      </c>
      <c r="BK186" s="440">
        <v>0</v>
      </c>
      <c r="BL186" s="440">
        <v>0</v>
      </c>
      <c r="BM186" s="440">
        <v>0</v>
      </c>
      <c r="BN186" s="440">
        <v>0</v>
      </c>
      <c r="BO186" s="440">
        <v>0</v>
      </c>
      <c r="BP186" s="440">
        <v>0</v>
      </c>
      <c r="BQ186" s="440">
        <v>0</v>
      </c>
      <c r="BR186" s="415">
        <f t="shared" si="68"/>
        <v>0.66666666666666663</v>
      </c>
      <c r="BS186" s="415">
        <f t="shared" si="67"/>
        <v>0.6777777777777777</v>
      </c>
      <c r="BT186" s="935"/>
      <c r="BU186" s="935"/>
      <c r="BV186" s="935"/>
      <c r="BW186" s="935"/>
      <c r="BX186" s="935"/>
      <c r="BY186" s="935"/>
      <c r="BZ186" s="935"/>
      <c r="CA186" s="935"/>
      <c r="CB186" s="935"/>
      <c r="CC186" s="935"/>
      <c r="CD186" s="935"/>
      <c r="CE186" s="935"/>
      <c r="CF186" s="935"/>
      <c r="CG186" s="935"/>
      <c r="CH186" s="935"/>
      <c r="CI186" s="935"/>
      <c r="CJ186" s="935"/>
      <c r="CK186" s="935"/>
      <c r="CL186" s="935"/>
      <c r="CM186" s="935"/>
      <c r="CN186" s="935"/>
      <c r="CO186" s="935"/>
      <c r="CP186" s="935"/>
      <c r="CQ186" s="935"/>
      <c r="CR186" s="935"/>
      <c r="CS186" s="935"/>
      <c r="CT186" s="935"/>
      <c r="CU186" s="935"/>
      <c r="CV186" s="935"/>
    </row>
    <row r="187" spans="1:100" s="441" customFormat="1">
      <c r="A187" s="375">
        <f t="shared" si="48"/>
        <v>8</v>
      </c>
      <c r="B187" s="455">
        <v>44426</v>
      </c>
      <c r="C187" s="493" t="s">
        <v>2001</v>
      </c>
      <c r="D187" s="376" t="str">
        <f>IFERROR(VLOOKUP(E:E,'Item Data Support Sheet'!A:O,7,0),"")</f>
        <v>NIPPLE POSTCURE</v>
      </c>
      <c r="E187" s="447" t="s">
        <v>76</v>
      </c>
      <c r="F187" s="500"/>
      <c r="G187" s="376"/>
      <c r="H187" s="602" t="str">
        <f>IFERROR(VLOOKUP(E:E,'Item Data Support Sheet'!A:O,2,0),"")</f>
        <v>NIPPLE S TYPE S SIZE POSTCURED</v>
      </c>
      <c r="I187" s="501" t="s">
        <v>2477</v>
      </c>
      <c r="J187" s="447" t="s">
        <v>2810</v>
      </c>
      <c r="K187" s="438">
        <v>8</v>
      </c>
      <c r="L187" s="499">
        <v>7000</v>
      </c>
      <c r="M187" s="366">
        <f t="shared" si="64"/>
        <v>875</v>
      </c>
      <c r="N187" s="367">
        <f t="shared" si="47"/>
        <v>8200</v>
      </c>
      <c r="O187" s="61">
        <v>8200</v>
      </c>
      <c r="P187" s="368">
        <v>0</v>
      </c>
      <c r="Q187" s="369">
        <v>0</v>
      </c>
      <c r="R187" s="370">
        <v>0</v>
      </c>
      <c r="S187" s="370">
        <v>0</v>
      </c>
      <c r="T187" s="370">
        <v>0</v>
      </c>
      <c r="U187" s="370">
        <v>0</v>
      </c>
      <c r="V187" s="450">
        <v>1</v>
      </c>
      <c r="W187" s="453">
        <f t="shared" si="49"/>
        <v>8200</v>
      </c>
      <c r="X187" s="748">
        <f t="shared" si="50"/>
        <v>1.1714285714285715</v>
      </c>
      <c r="Y187" s="451" t="str">
        <f>IFERROR(VLOOKUP(E:E,'Item Data Support Sheet'!A:J,6,0),0)</f>
        <v>FO011</v>
      </c>
      <c r="Z187" s="428">
        <f>IFERROR(VLOOKUP(E:E,'Item Data Support Sheet'!A:O,4,0),0)</f>
        <v>0</v>
      </c>
      <c r="AA187" s="428">
        <f t="shared" si="51"/>
        <v>0</v>
      </c>
      <c r="AB187" s="429" t="str">
        <f t="shared" si="52"/>
        <v xml:space="preserve"> </v>
      </c>
      <c r="AC187" s="424">
        <f t="shared" si="53"/>
        <v>0</v>
      </c>
      <c r="AD187" s="371">
        <f t="shared" si="54"/>
        <v>0</v>
      </c>
      <c r="AE187" s="748">
        <f t="shared" si="55"/>
        <v>1</v>
      </c>
      <c r="AF187" s="417">
        <f t="shared" si="56"/>
        <v>0.66666666666666663</v>
      </c>
      <c r="AG187" s="416">
        <f t="shared" si="57"/>
        <v>7.333333333333333</v>
      </c>
      <c r="AH187" s="372">
        <f t="shared" si="58"/>
        <v>0.91666666666666663</v>
      </c>
      <c r="AI187" s="373">
        <f t="shared" si="59"/>
        <v>1025</v>
      </c>
      <c r="AJ187" s="418">
        <f>VLOOKUP(D187,'Standard Cycle time'!C:D,2,0)</f>
        <v>2.2999999999999998</v>
      </c>
      <c r="AK187" s="418">
        <f t="shared" si="60"/>
        <v>3.2195121951219514</v>
      </c>
      <c r="AL187" s="374">
        <f t="shared" si="61"/>
        <v>0.71439393939393925</v>
      </c>
      <c r="AM187" s="372">
        <f t="shared" si="62"/>
        <v>0.65486111111111101</v>
      </c>
      <c r="AN187" s="799" t="s">
        <v>2478</v>
      </c>
      <c r="AO187" s="929"/>
      <c r="AP187" s="440">
        <v>40</v>
      </c>
      <c r="AQ187" s="440">
        <v>0</v>
      </c>
      <c r="AR187" s="440">
        <v>0</v>
      </c>
      <c r="AS187" s="440">
        <v>0</v>
      </c>
      <c r="AT187" s="440">
        <v>0</v>
      </c>
      <c r="AU187" s="440">
        <v>0</v>
      </c>
      <c r="AV187" s="440">
        <v>0</v>
      </c>
      <c r="AW187" s="440">
        <v>0</v>
      </c>
      <c r="AX187" s="440">
        <v>0</v>
      </c>
      <c r="AY187" s="440">
        <v>0</v>
      </c>
      <c r="AZ187" s="440">
        <v>0</v>
      </c>
      <c r="BA187" s="440">
        <v>0</v>
      </c>
      <c r="BB187" s="440">
        <v>0</v>
      </c>
      <c r="BC187" s="440">
        <v>0</v>
      </c>
      <c r="BD187" s="440">
        <v>0</v>
      </c>
      <c r="BE187" s="440">
        <v>0</v>
      </c>
      <c r="BF187" s="440">
        <v>0</v>
      </c>
      <c r="BG187" s="440">
        <v>0</v>
      </c>
      <c r="BH187" s="440">
        <v>0</v>
      </c>
      <c r="BI187" s="440">
        <v>0</v>
      </c>
      <c r="BJ187" s="440">
        <v>0</v>
      </c>
      <c r="BK187" s="440">
        <v>0</v>
      </c>
      <c r="BL187" s="440">
        <v>0</v>
      </c>
      <c r="BM187" s="440">
        <v>0</v>
      </c>
      <c r="BN187" s="440">
        <v>0</v>
      </c>
      <c r="BO187" s="440">
        <v>0</v>
      </c>
      <c r="BP187" s="440">
        <v>0</v>
      </c>
      <c r="BQ187" s="440">
        <v>0</v>
      </c>
      <c r="BR187" s="415">
        <f t="shared" si="68"/>
        <v>0.66666666666666663</v>
      </c>
      <c r="BS187" s="415"/>
      <c r="BT187" s="935"/>
      <c r="BU187" s="935"/>
      <c r="BV187" s="935"/>
      <c r="BW187" s="935"/>
      <c r="BX187" s="935"/>
      <c r="BY187" s="935"/>
      <c r="BZ187" s="935"/>
      <c r="CA187" s="935"/>
      <c r="CB187" s="935"/>
      <c r="CC187" s="935"/>
      <c r="CD187" s="935"/>
      <c r="CE187" s="935"/>
      <c r="CF187" s="935"/>
      <c r="CG187" s="935"/>
      <c r="CH187" s="935"/>
      <c r="CI187" s="935"/>
      <c r="CJ187" s="935"/>
      <c r="CK187" s="935"/>
      <c r="CL187" s="935"/>
      <c r="CM187" s="935"/>
      <c r="CN187" s="935"/>
      <c r="CO187" s="935"/>
      <c r="CP187" s="935"/>
      <c r="CQ187" s="935"/>
      <c r="CR187" s="935"/>
      <c r="CS187" s="935"/>
      <c r="CT187" s="935"/>
      <c r="CU187" s="935"/>
      <c r="CV187" s="935"/>
    </row>
    <row r="188" spans="1:100">
      <c r="A188" s="375">
        <f t="shared" si="48"/>
        <v>8</v>
      </c>
      <c r="B188" s="455">
        <v>44426</v>
      </c>
      <c r="C188" s="493" t="s">
        <v>2001</v>
      </c>
      <c r="D188" s="376" t="str">
        <f>IFERROR(VLOOKUP(E:E,'Item Data Support Sheet'!A:O,7,0),"")</f>
        <v>NIPPLE MOLDED</v>
      </c>
      <c r="E188" s="447" t="s">
        <v>72</v>
      </c>
      <c r="F188" s="500"/>
      <c r="G188" s="376"/>
      <c r="H188" s="602" t="str">
        <f>IFERROR(VLOOKUP(E:E,'Item Data Support Sheet'!A:O,2,0),"")</f>
        <v>NIPPLE S TYPE S SIZE INJECTION</v>
      </c>
      <c r="I188" s="501" t="s">
        <v>2479</v>
      </c>
      <c r="J188" s="447" t="s">
        <v>2810</v>
      </c>
      <c r="K188" s="438">
        <v>8</v>
      </c>
      <c r="L188" s="499">
        <v>4815</v>
      </c>
      <c r="M188" s="366">
        <f t="shared" si="64"/>
        <v>601.875</v>
      </c>
      <c r="N188" s="367">
        <f t="shared" si="47"/>
        <v>5046</v>
      </c>
      <c r="O188" s="61">
        <v>4950</v>
      </c>
      <c r="P188" s="368">
        <v>0</v>
      </c>
      <c r="Q188" s="369">
        <v>33</v>
      </c>
      <c r="R188" s="370">
        <v>0</v>
      </c>
      <c r="S188" s="370">
        <v>0</v>
      </c>
      <c r="T188" s="370">
        <v>63</v>
      </c>
      <c r="U188" s="370">
        <v>0</v>
      </c>
      <c r="V188" s="450">
        <v>1</v>
      </c>
      <c r="W188" s="453">
        <f t="shared" si="49"/>
        <v>4950</v>
      </c>
      <c r="X188" s="748">
        <f t="shared" si="50"/>
        <v>1.02803738317757</v>
      </c>
      <c r="Y188" s="451" t="str">
        <f>IFERROR(VLOOKUP(E:E,'Item Data Support Sheet'!A:J,6,0),0)</f>
        <v>Silicon</v>
      </c>
      <c r="Z188" s="428">
        <f>IFERROR(VLOOKUP(E:E,'Item Data Support Sheet'!A:O,4,0),0)</f>
        <v>6.8</v>
      </c>
      <c r="AA188" s="428">
        <f t="shared" si="51"/>
        <v>34.312799999999996</v>
      </c>
      <c r="AB188" s="429">
        <f t="shared" si="52"/>
        <v>0.98097502972651607</v>
      </c>
      <c r="AC188" s="424">
        <f t="shared" si="53"/>
        <v>1.2567324955116697E-2</v>
      </c>
      <c r="AD188" s="371">
        <f t="shared" si="54"/>
        <v>6.4973419964559952E-3</v>
      </c>
      <c r="AE188" s="748">
        <f t="shared" si="55"/>
        <v>0.98751486325802618</v>
      </c>
      <c r="AF188" s="417">
        <f t="shared" si="56"/>
        <v>0</v>
      </c>
      <c r="AG188" s="416">
        <f t="shared" si="57"/>
        <v>8</v>
      </c>
      <c r="AH188" s="372">
        <f t="shared" si="58"/>
        <v>1</v>
      </c>
      <c r="AI188" s="373">
        <f t="shared" si="59"/>
        <v>618.75</v>
      </c>
      <c r="AJ188" s="418">
        <f>VLOOKUP(D188,'Standard Cycle time'!C:D,2,0)</f>
        <v>5.25</v>
      </c>
      <c r="AK188" s="418">
        <f t="shared" si="60"/>
        <v>5.8181818181818183</v>
      </c>
      <c r="AL188" s="374">
        <f t="shared" si="61"/>
        <v>0.90234375</v>
      </c>
      <c r="AM188" s="372">
        <f t="shared" si="62"/>
        <v>0.89107786489298457</v>
      </c>
      <c r="AN188" s="799">
        <v>2502</v>
      </c>
      <c r="AO188" s="761"/>
      <c r="AP188" s="440">
        <v>0</v>
      </c>
      <c r="AQ188" s="440">
        <v>0</v>
      </c>
      <c r="AR188" s="440">
        <v>0</v>
      </c>
      <c r="AS188" s="440">
        <v>0</v>
      </c>
      <c r="AT188" s="440">
        <v>0</v>
      </c>
      <c r="AU188" s="440">
        <v>0</v>
      </c>
      <c r="AV188" s="440">
        <v>0</v>
      </c>
      <c r="AW188" s="440">
        <v>0</v>
      </c>
      <c r="AX188" s="440">
        <v>0</v>
      </c>
      <c r="AY188" s="440">
        <v>0</v>
      </c>
      <c r="AZ188" s="440">
        <v>0</v>
      </c>
      <c r="BA188" s="440">
        <v>0</v>
      </c>
      <c r="BB188" s="440">
        <v>0</v>
      </c>
      <c r="BC188" s="440">
        <v>0</v>
      </c>
      <c r="BD188" s="440">
        <v>0</v>
      </c>
      <c r="BE188" s="440">
        <v>0</v>
      </c>
      <c r="BF188" s="440">
        <v>0</v>
      </c>
      <c r="BG188" s="440">
        <v>0</v>
      </c>
      <c r="BH188" s="440">
        <v>0</v>
      </c>
      <c r="BI188" s="440">
        <v>0</v>
      </c>
      <c r="BJ188" s="440">
        <v>0</v>
      </c>
      <c r="BK188" s="440">
        <v>0</v>
      </c>
      <c r="BL188" s="440">
        <v>0</v>
      </c>
      <c r="BM188" s="440">
        <v>0</v>
      </c>
      <c r="BN188" s="440">
        <v>0</v>
      </c>
      <c r="BO188" s="440">
        <v>0</v>
      </c>
      <c r="BP188" s="440">
        <v>0</v>
      </c>
      <c r="BQ188" s="440">
        <v>0</v>
      </c>
      <c r="BR188" s="415">
        <f t="shared" si="68"/>
        <v>0</v>
      </c>
      <c r="BS188" s="415">
        <f t="shared" si="67"/>
        <v>0</v>
      </c>
      <c r="BT188" s="935"/>
      <c r="BU188" s="935"/>
      <c r="BV188" s="935"/>
      <c r="BW188" s="935"/>
      <c r="BX188" s="935"/>
      <c r="BY188" s="935"/>
      <c r="BZ188" s="935"/>
      <c r="CA188" s="935"/>
      <c r="CB188" s="935"/>
      <c r="CC188" s="935"/>
      <c r="CD188" s="935"/>
      <c r="CE188" s="935"/>
      <c r="CF188" s="935"/>
      <c r="CG188" s="935"/>
      <c r="CH188" s="935"/>
      <c r="CI188" s="935"/>
      <c r="CJ188" s="935"/>
      <c r="CK188" s="935"/>
      <c r="CL188" s="935"/>
      <c r="CM188" s="935"/>
      <c r="CN188" s="935"/>
      <c r="CO188" s="935"/>
      <c r="CP188" s="935"/>
      <c r="CQ188" s="935"/>
      <c r="CR188" s="935"/>
      <c r="CS188" s="935"/>
      <c r="CT188" s="935"/>
      <c r="CU188" s="935"/>
      <c r="CV188" s="935"/>
    </row>
    <row r="189" spans="1:100">
      <c r="A189" s="375">
        <f t="shared" si="48"/>
        <v>8</v>
      </c>
      <c r="B189" s="455">
        <v>44426</v>
      </c>
      <c r="C189" s="493" t="s">
        <v>2001</v>
      </c>
      <c r="D189" s="376" t="str">
        <f>IFERROR(VLOOKUP(E:E,'Item Data Support Sheet'!A:O,7,0),"")</f>
        <v>BOTTLE MOLDED</v>
      </c>
      <c r="E189" s="447" t="s">
        <v>14</v>
      </c>
      <c r="F189" s="490" t="s">
        <v>1681</v>
      </c>
      <c r="G189" s="376" t="s">
        <v>1888</v>
      </c>
      <c r="H189" s="602" t="str">
        <f>IFERROR(VLOOKUP(E:E,'Item Data Support Sheet'!A:O,2,0),"")</f>
        <v>KPP 240 ML BOTTLE MOLDED</v>
      </c>
      <c r="I189" s="501" t="s">
        <v>2480</v>
      </c>
      <c r="J189" s="447" t="s">
        <v>2810</v>
      </c>
      <c r="K189" s="438">
        <v>8</v>
      </c>
      <c r="L189" s="499">
        <v>2574</v>
      </c>
      <c r="M189" s="366">
        <f t="shared" si="64"/>
        <v>321.75</v>
      </c>
      <c r="N189" s="367">
        <f t="shared" si="47"/>
        <v>3201</v>
      </c>
      <c r="O189" s="61">
        <f>29*108</f>
        <v>3132</v>
      </c>
      <c r="P189" s="368">
        <v>0.15</v>
      </c>
      <c r="Q189" s="369">
        <v>18</v>
      </c>
      <c r="R189" s="370">
        <v>0</v>
      </c>
      <c r="S189" s="370">
        <v>0</v>
      </c>
      <c r="T189" s="370">
        <v>51</v>
      </c>
      <c r="U189" s="370">
        <v>0</v>
      </c>
      <c r="V189" s="450">
        <v>1</v>
      </c>
      <c r="W189" s="453">
        <f t="shared" si="49"/>
        <v>3132</v>
      </c>
      <c r="X189" s="748">
        <f t="shared" si="50"/>
        <v>1.2167832167832169</v>
      </c>
      <c r="Y189" s="451" t="str">
        <f>IFERROR(VLOOKUP(E:E,'Item Data Support Sheet'!A:J,6,0),0)</f>
        <v>HMC</v>
      </c>
      <c r="Z189" s="428">
        <f>IFERROR(VLOOKUP(E:E,'Item Data Support Sheet'!A:O,4,0),0)</f>
        <v>32.1</v>
      </c>
      <c r="AA189" s="428">
        <f t="shared" si="51"/>
        <v>102.90210000000002</v>
      </c>
      <c r="AB189" s="429">
        <f t="shared" si="52"/>
        <v>0.97701796173255939</v>
      </c>
      <c r="AC189" s="424">
        <f t="shared" si="53"/>
        <v>1.6022620169651274E-2</v>
      </c>
      <c r="AD189" s="371">
        <f t="shared" si="54"/>
        <v>5.5917986952469714E-3</v>
      </c>
      <c r="AE189" s="748">
        <f t="shared" si="55"/>
        <v>0.98406747891283974</v>
      </c>
      <c r="AF189" s="417">
        <f t="shared" si="56"/>
        <v>0</v>
      </c>
      <c r="AG189" s="416">
        <f t="shared" si="57"/>
        <v>8</v>
      </c>
      <c r="AH189" s="372">
        <f t="shared" si="58"/>
        <v>1</v>
      </c>
      <c r="AI189" s="373">
        <f t="shared" si="59"/>
        <v>391.5</v>
      </c>
      <c r="AJ189" s="418">
        <f>VLOOKUP(D189,'Standard Cycle time'!C:D,2,0)</f>
        <v>9</v>
      </c>
      <c r="AK189" s="418">
        <f t="shared" si="60"/>
        <v>9.1954022988505741</v>
      </c>
      <c r="AL189" s="374">
        <f t="shared" si="61"/>
        <v>0.97875000000000001</v>
      </c>
      <c r="AM189" s="372">
        <f t="shared" si="62"/>
        <v>0.96315604498594187</v>
      </c>
      <c r="AN189" s="799">
        <v>2501</v>
      </c>
      <c r="AO189" s="761"/>
      <c r="AP189" s="440">
        <v>0</v>
      </c>
      <c r="AQ189" s="440">
        <v>0</v>
      </c>
      <c r="AR189" s="440">
        <v>0</v>
      </c>
      <c r="AS189" s="440">
        <v>0</v>
      </c>
      <c r="AT189" s="440">
        <v>0</v>
      </c>
      <c r="AU189" s="440">
        <v>0</v>
      </c>
      <c r="AV189" s="440">
        <v>0</v>
      </c>
      <c r="AW189" s="440">
        <v>0</v>
      </c>
      <c r="AX189" s="440">
        <v>0</v>
      </c>
      <c r="AY189" s="440">
        <v>0</v>
      </c>
      <c r="AZ189" s="440">
        <v>0</v>
      </c>
      <c r="BA189" s="440">
        <v>0</v>
      </c>
      <c r="BB189" s="440">
        <v>0</v>
      </c>
      <c r="BC189" s="440">
        <v>0</v>
      </c>
      <c r="BD189" s="440">
        <v>0</v>
      </c>
      <c r="BE189" s="440">
        <v>0</v>
      </c>
      <c r="BF189" s="440">
        <v>0</v>
      </c>
      <c r="BG189" s="440">
        <v>0</v>
      </c>
      <c r="BH189" s="440">
        <v>0</v>
      </c>
      <c r="BI189" s="440">
        <v>0</v>
      </c>
      <c r="BJ189" s="440">
        <v>0</v>
      </c>
      <c r="BK189" s="440">
        <v>0</v>
      </c>
      <c r="BL189" s="440">
        <v>0</v>
      </c>
      <c r="BM189" s="440">
        <v>0</v>
      </c>
      <c r="BN189" s="440">
        <v>0</v>
      </c>
      <c r="BO189" s="440">
        <v>0</v>
      </c>
      <c r="BP189" s="440">
        <v>0</v>
      </c>
      <c r="BQ189" s="440">
        <v>0</v>
      </c>
      <c r="BR189" s="415">
        <f t="shared" si="68"/>
        <v>0</v>
      </c>
      <c r="BS189" s="415">
        <f t="shared" si="67"/>
        <v>0</v>
      </c>
      <c r="BT189" s="935"/>
      <c r="BU189" s="935"/>
      <c r="BV189" s="935"/>
      <c r="BW189" s="935"/>
      <c r="BX189" s="935"/>
      <c r="BY189" s="935"/>
      <c r="BZ189" s="935"/>
      <c r="CA189" s="935"/>
      <c r="CB189" s="935"/>
      <c r="CC189" s="935"/>
      <c r="CD189" s="935"/>
      <c r="CE189" s="935"/>
      <c r="CF189" s="935"/>
      <c r="CG189" s="935"/>
      <c r="CH189" s="935"/>
      <c r="CI189" s="935"/>
      <c r="CJ189" s="935"/>
      <c r="CK189" s="935"/>
      <c r="CL189" s="935"/>
      <c r="CM189" s="935"/>
      <c r="CN189" s="935"/>
      <c r="CO189" s="935"/>
      <c r="CP189" s="935"/>
      <c r="CQ189" s="935"/>
      <c r="CR189" s="935"/>
      <c r="CS189" s="935"/>
      <c r="CT189" s="935"/>
      <c r="CU189" s="935"/>
      <c r="CV189" s="935"/>
    </row>
    <row r="190" spans="1:100">
      <c r="A190" s="375">
        <f t="shared" si="48"/>
        <v>8</v>
      </c>
      <c r="B190" s="455">
        <v>44426</v>
      </c>
      <c r="C190" s="493" t="s">
        <v>2001</v>
      </c>
      <c r="D190" s="376" t="str">
        <f>IFERROR(VLOOKUP(E:E,'Item Data Support Sheet'!A:O,7,0),"")</f>
        <v>CAP MOLDED</v>
      </c>
      <c r="E190" s="447" t="s">
        <v>2110</v>
      </c>
      <c r="F190" s="500"/>
      <c r="G190" s="376" t="s">
        <v>2220</v>
      </c>
      <c r="H190" s="602" t="str">
        <f>IFERROR(VLOOKUP(E:E,'Item Data Support Sheet'!A:O,2,0),"")</f>
        <v>CAP S TYPE MOLDED WHITE</v>
      </c>
      <c r="I190" s="501" t="s">
        <v>2482</v>
      </c>
      <c r="J190" s="447" t="s">
        <v>2810</v>
      </c>
      <c r="K190" s="438">
        <v>5.4</v>
      </c>
      <c r="L190" s="499">
        <v>2800</v>
      </c>
      <c r="M190" s="366">
        <f t="shared" si="64"/>
        <v>518.51851851851848</v>
      </c>
      <c r="N190" s="367">
        <f t="shared" si="47"/>
        <v>2880</v>
      </c>
      <c r="O190" s="61">
        <v>2880</v>
      </c>
      <c r="P190" s="368">
        <v>0</v>
      </c>
      <c r="Q190" s="369">
        <v>0</v>
      </c>
      <c r="R190" s="370">
        <v>0</v>
      </c>
      <c r="S190" s="370">
        <v>0</v>
      </c>
      <c r="T190" s="370">
        <v>0</v>
      </c>
      <c r="U190" s="370">
        <v>0</v>
      </c>
      <c r="V190" s="450">
        <v>1</v>
      </c>
      <c r="W190" s="453">
        <f t="shared" si="49"/>
        <v>2880</v>
      </c>
      <c r="X190" s="748">
        <f t="shared" si="50"/>
        <v>1.0285714285714285</v>
      </c>
      <c r="Y190" s="451" t="str">
        <f>IFERROR(VLOOKUP(E:E,'Item Data Support Sheet'!A:J,6,0),0)</f>
        <v>RM000106</v>
      </c>
      <c r="Z190" s="428">
        <f>IFERROR(VLOOKUP(E:E,'Item Data Support Sheet'!A:O,4,0),0)</f>
        <v>7.3</v>
      </c>
      <c r="AA190" s="428">
        <f t="shared" si="51"/>
        <v>21.024000000000001</v>
      </c>
      <c r="AB190" s="429">
        <f t="shared" si="52"/>
        <v>1</v>
      </c>
      <c r="AC190" s="424">
        <f t="shared" si="53"/>
        <v>0</v>
      </c>
      <c r="AD190" s="371">
        <f t="shared" si="54"/>
        <v>0</v>
      </c>
      <c r="AE190" s="748">
        <f t="shared" si="55"/>
        <v>1</v>
      </c>
      <c r="AF190" s="417">
        <f t="shared" si="56"/>
        <v>0.33333333333333331</v>
      </c>
      <c r="AG190" s="416">
        <f t="shared" si="57"/>
        <v>5.0666666666666673</v>
      </c>
      <c r="AH190" s="372">
        <f t="shared" si="58"/>
        <v>0.93827160493827166</v>
      </c>
      <c r="AI190" s="373">
        <f t="shared" si="59"/>
        <v>533.33333333333326</v>
      </c>
      <c r="AJ190" s="418">
        <f>VLOOKUP(D190,'Standard Cycle time'!C:D,2,0)</f>
        <v>6</v>
      </c>
      <c r="AK190" s="418">
        <f t="shared" si="60"/>
        <v>6.3333333333333348</v>
      </c>
      <c r="AL190" s="374">
        <f t="shared" si="61"/>
        <v>0.9473684210526313</v>
      </c>
      <c r="AM190" s="372">
        <f t="shared" si="62"/>
        <v>0.88888888888888873</v>
      </c>
      <c r="AN190" s="799">
        <v>2694</v>
      </c>
      <c r="AO190" s="761"/>
      <c r="AP190" s="440">
        <v>0</v>
      </c>
      <c r="AQ190" s="440">
        <v>0</v>
      </c>
      <c r="AR190" s="440">
        <v>0</v>
      </c>
      <c r="AS190" s="440">
        <v>0</v>
      </c>
      <c r="AT190" s="440">
        <v>0</v>
      </c>
      <c r="AU190" s="440">
        <v>0</v>
      </c>
      <c r="AV190" s="440">
        <v>20</v>
      </c>
      <c r="AW190" s="440">
        <v>0</v>
      </c>
      <c r="AX190" s="440">
        <v>0</v>
      </c>
      <c r="AY190" s="440">
        <v>0</v>
      </c>
      <c r="AZ190" s="440">
        <v>0</v>
      </c>
      <c r="BA190" s="440">
        <v>0</v>
      </c>
      <c r="BB190" s="440">
        <v>0</v>
      </c>
      <c r="BC190" s="440">
        <v>0</v>
      </c>
      <c r="BD190" s="440">
        <v>0</v>
      </c>
      <c r="BE190" s="440">
        <v>0</v>
      </c>
      <c r="BF190" s="440">
        <v>0</v>
      </c>
      <c r="BG190" s="440">
        <v>0</v>
      </c>
      <c r="BH190" s="440">
        <v>0</v>
      </c>
      <c r="BI190" s="440">
        <v>0</v>
      </c>
      <c r="BJ190" s="440">
        <v>0</v>
      </c>
      <c r="BK190" s="440">
        <v>0</v>
      </c>
      <c r="BL190" s="440">
        <v>0</v>
      </c>
      <c r="BM190" s="440">
        <v>0</v>
      </c>
      <c r="BN190" s="440">
        <v>0</v>
      </c>
      <c r="BO190" s="440">
        <v>0</v>
      </c>
      <c r="BP190" s="440">
        <v>0</v>
      </c>
      <c r="BQ190" s="440">
        <v>0</v>
      </c>
      <c r="BR190" s="415">
        <f t="shared" si="68"/>
        <v>0.33333333333333331</v>
      </c>
      <c r="BS190" s="415">
        <f t="shared" si="67"/>
        <v>0.33888888888888885</v>
      </c>
      <c r="BT190" s="935"/>
      <c r="BU190" s="935"/>
      <c r="BV190" s="935"/>
      <c r="BW190" s="935"/>
      <c r="BX190" s="935"/>
      <c r="BY190" s="935"/>
      <c r="BZ190" s="935"/>
      <c r="CA190" s="935"/>
      <c r="CB190" s="935"/>
      <c r="CC190" s="935"/>
      <c r="CD190" s="935"/>
      <c r="CE190" s="935"/>
      <c r="CF190" s="935"/>
      <c r="CG190" s="935"/>
      <c r="CH190" s="935"/>
      <c r="CI190" s="935"/>
      <c r="CJ190" s="935"/>
      <c r="CK190" s="935"/>
      <c r="CL190" s="935"/>
      <c r="CM190" s="935"/>
      <c r="CN190" s="935"/>
      <c r="CO190" s="935"/>
      <c r="CP190" s="935"/>
      <c r="CQ190" s="935"/>
      <c r="CR190" s="935"/>
      <c r="CS190" s="935"/>
      <c r="CT190" s="935"/>
      <c r="CU190" s="935"/>
      <c r="CV190" s="935"/>
    </row>
    <row r="191" spans="1:100">
      <c r="A191" s="375">
        <f t="shared" si="48"/>
        <v>8</v>
      </c>
      <c r="B191" s="455">
        <v>44426</v>
      </c>
      <c r="C191" s="493" t="s">
        <v>2001</v>
      </c>
      <c r="D191" s="376" t="str">
        <f>IFERROR(VLOOKUP(E:E,'Item Data Support Sheet'!A:O,7,0),"")</f>
        <v>CAP MOLDED</v>
      </c>
      <c r="E191" s="447" t="s">
        <v>2110</v>
      </c>
      <c r="F191" s="500"/>
      <c r="G191" s="376" t="s">
        <v>2220</v>
      </c>
      <c r="H191" s="602" t="str">
        <f>IFERROR(VLOOKUP(E:E,'Item Data Support Sheet'!A:O,2,0),"")</f>
        <v>CAP S TYPE MOLDED WHITE</v>
      </c>
      <c r="I191" s="501" t="s">
        <v>2483</v>
      </c>
      <c r="J191" s="447" t="s">
        <v>2810</v>
      </c>
      <c r="K191" s="438">
        <v>3.5</v>
      </c>
      <c r="L191" s="499">
        <f>4137-2800</f>
        <v>1337</v>
      </c>
      <c r="M191" s="366">
        <f t="shared" si="64"/>
        <v>382</v>
      </c>
      <c r="N191" s="367">
        <f t="shared" si="47"/>
        <v>2008</v>
      </c>
      <c r="O191" s="61">
        <v>2000</v>
      </c>
      <c r="P191" s="368">
        <v>0</v>
      </c>
      <c r="Q191" s="369">
        <v>0</v>
      </c>
      <c r="R191" s="370">
        <v>0</v>
      </c>
      <c r="S191" s="370">
        <v>0</v>
      </c>
      <c r="T191" s="370">
        <v>8</v>
      </c>
      <c r="U191" s="370">
        <v>0</v>
      </c>
      <c r="V191" s="450">
        <v>1</v>
      </c>
      <c r="W191" s="453">
        <f t="shared" si="49"/>
        <v>2000</v>
      </c>
      <c r="X191" s="748">
        <f t="shared" si="50"/>
        <v>1.4958863126402393</v>
      </c>
      <c r="Y191" s="451" t="str">
        <f>IFERROR(VLOOKUP(E:E,'Item Data Support Sheet'!A:J,6,0),0)</f>
        <v>RM000106</v>
      </c>
      <c r="Z191" s="428">
        <f>IFERROR(VLOOKUP(E:E,'Item Data Support Sheet'!A:O,4,0),0)</f>
        <v>7.3</v>
      </c>
      <c r="AA191" s="428">
        <f t="shared" si="51"/>
        <v>14.6584</v>
      </c>
      <c r="AB191" s="429">
        <f t="shared" si="52"/>
        <v>0.99601593625498008</v>
      </c>
      <c r="AC191" s="424">
        <f t="shared" si="53"/>
        <v>3.9840637450199202E-3</v>
      </c>
      <c r="AD191" s="371">
        <f t="shared" si="54"/>
        <v>0</v>
      </c>
      <c r="AE191" s="748">
        <f t="shared" si="55"/>
        <v>0.99601593625498008</v>
      </c>
      <c r="AF191" s="417">
        <f t="shared" si="56"/>
        <v>0</v>
      </c>
      <c r="AG191" s="416">
        <f t="shared" si="57"/>
        <v>3.5</v>
      </c>
      <c r="AH191" s="372">
        <f t="shared" si="58"/>
        <v>1</v>
      </c>
      <c r="AI191" s="373">
        <f t="shared" si="59"/>
        <v>571.42857142857144</v>
      </c>
      <c r="AJ191" s="418">
        <f>VLOOKUP(D191,'Standard Cycle time'!C:D,2,0)</f>
        <v>6</v>
      </c>
      <c r="AK191" s="418">
        <f t="shared" si="60"/>
        <v>6.3</v>
      </c>
      <c r="AL191" s="374">
        <f t="shared" si="61"/>
        <v>0.95238095238095244</v>
      </c>
      <c r="AM191" s="372">
        <f t="shared" si="62"/>
        <v>0.94858660595712396</v>
      </c>
      <c r="AN191" s="799">
        <v>2695</v>
      </c>
      <c r="AO191" s="761"/>
      <c r="AP191" s="440">
        <v>0</v>
      </c>
      <c r="AQ191" s="440">
        <v>0</v>
      </c>
      <c r="AR191" s="440">
        <v>0</v>
      </c>
      <c r="AS191" s="440">
        <v>0</v>
      </c>
      <c r="AT191" s="440">
        <v>0</v>
      </c>
      <c r="AU191" s="440">
        <v>0</v>
      </c>
      <c r="AV191" s="440">
        <v>0</v>
      </c>
      <c r="AW191" s="440">
        <v>0</v>
      </c>
      <c r="AX191" s="440">
        <v>0</v>
      </c>
      <c r="AY191" s="440">
        <v>0</v>
      </c>
      <c r="AZ191" s="440">
        <v>0</v>
      </c>
      <c r="BA191" s="440">
        <v>0</v>
      </c>
      <c r="BB191" s="440">
        <v>0</v>
      </c>
      <c r="BC191" s="440">
        <v>0</v>
      </c>
      <c r="BD191" s="440">
        <v>0</v>
      </c>
      <c r="BE191" s="440">
        <v>0</v>
      </c>
      <c r="BF191" s="440">
        <v>0</v>
      </c>
      <c r="BG191" s="440">
        <v>0</v>
      </c>
      <c r="BH191" s="440">
        <v>0</v>
      </c>
      <c r="BI191" s="440">
        <v>0</v>
      </c>
      <c r="BJ191" s="440">
        <v>0</v>
      </c>
      <c r="BK191" s="440">
        <v>0</v>
      </c>
      <c r="BL191" s="440">
        <v>0</v>
      </c>
      <c r="BM191" s="440">
        <v>0</v>
      </c>
      <c r="BN191" s="440">
        <v>0</v>
      </c>
      <c r="BO191" s="440">
        <v>0</v>
      </c>
      <c r="BP191" s="440">
        <v>0</v>
      </c>
      <c r="BQ191" s="440">
        <v>0</v>
      </c>
      <c r="BR191" s="415">
        <f t="shared" si="68"/>
        <v>0</v>
      </c>
      <c r="BS191" s="415">
        <f t="shared" si="67"/>
        <v>0</v>
      </c>
      <c r="BT191" s="935"/>
      <c r="BU191" s="935"/>
      <c r="BV191" s="935"/>
      <c r="BW191" s="935"/>
      <c r="BX191" s="935"/>
      <c r="BY191" s="935"/>
      <c r="BZ191" s="935"/>
      <c r="CA191" s="935"/>
      <c r="CB191" s="935"/>
      <c r="CC191" s="935"/>
      <c r="CD191" s="935"/>
      <c r="CE191" s="935"/>
      <c r="CF191" s="935"/>
      <c r="CG191" s="935"/>
      <c r="CH191" s="935"/>
      <c r="CI191" s="935"/>
      <c r="CJ191" s="935"/>
      <c r="CK191" s="935"/>
      <c r="CL191" s="935"/>
      <c r="CM191" s="935"/>
      <c r="CN191" s="935"/>
      <c r="CO191" s="935"/>
      <c r="CP191" s="935"/>
      <c r="CQ191" s="935"/>
      <c r="CR191" s="935"/>
      <c r="CS191" s="935"/>
      <c r="CT191" s="935"/>
      <c r="CU191" s="935"/>
      <c r="CV191" s="935"/>
    </row>
    <row r="192" spans="1:100">
      <c r="A192" s="375">
        <f t="shared" si="48"/>
        <v>8</v>
      </c>
      <c r="B192" s="455">
        <v>44426</v>
      </c>
      <c r="C192" s="493" t="s">
        <v>2053</v>
      </c>
      <c r="D192" s="376" t="str">
        <f>IFERROR(VLOOKUP(E:E,'Item Data Support Sheet'!A:O,7,0),"")</f>
        <v>CAP MOLDED</v>
      </c>
      <c r="E192" s="446" t="s">
        <v>2110</v>
      </c>
      <c r="F192" s="447"/>
      <c r="G192" s="376" t="s">
        <v>2220</v>
      </c>
      <c r="H192" s="602" t="str">
        <f>IFERROR(VLOOKUP(E:E,'Item Data Support Sheet'!A:O,2,0),"")</f>
        <v>CAP S TYPE MOLDED WHITE</v>
      </c>
      <c r="I192" s="501" t="s">
        <v>2490</v>
      </c>
      <c r="J192" s="447" t="s">
        <v>2808</v>
      </c>
      <c r="K192" s="438">
        <v>8</v>
      </c>
      <c r="L192" s="499">
        <v>4137</v>
      </c>
      <c r="M192" s="366">
        <f t="shared" si="64"/>
        <v>517.125</v>
      </c>
      <c r="N192" s="367">
        <f t="shared" si="47"/>
        <v>4015</v>
      </c>
      <c r="O192" s="61">
        <v>4000</v>
      </c>
      <c r="P192" s="368">
        <v>0</v>
      </c>
      <c r="Q192" s="369">
        <v>0</v>
      </c>
      <c r="R192" s="370">
        <v>0</v>
      </c>
      <c r="S192" s="370">
        <v>0</v>
      </c>
      <c r="T192" s="370">
        <v>7</v>
      </c>
      <c r="U192" s="370">
        <v>8</v>
      </c>
      <c r="V192" s="450">
        <v>1</v>
      </c>
      <c r="W192" s="453">
        <f t="shared" si="49"/>
        <v>4000</v>
      </c>
      <c r="X192" s="748">
        <f t="shared" si="50"/>
        <v>0.96688421561518012</v>
      </c>
      <c r="Y192" s="451" t="str">
        <f>IFERROR(VLOOKUP(E:E,'Item Data Support Sheet'!A:J,6,0),0)</f>
        <v>RM000106</v>
      </c>
      <c r="Z192" s="428">
        <f>IFERROR(VLOOKUP(E:E,'Item Data Support Sheet'!A:O,4,0),0)</f>
        <v>7.3</v>
      </c>
      <c r="AA192" s="428">
        <f t="shared" si="51"/>
        <v>29.3095</v>
      </c>
      <c r="AB192" s="429">
        <f t="shared" si="52"/>
        <v>0.99626400996264008</v>
      </c>
      <c r="AC192" s="424">
        <f t="shared" si="53"/>
        <v>1.7469428500124782E-3</v>
      </c>
      <c r="AD192" s="371">
        <f t="shared" si="54"/>
        <v>0</v>
      </c>
      <c r="AE192" s="748">
        <f t="shared" si="55"/>
        <v>0.99825653798256542</v>
      </c>
      <c r="AF192" s="417">
        <f t="shared" si="56"/>
        <v>0.5</v>
      </c>
      <c r="AG192" s="416">
        <f t="shared" si="57"/>
        <v>7.5</v>
      </c>
      <c r="AH192" s="372">
        <f t="shared" si="58"/>
        <v>0.9375</v>
      </c>
      <c r="AI192" s="373">
        <f t="shared" si="59"/>
        <v>500</v>
      </c>
      <c r="AJ192" s="418">
        <f>VLOOKUP(D192,'Standard Cycle time'!C:D,2,0)</f>
        <v>6</v>
      </c>
      <c r="AK192" s="418">
        <f t="shared" si="60"/>
        <v>6.75</v>
      </c>
      <c r="AL192" s="374">
        <f t="shared" si="61"/>
        <v>0.88888888888888884</v>
      </c>
      <c r="AM192" s="372">
        <f t="shared" si="62"/>
        <v>0.83188044831880448</v>
      </c>
      <c r="AN192" s="799">
        <v>2695</v>
      </c>
      <c r="AO192" s="761"/>
      <c r="AP192" s="440">
        <v>0</v>
      </c>
      <c r="AQ192" s="440">
        <v>0</v>
      </c>
      <c r="AR192" s="440">
        <v>0</v>
      </c>
      <c r="AS192" s="440">
        <v>0</v>
      </c>
      <c r="AT192" s="440">
        <v>0</v>
      </c>
      <c r="AU192" s="440">
        <v>0</v>
      </c>
      <c r="AV192" s="440">
        <v>30</v>
      </c>
      <c r="AW192" s="440">
        <v>0</v>
      </c>
      <c r="AX192" s="440">
        <v>0</v>
      </c>
      <c r="AY192" s="440">
        <v>0</v>
      </c>
      <c r="AZ192" s="440">
        <v>0</v>
      </c>
      <c r="BA192" s="440">
        <v>0</v>
      </c>
      <c r="BB192" s="440">
        <v>0</v>
      </c>
      <c r="BC192" s="440">
        <v>0</v>
      </c>
      <c r="BD192" s="440">
        <v>0</v>
      </c>
      <c r="BE192" s="440">
        <v>0</v>
      </c>
      <c r="BF192" s="440">
        <v>0</v>
      </c>
      <c r="BG192" s="440">
        <v>0</v>
      </c>
      <c r="BH192" s="440">
        <v>0</v>
      </c>
      <c r="BI192" s="440">
        <v>0</v>
      </c>
      <c r="BJ192" s="440">
        <v>0</v>
      </c>
      <c r="BK192" s="440">
        <v>0</v>
      </c>
      <c r="BL192" s="440">
        <v>0</v>
      </c>
      <c r="BM192" s="440">
        <v>0</v>
      </c>
      <c r="BN192" s="440">
        <v>0</v>
      </c>
      <c r="BO192" s="440">
        <v>0</v>
      </c>
      <c r="BP192" s="440">
        <v>0</v>
      </c>
      <c r="BQ192" s="440">
        <v>0</v>
      </c>
      <c r="BR192" s="415">
        <f t="shared" si="68"/>
        <v>0.5</v>
      </c>
      <c r="BS192" s="415">
        <f t="shared" si="67"/>
        <v>0.5083333333333333</v>
      </c>
      <c r="BT192" s="935"/>
      <c r="BU192" s="935"/>
      <c r="BV192" s="935"/>
      <c r="BW192" s="935"/>
      <c r="BX192" s="935"/>
      <c r="BY192" s="935"/>
      <c r="BZ192" s="935"/>
      <c r="CA192" s="935"/>
      <c r="CB192" s="935"/>
      <c r="CC192" s="935"/>
      <c r="CD192" s="935"/>
      <c r="CE192" s="935"/>
      <c r="CF192" s="935"/>
      <c r="CG192" s="935"/>
      <c r="CH192" s="935"/>
      <c r="CI192" s="935"/>
      <c r="CJ192" s="935"/>
      <c r="CK192" s="935"/>
      <c r="CL192" s="935"/>
      <c r="CM192" s="935"/>
      <c r="CN192" s="935"/>
      <c r="CO192" s="935"/>
      <c r="CP192" s="935"/>
      <c r="CQ192" s="935"/>
      <c r="CR192" s="935"/>
      <c r="CS192" s="935"/>
      <c r="CT192" s="935"/>
      <c r="CU192" s="935"/>
      <c r="CV192" s="935"/>
    </row>
    <row r="193" spans="1:105">
      <c r="A193" s="375">
        <f t="shared" si="48"/>
        <v>8</v>
      </c>
      <c r="B193" s="455">
        <v>44426</v>
      </c>
      <c r="C193" s="493" t="s">
        <v>2053</v>
      </c>
      <c r="D193" s="376" t="str">
        <f>IFERROR(VLOOKUP(E:E,'Item Data Support Sheet'!A:O,7,0),"")</f>
        <v>NIPPLE MOLDED</v>
      </c>
      <c r="E193" s="446" t="s">
        <v>2484</v>
      </c>
      <c r="F193" s="490" t="s">
        <v>1678</v>
      </c>
      <c r="G193" s="376" t="s">
        <v>1691</v>
      </c>
      <c r="H193" s="602" t="str">
        <f>IFERROR(VLOOKUP(E:E,'Item Data Support Sheet'!A:O,2,0),"")</f>
        <v>NIPPLE S TYPE LL SIZE INJECTION</v>
      </c>
      <c r="I193" s="447" t="s">
        <v>2491</v>
      </c>
      <c r="J193" s="447" t="s">
        <v>2808</v>
      </c>
      <c r="K193" s="438">
        <v>8</v>
      </c>
      <c r="L193" s="499">
        <v>4815</v>
      </c>
      <c r="M193" s="366">
        <f t="shared" si="64"/>
        <v>601.875</v>
      </c>
      <c r="N193" s="367">
        <f t="shared" si="47"/>
        <v>3702</v>
      </c>
      <c r="O193" s="61">
        <v>3600</v>
      </c>
      <c r="P193" s="368">
        <v>0</v>
      </c>
      <c r="Q193" s="369">
        <v>53</v>
      </c>
      <c r="R193" s="370">
        <v>0</v>
      </c>
      <c r="S193" s="370">
        <v>0</v>
      </c>
      <c r="T193" s="370">
        <v>41</v>
      </c>
      <c r="U193" s="370">
        <v>8</v>
      </c>
      <c r="V193" s="450">
        <v>1</v>
      </c>
      <c r="W193" s="453">
        <f t="shared" si="49"/>
        <v>3600</v>
      </c>
      <c r="X193" s="748">
        <f t="shared" si="50"/>
        <v>0.74766355140186913</v>
      </c>
      <c r="Y193" s="451" t="str">
        <f>IFERROR(VLOOKUP(E:E,'Item Data Support Sheet'!A:J,6,0),0)</f>
        <v>FO148</v>
      </c>
      <c r="Z193" s="428">
        <f>IFERROR(VLOOKUP(E:E,'Item Data Support Sheet'!A:O,4,0),0)</f>
        <v>6.8</v>
      </c>
      <c r="AA193" s="428">
        <f t="shared" si="51"/>
        <v>25.173599999999997</v>
      </c>
      <c r="AB193" s="429">
        <f t="shared" si="52"/>
        <v>0.97244732576985415</v>
      </c>
      <c r="AC193" s="424">
        <f t="shared" si="53"/>
        <v>1.1260642680582258E-2</v>
      </c>
      <c r="AD193" s="371">
        <f t="shared" si="54"/>
        <v>1.411451398135819E-2</v>
      </c>
      <c r="AE193" s="748">
        <f t="shared" si="55"/>
        <v>0.98892490545651002</v>
      </c>
      <c r="AF193" s="417">
        <f t="shared" si="56"/>
        <v>2</v>
      </c>
      <c r="AG193" s="416">
        <f t="shared" si="57"/>
        <v>6</v>
      </c>
      <c r="AH193" s="372">
        <f t="shared" si="58"/>
        <v>0.75</v>
      </c>
      <c r="AI193" s="373">
        <f t="shared" si="59"/>
        <v>450</v>
      </c>
      <c r="AJ193" s="418">
        <f>VLOOKUP(D193,'Standard Cycle time'!C:D,2,0)</f>
        <v>5.25</v>
      </c>
      <c r="AK193" s="418">
        <f t="shared" si="60"/>
        <v>6</v>
      </c>
      <c r="AL193" s="374">
        <f t="shared" si="61"/>
        <v>0.875</v>
      </c>
      <c r="AM193" s="372">
        <f t="shared" si="62"/>
        <v>0.64898196920583473</v>
      </c>
      <c r="AN193" s="799">
        <v>2505</v>
      </c>
      <c r="AO193" s="928" t="s">
        <v>2495</v>
      </c>
      <c r="AP193" s="440">
        <v>0</v>
      </c>
      <c r="AQ193" s="440"/>
      <c r="AR193" s="440">
        <v>0</v>
      </c>
      <c r="AS193" s="440">
        <v>0</v>
      </c>
      <c r="AT193" s="440">
        <v>0</v>
      </c>
      <c r="AU193" s="440">
        <v>0</v>
      </c>
      <c r="AV193" s="440">
        <v>0</v>
      </c>
      <c r="AW193" s="440">
        <v>0</v>
      </c>
      <c r="AX193" s="440">
        <v>0</v>
      </c>
      <c r="AY193" s="440">
        <v>0</v>
      </c>
      <c r="AZ193" s="440">
        <v>0</v>
      </c>
      <c r="BA193" s="440">
        <v>0</v>
      </c>
      <c r="BB193" s="440">
        <v>120</v>
      </c>
      <c r="BC193" s="440">
        <v>0</v>
      </c>
      <c r="BD193" s="440">
        <v>0</v>
      </c>
      <c r="BE193" s="440">
        <v>0</v>
      </c>
      <c r="BF193" s="440">
        <v>0</v>
      </c>
      <c r="BG193" s="440">
        <v>0</v>
      </c>
      <c r="BH193" s="440">
        <v>0</v>
      </c>
      <c r="BI193" s="440">
        <v>0</v>
      </c>
      <c r="BJ193" s="440">
        <v>0</v>
      </c>
      <c r="BK193" s="440">
        <v>0</v>
      </c>
      <c r="BL193" s="440">
        <v>0</v>
      </c>
      <c r="BM193" s="440">
        <v>0</v>
      </c>
      <c r="BN193" s="440">
        <v>0</v>
      </c>
      <c r="BO193" s="440">
        <v>0</v>
      </c>
      <c r="BP193" s="440">
        <v>0</v>
      </c>
      <c r="BQ193" s="440">
        <v>0</v>
      </c>
      <c r="BR193" s="415">
        <f t="shared" si="68"/>
        <v>2</v>
      </c>
      <c r="BS193" s="415">
        <f t="shared" si="67"/>
        <v>2.0333333333333332</v>
      </c>
      <c r="BT193" s="935"/>
      <c r="BU193" s="935"/>
      <c r="BV193" s="935"/>
      <c r="BW193" s="935"/>
      <c r="BX193" s="935"/>
      <c r="BY193" s="935"/>
      <c r="BZ193" s="935"/>
      <c r="CA193" s="935"/>
      <c r="CB193" s="935"/>
      <c r="CC193" s="935"/>
      <c r="CD193" s="935"/>
      <c r="CE193" s="935"/>
      <c r="CF193" s="935"/>
      <c r="CG193" s="935"/>
      <c r="CH193" s="935"/>
      <c r="CI193" s="935"/>
      <c r="CJ193" s="935"/>
      <c r="CK193" s="935"/>
      <c r="CL193" s="935"/>
      <c r="CM193" s="935"/>
      <c r="CN193" s="935"/>
      <c r="CO193" s="935"/>
      <c r="CP193" s="935"/>
      <c r="CQ193" s="935"/>
      <c r="CR193" s="935"/>
      <c r="CS193" s="935"/>
      <c r="CT193" s="935"/>
      <c r="CU193" s="935"/>
      <c r="CV193" s="935"/>
    </row>
    <row r="194" spans="1:105" ht="15.65" customHeight="1">
      <c r="A194" s="375">
        <f t="shared" si="48"/>
        <v>8</v>
      </c>
      <c r="B194" s="455">
        <v>44426</v>
      </c>
      <c r="C194" s="493" t="s">
        <v>2053</v>
      </c>
      <c r="D194" s="376" t="str">
        <f>IFERROR(VLOOKUP(E:E,'Item Data Support Sheet'!A:O,7,0),"")</f>
        <v>BOTTLE MOLDED</v>
      </c>
      <c r="E194" s="446" t="s">
        <v>14</v>
      </c>
      <c r="F194" s="490" t="s">
        <v>1681</v>
      </c>
      <c r="G194" s="376" t="s">
        <v>1888</v>
      </c>
      <c r="H194" s="602" t="str">
        <f>IFERROR(VLOOKUP(E:E,'Item Data Support Sheet'!A:O,2,0),"")</f>
        <v>KPP 240 ML BOTTLE MOLDED</v>
      </c>
      <c r="I194" s="501" t="s">
        <v>2492</v>
      </c>
      <c r="J194" s="447" t="s">
        <v>2808</v>
      </c>
      <c r="K194" s="438">
        <v>8</v>
      </c>
      <c r="L194" s="499">
        <v>2574</v>
      </c>
      <c r="M194" s="366">
        <f t="shared" si="64"/>
        <v>321.75</v>
      </c>
      <c r="N194" s="367">
        <f t="shared" si="47"/>
        <v>3287</v>
      </c>
      <c r="O194" s="61">
        <f>29*108</f>
        <v>3132</v>
      </c>
      <c r="P194" s="368">
        <v>0</v>
      </c>
      <c r="Q194" s="369">
        <v>69</v>
      </c>
      <c r="R194" s="370">
        <v>0</v>
      </c>
      <c r="S194" s="370">
        <v>0</v>
      </c>
      <c r="T194" s="370">
        <v>78</v>
      </c>
      <c r="U194" s="370">
        <v>8</v>
      </c>
      <c r="V194" s="450">
        <v>1</v>
      </c>
      <c r="W194" s="453">
        <f t="shared" si="49"/>
        <v>3132</v>
      </c>
      <c r="X194" s="748">
        <f t="shared" si="50"/>
        <v>1.2167832167832169</v>
      </c>
      <c r="Y194" s="451" t="str">
        <f>IFERROR(VLOOKUP(E:E,'Item Data Support Sheet'!A:J,6,0),0)</f>
        <v>HMC</v>
      </c>
      <c r="Z194" s="428">
        <f>IFERROR(VLOOKUP(E:E,'Item Data Support Sheet'!A:O,4,0),0)</f>
        <v>32.1</v>
      </c>
      <c r="AA194" s="428">
        <f t="shared" si="51"/>
        <v>105.51270000000001</v>
      </c>
      <c r="AB194" s="429">
        <f t="shared" si="52"/>
        <v>0.95284453909339828</v>
      </c>
      <c r="AC194" s="424">
        <f t="shared" si="53"/>
        <v>2.4299065420560748E-2</v>
      </c>
      <c r="AD194" s="371">
        <f t="shared" si="54"/>
        <v>2.0560190703218118E-2</v>
      </c>
      <c r="AE194" s="748">
        <f t="shared" si="55"/>
        <v>0.97627015515667781</v>
      </c>
      <c r="AF194" s="417">
        <f t="shared" si="56"/>
        <v>0.33333333333333331</v>
      </c>
      <c r="AG194" s="416">
        <f t="shared" si="57"/>
        <v>7.666666666666667</v>
      </c>
      <c r="AH194" s="372">
        <f t="shared" si="58"/>
        <v>0.95833333333333337</v>
      </c>
      <c r="AI194" s="373">
        <f t="shared" si="59"/>
        <v>391.5</v>
      </c>
      <c r="AJ194" s="418">
        <f>VLOOKUP(D194,'Standard Cycle time'!C:D,2,0)</f>
        <v>9</v>
      </c>
      <c r="AK194" s="418">
        <f t="shared" si="60"/>
        <v>8.8122605363984672</v>
      </c>
      <c r="AL194" s="374">
        <f t="shared" si="61"/>
        <v>1.021304347826087</v>
      </c>
      <c r="AM194" s="372">
        <f t="shared" si="62"/>
        <v>0.95552441435959845</v>
      </c>
      <c r="AN194" s="799">
        <v>2506</v>
      </c>
      <c r="AO194" s="827" t="s">
        <v>2496</v>
      </c>
      <c r="AP194" s="440">
        <v>0</v>
      </c>
      <c r="AQ194" s="440">
        <v>0</v>
      </c>
      <c r="AR194" s="440">
        <v>0</v>
      </c>
      <c r="AS194" s="440">
        <v>0</v>
      </c>
      <c r="AT194" s="440">
        <v>0</v>
      </c>
      <c r="AU194" s="440">
        <v>0</v>
      </c>
      <c r="AV194" s="440">
        <v>0</v>
      </c>
      <c r="AW194" s="440">
        <v>0</v>
      </c>
      <c r="AX194" s="440">
        <v>0</v>
      </c>
      <c r="AY194" s="440">
        <v>0</v>
      </c>
      <c r="AZ194" s="440">
        <v>20</v>
      </c>
      <c r="BA194" s="440">
        <v>0</v>
      </c>
      <c r="BB194" s="440">
        <v>0</v>
      </c>
      <c r="BC194" s="440">
        <v>0</v>
      </c>
      <c r="BD194" s="440">
        <v>0</v>
      </c>
      <c r="BE194" s="440">
        <v>0</v>
      </c>
      <c r="BF194" s="440">
        <v>0</v>
      </c>
      <c r="BG194" s="440">
        <v>0</v>
      </c>
      <c r="BH194" s="440">
        <v>0</v>
      </c>
      <c r="BI194" s="440">
        <v>0</v>
      </c>
      <c r="BJ194" s="440">
        <v>0</v>
      </c>
      <c r="BK194" s="440">
        <v>0</v>
      </c>
      <c r="BL194" s="440">
        <v>0</v>
      </c>
      <c r="BM194" s="440">
        <v>0</v>
      </c>
      <c r="BN194" s="440">
        <v>0</v>
      </c>
      <c r="BO194" s="440">
        <v>0</v>
      </c>
      <c r="BP194" s="440">
        <v>0</v>
      </c>
      <c r="BQ194" s="440">
        <v>0</v>
      </c>
      <c r="BR194" s="415">
        <f t="shared" si="68"/>
        <v>0.33333333333333331</v>
      </c>
      <c r="BS194" s="415">
        <f t="shared" si="67"/>
        <v>0.33888888888888885</v>
      </c>
      <c r="BT194" s="935"/>
      <c r="BU194" s="935"/>
      <c r="BV194" s="935"/>
      <c r="BW194" s="935"/>
      <c r="BX194" s="935"/>
      <c r="BY194" s="935"/>
      <c r="BZ194" s="935"/>
      <c r="CA194" s="935"/>
      <c r="CB194" s="935"/>
      <c r="CC194" s="935"/>
      <c r="CD194" s="935"/>
      <c r="CE194" s="935"/>
      <c r="CF194" s="935"/>
      <c r="CG194" s="935"/>
      <c r="CH194" s="935"/>
      <c r="CI194" s="935"/>
      <c r="CJ194" s="935"/>
      <c r="CK194" s="935"/>
      <c r="CL194" s="935"/>
      <c r="CM194" s="935"/>
      <c r="CN194" s="935"/>
      <c r="CO194" s="935"/>
      <c r="CP194" s="935"/>
      <c r="CQ194" s="935"/>
      <c r="CR194" s="935"/>
      <c r="CS194" s="935"/>
      <c r="CT194" s="935"/>
      <c r="CU194" s="935"/>
      <c r="CV194" s="935"/>
    </row>
    <row r="195" spans="1:105">
      <c r="A195" s="375">
        <f t="shared" si="48"/>
        <v>8</v>
      </c>
      <c r="B195" s="455">
        <v>44426</v>
      </c>
      <c r="C195" s="493" t="s">
        <v>2053</v>
      </c>
      <c r="D195" s="376" t="str">
        <f>IFERROR(VLOOKUP(E:E,'Item Data Support Sheet'!A:O,7,0),"")</f>
        <v>NIPPLE POSTCURE</v>
      </c>
      <c r="E195" s="447" t="s">
        <v>76</v>
      </c>
      <c r="F195" s="500"/>
      <c r="G195" s="376" t="s">
        <v>1705</v>
      </c>
      <c r="H195" s="602" t="str">
        <f>IFERROR(VLOOKUP(E:E,'Item Data Support Sheet'!A:O,2,0),"")</f>
        <v>NIPPLE S TYPE S SIZE POSTCURED</v>
      </c>
      <c r="I195" s="501" t="s">
        <v>2493</v>
      </c>
      <c r="J195" s="447" t="s">
        <v>2808</v>
      </c>
      <c r="K195" s="438">
        <v>4</v>
      </c>
      <c r="L195" s="499">
        <v>7036</v>
      </c>
      <c r="M195" s="366">
        <f t="shared" si="64"/>
        <v>1759</v>
      </c>
      <c r="N195" s="367">
        <f t="shared" si="47"/>
        <v>6950</v>
      </c>
      <c r="O195" s="61">
        <f>2000+4950</f>
        <v>6950</v>
      </c>
      <c r="P195" s="368">
        <v>0</v>
      </c>
      <c r="Q195" s="369">
        <v>0</v>
      </c>
      <c r="R195" s="370">
        <v>0</v>
      </c>
      <c r="S195" s="370">
        <v>0</v>
      </c>
      <c r="T195" s="370">
        <v>0</v>
      </c>
      <c r="U195" s="370">
        <v>0</v>
      </c>
      <c r="V195" s="450">
        <v>1</v>
      </c>
      <c r="W195" s="453">
        <f t="shared" si="49"/>
        <v>6950</v>
      </c>
      <c r="X195" s="748">
        <f t="shared" si="50"/>
        <v>0.98777714610574185</v>
      </c>
      <c r="Y195" s="451" t="str">
        <f>IFERROR(VLOOKUP(E:E,'Item Data Support Sheet'!A:J,6,0),0)</f>
        <v>FO011</v>
      </c>
      <c r="Z195" s="428">
        <f>IFERROR(VLOOKUP(E:E,'Item Data Support Sheet'!A:O,4,0),0)</f>
        <v>0</v>
      </c>
      <c r="AA195" s="428">
        <f t="shared" si="51"/>
        <v>0</v>
      </c>
      <c r="AB195" s="429" t="str">
        <f t="shared" si="52"/>
        <v xml:space="preserve"> </v>
      </c>
      <c r="AC195" s="424">
        <f t="shared" si="53"/>
        <v>0</v>
      </c>
      <c r="AD195" s="371">
        <f t="shared" si="54"/>
        <v>0</v>
      </c>
      <c r="AE195" s="748">
        <f t="shared" si="55"/>
        <v>1</v>
      </c>
      <c r="AF195" s="417">
        <f t="shared" si="56"/>
        <v>0</v>
      </c>
      <c r="AG195" s="416">
        <f t="shared" si="57"/>
        <v>4</v>
      </c>
      <c r="AH195" s="372">
        <f t="shared" si="58"/>
        <v>1</v>
      </c>
      <c r="AI195" s="373">
        <f t="shared" si="59"/>
        <v>1737.5</v>
      </c>
      <c r="AJ195" s="418">
        <f>VLOOKUP(D195,'Standard Cycle time'!C:D,2,0)</f>
        <v>2.2999999999999998</v>
      </c>
      <c r="AK195" s="418">
        <f t="shared" si="60"/>
        <v>2.0719424460431655</v>
      </c>
      <c r="AL195" s="374">
        <f t="shared" si="61"/>
        <v>1.1100694444444443</v>
      </c>
      <c r="AM195" s="372">
        <f t="shared" si="62"/>
        <v>1.1100694444444443</v>
      </c>
      <c r="AN195" s="799" t="s">
        <v>2494</v>
      </c>
      <c r="AO195" s="761"/>
      <c r="AP195" s="440">
        <v>40</v>
      </c>
      <c r="AQ195" s="440">
        <v>0</v>
      </c>
      <c r="AR195" s="440">
        <v>0</v>
      </c>
      <c r="AS195" s="440">
        <v>0</v>
      </c>
      <c r="AT195" s="440">
        <v>0</v>
      </c>
      <c r="AU195" s="440">
        <v>0</v>
      </c>
      <c r="AV195" s="440">
        <v>0</v>
      </c>
      <c r="AW195" s="440">
        <v>0</v>
      </c>
      <c r="AX195" s="440">
        <v>0</v>
      </c>
      <c r="AY195" s="440">
        <v>0</v>
      </c>
      <c r="AZ195" s="440">
        <v>0</v>
      </c>
      <c r="BA195" s="440">
        <v>0</v>
      </c>
      <c r="BB195" s="440">
        <v>0</v>
      </c>
      <c r="BC195" s="440">
        <v>0</v>
      </c>
      <c r="BD195" s="440">
        <v>0</v>
      </c>
      <c r="BE195" s="440">
        <v>0</v>
      </c>
      <c r="BF195" s="440">
        <v>0</v>
      </c>
      <c r="BG195" s="440">
        <v>0</v>
      </c>
      <c r="BH195" s="440">
        <v>0</v>
      </c>
      <c r="BI195" s="440">
        <v>0</v>
      </c>
      <c r="BJ195" s="440">
        <v>0</v>
      </c>
      <c r="BK195" s="440">
        <v>0</v>
      </c>
      <c r="BL195" s="440">
        <v>0</v>
      </c>
      <c r="BM195" s="440">
        <v>0</v>
      </c>
      <c r="BN195" s="440">
        <v>0</v>
      </c>
      <c r="BO195" s="440">
        <v>0</v>
      </c>
      <c r="BP195" s="440">
        <v>0</v>
      </c>
      <c r="BQ195" s="440">
        <v>0</v>
      </c>
      <c r="BR195" s="415">
        <v>0</v>
      </c>
      <c r="BS195" s="415">
        <v>0</v>
      </c>
      <c r="BT195" s="935"/>
      <c r="BU195" s="935"/>
      <c r="BV195" s="935"/>
      <c r="BW195" s="935"/>
      <c r="BX195" s="935"/>
      <c r="BY195" s="935"/>
      <c r="BZ195" s="935"/>
      <c r="CA195" s="935"/>
      <c r="CB195" s="935"/>
      <c r="CC195" s="935"/>
      <c r="CD195" s="935"/>
      <c r="CE195" s="935"/>
      <c r="CF195" s="935"/>
      <c r="CG195" s="935"/>
      <c r="CH195" s="935"/>
      <c r="CI195" s="935"/>
      <c r="CJ195" s="935"/>
      <c r="CK195" s="935"/>
      <c r="CL195" s="935"/>
      <c r="CM195" s="935"/>
      <c r="CN195" s="935"/>
      <c r="CO195" s="935"/>
      <c r="CP195" s="935"/>
      <c r="CQ195" s="935"/>
      <c r="CR195" s="935"/>
      <c r="CS195" s="935"/>
      <c r="CT195" s="935"/>
      <c r="CU195" s="935"/>
      <c r="CV195" s="935"/>
    </row>
    <row r="196" spans="1:105" s="441" customFormat="1">
      <c r="A196" s="375">
        <f t="shared" si="48"/>
        <v>8</v>
      </c>
      <c r="B196" s="455">
        <v>44427</v>
      </c>
      <c r="C196" s="493" t="s">
        <v>1980</v>
      </c>
      <c r="D196" s="376" t="str">
        <f>IFERROR(VLOOKUP(E:E,'Item Data Support Sheet'!A:O,7,0),"")</f>
        <v>BOTTLE MOLDED</v>
      </c>
      <c r="E196" s="447" t="s">
        <v>14</v>
      </c>
      <c r="F196" s="500" t="s">
        <v>1888</v>
      </c>
      <c r="G196" s="376"/>
      <c r="H196" s="602" t="str">
        <f>IFERROR(VLOOKUP(E:E,'Item Data Support Sheet'!A:O,2,0),"")</f>
        <v>KPP 240 ML BOTTLE MOLDED</v>
      </c>
      <c r="I196" s="501" t="s">
        <v>2497</v>
      </c>
      <c r="J196" s="447" t="s">
        <v>2809</v>
      </c>
      <c r="K196" s="438">
        <v>8</v>
      </c>
      <c r="L196" s="499">
        <v>2574</v>
      </c>
      <c r="M196" s="366">
        <f t="shared" si="64"/>
        <v>321.75</v>
      </c>
      <c r="N196" s="367">
        <f t="shared" ref="N196:N259" si="69">+O196+Q196+T196+U196</f>
        <v>3286</v>
      </c>
      <c r="O196" s="61">
        <v>3132</v>
      </c>
      <c r="P196" s="368">
        <v>0</v>
      </c>
      <c r="Q196" s="369">
        <v>76</v>
      </c>
      <c r="R196" s="370">
        <v>0</v>
      </c>
      <c r="S196" s="370">
        <v>0</v>
      </c>
      <c r="T196" s="370">
        <v>70</v>
      </c>
      <c r="U196" s="370">
        <v>8</v>
      </c>
      <c r="V196" s="450">
        <v>1</v>
      </c>
      <c r="W196" s="453">
        <f t="shared" si="49"/>
        <v>3132</v>
      </c>
      <c r="X196" s="748">
        <f t="shared" si="50"/>
        <v>1.2167832167832169</v>
      </c>
      <c r="Y196" s="451" t="str">
        <f>IFERROR(VLOOKUP(E:E,'Item Data Support Sheet'!A:J,6,0),0)</f>
        <v>HMC</v>
      </c>
      <c r="Z196" s="428">
        <f>IFERROR(VLOOKUP(E:E,'Item Data Support Sheet'!A:O,4,0),0)</f>
        <v>32.1</v>
      </c>
      <c r="AA196" s="428">
        <f t="shared" si="51"/>
        <v>105.48060000000001</v>
      </c>
      <c r="AB196" s="429">
        <f t="shared" si="52"/>
        <v>0.95313451004260508</v>
      </c>
      <c r="AC196" s="424">
        <f t="shared" si="53"/>
        <v>2.1861336664584636E-2</v>
      </c>
      <c r="AD196" s="371">
        <f t="shared" si="54"/>
        <v>2.2605591909577633E-2</v>
      </c>
      <c r="AE196" s="748">
        <f t="shared" si="55"/>
        <v>0.97869750456482041</v>
      </c>
      <c r="AF196" s="417">
        <f t="shared" si="56"/>
        <v>0</v>
      </c>
      <c r="AG196" s="416">
        <f t="shared" si="57"/>
        <v>8</v>
      </c>
      <c r="AH196" s="372">
        <f t="shared" si="58"/>
        <v>1</v>
      </c>
      <c r="AI196" s="373">
        <f t="shared" si="59"/>
        <v>391.5</v>
      </c>
      <c r="AJ196" s="418">
        <f>VLOOKUP(D196,'Standard Cycle time'!C:D,2,0)</f>
        <v>9</v>
      </c>
      <c r="AK196" s="418">
        <f t="shared" si="60"/>
        <v>9.1954022988505741</v>
      </c>
      <c r="AL196" s="374">
        <f t="shared" si="61"/>
        <v>0.97875000000000001</v>
      </c>
      <c r="AM196" s="372">
        <f t="shared" si="62"/>
        <v>0.95790018259281795</v>
      </c>
      <c r="AN196" s="799" t="s">
        <v>2498</v>
      </c>
      <c r="AO196" s="761"/>
      <c r="AP196" s="440">
        <v>0</v>
      </c>
      <c r="AQ196" s="440">
        <v>0</v>
      </c>
      <c r="AR196" s="440">
        <v>0</v>
      </c>
      <c r="AS196" s="440">
        <v>0</v>
      </c>
      <c r="AT196" s="440">
        <v>0</v>
      </c>
      <c r="AU196" s="440">
        <v>0</v>
      </c>
      <c r="AV196" s="440">
        <v>0</v>
      </c>
      <c r="AW196" s="440">
        <v>0</v>
      </c>
      <c r="AX196" s="440">
        <v>0</v>
      </c>
      <c r="AY196" s="440">
        <v>0</v>
      </c>
      <c r="AZ196" s="440">
        <v>0</v>
      </c>
      <c r="BA196" s="440">
        <v>0</v>
      </c>
      <c r="BB196" s="440">
        <v>0</v>
      </c>
      <c r="BC196" s="440">
        <v>0</v>
      </c>
      <c r="BD196" s="440">
        <v>0</v>
      </c>
      <c r="BE196" s="440">
        <v>0</v>
      </c>
      <c r="BF196" s="440">
        <v>0</v>
      </c>
      <c r="BG196" s="440">
        <v>0</v>
      </c>
      <c r="BH196" s="440">
        <v>0</v>
      </c>
      <c r="BI196" s="440">
        <v>0</v>
      </c>
      <c r="BJ196" s="440">
        <v>0</v>
      </c>
      <c r="BK196" s="440">
        <v>0</v>
      </c>
      <c r="BL196" s="440">
        <v>0</v>
      </c>
      <c r="BM196" s="440">
        <v>0</v>
      </c>
      <c r="BN196" s="440">
        <v>0</v>
      </c>
      <c r="BO196" s="440">
        <v>0</v>
      </c>
      <c r="BP196" s="440">
        <v>0</v>
      </c>
      <c r="BQ196" s="440">
        <v>0</v>
      </c>
      <c r="BR196" s="415">
        <f t="shared" si="68"/>
        <v>0</v>
      </c>
      <c r="BS196" s="415">
        <f t="shared" ref="BS196:BS259" si="70">SUM(AP196:BR196)/60</f>
        <v>0</v>
      </c>
      <c r="BT196" s="935"/>
      <c r="BU196" s="935"/>
      <c r="BV196" s="935"/>
      <c r="BW196" s="935"/>
      <c r="BX196" s="935"/>
      <c r="BY196" s="935"/>
      <c r="BZ196" s="935"/>
      <c r="CA196" s="935"/>
      <c r="CB196" s="935"/>
      <c r="CC196" s="935"/>
      <c r="CD196" s="935"/>
      <c r="CE196" s="935"/>
      <c r="CF196" s="935"/>
      <c r="CG196" s="935"/>
      <c r="CH196" s="935"/>
      <c r="CI196" s="935"/>
      <c r="CJ196" s="935"/>
      <c r="CK196" s="935"/>
      <c r="CL196" s="935"/>
      <c r="CM196" s="935"/>
      <c r="CN196" s="935"/>
      <c r="CO196" s="935"/>
      <c r="CP196" s="935"/>
      <c r="CQ196" s="935"/>
      <c r="CR196" s="935"/>
      <c r="CS196" s="935"/>
      <c r="CT196" s="935"/>
      <c r="CU196" s="935"/>
      <c r="CV196" s="935"/>
    </row>
    <row r="197" spans="1:105">
      <c r="A197" s="375">
        <f t="shared" ref="A197:A260" si="71">MONTH(B197)</f>
        <v>8</v>
      </c>
      <c r="B197" s="455">
        <v>44427</v>
      </c>
      <c r="C197" s="493" t="s">
        <v>1980</v>
      </c>
      <c r="D197" s="376" t="str">
        <f>IFERROR(VLOOKUP(E:E,'Item Data Support Sheet'!A:O,7,0),"")</f>
        <v>NIPPLE MOLDED</v>
      </c>
      <c r="E197" s="447" t="s">
        <v>2484</v>
      </c>
      <c r="F197" s="500"/>
      <c r="G197" s="376"/>
      <c r="H197" s="602" t="str">
        <f>IFERROR(VLOOKUP(E:E,'Item Data Support Sheet'!A:O,2,0),"")</f>
        <v>NIPPLE S TYPE LL SIZE INJECTION</v>
      </c>
      <c r="I197" s="501" t="s">
        <v>2499</v>
      </c>
      <c r="J197" s="447" t="s">
        <v>2809</v>
      </c>
      <c r="K197" s="438">
        <v>8</v>
      </c>
      <c r="L197" s="499">
        <v>4815</v>
      </c>
      <c r="M197" s="366">
        <f t="shared" si="64"/>
        <v>601.875</v>
      </c>
      <c r="N197" s="367">
        <f t="shared" si="69"/>
        <v>5634</v>
      </c>
      <c r="O197" s="61">
        <v>5500</v>
      </c>
      <c r="P197" s="368">
        <v>0</v>
      </c>
      <c r="Q197" s="369">
        <v>48</v>
      </c>
      <c r="R197" s="370">
        <v>0</v>
      </c>
      <c r="S197" s="370">
        <v>0</v>
      </c>
      <c r="T197" s="370">
        <v>78</v>
      </c>
      <c r="U197" s="370">
        <v>8</v>
      </c>
      <c r="V197" s="450">
        <v>1</v>
      </c>
      <c r="W197" s="453">
        <f t="shared" ref="W197:W260" si="72">IFERROR(O197/V197,0)</f>
        <v>5500</v>
      </c>
      <c r="X197" s="748">
        <f t="shared" ref="X197:X260" si="73">O197/L197</f>
        <v>1.142263759086189</v>
      </c>
      <c r="Y197" s="451" t="str">
        <f>IFERROR(VLOOKUP(E:E,'Item Data Support Sheet'!A:J,6,0),0)</f>
        <v>FO148</v>
      </c>
      <c r="Z197" s="428">
        <f>IFERROR(VLOOKUP(E:E,'Item Data Support Sheet'!A:O,4,0),0)</f>
        <v>6.8</v>
      </c>
      <c r="AA197" s="428">
        <f t="shared" ref="AA197:AA260" si="74">IFERROR(((N197)*(Z197/1000))+P197,0)</f>
        <v>38.311199999999999</v>
      </c>
      <c r="AB197" s="429">
        <f t="shared" ref="AB197:AB260" si="75">IFERROR((O197*(Z197/1000)/(AA197))," ")</f>
        <v>0.97621583244586441</v>
      </c>
      <c r="AC197" s="424">
        <f t="shared" ref="AC197:AC260" si="76">IFERROR((T197)/((T197)+O197),0)</f>
        <v>1.3983506633201864E-2</v>
      </c>
      <c r="AD197" s="371">
        <f t="shared" ref="AD197:AD260" si="77">IFERROR(Q197/(Q197+N197),0)</f>
        <v>8.4477296726504746E-3</v>
      </c>
      <c r="AE197" s="748">
        <f t="shared" ref="AE197:AE260" si="78">(N197-T197)/N197</f>
        <v>0.98615548455804047</v>
      </c>
      <c r="AF197" s="417">
        <f t="shared" ref="AF197:AF260" si="79">BR197</f>
        <v>0</v>
      </c>
      <c r="AG197" s="416">
        <f t="shared" ref="AG197:AG260" si="80">K197-AF197</f>
        <v>8</v>
      </c>
      <c r="AH197" s="372">
        <f t="shared" ref="AH197:AH260" si="81">IFERROR(AG197/K197," ")</f>
        <v>1</v>
      </c>
      <c r="AI197" s="373">
        <f t="shared" ref="AI197:AI260" si="82">IFERROR(O197/K197,0)</f>
        <v>687.5</v>
      </c>
      <c r="AJ197" s="418">
        <f>VLOOKUP(D197,'Standard Cycle time'!C:D,2,0)</f>
        <v>5.25</v>
      </c>
      <c r="AK197" s="418">
        <f t="shared" ref="AK197:AK260" si="83">AG197*V197*3600/O197</f>
        <v>5.2363636363636363</v>
      </c>
      <c r="AL197" s="374">
        <f t="shared" ref="AL197:AL260" si="84">AJ197/AK197</f>
        <v>1.0026041666666667</v>
      </c>
      <c r="AM197" s="372">
        <f t="shared" ref="AM197:AM260" si="85">AE197*AL197*AH197</f>
        <v>0.98872359779907715</v>
      </c>
      <c r="AN197" s="799">
        <v>2526</v>
      </c>
      <c r="AO197" s="929"/>
      <c r="AP197" s="440">
        <v>0</v>
      </c>
      <c r="AQ197" s="440">
        <v>0</v>
      </c>
      <c r="AR197" s="440">
        <v>0</v>
      </c>
      <c r="AS197" s="440">
        <v>0</v>
      </c>
      <c r="AT197" s="440">
        <v>0</v>
      </c>
      <c r="AU197" s="440">
        <v>0</v>
      </c>
      <c r="AV197" s="440">
        <v>0</v>
      </c>
      <c r="AW197" s="440">
        <v>0</v>
      </c>
      <c r="AX197" s="440">
        <v>0</v>
      </c>
      <c r="AY197" s="440">
        <v>0</v>
      </c>
      <c r="AZ197" s="440">
        <v>0</v>
      </c>
      <c r="BA197" s="440">
        <v>0</v>
      </c>
      <c r="BB197" s="440">
        <v>0</v>
      </c>
      <c r="BC197" s="440">
        <v>0</v>
      </c>
      <c r="BD197" s="440">
        <v>0</v>
      </c>
      <c r="BE197" s="440">
        <v>0</v>
      </c>
      <c r="BF197" s="440">
        <v>0</v>
      </c>
      <c r="BG197" s="440">
        <v>0</v>
      </c>
      <c r="BH197" s="440">
        <v>0</v>
      </c>
      <c r="BI197" s="440">
        <v>0</v>
      </c>
      <c r="BJ197" s="440">
        <v>0</v>
      </c>
      <c r="BK197" s="440">
        <v>0</v>
      </c>
      <c r="BL197" s="440">
        <v>0</v>
      </c>
      <c r="BM197" s="440">
        <v>0</v>
      </c>
      <c r="BN197" s="440">
        <v>0</v>
      </c>
      <c r="BO197" s="440">
        <v>0</v>
      </c>
      <c r="BP197" s="440">
        <v>0</v>
      </c>
      <c r="BQ197" s="440">
        <v>0</v>
      </c>
      <c r="BR197" s="415">
        <f t="shared" si="68"/>
        <v>0</v>
      </c>
      <c r="BS197" s="415">
        <f t="shared" si="70"/>
        <v>0</v>
      </c>
      <c r="BT197" s="935"/>
      <c r="BU197" s="935"/>
      <c r="BV197" s="935"/>
      <c r="BW197" s="935"/>
      <c r="BX197" s="935"/>
      <c r="BY197" s="935"/>
      <c r="BZ197" s="935"/>
      <c r="CA197" s="935"/>
      <c r="CB197" s="935"/>
      <c r="CC197" s="935"/>
      <c r="CD197" s="935"/>
      <c r="CE197" s="935"/>
      <c r="CF197" s="935"/>
      <c r="CG197" s="935"/>
      <c r="CH197" s="935"/>
      <c r="CI197" s="935"/>
      <c r="CJ197" s="935"/>
      <c r="CK197" s="935"/>
      <c r="CL197" s="935"/>
      <c r="CM197" s="935"/>
      <c r="CN197" s="935"/>
      <c r="CO197" s="935"/>
      <c r="CP197" s="935"/>
      <c r="CQ197" s="935"/>
      <c r="CR197" s="935"/>
      <c r="CS197" s="935"/>
      <c r="CT197" s="935"/>
      <c r="CU197" s="935"/>
      <c r="CV197" s="935"/>
    </row>
    <row r="198" spans="1:105">
      <c r="A198" s="375">
        <f t="shared" si="71"/>
        <v>8</v>
      </c>
      <c r="B198" s="455">
        <v>44427</v>
      </c>
      <c r="C198" s="493" t="s">
        <v>1980</v>
      </c>
      <c r="D198" s="376" t="str">
        <f>IFERROR(VLOOKUP(E:E,'Item Data Support Sheet'!A:O,7,0),"")</f>
        <v>NIPPLE PUNCH</v>
      </c>
      <c r="E198" s="447" t="s">
        <v>80</v>
      </c>
      <c r="F198" s="500"/>
      <c r="G198" s="376"/>
      <c r="H198" s="602" t="str">
        <f>IFERROR(VLOOKUP(E:E,'Item Data Support Sheet'!A:O,2,0),"")</f>
        <v>NIPPLE S TYPE S SIZE PUNCHED</v>
      </c>
      <c r="I198" s="501" t="s">
        <v>2500</v>
      </c>
      <c r="J198" s="447" t="s">
        <v>2809</v>
      </c>
      <c r="K198" s="438">
        <v>8</v>
      </c>
      <c r="L198" s="499">
        <v>7000</v>
      </c>
      <c r="M198" s="366">
        <f t="shared" si="64"/>
        <v>875</v>
      </c>
      <c r="N198" s="367">
        <f t="shared" si="69"/>
        <v>7000</v>
      </c>
      <c r="O198" s="61">
        <v>7000</v>
      </c>
      <c r="P198" s="368">
        <v>0</v>
      </c>
      <c r="Q198" s="369">
        <v>0</v>
      </c>
      <c r="R198" s="370">
        <v>0</v>
      </c>
      <c r="S198" s="370">
        <v>0</v>
      </c>
      <c r="T198" s="370">
        <v>0</v>
      </c>
      <c r="U198" s="370">
        <v>0</v>
      </c>
      <c r="V198" s="450">
        <v>1</v>
      </c>
      <c r="W198" s="453">
        <f t="shared" si="72"/>
        <v>7000</v>
      </c>
      <c r="X198" s="748">
        <f t="shared" si="73"/>
        <v>1</v>
      </c>
      <c r="Y198" s="451" t="str">
        <f>IFERROR(VLOOKUP(E:E,'Item Data Support Sheet'!A:J,6,0),0)</f>
        <v>FO015</v>
      </c>
      <c r="Z198" s="428">
        <f>IFERROR(VLOOKUP(E:E,'Item Data Support Sheet'!A:O,4,0),0)</f>
        <v>0</v>
      </c>
      <c r="AA198" s="428">
        <f t="shared" si="74"/>
        <v>0</v>
      </c>
      <c r="AB198" s="429" t="str">
        <f t="shared" si="75"/>
        <v xml:space="preserve"> </v>
      </c>
      <c r="AC198" s="424">
        <f t="shared" si="76"/>
        <v>0</v>
      </c>
      <c r="AD198" s="371">
        <f t="shared" si="77"/>
        <v>0</v>
      </c>
      <c r="AE198" s="748">
        <f t="shared" si="78"/>
        <v>1</v>
      </c>
      <c r="AF198" s="417">
        <f t="shared" si="79"/>
        <v>0.66666666666666663</v>
      </c>
      <c r="AG198" s="416">
        <f t="shared" si="80"/>
        <v>7.333333333333333</v>
      </c>
      <c r="AH198" s="372">
        <f t="shared" si="81"/>
        <v>0.91666666666666663</v>
      </c>
      <c r="AI198" s="373">
        <f t="shared" si="82"/>
        <v>875</v>
      </c>
      <c r="AJ198" s="418">
        <f>VLOOKUP(D198,'Standard Cycle time'!C:D,2,0)</f>
        <v>3.5</v>
      </c>
      <c r="AK198" s="418">
        <f t="shared" si="83"/>
        <v>3.7714285714285714</v>
      </c>
      <c r="AL198" s="374">
        <f t="shared" si="84"/>
        <v>0.92803030303030309</v>
      </c>
      <c r="AM198" s="372">
        <f t="shared" si="85"/>
        <v>0.85069444444444442</v>
      </c>
      <c r="AN198" s="799" t="s">
        <v>2511</v>
      </c>
      <c r="AO198" s="929"/>
      <c r="AP198" s="440">
        <v>40</v>
      </c>
      <c r="AQ198" s="440">
        <v>0</v>
      </c>
      <c r="AR198" s="440">
        <v>0</v>
      </c>
      <c r="AS198" s="440">
        <v>0</v>
      </c>
      <c r="AT198" s="440">
        <v>0</v>
      </c>
      <c r="AU198" s="440">
        <v>0</v>
      </c>
      <c r="AV198" s="440">
        <v>0</v>
      </c>
      <c r="AW198" s="440">
        <v>0</v>
      </c>
      <c r="AX198" s="440">
        <v>0</v>
      </c>
      <c r="AY198" s="440">
        <v>0</v>
      </c>
      <c r="AZ198" s="440">
        <v>0</v>
      </c>
      <c r="BA198" s="440">
        <v>0</v>
      </c>
      <c r="BB198" s="440">
        <v>0</v>
      </c>
      <c r="BC198" s="440">
        <v>0</v>
      </c>
      <c r="BD198" s="440">
        <v>0</v>
      </c>
      <c r="BE198" s="440">
        <v>0</v>
      </c>
      <c r="BF198" s="440">
        <v>0</v>
      </c>
      <c r="BG198" s="440">
        <v>0</v>
      </c>
      <c r="BH198" s="440">
        <v>0</v>
      </c>
      <c r="BI198" s="440">
        <v>0</v>
      </c>
      <c r="BJ198" s="440">
        <v>0</v>
      </c>
      <c r="BK198" s="440">
        <v>0</v>
      </c>
      <c r="BL198" s="440">
        <v>0</v>
      </c>
      <c r="BM198" s="440">
        <v>0</v>
      </c>
      <c r="BN198" s="440">
        <v>0</v>
      </c>
      <c r="BO198" s="440">
        <v>0</v>
      </c>
      <c r="BP198" s="440">
        <v>0</v>
      </c>
      <c r="BQ198" s="440">
        <v>0</v>
      </c>
      <c r="BR198" s="415">
        <f t="shared" si="68"/>
        <v>0.66666666666666663</v>
      </c>
      <c r="BS198" s="415">
        <f t="shared" si="70"/>
        <v>0.6777777777777777</v>
      </c>
      <c r="BT198" s="935"/>
      <c r="BU198" s="935"/>
      <c r="BV198" s="935"/>
      <c r="BW198" s="935"/>
      <c r="BX198" s="935"/>
      <c r="BY198" s="935"/>
      <c r="BZ198" s="935"/>
      <c r="CA198" s="935"/>
      <c r="CB198" s="935"/>
      <c r="CC198" s="935"/>
      <c r="CD198" s="935"/>
      <c r="CE198" s="935"/>
      <c r="CF198" s="935"/>
      <c r="CG198" s="935"/>
      <c r="CH198" s="935"/>
      <c r="CI198" s="935"/>
      <c r="CJ198" s="935"/>
      <c r="CK198" s="935"/>
      <c r="CL198" s="935"/>
      <c r="CM198" s="935"/>
      <c r="CN198" s="935"/>
      <c r="CO198" s="935"/>
      <c r="CP198" s="935"/>
      <c r="CQ198" s="935"/>
      <c r="CR198" s="935"/>
      <c r="CS198" s="935"/>
      <c r="CT198" s="935"/>
      <c r="CU198" s="935"/>
      <c r="CV198" s="935"/>
    </row>
    <row r="199" spans="1:105" ht="16.399999999999999" customHeight="1">
      <c r="A199" s="375">
        <f t="shared" si="71"/>
        <v>8</v>
      </c>
      <c r="B199" s="455">
        <v>44427</v>
      </c>
      <c r="C199" s="493" t="s">
        <v>1980</v>
      </c>
      <c r="D199" s="376" t="str">
        <f>IFERROR(VLOOKUP(E:E,'Item Data Support Sheet'!A:O,7,0),"")</f>
        <v>NIPPLE LASER MARKING</v>
      </c>
      <c r="E199" s="447" t="s">
        <v>1814</v>
      </c>
      <c r="F199" s="500"/>
      <c r="G199" s="376"/>
      <c r="H199" s="602" t="str">
        <f>IFERROR(VLOOKUP(E:E,'Item Data Support Sheet'!A:O,2,0),"")</f>
        <v>NIPPLE S TYPE S SIZE PUNCHED LASER MARKED</v>
      </c>
      <c r="I199" s="501" t="s">
        <v>2501</v>
      </c>
      <c r="J199" s="447" t="s">
        <v>2809</v>
      </c>
      <c r="K199" s="438">
        <v>8</v>
      </c>
      <c r="L199" s="499">
        <v>5000</v>
      </c>
      <c r="M199" s="366">
        <f t="shared" si="64"/>
        <v>625</v>
      </c>
      <c r="N199" s="367">
        <f t="shared" si="69"/>
        <v>5000</v>
      </c>
      <c r="O199" s="61">
        <v>5000</v>
      </c>
      <c r="P199" s="368">
        <v>0</v>
      </c>
      <c r="Q199" s="369">
        <v>0</v>
      </c>
      <c r="R199" s="370">
        <v>0</v>
      </c>
      <c r="S199" s="370">
        <v>0</v>
      </c>
      <c r="T199" s="370">
        <v>0</v>
      </c>
      <c r="U199" s="370">
        <v>0</v>
      </c>
      <c r="V199" s="450">
        <v>1</v>
      </c>
      <c r="W199" s="453">
        <f t="shared" si="72"/>
        <v>5000</v>
      </c>
      <c r="X199" s="748">
        <f t="shared" si="73"/>
        <v>1</v>
      </c>
      <c r="Y199" s="451" t="str">
        <f>IFERROR(VLOOKUP(E:E,'Item Data Support Sheet'!A:J,6,0),0)</f>
        <v>FO019</v>
      </c>
      <c r="Z199" s="428">
        <f>IFERROR(VLOOKUP(E:E,'Item Data Support Sheet'!A:O,4,0),0)</f>
        <v>0</v>
      </c>
      <c r="AA199" s="428">
        <f t="shared" si="74"/>
        <v>0</v>
      </c>
      <c r="AB199" s="429" t="str">
        <f t="shared" si="75"/>
        <v xml:space="preserve"> </v>
      </c>
      <c r="AC199" s="424">
        <f t="shared" si="76"/>
        <v>0</v>
      </c>
      <c r="AD199" s="371">
        <f t="shared" si="77"/>
        <v>0</v>
      </c>
      <c r="AE199" s="748">
        <f t="shared" si="78"/>
        <v>1</v>
      </c>
      <c r="AF199" s="417">
        <f t="shared" si="79"/>
        <v>0.66666666666666663</v>
      </c>
      <c r="AG199" s="416">
        <f t="shared" si="80"/>
        <v>7.333333333333333</v>
      </c>
      <c r="AH199" s="372">
        <f t="shared" si="81"/>
        <v>0.91666666666666663</v>
      </c>
      <c r="AI199" s="373">
        <f t="shared" si="82"/>
        <v>625</v>
      </c>
      <c r="AJ199" s="418">
        <f>VLOOKUP(D199,'Standard Cycle time'!C:D,2,0)</f>
        <v>3.5</v>
      </c>
      <c r="AK199" s="418">
        <f t="shared" si="83"/>
        <v>5.28</v>
      </c>
      <c r="AL199" s="374">
        <f t="shared" si="84"/>
        <v>0.66287878787878785</v>
      </c>
      <c r="AM199" s="372">
        <f t="shared" si="85"/>
        <v>0.60763888888888884</v>
      </c>
      <c r="AN199" s="799" t="s">
        <v>2502</v>
      </c>
      <c r="AO199" s="929"/>
      <c r="AP199" s="440">
        <v>40</v>
      </c>
      <c r="AQ199" s="440">
        <v>0</v>
      </c>
      <c r="AR199" s="440">
        <v>0</v>
      </c>
      <c r="AS199" s="440">
        <v>0</v>
      </c>
      <c r="AT199" s="440">
        <v>0</v>
      </c>
      <c r="AU199" s="440">
        <v>0</v>
      </c>
      <c r="AV199" s="440">
        <v>0</v>
      </c>
      <c r="AW199" s="440">
        <v>0</v>
      </c>
      <c r="AX199" s="440">
        <v>0</v>
      </c>
      <c r="AY199" s="440">
        <v>0</v>
      </c>
      <c r="AZ199" s="440">
        <v>0</v>
      </c>
      <c r="BA199" s="440">
        <v>0</v>
      </c>
      <c r="BB199" s="440">
        <v>0</v>
      </c>
      <c r="BC199" s="440">
        <v>0</v>
      </c>
      <c r="BD199" s="440">
        <v>0</v>
      </c>
      <c r="BE199" s="440">
        <v>0</v>
      </c>
      <c r="BF199" s="440">
        <v>0</v>
      </c>
      <c r="BG199" s="440">
        <v>0</v>
      </c>
      <c r="BH199" s="440">
        <v>0</v>
      </c>
      <c r="BI199" s="440">
        <v>0</v>
      </c>
      <c r="BJ199" s="440">
        <v>0</v>
      </c>
      <c r="BK199" s="440">
        <v>0</v>
      </c>
      <c r="BL199" s="440">
        <v>0</v>
      </c>
      <c r="BM199" s="440">
        <v>0</v>
      </c>
      <c r="BN199" s="440">
        <v>0</v>
      </c>
      <c r="BO199" s="440">
        <v>0</v>
      </c>
      <c r="BP199" s="440">
        <v>0</v>
      </c>
      <c r="BQ199" s="440">
        <v>0</v>
      </c>
      <c r="BR199" s="415">
        <f t="shared" si="68"/>
        <v>0.66666666666666663</v>
      </c>
      <c r="BS199" s="415">
        <f t="shared" si="70"/>
        <v>0.6777777777777777</v>
      </c>
      <c r="BT199" s="935"/>
      <c r="BU199" s="935"/>
      <c r="BV199" s="935"/>
      <c r="BW199" s="935"/>
      <c r="BX199" s="935"/>
      <c r="BY199" s="935"/>
      <c r="BZ199" s="935"/>
      <c r="CA199" s="935"/>
      <c r="CB199" s="935"/>
      <c r="CC199" s="935"/>
      <c r="CD199" s="935"/>
      <c r="CE199" s="935"/>
      <c r="CF199" s="935"/>
      <c r="CG199" s="935"/>
      <c r="CH199" s="935"/>
      <c r="CI199" s="935"/>
      <c r="CJ199" s="935"/>
      <c r="CK199" s="935"/>
      <c r="CL199" s="935"/>
      <c r="CM199" s="935"/>
      <c r="CN199" s="935"/>
      <c r="CO199" s="935"/>
      <c r="CP199" s="935"/>
      <c r="CQ199" s="935"/>
      <c r="CR199" s="935"/>
      <c r="CS199" s="935"/>
      <c r="CT199" s="935"/>
      <c r="CU199" s="935"/>
      <c r="CV199" s="935"/>
      <c r="DA199" s="511" t="s">
        <v>107</v>
      </c>
    </row>
    <row r="200" spans="1:105">
      <c r="A200" s="375">
        <f t="shared" si="71"/>
        <v>8</v>
      </c>
      <c r="B200" s="455">
        <v>44427</v>
      </c>
      <c r="C200" s="493" t="s">
        <v>2000</v>
      </c>
      <c r="D200" s="376" t="str">
        <f>IFERROR(VLOOKUP(E:E,'Item Data Support Sheet'!A:O,7,0),"")</f>
        <v>NIPPLE WRAP PRINTED</v>
      </c>
      <c r="E200" s="447" t="s">
        <v>2091</v>
      </c>
      <c r="F200" s="500"/>
      <c r="G200" s="376" t="s">
        <v>1693</v>
      </c>
      <c r="H200" s="602" t="str">
        <f>IFERROR(VLOOKUP(E:E,'Item Data Support Sheet'!A:O,2,0),"")</f>
        <v>NIPPLE S TYPE LL SIZE WRAPPED</v>
      </c>
      <c r="I200" s="501" t="s">
        <v>2503</v>
      </c>
      <c r="J200" s="447" t="s">
        <v>2812</v>
      </c>
      <c r="K200" s="438">
        <v>8.5</v>
      </c>
      <c r="L200" s="499">
        <v>16132</v>
      </c>
      <c r="M200" s="366">
        <f t="shared" si="64"/>
        <v>1897.8823529411766</v>
      </c>
      <c r="N200" s="367">
        <f t="shared" si="69"/>
        <v>17412</v>
      </c>
      <c r="O200" s="61">
        <v>17390</v>
      </c>
      <c r="P200" s="368">
        <v>0</v>
      </c>
      <c r="Q200" s="369">
        <v>0</v>
      </c>
      <c r="R200" s="370">
        <v>0</v>
      </c>
      <c r="S200" s="370">
        <v>0</v>
      </c>
      <c r="T200" s="370">
        <v>22</v>
      </c>
      <c r="U200" s="370">
        <v>0</v>
      </c>
      <c r="V200" s="450">
        <v>2</v>
      </c>
      <c r="W200" s="453">
        <f t="shared" si="72"/>
        <v>8695</v>
      </c>
      <c r="X200" s="748">
        <f t="shared" si="73"/>
        <v>1.0779816513761469</v>
      </c>
      <c r="Y200" s="451" t="str">
        <f>IFERROR(VLOOKUP(E:E,'Item Data Support Sheet'!A:J,6,0),0)</f>
        <v>FO141</v>
      </c>
      <c r="Z200" s="428">
        <f>IFERROR(VLOOKUP(E:E,'Item Data Support Sheet'!A:O,4,0),0)</f>
        <v>0</v>
      </c>
      <c r="AA200" s="428">
        <f t="shared" si="74"/>
        <v>0</v>
      </c>
      <c r="AB200" s="429" t="str">
        <f t="shared" si="75"/>
        <v xml:space="preserve"> </v>
      </c>
      <c r="AC200" s="424">
        <f t="shared" si="76"/>
        <v>1.2634964392373076E-3</v>
      </c>
      <c r="AD200" s="371">
        <f t="shared" si="77"/>
        <v>0</v>
      </c>
      <c r="AE200" s="748">
        <f t="shared" si="78"/>
        <v>0.99873650356076271</v>
      </c>
      <c r="AF200" s="417">
        <f t="shared" si="79"/>
        <v>0.83333333333333337</v>
      </c>
      <c r="AG200" s="416">
        <f t="shared" si="80"/>
        <v>7.666666666666667</v>
      </c>
      <c r="AH200" s="372">
        <f t="shared" si="81"/>
        <v>0.90196078431372551</v>
      </c>
      <c r="AI200" s="373">
        <f t="shared" si="82"/>
        <v>2045.8823529411766</v>
      </c>
      <c r="AJ200" s="418">
        <f>VLOOKUP(D200,'Standard Cycle time'!C:D,2,0)</f>
        <v>2.5</v>
      </c>
      <c r="AK200" s="418">
        <f t="shared" si="83"/>
        <v>3.174238067855089</v>
      </c>
      <c r="AL200" s="374">
        <f t="shared" si="84"/>
        <v>0.78759057971014501</v>
      </c>
      <c r="AM200" s="372">
        <f t="shared" si="85"/>
        <v>0.70947825967817257</v>
      </c>
      <c r="AN200" s="799">
        <v>2586</v>
      </c>
      <c r="AO200" s="761"/>
      <c r="AP200" s="440">
        <v>50</v>
      </c>
      <c r="AQ200" s="440">
        <v>0</v>
      </c>
      <c r="AR200" s="440">
        <v>0</v>
      </c>
      <c r="AS200" s="440">
        <v>0</v>
      </c>
      <c r="AT200" s="440">
        <v>0</v>
      </c>
      <c r="AU200" s="440">
        <v>0</v>
      </c>
      <c r="AV200" s="440">
        <v>0</v>
      </c>
      <c r="AW200" s="440">
        <v>0</v>
      </c>
      <c r="AX200" s="440">
        <v>0</v>
      </c>
      <c r="AY200" s="440">
        <v>0</v>
      </c>
      <c r="AZ200" s="440">
        <v>0</v>
      </c>
      <c r="BA200" s="440">
        <v>0</v>
      </c>
      <c r="BB200" s="440">
        <v>0</v>
      </c>
      <c r="BC200" s="440">
        <v>0</v>
      </c>
      <c r="BD200" s="440">
        <v>0</v>
      </c>
      <c r="BE200" s="440">
        <v>0</v>
      </c>
      <c r="BF200" s="440">
        <v>0</v>
      </c>
      <c r="BG200" s="440">
        <v>0</v>
      </c>
      <c r="BH200" s="440">
        <v>0</v>
      </c>
      <c r="BI200" s="440">
        <v>0</v>
      </c>
      <c r="BJ200" s="440">
        <v>0</v>
      </c>
      <c r="BK200" s="440">
        <v>0</v>
      </c>
      <c r="BL200" s="440">
        <v>0</v>
      </c>
      <c r="BM200" s="440">
        <v>0</v>
      </c>
      <c r="BN200" s="440">
        <v>0</v>
      </c>
      <c r="BO200" s="440">
        <v>0</v>
      </c>
      <c r="BP200" s="440">
        <v>0</v>
      </c>
      <c r="BQ200" s="440">
        <v>0</v>
      </c>
      <c r="BR200" s="415">
        <f t="shared" si="68"/>
        <v>0.83333333333333337</v>
      </c>
      <c r="BS200" s="415">
        <f t="shared" si="70"/>
        <v>0.84722222222222221</v>
      </c>
      <c r="BT200" s="935"/>
      <c r="BU200" s="935"/>
      <c r="BV200" s="935"/>
      <c r="BW200" s="935"/>
      <c r="BX200" s="935"/>
      <c r="BY200" s="935"/>
      <c r="BZ200" s="935"/>
      <c r="CA200" s="935"/>
      <c r="CB200" s="935"/>
      <c r="CC200" s="935"/>
      <c r="CD200" s="935"/>
      <c r="CE200" s="935"/>
      <c r="CF200" s="935"/>
      <c r="CG200" s="935"/>
      <c r="CH200" s="935"/>
      <c r="CI200" s="935"/>
      <c r="CJ200" s="935"/>
      <c r="CK200" s="935"/>
      <c r="CL200" s="935"/>
      <c r="CM200" s="935"/>
      <c r="CN200" s="935"/>
      <c r="CO200" s="935"/>
      <c r="CP200" s="935"/>
      <c r="CQ200" s="935"/>
      <c r="CR200" s="935"/>
      <c r="CS200" s="935"/>
      <c r="CT200" s="935"/>
      <c r="CU200" s="935"/>
      <c r="CV200" s="935"/>
    </row>
    <row r="201" spans="1:105">
      <c r="A201" s="375">
        <f t="shared" si="71"/>
        <v>8</v>
      </c>
      <c r="B201" s="455">
        <v>44427</v>
      </c>
      <c r="C201" s="493" t="s">
        <v>2000</v>
      </c>
      <c r="D201" s="376" t="str">
        <f>IFERROR(VLOOKUP(E:E,'Item Data Support Sheet'!A:O,7,0),"")</f>
        <v>NIPPLE PUNCH INSPECTED</v>
      </c>
      <c r="E201" s="447" t="s">
        <v>1818</v>
      </c>
      <c r="F201" s="500"/>
      <c r="G201" s="376"/>
      <c r="H201" s="602" t="str">
        <f>IFERROR(VLOOKUP(E:E,'Item Data Support Sheet'!A:O,2,0),"")</f>
        <v>NIPPLE S TYPE S SIZE PUNCHED INSPECTED</v>
      </c>
      <c r="I201" s="501" t="s">
        <v>2504</v>
      </c>
      <c r="J201" s="447" t="s">
        <v>2812</v>
      </c>
      <c r="K201" s="438">
        <v>8.5</v>
      </c>
      <c r="L201" s="499">
        <v>14182</v>
      </c>
      <c r="M201" s="366">
        <f t="shared" si="64"/>
        <v>1668.4705882352941</v>
      </c>
      <c r="N201" s="367">
        <f t="shared" si="69"/>
        <v>13000</v>
      </c>
      <c r="O201" s="61">
        <v>12953</v>
      </c>
      <c r="P201" s="368">
        <v>0</v>
      </c>
      <c r="Q201" s="369">
        <v>0</v>
      </c>
      <c r="R201" s="370">
        <v>0</v>
      </c>
      <c r="S201" s="370">
        <v>0</v>
      </c>
      <c r="T201" s="370">
        <v>47</v>
      </c>
      <c r="U201" s="370">
        <v>0</v>
      </c>
      <c r="V201" s="450">
        <v>2</v>
      </c>
      <c r="W201" s="453">
        <f t="shared" si="72"/>
        <v>6476.5</v>
      </c>
      <c r="X201" s="748">
        <f t="shared" si="73"/>
        <v>0.91334085460442815</v>
      </c>
      <c r="Y201" s="451" t="str">
        <f>IFERROR(VLOOKUP(E:E,'Item Data Support Sheet'!A:J,6,0),0)</f>
        <v>FO104</v>
      </c>
      <c r="Z201" s="428">
        <f>IFERROR(VLOOKUP(E:E,'Item Data Support Sheet'!A:O,4,0),0)</f>
        <v>0</v>
      </c>
      <c r="AA201" s="428">
        <f t="shared" si="74"/>
        <v>0</v>
      </c>
      <c r="AB201" s="429" t="str">
        <f t="shared" si="75"/>
        <v xml:space="preserve"> </v>
      </c>
      <c r="AC201" s="424">
        <f t="shared" si="76"/>
        <v>3.6153846153846154E-3</v>
      </c>
      <c r="AD201" s="371">
        <f t="shared" si="77"/>
        <v>0</v>
      </c>
      <c r="AE201" s="748">
        <f t="shared" si="78"/>
        <v>0.99638461538461542</v>
      </c>
      <c r="AF201" s="417">
        <f t="shared" si="79"/>
        <v>1.8333333333333333</v>
      </c>
      <c r="AG201" s="416">
        <f t="shared" si="80"/>
        <v>6.666666666666667</v>
      </c>
      <c r="AH201" s="372">
        <f t="shared" si="81"/>
        <v>0.78431372549019607</v>
      </c>
      <c r="AI201" s="373">
        <f t="shared" si="82"/>
        <v>1523.8823529411766</v>
      </c>
      <c r="AJ201" s="418">
        <f>VLOOKUP(D201,'Standard Cycle time'!C:D,2,0)</f>
        <v>4</v>
      </c>
      <c r="AK201" s="418">
        <f t="shared" si="83"/>
        <v>3.7057052420288734</v>
      </c>
      <c r="AL201" s="374">
        <f t="shared" si="84"/>
        <v>1.0794166666666667</v>
      </c>
      <c r="AM201" s="372">
        <f t="shared" si="85"/>
        <v>0.84354051784816486</v>
      </c>
      <c r="AN201" s="799" t="s">
        <v>2514</v>
      </c>
      <c r="AO201" s="929"/>
      <c r="AP201" s="440">
        <v>50</v>
      </c>
      <c r="AQ201" s="440">
        <v>0</v>
      </c>
      <c r="AR201" s="440">
        <v>0</v>
      </c>
      <c r="AS201" s="440">
        <v>60</v>
      </c>
      <c r="AT201" s="440">
        <v>0</v>
      </c>
      <c r="AU201" s="440">
        <v>0</v>
      </c>
      <c r="AV201" s="440">
        <v>0</v>
      </c>
      <c r="AW201" s="440">
        <v>0</v>
      </c>
      <c r="AX201" s="440">
        <v>0</v>
      </c>
      <c r="AY201" s="440">
        <v>0</v>
      </c>
      <c r="AZ201" s="440">
        <v>0</v>
      </c>
      <c r="BA201" s="440">
        <v>0</v>
      </c>
      <c r="BB201" s="440">
        <v>0</v>
      </c>
      <c r="BC201" s="440">
        <v>0</v>
      </c>
      <c r="BD201" s="440">
        <v>0</v>
      </c>
      <c r="BE201" s="440">
        <v>0</v>
      </c>
      <c r="BF201" s="440">
        <v>0</v>
      </c>
      <c r="BG201" s="440">
        <v>0</v>
      </c>
      <c r="BH201" s="440">
        <v>0</v>
      </c>
      <c r="BI201" s="440">
        <v>0</v>
      </c>
      <c r="BJ201" s="440">
        <v>0</v>
      </c>
      <c r="BK201" s="440">
        <v>0</v>
      </c>
      <c r="BL201" s="440">
        <v>0</v>
      </c>
      <c r="BM201" s="440">
        <v>0</v>
      </c>
      <c r="BN201" s="440">
        <v>0</v>
      </c>
      <c r="BO201" s="440">
        <v>0</v>
      </c>
      <c r="BP201" s="440">
        <v>0</v>
      </c>
      <c r="BQ201" s="440">
        <v>0</v>
      </c>
      <c r="BR201" s="415">
        <f t="shared" si="68"/>
        <v>1.8333333333333333</v>
      </c>
      <c r="BS201" s="415">
        <f t="shared" si="70"/>
        <v>1.8638888888888887</v>
      </c>
      <c r="BT201" s="935"/>
      <c r="BU201" s="935"/>
      <c r="BV201" s="935"/>
      <c r="BW201" s="935"/>
      <c r="BX201" s="935"/>
      <c r="BY201" s="935"/>
      <c r="BZ201" s="935"/>
      <c r="CA201" s="935"/>
      <c r="CB201" s="935"/>
      <c r="CC201" s="935"/>
      <c r="CD201" s="935"/>
      <c r="CE201" s="935"/>
      <c r="CF201" s="935"/>
      <c r="CG201" s="935"/>
      <c r="CH201" s="935"/>
      <c r="CI201" s="935"/>
      <c r="CJ201" s="935"/>
      <c r="CK201" s="935"/>
      <c r="CL201" s="935"/>
      <c r="CM201" s="935"/>
      <c r="CN201" s="935"/>
      <c r="CO201" s="935"/>
      <c r="CP201" s="935"/>
      <c r="CQ201" s="935"/>
      <c r="CR201" s="935"/>
      <c r="CS201" s="935"/>
      <c r="CT201" s="935"/>
      <c r="CU201" s="935"/>
      <c r="CV201" s="935"/>
    </row>
    <row r="202" spans="1:105">
      <c r="A202" s="375">
        <f t="shared" si="71"/>
        <v>8</v>
      </c>
      <c r="B202" s="455">
        <v>44427</v>
      </c>
      <c r="C202" s="493" t="s">
        <v>2000</v>
      </c>
      <c r="D202" s="376" t="str">
        <f>IFERROR(VLOOKUP(E:E,'Item Data Support Sheet'!A:O,7,0),"")</f>
        <v>BOTTLE PRINTED</v>
      </c>
      <c r="E202" s="500" t="s">
        <v>64</v>
      </c>
      <c r="F202" s="500"/>
      <c r="G202" s="376" t="s">
        <v>1698</v>
      </c>
      <c r="H202" s="602" t="str">
        <f>IFERROR(VLOOKUP(E:E,'Item Data Support Sheet'!A:O,2,0),"")</f>
        <v>KPP 240 ML BOTTLE PRINTED</v>
      </c>
      <c r="I202" s="501" t="s">
        <v>2505</v>
      </c>
      <c r="J202" s="447" t="s">
        <v>2813</v>
      </c>
      <c r="K202" s="438">
        <v>8.5</v>
      </c>
      <c r="L202" s="499">
        <v>5100</v>
      </c>
      <c r="M202" s="366">
        <f t="shared" si="64"/>
        <v>600</v>
      </c>
      <c r="N202" s="367">
        <f t="shared" si="69"/>
        <v>5309</v>
      </c>
      <c r="O202" s="61">
        <f>5268</f>
        <v>5268</v>
      </c>
      <c r="P202" s="368">
        <v>0</v>
      </c>
      <c r="Q202" s="369">
        <v>0</v>
      </c>
      <c r="R202" s="370">
        <v>45</v>
      </c>
      <c r="S202" s="370">
        <v>0</v>
      </c>
      <c r="T202" s="370">
        <v>41</v>
      </c>
      <c r="U202" s="370">
        <v>0</v>
      </c>
      <c r="V202" s="450">
        <v>6</v>
      </c>
      <c r="W202" s="453">
        <f t="shared" si="72"/>
        <v>878</v>
      </c>
      <c r="X202" s="748">
        <f t="shared" si="73"/>
        <v>1.0329411764705883</v>
      </c>
      <c r="Y202" s="451" t="str">
        <f>IFERROR(VLOOKUP(E:E,'Item Data Support Sheet'!A:J,6,0),0)</f>
        <v>FO003</v>
      </c>
      <c r="Z202" s="428">
        <f>IFERROR(VLOOKUP(E:E,'Item Data Support Sheet'!A:O,4,0),0)</f>
        <v>0</v>
      </c>
      <c r="AA202" s="428">
        <f t="shared" si="74"/>
        <v>0</v>
      </c>
      <c r="AB202" s="429" t="str">
        <f t="shared" si="75"/>
        <v xml:space="preserve"> </v>
      </c>
      <c r="AC202" s="424">
        <f t="shared" si="76"/>
        <v>7.7227349783386698E-3</v>
      </c>
      <c r="AD202" s="371">
        <f t="shared" si="77"/>
        <v>0</v>
      </c>
      <c r="AE202" s="748">
        <f t="shared" si="78"/>
        <v>0.99227726502166136</v>
      </c>
      <c r="AF202" s="417">
        <f t="shared" si="79"/>
        <v>0.83333333333333337</v>
      </c>
      <c r="AG202" s="416">
        <f t="shared" si="80"/>
        <v>7.666666666666667</v>
      </c>
      <c r="AH202" s="372">
        <f t="shared" si="81"/>
        <v>0.90196078431372551</v>
      </c>
      <c r="AI202" s="373">
        <f t="shared" si="82"/>
        <v>619.76470588235293</v>
      </c>
      <c r="AJ202" s="418">
        <f>VLOOKUP(D202,'Standard Cycle time'!C:D,2,0)</f>
        <v>32.4</v>
      </c>
      <c r="AK202" s="418">
        <f t="shared" si="83"/>
        <v>31.43507972665148</v>
      </c>
      <c r="AL202" s="374">
        <f t="shared" si="84"/>
        <v>1.030695652173913</v>
      </c>
      <c r="AM202" s="372">
        <f t="shared" si="85"/>
        <v>0.92246764096484324</v>
      </c>
      <c r="AN202" s="799" t="s">
        <v>2662</v>
      </c>
      <c r="AO202" s="929"/>
      <c r="AP202" s="440">
        <v>50</v>
      </c>
      <c r="AQ202" s="440">
        <v>0</v>
      </c>
      <c r="AR202" s="440">
        <v>0</v>
      </c>
      <c r="AS202" s="440">
        <v>0</v>
      </c>
      <c r="AT202" s="440">
        <v>0</v>
      </c>
      <c r="AU202" s="440">
        <v>0</v>
      </c>
      <c r="AV202" s="440">
        <v>0</v>
      </c>
      <c r="AW202" s="440">
        <v>0</v>
      </c>
      <c r="AX202" s="440">
        <v>0</v>
      </c>
      <c r="AY202" s="440">
        <v>0</v>
      </c>
      <c r="AZ202" s="440">
        <v>0</v>
      </c>
      <c r="BA202" s="440">
        <v>0</v>
      </c>
      <c r="BB202" s="440">
        <v>0</v>
      </c>
      <c r="BC202" s="440">
        <v>0</v>
      </c>
      <c r="BD202" s="440">
        <v>0</v>
      </c>
      <c r="BE202" s="440">
        <v>0</v>
      </c>
      <c r="BF202" s="440">
        <v>0</v>
      </c>
      <c r="BG202" s="440">
        <v>0</v>
      </c>
      <c r="BH202" s="440">
        <v>0</v>
      </c>
      <c r="BI202" s="440">
        <v>0</v>
      </c>
      <c r="BJ202" s="440">
        <v>0</v>
      </c>
      <c r="BK202" s="440">
        <v>0</v>
      </c>
      <c r="BL202" s="440">
        <v>0</v>
      </c>
      <c r="BM202" s="440">
        <v>0</v>
      </c>
      <c r="BN202" s="440">
        <v>0</v>
      </c>
      <c r="BO202" s="440">
        <v>0</v>
      </c>
      <c r="BP202" s="440">
        <v>0</v>
      </c>
      <c r="BQ202" s="440">
        <v>0</v>
      </c>
      <c r="BR202" s="415">
        <f t="shared" si="68"/>
        <v>0.83333333333333337</v>
      </c>
      <c r="BS202" s="415">
        <f t="shared" si="70"/>
        <v>0.84722222222222221</v>
      </c>
      <c r="BT202" s="935"/>
      <c r="BU202" s="935"/>
      <c r="BV202" s="935"/>
      <c r="BW202" s="935"/>
      <c r="BX202" s="935"/>
      <c r="BY202" s="935"/>
      <c r="BZ202" s="935"/>
      <c r="CA202" s="935"/>
      <c r="CB202" s="935"/>
      <c r="CC202" s="935"/>
      <c r="CD202" s="935"/>
      <c r="CE202" s="935"/>
      <c r="CF202" s="935"/>
      <c r="CG202" s="935"/>
      <c r="CH202" s="935"/>
      <c r="CI202" s="935"/>
      <c r="CJ202" s="935"/>
      <c r="CK202" s="935"/>
      <c r="CL202" s="935"/>
      <c r="CM202" s="935"/>
      <c r="CN202" s="935"/>
      <c r="CO202" s="935"/>
      <c r="CP202" s="935"/>
      <c r="CQ202" s="935"/>
      <c r="CR202" s="935"/>
      <c r="CS202" s="935"/>
      <c r="CT202" s="935"/>
      <c r="CU202" s="935"/>
      <c r="CV202" s="935"/>
    </row>
    <row r="203" spans="1:105" ht="14.65" customHeight="1">
      <c r="A203" s="375">
        <f t="shared" si="71"/>
        <v>8</v>
      </c>
      <c r="B203" s="455">
        <v>44427</v>
      </c>
      <c r="C203" s="493" t="s">
        <v>2001</v>
      </c>
      <c r="D203" s="376" t="str">
        <f>IFERROR(VLOOKUP(E:E,'Item Data Support Sheet'!A:O,7,0),"")</f>
        <v>BOTTLE MOLDED</v>
      </c>
      <c r="E203" s="447" t="s">
        <v>14</v>
      </c>
      <c r="F203" s="500" t="s">
        <v>1681</v>
      </c>
      <c r="G203" s="376" t="s">
        <v>1888</v>
      </c>
      <c r="H203" s="602" t="str">
        <f>IFERROR(VLOOKUP(E:E,'Item Data Support Sheet'!A:O,2,0),"")</f>
        <v>KPP 240 ML BOTTLE MOLDED</v>
      </c>
      <c r="I203" s="501" t="s">
        <v>2506</v>
      </c>
      <c r="J203" s="447" t="s">
        <v>2810</v>
      </c>
      <c r="K203" s="438">
        <v>2</v>
      </c>
      <c r="L203" s="499">
        <v>600</v>
      </c>
      <c r="M203" s="366">
        <f t="shared" si="64"/>
        <v>300</v>
      </c>
      <c r="N203" s="367">
        <f t="shared" si="69"/>
        <v>630</v>
      </c>
      <c r="O203" s="61">
        <f>312+318</f>
        <v>630</v>
      </c>
      <c r="P203" s="368">
        <v>0</v>
      </c>
      <c r="Q203" s="369">
        <v>0</v>
      </c>
      <c r="R203" s="370">
        <v>0</v>
      </c>
      <c r="S203" s="370">
        <v>0</v>
      </c>
      <c r="T203" s="370">
        <v>0</v>
      </c>
      <c r="U203" s="370">
        <v>0</v>
      </c>
      <c r="V203" s="450">
        <v>1</v>
      </c>
      <c r="W203" s="453">
        <f t="shared" si="72"/>
        <v>630</v>
      </c>
      <c r="X203" s="748">
        <f t="shared" si="73"/>
        <v>1.05</v>
      </c>
      <c r="Y203" s="451" t="str">
        <f>IFERROR(VLOOKUP(E:E,'Item Data Support Sheet'!A:J,6,0),0)</f>
        <v>HMC</v>
      </c>
      <c r="Z203" s="428">
        <f>IFERROR(VLOOKUP(E:E,'Item Data Support Sheet'!A:O,4,0),0)</f>
        <v>32.1</v>
      </c>
      <c r="AA203" s="428">
        <f t="shared" si="74"/>
        <v>20.223000000000003</v>
      </c>
      <c r="AB203" s="429">
        <f t="shared" si="75"/>
        <v>1</v>
      </c>
      <c r="AC203" s="424">
        <f t="shared" si="76"/>
        <v>0</v>
      </c>
      <c r="AD203" s="371">
        <f t="shared" si="77"/>
        <v>0</v>
      </c>
      <c r="AE203" s="748">
        <f t="shared" si="78"/>
        <v>1</v>
      </c>
      <c r="AF203" s="417">
        <f t="shared" si="79"/>
        <v>0</v>
      </c>
      <c r="AG203" s="416">
        <f t="shared" si="80"/>
        <v>2</v>
      </c>
      <c r="AH203" s="372">
        <f t="shared" si="81"/>
        <v>1</v>
      </c>
      <c r="AI203" s="373">
        <f t="shared" si="82"/>
        <v>315</v>
      </c>
      <c r="AJ203" s="418">
        <f>VLOOKUP(D203,'Standard Cycle time'!C:D,2,0)</f>
        <v>9</v>
      </c>
      <c r="AK203" s="418">
        <f t="shared" si="83"/>
        <v>11.428571428571429</v>
      </c>
      <c r="AL203" s="374">
        <f t="shared" si="84"/>
        <v>0.78749999999999998</v>
      </c>
      <c r="AM203" s="372">
        <f t="shared" si="85"/>
        <v>0.78749999999999998</v>
      </c>
      <c r="AN203" s="799" t="s">
        <v>2659</v>
      </c>
      <c r="AO203" s="761"/>
      <c r="AP203" s="440">
        <v>0</v>
      </c>
      <c r="AQ203" s="440">
        <v>0</v>
      </c>
      <c r="AR203" s="440">
        <v>0</v>
      </c>
      <c r="AS203" s="440">
        <v>0</v>
      </c>
      <c r="AT203" s="440">
        <v>0</v>
      </c>
      <c r="AU203" s="440">
        <v>0</v>
      </c>
      <c r="AV203" s="440">
        <v>0</v>
      </c>
      <c r="AW203" s="440">
        <v>0</v>
      </c>
      <c r="AX203" s="440">
        <v>0</v>
      </c>
      <c r="AY203" s="440">
        <v>0</v>
      </c>
      <c r="AZ203" s="440">
        <v>0</v>
      </c>
      <c r="BA203" s="440">
        <v>0</v>
      </c>
      <c r="BB203" s="440">
        <v>0</v>
      </c>
      <c r="BC203" s="440">
        <v>0</v>
      </c>
      <c r="BD203" s="440">
        <v>0</v>
      </c>
      <c r="BE203" s="440">
        <v>0</v>
      </c>
      <c r="BF203" s="440">
        <v>0</v>
      </c>
      <c r="BG203" s="440">
        <v>0</v>
      </c>
      <c r="BH203" s="440">
        <v>0</v>
      </c>
      <c r="BI203" s="440">
        <v>0</v>
      </c>
      <c r="BJ203" s="440">
        <v>0</v>
      </c>
      <c r="BK203" s="440">
        <v>0</v>
      </c>
      <c r="BL203" s="440">
        <v>0</v>
      </c>
      <c r="BM203" s="440">
        <v>0</v>
      </c>
      <c r="BN203" s="440">
        <v>0</v>
      </c>
      <c r="BO203" s="440">
        <v>0</v>
      </c>
      <c r="BP203" s="440">
        <v>0</v>
      </c>
      <c r="BQ203" s="440">
        <v>0</v>
      </c>
      <c r="BR203" s="415">
        <f t="shared" si="68"/>
        <v>0</v>
      </c>
      <c r="BS203" s="415">
        <f t="shared" si="70"/>
        <v>0</v>
      </c>
      <c r="BT203" s="935"/>
      <c r="BU203" s="935"/>
      <c r="BV203" s="935"/>
      <c r="BW203" s="935"/>
      <c r="BX203" s="935"/>
      <c r="BY203" s="935"/>
      <c r="BZ203" s="935"/>
      <c r="CA203" s="935"/>
      <c r="CB203" s="935"/>
      <c r="CC203" s="935"/>
      <c r="CD203" s="935"/>
      <c r="CE203" s="935"/>
      <c r="CF203" s="935"/>
      <c r="CG203" s="935"/>
      <c r="CH203" s="935"/>
      <c r="CI203" s="935"/>
      <c r="CJ203" s="935"/>
      <c r="CK203" s="935"/>
      <c r="CL203" s="935"/>
      <c r="CM203" s="935"/>
      <c r="CN203" s="935"/>
      <c r="CO203" s="935"/>
      <c r="CP203" s="935"/>
      <c r="CQ203" s="935"/>
      <c r="CR203" s="935"/>
      <c r="CS203" s="935"/>
      <c r="CT203" s="935"/>
      <c r="CU203" s="935"/>
      <c r="CV203" s="935"/>
    </row>
    <row r="204" spans="1:105" ht="14.65" customHeight="1">
      <c r="A204" s="375">
        <f t="shared" si="71"/>
        <v>8</v>
      </c>
      <c r="B204" s="455">
        <v>44427</v>
      </c>
      <c r="C204" s="493" t="s">
        <v>2001</v>
      </c>
      <c r="D204" s="376" t="str">
        <f>IFERROR(VLOOKUP(E:E,'Item Data Support Sheet'!A:O,7,0),"")</f>
        <v>BOTTLE MOLDED</v>
      </c>
      <c r="E204" s="447" t="s">
        <v>14</v>
      </c>
      <c r="F204" s="500" t="s">
        <v>1681</v>
      </c>
      <c r="G204" s="376" t="s">
        <v>1888</v>
      </c>
      <c r="H204" s="602" t="str">
        <f>IFERROR(VLOOKUP(E:E,'Item Data Support Sheet'!A:O,2,0),"")</f>
        <v>KPP 240 ML BOTTLE MOLDED</v>
      </c>
      <c r="I204" s="501" t="s">
        <v>2506</v>
      </c>
      <c r="J204" s="447" t="s">
        <v>2810</v>
      </c>
      <c r="K204" s="438">
        <v>6</v>
      </c>
      <c r="L204" s="499">
        <f>2574-600</f>
        <v>1974</v>
      </c>
      <c r="M204" s="366">
        <f t="shared" si="64"/>
        <v>329</v>
      </c>
      <c r="N204" s="367">
        <f t="shared" si="69"/>
        <v>2609</v>
      </c>
      <c r="O204" s="61">
        <f>23*108</f>
        <v>2484</v>
      </c>
      <c r="P204" s="368">
        <v>0.18</v>
      </c>
      <c r="Q204" s="369">
        <v>55</v>
      </c>
      <c r="R204" s="370">
        <v>0</v>
      </c>
      <c r="S204" s="370">
        <v>0</v>
      </c>
      <c r="T204" s="370">
        <f>125-55</f>
        <v>70</v>
      </c>
      <c r="U204" s="370">
        <v>0</v>
      </c>
      <c r="V204" s="450">
        <v>1</v>
      </c>
      <c r="W204" s="453">
        <f t="shared" si="72"/>
        <v>2484</v>
      </c>
      <c r="X204" s="748">
        <f t="shared" si="73"/>
        <v>1.2583586626139818</v>
      </c>
      <c r="Y204" s="451" t="str">
        <f>IFERROR(VLOOKUP(E:E,'Item Data Support Sheet'!A:J,6,0),0)</f>
        <v>HMC</v>
      </c>
      <c r="Z204" s="428">
        <f>IFERROR(VLOOKUP(E:E,'Item Data Support Sheet'!A:O,4,0),0)</f>
        <v>32.1</v>
      </c>
      <c r="AA204" s="428">
        <f t="shared" si="74"/>
        <v>83.928900000000013</v>
      </c>
      <c r="AB204" s="429">
        <f t="shared" si="75"/>
        <v>0.95004700407130305</v>
      </c>
      <c r="AC204" s="424">
        <f t="shared" si="76"/>
        <v>2.7407987470634301E-2</v>
      </c>
      <c r="AD204" s="371">
        <f t="shared" si="77"/>
        <v>2.0645645645645645E-2</v>
      </c>
      <c r="AE204" s="748">
        <f t="shared" si="78"/>
        <v>0.97316979685703331</v>
      </c>
      <c r="AF204" s="417">
        <f t="shared" si="79"/>
        <v>0</v>
      </c>
      <c r="AG204" s="416">
        <f t="shared" si="80"/>
        <v>6</v>
      </c>
      <c r="AH204" s="372">
        <f t="shared" si="81"/>
        <v>1</v>
      </c>
      <c r="AI204" s="373">
        <f t="shared" si="82"/>
        <v>414</v>
      </c>
      <c r="AJ204" s="418">
        <f>VLOOKUP(D204,'Standard Cycle time'!C:D,2,0)</f>
        <v>9</v>
      </c>
      <c r="AK204" s="418">
        <f t="shared" si="83"/>
        <v>8.695652173913043</v>
      </c>
      <c r="AL204" s="374">
        <f t="shared" si="84"/>
        <v>1.0350000000000001</v>
      </c>
      <c r="AM204" s="372">
        <f t="shared" si="85"/>
        <v>1.0072307397470297</v>
      </c>
      <c r="AN204" s="799" t="s">
        <v>2660</v>
      </c>
      <c r="AO204" s="761"/>
      <c r="AP204" s="440">
        <v>0</v>
      </c>
      <c r="AQ204" s="440">
        <v>0</v>
      </c>
      <c r="AR204" s="440">
        <v>0</v>
      </c>
      <c r="AS204" s="440">
        <v>0</v>
      </c>
      <c r="AT204" s="440">
        <v>0</v>
      </c>
      <c r="AU204" s="440">
        <v>0</v>
      </c>
      <c r="AV204" s="440">
        <v>0</v>
      </c>
      <c r="AW204" s="440">
        <v>0</v>
      </c>
      <c r="AX204" s="440">
        <v>0</v>
      </c>
      <c r="AY204" s="440">
        <v>0</v>
      </c>
      <c r="AZ204" s="440">
        <v>0</v>
      </c>
      <c r="BA204" s="440">
        <v>0</v>
      </c>
      <c r="BB204" s="440">
        <v>0</v>
      </c>
      <c r="BC204" s="440">
        <v>0</v>
      </c>
      <c r="BD204" s="440">
        <v>0</v>
      </c>
      <c r="BE204" s="440">
        <v>0</v>
      </c>
      <c r="BF204" s="440">
        <v>0</v>
      </c>
      <c r="BG204" s="440">
        <v>0</v>
      </c>
      <c r="BH204" s="440">
        <v>0</v>
      </c>
      <c r="BI204" s="440">
        <v>0</v>
      </c>
      <c r="BJ204" s="440">
        <v>0</v>
      </c>
      <c r="BK204" s="440">
        <v>0</v>
      </c>
      <c r="BL204" s="440">
        <v>0</v>
      </c>
      <c r="BM204" s="440">
        <v>0</v>
      </c>
      <c r="BN204" s="440">
        <v>0</v>
      </c>
      <c r="BO204" s="440">
        <v>0</v>
      </c>
      <c r="BP204" s="440">
        <v>0</v>
      </c>
      <c r="BQ204" s="440">
        <v>0</v>
      </c>
      <c r="BR204" s="415">
        <f t="shared" si="68"/>
        <v>0</v>
      </c>
      <c r="BS204" s="415">
        <f t="shared" si="70"/>
        <v>0</v>
      </c>
      <c r="BT204" s="935"/>
      <c r="BU204" s="935"/>
      <c r="BV204" s="935"/>
      <c r="BW204" s="935"/>
      <c r="BX204" s="935"/>
      <c r="BY204" s="935"/>
      <c r="BZ204" s="935"/>
      <c r="CA204" s="935"/>
      <c r="CB204" s="935"/>
      <c r="CC204" s="935"/>
      <c r="CD204" s="935"/>
      <c r="CE204" s="935"/>
      <c r="CF204" s="935"/>
      <c r="CG204" s="935"/>
      <c r="CH204" s="935"/>
      <c r="CI204" s="935"/>
      <c r="CJ204" s="935"/>
      <c r="CK204" s="935"/>
      <c r="CL204" s="935"/>
      <c r="CM204" s="935"/>
      <c r="CN204" s="935"/>
      <c r="CO204" s="935"/>
      <c r="CP204" s="935"/>
      <c r="CQ204" s="935"/>
      <c r="CR204" s="935"/>
      <c r="CS204" s="935"/>
      <c r="CT204" s="935"/>
      <c r="CU204" s="935"/>
      <c r="CV204" s="935"/>
    </row>
    <row r="205" spans="1:105" ht="14.65" customHeight="1">
      <c r="A205" s="375">
        <f t="shared" si="71"/>
        <v>8</v>
      </c>
      <c r="B205" s="455">
        <v>44427</v>
      </c>
      <c r="C205" s="493" t="s">
        <v>2001</v>
      </c>
      <c r="D205" s="376" t="str">
        <f>IFERROR(VLOOKUP(E:E,'Item Data Support Sheet'!A:O,7,0),"")</f>
        <v>NIPPLE PUNCH</v>
      </c>
      <c r="E205" s="447" t="s">
        <v>80</v>
      </c>
      <c r="F205" s="447"/>
      <c r="G205" s="376" t="s">
        <v>1692</v>
      </c>
      <c r="H205" s="602" t="str">
        <f>IFERROR(VLOOKUP(E:E,'Item Data Support Sheet'!A:O,2,0),"")</f>
        <v>NIPPLE S TYPE S SIZE PUNCHED</v>
      </c>
      <c r="I205" s="501" t="s">
        <v>2507</v>
      </c>
      <c r="J205" s="447" t="s">
        <v>2810</v>
      </c>
      <c r="K205" s="438">
        <v>8</v>
      </c>
      <c r="L205" s="499">
        <v>7000</v>
      </c>
      <c r="M205" s="366">
        <f t="shared" ref="M205:M268" si="86">IFERROR(L205/K205,0)</f>
        <v>875</v>
      </c>
      <c r="N205" s="367">
        <f t="shared" si="69"/>
        <v>7300</v>
      </c>
      <c r="O205" s="61">
        <v>7300</v>
      </c>
      <c r="P205" s="368">
        <v>0</v>
      </c>
      <c r="Q205" s="369">
        <v>0</v>
      </c>
      <c r="R205" s="370">
        <v>0</v>
      </c>
      <c r="S205" s="370">
        <v>0</v>
      </c>
      <c r="T205" s="370">
        <v>0</v>
      </c>
      <c r="U205" s="370">
        <v>0</v>
      </c>
      <c r="V205" s="450">
        <v>1</v>
      </c>
      <c r="W205" s="453">
        <f t="shared" si="72"/>
        <v>7300</v>
      </c>
      <c r="X205" s="748">
        <f t="shared" si="73"/>
        <v>1.0428571428571429</v>
      </c>
      <c r="Y205" s="451" t="str">
        <f>IFERROR(VLOOKUP(E:E,'Item Data Support Sheet'!A:J,6,0),0)</f>
        <v>FO015</v>
      </c>
      <c r="Z205" s="428">
        <f>IFERROR(VLOOKUP(E:E,'Item Data Support Sheet'!A:O,4,0),0)</f>
        <v>0</v>
      </c>
      <c r="AA205" s="428">
        <f t="shared" si="74"/>
        <v>0</v>
      </c>
      <c r="AB205" s="429" t="str">
        <f t="shared" si="75"/>
        <v xml:space="preserve"> </v>
      </c>
      <c r="AC205" s="424">
        <f t="shared" si="76"/>
        <v>0</v>
      </c>
      <c r="AD205" s="371">
        <f t="shared" si="77"/>
        <v>0</v>
      </c>
      <c r="AE205" s="748">
        <f t="shared" si="78"/>
        <v>1</v>
      </c>
      <c r="AF205" s="417">
        <f t="shared" si="79"/>
        <v>0.66666666666666663</v>
      </c>
      <c r="AG205" s="416">
        <f t="shared" si="80"/>
        <v>7.333333333333333</v>
      </c>
      <c r="AH205" s="372">
        <f t="shared" si="81"/>
        <v>0.91666666666666663</v>
      </c>
      <c r="AI205" s="373">
        <f t="shared" si="82"/>
        <v>912.5</v>
      </c>
      <c r="AJ205" s="418">
        <f>VLOOKUP(D205,'Standard Cycle time'!C:D,2,0)</f>
        <v>3.5</v>
      </c>
      <c r="AK205" s="418">
        <f t="shared" si="83"/>
        <v>3.6164383561643834</v>
      </c>
      <c r="AL205" s="374">
        <f t="shared" si="84"/>
        <v>0.96780303030303039</v>
      </c>
      <c r="AM205" s="372">
        <f t="shared" si="85"/>
        <v>0.88715277777777779</v>
      </c>
      <c r="AN205" s="799" t="s">
        <v>2661</v>
      </c>
      <c r="AO205" s="929"/>
      <c r="AP205" s="440">
        <v>40</v>
      </c>
      <c r="AQ205" s="440">
        <v>0</v>
      </c>
      <c r="AR205" s="440">
        <v>0</v>
      </c>
      <c r="AS205" s="440">
        <v>0</v>
      </c>
      <c r="AT205" s="440">
        <v>0</v>
      </c>
      <c r="AU205" s="440">
        <v>0</v>
      </c>
      <c r="AV205" s="440">
        <v>0</v>
      </c>
      <c r="AW205" s="440">
        <v>0</v>
      </c>
      <c r="AX205" s="440">
        <v>0</v>
      </c>
      <c r="AY205" s="440">
        <v>0</v>
      </c>
      <c r="AZ205" s="440">
        <v>0</v>
      </c>
      <c r="BA205" s="440">
        <v>0</v>
      </c>
      <c r="BB205" s="440">
        <v>0</v>
      </c>
      <c r="BC205" s="440">
        <v>0</v>
      </c>
      <c r="BD205" s="440">
        <v>0</v>
      </c>
      <c r="BE205" s="440">
        <v>0</v>
      </c>
      <c r="BF205" s="440">
        <v>0</v>
      </c>
      <c r="BG205" s="440">
        <v>0</v>
      </c>
      <c r="BH205" s="440">
        <v>0</v>
      </c>
      <c r="BI205" s="440">
        <v>0</v>
      </c>
      <c r="BJ205" s="440">
        <v>0</v>
      </c>
      <c r="BK205" s="440">
        <v>0</v>
      </c>
      <c r="BL205" s="440">
        <v>0</v>
      </c>
      <c r="BM205" s="440">
        <v>0</v>
      </c>
      <c r="BN205" s="440">
        <v>0</v>
      </c>
      <c r="BO205" s="440">
        <v>0</v>
      </c>
      <c r="BP205" s="440">
        <v>0</v>
      </c>
      <c r="BQ205" s="440">
        <v>0</v>
      </c>
      <c r="BR205" s="415">
        <f t="shared" si="68"/>
        <v>0.66666666666666663</v>
      </c>
      <c r="BS205" s="415">
        <f t="shared" si="70"/>
        <v>0.6777777777777777</v>
      </c>
      <c r="BT205" s="935"/>
      <c r="BU205" s="935"/>
      <c r="BV205" s="935"/>
      <c r="BW205" s="935"/>
      <c r="BX205" s="935"/>
      <c r="BY205" s="935"/>
      <c r="BZ205" s="935"/>
      <c r="CA205" s="935"/>
      <c r="CB205" s="935"/>
      <c r="CC205" s="935"/>
      <c r="CD205" s="935"/>
      <c r="CE205" s="935"/>
      <c r="CF205" s="935"/>
      <c r="CG205" s="935"/>
      <c r="CH205" s="935"/>
      <c r="CI205" s="935"/>
      <c r="CJ205" s="935"/>
      <c r="CK205" s="935"/>
      <c r="CL205" s="935"/>
      <c r="CM205" s="935"/>
      <c r="CN205" s="935"/>
      <c r="CO205" s="935"/>
      <c r="CP205" s="935"/>
      <c r="CQ205" s="935"/>
      <c r="CR205" s="935"/>
      <c r="CS205" s="935"/>
      <c r="CT205" s="935"/>
      <c r="CU205" s="935"/>
      <c r="CV205" s="935"/>
    </row>
    <row r="206" spans="1:105">
      <c r="A206" s="375">
        <f t="shared" si="71"/>
        <v>8</v>
      </c>
      <c r="B206" s="455">
        <v>44427</v>
      </c>
      <c r="C206" s="493" t="s">
        <v>2001</v>
      </c>
      <c r="D206" s="376" t="str">
        <f>IFERROR(VLOOKUP(E:E,'Item Data Support Sheet'!A:O,7,0),"")</f>
        <v>NIPPLE LASER MARKING</v>
      </c>
      <c r="E206" s="447" t="s">
        <v>1814</v>
      </c>
      <c r="F206" s="500"/>
      <c r="G206" s="376" t="s">
        <v>1812</v>
      </c>
      <c r="H206" s="602" t="str">
        <f>IFERROR(VLOOKUP(E:E,'Item Data Support Sheet'!A:O,2,0),"")</f>
        <v>NIPPLE S TYPE S SIZE PUNCHED LASER MARKED</v>
      </c>
      <c r="I206" s="501" t="s">
        <v>2501</v>
      </c>
      <c r="J206" s="447" t="s">
        <v>2810</v>
      </c>
      <c r="K206" s="438">
        <v>8</v>
      </c>
      <c r="L206" s="499">
        <v>7000</v>
      </c>
      <c r="M206" s="366">
        <f t="shared" si="86"/>
        <v>875</v>
      </c>
      <c r="N206" s="367">
        <f t="shared" si="69"/>
        <v>7300</v>
      </c>
      <c r="O206" s="61">
        <v>7300</v>
      </c>
      <c r="P206" s="368">
        <v>0</v>
      </c>
      <c r="Q206" s="369">
        <v>0</v>
      </c>
      <c r="R206" s="370">
        <v>0</v>
      </c>
      <c r="S206" s="370">
        <v>0</v>
      </c>
      <c r="T206" s="370">
        <v>0</v>
      </c>
      <c r="U206" s="370">
        <v>0</v>
      </c>
      <c r="V206" s="450">
        <v>1</v>
      </c>
      <c r="W206" s="453">
        <f t="shared" si="72"/>
        <v>7300</v>
      </c>
      <c r="X206" s="748">
        <f t="shared" si="73"/>
        <v>1.0428571428571429</v>
      </c>
      <c r="Y206" s="451" t="str">
        <f>IFERROR(VLOOKUP(E:E,'Item Data Support Sheet'!A:J,6,0),0)</f>
        <v>FO019</v>
      </c>
      <c r="Z206" s="428">
        <f>IFERROR(VLOOKUP(E:E,'Item Data Support Sheet'!A:O,4,0),0)</f>
        <v>0</v>
      </c>
      <c r="AA206" s="428">
        <f t="shared" si="74"/>
        <v>0</v>
      </c>
      <c r="AB206" s="429" t="str">
        <f t="shared" si="75"/>
        <v xml:space="preserve"> </v>
      </c>
      <c r="AC206" s="424">
        <f t="shared" si="76"/>
        <v>0</v>
      </c>
      <c r="AD206" s="371">
        <f t="shared" si="77"/>
        <v>0</v>
      </c>
      <c r="AE206" s="748">
        <f t="shared" si="78"/>
        <v>1</v>
      </c>
      <c r="AF206" s="417">
        <f t="shared" si="79"/>
        <v>0.66666666666666663</v>
      </c>
      <c r="AG206" s="416">
        <f t="shared" si="80"/>
        <v>7.333333333333333</v>
      </c>
      <c r="AH206" s="372">
        <f t="shared" si="81"/>
        <v>0.91666666666666663</v>
      </c>
      <c r="AI206" s="373">
        <f t="shared" si="82"/>
        <v>912.5</v>
      </c>
      <c r="AJ206" s="418">
        <f>VLOOKUP(D206,'Standard Cycle time'!C:D,2,0)</f>
        <v>3.5</v>
      </c>
      <c r="AK206" s="418">
        <f t="shared" si="83"/>
        <v>3.6164383561643834</v>
      </c>
      <c r="AL206" s="374">
        <f t="shared" si="84"/>
        <v>0.96780303030303039</v>
      </c>
      <c r="AM206" s="372">
        <f t="shared" si="85"/>
        <v>0.88715277777777779</v>
      </c>
      <c r="AN206" s="799" t="s">
        <v>2513</v>
      </c>
      <c r="AO206" s="929"/>
      <c r="AP206" s="440">
        <v>40</v>
      </c>
      <c r="AQ206" s="440">
        <v>0</v>
      </c>
      <c r="AR206" s="440">
        <v>0</v>
      </c>
      <c r="AS206" s="440">
        <v>0</v>
      </c>
      <c r="AT206" s="440">
        <v>0</v>
      </c>
      <c r="AU206" s="440">
        <v>0</v>
      </c>
      <c r="AV206" s="440">
        <v>0</v>
      </c>
      <c r="AW206" s="440">
        <v>0</v>
      </c>
      <c r="AX206" s="440">
        <v>0</v>
      </c>
      <c r="AY206" s="440">
        <v>0</v>
      </c>
      <c r="AZ206" s="440">
        <v>0</v>
      </c>
      <c r="BA206" s="440">
        <v>0</v>
      </c>
      <c r="BB206" s="440">
        <v>0</v>
      </c>
      <c r="BC206" s="440">
        <v>0</v>
      </c>
      <c r="BD206" s="440">
        <v>0</v>
      </c>
      <c r="BE206" s="440">
        <v>0</v>
      </c>
      <c r="BF206" s="440">
        <v>0</v>
      </c>
      <c r="BG206" s="440">
        <v>0</v>
      </c>
      <c r="BH206" s="440">
        <v>0</v>
      </c>
      <c r="BI206" s="440">
        <v>0</v>
      </c>
      <c r="BJ206" s="440">
        <v>0</v>
      </c>
      <c r="BK206" s="440">
        <v>0</v>
      </c>
      <c r="BL206" s="440">
        <v>0</v>
      </c>
      <c r="BM206" s="440">
        <v>0</v>
      </c>
      <c r="BN206" s="440">
        <v>0</v>
      </c>
      <c r="BO206" s="440">
        <v>0</v>
      </c>
      <c r="BP206" s="440">
        <v>0</v>
      </c>
      <c r="BQ206" s="440">
        <v>0</v>
      </c>
      <c r="BR206" s="415">
        <f t="shared" si="68"/>
        <v>0.66666666666666663</v>
      </c>
      <c r="BS206" s="415">
        <f t="shared" si="70"/>
        <v>0.6777777777777777</v>
      </c>
      <c r="BT206" s="935"/>
      <c r="BU206" s="935"/>
      <c r="BV206" s="935"/>
      <c r="BW206" s="935"/>
      <c r="BX206" s="935"/>
      <c r="BY206" s="935"/>
      <c r="BZ206" s="935"/>
      <c r="CA206" s="935"/>
      <c r="CB206" s="935"/>
      <c r="CC206" s="935"/>
      <c r="CD206" s="935"/>
      <c r="CE206" s="935"/>
      <c r="CF206" s="935"/>
      <c r="CG206" s="935"/>
      <c r="CH206" s="935"/>
      <c r="CI206" s="935"/>
      <c r="CJ206" s="935"/>
      <c r="CK206" s="935"/>
      <c r="CL206" s="935"/>
      <c r="CM206" s="935"/>
      <c r="CN206" s="935"/>
      <c r="CO206" s="935"/>
      <c r="CP206" s="935"/>
      <c r="CQ206" s="935"/>
      <c r="CR206" s="935"/>
      <c r="CS206" s="935"/>
      <c r="CT206" s="935"/>
      <c r="CU206" s="935"/>
      <c r="CV206" s="935"/>
    </row>
    <row r="207" spans="1:105">
      <c r="A207" s="375">
        <f t="shared" si="71"/>
        <v>8</v>
      </c>
      <c r="B207" s="455">
        <v>44427</v>
      </c>
      <c r="C207" s="493" t="s">
        <v>2001</v>
      </c>
      <c r="D207" s="376" t="str">
        <f>IFERROR(VLOOKUP(E:E,'Item Data Support Sheet'!A:O,7,0),"")</f>
        <v>NIPPLE POSTCURE</v>
      </c>
      <c r="E207" s="447" t="s">
        <v>2485</v>
      </c>
      <c r="F207" s="500"/>
      <c r="G207" s="376"/>
      <c r="H207" s="602" t="str">
        <f>IFERROR(VLOOKUP(E:E,'Item Data Support Sheet'!A:O,2,0),"")</f>
        <v>NIPPLE S TYPE LL SIZE POSTCURED</v>
      </c>
      <c r="I207" s="501" t="s">
        <v>2509</v>
      </c>
      <c r="J207" s="447" t="s">
        <v>2810</v>
      </c>
      <c r="K207" s="438">
        <v>8</v>
      </c>
      <c r="L207" s="499">
        <v>7036</v>
      </c>
      <c r="M207" s="366">
        <f t="shared" si="86"/>
        <v>879.5</v>
      </c>
      <c r="N207" s="367">
        <f t="shared" si="69"/>
        <v>9100</v>
      </c>
      <c r="O207" s="61">
        <v>9100</v>
      </c>
      <c r="P207" s="368">
        <v>0</v>
      </c>
      <c r="Q207" s="369">
        <v>0</v>
      </c>
      <c r="R207" s="370">
        <v>0</v>
      </c>
      <c r="S207" s="370">
        <v>0</v>
      </c>
      <c r="T207" s="370">
        <v>0</v>
      </c>
      <c r="U207" s="370">
        <v>0</v>
      </c>
      <c r="V207" s="450">
        <v>1</v>
      </c>
      <c r="W207" s="453">
        <f t="shared" si="72"/>
        <v>9100</v>
      </c>
      <c r="X207" s="748">
        <f t="shared" si="73"/>
        <v>1.2933484934621944</v>
      </c>
      <c r="Y207" s="451" t="str">
        <f>IFERROR(VLOOKUP(E:E,'Item Data Support Sheet'!A:J,6,0),0)</f>
        <v>FO149</v>
      </c>
      <c r="Z207" s="428">
        <f>IFERROR(VLOOKUP(E:E,'Item Data Support Sheet'!A:O,4,0),0)</f>
        <v>0</v>
      </c>
      <c r="AA207" s="428">
        <f t="shared" si="74"/>
        <v>0</v>
      </c>
      <c r="AB207" s="429" t="str">
        <f t="shared" si="75"/>
        <v xml:space="preserve"> </v>
      </c>
      <c r="AC207" s="424">
        <f t="shared" si="76"/>
        <v>0</v>
      </c>
      <c r="AD207" s="371">
        <f t="shared" si="77"/>
        <v>0</v>
      </c>
      <c r="AE207" s="748">
        <f t="shared" si="78"/>
        <v>1</v>
      </c>
      <c r="AF207" s="417">
        <f t="shared" si="79"/>
        <v>0.66666666666666663</v>
      </c>
      <c r="AG207" s="416">
        <f t="shared" si="80"/>
        <v>7.333333333333333</v>
      </c>
      <c r="AH207" s="372">
        <f t="shared" si="81"/>
        <v>0.91666666666666663</v>
      </c>
      <c r="AI207" s="373">
        <f t="shared" si="82"/>
        <v>1137.5</v>
      </c>
      <c r="AJ207" s="418">
        <f>VLOOKUP(D207,'Standard Cycle time'!C:D,2,0)</f>
        <v>2.2999999999999998</v>
      </c>
      <c r="AK207" s="418">
        <f t="shared" si="83"/>
        <v>2.901098901098901</v>
      </c>
      <c r="AL207" s="374">
        <f t="shared" si="84"/>
        <v>0.79280303030303023</v>
      </c>
      <c r="AM207" s="372">
        <f t="shared" si="85"/>
        <v>0.72673611111111103</v>
      </c>
      <c r="AN207" s="799" t="s">
        <v>2510</v>
      </c>
      <c r="AO207" s="761"/>
      <c r="AP207" s="440">
        <v>40</v>
      </c>
      <c r="AQ207" s="440">
        <v>0</v>
      </c>
      <c r="AR207" s="440">
        <v>0</v>
      </c>
      <c r="AS207" s="440">
        <v>0</v>
      </c>
      <c r="AT207" s="440">
        <v>0</v>
      </c>
      <c r="AU207" s="440">
        <v>0</v>
      </c>
      <c r="AV207" s="440">
        <v>0</v>
      </c>
      <c r="AW207" s="440">
        <v>0</v>
      </c>
      <c r="AX207" s="440">
        <v>0</v>
      </c>
      <c r="AY207" s="440">
        <v>0</v>
      </c>
      <c r="AZ207" s="440">
        <v>0</v>
      </c>
      <c r="BA207" s="440">
        <v>0</v>
      </c>
      <c r="BB207" s="440">
        <v>0</v>
      </c>
      <c r="BC207" s="440">
        <v>0</v>
      </c>
      <c r="BD207" s="440">
        <v>0</v>
      </c>
      <c r="BE207" s="440">
        <v>0</v>
      </c>
      <c r="BF207" s="440">
        <v>0</v>
      </c>
      <c r="BG207" s="440">
        <v>0</v>
      </c>
      <c r="BH207" s="440">
        <v>0</v>
      </c>
      <c r="BI207" s="440">
        <v>0</v>
      </c>
      <c r="BJ207" s="440">
        <v>0</v>
      </c>
      <c r="BK207" s="440">
        <v>0</v>
      </c>
      <c r="BL207" s="440">
        <v>0</v>
      </c>
      <c r="BM207" s="440">
        <v>0</v>
      </c>
      <c r="BN207" s="440">
        <v>0</v>
      </c>
      <c r="BO207" s="440">
        <v>0</v>
      </c>
      <c r="BP207" s="440">
        <v>0</v>
      </c>
      <c r="BQ207" s="440">
        <v>0</v>
      </c>
      <c r="BR207" s="415">
        <f t="shared" si="68"/>
        <v>0.66666666666666663</v>
      </c>
      <c r="BS207" s="415">
        <f t="shared" si="70"/>
        <v>0.6777777777777777</v>
      </c>
      <c r="BT207" s="935"/>
      <c r="BU207" s="935"/>
      <c r="BV207" s="935"/>
      <c r="BW207" s="935"/>
      <c r="BX207" s="935"/>
      <c r="BY207" s="935"/>
      <c r="BZ207" s="935"/>
      <c r="CA207" s="935"/>
      <c r="CB207" s="935"/>
      <c r="CC207" s="935"/>
      <c r="CD207" s="935"/>
      <c r="CE207" s="935"/>
      <c r="CF207" s="935"/>
      <c r="CG207" s="935"/>
      <c r="CH207" s="935"/>
      <c r="CI207" s="935"/>
      <c r="CJ207" s="935"/>
      <c r="CK207" s="935"/>
      <c r="CL207" s="935"/>
      <c r="CM207" s="935"/>
      <c r="CN207" s="935"/>
      <c r="CO207" s="935"/>
      <c r="CP207" s="935"/>
      <c r="CQ207" s="935"/>
      <c r="CR207" s="935"/>
      <c r="CS207" s="935"/>
      <c r="CT207" s="935"/>
      <c r="CU207" s="935"/>
      <c r="CV207" s="935"/>
    </row>
    <row r="208" spans="1:105">
      <c r="A208" s="375">
        <f t="shared" si="71"/>
        <v>8</v>
      </c>
      <c r="B208" s="455">
        <v>44427</v>
      </c>
      <c r="C208" s="493" t="s">
        <v>2001</v>
      </c>
      <c r="D208" s="376" t="str">
        <f>IFERROR(VLOOKUP(E:E,'Item Data Support Sheet'!A:O,7,0),"")</f>
        <v>NIPPLE MOLDED</v>
      </c>
      <c r="E208" s="447" t="s">
        <v>2484</v>
      </c>
      <c r="F208" s="490" t="s">
        <v>1678</v>
      </c>
      <c r="G208" s="376" t="s">
        <v>1691</v>
      </c>
      <c r="H208" s="602" t="str">
        <f>IFERROR(VLOOKUP(E:E,'Item Data Support Sheet'!A:O,2,0),"")</f>
        <v>NIPPLE S TYPE LL SIZE INJECTION</v>
      </c>
      <c r="I208" s="501" t="s">
        <v>2508</v>
      </c>
      <c r="J208" s="447" t="s">
        <v>2810</v>
      </c>
      <c r="K208" s="438">
        <v>8</v>
      </c>
      <c r="L208" s="499">
        <v>4815</v>
      </c>
      <c r="M208" s="366">
        <f t="shared" si="86"/>
        <v>601.875</v>
      </c>
      <c r="N208" s="367">
        <f t="shared" si="69"/>
        <v>5365</v>
      </c>
      <c r="O208" s="61">
        <v>5300</v>
      </c>
      <c r="P208" s="368">
        <v>0</v>
      </c>
      <c r="Q208" s="369">
        <v>0</v>
      </c>
      <c r="R208" s="370">
        <v>0</v>
      </c>
      <c r="S208" s="370">
        <v>0</v>
      </c>
      <c r="T208" s="370">
        <v>65</v>
      </c>
      <c r="U208" s="370">
        <v>0</v>
      </c>
      <c r="V208" s="450">
        <v>1</v>
      </c>
      <c r="W208" s="453">
        <f t="shared" si="72"/>
        <v>5300</v>
      </c>
      <c r="X208" s="748">
        <f t="shared" si="73"/>
        <v>1.1007268951194185</v>
      </c>
      <c r="Y208" s="451" t="str">
        <f>IFERROR(VLOOKUP(E:E,'Item Data Support Sheet'!A:J,6,0),0)</f>
        <v>FO148</v>
      </c>
      <c r="Z208" s="428">
        <f>IFERROR(VLOOKUP(E:E,'Item Data Support Sheet'!A:O,4,0),0)</f>
        <v>6.8</v>
      </c>
      <c r="AA208" s="428">
        <f t="shared" si="74"/>
        <v>36.481999999999999</v>
      </c>
      <c r="AB208" s="429">
        <f t="shared" si="75"/>
        <v>0.9878844361602982</v>
      </c>
      <c r="AC208" s="424">
        <f t="shared" si="76"/>
        <v>1.2115563839701771E-2</v>
      </c>
      <c r="AD208" s="371">
        <f t="shared" si="77"/>
        <v>0</v>
      </c>
      <c r="AE208" s="748">
        <f t="shared" si="78"/>
        <v>0.9878844361602982</v>
      </c>
      <c r="AF208" s="417">
        <f t="shared" si="79"/>
        <v>0</v>
      </c>
      <c r="AG208" s="416">
        <f t="shared" si="80"/>
        <v>8</v>
      </c>
      <c r="AH208" s="372">
        <f t="shared" si="81"/>
        <v>1</v>
      </c>
      <c r="AI208" s="373">
        <f t="shared" si="82"/>
        <v>662.5</v>
      </c>
      <c r="AJ208" s="418">
        <f>VLOOKUP(D208,'Standard Cycle time'!C:D,2,0)</f>
        <v>5.25</v>
      </c>
      <c r="AK208" s="418">
        <f t="shared" si="83"/>
        <v>5.4339622641509431</v>
      </c>
      <c r="AL208" s="374">
        <f t="shared" si="84"/>
        <v>0.96614583333333337</v>
      </c>
      <c r="AM208" s="372">
        <f t="shared" si="85"/>
        <v>0.95444043181112148</v>
      </c>
      <c r="AN208" s="799" t="s">
        <v>2519</v>
      </c>
      <c r="AO208" s="929"/>
      <c r="AP208" s="440">
        <v>0</v>
      </c>
      <c r="AQ208" s="440">
        <v>0</v>
      </c>
      <c r="AR208" s="440">
        <v>0</v>
      </c>
      <c r="AS208" s="440">
        <v>0</v>
      </c>
      <c r="AT208" s="440">
        <v>0</v>
      </c>
      <c r="AU208" s="440">
        <v>0</v>
      </c>
      <c r="AV208" s="440">
        <v>0</v>
      </c>
      <c r="AW208" s="440">
        <v>0</v>
      </c>
      <c r="AX208" s="440">
        <v>0</v>
      </c>
      <c r="AY208" s="440">
        <v>0</v>
      </c>
      <c r="AZ208" s="440">
        <v>0</v>
      </c>
      <c r="BA208" s="440">
        <v>0</v>
      </c>
      <c r="BB208" s="440">
        <v>0</v>
      </c>
      <c r="BC208" s="440">
        <v>0</v>
      </c>
      <c r="BD208" s="440">
        <v>0</v>
      </c>
      <c r="BE208" s="440">
        <v>0</v>
      </c>
      <c r="BF208" s="440">
        <v>0</v>
      </c>
      <c r="BG208" s="440">
        <v>0</v>
      </c>
      <c r="BH208" s="440">
        <v>0</v>
      </c>
      <c r="BI208" s="440">
        <v>0</v>
      </c>
      <c r="BJ208" s="440">
        <v>0</v>
      </c>
      <c r="BK208" s="440">
        <v>0</v>
      </c>
      <c r="BL208" s="440">
        <v>0</v>
      </c>
      <c r="BM208" s="440">
        <v>0</v>
      </c>
      <c r="BN208" s="440">
        <v>0</v>
      </c>
      <c r="BO208" s="440">
        <v>0</v>
      </c>
      <c r="BP208" s="440">
        <v>0</v>
      </c>
      <c r="BQ208" s="440">
        <v>0</v>
      </c>
      <c r="BR208" s="415">
        <f t="shared" si="68"/>
        <v>0</v>
      </c>
      <c r="BS208" s="415">
        <f t="shared" si="70"/>
        <v>0</v>
      </c>
      <c r="BT208" s="935"/>
      <c r="BU208" s="935"/>
      <c r="BV208" s="935"/>
      <c r="BW208" s="935"/>
      <c r="BX208" s="935"/>
      <c r="BY208" s="935"/>
      <c r="BZ208" s="935"/>
      <c r="CA208" s="935"/>
      <c r="CB208" s="935"/>
      <c r="CC208" s="935"/>
      <c r="CD208" s="935"/>
      <c r="CE208" s="935"/>
      <c r="CF208" s="935"/>
      <c r="CG208" s="935"/>
      <c r="CH208" s="935"/>
      <c r="CI208" s="935"/>
      <c r="CJ208" s="935"/>
      <c r="CK208" s="935"/>
      <c r="CL208" s="935"/>
      <c r="CM208" s="935"/>
      <c r="CN208" s="935"/>
      <c r="CO208" s="935"/>
      <c r="CP208" s="935"/>
      <c r="CQ208" s="935"/>
      <c r="CR208" s="935"/>
      <c r="CS208" s="935"/>
      <c r="CT208" s="935"/>
      <c r="CU208" s="935"/>
      <c r="CV208" s="935"/>
    </row>
    <row r="209" spans="1:100">
      <c r="A209" s="375">
        <f t="shared" si="71"/>
        <v>8</v>
      </c>
      <c r="B209" s="455">
        <v>44427</v>
      </c>
      <c r="C209" s="493" t="s">
        <v>2053</v>
      </c>
      <c r="D209" s="376" t="str">
        <f>IFERROR(VLOOKUP(E:E,'Item Data Support Sheet'!A:O,7,0),"")</f>
        <v>NIPPLE MOLDED</v>
      </c>
      <c r="E209" s="447" t="s">
        <v>2484</v>
      </c>
      <c r="F209" s="490" t="s">
        <v>1678</v>
      </c>
      <c r="G209" s="376" t="s">
        <v>1691</v>
      </c>
      <c r="H209" s="602" t="str">
        <f>IFERROR(VLOOKUP(E:E,'Item Data Support Sheet'!A:O,2,0),"")</f>
        <v>NIPPLE S TYPE LL SIZE INJECTION</v>
      </c>
      <c r="I209" s="501" t="s">
        <v>2515</v>
      </c>
      <c r="J209" s="447" t="s">
        <v>2808</v>
      </c>
      <c r="K209" s="438">
        <v>8</v>
      </c>
      <c r="L209" s="499">
        <v>4815</v>
      </c>
      <c r="M209" s="366">
        <f t="shared" si="86"/>
        <v>601.875</v>
      </c>
      <c r="N209" s="367">
        <f t="shared" si="69"/>
        <v>5130</v>
      </c>
      <c r="O209" s="61">
        <v>5000</v>
      </c>
      <c r="P209" s="368">
        <v>0</v>
      </c>
      <c r="Q209" s="369">
        <v>70</v>
      </c>
      <c r="R209" s="370">
        <v>0</v>
      </c>
      <c r="S209" s="370">
        <v>0</v>
      </c>
      <c r="T209" s="370">
        <v>52</v>
      </c>
      <c r="U209" s="370">
        <v>8</v>
      </c>
      <c r="V209" s="450">
        <v>1</v>
      </c>
      <c r="W209" s="453">
        <f t="shared" si="72"/>
        <v>5000</v>
      </c>
      <c r="X209" s="748">
        <f t="shared" si="73"/>
        <v>1.0384215991692627</v>
      </c>
      <c r="Y209" s="451" t="str">
        <f>IFERROR(VLOOKUP(E:E,'Item Data Support Sheet'!A:J,6,0),0)</f>
        <v>FO148</v>
      </c>
      <c r="Z209" s="428">
        <f>IFERROR(VLOOKUP(E:E,'Item Data Support Sheet'!A:O,4,0),0)</f>
        <v>6.8</v>
      </c>
      <c r="AA209" s="428">
        <f t="shared" si="74"/>
        <v>34.884</v>
      </c>
      <c r="AB209" s="429">
        <f t="shared" si="75"/>
        <v>0.97465886939571145</v>
      </c>
      <c r="AC209" s="424">
        <f t="shared" si="76"/>
        <v>1.0292953285827395E-2</v>
      </c>
      <c r="AD209" s="371">
        <f t="shared" si="77"/>
        <v>1.3461538461538462E-2</v>
      </c>
      <c r="AE209" s="748">
        <f t="shared" si="78"/>
        <v>0.98986354775828456</v>
      </c>
      <c r="AF209" s="417">
        <f t="shared" si="79"/>
        <v>0.5</v>
      </c>
      <c r="AG209" s="416">
        <f t="shared" si="80"/>
        <v>7.5</v>
      </c>
      <c r="AH209" s="372">
        <f t="shared" si="81"/>
        <v>0.9375</v>
      </c>
      <c r="AI209" s="373">
        <f t="shared" si="82"/>
        <v>625</v>
      </c>
      <c r="AJ209" s="418">
        <f>VLOOKUP(D209,'Standard Cycle time'!C:D,2,0)</f>
        <v>5.25</v>
      </c>
      <c r="AK209" s="418">
        <f t="shared" si="83"/>
        <v>5.4</v>
      </c>
      <c r="AL209" s="374">
        <f t="shared" si="84"/>
        <v>0.97222222222222221</v>
      </c>
      <c r="AM209" s="372">
        <f t="shared" si="85"/>
        <v>0.90221937946718644</v>
      </c>
      <c r="AN209" s="799">
        <v>2566</v>
      </c>
      <c r="AO209" s="929" t="s">
        <v>2522</v>
      </c>
      <c r="AP209" s="440">
        <v>0</v>
      </c>
      <c r="AQ209" s="440">
        <v>0</v>
      </c>
      <c r="AR209" s="440">
        <v>0</v>
      </c>
      <c r="AS209" s="440">
        <v>0</v>
      </c>
      <c r="AT209" s="440">
        <v>0</v>
      </c>
      <c r="AU209" s="440">
        <v>30</v>
      </c>
      <c r="AV209" s="440">
        <v>0</v>
      </c>
      <c r="AW209" s="440">
        <v>0</v>
      </c>
      <c r="AX209" s="440">
        <v>0</v>
      </c>
      <c r="AY209" s="440">
        <v>0</v>
      </c>
      <c r="AZ209" s="440">
        <v>0</v>
      </c>
      <c r="BA209" s="440">
        <v>0</v>
      </c>
      <c r="BB209" s="440">
        <v>0</v>
      </c>
      <c r="BC209" s="440">
        <v>0</v>
      </c>
      <c r="BD209" s="440">
        <v>0</v>
      </c>
      <c r="BE209" s="440">
        <v>0</v>
      </c>
      <c r="BF209" s="440">
        <v>0</v>
      </c>
      <c r="BG209" s="440">
        <v>0</v>
      </c>
      <c r="BH209" s="440">
        <v>0</v>
      </c>
      <c r="BI209" s="440">
        <v>0</v>
      </c>
      <c r="BJ209" s="440">
        <v>0</v>
      </c>
      <c r="BK209" s="440">
        <v>0</v>
      </c>
      <c r="BL209" s="440">
        <v>0</v>
      </c>
      <c r="BM209" s="440">
        <v>0</v>
      </c>
      <c r="BN209" s="440">
        <v>0</v>
      </c>
      <c r="BO209" s="440">
        <v>0</v>
      </c>
      <c r="BP209" s="440">
        <v>0</v>
      </c>
      <c r="BQ209" s="440">
        <v>0</v>
      </c>
      <c r="BR209" s="415">
        <f t="shared" si="68"/>
        <v>0.5</v>
      </c>
      <c r="BS209" s="415">
        <f t="shared" si="70"/>
        <v>0.5083333333333333</v>
      </c>
      <c r="BT209" s="935"/>
      <c r="BU209" s="935"/>
      <c r="BV209" s="935"/>
      <c r="BW209" s="935"/>
      <c r="BX209" s="935"/>
      <c r="BY209" s="935"/>
      <c r="BZ209" s="935"/>
      <c r="CA209" s="935"/>
      <c r="CB209" s="935"/>
      <c r="CC209" s="935"/>
      <c r="CD209" s="935"/>
      <c r="CE209" s="935"/>
      <c r="CF209" s="935"/>
      <c r="CG209" s="935"/>
      <c r="CH209" s="935"/>
      <c r="CI209" s="935"/>
      <c r="CJ209" s="935"/>
      <c r="CK209" s="935"/>
      <c r="CL209" s="935"/>
      <c r="CM209" s="935"/>
      <c r="CN209" s="935"/>
      <c r="CO209" s="935"/>
      <c r="CP209" s="935"/>
      <c r="CQ209" s="935"/>
      <c r="CR209" s="935"/>
      <c r="CS209" s="935"/>
      <c r="CT209" s="935"/>
      <c r="CU209" s="935"/>
      <c r="CV209" s="935"/>
    </row>
    <row r="210" spans="1:100">
      <c r="A210" s="375">
        <f t="shared" si="71"/>
        <v>8</v>
      </c>
      <c r="B210" s="455">
        <v>44427</v>
      </c>
      <c r="C210" s="493" t="s">
        <v>2053</v>
      </c>
      <c r="D210" s="376" t="str">
        <f>IFERROR(VLOOKUP(E:E,'Item Data Support Sheet'!A:O,7,0),"")</f>
        <v>BOTTLE MOLDED</v>
      </c>
      <c r="E210" s="447" t="s">
        <v>14</v>
      </c>
      <c r="F210" s="500" t="s">
        <v>1681</v>
      </c>
      <c r="G210" s="376" t="s">
        <v>1888</v>
      </c>
      <c r="H210" s="602" t="str">
        <f>IFERROR(VLOOKUP(E:E,'Item Data Support Sheet'!A:O,2,0),"")</f>
        <v>KPP 240 ML BOTTLE MOLDED</v>
      </c>
      <c r="I210" s="501" t="s">
        <v>2516</v>
      </c>
      <c r="J210" s="447" t="s">
        <v>2808</v>
      </c>
      <c r="K210" s="438">
        <v>8</v>
      </c>
      <c r="L210" s="499">
        <v>2574</v>
      </c>
      <c r="M210" s="366">
        <f t="shared" si="86"/>
        <v>321.75</v>
      </c>
      <c r="N210" s="367">
        <f t="shared" si="69"/>
        <v>3252</v>
      </c>
      <c r="O210" s="61">
        <f>29*108</f>
        <v>3132</v>
      </c>
      <c r="P210" s="368">
        <v>0</v>
      </c>
      <c r="Q210" s="369">
        <v>57</v>
      </c>
      <c r="R210" s="370">
        <v>0</v>
      </c>
      <c r="S210" s="370">
        <v>0</v>
      </c>
      <c r="T210" s="370">
        <v>55</v>
      </c>
      <c r="U210" s="370">
        <v>8</v>
      </c>
      <c r="V210" s="450">
        <v>1</v>
      </c>
      <c r="W210" s="453">
        <f t="shared" si="72"/>
        <v>3132</v>
      </c>
      <c r="X210" s="748">
        <f t="shared" si="73"/>
        <v>1.2167832167832169</v>
      </c>
      <c r="Y210" s="451" t="str">
        <f>IFERROR(VLOOKUP(E:E,'Item Data Support Sheet'!A:J,6,0),0)</f>
        <v>HMC</v>
      </c>
      <c r="Z210" s="428">
        <f>IFERROR(VLOOKUP(E:E,'Item Data Support Sheet'!A:O,4,0),0)</f>
        <v>32.1</v>
      </c>
      <c r="AA210" s="428">
        <f t="shared" si="74"/>
        <v>104.38920000000002</v>
      </c>
      <c r="AB210" s="429">
        <f t="shared" si="75"/>
        <v>0.96309963099630991</v>
      </c>
      <c r="AC210" s="424">
        <f t="shared" si="76"/>
        <v>1.7257609036711641E-2</v>
      </c>
      <c r="AD210" s="371">
        <f t="shared" si="77"/>
        <v>1.7225747960108794E-2</v>
      </c>
      <c r="AE210" s="748">
        <f t="shared" si="78"/>
        <v>0.98308733087330868</v>
      </c>
      <c r="AF210" s="417">
        <f t="shared" si="79"/>
        <v>0</v>
      </c>
      <c r="AG210" s="416">
        <f t="shared" si="80"/>
        <v>8</v>
      </c>
      <c r="AH210" s="372">
        <f t="shared" si="81"/>
        <v>1</v>
      </c>
      <c r="AI210" s="373">
        <f t="shared" si="82"/>
        <v>391.5</v>
      </c>
      <c r="AJ210" s="418">
        <f>VLOOKUP(D210,'Standard Cycle time'!C:D,2,0)</f>
        <v>9</v>
      </c>
      <c r="AK210" s="418">
        <f t="shared" si="83"/>
        <v>9.1954022988505741</v>
      </c>
      <c r="AL210" s="374">
        <f t="shared" si="84"/>
        <v>0.97875000000000001</v>
      </c>
      <c r="AM210" s="372">
        <f t="shared" si="85"/>
        <v>0.96219672509225085</v>
      </c>
      <c r="AN210" s="799" t="s">
        <v>2524</v>
      </c>
      <c r="AO210" s="761" t="s">
        <v>2523</v>
      </c>
      <c r="AP210" s="440">
        <v>0</v>
      </c>
      <c r="AQ210" s="440">
        <v>0</v>
      </c>
      <c r="AR210" s="440">
        <v>0</v>
      </c>
      <c r="AS210" s="440">
        <v>0</v>
      </c>
      <c r="AT210" s="440">
        <v>0</v>
      </c>
      <c r="AU210" s="440">
        <v>0</v>
      </c>
      <c r="AV210" s="440">
        <v>0</v>
      </c>
      <c r="AW210" s="440">
        <v>0</v>
      </c>
      <c r="AX210" s="440">
        <v>0</v>
      </c>
      <c r="AY210" s="440">
        <v>0</v>
      </c>
      <c r="AZ210" s="440">
        <v>0</v>
      </c>
      <c r="BA210" s="440">
        <v>0</v>
      </c>
      <c r="BB210" s="440">
        <v>0</v>
      </c>
      <c r="BC210" s="440">
        <v>0</v>
      </c>
      <c r="BD210" s="440">
        <v>0</v>
      </c>
      <c r="BE210" s="440">
        <v>0</v>
      </c>
      <c r="BF210" s="440">
        <v>0</v>
      </c>
      <c r="BG210" s="440">
        <v>0</v>
      </c>
      <c r="BH210" s="440">
        <v>0</v>
      </c>
      <c r="BI210" s="440">
        <v>0</v>
      </c>
      <c r="BJ210" s="440">
        <v>0</v>
      </c>
      <c r="BK210" s="440">
        <v>0</v>
      </c>
      <c r="BL210" s="440">
        <v>0</v>
      </c>
      <c r="BM210" s="440">
        <v>0</v>
      </c>
      <c r="BN210" s="440">
        <v>0</v>
      </c>
      <c r="BO210" s="440">
        <v>0</v>
      </c>
      <c r="BP210" s="440">
        <v>0</v>
      </c>
      <c r="BQ210" s="440">
        <v>0</v>
      </c>
      <c r="BR210" s="415">
        <f t="shared" si="68"/>
        <v>0</v>
      </c>
      <c r="BS210" s="415">
        <f t="shared" si="70"/>
        <v>0</v>
      </c>
      <c r="BT210" s="935"/>
      <c r="BU210" s="935"/>
      <c r="BV210" s="935"/>
      <c r="BW210" s="935"/>
      <c r="BX210" s="935"/>
      <c r="BY210" s="935"/>
      <c r="BZ210" s="935"/>
      <c r="CA210" s="935"/>
      <c r="CB210" s="935"/>
      <c r="CC210" s="935"/>
      <c r="CD210" s="935"/>
      <c r="CE210" s="935"/>
      <c r="CF210" s="935"/>
      <c r="CG210" s="935"/>
      <c r="CH210" s="935"/>
      <c r="CI210" s="935"/>
      <c r="CJ210" s="935"/>
      <c r="CK210" s="935"/>
      <c r="CL210" s="935"/>
      <c r="CM210" s="935"/>
      <c r="CN210" s="935"/>
      <c r="CO210" s="935"/>
      <c r="CP210" s="935"/>
      <c r="CQ210" s="935"/>
      <c r="CR210" s="935"/>
      <c r="CS210" s="935"/>
      <c r="CT210" s="935"/>
      <c r="CU210" s="935"/>
      <c r="CV210" s="935"/>
    </row>
    <row r="211" spans="1:100" ht="15" customHeight="1">
      <c r="A211" s="375">
        <f t="shared" si="71"/>
        <v>8</v>
      </c>
      <c r="B211" s="455">
        <v>44427</v>
      </c>
      <c r="C211" s="493" t="s">
        <v>2053</v>
      </c>
      <c r="D211" s="376" t="str">
        <f>IFERROR(VLOOKUP(E:E,'Item Data Support Sheet'!A:O,7,0),"")</f>
        <v>HOOD MOLDED</v>
      </c>
      <c r="E211" s="447" t="s">
        <v>1987</v>
      </c>
      <c r="F211" s="500"/>
      <c r="G211" s="376" t="s">
        <v>2220</v>
      </c>
      <c r="H211" s="602" t="str">
        <f>IFERROR(VLOOKUP(E:E,'Item Data Support Sheet'!A:O,2,0),"")</f>
        <v>HOOD S TYPE MOLDED</v>
      </c>
      <c r="I211" s="501" t="s">
        <v>2517</v>
      </c>
      <c r="J211" s="447" t="s">
        <v>2808</v>
      </c>
      <c r="K211" s="438">
        <v>8</v>
      </c>
      <c r="L211" s="499">
        <v>4137</v>
      </c>
      <c r="M211" s="366">
        <f t="shared" si="86"/>
        <v>517.125</v>
      </c>
      <c r="N211" s="367">
        <f t="shared" si="69"/>
        <v>5466</v>
      </c>
      <c r="O211" s="61">
        <v>5000</v>
      </c>
      <c r="P211" s="368">
        <v>1.8</v>
      </c>
      <c r="Q211" s="369">
        <v>403</v>
      </c>
      <c r="R211" s="370">
        <v>0</v>
      </c>
      <c r="S211" s="370">
        <v>0</v>
      </c>
      <c r="T211" s="370">
        <v>55</v>
      </c>
      <c r="U211" s="370">
        <v>8</v>
      </c>
      <c r="V211" s="450">
        <v>1</v>
      </c>
      <c r="W211" s="453">
        <f t="shared" si="72"/>
        <v>5000</v>
      </c>
      <c r="X211" s="748">
        <f t="shared" si="73"/>
        <v>1.2086052695189751</v>
      </c>
      <c r="Y211" s="451" t="str">
        <f>IFERROR(VLOOKUP(E:E,'Item Data Support Sheet'!A:J,6,0),0)</f>
        <v>HMC</v>
      </c>
      <c r="Z211" s="428">
        <f>IFERROR(VLOOKUP(E:E,'Item Data Support Sheet'!A:O,4,0),0)</f>
        <v>8.6</v>
      </c>
      <c r="AA211" s="428">
        <f t="shared" si="74"/>
        <v>48.807599999999994</v>
      </c>
      <c r="AB211" s="429">
        <f t="shared" si="75"/>
        <v>0.88101033445610943</v>
      </c>
      <c r="AC211" s="424">
        <f t="shared" si="76"/>
        <v>1.0880316518298714E-2</v>
      </c>
      <c r="AD211" s="371">
        <f t="shared" si="77"/>
        <v>6.8665871528369393E-2</v>
      </c>
      <c r="AE211" s="748">
        <f t="shared" si="78"/>
        <v>0.98993779729235276</v>
      </c>
      <c r="AF211" s="417">
        <f t="shared" si="79"/>
        <v>0</v>
      </c>
      <c r="AG211" s="416">
        <f t="shared" si="80"/>
        <v>8</v>
      </c>
      <c r="AH211" s="372">
        <f t="shared" si="81"/>
        <v>1</v>
      </c>
      <c r="AI211" s="373">
        <f t="shared" si="82"/>
        <v>625</v>
      </c>
      <c r="AJ211" s="418">
        <f>VLOOKUP(D211,'Standard Cycle time'!C:D,2,0)</f>
        <v>6</v>
      </c>
      <c r="AK211" s="418">
        <f t="shared" si="83"/>
        <v>5.76</v>
      </c>
      <c r="AL211" s="374">
        <f t="shared" si="84"/>
        <v>1.0416666666666667</v>
      </c>
      <c r="AM211" s="372">
        <f t="shared" si="85"/>
        <v>1.0311852055128676</v>
      </c>
      <c r="AN211" s="799">
        <v>2565</v>
      </c>
      <c r="AO211" s="761" t="s">
        <v>2521</v>
      </c>
      <c r="AP211" s="440">
        <v>0</v>
      </c>
      <c r="AQ211" s="440">
        <v>0</v>
      </c>
      <c r="AR211" s="440">
        <v>0</v>
      </c>
      <c r="AS211" s="440">
        <v>0</v>
      </c>
      <c r="AT211" s="440">
        <v>0</v>
      </c>
      <c r="AU211" s="440">
        <v>0</v>
      </c>
      <c r="AV211" s="440">
        <v>0</v>
      </c>
      <c r="AW211" s="440">
        <v>0</v>
      </c>
      <c r="AX211" s="440">
        <v>0</v>
      </c>
      <c r="AY211" s="440">
        <v>0</v>
      </c>
      <c r="AZ211" s="440">
        <v>0</v>
      </c>
      <c r="BA211" s="440">
        <v>0</v>
      </c>
      <c r="BB211" s="440">
        <v>0</v>
      </c>
      <c r="BC211" s="440">
        <v>0</v>
      </c>
      <c r="BD211" s="440">
        <v>0</v>
      </c>
      <c r="BE211" s="440">
        <v>0</v>
      </c>
      <c r="BF211" s="440">
        <v>0</v>
      </c>
      <c r="BG211" s="440">
        <v>0</v>
      </c>
      <c r="BH211" s="440">
        <v>0</v>
      </c>
      <c r="BI211" s="440">
        <v>0</v>
      </c>
      <c r="BJ211" s="440">
        <v>0</v>
      </c>
      <c r="BK211" s="440">
        <v>0</v>
      </c>
      <c r="BL211" s="440">
        <v>0</v>
      </c>
      <c r="BM211" s="440">
        <v>0</v>
      </c>
      <c r="BN211" s="440">
        <v>0</v>
      </c>
      <c r="BO211" s="440">
        <v>0</v>
      </c>
      <c r="BP211" s="440">
        <v>0</v>
      </c>
      <c r="BQ211" s="440">
        <v>0</v>
      </c>
      <c r="BR211" s="415">
        <f t="shared" si="68"/>
        <v>0</v>
      </c>
      <c r="BS211" s="415">
        <f t="shared" si="70"/>
        <v>0</v>
      </c>
      <c r="BT211" s="935"/>
      <c r="BU211" s="935"/>
      <c r="BV211" s="935"/>
      <c r="BW211" s="935"/>
      <c r="BX211" s="935"/>
      <c r="BY211" s="935"/>
      <c r="BZ211" s="935"/>
      <c r="CA211" s="935"/>
      <c r="CB211" s="935"/>
      <c r="CC211" s="935"/>
      <c r="CD211" s="935"/>
      <c r="CE211" s="935"/>
      <c r="CF211" s="935"/>
      <c r="CG211" s="935"/>
      <c r="CH211" s="935"/>
      <c r="CI211" s="935"/>
      <c r="CJ211" s="935"/>
      <c r="CK211" s="935"/>
      <c r="CL211" s="935"/>
      <c r="CM211" s="935"/>
      <c r="CN211" s="935"/>
      <c r="CO211" s="935"/>
      <c r="CP211" s="935"/>
      <c r="CQ211" s="935"/>
      <c r="CR211" s="935"/>
      <c r="CS211" s="935"/>
      <c r="CT211" s="935"/>
      <c r="CU211" s="935"/>
      <c r="CV211" s="935"/>
    </row>
    <row r="212" spans="1:100" ht="16.399999999999999" customHeight="1">
      <c r="A212" s="375">
        <f t="shared" si="71"/>
        <v>8</v>
      </c>
      <c r="B212" s="455">
        <v>44427</v>
      </c>
      <c r="C212" s="493" t="s">
        <v>2053</v>
      </c>
      <c r="D212" s="376" t="str">
        <f>IFERROR(VLOOKUP(E:E,'Item Data Support Sheet'!A:O,7,0),"")</f>
        <v>NIPPLE POSTCURE</v>
      </c>
      <c r="E212" s="447" t="s">
        <v>2485</v>
      </c>
      <c r="F212" s="500"/>
      <c r="G212" s="376" t="s">
        <v>1705</v>
      </c>
      <c r="H212" s="602" t="str">
        <f>IFERROR(VLOOKUP(E:E,'Item Data Support Sheet'!A:O,2,0),"")</f>
        <v>NIPPLE S TYPE LL SIZE POSTCURED</v>
      </c>
      <c r="I212" s="501" t="s">
        <v>2518</v>
      </c>
      <c r="J212" s="447" t="s">
        <v>2808</v>
      </c>
      <c r="K212" s="438">
        <v>6</v>
      </c>
      <c r="L212" s="499">
        <v>7036</v>
      </c>
      <c r="M212" s="366">
        <f t="shared" si="86"/>
        <v>1172.6666666666667</v>
      </c>
      <c r="N212" s="367">
        <f t="shared" si="69"/>
        <v>7300</v>
      </c>
      <c r="O212" s="61">
        <f>5300+2000</f>
        <v>7300</v>
      </c>
      <c r="P212" s="368">
        <v>0</v>
      </c>
      <c r="Q212" s="369">
        <v>0</v>
      </c>
      <c r="R212" s="370">
        <v>0</v>
      </c>
      <c r="S212" s="370">
        <v>0</v>
      </c>
      <c r="T212" s="370">
        <v>0</v>
      </c>
      <c r="U212" s="370">
        <v>0</v>
      </c>
      <c r="V212" s="450">
        <v>1</v>
      </c>
      <c r="W212" s="453">
        <f t="shared" si="72"/>
        <v>7300</v>
      </c>
      <c r="X212" s="748">
        <f t="shared" si="73"/>
        <v>1.0375213189312109</v>
      </c>
      <c r="Y212" s="451" t="str">
        <f>IFERROR(VLOOKUP(E:E,'Item Data Support Sheet'!A:J,6,0),0)</f>
        <v>FO149</v>
      </c>
      <c r="Z212" s="428">
        <f>IFERROR(VLOOKUP(E:E,'Item Data Support Sheet'!A:O,4,0),0)</f>
        <v>0</v>
      </c>
      <c r="AA212" s="428">
        <f t="shared" si="74"/>
        <v>0</v>
      </c>
      <c r="AB212" s="429" t="str">
        <f t="shared" si="75"/>
        <v xml:space="preserve"> </v>
      </c>
      <c r="AC212" s="424">
        <f t="shared" si="76"/>
        <v>0</v>
      </c>
      <c r="AD212" s="371">
        <f t="shared" si="77"/>
        <v>0</v>
      </c>
      <c r="AE212" s="748">
        <f t="shared" si="78"/>
        <v>1</v>
      </c>
      <c r="AF212" s="417">
        <f t="shared" si="79"/>
        <v>0.66666666666666663</v>
      </c>
      <c r="AG212" s="416">
        <f t="shared" si="80"/>
        <v>5.333333333333333</v>
      </c>
      <c r="AH212" s="372">
        <f t="shared" si="81"/>
        <v>0.88888888888888884</v>
      </c>
      <c r="AI212" s="373">
        <f t="shared" si="82"/>
        <v>1216.6666666666667</v>
      </c>
      <c r="AJ212" s="418">
        <f>VLOOKUP(D212,'Standard Cycle time'!C:D,2,0)</f>
        <v>2.2999999999999998</v>
      </c>
      <c r="AK212" s="418">
        <f t="shared" si="83"/>
        <v>2.6301369863013697</v>
      </c>
      <c r="AL212" s="374">
        <f t="shared" si="84"/>
        <v>0.8744791666666667</v>
      </c>
      <c r="AM212" s="372">
        <f t="shared" si="85"/>
        <v>0.77731481481481479</v>
      </c>
      <c r="AN212" s="799" t="s">
        <v>2555</v>
      </c>
      <c r="AO212" s="929" t="s">
        <v>2520</v>
      </c>
      <c r="AP212" s="440">
        <v>40</v>
      </c>
      <c r="AQ212" s="440">
        <v>0</v>
      </c>
      <c r="AR212" s="440">
        <v>0</v>
      </c>
      <c r="AS212" s="440">
        <v>0</v>
      </c>
      <c r="AT212" s="440">
        <v>0</v>
      </c>
      <c r="AU212" s="440">
        <v>0</v>
      </c>
      <c r="AV212" s="440">
        <v>0</v>
      </c>
      <c r="AW212" s="440">
        <v>0</v>
      </c>
      <c r="AX212" s="440">
        <v>0</v>
      </c>
      <c r="AY212" s="440">
        <v>0</v>
      </c>
      <c r="AZ212" s="440">
        <v>0</v>
      </c>
      <c r="BA212" s="440">
        <v>0</v>
      </c>
      <c r="BB212" s="440">
        <v>0</v>
      </c>
      <c r="BC212" s="440">
        <v>0</v>
      </c>
      <c r="BD212" s="440">
        <v>0</v>
      </c>
      <c r="BE212" s="440">
        <v>0</v>
      </c>
      <c r="BF212" s="440">
        <v>0</v>
      </c>
      <c r="BG212" s="440">
        <v>0</v>
      </c>
      <c r="BH212" s="440">
        <v>0</v>
      </c>
      <c r="BI212" s="440">
        <v>0</v>
      </c>
      <c r="BJ212" s="440">
        <v>0</v>
      </c>
      <c r="BK212" s="440">
        <v>0</v>
      </c>
      <c r="BL212" s="440">
        <v>0</v>
      </c>
      <c r="BM212" s="440">
        <v>0</v>
      </c>
      <c r="BN212" s="440">
        <v>0</v>
      </c>
      <c r="BO212" s="440">
        <v>0</v>
      </c>
      <c r="BP212" s="440">
        <v>0</v>
      </c>
      <c r="BQ212" s="440">
        <v>0</v>
      </c>
      <c r="BR212" s="415">
        <f t="shared" si="68"/>
        <v>0.66666666666666663</v>
      </c>
      <c r="BS212" s="415">
        <f t="shared" si="70"/>
        <v>0.6777777777777777</v>
      </c>
      <c r="BT212" s="935"/>
      <c r="BU212" s="935"/>
      <c r="BV212" s="935"/>
      <c r="BW212" s="935"/>
      <c r="BX212" s="935"/>
      <c r="BY212" s="935"/>
      <c r="BZ212" s="935"/>
      <c r="CA212" s="935"/>
      <c r="CB212" s="935"/>
      <c r="CC212" s="935"/>
      <c r="CD212" s="935"/>
      <c r="CE212" s="935"/>
      <c r="CF212" s="935"/>
      <c r="CG212" s="935"/>
      <c r="CH212" s="935"/>
      <c r="CI212" s="935"/>
      <c r="CJ212" s="935"/>
      <c r="CK212" s="935"/>
      <c r="CL212" s="935"/>
      <c r="CM212" s="935"/>
      <c r="CN212" s="935"/>
      <c r="CO212" s="935"/>
      <c r="CP212" s="935"/>
      <c r="CQ212" s="935"/>
      <c r="CR212" s="935"/>
      <c r="CS212" s="935"/>
      <c r="CT212" s="935"/>
      <c r="CU212" s="935"/>
      <c r="CV212" s="935"/>
    </row>
    <row r="213" spans="1:100" s="441" customFormat="1" ht="16.399999999999999" customHeight="1">
      <c r="A213" s="375">
        <f t="shared" si="71"/>
        <v>8</v>
      </c>
      <c r="B213" s="455">
        <v>44428</v>
      </c>
      <c r="C213" s="493" t="s">
        <v>1980</v>
      </c>
      <c r="D213" s="376" t="str">
        <f>IFERROR(VLOOKUP(E:E,'Item Data Support Sheet'!A:O,7,0),"")</f>
        <v>BOTTLE MOLDED</v>
      </c>
      <c r="E213" s="447" t="s">
        <v>14</v>
      </c>
      <c r="F213" s="500" t="s">
        <v>1681</v>
      </c>
      <c r="G213" s="376" t="s">
        <v>1888</v>
      </c>
      <c r="H213" s="602" t="str">
        <f>IFERROR(VLOOKUP(E:E,'Item Data Support Sheet'!A:O,2,0),"")</f>
        <v>KPP 240 ML BOTTLE MOLDED</v>
      </c>
      <c r="I213" s="501" t="s">
        <v>2525</v>
      </c>
      <c r="J213" s="447" t="s">
        <v>2812</v>
      </c>
      <c r="K213" s="438">
        <v>8</v>
      </c>
      <c r="L213" s="499">
        <v>2574</v>
      </c>
      <c r="M213" s="366">
        <f t="shared" si="86"/>
        <v>321.75</v>
      </c>
      <c r="N213" s="367">
        <f t="shared" si="69"/>
        <v>2943</v>
      </c>
      <c r="O213" s="61">
        <v>2808</v>
      </c>
      <c r="P213" s="368">
        <v>0</v>
      </c>
      <c r="Q213" s="369">
        <v>60</v>
      </c>
      <c r="R213" s="370">
        <v>0</v>
      </c>
      <c r="S213" s="370">
        <v>0</v>
      </c>
      <c r="T213" s="370">
        <v>67</v>
      </c>
      <c r="U213" s="370">
        <v>8</v>
      </c>
      <c r="V213" s="450">
        <v>1</v>
      </c>
      <c r="W213" s="453">
        <f t="shared" si="72"/>
        <v>2808</v>
      </c>
      <c r="X213" s="748">
        <f t="shared" si="73"/>
        <v>1.0909090909090908</v>
      </c>
      <c r="Y213" s="451" t="str">
        <f>IFERROR(VLOOKUP(E:E,'Item Data Support Sheet'!A:J,6,0),0)</f>
        <v>HMC</v>
      </c>
      <c r="Z213" s="428">
        <f>IFERROR(VLOOKUP(E:E,'Item Data Support Sheet'!A:O,4,0),0)</f>
        <v>32.1</v>
      </c>
      <c r="AA213" s="428">
        <f t="shared" si="74"/>
        <v>94.470300000000009</v>
      </c>
      <c r="AB213" s="429">
        <f t="shared" si="75"/>
        <v>0.95412844036697242</v>
      </c>
      <c r="AC213" s="424">
        <f t="shared" si="76"/>
        <v>2.3304347826086955E-2</v>
      </c>
      <c r="AD213" s="371">
        <f t="shared" si="77"/>
        <v>1.998001998001998E-2</v>
      </c>
      <c r="AE213" s="748">
        <f t="shared" si="78"/>
        <v>0.97723411484879374</v>
      </c>
      <c r="AF213" s="417">
        <f t="shared" si="79"/>
        <v>0</v>
      </c>
      <c r="AG213" s="416">
        <f t="shared" si="80"/>
        <v>8</v>
      </c>
      <c r="AH213" s="372">
        <f t="shared" si="81"/>
        <v>1</v>
      </c>
      <c r="AI213" s="373">
        <f t="shared" si="82"/>
        <v>351</v>
      </c>
      <c r="AJ213" s="418">
        <f>VLOOKUP(D213,'Standard Cycle time'!C:D,2,0)</f>
        <v>9</v>
      </c>
      <c r="AK213" s="418">
        <f t="shared" si="83"/>
        <v>10.256410256410257</v>
      </c>
      <c r="AL213" s="374">
        <f t="shared" si="84"/>
        <v>0.87749999999999995</v>
      </c>
      <c r="AM213" s="372">
        <f t="shared" si="85"/>
        <v>0.85752293577981642</v>
      </c>
      <c r="AN213" s="799">
        <v>2573</v>
      </c>
      <c r="AO213" s="827" t="s">
        <v>2532</v>
      </c>
      <c r="AP213" s="440">
        <v>0</v>
      </c>
      <c r="AQ213" s="440">
        <v>0</v>
      </c>
      <c r="AR213" s="440">
        <v>0</v>
      </c>
      <c r="AS213" s="440">
        <v>0</v>
      </c>
      <c r="AT213" s="440">
        <v>0</v>
      </c>
      <c r="AU213" s="440">
        <v>0</v>
      </c>
      <c r="AV213" s="440">
        <v>0</v>
      </c>
      <c r="AW213" s="440">
        <v>0</v>
      </c>
      <c r="AX213" s="440">
        <v>0</v>
      </c>
      <c r="AY213" s="440">
        <v>0</v>
      </c>
      <c r="AZ213" s="440">
        <v>0</v>
      </c>
      <c r="BA213" s="440">
        <v>0</v>
      </c>
      <c r="BB213" s="440">
        <v>0</v>
      </c>
      <c r="BC213" s="440">
        <v>0</v>
      </c>
      <c r="BD213" s="440">
        <v>0</v>
      </c>
      <c r="BE213" s="440">
        <v>0</v>
      </c>
      <c r="BF213" s="440">
        <v>0</v>
      </c>
      <c r="BG213" s="440">
        <v>0</v>
      </c>
      <c r="BH213" s="440">
        <v>0</v>
      </c>
      <c r="BI213" s="440">
        <v>0</v>
      </c>
      <c r="BJ213" s="440">
        <v>0</v>
      </c>
      <c r="BK213" s="440">
        <v>0</v>
      </c>
      <c r="BL213" s="440">
        <v>0</v>
      </c>
      <c r="BM213" s="440">
        <v>0</v>
      </c>
      <c r="BN213" s="440">
        <v>0</v>
      </c>
      <c r="BO213" s="440">
        <v>0</v>
      </c>
      <c r="BP213" s="440">
        <v>0</v>
      </c>
      <c r="BQ213" s="440">
        <v>0</v>
      </c>
      <c r="BR213" s="415">
        <f t="shared" si="68"/>
        <v>0</v>
      </c>
      <c r="BS213" s="415">
        <f t="shared" si="70"/>
        <v>0</v>
      </c>
      <c r="BT213" s="935"/>
      <c r="BU213" s="935"/>
      <c r="BV213" s="935"/>
      <c r="BW213" s="935"/>
      <c r="BX213" s="935"/>
      <c r="BY213" s="935"/>
      <c r="BZ213" s="935"/>
      <c r="CA213" s="935"/>
      <c r="CB213" s="935"/>
      <c r="CC213" s="935"/>
      <c r="CD213" s="935"/>
      <c r="CE213" s="935"/>
      <c r="CF213" s="935"/>
      <c r="CG213" s="935"/>
      <c r="CH213" s="935"/>
      <c r="CI213" s="935"/>
      <c r="CJ213" s="935"/>
      <c r="CK213" s="935"/>
      <c r="CL213" s="935"/>
      <c r="CM213" s="935"/>
      <c r="CN213" s="935"/>
      <c r="CO213" s="935"/>
      <c r="CP213" s="935"/>
      <c r="CQ213" s="935"/>
      <c r="CR213" s="935"/>
      <c r="CS213" s="935"/>
      <c r="CT213" s="935"/>
      <c r="CU213" s="935"/>
      <c r="CV213" s="935"/>
    </row>
    <row r="214" spans="1:100" s="441" customFormat="1" ht="16.399999999999999" customHeight="1">
      <c r="A214" s="375">
        <f t="shared" si="71"/>
        <v>8</v>
      </c>
      <c r="B214" s="455">
        <v>44428</v>
      </c>
      <c r="C214" s="493" t="s">
        <v>1980</v>
      </c>
      <c r="D214" s="376" t="str">
        <f>IFERROR(VLOOKUP(E:E,'Item Data Support Sheet'!A:O,7,0),"")</f>
        <v>NIPPLE MOLDED</v>
      </c>
      <c r="E214" s="447" t="s">
        <v>2484</v>
      </c>
      <c r="F214" s="500" t="s">
        <v>1678</v>
      </c>
      <c r="G214" s="376" t="s">
        <v>1691</v>
      </c>
      <c r="H214" s="602" t="str">
        <f>IFERROR(VLOOKUP(E:E,'Item Data Support Sheet'!A:O,2,0),"")</f>
        <v>NIPPLE S TYPE LL SIZE INJECTION</v>
      </c>
      <c r="I214" s="501" t="s">
        <v>2526</v>
      </c>
      <c r="J214" s="447" t="s">
        <v>2812</v>
      </c>
      <c r="K214" s="438">
        <v>8</v>
      </c>
      <c r="L214" s="499">
        <v>4815</v>
      </c>
      <c r="M214" s="366">
        <f t="shared" si="86"/>
        <v>601.875</v>
      </c>
      <c r="N214" s="367">
        <f t="shared" si="69"/>
        <v>3973</v>
      </c>
      <c r="O214" s="61">
        <v>3600</v>
      </c>
      <c r="P214" s="368">
        <v>0</v>
      </c>
      <c r="Q214" s="369">
        <v>265</v>
      </c>
      <c r="R214" s="370">
        <v>0</v>
      </c>
      <c r="S214" s="370">
        <v>0</v>
      </c>
      <c r="T214" s="370">
        <v>100</v>
      </c>
      <c r="U214" s="370">
        <v>8</v>
      </c>
      <c r="V214" s="450">
        <v>1</v>
      </c>
      <c r="W214" s="453">
        <f t="shared" si="72"/>
        <v>3600</v>
      </c>
      <c r="X214" s="748">
        <f t="shared" si="73"/>
        <v>0.74766355140186913</v>
      </c>
      <c r="Y214" s="451" t="str">
        <f>IFERROR(VLOOKUP(E:E,'Item Data Support Sheet'!A:J,6,0),0)</f>
        <v>FO148</v>
      </c>
      <c r="Z214" s="428">
        <f>IFERROR(VLOOKUP(E:E,'Item Data Support Sheet'!A:O,4,0),0)</f>
        <v>6.8</v>
      </c>
      <c r="AA214" s="428">
        <f t="shared" si="74"/>
        <v>27.016399999999997</v>
      </c>
      <c r="AB214" s="429">
        <f t="shared" si="75"/>
        <v>0.90611628492323182</v>
      </c>
      <c r="AC214" s="424">
        <f t="shared" si="76"/>
        <v>2.7027027027027029E-2</v>
      </c>
      <c r="AD214" s="371">
        <f t="shared" si="77"/>
        <v>6.2529495044832462E-2</v>
      </c>
      <c r="AE214" s="748">
        <f t="shared" si="78"/>
        <v>0.97483010319657692</v>
      </c>
      <c r="AF214" s="417">
        <f t="shared" si="79"/>
        <v>2.1666666666666665</v>
      </c>
      <c r="AG214" s="416">
        <f t="shared" si="80"/>
        <v>5.8333333333333339</v>
      </c>
      <c r="AH214" s="372">
        <f t="shared" si="81"/>
        <v>0.72916666666666674</v>
      </c>
      <c r="AI214" s="373">
        <f t="shared" si="82"/>
        <v>450</v>
      </c>
      <c r="AJ214" s="418">
        <f>VLOOKUP(D214,'Standard Cycle time'!C:D,2,0)</f>
        <v>5.25</v>
      </c>
      <c r="AK214" s="418">
        <f t="shared" si="83"/>
        <v>5.8333333333333339</v>
      </c>
      <c r="AL214" s="374">
        <f t="shared" si="84"/>
        <v>0.89999999999999991</v>
      </c>
      <c r="AM214" s="372">
        <f t="shared" si="85"/>
        <v>0.63973225522275357</v>
      </c>
      <c r="AN214" s="799">
        <v>2574</v>
      </c>
      <c r="AO214" s="928" t="s">
        <v>2533</v>
      </c>
      <c r="AP214" s="440">
        <v>0</v>
      </c>
      <c r="AQ214" s="440">
        <v>0</v>
      </c>
      <c r="AR214" s="440">
        <v>0</v>
      </c>
      <c r="AS214" s="440">
        <v>0</v>
      </c>
      <c r="AT214" s="440">
        <v>0</v>
      </c>
      <c r="AU214" s="440">
        <v>60</v>
      </c>
      <c r="AV214" s="440">
        <v>70</v>
      </c>
      <c r="AW214" s="440">
        <v>0</v>
      </c>
      <c r="AX214" s="440">
        <v>0</v>
      </c>
      <c r="AY214" s="440">
        <v>0</v>
      </c>
      <c r="AZ214" s="440">
        <v>0</v>
      </c>
      <c r="BA214" s="440">
        <v>0</v>
      </c>
      <c r="BB214" s="440">
        <v>0</v>
      </c>
      <c r="BC214" s="440">
        <v>0</v>
      </c>
      <c r="BD214" s="440">
        <v>0</v>
      </c>
      <c r="BE214" s="440">
        <v>0</v>
      </c>
      <c r="BF214" s="440">
        <v>0</v>
      </c>
      <c r="BG214" s="440">
        <v>0</v>
      </c>
      <c r="BH214" s="440">
        <v>0</v>
      </c>
      <c r="BI214" s="440">
        <v>0</v>
      </c>
      <c r="BJ214" s="440">
        <v>0</v>
      </c>
      <c r="BK214" s="440">
        <v>0</v>
      </c>
      <c r="BL214" s="440">
        <v>0</v>
      </c>
      <c r="BM214" s="440">
        <v>0</v>
      </c>
      <c r="BN214" s="440">
        <v>0</v>
      </c>
      <c r="BO214" s="440">
        <v>0</v>
      </c>
      <c r="BP214" s="440">
        <v>0</v>
      </c>
      <c r="BQ214" s="440">
        <v>0</v>
      </c>
      <c r="BR214" s="415">
        <f t="shared" si="68"/>
        <v>2.1666666666666665</v>
      </c>
      <c r="BS214" s="415">
        <f t="shared" si="70"/>
        <v>2.2027777777777775</v>
      </c>
      <c r="BT214" s="935"/>
      <c r="BU214" s="935"/>
      <c r="BV214" s="935"/>
      <c r="BW214" s="935"/>
      <c r="BX214" s="935"/>
      <c r="BY214" s="935"/>
      <c r="BZ214" s="935"/>
      <c r="CA214" s="935"/>
      <c r="CB214" s="935"/>
      <c r="CC214" s="935"/>
      <c r="CD214" s="935"/>
      <c r="CE214" s="935"/>
      <c r="CF214" s="935"/>
      <c r="CG214" s="935"/>
      <c r="CH214" s="935"/>
      <c r="CI214" s="935"/>
      <c r="CJ214" s="935"/>
      <c r="CK214" s="935"/>
      <c r="CL214" s="935"/>
      <c r="CM214" s="935"/>
      <c r="CN214" s="935"/>
      <c r="CO214" s="935"/>
      <c r="CP214" s="935"/>
      <c r="CQ214" s="935"/>
      <c r="CR214" s="935"/>
      <c r="CS214" s="935"/>
      <c r="CT214" s="935"/>
      <c r="CU214" s="935"/>
      <c r="CV214" s="935"/>
    </row>
    <row r="215" spans="1:100" ht="16.399999999999999" customHeight="1">
      <c r="A215" s="375">
        <f t="shared" si="71"/>
        <v>8</v>
      </c>
      <c r="B215" s="455">
        <v>44428</v>
      </c>
      <c r="C215" s="493" t="s">
        <v>1980</v>
      </c>
      <c r="D215" s="376" t="str">
        <f>IFERROR(VLOOKUP(E:E,'Item Data Support Sheet'!A:O,7,0),"")</f>
        <v>NIPPLE PUNCH</v>
      </c>
      <c r="E215" s="447" t="s">
        <v>80</v>
      </c>
      <c r="F215" s="500"/>
      <c r="G215" s="376"/>
      <c r="H215" s="602" t="str">
        <f>IFERROR(VLOOKUP(E:E,'Item Data Support Sheet'!A:O,2,0),"")</f>
        <v>NIPPLE S TYPE S SIZE PUNCHED</v>
      </c>
      <c r="I215" s="501" t="s">
        <v>2527</v>
      </c>
      <c r="J215" s="447" t="s">
        <v>2812</v>
      </c>
      <c r="K215" s="438">
        <v>8</v>
      </c>
      <c r="L215" s="499">
        <v>7000</v>
      </c>
      <c r="M215" s="366">
        <f t="shared" si="86"/>
        <v>875</v>
      </c>
      <c r="N215" s="367">
        <f t="shared" si="69"/>
        <v>7200</v>
      </c>
      <c r="O215" s="61">
        <v>7200</v>
      </c>
      <c r="P215" s="368">
        <v>0</v>
      </c>
      <c r="Q215" s="369">
        <v>0</v>
      </c>
      <c r="R215" s="370">
        <v>0</v>
      </c>
      <c r="S215" s="370">
        <v>0</v>
      </c>
      <c r="T215" s="370">
        <v>0</v>
      </c>
      <c r="U215" s="370">
        <v>0</v>
      </c>
      <c r="V215" s="450">
        <v>1</v>
      </c>
      <c r="W215" s="453">
        <f t="shared" si="72"/>
        <v>7200</v>
      </c>
      <c r="X215" s="748">
        <f t="shared" si="73"/>
        <v>1.0285714285714285</v>
      </c>
      <c r="Y215" s="451" t="str">
        <f>IFERROR(VLOOKUP(E:E,'Item Data Support Sheet'!A:J,6,0),0)</f>
        <v>FO015</v>
      </c>
      <c r="Z215" s="428">
        <f>IFERROR(VLOOKUP(E:E,'Item Data Support Sheet'!A:O,4,0),0)</f>
        <v>0</v>
      </c>
      <c r="AA215" s="428">
        <f t="shared" si="74"/>
        <v>0</v>
      </c>
      <c r="AB215" s="429" t="str">
        <f t="shared" si="75"/>
        <v xml:space="preserve"> </v>
      </c>
      <c r="AC215" s="424">
        <f t="shared" si="76"/>
        <v>0</v>
      </c>
      <c r="AD215" s="371">
        <f t="shared" si="77"/>
        <v>0</v>
      </c>
      <c r="AE215" s="748">
        <f t="shared" si="78"/>
        <v>1</v>
      </c>
      <c r="AF215" s="417">
        <f t="shared" si="79"/>
        <v>0.66666666666666663</v>
      </c>
      <c r="AG215" s="416">
        <f t="shared" si="80"/>
        <v>7.333333333333333</v>
      </c>
      <c r="AH215" s="372">
        <f t="shared" si="81"/>
        <v>0.91666666666666663</v>
      </c>
      <c r="AI215" s="373">
        <f t="shared" si="82"/>
        <v>900</v>
      </c>
      <c r="AJ215" s="418">
        <f>VLOOKUP(D215,'Standard Cycle time'!C:D,2,0)</f>
        <v>3.5</v>
      </c>
      <c r="AK215" s="418">
        <f t="shared" si="83"/>
        <v>3.6666666666666665</v>
      </c>
      <c r="AL215" s="374">
        <f t="shared" si="84"/>
        <v>0.95454545454545459</v>
      </c>
      <c r="AM215" s="372">
        <f t="shared" si="85"/>
        <v>0.875</v>
      </c>
      <c r="AN215" s="799" t="s">
        <v>2529</v>
      </c>
      <c r="AO215" s="929"/>
      <c r="AP215" s="440">
        <v>40</v>
      </c>
      <c r="AQ215" s="440">
        <v>0</v>
      </c>
      <c r="AR215" s="440">
        <v>0</v>
      </c>
      <c r="AS215" s="440">
        <v>0</v>
      </c>
      <c r="AT215" s="440">
        <v>0</v>
      </c>
      <c r="AU215" s="440">
        <v>0</v>
      </c>
      <c r="AV215" s="440">
        <v>0</v>
      </c>
      <c r="AW215" s="440">
        <v>0</v>
      </c>
      <c r="AX215" s="440">
        <v>0</v>
      </c>
      <c r="AY215" s="440">
        <v>0</v>
      </c>
      <c r="AZ215" s="440">
        <v>0</v>
      </c>
      <c r="BA215" s="440">
        <v>0</v>
      </c>
      <c r="BB215" s="440">
        <v>0</v>
      </c>
      <c r="BC215" s="440">
        <v>0</v>
      </c>
      <c r="BD215" s="440">
        <v>0</v>
      </c>
      <c r="BE215" s="440">
        <v>0</v>
      </c>
      <c r="BF215" s="440">
        <v>0</v>
      </c>
      <c r="BG215" s="440">
        <v>0</v>
      </c>
      <c r="BH215" s="440">
        <v>0</v>
      </c>
      <c r="BI215" s="440">
        <v>0</v>
      </c>
      <c r="BJ215" s="440">
        <v>0</v>
      </c>
      <c r="BK215" s="440">
        <v>0</v>
      </c>
      <c r="BL215" s="440">
        <v>0</v>
      </c>
      <c r="BM215" s="440">
        <v>0</v>
      </c>
      <c r="BN215" s="440">
        <v>0</v>
      </c>
      <c r="BO215" s="440">
        <v>0</v>
      </c>
      <c r="BP215" s="440">
        <v>0</v>
      </c>
      <c r="BQ215" s="440">
        <v>0</v>
      </c>
      <c r="BR215" s="415">
        <f t="shared" si="68"/>
        <v>0.66666666666666663</v>
      </c>
      <c r="BS215" s="415">
        <f t="shared" si="70"/>
        <v>0.6777777777777777</v>
      </c>
      <c r="BT215" s="935"/>
      <c r="BU215" s="935"/>
      <c r="BV215" s="935"/>
      <c r="BW215" s="935"/>
      <c r="BX215" s="935"/>
      <c r="BY215" s="935"/>
      <c r="BZ215" s="935"/>
      <c r="CA215" s="935"/>
      <c r="CB215" s="935"/>
      <c r="CC215" s="935"/>
      <c r="CD215" s="935"/>
      <c r="CE215" s="935"/>
      <c r="CF215" s="935"/>
      <c r="CG215" s="935"/>
      <c r="CH215" s="935"/>
      <c r="CI215" s="935"/>
      <c r="CJ215" s="935"/>
      <c r="CK215" s="935"/>
      <c r="CL215" s="935"/>
      <c r="CM215" s="935"/>
      <c r="CN215" s="935"/>
      <c r="CO215" s="935"/>
      <c r="CP215" s="935"/>
      <c r="CQ215" s="935"/>
      <c r="CR215" s="935"/>
      <c r="CS215" s="935"/>
      <c r="CT215" s="935"/>
      <c r="CU215" s="935"/>
      <c r="CV215" s="935"/>
    </row>
    <row r="216" spans="1:100" ht="16.399999999999999" customHeight="1">
      <c r="A216" s="375">
        <f t="shared" si="71"/>
        <v>8</v>
      </c>
      <c r="B216" s="455">
        <v>44428</v>
      </c>
      <c r="C216" s="493" t="s">
        <v>1980</v>
      </c>
      <c r="D216" s="376" t="str">
        <f>IFERROR(VLOOKUP(E:E,'Item Data Support Sheet'!A:O,7,0),"")</f>
        <v>NIPPLE LASER MARKING</v>
      </c>
      <c r="E216" s="447" t="s">
        <v>1814</v>
      </c>
      <c r="F216" s="500"/>
      <c r="G216" s="376" t="s">
        <v>1812</v>
      </c>
      <c r="H216" s="602" t="str">
        <f>IFERROR(VLOOKUP(E:E,'Item Data Support Sheet'!A:O,2,0),"")</f>
        <v>NIPPLE S TYPE S SIZE PUNCHED LASER MARKED</v>
      </c>
      <c r="I216" s="501" t="s">
        <v>2528</v>
      </c>
      <c r="J216" s="447" t="s">
        <v>2812</v>
      </c>
      <c r="K216" s="438">
        <v>8</v>
      </c>
      <c r="L216" s="499">
        <v>7000</v>
      </c>
      <c r="M216" s="366">
        <f t="shared" si="86"/>
        <v>875</v>
      </c>
      <c r="N216" s="367">
        <f t="shared" si="69"/>
        <v>6000</v>
      </c>
      <c r="O216" s="61">
        <v>6000</v>
      </c>
      <c r="P216" s="368">
        <v>0</v>
      </c>
      <c r="Q216" s="369">
        <v>0</v>
      </c>
      <c r="R216" s="370">
        <v>0</v>
      </c>
      <c r="S216" s="370">
        <v>0</v>
      </c>
      <c r="T216" s="370">
        <v>0</v>
      </c>
      <c r="U216" s="370">
        <v>0</v>
      </c>
      <c r="V216" s="450">
        <v>1</v>
      </c>
      <c r="W216" s="453">
        <f t="shared" si="72"/>
        <v>6000</v>
      </c>
      <c r="X216" s="748">
        <f t="shared" si="73"/>
        <v>0.8571428571428571</v>
      </c>
      <c r="Y216" s="451" t="str">
        <f>IFERROR(VLOOKUP(E:E,'Item Data Support Sheet'!A:J,6,0),0)</f>
        <v>FO019</v>
      </c>
      <c r="Z216" s="428">
        <f>IFERROR(VLOOKUP(E:E,'Item Data Support Sheet'!A:O,4,0),0)</f>
        <v>0</v>
      </c>
      <c r="AA216" s="428">
        <f t="shared" si="74"/>
        <v>0</v>
      </c>
      <c r="AB216" s="429" t="str">
        <f t="shared" si="75"/>
        <v xml:space="preserve"> </v>
      </c>
      <c r="AC216" s="424">
        <f t="shared" si="76"/>
        <v>0</v>
      </c>
      <c r="AD216" s="371">
        <f t="shared" si="77"/>
        <v>0</v>
      </c>
      <c r="AE216" s="748">
        <f t="shared" si="78"/>
        <v>1</v>
      </c>
      <c r="AF216" s="417">
        <f t="shared" si="79"/>
        <v>0.66666666666666663</v>
      </c>
      <c r="AG216" s="416">
        <f t="shared" si="80"/>
        <v>7.333333333333333</v>
      </c>
      <c r="AH216" s="372">
        <f t="shared" si="81"/>
        <v>0.91666666666666663</v>
      </c>
      <c r="AI216" s="373">
        <f t="shared" si="82"/>
        <v>750</v>
      </c>
      <c r="AJ216" s="418">
        <f>VLOOKUP(D216,'Standard Cycle time'!C:D,2,0)</f>
        <v>3.5</v>
      </c>
      <c r="AK216" s="418">
        <f t="shared" si="83"/>
        <v>4.4000000000000004</v>
      </c>
      <c r="AL216" s="374">
        <f t="shared" si="84"/>
        <v>0.79545454545454541</v>
      </c>
      <c r="AM216" s="372">
        <f t="shared" si="85"/>
        <v>0.72916666666666663</v>
      </c>
      <c r="AN216" s="799" t="s">
        <v>2530</v>
      </c>
      <c r="AO216" s="929"/>
      <c r="AP216" s="440">
        <v>40</v>
      </c>
      <c r="AQ216" s="440">
        <v>0</v>
      </c>
      <c r="AR216" s="440">
        <v>0</v>
      </c>
      <c r="AS216" s="440">
        <v>0</v>
      </c>
      <c r="AT216" s="440">
        <v>0</v>
      </c>
      <c r="AU216" s="440">
        <v>0</v>
      </c>
      <c r="AV216" s="440">
        <v>0</v>
      </c>
      <c r="AW216" s="440">
        <v>0</v>
      </c>
      <c r="AX216" s="440">
        <v>0</v>
      </c>
      <c r="AY216" s="440">
        <v>0</v>
      </c>
      <c r="AZ216" s="440">
        <v>0</v>
      </c>
      <c r="BA216" s="440">
        <v>0</v>
      </c>
      <c r="BB216" s="440">
        <v>0</v>
      </c>
      <c r="BC216" s="440">
        <v>0</v>
      </c>
      <c r="BD216" s="440">
        <v>0</v>
      </c>
      <c r="BE216" s="440">
        <v>0</v>
      </c>
      <c r="BF216" s="440">
        <v>0</v>
      </c>
      <c r="BG216" s="440">
        <v>0</v>
      </c>
      <c r="BH216" s="440">
        <v>0</v>
      </c>
      <c r="BI216" s="440">
        <v>0</v>
      </c>
      <c r="BJ216" s="440">
        <v>0</v>
      </c>
      <c r="BK216" s="440">
        <v>0</v>
      </c>
      <c r="BL216" s="440">
        <v>0</v>
      </c>
      <c r="BM216" s="440">
        <v>0</v>
      </c>
      <c r="BN216" s="440">
        <v>0</v>
      </c>
      <c r="BO216" s="440">
        <v>0</v>
      </c>
      <c r="BP216" s="440">
        <v>0</v>
      </c>
      <c r="BQ216" s="440">
        <v>0</v>
      </c>
      <c r="BR216" s="415">
        <f t="shared" si="68"/>
        <v>0.66666666666666663</v>
      </c>
      <c r="BS216" s="415">
        <f t="shared" si="70"/>
        <v>0.6777777777777777</v>
      </c>
      <c r="BT216" s="935"/>
      <c r="BU216" s="935"/>
      <c r="BV216" s="935"/>
      <c r="BW216" s="935"/>
      <c r="BX216" s="935"/>
      <c r="BY216" s="935"/>
      <c r="BZ216" s="935"/>
      <c r="CA216" s="935"/>
      <c r="CB216" s="935"/>
      <c r="CC216" s="935"/>
      <c r="CD216" s="935"/>
      <c r="CE216" s="935"/>
      <c r="CF216" s="935"/>
      <c r="CG216" s="935"/>
      <c r="CH216" s="935"/>
      <c r="CI216" s="935"/>
      <c r="CJ216" s="935"/>
      <c r="CK216" s="935"/>
      <c r="CL216" s="935"/>
      <c r="CM216" s="935"/>
      <c r="CN216" s="935"/>
      <c r="CO216" s="935"/>
      <c r="CP216" s="935"/>
      <c r="CQ216" s="935"/>
      <c r="CR216" s="935"/>
      <c r="CS216" s="935"/>
      <c r="CT216" s="935"/>
      <c r="CU216" s="935"/>
      <c r="CV216" s="935"/>
    </row>
    <row r="217" spans="1:100" ht="16.399999999999999" customHeight="1">
      <c r="A217" s="375">
        <f t="shared" si="71"/>
        <v>8</v>
      </c>
      <c r="B217" s="455">
        <v>44428</v>
      </c>
      <c r="C217" s="493" t="s">
        <v>1980</v>
      </c>
      <c r="D217" s="376" t="str">
        <f>IFERROR(VLOOKUP(E:E,'Item Data Support Sheet'!A:O,7,0),"")</f>
        <v>HOOD MOLDED</v>
      </c>
      <c r="E217" s="447" t="s">
        <v>1987</v>
      </c>
      <c r="F217" s="500"/>
      <c r="G217" s="376"/>
      <c r="H217" s="602" t="str">
        <f>IFERROR(VLOOKUP(E:E,'Item Data Support Sheet'!A:O,2,0),"")</f>
        <v>HOOD S TYPE MOLDED</v>
      </c>
      <c r="I217" s="501" t="s">
        <v>2531</v>
      </c>
      <c r="J217" s="447" t="s">
        <v>2812</v>
      </c>
      <c r="K217" s="438">
        <v>8</v>
      </c>
      <c r="L217" s="499">
        <v>4137</v>
      </c>
      <c r="M217" s="366">
        <f t="shared" si="86"/>
        <v>517.125</v>
      </c>
      <c r="N217" s="367">
        <f t="shared" si="69"/>
        <v>4044</v>
      </c>
      <c r="O217" s="61">
        <v>4000</v>
      </c>
      <c r="P217" s="368">
        <v>0</v>
      </c>
      <c r="Q217" s="369">
        <v>0</v>
      </c>
      <c r="R217" s="370">
        <v>0</v>
      </c>
      <c r="S217" s="370">
        <v>0</v>
      </c>
      <c r="T217" s="370">
        <v>44</v>
      </c>
      <c r="U217" s="370">
        <v>0</v>
      </c>
      <c r="V217" s="450">
        <v>1</v>
      </c>
      <c r="W217" s="453">
        <f t="shared" si="72"/>
        <v>4000</v>
      </c>
      <c r="X217" s="748">
        <f t="shared" si="73"/>
        <v>0.96688421561518012</v>
      </c>
      <c r="Y217" s="451" t="str">
        <f>IFERROR(VLOOKUP(E:E,'Item Data Support Sheet'!A:J,6,0),0)</f>
        <v>HMC</v>
      </c>
      <c r="Z217" s="428">
        <f>IFERROR(VLOOKUP(E:E,'Item Data Support Sheet'!A:O,4,0),0)</f>
        <v>8.6</v>
      </c>
      <c r="AA217" s="428">
        <f t="shared" si="74"/>
        <v>34.778399999999998</v>
      </c>
      <c r="AB217" s="429">
        <f t="shared" si="75"/>
        <v>0.98911968348170132</v>
      </c>
      <c r="AC217" s="424">
        <f t="shared" si="76"/>
        <v>1.0880316518298714E-2</v>
      </c>
      <c r="AD217" s="371">
        <f t="shared" si="77"/>
        <v>0</v>
      </c>
      <c r="AE217" s="748">
        <f t="shared" si="78"/>
        <v>0.98911968348170132</v>
      </c>
      <c r="AF217" s="417">
        <f t="shared" si="79"/>
        <v>0.5</v>
      </c>
      <c r="AG217" s="416">
        <f t="shared" si="80"/>
        <v>7.5</v>
      </c>
      <c r="AH217" s="372">
        <f t="shared" si="81"/>
        <v>0.9375</v>
      </c>
      <c r="AI217" s="373">
        <f t="shared" si="82"/>
        <v>500</v>
      </c>
      <c r="AJ217" s="418">
        <f>VLOOKUP(D217,'Standard Cycle time'!C:D,2,0)</f>
        <v>6</v>
      </c>
      <c r="AK217" s="418">
        <f t="shared" si="83"/>
        <v>6.75</v>
      </c>
      <c r="AL217" s="374">
        <f t="shared" si="84"/>
        <v>0.88888888888888884</v>
      </c>
      <c r="AM217" s="372">
        <f t="shared" si="85"/>
        <v>0.82426640290141773</v>
      </c>
      <c r="AN217" s="799">
        <v>2586</v>
      </c>
      <c r="AO217" s="827" t="s">
        <v>2534</v>
      </c>
      <c r="AP217" s="440">
        <v>0</v>
      </c>
      <c r="AQ217" s="440">
        <v>0</v>
      </c>
      <c r="AR217" s="440">
        <v>0</v>
      </c>
      <c r="AS217" s="440">
        <v>0</v>
      </c>
      <c r="AT217" s="440">
        <v>0</v>
      </c>
      <c r="AU217" s="440">
        <v>0</v>
      </c>
      <c r="AV217" s="440">
        <v>0</v>
      </c>
      <c r="AW217" s="440">
        <v>0</v>
      </c>
      <c r="AX217" s="440">
        <v>0</v>
      </c>
      <c r="AY217" s="440">
        <v>0</v>
      </c>
      <c r="AZ217" s="440">
        <v>0</v>
      </c>
      <c r="BA217" s="440">
        <v>0</v>
      </c>
      <c r="BB217" s="440">
        <v>0</v>
      </c>
      <c r="BC217" s="440">
        <v>0</v>
      </c>
      <c r="BD217" s="440">
        <v>0</v>
      </c>
      <c r="BE217" s="440">
        <v>0</v>
      </c>
      <c r="BF217" s="440">
        <v>0</v>
      </c>
      <c r="BG217" s="440">
        <v>0</v>
      </c>
      <c r="BH217" s="440">
        <v>0</v>
      </c>
      <c r="BI217" s="440">
        <v>0</v>
      </c>
      <c r="BJ217" s="440">
        <v>0</v>
      </c>
      <c r="BK217" s="440">
        <v>30</v>
      </c>
      <c r="BL217" s="440">
        <v>0</v>
      </c>
      <c r="BM217" s="440">
        <v>0</v>
      </c>
      <c r="BN217" s="440">
        <v>0</v>
      </c>
      <c r="BO217" s="440">
        <v>0</v>
      </c>
      <c r="BP217" s="440">
        <v>0</v>
      </c>
      <c r="BQ217" s="440">
        <v>0</v>
      </c>
      <c r="BR217" s="415">
        <f t="shared" si="68"/>
        <v>0.5</v>
      </c>
      <c r="BS217" s="415">
        <f t="shared" si="70"/>
        <v>0.5083333333333333</v>
      </c>
      <c r="BT217" s="935"/>
      <c r="BU217" s="935"/>
      <c r="BV217" s="935"/>
      <c r="BW217" s="935"/>
      <c r="BX217" s="935"/>
      <c r="BY217" s="935"/>
      <c r="BZ217" s="935"/>
      <c r="CA217" s="935"/>
      <c r="CB217" s="935"/>
      <c r="CC217" s="935"/>
      <c r="CD217" s="935"/>
      <c r="CE217" s="935"/>
      <c r="CF217" s="935"/>
      <c r="CG217" s="935"/>
      <c r="CH217" s="935"/>
      <c r="CI217" s="935"/>
      <c r="CJ217" s="935"/>
      <c r="CK217" s="935"/>
      <c r="CL217" s="935"/>
      <c r="CM217" s="935"/>
      <c r="CN217" s="935"/>
      <c r="CO217" s="935"/>
      <c r="CP217" s="935"/>
      <c r="CQ217" s="935"/>
      <c r="CR217" s="935"/>
      <c r="CS217" s="935"/>
      <c r="CT217" s="935"/>
      <c r="CU217" s="935"/>
      <c r="CV217" s="935"/>
    </row>
    <row r="218" spans="1:100" ht="16.399999999999999" customHeight="1">
      <c r="A218" s="375">
        <f t="shared" si="71"/>
        <v>8</v>
      </c>
      <c r="B218" s="455">
        <v>44428</v>
      </c>
      <c r="C218" s="493" t="s">
        <v>2000</v>
      </c>
      <c r="D218" s="376" t="str">
        <f>IFERROR(VLOOKUP(E:E,'Item Data Support Sheet'!A:O,7,0),"")</f>
        <v>BOTTLE PRINTED</v>
      </c>
      <c r="E218" s="447" t="s">
        <v>188</v>
      </c>
      <c r="F218" s="447"/>
      <c r="G218" s="376" t="s">
        <v>1698</v>
      </c>
      <c r="H218" s="602" t="str">
        <f>IFERROR(VLOOKUP(E:E,'Item Data Support Sheet'!A:O,2,0),"")</f>
        <v>KPP 200 BOTTLE PRINTED (WMG3B) W/O OZ &amp; W/BIS LOGO</v>
      </c>
      <c r="I218" s="501" t="s">
        <v>2536</v>
      </c>
      <c r="J218" s="447" t="s">
        <v>2813</v>
      </c>
      <c r="K218" s="438">
        <v>2</v>
      </c>
      <c r="L218" s="499">
        <v>1200</v>
      </c>
      <c r="M218" s="366">
        <f t="shared" si="86"/>
        <v>600</v>
      </c>
      <c r="N218" s="367">
        <f t="shared" si="69"/>
        <v>1168</v>
      </c>
      <c r="O218" s="61">
        <v>1156</v>
      </c>
      <c r="P218" s="368">
        <v>0</v>
      </c>
      <c r="Q218" s="369">
        <v>0</v>
      </c>
      <c r="R218" s="370">
        <v>13</v>
      </c>
      <c r="S218" s="370">
        <v>0</v>
      </c>
      <c r="T218" s="370">
        <v>12</v>
      </c>
      <c r="U218" s="370">
        <v>0</v>
      </c>
      <c r="V218" s="450">
        <v>5</v>
      </c>
      <c r="W218" s="453">
        <f t="shared" si="72"/>
        <v>231.2</v>
      </c>
      <c r="X218" s="748">
        <f t="shared" si="73"/>
        <v>0.96333333333333337</v>
      </c>
      <c r="Y218" s="451" t="str">
        <f>IFERROR(VLOOKUP(E:E,'Item Data Support Sheet'!A:J,6,0),0)</f>
        <v>FO043</v>
      </c>
      <c r="Z218" s="428">
        <f>IFERROR(VLOOKUP(E:E,'Item Data Support Sheet'!A:O,4,0),0)</f>
        <v>0</v>
      </c>
      <c r="AA218" s="428">
        <f t="shared" si="74"/>
        <v>0</v>
      </c>
      <c r="AB218" s="429" t="str">
        <f t="shared" si="75"/>
        <v xml:space="preserve"> </v>
      </c>
      <c r="AC218" s="424">
        <f t="shared" si="76"/>
        <v>1.0273972602739725E-2</v>
      </c>
      <c r="AD218" s="371">
        <f t="shared" si="77"/>
        <v>0</v>
      </c>
      <c r="AE218" s="748">
        <f t="shared" si="78"/>
        <v>0.98972602739726023</v>
      </c>
      <c r="AF218" s="417">
        <f t="shared" si="79"/>
        <v>0</v>
      </c>
      <c r="AG218" s="416">
        <f t="shared" si="80"/>
        <v>2</v>
      </c>
      <c r="AH218" s="372">
        <f t="shared" si="81"/>
        <v>1</v>
      </c>
      <c r="AI218" s="373">
        <f t="shared" si="82"/>
        <v>578</v>
      </c>
      <c r="AJ218" s="418">
        <f>VLOOKUP(D218,'Standard Cycle time'!C:D,2,0)</f>
        <v>32.4</v>
      </c>
      <c r="AK218" s="418">
        <f t="shared" si="83"/>
        <v>31.141868512110726</v>
      </c>
      <c r="AL218" s="374">
        <f t="shared" si="84"/>
        <v>1.0404</v>
      </c>
      <c r="AM218" s="372">
        <f t="shared" si="85"/>
        <v>1.0297109589041096</v>
      </c>
      <c r="AN218" s="799" t="s">
        <v>2663</v>
      </c>
      <c r="AO218" s="929"/>
      <c r="AP218" s="440">
        <v>0</v>
      </c>
      <c r="AQ218" s="440">
        <v>0</v>
      </c>
      <c r="AR218" s="440">
        <v>0</v>
      </c>
      <c r="AS218" s="440">
        <v>0</v>
      </c>
      <c r="AT218" s="440">
        <v>0</v>
      </c>
      <c r="AU218" s="440">
        <v>0</v>
      </c>
      <c r="AV218" s="440">
        <v>0</v>
      </c>
      <c r="AW218" s="440">
        <v>0</v>
      </c>
      <c r="AX218" s="440">
        <v>0</v>
      </c>
      <c r="AY218" s="440">
        <v>0</v>
      </c>
      <c r="AZ218" s="440">
        <v>0</v>
      </c>
      <c r="BA218" s="440">
        <v>0</v>
      </c>
      <c r="BB218" s="440">
        <v>0</v>
      </c>
      <c r="BC218" s="440">
        <v>0</v>
      </c>
      <c r="BD218" s="440">
        <v>0</v>
      </c>
      <c r="BE218" s="440">
        <v>0</v>
      </c>
      <c r="BF218" s="440">
        <v>0</v>
      </c>
      <c r="BG218" s="440">
        <v>0</v>
      </c>
      <c r="BH218" s="440">
        <v>0</v>
      </c>
      <c r="BI218" s="440">
        <v>0</v>
      </c>
      <c r="BJ218" s="440">
        <v>0</v>
      </c>
      <c r="BK218" s="440">
        <v>0</v>
      </c>
      <c r="BL218" s="440">
        <v>0</v>
      </c>
      <c r="BM218" s="440">
        <v>0</v>
      </c>
      <c r="BN218" s="440">
        <v>0</v>
      </c>
      <c r="BO218" s="440">
        <v>0</v>
      </c>
      <c r="BP218" s="440">
        <v>0</v>
      </c>
      <c r="BQ218" s="440">
        <v>0</v>
      </c>
      <c r="BR218" s="415">
        <f t="shared" si="68"/>
        <v>0</v>
      </c>
      <c r="BS218" s="415">
        <f t="shared" si="70"/>
        <v>0</v>
      </c>
      <c r="BT218" s="935"/>
      <c r="BU218" s="935"/>
      <c r="BV218" s="935"/>
      <c r="BW218" s="935"/>
      <c r="BX218" s="935"/>
      <c r="BY218" s="935"/>
      <c r="BZ218" s="935"/>
      <c r="CA218" s="935"/>
      <c r="CB218" s="935"/>
      <c r="CC218" s="935"/>
      <c r="CD218" s="935"/>
      <c r="CE218" s="935"/>
      <c r="CF218" s="935"/>
      <c r="CG218" s="935"/>
      <c r="CH218" s="935"/>
      <c r="CI218" s="935"/>
      <c r="CJ218" s="935"/>
      <c r="CK218" s="935"/>
      <c r="CL218" s="935"/>
      <c r="CM218" s="935"/>
      <c r="CN218" s="935"/>
      <c r="CO218" s="935"/>
      <c r="CP218" s="935"/>
      <c r="CQ218" s="935"/>
      <c r="CR218" s="935"/>
      <c r="CS218" s="935"/>
      <c r="CT218" s="935"/>
      <c r="CU218" s="935"/>
      <c r="CV218" s="935"/>
    </row>
    <row r="219" spans="1:100" ht="16.399999999999999" customHeight="1">
      <c r="A219" s="375">
        <f t="shared" si="71"/>
        <v>8</v>
      </c>
      <c r="B219" s="455">
        <v>44428</v>
      </c>
      <c r="C219" s="493" t="s">
        <v>2000</v>
      </c>
      <c r="D219" s="376" t="str">
        <f>IFERROR(VLOOKUP(E:E,'Item Data Support Sheet'!A:O,7,0),"")</f>
        <v>BOTTLE PRINTED</v>
      </c>
      <c r="E219" s="447" t="s">
        <v>1904</v>
      </c>
      <c r="F219" s="500"/>
      <c r="G219" s="376" t="s">
        <v>1698</v>
      </c>
      <c r="H219" s="602" t="str">
        <f>IFERROR(VLOOKUP(E:E,'Item Data Support Sheet'!A:O,2,0),"")</f>
        <v>RPP 240 ML RPP PRINTED ELEPHANT</v>
      </c>
      <c r="I219" s="501" t="s">
        <v>2537</v>
      </c>
      <c r="J219" s="447" t="s">
        <v>2813</v>
      </c>
      <c r="K219" s="438">
        <v>5.5</v>
      </c>
      <c r="L219" s="499">
        <v>1800</v>
      </c>
      <c r="M219" s="366">
        <f t="shared" si="86"/>
        <v>327.27272727272725</v>
      </c>
      <c r="N219" s="367">
        <f t="shared" si="69"/>
        <v>1495</v>
      </c>
      <c r="O219" s="61">
        <f>1489-5</f>
        <v>1484</v>
      </c>
      <c r="P219" s="368">
        <v>0</v>
      </c>
      <c r="Q219" s="368">
        <v>0</v>
      </c>
      <c r="R219" s="494">
        <v>36</v>
      </c>
      <c r="S219" s="493">
        <v>0</v>
      </c>
      <c r="T219" s="494">
        <v>11</v>
      </c>
      <c r="U219" s="493">
        <v>0</v>
      </c>
      <c r="V219" s="502">
        <v>6</v>
      </c>
      <c r="W219" s="453">
        <f t="shared" si="72"/>
        <v>247.33333333333334</v>
      </c>
      <c r="X219" s="748">
        <f t="shared" si="73"/>
        <v>0.82444444444444442</v>
      </c>
      <c r="Y219" s="451" t="str">
        <f>IFERROR(VLOOKUP(E:E,'Item Data Support Sheet'!A:J,6,0),0)</f>
        <v>FO005</v>
      </c>
      <c r="Z219" s="428">
        <f>IFERROR(VLOOKUP(E:E,'Item Data Support Sheet'!A:O,4,0),0)</f>
        <v>32</v>
      </c>
      <c r="AA219" s="428">
        <f t="shared" si="74"/>
        <v>47.84</v>
      </c>
      <c r="AB219" s="429">
        <f t="shared" si="75"/>
        <v>0.9926421404682273</v>
      </c>
      <c r="AC219" s="424">
        <f t="shared" si="76"/>
        <v>7.3578595317725752E-3</v>
      </c>
      <c r="AD219" s="371">
        <f t="shared" si="77"/>
        <v>0</v>
      </c>
      <c r="AE219" s="748">
        <f t="shared" si="78"/>
        <v>0.99264214046822741</v>
      </c>
      <c r="AF219" s="417">
        <f t="shared" si="79"/>
        <v>3</v>
      </c>
      <c r="AG219" s="416">
        <f t="shared" si="80"/>
        <v>2.5</v>
      </c>
      <c r="AH219" s="372">
        <f t="shared" si="81"/>
        <v>0.45454545454545453</v>
      </c>
      <c r="AI219" s="373">
        <f t="shared" si="82"/>
        <v>269.81818181818181</v>
      </c>
      <c r="AJ219" s="418">
        <f>VLOOKUP(D219,'Standard Cycle time'!C:D,2,0)</f>
        <v>32.4</v>
      </c>
      <c r="AK219" s="418">
        <f t="shared" si="83"/>
        <v>36.388140161725069</v>
      </c>
      <c r="AL219" s="374">
        <f t="shared" si="84"/>
        <v>0.89039999999999997</v>
      </c>
      <c r="AM219" s="372">
        <f t="shared" si="85"/>
        <v>0.401749346305868</v>
      </c>
      <c r="AN219" s="799" t="s">
        <v>2664</v>
      </c>
      <c r="AO219" s="929" t="s">
        <v>2538</v>
      </c>
      <c r="AP219" s="440">
        <v>40</v>
      </c>
      <c r="AQ219" s="440">
        <v>140</v>
      </c>
      <c r="AR219" s="440">
        <v>0</v>
      </c>
      <c r="AS219" s="440">
        <v>0</v>
      </c>
      <c r="AT219" s="440">
        <v>0</v>
      </c>
      <c r="AU219" s="440">
        <v>0</v>
      </c>
      <c r="AV219" s="440">
        <v>0</v>
      </c>
      <c r="AW219" s="440">
        <v>0</v>
      </c>
      <c r="AX219" s="440">
        <v>0</v>
      </c>
      <c r="AY219" s="440">
        <v>0</v>
      </c>
      <c r="AZ219" s="440">
        <v>0</v>
      </c>
      <c r="BA219" s="440">
        <v>0</v>
      </c>
      <c r="BB219" s="440">
        <v>0</v>
      </c>
      <c r="BC219" s="440">
        <v>0</v>
      </c>
      <c r="BD219" s="440">
        <v>0</v>
      </c>
      <c r="BE219" s="440">
        <v>0</v>
      </c>
      <c r="BF219" s="440">
        <v>0</v>
      </c>
      <c r="BG219" s="440">
        <v>0</v>
      </c>
      <c r="BH219" s="440">
        <v>0</v>
      </c>
      <c r="BI219" s="440">
        <v>0</v>
      </c>
      <c r="BJ219" s="440">
        <v>0</v>
      </c>
      <c r="BK219" s="440">
        <v>0</v>
      </c>
      <c r="BL219" s="440">
        <v>0</v>
      </c>
      <c r="BM219" s="440">
        <v>0</v>
      </c>
      <c r="BN219" s="440">
        <v>0</v>
      </c>
      <c r="BO219" s="440">
        <v>0</v>
      </c>
      <c r="BP219" s="440">
        <v>0</v>
      </c>
      <c r="BQ219" s="440">
        <v>0</v>
      </c>
      <c r="BR219" s="415">
        <f t="shared" si="68"/>
        <v>3</v>
      </c>
      <c r="BS219" s="415">
        <f t="shared" si="70"/>
        <v>3.05</v>
      </c>
      <c r="BT219" s="935"/>
      <c r="BU219" s="935"/>
      <c r="BV219" s="935"/>
      <c r="BW219" s="935"/>
      <c r="BX219" s="935"/>
      <c r="BY219" s="935"/>
      <c r="BZ219" s="935"/>
      <c r="CA219" s="935"/>
      <c r="CB219" s="935"/>
      <c r="CC219" s="935"/>
      <c r="CD219" s="935"/>
      <c r="CE219" s="935"/>
      <c r="CF219" s="935"/>
      <c r="CG219" s="935"/>
      <c r="CH219" s="935"/>
      <c r="CI219" s="935"/>
      <c r="CJ219" s="935"/>
      <c r="CK219" s="935"/>
      <c r="CL219" s="935"/>
      <c r="CM219" s="935"/>
      <c r="CN219" s="935"/>
      <c r="CO219" s="935"/>
      <c r="CP219" s="935"/>
      <c r="CQ219" s="935"/>
      <c r="CR219" s="935"/>
      <c r="CS219" s="935"/>
      <c r="CT219" s="935"/>
      <c r="CU219" s="935"/>
      <c r="CV219" s="935"/>
    </row>
    <row r="220" spans="1:100">
      <c r="A220" s="375">
        <f t="shared" si="71"/>
        <v>8</v>
      </c>
      <c r="B220" s="455">
        <v>44428</v>
      </c>
      <c r="C220" s="493" t="s">
        <v>2000</v>
      </c>
      <c r="D220" s="376" t="str">
        <f>IFERROR(VLOOKUP(E:E,'Item Data Support Sheet'!A:O,7,0),"")</f>
        <v>NIPPLE WRAP PRINTED</v>
      </c>
      <c r="E220" s="447" t="s">
        <v>108</v>
      </c>
      <c r="F220" s="500"/>
      <c r="G220" s="376" t="s">
        <v>1693</v>
      </c>
      <c r="H220" s="602" t="str">
        <f>IFERROR(VLOOKUP(E:E,'Item Data Support Sheet'!A:O,2,0),"")</f>
        <v>NIPPLE S TYPE S SIZE WITH PRINTED WRAP</v>
      </c>
      <c r="I220" s="501" t="s">
        <v>2539</v>
      </c>
      <c r="J220" s="447" t="s">
        <v>2812</v>
      </c>
      <c r="K220" s="438">
        <v>2.2999999999999998</v>
      </c>
      <c r="L220" s="499">
        <v>3800</v>
      </c>
      <c r="M220" s="366">
        <f t="shared" si="86"/>
        <v>1652.1739130434785</v>
      </c>
      <c r="N220" s="367">
        <f t="shared" si="69"/>
        <v>4200</v>
      </c>
      <c r="O220" s="61">
        <v>4200</v>
      </c>
      <c r="P220" s="368">
        <v>0</v>
      </c>
      <c r="Q220" s="368">
        <v>0</v>
      </c>
      <c r="R220" s="494">
        <v>0</v>
      </c>
      <c r="S220" s="493">
        <v>0</v>
      </c>
      <c r="T220" s="494">
        <v>0</v>
      </c>
      <c r="U220" s="493">
        <v>0</v>
      </c>
      <c r="V220" s="502">
        <v>2</v>
      </c>
      <c r="W220" s="453">
        <f t="shared" si="72"/>
        <v>2100</v>
      </c>
      <c r="X220" s="748">
        <f t="shared" si="73"/>
        <v>1.1052631578947369</v>
      </c>
      <c r="Y220" s="451" t="str">
        <f>IFERROR(VLOOKUP(E:E,'Item Data Support Sheet'!A:J,6,0),0)</f>
        <v>FO108</v>
      </c>
      <c r="Z220" s="428">
        <f>IFERROR(VLOOKUP(E:E,'Item Data Support Sheet'!A:O,4,0),0)</f>
        <v>0</v>
      </c>
      <c r="AA220" s="428">
        <f t="shared" si="74"/>
        <v>0</v>
      </c>
      <c r="AB220" s="429" t="str">
        <f t="shared" si="75"/>
        <v xml:space="preserve"> </v>
      </c>
      <c r="AC220" s="424">
        <f t="shared" si="76"/>
        <v>0</v>
      </c>
      <c r="AD220" s="371">
        <f t="shared" si="77"/>
        <v>0</v>
      </c>
      <c r="AE220" s="748">
        <f t="shared" si="78"/>
        <v>1</v>
      </c>
      <c r="AF220" s="417">
        <f t="shared" si="79"/>
        <v>0</v>
      </c>
      <c r="AG220" s="416">
        <f t="shared" si="80"/>
        <v>2.2999999999999998</v>
      </c>
      <c r="AH220" s="372">
        <f t="shared" si="81"/>
        <v>1</v>
      </c>
      <c r="AI220" s="373">
        <f t="shared" si="82"/>
        <v>1826.0869565217392</v>
      </c>
      <c r="AJ220" s="418">
        <f>VLOOKUP(D220,'Standard Cycle time'!C:D,2,0)</f>
        <v>2.5</v>
      </c>
      <c r="AK220" s="418">
        <f t="shared" si="83"/>
        <v>3.9428571428571431</v>
      </c>
      <c r="AL220" s="374">
        <f t="shared" si="84"/>
        <v>0.63405797101449268</v>
      </c>
      <c r="AM220" s="372">
        <f t="shared" si="85"/>
        <v>0.63405797101449268</v>
      </c>
      <c r="AN220" s="799" t="s">
        <v>2545</v>
      </c>
      <c r="AO220" s="761"/>
      <c r="AP220" s="440">
        <v>0</v>
      </c>
      <c r="AQ220" s="440">
        <v>0</v>
      </c>
      <c r="AR220" s="440">
        <v>0</v>
      </c>
      <c r="AS220" s="440">
        <v>0</v>
      </c>
      <c r="AT220" s="440">
        <v>0</v>
      </c>
      <c r="AU220" s="440">
        <v>0</v>
      </c>
      <c r="AV220" s="440">
        <v>0</v>
      </c>
      <c r="AW220" s="440">
        <v>0</v>
      </c>
      <c r="AX220" s="440">
        <v>0</v>
      </c>
      <c r="AY220" s="440">
        <v>0</v>
      </c>
      <c r="AZ220" s="440">
        <v>0</v>
      </c>
      <c r="BA220" s="440">
        <v>0</v>
      </c>
      <c r="BB220" s="440">
        <v>0</v>
      </c>
      <c r="BC220" s="440">
        <v>0</v>
      </c>
      <c r="BD220" s="440">
        <v>0</v>
      </c>
      <c r="BE220" s="440">
        <v>0</v>
      </c>
      <c r="BF220" s="440">
        <v>0</v>
      </c>
      <c r="BG220" s="440">
        <v>0</v>
      </c>
      <c r="BH220" s="440">
        <v>0</v>
      </c>
      <c r="BI220" s="440">
        <v>0</v>
      </c>
      <c r="BJ220" s="440">
        <v>0</v>
      </c>
      <c r="BK220" s="440">
        <v>0</v>
      </c>
      <c r="BL220" s="440">
        <v>0</v>
      </c>
      <c r="BM220" s="440">
        <v>0</v>
      </c>
      <c r="BN220" s="440">
        <v>0</v>
      </c>
      <c r="BO220" s="440">
        <v>0</v>
      </c>
      <c r="BP220" s="440">
        <v>0</v>
      </c>
      <c r="BQ220" s="440">
        <v>0</v>
      </c>
      <c r="BR220" s="415">
        <f t="shared" si="68"/>
        <v>0</v>
      </c>
      <c r="BS220" s="415">
        <f t="shared" si="70"/>
        <v>0</v>
      </c>
      <c r="BT220" s="935"/>
      <c r="BU220" s="935"/>
      <c r="BV220" s="935"/>
      <c r="BW220" s="935"/>
      <c r="BX220" s="935"/>
      <c r="BY220" s="935"/>
      <c r="BZ220" s="935"/>
      <c r="CA220" s="935"/>
      <c r="CB220" s="935"/>
      <c r="CC220" s="935"/>
      <c r="CD220" s="935"/>
      <c r="CE220" s="935"/>
      <c r="CF220" s="935"/>
      <c r="CG220" s="935"/>
      <c r="CH220" s="935"/>
      <c r="CI220" s="935"/>
      <c r="CJ220" s="935"/>
      <c r="CK220" s="935"/>
      <c r="CL220" s="935"/>
      <c r="CM220" s="935"/>
      <c r="CN220" s="935"/>
      <c r="CO220" s="935"/>
      <c r="CP220" s="935"/>
      <c r="CQ220" s="935"/>
      <c r="CR220" s="935"/>
      <c r="CS220" s="935"/>
      <c r="CT220" s="935"/>
      <c r="CU220" s="935"/>
      <c r="CV220" s="935"/>
    </row>
    <row r="221" spans="1:100">
      <c r="A221" s="375">
        <f t="shared" si="71"/>
        <v>8</v>
      </c>
      <c r="B221" s="455">
        <v>44428</v>
      </c>
      <c r="C221" s="493" t="s">
        <v>2000</v>
      </c>
      <c r="D221" s="376" t="str">
        <f>IFERROR(VLOOKUP(E:E,'Item Data Support Sheet'!A:O,7,0),"")</f>
        <v>NIPPLE WRAP PRINTED</v>
      </c>
      <c r="E221" s="447" t="s">
        <v>109</v>
      </c>
      <c r="F221" s="500"/>
      <c r="G221" s="376" t="s">
        <v>1693</v>
      </c>
      <c r="H221" s="602" t="str">
        <f>IFERROR(VLOOKUP(E:E,'Item Data Support Sheet'!A:O,2,0),"")</f>
        <v>NIPPLE S TYPE M SIZE WITH PRINTED WRAP</v>
      </c>
      <c r="I221" s="501" t="s">
        <v>2540</v>
      </c>
      <c r="J221" s="447" t="s">
        <v>2812</v>
      </c>
      <c r="K221" s="438">
        <v>2</v>
      </c>
      <c r="L221" s="499">
        <v>3700</v>
      </c>
      <c r="M221" s="366">
        <f t="shared" si="86"/>
        <v>1850</v>
      </c>
      <c r="N221" s="367">
        <f t="shared" si="69"/>
        <v>4000</v>
      </c>
      <c r="O221" s="61">
        <v>4000</v>
      </c>
      <c r="P221" s="368">
        <v>0</v>
      </c>
      <c r="Q221" s="368">
        <v>0</v>
      </c>
      <c r="R221" s="494">
        <v>0</v>
      </c>
      <c r="S221" s="493">
        <v>0</v>
      </c>
      <c r="T221" s="494">
        <v>0</v>
      </c>
      <c r="U221" s="493">
        <v>0</v>
      </c>
      <c r="V221" s="502">
        <v>2</v>
      </c>
      <c r="W221" s="453">
        <f t="shared" si="72"/>
        <v>2000</v>
      </c>
      <c r="X221" s="748">
        <f t="shared" si="73"/>
        <v>1.0810810810810811</v>
      </c>
      <c r="Y221" s="451" t="str">
        <f>IFERROR(VLOOKUP(E:E,'Item Data Support Sheet'!A:J,6,0),0)</f>
        <v>FO020</v>
      </c>
      <c r="Z221" s="428">
        <f>IFERROR(VLOOKUP(E:E,'Item Data Support Sheet'!A:O,4,0),0)</f>
        <v>0</v>
      </c>
      <c r="AA221" s="428">
        <f t="shared" si="74"/>
        <v>0</v>
      </c>
      <c r="AB221" s="429" t="str">
        <f t="shared" si="75"/>
        <v xml:space="preserve"> </v>
      </c>
      <c r="AC221" s="424">
        <f t="shared" si="76"/>
        <v>0</v>
      </c>
      <c r="AD221" s="371">
        <f t="shared" si="77"/>
        <v>0</v>
      </c>
      <c r="AE221" s="748">
        <f t="shared" si="78"/>
        <v>1</v>
      </c>
      <c r="AF221" s="417">
        <f t="shared" si="79"/>
        <v>0</v>
      </c>
      <c r="AG221" s="416">
        <f t="shared" si="80"/>
        <v>2</v>
      </c>
      <c r="AH221" s="372">
        <f t="shared" si="81"/>
        <v>1</v>
      </c>
      <c r="AI221" s="373">
        <f t="shared" si="82"/>
        <v>2000</v>
      </c>
      <c r="AJ221" s="418">
        <f>VLOOKUP(D221,'Standard Cycle time'!C:D,2,0)</f>
        <v>2.5</v>
      </c>
      <c r="AK221" s="418">
        <f t="shared" si="83"/>
        <v>3.6</v>
      </c>
      <c r="AL221" s="374">
        <f t="shared" si="84"/>
        <v>0.69444444444444442</v>
      </c>
      <c r="AM221" s="372">
        <f t="shared" si="85"/>
        <v>0.69444444444444442</v>
      </c>
      <c r="AN221" s="799" t="s">
        <v>2565</v>
      </c>
      <c r="AO221" s="761"/>
      <c r="AP221" s="440">
        <v>0</v>
      </c>
      <c r="AQ221" s="440">
        <v>0</v>
      </c>
      <c r="AR221" s="440">
        <v>0</v>
      </c>
      <c r="AS221" s="440">
        <v>0</v>
      </c>
      <c r="AT221" s="440">
        <v>0</v>
      </c>
      <c r="AU221" s="440">
        <v>0</v>
      </c>
      <c r="AV221" s="440">
        <v>0</v>
      </c>
      <c r="AW221" s="440">
        <v>0</v>
      </c>
      <c r="AX221" s="440">
        <v>0</v>
      </c>
      <c r="AY221" s="440">
        <v>0</v>
      </c>
      <c r="AZ221" s="440">
        <v>0</v>
      </c>
      <c r="BA221" s="440">
        <v>0</v>
      </c>
      <c r="BB221" s="440">
        <v>0</v>
      </c>
      <c r="BC221" s="440">
        <v>0</v>
      </c>
      <c r="BD221" s="440">
        <v>0</v>
      </c>
      <c r="BE221" s="440">
        <v>0</v>
      </c>
      <c r="BF221" s="440">
        <v>0</v>
      </c>
      <c r="BG221" s="440">
        <v>0</v>
      </c>
      <c r="BH221" s="440">
        <v>0</v>
      </c>
      <c r="BI221" s="440">
        <v>0</v>
      </c>
      <c r="BJ221" s="440">
        <v>0</v>
      </c>
      <c r="BK221" s="440">
        <v>0</v>
      </c>
      <c r="BL221" s="440">
        <v>0</v>
      </c>
      <c r="BM221" s="440">
        <v>0</v>
      </c>
      <c r="BN221" s="440">
        <v>0</v>
      </c>
      <c r="BO221" s="440">
        <v>0</v>
      </c>
      <c r="BP221" s="440">
        <v>0</v>
      </c>
      <c r="BQ221" s="440">
        <v>0</v>
      </c>
      <c r="BR221" s="415">
        <f t="shared" si="68"/>
        <v>0</v>
      </c>
      <c r="BS221" s="415">
        <f t="shared" si="70"/>
        <v>0</v>
      </c>
      <c r="BT221" s="935"/>
      <c r="BU221" s="935"/>
      <c r="BV221" s="935"/>
      <c r="BW221" s="935"/>
      <c r="BX221" s="935"/>
      <c r="BY221" s="935"/>
      <c r="BZ221" s="935"/>
      <c r="CA221" s="935"/>
      <c r="CB221" s="935"/>
      <c r="CC221" s="935"/>
      <c r="CD221" s="935"/>
      <c r="CE221" s="935"/>
      <c r="CF221" s="935"/>
      <c r="CG221" s="935"/>
      <c r="CH221" s="935"/>
      <c r="CI221" s="935"/>
      <c r="CJ221" s="935"/>
      <c r="CK221" s="935"/>
      <c r="CL221" s="935"/>
      <c r="CM221" s="935"/>
      <c r="CN221" s="935"/>
      <c r="CO221" s="935"/>
      <c r="CP221" s="935"/>
      <c r="CQ221" s="935"/>
      <c r="CR221" s="935"/>
      <c r="CS221" s="935"/>
      <c r="CT221" s="935"/>
      <c r="CU221" s="935"/>
      <c r="CV221" s="935"/>
    </row>
    <row r="222" spans="1:100">
      <c r="A222" s="375">
        <f t="shared" si="71"/>
        <v>8</v>
      </c>
      <c r="B222" s="455">
        <v>44428</v>
      </c>
      <c r="C222" s="493" t="s">
        <v>2000</v>
      </c>
      <c r="D222" s="376" t="str">
        <f>IFERROR(VLOOKUP(E:E,'Item Data Support Sheet'!A:O,7,0),"")</f>
        <v>NIPPLE WRAP PRINTED</v>
      </c>
      <c r="E222" s="447" t="s">
        <v>110</v>
      </c>
      <c r="F222" s="500"/>
      <c r="G222" s="376" t="s">
        <v>1693</v>
      </c>
      <c r="H222" s="602" t="str">
        <f>IFERROR(VLOOKUP(E:E,'Item Data Support Sheet'!A:O,2,0),"")</f>
        <v>NIPPLE S TYPE L SIZE WITH PRINTED WRAP</v>
      </c>
      <c r="I222" s="501" t="s">
        <v>2541</v>
      </c>
      <c r="J222" s="447" t="s">
        <v>2812</v>
      </c>
      <c r="K222" s="438">
        <v>2</v>
      </c>
      <c r="L222" s="499">
        <v>3500</v>
      </c>
      <c r="M222" s="366">
        <f t="shared" si="86"/>
        <v>1750</v>
      </c>
      <c r="N222" s="367">
        <f t="shared" si="69"/>
        <v>3752</v>
      </c>
      <c r="O222" s="61">
        <f>3757-5</f>
        <v>3752</v>
      </c>
      <c r="P222" s="368">
        <v>0</v>
      </c>
      <c r="Q222" s="368">
        <v>0</v>
      </c>
      <c r="R222" s="494">
        <v>0</v>
      </c>
      <c r="S222" s="493">
        <v>0</v>
      </c>
      <c r="T222" s="494">
        <v>0</v>
      </c>
      <c r="U222" s="493">
        <v>0</v>
      </c>
      <c r="V222" s="502">
        <v>2</v>
      </c>
      <c r="W222" s="453">
        <f t="shared" si="72"/>
        <v>1876</v>
      </c>
      <c r="X222" s="748">
        <f t="shared" si="73"/>
        <v>1.0720000000000001</v>
      </c>
      <c r="Y222" s="451" t="str">
        <f>IFERROR(VLOOKUP(E:E,'Item Data Support Sheet'!A:J,6,0),0)</f>
        <v>FO021</v>
      </c>
      <c r="Z222" s="428">
        <f>IFERROR(VLOOKUP(E:E,'Item Data Support Sheet'!A:O,4,0),0)</f>
        <v>0</v>
      </c>
      <c r="AA222" s="428">
        <f t="shared" si="74"/>
        <v>0</v>
      </c>
      <c r="AB222" s="429" t="str">
        <f t="shared" si="75"/>
        <v xml:space="preserve"> </v>
      </c>
      <c r="AC222" s="424">
        <f t="shared" si="76"/>
        <v>0</v>
      </c>
      <c r="AD222" s="371">
        <f t="shared" si="77"/>
        <v>0</v>
      </c>
      <c r="AE222" s="748">
        <f t="shared" si="78"/>
        <v>1</v>
      </c>
      <c r="AF222" s="417">
        <f t="shared" si="79"/>
        <v>0</v>
      </c>
      <c r="AG222" s="416">
        <f t="shared" si="80"/>
        <v>2</v>
      </c>
      <c r="AH222" s="372">
        <f t="shared" si="81"/>
        <v>1</v>
      </c>
      <c r="AI222" s="373">
        <f t="shared" si="82"/>
        <v>1876</v>
      </c>
      <c r="AJ222" s="418">
        <f>VLOOKUP(D222,'Standard Cycle time'!C:D,2,0)</f>
        <v>2.5</v>
      </c>
      <c r="AK222" s="418">
        <f t="shared" si="83"/>
        <v>3.8379530916844349</v>
      </c>
      <c r="AL222" s="374">
        <f t="shared" si="84"/>
        <v>0.65138888888888891</v>
      </c>
      <c r="AM222" s="372">
        <f t="shared" si="85"/>
        <v>0.65138888888888891</v>
      </c>
      <c r="AN222" s="799" t="s">
        <v>2544</v>
      </c>
      <c r="AO222" s="761"/>
      <c r="AP222" s="440">
        <v>0</v>
      </c>
      <c r="AQ222" s="440">
        <v>0</v>
      </c>
      <c r="AR222" s="440">
        <v>0</v>
      </c>
      <c r="AS222" s="440">
        <v>0</v>
      </c>
      <c r="AT222" s="440">
        <v>0</v>
      </c>
      <c r="AU222" s="440">
        <v>0</v>
      </c>
      <c r="AV222" s="440">
        <v>0</v>
      </c>
      <c r="AW222" s="440">
        <v>0</v>
      </c>
      <c r="AX222" s="440">
        <v>0</v>
      </c>
      <c r="AY222" s="440">
        <v>0</v>
      </c>
      <c r="AZ222" s="440">
        <v>0</v>
      </c>
      <c r="BA222" s="440">
        <v>0</v>
      </c>
      <c r="BB222" s="440">
        <v>0</v>
      </c>
      <c r="BC222" s="440">
        <v>0</v>
      </c>
      <c r="BD222" s="440">
        <v>0</v>
      </c>
      <c r="BE222" s="440">
        <v>0</v>
      </c>
      <c r="BF222" s="440">
        <v>0</v>
      </c>
      <c r="BG222" s="440">
        <v>0</v>
      </c>
      <c r="BH222" s="440">
        <v>0</v>
      </c>
      <c r="BI222" s="440">
        <v>0</v>
      </c>
      <c r="BJ222" s="440">
        <v>0</v>
      </c>
      <c r="BK222" s="440">
        <v>0</v>
      </c>
      <c r="BL222" s="440">
        <v>0</v>
      </c>
      <c r="BM222" s="440">
        <v>0</v>
      </c>
      <c r="BN222" s="440">
        <v>0</v>
      </c>
      <c r="BO222" s="440">
        <v>0</v>
      </c>
      <c r="BP222" s="440">
        <v>0</v>
      </c>
      <c r="BQ222" s="440">
        <v>0</v>
      </c>
      <c r="BR222" s="415">
        <f t="shared" si="68"/>
        <v>0</v>
      </c>
      <c r="BS222" s="415">
        <f t="shared" si="70"/>
        <v>0</v>
      </c>
      <c r="BT222" s="935"/>
      <c r="BU222" s="935"/>
      <c r="BV222" s="935"/>
      <c r="BW222" s="935"/>
      <c r="BX222" s="935"/>
      <c r="BY222" s="935"/>
      <c r="BZ222" s="935"/>
      <c r="CA222" s="935"/>
      <c r="CB222" s="935"/>
      <c r="CC222" s="935"/>
      <c r="CD222" s="935"/>
      <c r="CE222" s="935"/>
      <c r="CF222" s="935"/>
      <c r="CG222" s="935"/>
      <c r="CH222" s="935"/>
      <c r="CI222" s="935"/>
      <c r="CJ222" s="935"/>
      <c r="CK222" s="935"/>
      <c r="CL222" s="935"/>
      <c r="CM222" s="935"/>
      <c r="CN222" s="935"/>
      <c r="CO222" s="935"/>
      <c r="CP222" s="935"/>
      <c r="CQ222" s="935"/>
      <c r="CR222" s="935"/>
      <c r="CS222" s="935"/>
      <c r="CT222" s="935"/>
      <c r="CU222" s="935"/>
      <c r="CV222" s="935"/>
    </row>
    <row r="223" spans="1:100">
      <c r="A223" s="375">
        <f t="shared" si="71"/>
        <v>8</v>
      </c>
      <c r="B223" s="455">
        <v>44428</v>
      </c>
      <c r="C223" s="493" t="s">
        <v>2000</v>
      </c>
      <c r="D223" s="376" t="str">
        <f>IFERROR(VLOOKUP(E:E,'Item Data Support Sheet'!A:O,7,0),"")</f>
        <v>NIPPLE WRAP PRINTED</v>
      </c>
      <c r="E223" s="447" t="s">
        <v>2091</v>
      </c>
      <c r="F223" s="500"/>
      <c r="G223" s="376" t="s">
        <v>1693</v>
      </c>
      <c r="H223" s="602" t="str">
        <f>IFERROR(VLOOKUP(E:E,'Item Data Support Sheet'!A:O,2,0),"")</f>
        <v>NIPPLE S TYPE LL SIZE WRAPPED</v>
      </c>
      <c r="I223" s="501" t="s">
        <v>2542</v>
      </c>
      <c r="J223" s="447" t="s">
        <v>2812</v>
      </c>
      <c r="K223" s="438">
        <v>3</v>
      </c>
      <c r="L223" s="499">
        <v>5132</v>
      </c>
      <c r="M223" s="366">
        <f t="shared" si="86"/>
        <v>1710.6666666666667</v>
      </c>
      <c r="N223" s="367">
        <f t="shared" si="69"/>
        <v>6103</v>
      </c>
      <c r="O223" s="61">
        <v>6090</v>
      </c>
      <c r="P223" s="368">
        <v>0</v>
      </c>
      <c r="Q223" s="368">
        <v>0</v>
      </c>
      <c r="R223" s="494">
        <v>0</v>
      </c>
      <c r="S223" s="493">
        <v>0</v>
      </c>
      <c r="T223" s="494">
        <v>13</v>
      </c>
      <c r="U223" s="493">
        <v>0</v>
      </c>
      <c r="V223" s="502">
        <v>2</v>
      </c>
      <c r="W223" s="453">
        <f t="shared" si="72"/>
        <v>3045</v>
      </c>
      <c r="X223" s="748">
        <f t="shared" si="73"/>
        <v>1.186671862821512</v>
      </c>
      <c r="Y223" s="451" t="str">
        <f>IFERROR(VLOOKUP(E:E,'Item Data Support Sheet'!A:J,6,0),0)</f>
        <v>FO141</v>
      </c>
      <c r="Z223" s="428">
        <f>IFERROR(VLOOKUP(E:E,'Item Data Support Sheet'!A:O,4,0),0)</f>
        <v>0</v>
      </c>
      <c r="AA223" s="428">
        <f t="shared" si="74"/>
        <v>0</v>
      </c>
      <c r="AB223" s="429" t="str">
        <f t="shared" si="75"/>
        <v xml:space="preserve"> </v>
      </c>
      <c r="AC223" s="424">
        <f t="shared" si="76"/>
        <v>2.1300999508438471E-3</v>
      </c>
      <c r="AD223" s="371">
        <f t="shared" si="77"/>
        <v>0</v>
      </c>
      <c r="AE223" s="748">
        <f t="shared" si="78"/>
        <v>0.9978699000491561</v>
      </c>
      <c r="AF223" s="417">
        <f t="shared" si="79"/>
        <v>0</v>
      </c>
      <c r="AG223" s="416">
        <f t="shared" si="80"/>
        <v>3</v>
      </c>
      <c r="AH223" s="372">
        <f t="shared" si="81"/>
        <v>1</v>
      </c>
      <c r="AI223" s="373">
        <f t="shared" si="82"/>
        <v>2030</v>
      </c>
      <c r="AJ223" s="418">
        <f>VLOOKUP(D223,'Standard Cycle time'!C:D,2,0)</f>
        <v>2.5</v>
      </c>
      <c r="AK223" s="418">
        <f t="shared" si="83"/>
        <v>3.5467980295566504</v>
      </c>
      <c r="AL223" s="374">
        <f t="shared" si="84"/>
        <v>0.70486111111111105</v>
      </c>
      <c r="AM223" s="372">
        <f t="shared" si="85"/>
        <v>0.70335968649298153</v>
      </c>
      <c r="AN223" s="799">
        <v>2588</v>
      </c>
      <c r="AO223" s="761"/>
      <c r="AP223" s="440">
        <v>0</v>
      </c>
      <c r="AQ223" s="440">
        <v>0</v>
      </c>
      <c r="AR223" s="440">
        <v>0</v>
      </c>
      <c r="AS223" s="440">
        <v>0</v>
      </c>
      <c r="AT223" s="440">
        <v>0</v>
      </c>
      <c r="AU223" s="440">
        <v>0</v>
      </c>
      <c r="AV223" s="440">
        <v>0</v>
      </c>
      <c r="AW223" s="440">
        <v>0</v>
      </c>
      <c r="AX223" s="440">
        <v>0</v>
      </c>
      <c r="AY223" s="440">
        <v>0</v>
      </c>
      <c r="AZ223" s="440">
        <v>0</v>
      </c>
      <c r="BA223" s="440">
        <v>0</v>
      </c>
      <c r="BB223" s="440">
        <v>0</v>
      </c>
      <c r="BC223" s="440">
        <v>0</v>
      </c>
      <c r="BD223" s="440">
        <v>0</v>
      </c>
      <c r="BE223" s="440">
        <v>0</v>
      </c>
      <c r="BF223" s="440">
        <v>0</v>
      </c>
      <c r="BG223" s="440">
        <v>0</v>
      </c>
      <c r="BH223" s="440">
        <v>0</v>
      </c>
      <c r="BI223" s="440">
        <v>0</v>
      </c>
      <c r="BJ223" s="440">
        <v>0</v>
      </c>
      <c r="BK223" s="440">
        <v>0</v>
      </c>
      <c r="BL223" s="440">
        <v>0</v>
      </c>
      <c r="BM223" s="440">
        <v>0</v>
      </c>
      <c r="BN223" s="440">
        <v>0</v>
      </c>
      <c r="BO223" s="440">
        <v>0</v>
      </c>
      <c r="BP223" s="440">
        <v>0</v>
      </c>
      <c r="BQ223" s="440">
        <v>0</v>
      </c>
      <c r="BR223" s="415">
        <f t="shared" si="68"/>
        <v>0</v>
      </c>
      <c r="BS223" s="415">
        <f t="shared" si="70"/>
        <v>0</v>
      </c>
      <c r="BT223" s="935"/>
      <c r="BU223" s="935"/>
      <c r="BV223" s="935"/>
      <c r="BW223" s="935"/>
      <c r="BX223" s="935"/>
      <c r="BY223" s="935"/>
      <c r="BZ223" s="935"/>
      <c r="CA223" s="935"/>
      <c r="CB223" s="935"/>
      <c r="CC223" s="935"/>
      <c r="CD223" s="935"/>
      <c r="CE223" s="935"/>
      <c r="CF223" s="935"/>
      <c r="CG223" s="935"/>
      <c r="CH223" s="935"/>
      <c r="CI223" s="935"/>
      <c r="CJ223" s="935"/>
      <c r="CK223" s="935"/>
      <c r="CL223" s="935"/>
      <c r="CM223" s="935"/>
      <c r="CN223" s="935"/>
      <c r="CO223" s="935"/>
      <c r="CP223" s="935"/>
      <c r="CQ223" s="935"/>
      <c r="CR223" s="935"/>
      <c r="CS223" s="935"/>
      <c r="CT223" s="935"/>
      <c r="CU223" s="935"/>
      <c r="CV223" s="935"/>
    </row>
    <row r="224" spans="1:100">
      <c r="A224" s="375">
        <f t="shared" si="71"/>
        <v>8</v>
      </c>
      <c r="B224" s="455">
        <v>44428</v>
      </c>
      <c r="C224" s="493" t="s">
        <v>2000</v>
      </c>
      <c r="D224" s="376" t="str">
        <f>IFERROR(VLOOKUP(E:E,'Item Data Support Sheet'!A:O,7,0),"")</f>
        <v>NIPPLE PUNCH INSPECTED</v>
      </c>
      <c r="E224" s="447" t="s">
        <v>1818</v>
      </c>
      <c r="F224" s="500"/>
      <c r="G224" s="376"/>
      <c r="H224" s="602" t="str">
        <f>IFERROR(VLOOKUP(E:E,'Item Data Support Sheet'!A:O,2,0),"")</f>
        <v>NIPPLE S TYPE S SIZE PUNCHED INSPECTED</v>
      </c>
      <c r="I224" s="447" t="s">
        <v>2507</v>
      </c>
      <c r="J224" s="447" t="s">
        <v>2812</v>
      </c>
      <c r="K224" s="438">
        <v>8.5</v>
      </c>
      <c r="L224" s="499">
        <v>7036</v>
      </c>
      <c r="M224" s="366">
        <f t="shared" si="86"/>
        <v>827.76470588235293</v>
      </c>
      <c r="N224" s="367">
        <f t="shared" si="69"/>
        <v>7300</v>
      </c>
      <c r="O224" s="61">
        <v>7262</v>
      </c>
      <c r="P224" s="368">
        <v>0</v>
      </c>
      <c r="Q224" s="368">
        <v>0</v>
      </c>
      <c r="R224" s="494">
        <v>0</v>
      </c>
      <c r="S224" s="493">
        <v>0</v>
      </c>
      <c r="T224" s="494">
        <v>38</v>
      </c>
      <c r="U224" s="493">
        <v>0</v>
      </c>
      <c r="V224" s="502">
        <v>1</v>
      </c>
      <c r="W224" s="453">
        <f t="shared" si="72"/>
        <v>7262</v>
      </c>
      <c r="X224" s="748">
        <f t="shared" si="73"/>
        <v>1.0321205230244457</v>
      </c>
      <c r="Y224" s="451" t="str">
        <f>IFERROR(VLOOKUP(E:E,'Item Data Support Sheet'!A:J,6,0),0)</f>
        <v>FO104</v>
      </c>
      <c r="Z224" s="428">
        <f>IFERROR(VLOOKUP(E:E,'Item Data Support Sheet'!A:O,4,0),0)</f>
        <v>0</v>
      </c>
      <c r="AA224" s="428">
        <f t="shared" si="74"/>
        <v>0</v>
      </c>
      <c r="AB224" s="429" t="str">
        <f t="shared" si="75"/>
        <v xml:space="preserve"> </v>
      </c>
      <c r="AC224" s="424">
        <f t="shared" si="76"/>
        <v>5.2054794520547945E-3</v>
      </c>
      <c r="AD224" s="371">
        <f t="shared" si="77"/>
        <v>0</v>
      </c>
      <c r="AE224" s="748">
        <f t="shared" si="78"/>
        <v>0.99479452054794526</v>
      </c>
      <c r="AF224" s="417">
        <f t="shared" si="79"/>
        <v>0.83333333333333337</v>
      </c>
      <c r="AG224" s="416">
        <f t="shared" si="80"/>
        <v>7.666666666666667</v>
      </c>
      <c r="AH224" s="372">
        <f t="shared" si="81"/>
        <v>0.90196078431372551</v>
      </c>
      <c r="AI224" s="373">
        <f t="shared" si="82"/>
        <v>854.35294117647061</v>
      </c>
      <c r="AJ224" s="418">
        <f>VLOOKUP(D224,'Standard Cycle time'!C:D,2,0)</f>
        <v>4</v>
      </c>
      <c r="AK224" s="418">
        <f t="shared" si="83"/>
        <v>3.8006058936931977</v>
      </c>
      <c r="AL224" s="374">
        <f t="shared" si="84"/>
        <v>1.0524637681159419</v>
      </c>
      <c r="AM224" s="372">
        <f t="shared" si="85"/>
        <v>0.94433958277374863</v>
      </c>
      <c r="AN224" s="799" t="s">
        <v>2561</v>
      </c>
      <c r="AO224" s="929"/>
      <c r="AP224" s="440">
        <v>50</v>
      </c>
      <c r="AQ224" s="440">
        <v>0</v>
      </c>
      <c r="AR224" s="440">
        <v>0</v>
      </c>
      <c r="AS224" s="440">
        <v>0</v>
      </c>
      <c r="AT224" s="440">
        <v>0</v>
      </c>
      <c r="AU224" s="440">
        <v>0</v>
      </c>
      <c r="AV224" s="440">
        <v>0</v>
      </c>
      <c r="AW224" s="440">
        <v>0</v>
      </c>
      <c r="AX224" s="440">
        <v>0</v>
      </c>
      <c r="AY224" s="440">
        <v>0</v>
      </c>
      <c r="AZ224" s="440">
        <v>0</v>
      </c>
      <c r="BA224" s="440">
        <v>0</v>
      </c>
      <c r="BB224" s="440">
        <v>0</v>
      </c>
      <c r="BC224" s="440">
        <v>0</v>
      </c>
      <c r="BD224" s="440">
        <v>0</v>
      </c>
      <c r="BE224" s="440">
        <v>0</v>
      </c>
      <c r="BF224" s="440">
        <v>0</v>
      </c>
      <c r="BG224" s="440">
        <v>0</v>
      </c>
      <c r="BH224" s="440">
        <v>0</v>
      </c>
      <c r="BI224" s="440">
        <v>0</v>
      </c>
      <c r="BJ224" s="440">
        <v>0</v>
      </c>
      <c r="BK224" s="440">
        <v>0</v>
      </c>
      <c r="BL224" s="440">
        <v>0</v>
      </c>
      <c r="BM224" s="440">
        <v>0</v>
      </c>
      <c r="BN224" s="440">
        <v>0</v>
      </c>
      <c r="BO224" s="440">
        <v>0</v>
      </c>
      <c r="BP224" s="440">
        <v>0</v>
      </c>
      <c r="BQ224" s="440">
        <v>0</v>
      </c>
      <c r="BR224" s="415">
        <f t="shared" si="68"/>
        <v>0.83333333333333337</v>
      </c>
      <c r="BS224" s="415">
        <f t="shared" si="70"/>
        <v>0.84722222222222221</v>
      </c>
      <c r="BT224" s="935"/>
      <c r="BU224" s="935"/>
      <c r="BV224" s="935"/>
      <c r="BW224" s="935"/>
      <c r="BX224" s="935"/>
      <c r="BY224" s="935"/>
      <c r="BZ224" s="935"/>
      <c r="CA224" s="935"/>
      <c r="CB224" s="935"/>
      <c r="CC224" s="935"/>
      <c r="CD224" s="935"/>
      <c r="CE224" s="935"/>
      <c r="CF224" s="935"/>
      <c r="CG224" s="935"/>
      <c r="CH224" s="935"/>
      <c r="CI224" s="935"/>
      <c r="CJ224" s="935"/>
      <c r="CK224" s="935"/>
      <c r="CL224" s="935"/>
      <c r="CM224" s="935"/>
      <c r="CN224" s="935"/>
      <c r="CO224" s="935"/>
      <c r="CP224" s="935"/>
      <c r="CQ224" s="935"/>
      <c r="CR224" s="935"/>
      <c r="CS224" s="935"/>
      <c r="CT224" s="935"/>
      <c r="CU224" s="935"/>
      <c r="CV224" s="935"/>
    </row>
    <row r="225" spans="1:100">
      <c r="A225" s="375">
        <f t="shared" si="71"/>
        <v>8</v>
      </c>
      <c r="B225" s="455">
        <v>44428</v>
      </c>
      <c r="C225" s="493" t="s">
        <v>2001</v>
      </c>
      <c r="D225" s="376" t="str">
        <f>IFERROR(VLOOKUP(E:E,'Item Data Support Sheet'!A:O,7,0),"")</f>
        <v>BOTTLE MOLDED</v>
      </c>
      <c r="E225" s="447" t="s">
        <v>14</v>
      </c>
      <c r="F225" s="500" t="s">
        <v>1681</v>
      </c>
      <c r="G225" s="376" t="s">
        <v>1888</v>
      </c>
      <c r="H225" s="602" t="str">
        <f>IFERROR(VLOOKUP(E:E,'Item Data Support Sheet'!A:O,2,0),"")</f>
        <v>KPP 240 ML BOTTLE MOLDED</v>
      </c>
      <c r="I225" s="501" t="s">
        <v>2543</v>
      </c>
      <c r="J225" s="447" t="s">
        <v>2810</v>
      </c>
      <c r="K225" s="438">
        <v>8</v>
      </c>
      <c r="L225" s="499">
        <v>2574</v>
      </c>
      <c r="M225" s="366">
        <f t="shared" si="86"/>
        <v>321.75</v>
      </c>
      <c r="N225" s="367">
        <f t="shared" si="69"/>
        <v>3227</v>
      </c>
      <c r="O225" s="61">
        <f>29*108</f>
        <v>3132</v>
      </c>
      <c r="P225" s="368">
        <v>0.35</v>
      </c>
      <c r="Q225" s="368">
        <v>24</v>
      </c>
      <c r="R225" s="494">
        <v>0</v>
      </c>
      <c r="S225" s="493">
        <v>0</v>
      </c>
      <c r="T225" s="494">
        <f>95-24</f>
        <v>71</v>
      </c>
      <c r="U225" s="493">
        <v>0</v>
      </c>
      <c r="V225" s="502">
        <v>1</v>
      </c>
      <c r="W225" s="453">
        <f t="shared" si="72"/>
        <v>3132</v>
      </c>
      <c r="X225" s="748">
        <f t="shared" si="73"/>
        <v>1.2167832167832169</v>
      </c>
      <c r="Y225" s="451" t="str">
        <f>IFERROR(VLOOKUP(E:E,'Item Data Support Sheet'!A:J,6,0),0)</f>
        <v>HMC</v>
      </c>
      <c r="Z225" s="428">
        <f>IFERROR(VLOOKUP(E:E,'Item Data Support Sheet'!A:O,4,0),0)</f>
        <v>32.1</v>
      </c>
      <c r="AA225" s="428">
        <f t="shared" si="74"/>
        <v>103.9367</v>
      </c>
      <c r="AB225" s="429">
        <f t="shared" si="75"/>
        <v>0.96729259251063393</v>
      </c>
      <c r="AC225" s="424">
        <f t="shared" si="76"/>
        <v>2.216671870121761E-2</v>
      </c>
      <c r="AD225" s="371">
        <f t="shared" si="77"/>
        <v>7.3823438941864042E-3</v>
      </c>
      <c r="AE225" s="748">
        <f t="shared" si="78"/>
        <v>0.97799814068794544</v>
      </c>
      <c r="AF225" s="417">
        <f t="shared" si="79"/>
        <v>0</v>
      </c>
      <c r="AG225" s="416">
        <f t="shared" si="80"/>
        <v>8</v>
      </c>
      <c r="AH225" s="372">
        <f t="shared" si="81"/>
        <v>1</v>
      </c>
      <c r="AI225" s="373">
        <f t="shared" si="82"/>
        <v>391.5</v>
      </c>
      <c r="AJ225" s="418">
        <f>VLOOKUP(D225,'Standard Cycle time'!C:D,2,0)</f>
        <v>9</v>
      </c>
      <c r="AK225" s="418">
        <f t="shared" si="83"/>
        <v>9.1954022988505741</v>
      </c>
      <c r="AL225" s="374">
        <f t="shared" si="84"/>
        <v>0.97875000000000001</v>
      </c>
      <c r="AM225" s="372">
        <f t="shared" si="85"/>
        <v>0.95721568019832659</v>
      </c>
      <c r="AN225" s="799">
        <v>2594</v>
      </c>
      <c r="AO225" s="761"/>
      <c r="AP225" s="440">
        <v>0</v>
      </c>
      <c r="AQ225" s="440">
        <v>0</v>
      </c>
      <c r="AR225" s="440">
        <v>0</v>
      </c>
      <c r="AS225" s="440">
        <v>0</v>
      </c>
      <c r="AT225" s="440">
        <v>0</v>
      </c>
      <c r="AU225" s="440">
        <v>0</v>
      </c>
      <c r="AV225" s="440">
        <v>0</v>
      </c>
      <c r="AW225" s="440">
        <v>0</v>
      </c>
      <c r="AX225" s="440">
        <v>0</v>
      </c>
      <c r="AY225" s="440">
        <v>0</v>
      </c>
      <c r="AZ225" s="440">
        <v>0</v>
      </c>
      <c r="BA225" s="440">
        <v>0</v>
      </c>
      <c r="BB225" s="440">
        <v>0</v>
      </c>
      <c r="BC225" s="440">
        <v>0</v>
      </c>
      <c r="BD225" s="440">
        <v>0</v>
      </c>
      <c r="BE225" s="440">
        <v>0</v>
      </c>
      <c r="BF225" s="440">
        <v>0</v>
      </c>
      <c r="BG225" s="440">
        <v>0</v>
      </c>
      <c r="BH225" s="440">
        <v>0</v>
      </c>
      <c r="BI225" s="440">
        <v>0</v>
      </c>
      <c r="BJ225" s="440">
        <v>0</v>
      </c>
      <c r="BK225" s="440">
        <v>0</v>
      </c>
      <c r="BL225" s="440">
        <v>0</v>
      </c>
      <c r="BM225" s="440">
        <v>0</v>
      </c>
      <c r="BN225" s="440">
        <v>0</v>
      </c>
      <c r="BO225" s="440">
        <v>0</v>
      </c>
      <c r="BP225" s="440">
        <v>0</v>
      </c>
      <c r="BQ225" s="440">
        <v>0</v>
      </c>
      <c r="BR225" s="415">
        <f t="shared" si="68"/>
        <v>0</v>
      </c>
      <c r="BS225" s="415">
        <f t="shared" si="70"/>
        <v>0</v>
      </c>
      <c r="BT225" s="935"/>
      <c r="BU225" s="935"/>
      <c r="BV225" s="935"/>
      <c r="BW225" s="935"/>
      <c r="BX225" s="935"/>
      <c r="BY225" s="935"/>
      <c r="BZ225" s="935"/>
      <c r="CA225" s="935"/>
      <c r="CB225" s="935"/>
      <c r="CC225" s="935"/>
      <c r="CD225" s="935"/>
      <c r="CE225" s="935"/>
      <c r="CF225" s="935"/>
      <c r="CG225" s="935"/>
      <c r="CH225" s="935"/>
      <c r="CI225" s="935"/>
      <c r="CJ225" s="935"/>
      <c r="CK225" s="935"/>
      <c r="CL225" s="935"/>
      <c r="CM225" s="935"/>
      <c r="CN225" s="935"/>
      <c r="CO225" s="935"/>
      <c r="CP225" s="935"/>
      <c r="CQ225" s="935"/>
      <c r="CR225" s="935"/>
      <c r="CS225" s="935"/>
      <c r="CT225" s="935"/>
      <c r="CU225" s="935"/>
      <c r="CV225" s="935"/>
    </row>
    <row r="226" spans="1:100">
      <c r="A226" s="375">
        <f t="shared" si="71"/>
        <v>8</v>
      </c>
      <c r="B226" s="455">
        <v>44428</v>
      </c>
      <c r="C226" s="493" t="s">
        <v>2001</v>
      </c>
      <c r="D226" s="376" t="str">
        <f>IFERROR(VLOOKUP(E:E,'Item Data Support Sheet'!A:O,7,0),"")</f>
        <v>NIPPLE PUNCH</v>
      </c>
      <c r="E226" s="447" t="s">
        <v>80</v>
      </c>
      <c r="F226" s="500"/>
      <c r="G226" s="376" t="s">
        <v>1692</v>
      </c>
      <c r="H226" s="602" t="str">
        <f>IFERROR(VLOOKUP(E:E,'Item Data Support Sheet'!A:O,2,0),"")</f>
        <v>NIPPLE S TYPE S SIZE PUNCHED</v>
      </c>
      <c r="I226" s="501" t="s">
        <v>2546</v>
      </c>
      <c r="J226" s="447" t="s">
        <v>2810</v>
      </c>
      <c r="K226" s="438">
        <v>5</v>
      </c>
      <c r="L226" s="499">
        <v>4500</v>
      </c>
      <c r="M226" s="366">
        <f t="shared" si="86"/>
        <v>900</v>
      </c>
      <c r="N226" s="367">
        <f t="shared" si="69"/>
        <v>3950</v>
      </c>
      <c r="O226" s="61">
        <v>3950</v>
      </c>
      <c r="P226" s="368">
        <v>0</v>
      </c>
      <c r="Q226" s="368">
        <v>0</v>
      </c>
      <c r="R226" s="494">
        <v>0</v>
      </c>
      <c r="S226" s="493">
        <v>0</v>
      </c>
      <c r="T226" s="494">
        <v>0</v>
      </c>
      <c r="U226" s="493">
        <v>0</v>
      </c>
      <c r="V226" s="502">
        <v>1</v>
      </c>
      <c r="W226" s="453">
        <f t="shared" si="72"/>
        <v>3950</v>
      </c>
      <c r="X226" s="748">
        <f t="shared" si="73"/>
        <v>0.87777777777777777</v>
      </c>
      <c r="Y226" s="451" t="str">
        <f>IFERROR(VLOOKUP(E:E,'Item Data Support Sheet'!A:J,6,0),0)</f>
        <v>FO015</v>
      </c>
      <c r="Z226" s="428">
        <f>IFERROR(VLOOKUP(E:E,'Item Data Support Sheet'!A:O,4,0),0)</f>
        <v>0</v>
      </c>
      <c r="AA226" s="428">
        <f t="shared" si="74"/>
        <v>0</v>
      </c>
      <c r="AB226" s="429" t="str">
        <f t="shared" si="75"/>
        <v xml:space="preserve"> </v>
      </c>
      <c r="AC226" s="424">
        <f t="shared" si="76"/>
        <v>0</v>
      </c>
      <c r="AD226" s="371">
        <f t="shared" si="77"/>
        <v>0</v>
      </c>
      <c r="AE226" s="748">
        <f t="shared" si="78"/>
        <v>1</v>
      </c>
      <c r="AF226" s="417">
        <f t="shared" si="79"/>
        <v>0</v>
      </c>
      <c r="AG226" s="416">
        <f t="shared" si="80"/>
        <v>5</v>
      </c>
      <c r="AH226" s="372">
        <f t="shared" si="81"/>
        <v>1</v>
      </c>
      <c r="AI226" s="373">
        <f t="shared" si="82"/>
        <v>790</v>
      </c>
      <c r="AJ226" s="418">
        <f>VLOOKUP(D226,'Standard Cycle time'!C:D,2,0)</f>
        <v>3.5</v>
      </c>
      <c r="AK226" s="418">
        <f t="shared" si="83"/>
        <v>4.556962025316456</v>
      </c>
      <c r="AL226" s="374">
        <f t="shared" si="84"/>
        <v>0.76805555555555549</v>
      </c>
      <c r="AM226" s="372">
        <f t="shared" si="85"/>
        <v>0.76805555555555549</v>
      </c>
      <c r="AN226" s="799">
        <v>2601</v>
      </c>
      <c r="AO226" s="929" t="s">
        <v>2553</v>
      </c>
      <c r="AP226" s="440">
        <v>0</v>
      </c>
      <c r="AQ226" s="440">
        <v>0</v>
      </c>
      <c r="AR226" s="440">
        <v>0</v>
      </c>
      <c r="AS226" s="440">
        <v>0</v>
      </c>
      <c r="AT226" s="440">
        <v>0</v>
      </c>
      <c r="AU226" s="440">
        <v>0</v>
      </c>
      <c r="AV226" s="440">
        <v>0</v>
      </c>
      <c r="AW226" s="440">
        <v>0</v>
      </c>
      <c r="AX226" s="440">
        <v>0</v>
      </c>
      <c r="AY226" s="440">
        <v>0</v>
      </c>
      <c r="AZ226" s="440">
        <v>0</v>
      </c>
      <c r="BA226" s="440">
        <v>0</v>
      </c>
      <c r="BB226" s="440">
        <v>0</v>
      </c>
      <c r="BC226" s="440">
        <v>0</v>
      </c>
      <c r="BD226" s="440">
        <v>0</v>
      </c>
      <c r="BE226" s="440">
        <v>0</v>
      </c>
      <c r="BF226" s="440">
        <v>0</v>
      </c>
      <c r="BG226" s="440">
        <v>0</v>
      </c>
      <c r="BH226" s="440">
        <v>0</v>
      </c>
      <c r="BI226" s="440">
        <v>0</v>
      </c>
      <c r="BJ226" s="440">
        <v>0</v>
      </c>
      <c r="BK226" s="440">
        <v>0</v>
      </c>
      <c r="BL226" s="440">
        <v>0</v>
      </c>
      <c r="BM226" s="440">
        <v>0</v>
      </c>
      <c r="BN226" s="440">
        <v>0</v>
      </c>
      <c r="BO226" s="440">
        <v>0</v>
      </c>
      <c r="BP226" s="440">
        <v>0</v>
      </c>
      <c r="BQ226" s="440">
        <v>0</v>
      </c>
      <c r="BR226" s="415">
        <f t="shared" si="68"/>
        <v>0</v>
      </c>
      <c r="BS226" s="415">
        <f t="shared" si="70"/>
        <v>0</v>
      </c>
      <c r="BT226" s="935"/>
      <c r="BU226" s="935"/>
      <c r="BV226" s="935"/>
      <c r="BW226" s="935"/>
      <c r="BX226" s="935"/>
      <c r="BY226" s="935"/>
      <c r="BZ226" s="935"/>
      <c r="CA226" s="935"/>
      <c r="CB226" s="935"/>
      <c r="CC226" s="935"/>
      <c r="CD226" s="935"/>
      <c r="CE226" s="935"/>
      <c r="CF226" s="935"/>
      <c r="CG226" s="935"/>
      <c r="CH226" s="935"/>
      <c r="CI226" s="935"/>
      <c r="CJ226" s="935"/>
      <c r="CK226" s="935"/>
      <c r="CL226" s="935"/>
      <c r="CM226" s="935"/>
      <c r="CN226" s="935"/>
      <c r="CO226" s="935"/>
      <c r="CP226" s="935"/>
      <c r="CQ226" s="935"/>
      <c r="CR226" s="935"/>
      <c r="CS226" s="935"/>
      <c r="CT226" s="935"/>
      <c r="CU226" s="935"/>
      <c r="CV226" s="935"/>
    </row>
    <row r="227" spans="1:100">
      <c r="A227" s="375">
        <f t="shared" si="71"/>
        <v>8</v>
      </c>
      <c r="B227" s="455">
        <v>44428</v>
      </c>
      <c r="C227" s="493" t="s">
        <v>2001</v>
      </c>
      <c r="D227" s="376" t="str">
        <f>IFERROR(VLOOKUP(E:E,'Item Data Support Sheet'!A:O,7,0),"")</f>
        <v>NIPPLE PUNCH</v>
      </c>
      <c r="E227" s="447" t="s">
        <v>2486</v>
      </c>
      <c r="F227" s="500"/>
      <c r="G227" s="376" t="s">
        <v>1692</v>
      </c>
      <c r="H227" s="602" t="str">
        <f>IFERROR(VLOOKUP(E:E,'Item Data Support Sheet'!A:O,2,0),"")</f>
        <v>NIPPLE S TYPE LL SIZE PUNCHED</v>
      </c>
      <c r="I227" s="501" t="s">
        <v>2509</v>
      </c>
      <c r="J227" s="447" t="s">
        <v>2810</v>
      </c>
      <c r="K227" s="438">
        <v>3</v>
      </c>
      <c r="L227" s="499">
        <f>7000-4500</f>
        <v>2500</v>
      </c>
      <c r="M227" s="366">
        <f t="shared" si="86"/>
        <v>833.33333333333337</v>
      </c>
      <c r="N227" s="367">
        <f t="shared" si="69"/>
        <v>2000</v>
      </c>
      <c r="O227" s="61">
        <v>2000</v>
      </c>
      <c r="P227" s="368">
        <v>0</v>
      </c>
      <c r="Q227" s="368">
        <v>0</v>
      </c>
      <c r="R227" s="494">
        <v>0</v>
      </c>
      <c r="S227" s="493">
        <v>0</v>
      </c>
      <c r="T227" s="494">
        <v>0</v>
      </c>
      <c r="U227" s="493">
        <v>0</v>
      </c>
      <c r="V227" s="502">
        <v>1</v>
      </c>
      <c r="W227" s="453">
        <f t="shared" si="72"/>
        <v>2000</v>
      </c>
      <c r="X227" s="748">
        <f t="shared" si="73"/>
        <v>0.8</v>
      </c>
      <c r="Y227" s="451" t="str">
        <f>IFERROR(VLOOKUP(E:E,'Item Data Support Sheet'!A:J,6,0),0)</f>
        <v>FO150</v>
      </c>
      <c r="Z227" s="428">
        <f>IFERROR(VLOOKUP(E:E,'Item Data Support Sheet'!A:O,4,0),0)</f>
        <v>0</v>
      </c>
      <c r="AA227" s="428">
        <f t="shared" si="74"/>
        <v>0</v>
      </c>
      <c r="AB227" s="429" t="str">
        <f t="shared" si="75"/>
        <v xml:space="preserve"> </v>
      </c>
      <c r="AC227" s="424">
        <f t="shared" si="76"/>
        <v>0</v>
      </c>
      <c r="AD227" s="371">
        <f t="shared" si="77"/>
        <v>0</v>
      </c>
      <c r="AE227" s="748">
        <f t="shared" si="78"/>
        <v>1</v>
      </c>
      <c r="AF227" s="417">
        <f t="shared" si="79"/>
        <v>1.1666666666666667</v>
      </c>
      <c r="AG227" s="416">
        <f t="shared" si="80"/>
        <v>1.8333333333333333</v>
      </c>
      <c r="AH227" s="372">
        <f t="shared" si="81"/>
        <v>0.61111111111111105</v>
      </c>
      <c r="AI227" s="373">
        <f t="shared" si="82"/>
        <v>666.66666666666663</v>
      </c>
      <c r="AJ227" s="418">
        <f>VLOOKUP(D227,'Standard Cycle time'!C:D,2,0)</f>
        <v>3.5</v>
      </c>
      <c r="AK227" s="418">
        <f t="shared" si="83"/>
        <v>3.3</v>
      </c>
      <c r="AL227" s="374">
        <f t="shared" si="84"/>
        <v>1.0606060606060606</v>
      </c>
      <c r="AM227" s="372">
        <f t="shared" si="85"/>
        <v>0.64814814814814803</v>
      </c>
      <c r="AN227" s="799">
        <v>2602</v>
      </c>
      <c r="AO227" s="929"/>
      <c r="AP227" s="440">
        <v>40</v>
      </c>
      <c r="AQ227" s="440">
        <v>0</v>
      </c>
      <c r="AR227" s="440">
        <v>0</v>
      </c>
      <c r="AS227" s="440">
        <v>0</v>
      </c>
      <c r="AT227" s="440">
        <v>0</v>
      </c>
      <c r="AU227" s="440">
        <v>0</v>
      </c>
      <c r="AV227" s="440">
        <v>0</v>
      </c>
      <c r="AW227" s="440">
        <v>0</v>
      </c>
      <c r="AX227" s="440">
        <v>0</v>
      </c>
      <c r="AY227" s="440">
        <v>0</v>
      </c>
      <c r="AZ227" s="440">
        <v>0</v>
      </c>
      <c r="BA227" s="440">
        <v>0</v>
      </c>
      <c r="BB227" s="440">
        <v>0</v>
      </c>
      <c r="BC227" s="440">
        <v>0</v>
      </c>
      <c r="BD227" s="440">
        <v>0</v>
      </c>
      <c r="BE227" s="440">
        <v>0</v>
      </c>
      <c r="BF227" s="440">
        <v>30</v>
      </c>
      <c r="BG227" s="440">
        <v>0</v>
      </c>
      <c r="BH227" s="440">
        <v>0</v>
      </c>
      <c r="BI227" s="440">
        <v>0</v>
      </c>
      <c r="BJ227" s="440">
        <v>0</v>
      </c>
      <c r="BK227" s="440">
        <v>0</v>
      </c>
      <c r="BL227" s="440">
        <v>0</v>
      </c>
      <c r="BM227" s="440">
        <v>0</v>
      </c>
      <c r="BN227" s="440">
        <v>0</v>
      </c>
      <c r="BO227" s="440">
        <v>0</v>
      </c>
      <c r="BP227" s="440">
        <v>0</v>
      </c>
      <c r="BQ227" s="440">
        <v>0</v>
      </c>
      <c r="BR227" s="415">
        <f t="shared" si="68"/>
        <v>1.1666666666666667</v>
      </c>
      <c r="BS227" s="415">
        <f t="shared" si="70"/>
        <v>1.1861111111111111</v>
      </c>
      <c r="BT227" s="935"/>
      <c r="BU227" s="935"/>
      <c r="BV227" s="935"/>
      <c r="BW227" s="935"/>
      <c r="BX227" s="935"/>
      <c r="BY227" s="935"/>
      <c r="BZ227" s="935"/>
      <c r="CA227" s="935"/>
      <c r="CB227" s="935"/>
      <c r="CC227" s="935"/>
      <c r="CD227" s="935"/>
      <c r="CE227" s="935"/>
      <c r="CF227" s="935"/>
      <c r="CG227" s="935"/>
      <c r="CH227" s="935"/>
      <c r="CI227" s="935"/>
      <c r="CJ227" s="935"/>
      <c r="CK227" s="935"/>
      <c r="CL227" s="935"/>
      <c r="CM227" s="935"/>
      <c r="CN227" s="935"/>
      <c r="CO227" s="935"/>
      <c r="CP227" s="935"/>
      <c r="CQ227" s="935"/>
      <c r="CR227" s="935"/>
      <c r="CS227" s="935"/>
      <c r="CT227" s="935"/>
      <c r="CU227" s="935"/>
      <c r="CV227" s="935"/>
    </row>
    <row r="228" spans="1:100">
      <c r="A228" s="375">
        <f t="shared" si="71"/>
        <v>8</v>
      </c>
      <c r="B228" s="455">
        <v>44428</v>
      </c>
      <c r="C228" s="493" t="s">
        <v>2001</v>
      </c>
      <c r="D228" s="376" t="str">
        <f>IFERROR(VLOOKUP(E:E,'Item Data Support Sheet'!A:O,7,0),"")</f>
        <v>NIPPLE LASER MARKING</v>
      </c>
      <c r="E228" s="447" t="s">
        <v>1814</v>
      </c>
      <c r="F228" s="500"/>
      <c r="G228" s="376" t="s">
        <v>1812</v>
      </c>
      <c r="H228" s="602" t="str">
        <f>IFERROR(VLOOKUP(E:E,'Item Data Support Sheet'!A:O,2,0),"")</f>
        <v>NIPPLE S TYPE S SIZE PUNCHED LASER MARKED</v>
      </c>
      <c r="I228" s="501" t="s">
        <v>2547</v>
      </c>
      <c r="J228" s="447" t="s">
        <v>2810</v>
      </c>
      <c r="K228" s="438">
        <v>8</v>
      </c>
      <c r="L228" s="499">
        <v>7000</v>
      </c>
      <c r="M228" s="366">
        <f t="shared" si="86"/>
        <v>875</v>
      </c>
      <c r="N228" s="367">
        <f t="shared" si="69"/>
        <v>7200</v>
      </c>
      <c r="O228" s="61">
        <v>7200</v>
      </c>
      <c r="P228" s="368">
        <v>0</v>
      </c>
      <c r="Q228" s="368">
        <v>0</v>
      </c>
      <c r="R228" s="494">
        <v>0</v>
      </c>
      <c r="S228" s="493">
        <v>0</v>
      </c>
      <c r="T228" s="494">
        <v>0</v>
      </c>
      <c r="U228" s="493">
        <v>0</v>
      </c>
      <c r="V228" s="502">
        <v>1</v>
      </c>
      <c r="W228" s="453">
        <f t="shared" si="72"/>
        <v>7200</v>
      </c>
      <c r="X228" s="748">
        <f t="shared" si="73"/>
        <v>1.0285714285714285</v>
      </c>
      <c r="Y228" s="451" t="str">
        <f>IFERROR(VLOOKUP(E:E,'Item Data Support Sheet'!A:J,6,0),0)</f>
        <v>FO019</v>
      </c>
      <c r="Z228" s="428">
        <f>IFERROR(VLOOKUP(E:E,'Item Data Support Sheet'!A:O,4,0),0)</f>
        <v>0</v>
      </c>
      <c r="AA228" s="428">
        <f t="shared" si="74"/>
        <v>0</v>
      </c>
      <c r="AB228" s="429" t="str">
        <f t="shared" si="75"/>
        <v xml:space="preserve"> </v>
      </c>
      <c r="AC228" s="424">
        <f t="shared" si="76"/>
        <v>0</v>
      </c>
      <c r="AD228" s="371">
        <f t="shared" si="77"/>
        <v>0</v>
      </c>
      <c r="AE228" s="748">
        <f t="shared" si="78"/>
        <v>1</v>
      </c>
      <c r="AF228" s="417">
        <f t="shared" si="79"/>
        <v>0.66666666666666663</v>
      </c>
      <c r="AG228" s="416">
        <f t="shared" si="80"/>
        <v>7.333333333333333</v>
      </c>
      <c r="AH228" s="372">
        <f t="shared" si="81"/>
        <v>0.91666666666666663</v>
      </c>
      <c r="AI228" s="373">
        <f t="shared" si="82"/>
        <v>900</v>
      </c>
      <c r="AJ228" s="418">
        <f>VLOOKUP(D228,'Standard Cycle time'!C:D,2,0)</f>
        <v>3.5</v>
      </c>
      <c r="AK228" s="418">
        <f t="shared" si="83"/>
        <v>3.6666666666666665</v>
      </c>
      <c r="AL228" s="374">
        <f t="shared" si="84"/>
        <v>0.95454545454545459</v>
      </c>
      <c r="AM228" s="372">
        <f t="shared" si="85"/>
        <v>0.875</v>
      </c>
      <c r="AN228" s="799" t="s">
        <v>2548</v>
      </c>
      <c r="AO228" s="929"/>
      <c r="AP228" s="440">
        <v>40</v>
      </c>
      <c r="AQ228" s="440">
        <v>0</v>
      </c>
      <c r="AR228" s="440">
        <v>0</v>
      </c>
      <c r="AS228" s="440">
        <v>0</v>
      </c>
      <c r="AT228" s="440">
        <v>0</v>
      </c>
      <c r="AU228" s="440">
        <v>0</v>
      </c>
      <c r="AV228" s="440">
        <v>0</v>
      </c>
      <c r="AW228" s="440">
        <v>0</v>
      </c>
      <c r="AX228" s="440">
        <v>0</v>
      </c>
      <c r="AY228" s="440">
        <v>0</v>
      </c>
      <c r="AZ228" s="440">
        <v>0</v>
      </c>
      <c r="BA228" s="440">
        <v>0</v>
      </c>
      <c r="BB228" s="440">
        <v>0</v>
      </c>
      <c r="BC228" s="440">
        <v>0</v>
      </c>
      <c r="BD228" s="440">
        <v>0</v>
      </c>
      <c r="BE228" s="440">
        <v>0</v>
      </c>
      <c r="BF228" s="440">
        <v>0</v>
      </c>
      <c r="BG228" s="440">
        <v>0</v>
      </c>
      <c r="BH228" s="440">
        <v>0</v>
      </c>
      <c r="BI228" s="440">
        <v>0</v>
      </c>
      <c r="BJ228" s="440">
        <v>0</v>
      </c>
      <c r="BK228" s="440">
        <v>0</v>
      </c>
      <c r="BL228" s="440">
        <v>0</v>
      </c>
      <c r="BM228" s="440">
        <v>0</v>
      </c>
      <c r="BN228" s="440">
        <v>0</v>
      </c>
      <c r="BO228" s="440">
        <v>0</v>
      </c>
      <c r="BP228" s="440">
        <v>0</v>
      </c>
      <c r="BQ228" s="440">
        <v>0</v>
      </c>
      <c r="BR228" s="415">
        <f t="shared" si="68"/>
        <v>0.66666666666666663</v>
      </c>
      <c r="BS228" s="415">
        <f t="shared" si="70"/>
        <v>0.6777777777777777</v>
      </c>
      <c r="BT228" s="935"/>
      <c r="BU228" s="935"/>
      <c r="BV228" s="935"/>
      <c r="BW228" s="935"/>
      <c r="BX228" s="935"/>
      <c r="BY228" s="935"/>
      <c r="BZ228" s="935"/>
      <c r="CA228" s="935"/>
      <c r="CB228" s="935"/>
      <c r="CC228" s="935"/>
      <c r="CD228" s="935"/>
      <c r="CE228" s="935"/>
      <c r="CF228" s="935"/>
      <c r="CG228" s="935"/>
      <c r="CH228" s="935"/>
      <c r="CI228" s="935"/>
      <c r="CJ228" s="935"/>
      <c r="CK228" s="935"/>
      <c r="CL228" s="935"/>
      <c r="CM228" s="935"/>
      <c r="CN228" s="935"/>
      <c r="CO228" s="935"/>
      <c r="CP228" s="935"/>
      <c r="CQ228" s="935"/>
      <c r="CR228" s="935"/>
      <c r="CS228" s="935"/>
      <c r="CT228" s="935"/>
      <c r="CU228" s="935"/>
      <c r="CV228" s="935"/>
    </row>
    <row r="229" spans="1:100">
      <c r="A229" s="375">
        <f t="shared" si="71"/>
        <v>8</v>
      </c>
      <c r="B229" s="455">
        <v>44428</v>
      </c>
      <c r="C229" s="493" t="s">
        <v>2001</v>
      </c>
      <c r="D229" s="376" t="str">
        <f>IFERROR(VLOOKUP(E:E,'Item Data Support Sheet'!A:O,7,0),"")</f>
        <v>HOOD MOLDED</v>
      </c>
      <c r="E229" s="447" t="s">
        <v>1987</v>
      </c>
      <c r="F229" s="500"/>
      <c r="G229" s="376" t="s">
        <v>2220</v>
      </c>
      <c r="H229" s="602" t="str">
        <f>IFERROR(VLOOKUP(E:E,'Item Data Support Sheet'!A:O,2,0),"")</f>
        <v>HOOD S TYPE MOLDED</v>
      </c>
      <c r="I229" s="501" t="s">
        <v>2549</v>
      </c>
      <c r="J229" s="447" t="s">
        <v>2810</v>
      </c>
      <c r="K229" s="438">
        <v>4</v>
      </c>
      <c r="L229" s="499">
        <v>4137</v>
      </c>
      <c r="M229" s="366">
        <f t="shared" si="86"/>
        <v>1034.25</v>
      </c>
      <c r="N229" s="367">
        <f t="shared" si="69"/>
        <v>2402</v>
      </c>
      <c r="O229" s="61">
        <v>2330</v>
      </c>
      <c r="P229" s="368">
        <v>0</v>
      </c>
      <c r="Q229" s="368">
        <v>50</v>
      </c>
      <c r="R229" s="494">
        <v>0</v>
      </c>
      <c r="S229" s="493">
        <v>0</v>
      </c>
      <c r="T229" s="494">
        <v>22</v>
      </c>
      <c r="U229" s="493">
        <v>0</v>
      </c>
      <c r="V229" s="502">
        <v>1</v>
      </c>
      <c r="W229" s="453">
        <f t="shared" si="72"/>
        <v>2330</v>
      </c>
      <c r="X229" s="748">
        <f t="shared" si="73"/>
        <v>0.56321005559584236</v>
      </c>
      <c r="Y229" s="451" t="str">
        <f>IFERROR(VLOOKUP(E:E,'Item Data Support Sheet'!A:J,6,0),0)</f>
        <v>HMC</v>
      </c>
      <c r="Z229" s="428">
        <f>IFERROR(VLOOKUP(E:E,'Item Data Support Sheet'!A:O,4,0),0)</f>
        <v>8.6</v>
      </c>
      <c r="AA229" s="428">
        <f t="shared" si="74"/>
        <v>20.6572</v>
      </c>
      <c r="AB229" s="429">
        <f t="shared" si="75"/>
        <v>0.97002497918401331</v>
      </c>
      <c r="AC229" s="424">
        <f t="shared" si="76"/>
        <v>9.3537414965986394E-3</v>
      </c>
      <c r="AD229" s="371">
        <f t="shared" si="77"/>
        <v>2.0391517128874388E-2</v>
      </c>
      <c r="AE229" s="748">
        <f t="shared" si="78"/>
        <v>0.99084096586178183</v>
      </c>
      <c r="AF229" s="417">
        <f t="shared" si="79"/>
        <v>0</v>
      </c>
      <c r="AG229" s="416">
        <f t="shared" si="80"/>
        <v>4</v>
      </c>
      <c r="AH229" s="372">
        <f t="shared" si="81"/>
        <v>1</v>
      </c>
      <c r="AI229" s="373">
        <f t="shared" si="82"/>
        <v>582.5</v>
      </c>
      <c r="AJ229" s="418">
        <f>VLOOKUP(D229,'Standard Cycle time'!C:D,2,0)</f>
        <v>6</v>
      </c>
      <c r="AK229" s="418">
        <f t="shared" si="83"/>
        <v>6.1802575107296134</v>
      </c>
      <c r="AL229" s="374">
        <f t="shared" si="84"/>
        <v>0.97083333333333344</v>
      </c>
      <c r="AM229" s="372">
        <f t="shared" si="85"/>
        <v>0.96194143769081331</v>
      </c>
      <c r="AN229" s="799">
        <v>2603</v>
      </c>
      <c r="AO229" s="929" t="s">
        <v>2560</v>
      </c>
      <c r="AP229" s="440"/>
      <c r="AQ229" s="440">
        <v>0</v>
      </c>
      <c r="AR229" s="440">
        <v>0</v>
      </c>
      <c r="AS229" s="440">
        <v>0</v>
      </c>
      <c r="AT229" s="440">
        <v>0</v>
      </c>
      <c r="AU229" s="440">
        <v>0</v>
      </c>
      <c r="AV229" s="440">
        <v>0</v>
      </c>
      <c r="AW229" s="440">
        <v>0</v>
      </c>
      <c r="AX229" s="440">
        <v>0</v>
      </c>
      <c r="AY229" s="440">
        <v>0</v>
      </c>
      <c r="AZ229" s="440">
        <v>0</v>
      </c>
      <c r="BA229" s="440">
        <v>0</v>
      </c>
      <c r="BB229" s="440">
        <v>0</v>
      </c>
      <c r="BC229" s="440">
        <v>0</v>
      </c>
      <c r="BD229" s="440">
        <v>0</v>
      </c>
      <c r="BE229" s="440">
        <v>0</v>
      </c>
      <c r="BF229" s="440">
        <v>0</v>
      </c>
      <c r="BG229" s="440">
        <v>0</v>
      </c>
      <c r="BH229" s="440">
        <v>0</v>
      </c>
      <c r="BI229" s="440">
        <v>0</v>
      </c>
      <c r="BJ229" s="440">
        <v>0</v>
      </c>
      <c r="BK229" s="440">
        <v>0</v>
      </c>
      <c r="BL229" s="440">
        <v>0</v>
      </c>
      <c r="BM229" s="440">
        <v>0</v>
      </c>
      <c r="BN229" s="440">
        <v>0</v>
      </c>
      <c r="BO229" s="440">
        <v>0</v>
      </c>
      <c r="BP229" s="440">
        <v>0</v>
      </c>
      <c r="BQ229" s="440">
        <v>0</v>
      </c>
      <c r="BR229" s="415">
        <f t="shared" si="68"/>
        <v>0</v>
      </c>
      <c r="BS229" s="415">
        <f t="shared" si="70"/>
        <v>0</v>
      </c>
      <c r="BT229" s="935"/>
      <c r="BU229" s="935"/>
      <c r="BV229" s="935"/>
      <c r="BW229" s="935"/>
      <c r="BX229" s="935"/>
      <c r="BY229" s="935"/>
      <c r="BZ229" s="935"/>
      <c r="CA229" s="935"/>
      <c r="CB229" s="935"/>
      <c r="CC229" s="935"/>
      <c r="CD229" s="935"/>
      <c r="CE229" s="935"/>
      <c r="CF229" s="935"/>
      <c r="CG229" s="935"/>
      <c r="CH229" s="935"/>
      <c r="CI229" s="935"/>
      <c r="CJ229" s="935"/>
      <c r="CK229" s="935"/>
      <c r="CL229" s="935"/>
      <c r="CM229" s="935"/>
      <c r="CN229" s="935"/>
      <c r="CO229" s="935"/>
      <c r="CP229" s="935"/>
      <c r="CQ229" s="935"/>
      <c r="CR229" s="935"/>
      <c r="CS229" s="935"/>
      <c r="CT229" s="935"/>
      <c r="CU229" s="935"/>
      <c r="CV229" s="935"/>
    </row>
    <row r="230" spans="1:100">
      <c r="A230" s="375">
        <f t="shared" si="71"/>
        <v>8</v>
      </c>
      <c r="B230" s="455">
        <v>44428</v>
      </c>
      <c r="C230" s="493" t="s">
        <v>2001</v>
      </c>
      <c r="D230" s="376" t="str">
        <f>IFERROR(VLOOKUP(E:E,'Item Data Support Sheet'!A:O,7,0),"")</f>
        <v>NIPPLE POSTCURE</v>
      </c>
      <c r="E230" s="447" t="s">
        <v>2485</v>
      </c>
      <c r="F230" s="500"/>
      <c r="G230" s="376" t="s">
        <v>1705</v>
      </c>
      <c r="H230" s="602" t="str">
        <f>IFERROR(VLOOKUP(E:E,'Item Data Support Sheet'!A:O,2,0),"")</f>
        <v>NIPPLE S TYPE LL SIZE POSTCURED</v>
      </c>
      <c r="I230" s="501" t="s">
        <v>2550</v>
      </c>
      <c r="J230" s="447" t="s">
        <v>2810</v>
      </c>
      <c r="K230" s="438">
        <v>5</v>
      </c>
      <c r="L230" s="499">
        <v>7096</v>
      </c>
      <c r="M230" s="366">
        <f t="shared" si="86"/>
        <v>1419.2</v>
      </c>
      <c r="N230" s="367">
        <f t="shared" si="69"/>
        <v>6600</v>
      </c>
      <c r="O230" s="61">
        <f>3000+3600</f>
        <v>6600</v>
      </c>
      <c r="P230" s="368">
        <v>0</v>
      </c>
      <c r="Q230" s="368">
        <v>0</v>
      </c>
      <c r="R230" s="494">
        <v>0</v>
      </c>
      <c r="S230" s="493">
        <v>0</v>
      </c>
      <c r="T230" s="494">
        <v>0</v>
      </c>
      <c r="U230" s="493">
        <v>0</v>
      </c>
      <c r="V230" s="502">
        <v>1</v>
      </c>
      <c r="W230" s="453">
        <f t="shared" si="72"/>
        <v>6600</v>
      </c>
      <c r="X230" s="748">
        <f t="shared" si="73"/>
        <v>0.93010146561443063</v>
      </c>
      <c r="Y230" s="451" t="str">
        <f>IFERROR(VLOOKUP(E:E,'Item Data Support Sheet'!A:J,6,0),0)</f>
        <v>FO149</v>
      </c>
      <c r="Z230" s="428">
        <f>IFERROR(VLOOKUP(E:E,'Item Data Support Sheet'!A:O,4,0),0)</f>
        <v>0</v>
      </c>
      <c r="AA230" s="428">
        <f t="shared" si="74"/>
        <v>0</v>
      </c>
      <c r="AB230" s="429" t="str">
        <f t="shared" si="75"/>
        <v xml:space="preserve"> </v>
      </c>
      <c r="AC230" s="424">
        <f t="shared" si="76"/>
        <v>0</v>
      </c>
      <c r="AD230" s="371">
        <f t="shared" si="77"/>
        <v>0</v>
      </c>
      <c r="AE230" s="748">
        <f t="shared" si="78"/>
        <v>1</v>
      </c>
      <c r="AF230" s="417">
        <f t="shared" si="79"/>
        <v>0.66666666666666663</v>
      </c>
      <c r="AG230" s="416">
        <f t="shared" si="80"/>
        <v>4.333333333333333</v>
      </c>
      <c r="AH230" s="372">
        <f t="shared" si="81"/>
        <v>0.86666666666666659</v>
      </c>
      <c r="AI230" s="373">
        <f t="shared" si="82"/>
        <v>1320</v>
      </c>
      <c r="AJ230" s="418">
        <f>VLOOKUP(D230,'Standard Cycle time'!C:D,2,0)</f>
        <v>2.2999999999999998</v>
      </c>
      <c r="AK230" s="418">
        <f t="shared" si="83"/>
        <v>2.3636363636363633</v>
      </c>
      <c r="AL230" s="374">
        <f t="shared" si="84"/>
        <v>0.97307692307692317</v>
      </c>
      <c r="AM230" s="372">
        <f t="shared" si="85"/>
        <v>0.84333333333333338</v>
      </c>
      <c r="AN230" s="799" t="s">
        <v>2552</v>
      </c>
      <c r="AO230" s="761"/>
      <c r="AP230" s="440">
        <v>40</v>
      </c>
      <c r="AQ230" s="440">
        <v>0</v>
      </c>
      <c r="AR230" s="440">
        <v>0</v>
      </c>
      <c r="AS230" s="440">
        <v>0</v>
      </c>
      <c r="AT230" s="440">
        <v>0</v>
      </c>
      <c r="AU230" s="440">
        <v>0</v>
      </c>
      <c r="AV230" s="440">
        <v>0</v>
      </c>
      <c r="AW230" s="440">
        <v>0</v>
      </c>
      <c r="AX230" s="440">
        <v>0</v>
      </c>
      <c r="AY230" s="440">
        <v>0</v>
      </c>
      <c r="AZ230" s="440">
        <v>0</v>
      </c>
      <c r="BA230" s="440">
        <v>0</v>
      </c>
      <c r="BB230" s="440">
        <v>0</v>
      </c>
      <c r="BC230" s="440">
        <v>0</v>
      </c>
      <c r="BD230" s="440">
        <v>0</v>
      </c>
      <c r="BE230" s="440">
        <v>0</v>
      </c>
      <c r="BF230" s="440">
        <v>0</v>
      </c>
      <c r="BG230" s="440">
        <v>0</v>
      </c>
      <c r="BH230" s="440">
        <v>0</v>
      </c>
      <c r="BI230" s="440">
        <v>0</v>
      </c>
      <c r="BJ230" s="440">
        <v>0</v>
      </c>
      <c r="BK230" s="440">
        <v>0</v>
      </c>
      <c r="BL230" s="440">
        <v>0</v>
      </c>
      <c r="BM230" s="440">
        <v>0</v>
      </c>
      <c r="BN230" s="440">
        <v>0</v>
      </c>
      <c r="BO230" s="440">
        <v>0</v>
      </c>
      <c r="BP230" s="440">
        <v>0</v>
      </c>
      <c r="BQ230" s="440">
        <v>0</v>
      </c>
      <c r="BR230" s="415">
        <f t="shared" si="68"/>
        <v>0.66666666666666663</v>
      </c>
      <c r="BS230" s="415">
        <f t="shared" si="70"/>
        <v>0.6777777777777777</v>
      </c>
      <c r="BT230" s="935"/>
      <c r="BU230" s="935"/>
      <c r="BV230" s="935"/>
      <c r="BW230" s="935"/>
      <c r="BX230" s="935"/>
      <c r="BY230" s="935"/>
      <c r="BZ230" s="935"/>
      <c r="CA230" s="935"/>
      <c r="CB230" s="935"/>
      <c r="CC230" s="935"/>
      <c r="CD230" s="935"/>
      <c r="CE230" s="935"/>
      <c r="CF230" s="935"/>
      <c r="CG230" s="935"/>
      <c r="CH230" s="935"/>
      <c r="CI230" s="935"/>
      <c r="CJ230" s="935"/>
      <c r="CK230" s="935"/>
      <c r="CL230" s="935"/>
      <c r="CM230" s="935"/>
      <c r="CN230" s="935"/>
      <c r="CO230" s="935"/>
      <c r="CP230" s="935"/>
      <c r="CQ230" s="935"/>
      <c r="CR230" s="935"/>
      <c r="CS230" s="935"/>
      <c r="CT230" s="935"/>
      <c r="CU230" s="935"/>
      <c r="CV230" s="935"/>
    </row>
    <row r="231" spans="1:100">
      <c r="A231" s="375">
        <f t="shared" si="71"/>
        <v>8</v>
      </c>
      <c r="B231" s="455">
        <v>44428</v>
      </c>
      <c r="C231" s="493" t="s">
        <v>2001</v>
      </c>
      <c r="D231" s="376" t="str">
        <f>IFERROR(VLOOKUP(E:E,'Item Data Support Sheet'!A:O,7,0),"")</f>
        <v>NIPPLE MOLDED</v>
      </c>
      <c r="E231" s="447" t="s">
        <v>2484</v>
      </c>
      <c r="F231" s="500" t="s">
        <v>1678</v>
      </c>
      <c r="G231" s="376" t="s">
        <v>1691</v>
      </c>
      <c r="H231" s="602" t="str">
        <f>IFERROR(VLOOKUP(E:E,'Item Data Support Sheet'!A:O,2,0),"")</f>
        <v>NIPPLE S TYPE LL SIZE INJECTION</v>
      </c>
      <c r="I231" s="501" t="s">
        <v>2551</v>
      </c>
      <c r="J231" s="447" t="s">
        <v>2810</v>
      </c>
      <c r="K231" s="438">
        <v>8</v>
      </c>
      <c r="L231" s="499">
        <v>4815</v>
      </c>
      <c r="M231" s="366">
        <f t="shared" si="86"/>
        <v>601.875</v>
      </c>
      <c r="N231" s="367">
        <f t="shared" si="69"/>
        <v>3450</v>
      </c>
      <c r="O231" s="61">
        <v>3300</v>
      </c>
      <c r="P231" s="368">
        <v>0</v>
      </c>
      <c r="Q231" s="368">
        <v>100</v>
      </c>
      <c r="R231" s="494">
        <v>0</v>
      </c>
      <c r="S231" s="493">
        <v>0</v>
      </c>
      <c r="T231" s="494">
        <v>50</v>
      </c>
      <c r="U231" s="493">
        <v>0</v>
      </c>
      <c r="V231" s="502">
        <v>1</v>
      </c>
      <c r="W231" s="453">
        <f t="shared" si="72"/>
        <v>3300</v>
      </c>
      <c r="X231" s="748">
        <f t="shared" si="73"/>
        <v>0.68535825545171336</v>
      </c>
      <c r="Y231" s="451" t="str">
        <f>IFERROR(VLOOKUP(E:E,'Item Data Support Sheet'!A:J,6,0),0)</f>
        <v>FO148</v>
      </c>
      <c r="Z231" s="428">
        <f>IFERROR(VLOOKUP(E:E,'Item Data Support Sheet'!A:O,4,0),0)</f>
        <v>6.8</v>
      </c>
      <c r="AA231" s="428">
        <f t="shared" si="74"/>
        <v>23.459999999999997</v>
      </c>
      <c r="AB231" s="429">
        <f t="shared" si="75"/>
        <v>0.95652173913043481</v>
      </c>
      <c r="AC231" s="424">
        <f t="shared" si="76"/>
        <v>1.4925373134328358E-2</v>
      </c>
      <c r="AD231" s="371">
        <f t="shared" si="77"/>
        <v>2.8169014084507043E-2</v>
      </c>
      <c r="AE231" s="748">
        <f t="shared" si="78"/>
        <v>0.98550724637681164</v>
      </c>
      <c r="AF231" s="417">
        <f t="shared" si="79"/>
        <v>1.8333333333333333</v>
      </c>
      <c r="AG231" s="416">
        <f t="shared" si="80"/>
        <v>6.166666666666667</v>
      </c>
      <c r="AH231" s="372">
        <f t="shared" si="81"/>
        <v>0.77083333333333337</v>
      </c>
      <c r="AI231" s="373">
        <f t="shared" si="82"/>
        <v>412.5</v>
      </c>
      <c r="AJ231" s="418">
        <f>VLOOKUP(D231,'Standard Cycle time'!C:D,2,0)</f>
        <v>5.25</v>
      </c>
      <c r="AK231" s="418">
        <f t="shared" si="83"/>
        <v>6.7272727272727275</v>
      </c>
      <c r="AL231" s="374">
        <f t="shared" si="84"/>
        <v>0.78040540540540537</v>
      </c>
      <c r="AM231" s="372">
        <f t="shared" si="85"/>
        <v>0.59284420289855067</v>
      </c>
      <c r="AN231" s="799">
        <v>2604</v>
      </c>
      <c r="AO231" s="929"/>
      <c r="AP231" s="440">
        <v>0</v>
      </c>
      <c r="AQ231" s="440">
        <v>0</v>
      </c>
      <c r="AR231" s="440">
        <v>0</v>
      </c>
      <c r="AS231" s="440">
        <v>0</v>
      </c>
      <c r="AT231" s="440">
        <v>0</v>
      </c>
      <c r="AU231" s="440">
        <v>60</v>
      </c>
      <c r="AV231" s="440">
        <v>50</v>
      </c>
      <c r="AW231" s="440">
        <v>0</v>
      </c>
      <c r="AX231" s="440">
        <v>0</v>
      </c>
      <c r="AY231" s="440">
        <v>0</v>
      </c>
      <c r="AZ231" s="440">
        <v>0</v>
      </c>
      <c r="BA231" s="440">
        <v>0</v>
      </c>
      <c r="BB231" s="440">
        <v>0</v>
      </c>
      <c r="BC231" s="440">
        <v>0</v>
      </c>
      <c r="BD231" s="440">
        <v>0</v>
      </c>
      <c r="BE231" s="440">
        <v>0</v>
      </c>
      <c r="BF231" s="440">
        <v>0</v>
      </c>
      <c r="BG231" s="440">
        <v>0</v>
      </c>
      <c r="BH231" s="440">
        <v>0</v>
      </c>
      <c r="BI231" s="440">
        <v>0</v>
      </c>
      <c r="BJ231" s="440">
        <v>0</v>
      </c>
      <c r="BK231" s="440">
        <v>0</v>
      </c>
      <c r="BL231" s="440">
        <v>0</v>
      </c>
      <c r="BM231" s="440">
        <v>0</v>
      </c>
      <c r="BN231" s="440">
        <v>0</v>
      </c>
      <c r="BO231" s="440">
        <v>0</v>
      </c>
      <c r="BP231" s="440">
        <v>0</v>
      </c>
      <c r="BQ231" s="440">
        <v>0</v>
      </c>
      <c r="BR231" s="415">
        <f t="shared" si="68"/>
        <v>1.8333333333333333</v>
      </c>
      <c r="BS231" s="415">
        <f t="shared" si="70"/>
        <v>1.8638888888888887</v>
      </c>
      <c r="BT231" s="935"/>
      <c r="BU231" s="935"/>
      <c r="BV231" s="935"/>
      <c r="BW231" s="935"/>
      <c r="BX231" s="935"/>
      <c r="BY231" s="935"/>
      <c r="BZ231" s="935"/>
      <c r="CA231" s="935"/>
      <c r="CB231" s="935"/>
      <c r="CC231" s="935"/>
      <c r="CD231" s="935"/>
      <c r="CE231" s="935"/>
      <c r="CF231" s="935"/>
      <c r="CG231" s="935"/>
      <c r="CH231" s="935"/>
      <c r="CI231" s="935"/>
      <c r="CJ231" s="935"/>
      <c r="CK231" s="935"/>
      <c r="CL231" s="935"/>
      <c r="CM231" s="935"/>
      <c r="CN231" s="935"/>
      <c r="CO231" s="935"/>
      <c r="CP231" s="935"/>
      <c r="CQ231" s="935"/>
      <c r="CR231" s="935"/>
      <c r="CS231" s="935"/>
      <c r="CT231" s="935"/>
      <c r="CU231" s="935"/>
      <c r="CV231" s="935"/>
    </row>
    <row r="232" spans="1:100">
      <c r="A232" s="375">
        <f t="shared" si="71"/>
        <v>8</v>
      </c>
      <c r="B232" s="455">
        <v>44428</v>
      </c>
      <c r="C232" s="493" t="s">
        <v>2053</v>
      </c>
      <c r="D232" s="376" t="str">
        <f>IFERROR(VLOOKUP(E:E,'Item Data Support Sheet'!A:O,7,0),"")</f>
        <v>BOTTLE MOLDED</v>
      </c>
      <c r="E232" s="447" t="s">
        <v>14</v>
      </c>
      <c r="F232" s="500" t="s">
        <v>1681</v>
      </c>
      <c r="G232" s="376" t="s">
        <v>1888</v>
      </c>
      <c r="H232" s="602" t="str">
        <f>IFERROR(VLOOKUP(E:E,'Item Data Support Sheet'!A:O,2,0),"")</f>
        <v>KPP 240 ML BOTTLE MOLDED</v>
      </c>
      <c r="I232" s="501" t="s">
        <v>2554</v>
      </c>
      <c r="J232" s="447" t="s">
        <v>2808</v>
      </c>
      <c r="K232" s="438">
        <v>0.6</v>
      </c>
      <c r="L232" s="499">
        <v>324</v>
      </c>
      <c r="M232" s="366">
        <f t="shared" si="86"/>
        <v>540</v>
      </c>
      <c r="N232" s="367">
        <f t="shared" si="69"/>
        <v>224</v>
      </c>
      <c r="O232" s="61">
        <v>222</v>
      </c>
      <c r="P232" s="368">
        <v>0.24</v>
      </c>
      <c r="Q232" s="368">
        <v>0</v>
      </c>
      <c r="R232" s="494">
        <v>0</v>
      </c>
      <c r="S232" s="493">
        <v>0</v>
      </c>
      <c r="T232" s="494">
        <v>2</v>
      </c>
      <c r="U232" s="493">
        <v>0</v>
      </c>
      <c r="V232" s="502">
        <v>1</v>
      </c>
      <c r="W232" s="453">
        <f t="shared" si="72"/>
        <v>222</v>
      </c>
      <c r="X232" s="748">
        <f t="shared" si="73"/>
        <v>0.68518518518518523</v>
      </c>
      <c r="Y232" s="451" t="str">
        <f>IFERROR(VLOOKUP(E:E,'Item Data Support Sheet'!A:J,6,0),0)</f>
        <v>HMC</v>
      </c>
      <c r="Z232" s="428">
        <f>IFERROR(VLOOKUP(E:E,'Item Data Support Sheet'!A:O,4,0),0)</f>
        <v>32.1</v>
      </c>
      <c r="AA232" s="428">
        <f t="shared" si="74"/>
        <v>7.4304000000000006</v>
      </c>
      <c r="AB232" s="429">
        <f t="shared" si="75"/>
        <v>0.95906007751937983</v>
      </c>
      <c r="AC232" s="424">
        <f t="shared" si="76"/>
        <v>8.9285714285714281E-3</v>
      </c>
      <c r="AD232" s="371">
        <f t="shared" si="77"/>
        <v>0</v>
      </c>
      <c r="AE232" s="748">
        <f t="shared" si="78"/>
        <v>0.9910714285714286</v>
      </c>
      <c r="AF232" s="417">
        <f t="shared" si="79"/>
        <v>0</v>
      </c>
      <c r="AG232" s="416">
        <f t="shared" si="80"/>
        <v>0.6</v>
      </c>
      <c r="AH232" s="372">
        <f t="shared" si="81"/>
        <v>1</v>
      </c>
      <c r="AI232" s="373">
        <f t="shared" si="82"/>
        <v>370</v>
      </c>
      <c r="AJ232" s="418">
        <f>VLOOKUP(D232,'Standard Cycle time'!C:D,2,0)</f>
        <v>9</v>
      </c>
      <c r="AK232" s="418">
        <f t="shared" si="83"/>
        <v>9.7297297297297298</v>
      </c>
      <c r="AL232" s="374">
        <f t="shared" si="84"/>
        <v>0.92500000000000004</v>
      </c>
      <c r="AM232" s="372">
        <f t="shared" si="85"/>
        <v>0.91674107142857153</v>
      </c>
      <c r="AN232" s="799">
        <v>2607</v>
      </c>
      <c r="AO232" s="761"/>
      <c r="AP232" s="440">
        <v>0</v>
      </c>
      <c r="AQ232" s="440">
        <v>0</v>
      </c>
      <c r="AR232" s="440">
        <v>0</v>
      </c>
      <c r="AS232" s="440">
        <v>0</v>
      </c>
      <c r="AT232" s="440">
        <v>0</v>
      </c>
      <c r="AU232" s="440">
        <v>0</v>
      </c>
      <c r="AV232" s="440">
        <v>0</v>
      </c>
      <c r="AW232" s="440">
        <v>0</v>
      </c>
      <c r="AX232" s="440">
        <v>0</v>
      </c>
      <c r="AY232" s="440">
        <v>0</v>
      </c>
      <c r="AZ232" s="440">
        <v>0</v>
      </c>
      <c r="BA232" s="440">
        <v>0</v>
      </c>
      <c r="BB232" s="440">
        <v>0</v>
      </c>
      <c r="BC232" s="440">
        <v>0</v>
      </c>
      <c r="BD232" s="440">
        <v>0</v>
      </c>
      <c r="BE232" s="440">
        <v>0</v>
      </c>
      <c r="BF232" s="440">
        <v>0</v>
      </c>
      <c r="BG232" s="440">
        <v>0</v>
      </c>
      <c r="BH232" s="440">
        <v>0</v>
      </c>
      <c r="BI232" s="440">
        <v>0</v>
      </c>
      <c r="BJ232" s="440">
        <v>0</v>
      </c>
      <c r="BK232" s="440">
        <v>0</v>
      </c>
      <c r="BL232" s="440">
        <v>0</v>
      </c>
      <c r="BM232" s="440">
        <v>0</v>
      </c>
      <c r="BN232" s="440">
        <v>0</v>
      </c>
      <c r="BO232" s="440">
        <v>0</v>
      </c>
      <c r="BP232" s="440">
        <v>0</v>
      </c>
      <c r="BQ232" s="440">
        <v>0</v>
      </c>
      <c r="BR232" s="415">
        <f t="shared" si="68"/>
        <v>0</v>
      </c>
      <c r="BS232" s="415">
        <f t="shared" si="70"/>
        <v>0</v>
      </c>
      <c r="BT232" s="935"/>
      <c r="BU232" s="935"/>
      <c r="BV232" s="935"/>
      <c r="BW232" s="935"/>
      <c r="BX232" s="935"/>
      <c r="BY232" s="935"/>
      <c r="BZ232" s="935"/>
      <c r="CA232" s="935"/>
      <c r="CB232" s="935"/>
      <c r="CC232" s="935"/>
      <c r="CD232" s="935"/>
      <c r="CE232" s="935"/>
      <c r="CF232" s="935"/>
      <c r="CG232" s="935"/>
      <c r="CH232" s="935"/>
      <c r="CI232" s="935"/>
      <c r="CJ232" s="935"/>
      <c r="CK232" s="935"/>
      <c r="CL232" s="935"/>
      <c r="CM232" s="935"/>
      <c r="CN232" s="935"/>
      <c r="CO232" s="935"/>
      <c r="CP232" s="935"/>
      <c r="CQ232" s="935"/>
      <c r="CR232" s="935"/>
      <c r="CS232" s="935"/>
      <c r="CT232" s="935"/>
      <c r="CU232" s="935"/>
      <c r="CV232" s="935"/>
    </row>
    <row r="233" spans="1:100" ht="14.65" customHeight="1">
      <c r="A233" s="375">
        <f t="shared" si="71"/>
        <v>8</v>
      </c>
      <c r="B233" s="455">
        <v>44428</v>
      </c>
      <c r="C233" s="493" t="s">
        <v>2053</v>
      </c>
      <c r="D233" s="376" t="str">
        <f>IFERROR(VLOOKUP(E:E,'Item Data Support Sheet'!A:O,7,0),"")</f>
        <v>BOTTLE MOLDED</v>
      </c>
      <c r="E233" s="447" t="s">
        <v>68</v>
      </c>
      <c r="F233" s="500" t="s">
        <v>1682</v>
      </c>
      <c r="G233" s="376" t="s">
        <v>1888</v>
      </c>
      <c r="H233" s="602" t="str">
        <f>IFERROR(VLOOKUP(E:E,'Item Data Support Sheet'!A:O,2,0),"")</f>
        <v>RPP 240 ML BOTTLE MOLDED</v>
      </c>
      <c r="I233" s="501" t="s">
        <v>2554</v>
      </c>
      <c r="J233" s="447" t="s">
        <v>2808</v>
      </c>
      <c r="K233" s="438">
        <v>7</v>
      </c>
      <c r="L233" s="499">
        <f>2574-L232</f>
        <v>2250</v>
      </c>
      <c r="M233" s="366">
        <f t="shared" si="86"/>
        <v>321.42857142857144</v>
      </c>
      <c r="N233" s="367">
        <f t="shared" si="69"/>
        <v>921</v>
      </c>
      <c r="O233" s="61">
        <f>7*120</f>
        <v>840</v>
      </c>
      <c r="P233" s="368">
        <v>0</v>
      </c>
      <c r="Q233" s="368">
        <v>40</v>
      </c>
      <c r="R233" s="494">
        <v>0</v>
      </c>
      <c r="S233" s="493">
        <v>0</v>
      </c>
      <c r="T233" s="494">
        <v>33</v>
      </c>
      <c r="U233" s="493">
        <v>8</v>
      </c>
      <c r="V233" s="502">
        <v>1</v>
      </c>
      <c r="W233" s="453">
        <f t="shared" si="72"/>
        <v>840</v>
      </c>
      <c r="X233" s="748">
        <f t="shared" si="73"/>
        <v>0.37333333333333335</v>
      </c>
      <c r="Y233" s="451" t="str">
        <f>IFERROR(VLOOKUP(E:E,'Item Data Support Sheet'!A:J,6,0),0)</f>
        <v>HMC</v>
      </c>
      <c r="Z233" s="428">
        <f>IFERROR(VLOOKUP(E:E,'Item Data Support Sheet'!A:O,4,0),0)</f>
        <v>32.1</v>
      </c>
      <c r="AA233" s="428">
        <f t="shared" si="74"/>
        <v>29.564100000000003</v>
      </c>
      <c r="AB233" s="429">
        <f t="shared" si="75"/>
        <v>0.91205211726384361</v>
      </c>
      <c r="AC233" s="424">
        <f t="shared" si="76"/>
        <v>3.7800687285223365E-2</v>
      </c>
      <c r="AD233" s="371">
        <f t="shared" si="77"/>
        <v>4.1623309053069719E-2</v>
      </c>
      <c r="AE233" s="748">
        <f t="shared" si="78"/>
        <v>0.96416938110749184</v>
      </c>
      <c r="AF233" s="417">
        <f t="shared" si="79"/>
        <v>4.666666666666667</v>
      </c>
      <c r="AG233" s="416">
        <f t="shared" si="80"/>
        <v>2.333333333333333</v>
      </c>
      <c r="AH233" s="372">
        <f t="shared" si="81"/>
        <v>0.33333333333333331</v>
      </c>
      <c r="AI233" s="373">
        <f t="shared" si="82"/>
        <v>120</v>
      </c>
      <c r="AJ233" s="418">
        <f>VLOOKUP(D233,'Standard Cycle time'!C:D,2,0)</f>
        <v>9</v>
      </c>
      <c r="AK233" s="418">
        <f t="shared" si="83"/>
        <v>9.9999999999999982</v>
      </c>
      <c r="AL233" s="374">
        <f t="shared" si="84"/>
        <v>0.90000000000000013</v>
      </c>
      <c r="AM233" s="372">
        <f t="shared" si="85"/>
        <v>0.28925081433224759</v>
      </c>
      <c r="AN233" s="799">
        <v>2610</v>
      </c>
      <c r="AO233" s="761" t="s">
        <v>2559</v>
      </c>
      <c r="AP233" s="440">
        <v>0</v>
      </c>
      <c r="AQ233" s="440">
        <v>140</v>
      </c>
      <c r="AR233" s="440">
        <v>80</v>
      </c>
      <c r="AS233" s="440">
        <v>0</v>
      </c>
      <c r="AT233" s="440">
        <v>0</v>
      </c>
      <c r="AU233" s="440">
        <v>0</v>
      </c>
      <c r="AV233" s="440">
        <v>0</v>
      </c>
      <c r="AW233" s="440">
        <v>60</v>
      </c>
      <c r="AX233" s="440">
        <v>0</v>
      </c>
      <c r="AY233" s="440">
        <v>0</v>
      </c>
      <c r="AZ233" s="440">
        <v>0</v>
      </c>
      <c r="BA233" s="440">
        <v>0</v>
      </c>
      <c r="BB233" s="440">
        <v>0</v>
      </c>
      <c r="BC233" s="440">
        <v>0</v>
      </c>
      <c r="BD233" s="440">
        <v>0</v>
      </c>
      <c r="BE233" s="440">
        <v>0</v>
      </c>
      <c r="BF233" s="440">
        <v>0</v>
      </c>
      <c r="BG233" s="440">
        <v>0</v>
      </c>
      <c r="BH233" s="440">
        <v>0</v>
      </c>
      <c r="BI233" s="440">
        <v>0</v>
      </c>
      <c r="BJ233" s="440">
        <v>0</v>
      </c>
      <c r="BK233" s="440">
        <v>0</v>
      </c>
      <c r="BL233" s="440">
        <v>0</v>
      </c>
      <c r="BM233" s="440">
        <v>0</v>
      </c>
      <c r="BN233" s="440">
        <v>0</v>
      </c>
      <c r="BO233" s="440">
        <v>0</v>
      </c>
      <c r="BP233" s="440">
        <v>0</v>
      </c>
      <c r="BQ233" s="440">
        <v>0</v>
      </c>
      <c r="BR233" s="415">
        <f t="shared" si="68"/>
        <v>4.666666666666667</v>
      </c>
      <c r="BS233" s="415">
        <f t="shared" si="70"/>
        <v>4.7444444444444445</v>
      </c>
      <c r="BT233" s="935"/>
      <c r="BU233" s="935"/>
      <c r="BV233" s="935"/>
      <c r="BW233" s="935"/>
      <c r="BX233" s="935"/>
      <c r="BY233" s="935"/>
      <c r="BZ233" s="935"/>
      <c r="CA233" s="935"/>
      <c r="CB233" s="935"/>
      <c r="CC233" s="935"/>
      <c r="CD233" s="935"/>
      <c r="CE233" s="935"/>
      <c r="CF233" s="935"/>
      <c r="CG233" s="935"/>
      <c r="CH233" s="935"/>
      <c r="CI233" s="935"/>
      <c r="CJ233" s="935"/>
      <c r="CK233" s="935"/>
      <c r="CL233" s="935"/>
      <c r="CM233" s="935"/>
      <c r="CN233" s="935"/>
      <c r="CO233" s="935"/>
      <c r="CP233" s="935"/>
      <c r="CQ233" s="935"/>
      <c r="CR233" s="935"/>
      <c r="CS233" s="935"/>
      <c r="CT233" s="935"/>
      <c r="CU233" s="935"/>
      <c r="CV233" s="935"/>
    </row>
    <row r="234" spans="1:100">
      <c r="A234" s="375">
        <f t="shared" si="71"/>
        <v>8</v>
      </c>
      <c r="B234" s="455">
        <v>44428</v>
      </c>
      <c r="C234" s="493" t="s">
        <v>2053</v>
      </c>
      <c r="D234" s="376" t="str">
        <f>IFERROR(VLOOKUP(E:E,'Item Data Support Sheet'!A:O,7,0),"")</f>
        <v>NIPPLE MOLDED</v>
      </c>
      <c r="E234" s="447" t="s">
        <v>2484</v>
      </c>
      <c r="F234" s="500" t="s">
        <v>1678</v>
      </c>
      <c r="G234" s="376" t="s">
        <v>1691</v>
      </c>
      <c r="H234" s="602" t="str">
        <f>IFERROR(VLOOKUP(E:E,'Item Data Support Sheet'!A:O,2,0),"")</f>
        <v>NIPPLE S TYPE LL SIZE INJECTION</v>
      </c>
      <c r="I234" s="501" t="s">
        <v>2556</v>
      </c>
      <c r="J234" s="447" t="s">
        <v>2808</v>
      </c>
      <c r="K234" s="438">
        <v>8</v>
      </c>
      <c r="L234" s="499">
        <v>4815</v>
      </c>
      <c r="M234" s="366">
        <f t="shared" si="86"/>
        <v>601.875</v>
      </c>
      <c r="N234" s="367">
        <f t="shared" si="69"/>
        <v>4708</v>
      </c>
      <c r="O234" s="61">
        <v>4500</v>
      </c>
      <c r="P234" s="368">
        <v>0</v>
      </c>
      <c r="Q234" s="368">
        <v>110</v>
      </c>
      <c r="R234" s="494">
        <v>0</v>
      </c>
      <c r="S234" s="493">
        <v>0</v>
      </c>
      <c r="T234" s="494">
        <v>90</v>
      </c>
      <c r="U234" s="493">
        <v>8</v>
      </c>
      <c r="V234" s="502">
        <v>1</v>
      </c>
      <c r="W234" s="453">
        <f t="shared" si="72"/>
        <v>4500</v>
      </c>
      <c r="X234" s="748">
        <f t="shared" si="73"/>
        <v>0.93457943925233644</v>
      </c>
      <c r="Y234" s="451" t="str">
        <f>IFERROR(VLOOKUP(E:E,'Item Data Support Sheet'!A:J,6,0),0)</f>
        <v>FO148</v>
      </c>
      <c r="Z234" s="428">
        <f>IFERROR(VLOOKUP(E:E,'Item Data Support Sheet'!A:O,4,0),0)</f>
        <v>6.8</v>
      </c>
      <c r="AA234" s="428">
        <f t="shared" si="74"/>
        <v>32.014399999999995</v>
      </c>
      <c r="AB234" s="429">
        <f t="shared" si="75"/>
        <v>0.955819881053526</v>
      </c>
      <c r="AC234" s="424">
        <f t="shared" si="76"/>
        <v>1.9607843137254902E-2</v>
      </c>
      <c r="AD234" s="371">
        <f t="shared" si="77"/>
        <v>2.2831050228310501E-2</v>
      </c>
      <c r="AE234" s="748">
        <f t="shared" si="78"/>
        <v>0.98088360237892946</v>
      </c>
      <c r="AF234" s="417">
        <f t="shared" si="79"/>
        <v>0</v>
      </c>
      <c r="AG234" s="416">
        <f t="shared" si="80"/>
        <v>8</v>
      </c>
      <c r="AH234" s="372">
        <f t="shared" si="81"/>
        <v>1</v>
      </c>
      <c r="AI234" s="373">
        <f t="shared" si="82"/>
        <v>562.5</v>
      </c>
      <c r="AJ234" s="418">
        <f>VLOOKUP(D234,'Standard Cycle time'!C:D,2,0)</f>
        <v>5.25</v>
      </c>
      <c r="AK234" s="418">
        <f t="shared" si="83"/>
        <v>6.4</v>
      </c>
      <c r="AL234" s="374">
        <f t="shared" si="84"/>
        <v>0.8203125</v>
      </c>
      <c r="AM234" s="372">
        <f t="shared" si="85"/>
        <v>0.80463108007646555</v>
      </c>
      <c r="AN234" s="799">
        <v>2611</v>
      </c>
      <c r="AO234" s="761"/>
      <c r="AP234" s="440">
        <v>0</v>
      </c>
      <c r="AQ234" s="440">
        <v>0</v>
      </c>
      <c r="AR234" s="440">
        <v>0</v>
      </c>
      <c r="AS234" s="440">
        <v>0</v>
      </c>
      <c r="AT234" s="440">
        <v>0</v>
      </c>
      <c r="AU234" s="440">
        <v>0</v>
      </c>
      <c r="AV234" s="440">
        <v>0</v>
      </c>
      <c r="AW234" s="440">
        <v>0</v>
      </c>
      <c r="AX234" s="440">
        <v>0</v>
      </c>
      <c r="AY234" s="440">
        <v>0</v>
      </c>
      <c r="AZ234" s="440">
        <v>0</v>
      </c>
      <c r="BA234" s="440">
        <v>0</v>
      </c>
      <c r="BB234" s="440">
        <v>0</v>
      </c>
      <c r="BC234" s="440">
        <v>0</v>
      </c>
      <c r="BD234" s="440">
        <v>0</v>
      </c>
      <c r="BE234" s="440">
        <v>0</v>
      </c>
      <c r="BF234" s="440">
        <v>0</v>
      </c>
      <c r="BG234" s="440">
        <v>0</v>
      </c>
      <c r="BH234" s="440">
        <v>0</v>
      </c>
      <c r="BI234" s="440">
        <v>0</v>
      </c>
      <c r="BJ234" s="440">
        <v>0</v>
      </c>
      <c r="BK234" s="440">
        <v>0</v>
      </c>
      <c r="BL234" s="440">
        <v>0</v>
      </c>
      <c r="BM234" s="440">
        <v>0</v>
      </c>
      <c r="BN234" s="440">
        <v>0</v>
      </c>
      <c r="BO234" s="440">
        <v>0</v>
      </c>
      <c r="BP234" s="440">
        <v>0</v>
      </c>
      <c r="BQ234" s="440">
        <v>0</v>
      </c>
      <c r="BR234" s="415">
        <f t="shared" si="68"/>
        <v>0</v>
      </c>
      <c r="BS234" s="415">
        <f t="shared" si="70"/>
        <v>0</v>
      </c>
      <c r="BT234" s="935"/>
      <c r="BU234" s="935"/>
      <c r="BV234" s="935"/>
      <c r="BW234" s="935"/>
      <c r="BX234" s="935"/>
      <c r="BY234" s="935"/>
      <c r="BZ234" s="935"/>
      <c r="CA234" s="935"/>
      <c r="CB234" s="935"/>
      <c r="CC234" s="935"/>
      <c r="CD234" s="935"/>
      <c r="CE234" s="935"/>
      <c r="CF234" s="935"/>
      <c r="CG234" s="935"/>
      <c r="CH234" s="935"/>
      <c r="CI234" s="935"/>
      <c r="CJ234" s="935"/>
      <c r="CK234" s="935"/>
      <c r="CL234" s="935"/>
      <c r="CM234" s="935"/>
      <c r="CN234" s="935"/>
      <c r="CO234" s="935"/>
      <c r="CP234" s="935"/>
      <c r="CQ234" s="935"/>
      <c r="CR234" s="935"/>
      <c r="CS234" s="935"/>
      <c r="CT234" s="935"/>
      <c r="CU234" s="935"/>
      <c r="CV234" s="935"/>
    </row>
    <row r="235" spans="1:100">
      <c r="A235" s="375">
        <f t="shared" si="71"/>
        <v>8</v>
      </c>
      <c r="B235" s="455">
        <v>44428</v>
      </c>
      <c r="C235" s="493" t="s">
        <v>2053</v>
      </c>
      <c r="D235" s="376" t="str">
        <f>IFERROR(VLOOKUP(E:E,'Item Data Support Sheet'!A:O,7,0),"")</f>
        <v>NIPPLE POSTCURE</v>
      </c>
      <c r="E235" s="447" t="s">
        <v>2485</v>
      </c>
      <c r="F235" s="500"/>
      <c r="G235" s="376" t="s">
        <v>1705</v>
      </c>
      <c r="H235" s="602" t="str">
        <f>IFERROR(VLOOKUP(E:E,'Item Data Support Sheet'!A:O,2,0),"")</f>
        <v>NIPPLE S TYPE LL SIZE POSTCURED</v>
      </c>
      <c r="I235" s="501" t="s">
        <v>2557</v>
      </c>
      <c r="J235" s="447" t="s">
        <v>2808</v>
      </c>
      <c r="K235" s="438">
        <v>5</v>
      </c>
      <c r="L235" s="499">
        <v>7036</v>
      </c>
      <c r="M235" s="366">
        <f t="shared" si="86"/>
        <v>1407.2</v>
      </c>
      <c r="N235" s="367">
        <f t="shared" si="69"/>
        <v>6300</v>
      </c>
      <c r="O235" s="61">
        <f>3300+3000</f>
        <v>6300</v>
      </c>
      <c r="P235" s="368">
        <v>0</v>
      </c>
      <c r="Q235" s="368">
        <v>0</v>
      </c>
      <c r="R235" s="494">
        <v>0</v>
      </c>
      <c r="S235" s="493">
        <v>0</v>
      </c>
      <c r="T235" s="494">
        <v>0</v>
      </c>
      <c r="U235" s="493">
        <v>0</v>
      </c>
      <c r="V235" s="502">
        <v>1</v>
      </c>
      <c r="W235" s="453">
        <f t="shared" si="72"/>
        <v>6300</v>
      </c>
      <c r="X235" s="748">
        <f t="shared" si="73"/>
        <v>0.89539511085844226</v>
      </c>
      <c r="Y235" s="451" t="str">
        <f>IFERROR(VLOOKUP(E:E,'Item Data Support Sheet'!A:J,6,0),0)</f>
        <v>FO149</v>
      </c>
      <c r="Z235" s="428">
        <f>IFERROR(VLOOKUP(E:E,'Item Data Support Sheet'!A:O,4,0),0)</f>
        <v>0</v>
      </c>
      <c r="AA235" s="428">
        <f t="shared" si="74"/>
        <v>0</v>
      </c>
      <c r="AB235" s="429" t="str">
        <f t="shared" si="75"/>
        <v xml:space="preserve"> </v>
      </c>
      <c r="AC235" s="424">
        <f t="shared" si="76"/>
        <v>0</v>
      </c>
      <c r="AD235" s="371">
        <f t="shared" si="77"/>
        <v>0</v>
      </c>
      <c r="AE235" s="748">
        <f t="shared" si="78"/>
        <v>1</v>
      </c>
      <c r="AF235" s="417">
        <f t="shared" si="79"/>
        <v>0.66666666666666663</v>
      </c>
      <c r="AG235" s="416">
        <f t="shared" si="80"/>
        <v>4.333333333333333</v>
      </c>
      <c r="AH235" s="372">
        <f t="shared" si="81"/>
        <v>0.86666666666666659</v>
      </c>
      <c r="AI235" s="373">
        <f t="shared" si="82"/>
        <v>1260</v>
      </c>
      <c r="AJ235" s="418">
        <f>VLOOKUP(D235,'Standard Cycle time'!C:D,2,0)</f>
        <v>2.2999999999999998</v>
      </c>
      <c r="AK235" s="418">
        <f t="shared" si="83"/>
        <v>2.4761904761904758</v>
      </c>
      <c r="AL235" s="374">
        <f t="shared" si="84"/>
        <v>0.92884615384615388</v>
      </c>
      <c r="AM235" s="372">
        <f t="shared" si="85"/>
        <v>0.80499999999999994</v>
      </c>
      <c r="AN235" s="799" t="s">
        <v>2558</v>
      </c>
      <c r="AO235" s="761"/>
      <c r="AP235" s="440">
        <v>40</v>
      </c>
      <c r="AQ235" s="440">
        <v>0</v>
      </c>
      <c r="AR235" s="440">
        <v>0</v>
      </c>
      <c r="AS235" s="440">
        <v>0</v>
      </c>
      <c r="AT235" s="440">
        <v>0</v>
      </c>
      <c r="AU235" s="440">
        <v>0</v>
      </c>
      <c r="AV235" s="440">
        <v>0</v>
      </c>
      <c r="AW235" s="440">
        <v>0</v>
      </c>
      <c r="AX235" s="440">
        <v>0</v>
      </c>
      <c r="AY235" s="440">
        <v>0</v>
      </c>
      <c r="AZ235" s="440">
        <v>0</v>
      </c>
      <c r="BA235" s="440">
        <v>0</v>
      </c>
      <c r="BB235" s="440">
        <v>0</v>
      </c>
      <c r="BC235" s="440">
        <v>0</v>
      </c>
      <c r="BD235" s="440">
        <v>0</v>
      </c>
      <c r="BE235" s="440">
        <v>0</v>
      </c>
      <c r="BF235" s="440">
        <v>0</v>
      </c>
      <c r="BG235" s="440">
        <v>0</v>
      </c>
      <c r="BH235" s="440">
        <v>0</v>
      </c>
      <c r="BI235" s="440">
        <v>0</v>
      </c>
      <c r="BJ235" s="440">
        <v>0</v>
      </c>
      <c r="BK235" s="440">
        <v>0</v>
      </c>
      <c r="BL235" s="440">
        <v>0</v>
      </c>
      <c r="BM235" s="440">
        <v>0</v>
      </c>
      <c r="BN235" s="440">
        <v>0</v>
      </c>
      <c r="BO235" s="440">
        <v>0</v>
      </c>
      <c r="BP235" s="440">
        <v>0</v>
      </c>
      <c r="BQ235" s="440">
        <v>0</v>
      </c>
      <c r="BR235" s="415">
        <f t="shared" si="68"/>
        <v>0.66666666666666663</v>
      </c>
      <c r="BS235" s="415">
        <f t="shared" si="70"/>
        <v>0.6777777777777777</v>
      </c>
      <c r="BT235" s="935"/>
      <c r="BU235" s="935"/>
      <c r="BV235" s="935"/>
      <c r="BW235" s="935"/>
      <c r="BX235" s="935"/>
      <c r="BY235" s="935"/>
      <c r="BZ235" s="935"/>
      <c r="CA235" s="935"/>
      <c r="CB235" s="935"/>
      <c r="CC235" s="935"/>
      <c r="CD235" s="935"/>
      <c r="CE235" s="935"/>
      <c r="CF235" s="935"/>
      <c r="CG235" s="935"/>
      <c r="CH235" s="935"/>
      <c r="CI235" s="935"/>
      <c r="CJ235" s="935"/>
      <c r="CK235" s="935"/>
      <c r="CL235" s="935"/>
      <c r="CM235" s="935"/>
      <c r="CN235" s="935"/>
      <c r="CO235" s="935"/>
      <c r="CP235" s="935"/>
      <c r="CQ235" s="935"/>
      <c r="CR235" s="935"/>
      <c r="CS235" s="935"/>
      <c r="CT235" s="935"/>
      <c r="CU235" s="935"/>
      <c r="CV235" s="935"/>
    </row>
    <row r="236" spans="1:100">
      <c r="A236" s="375">
        <f t="shared" si="71"/>
        <v>8</v>
      </c>
      <c r="B236" s="455">
        <v>44429</v>
      </c>
      <c r="C236" s="493" t="s">
        <v>1980</v>
      </c>
      <c r="D236" s="376" t="str">
        <f>IFERROR(VLOOKUP(E:E,'Item Data Support Sheet'!A:O,7,0),"")</f>
        <v>NIPPLE MOLDED</v>
      </c>
      <c r="E236" s="447" t="s">
        <v>2484</v>
      </c>
      <c r="F236" s="500" t="s">
        <v>1678</v>
      </c>
      <c r="G236" s="376" t="s">
        <v>1691</v>
      </c>
      <c r="H236" s="602" t="str">
        <f>IFERROR(VLOOKUP(E:E,'Item Data Support Sheet'!A:O,2,0),"")</f>
        <v>NIPPLE S TYPE LL SIZE INJECTION</v>
      </c>
      <c r="I236" s="501" t="s">
        <v>2562</v>
      </c>
      <c r="J236" s="447" t="s">
        <v>2808</v>
      </c>
      <c r="K236" s="438">
        <v>3</v>
      </c>
      <c r="L236" s="499">
        <v>3600</v>
      </c>
      <c r="M236" s="366">
        <f t="shared" si="86"/>
        <v>1200</v>
      </c>
      <c r="N236" s="367">
        <f t="shared" si="69"/>
        <v>1873</v>
      </c>
      <c r="O236" s="61">
        <v>1750</v>
      </c>
      <c r="P236" s="368">
        <v>0</v>
      </c>
      <c r="Q236" s="368">
        <v>70</v>
      </c>
      <c r="R236" s="494">
        <v>0</v>
      </c>
      <c r="S236" s="493">
        <v>0</v>
      </c>
      <c r="T236" s="494">
        <v>45</v>
      </c>
      <c r="U236" s="493">
        <v>8</v>
      </c>
      <c r="V236" s="502">
        <v>1</v>
      </c>
      <c r="W236" s="453">
        <f t="shared" si="72"/>
        <v>1750</v>
      </c>
      <c r="X236" s="748">
        <f t="shared" si="73"/>
        <v>0.4861111111111111</v>
      </c>
      <c r="Y236" s="451" t="str">
        <f>IFERROR(VLOOKUP(E:E,'Item Data Support Sheet'!A:J,6,0),0)</f>
        <v>FO148</v>
      </c>
      <c r="Z236" s="428">
        <f>IFERROR(VLOOKUP(E:E,'Item Data Support Sheet'!A:O,4,0),0)</f>
        <v>6.8</v>
      </c>
      <c r="AA236" s="428">
        <f t="shared" si="74"/>
        <v>12.7364</v>
      </c>
      <c r="AB236" s="429">
        <f t="shared" si="75"/>
        <v>0.93432995194874524</v>
      </c>
      <c r="AC236" s="424">
        <f t="shared" si="76"/>
        <v>2.5069637883008356E-2</v>
      </c>
      <c r="AD236" s="371">
        <f t="shared" si="77"/>
        <v>3.6026762738033971E-2</v>
      </c>
      <c r="AE236" s="748">
        <f t="shared" si="78"/>
        <v>0.97597437266417508</v>
      </c>
      <c r="AF236" s="417">
        <f t="shared" si="79"/>
        <v>0</v>
      </c>
      <c r="AG236" s="416">
        <f t="shared" si="80"/>
        <v>3</v>
      </c>
      <c r="AH236" s="372">
        <f t="shared" si="81"/>
        <v>1</v>
      </c>
      <c r="AI236" s="373">
        <f t="shared" si="82"/>
        <v>583.33333333333337</v>
      </c>
      <c r="AJ236" s="418">
        <f>VLOOKUP(D236,'Standard Cycle time'!C:D,2,0)</f>
        <v>5.25</v>
      </c>
      <c r="AK236" s="418">
        <f t="shared" si="83"/>
        <v>6.1714285714285717</v>
      </c>
      <c r="AL236" s="374">
        <f t="shared" si="84"/>
        <v>0.85069444444444442</v>
      </c>
      <c r="AM236" s="372">
        <f t="shared" si="85"/>
        <v>0.83025597674556562</v>
      </c>
      <c r="AN236" s="799">
        <v>2620</v>
      </c>
      <c r="AO236" s="929" t="s">
        <v>2563</v>
      </c>
      <c r="AP236" s="440">
        <v>0</v>
      </c>
      <c r="AQ236" s="440">
        <v>0</v>
      </c>
      <c r="AR236" s="440">
        <v>0</v>
      </c>
      <c r="AS236" s="440">
        <v>0</v>
      </c>
      <c r="AT236" s="440">
        <v>0</v>
      </c>
      <c r="AU236" s="440">
        <v>0</v>
      </c>
      <c r="AV236" s="440">
        <v>0</v>
      </c>
      <c r="AW236" s="440">
        <v>0</v>
      </c>
      <c r="AX236" s="440">
        <v>0</v>
      </c>
      <c r="AY236" s="440">
        <v>0</v>
      </c>
      <c r="AZ236" s="440">
        <v>0</v>
      </c>
      <c r="BA236" s="440">
        <v>0</v>
      </c>
      <c r="BB236" s="440">
        <v>0</v>
      </c>
      <c r="BC236" s="440">
        <v>0</v>
      </c>
      <c r="BD236" s="440">
        <v>0</v>
      </c>
      <c r="BE236" s="440">
        <v>0</v>
      </c>
      <c r="BF236" s="440">
        <v>0</v>
      </c>
      <c r="BG236" s="440">
        <v>0</v>
      </c>
      <c r="BH236" s="440">
        <v>0</v>
      </c>
      <c r="BI236" s="440">
        <v>0</v>
      </c>
      <c r="BJ236" s="440">
        <v>0</v>
      </c>
      <c r="BK236" s="440">
        <v>0</v>
      </c>
      <c r="BL236" s="440">
        <v>0</v>
      </c>
      <c r="BM236" s="440">
        <v>0</v>
      </c>
      <c r="BN236" s="440">
        <v>0</v>
      </c>
      <c r="BO236" s="440">
        <v>0</v>
      </c>
      <c r="BP236" s="440">
        <v>0</v>
      </c>
      <c r="BQ236" s="440">
        <v>0</v>
      </c>
      <c r="BR236" s="415">
        <f t="shared" si="68"/>
        <v>0</v>
      </c>
      <c r="BS236" s="415">
        <f t="shared" si="70"/>
        <v>0</v>
      </c>
      <c r="BT236" s="935"/>
      <c r="BU236" s="935"/>
      <c r="BV236" s="935"/>
      <c r="BW236" s="935"/>
      <c r="BX236" s="935"/>
      <c r="BY236" s="935"/>
      <c r="BZ236" s="935"/>
      <c r="CA236" s="935"/>
      <c r="CB236" s="935"/>
      <c r="CC236" s="935"/>
      <c r="CD236" s="935"/>
      <c r="CE236" s="935"/>
      <c r="CF236" s="935"/>
      <c r="CG236" s="935"/>
      <c r="CH236" s="935"/>
      <c r="CI236" s="935"/>
      <c r="CJ236" s="935"/>
      <c r="CK236" s="935"/>
      <c r="CL236" s="935"/>
      <c r="CM236" s="935"/>
      <c r="CN236" s="935"/>
      <c r="CO236" s="935"/>
      <c r="CP236" s="935"/>
      <c r="CQ236" s="935"/>
      <c r="CR236" s="935"/>
      <c r="CS236" s="935"/>
      <c r="CT236" s="935"/>
      <c r="CU236" s="935"/>
      <c r="CV236" s="935"/>
    </row>
    <row r="237" spans="1:100" s="441" customFormat="1">
      <c r="A237" s="375">
        <f t="shared" si="71"/>
        <v>8</v>
      </c>
      <c r="B237" s="455">
        <v>44429</v>
      </c>
      <c r="C237" s="493" t="s">
        <v>1980</v>
      </c>
      <c r="D237" s="376" t="str">
        <f>IFERROR(VLOOKUP(E:E,'Item Data Support Sheet'!A:O,7,0),"")</f>
        <v>NIPPLE POSTCURE</v>
      </c>
      <c r="E237" s="447" t="s">
        <v>2485</v>
      </c>
      <c r="F237" s="500"/>
      <c r="G237" s="376" t="s">
        <v>1705</v>
      </c>
      <c r="H237" s="602" t="str">
        <f>IFERROR(VLOOKUP(E:E,'Item Data Support Sheet'!A:O,2,0),"")</f>
        <v>NIPPLE S TYPE LL SIZE POSTCURED</v>
      </c>
      <c r="I237" s="501" t="s">
        <v>2564</v>
      </c>
      <c r="J237" s="447" t="s">
        <v>2808</v>
      </c>
      <c r="K237" s="438">
        <v>2.5</v>
      </c>
      <c r="L237" s="499">
        <v>3500</v>
      </c>
      <c r="M237" s="366">
        <f t="shared" si="86"/>
        <v>1400</v>
      </c>
      <c r="N237" s="367">
        <f t="shared" si="69"/>
        <v>3250</v>
      </c>
      <c r="O237" s="61">
        <v>3250</v>
      </c>
      <c r="P237" s="368">
        <v>0</v>
      </c>
      <c r="Q237" s="368">
        <v>0</v>
      </c>
      <c r="R237" s="494">
        <v>0</v>
      </c>
      <c r="S237" s="493">
        <v>0</v>
      </c>
      <c r="T237" s="494">
        <v>0</v>
      </c>
      <c r="U237" s="493">
        <v>0</v>
      </c>
      <c r="V237" s="502">
        <v>1</v>
      </c>
      <c r="W237" s="453">
        <f t="shared" si="72"/>
        <v>3250</v>
      </c>
      <c r="X237" s="748">
        <f t="shared" si="73"/>
        <v>0.9285714285714286</v>
      </c>
      <c r="Y237" s="451" t="str">
        <f>IFERROR(VLOOKUP(E:E,'Item Data Support Sheet'!A:J,6,0),0)</f>
        <v>FO149</v>
      </c>
      <c r="Z237" s="428">
        <f>IFERROR(VLOOKUP(E:E,'Item Data Support Sheet'!A:O,4,0),0)</f>
        <v>0</v>
      </c>
      <c r="AA237" s="428">
        <f t="shared" si="74"/>
        <v>0</v>
      </c>
      <c r="AB237" s="429" t="str">
        <f t="shared" si="75"/>
        <v xml:space="preserve"> </v>
      </c>
      <c r="AC237" s="424">
        <f t="shared" si="76"/>
        <v>0</v>
      </c>
      <c r="AD237" s="371">
        <f t="shared" si="77"/>
        <v>0</v>
      </c>
      <c r="AE237" s="748">
        <f t="shared" si="78"/>
        <v>1</v>
      </c>
      <c r="AF237" s="417">
        <f t="shared" si="79"/>
        <v>0</v>
      </c>
      <c r="AG237" s="416">
        <f t="shared" si="80"/>
        <v>2.5</v>
      </c>
      <c r="AH237" s="372">
        <f t="shared" si="81"/>
        <v>1</v>
      </c>
      <c r="AI237" s="373">
        <f t="shared" si="82"/>
        <v>1300</v>
      </c>
      <c r="AJ237" s="418">
        <f>VLOOKUP(D237,'Standard Cycle time'!C:D,2,0)</f>
        <v>2.2999999999999998</v>
      </c>
      <c r="AK237" s="418">
        <f t="shared" si="83"/>
        <v>2.7692307692307692</v>
      </c>
      <c r="AL237" s="374">
        <f t="shared" si="84"/>
        <v>0.83055555555555549</v>
      </c>
      <c r="AM237" s="372">
        <f t="shared" si="85"/>
        <v>0.83055555555555549</v>
      </c>
      <c r="AN237" s="799" t="s">
        <v>2613</v>
      </c>
      <c r="AO237" s="761"/>
      <c r="AP237" s="440">
        <v>0</v>
      </c>
      <c r="AQ237" s="440">
        <v>0</v>
      </c>
      <c r="AR237" s="440">
        <v>0</v>
      </c>
      <c r="AS237" s="440">
        <v>0</v>
      </c>
      <c r="AT237" s="440">
        <v>0</v>
      </c>
      <c r="AU237" s="440">
        <v>0</v>
      </c>
      <c r="AV237" s="440">
        <v>0</v>
      </c>
      <c r="AW237" s="440">
        <v>0</v>
      </c>
      <c r="AX237" s="440">
        <v>0</v>
      </c>
      <c r="AY237" s="440">
        <v>0</v>
      </c>
      <c r="AZ237" s="440">
        <v>0</v>
      </c>
      <c r="BA237" s="440">
        <v>0</v>
      </c>
      <c r="BB237" s="440">
        <v>0</v>
      </c>
      <c r="BC237" s="440">
        <v>0</v>
      </c>
      <c r="BD237" s="440">
        <v>0</v>
      </c>
      <c r="BE237" s="440">
        <v>0</v>
      </c>
      <c r="BF237" s="440">
        <v>0</v>
      </c>
      <c r="BG237" s="440">
        <v>0</v>
      </c>
      <c r="BH237" s="440">
        <v>0</v>
      </c>
      <c r="BI237" s="440">
        <v>0</v>
      </c>
      <c r="BJ237" s="440">
        <v>0</v>
      </c>
      <c r="BK237" s="440">
        <v>0</v>
      </c>
      <c r="BL237" s="440">
        <v>0</v>
      </c>
      <c r="BM237" s="440">
        <v>0</v>
      </c>
      <c r="BN237" s="440">
        <v>0</v>
      </c>
      <c r="BO237" s="440">
        <v>0</v>
      </c>
      <c r="BP237" s="440">
        <v>0</v>
      </c>
      <c r="BQ237" s="440">
        <v>0</v>
      </c>
      <c r="BR237" s="415">
        <f t="shared" si="68"/>
        <v>0</v>
      </c>
      <c r="BS237" s="415">
        <f>SUM(AP237:BR237)/60</f>
        <v>0</v>
      </c>
      <c r="BT237" s="935"/>
      <c r="BU237" s="935"/>
      <c r="BV237" s="935"/>
      <c r="BW237" s="935"/>
      <c r="BX237" s="935"/>
      <c r="BY237" s="935"/>
      <c r="BZ237" s="935"/>
      <c r="CA237" s="935"/>
      <c r="CB237" s="935"/>
      <c r="CC237" s="935"/>
      <c r="CD237" s="935"/>
      <c r="CE237" s="935"/>
      <c r="CF237" s="935"/>
      <c r="CG237" s="935"/>
      <c r="CH237" s="935"/>
      <c r="CI237" s="935"/>
      <c r="CJ237" s="935"/>
      <c r="CK237" s="935"/>
      <c r="CL237" s="935"/>
      <c r="CM237" s="935"/>
      <c r="CN237" s="935"/>
      <c r="CO237" s="935"/>
      <c r="CP237" s="935"/>
      <c r="CQ237" s="935"/>
      <c r="CR237" s="935"/>
      <c r="CS237" s="935"/>
      <c r="CT237" s="935"/>
      <c r="CU237" s="935"/>
      <c r="CV237" s="935"/>
    </row>
    <row r="238" spans="1:100">
      <c r="A238" s="375">
        <f t="shared" si="71"/>
        <v>8</v>
      </c>
      <c r="B238" s="455">
        <v>44429</v>
      </c>
      <c r="C238" s="493" t="s">
        <v>1980</v>
      </c>
      <c r="D238" s="376" t="str">
        <f>IFERROR(VLOOKUP(E:E,'Item Data Support Sheet'!A:O,7,0),"")</f>
        <v>NIPPLE PUNCH</v>
      </c>
      <c r="E238" s="447" t="s">
        <v>2486</v>
      </c>
      <c r="F238" s="500"/>
      <c r="G238" s="376" t="s">
        <v>1692</v>
      </c>
      <c r="H238" s="602" t="str">
        <f>IFERROR(VLOOKUP(E:E,'Item Data Support Sheet'!A:O,2,0),"")</f>
        <v>NIPPLE S TYPE LL SIZE PUNCHED</v>
      </c>
      <c r="I238" s="501" t="s">
        <v>2566</v>
      </c>
      <c r="J238" s="447" t="s">
        <v>2808</v>
      </c>
      <c r="K238" s="438">
        <v>6</v>
      </c>
      <c r="L238" s="499">
        <v>5000</v>
      </c>
      <c r="M238" s="366">
        <f t="shared" si="86"/>
        <v>833.33333333333337</v>
      </c>
      <c r="N238" s="367">
        <f t="shared" si="69"/>
        <v>5600</v>
      </c>
      <c r="O238" s="61">
        <v>5600</v>
      </c>
      <c r="P238" s="368">
        <v>0</v>
      </c>
      <c r="Q238" s="368">
        <v>0</v>
      </c>
      <c r="R238" s="494">
        <v>0</v>
      </c>
      <c r="S238" s="493">
        <v>0</v>
      </c>
      <c r="T238" s="494">
        <v>0</v>
      </c>
      <c r="U238" s="493">
        <v>0</v>
      </c>
      <c r="V238" s="502">
        <v>1</v>
      </c>
      <c r="W238" s="453">
        <f t="shared" si="72"/>
        <v>5600</v>
      </c>
      <c r="X238" s="748">
        <f t="shared" si="73"/>
        <v>1.1200000000000001</v>
      </c>
      <c r="Y238" s="451" t="str">
        <f>IFERROR(VLOOKUP(E:E,'Item Data Support Sheet'!A:J,6,0),0)</f>
        <v>FO150</v>
      </c>
      <c r="Z238" s="428">
        <f>IFERROR(VLOOKUP(E:E,'Item Data Support Sheet'!A:O,4,0),0)</f>
        <v>0</v>
      </c>
      <c r="AA238" s="428">
        <f t="shared" si="74"/>
        <v>0</v>
      </c>
      <c r="AB238" s="429" t="str">
        <f t="shared" si="75"/>
        <v xml:space="preserve"> </v>
      </c>
      <c r="AC238" s="424">
        <f t="shared" si="76"/>
        <v>0</v>
      </c>
      <c r="AD238" s="371">
        <f t="shared" si="77"/>
        <v>0</v>
      </c>
      <c r="AE238" s="748">
        <f t="shared" si="78"/>
        <v>1</v>
      </c>
      <c r="AF238" s="417">
        <f t="shared" si="79"/>
        <v>0.66666666666666663</v>
      </c>
      <c r="AG238" s="416">
        <f t="shared" si="80"/>
        <v>5.333333333333333</v>
      </c>
      <c r="AH238" s="372">
        <f t="shared" si="81"/>
        <v>0.88888888888888884</v>
      </c>
      <c r="AI238" s="373">
        <f t="shared" si="82"/>
        <v>933.33333333333337</v>
      </c>
      <c r="AJ238" s="418">
        <f>VLOOKUP(D238,'Standard Cycle time'!C:D,2,0)</f>
        <v>3.5</v>
      </c>
      <c r="AK238" s="418">
        <f t="shared" si="83"/>
        <v>3.4285714285714284</v>
      </c>
      <c r="AL238" s="374">
        <f t="shared" si="84"/>
        <v>1.0208333333333335</v>
      </c>
      <c r="AM238" s="372">
        <f t="shared" si="85"/>
        <v>0.90740740740740744</v>
      </c>
      <c r="AN238" s="799" t="s">
        <v>2571</v>
      </c>
      <c r="AO238" s="929"/>
      <c r="AP238" s="440">
        <v>40</v>
      </c>
      <c r="AQ238" s="440">
        <v>0</v>
      </c>
      <c r="AR238" s="440">
        <v>0</v>
      </c>
      <c r="AS238" s="440">
        <v>0</v>
      </c>
      <c r="AT238" s="440">
        <v>0</v>
      </c>
      <c r="AU238" s="440">
        <v>0</v>
      </c>
      <c r="AV238" s="440">
        <v>0</v>
      </c>
      <c r="AW238" s="440">
        <v>0</v>
      </c>
      <c r="AX238" s="440">
        <v>0</v>
      </c>
      <c r="AY238" s="440">
        <v>0</v>
      </c>
      <c r="AZ238" s="440">
        <v>0</v>
      </c>
      <c r="BA238" s="440">
        <v>0</v>
      </c>
      <c r="BB238" s="440">
        <v>0</v>
      </c>
      <c r="BC238" s="440">
        <v>0</v>
      </c>
      <c r="BD238" s="440">
        <v>0</v>
      </c>
      <c r="BE238" s="440">
        <v>0</v>
      </c>
      <c r="BF238" s="440">
        <v>0</v>
      </c>
      <c r="BG238" s="440">
        <v>0</v>
      </c>
      <c r="BH238" s="440">
        <v>0</v>
      </c>
      <c r="BI238" s="440">
        <v>0</v>
      </c>
      <c r="BJ238" s="440">
        <v>0</v>
      </c>
      <c r="BK238" s="440">
        <v>0</v>
      </c>
      <c r="BL238" s="440">
        <v>0</v>
      </c>
      <c r="BM238" s="440">
        <v>0</v>
      </c>
      <c r="BN238" s="440">
        <v>0</v>
      </c>
      <c r="BO238" s="440">
        <v>0</v>
      </c>
      <c r="BP238" s="440">
        <v>0</v>
      </c>
      <c r="BQ238" s="440">
        <v>0</v>
      </c>
      <c r="BR238" s="415">
        <f t="shared" si="68"/>
        <v>0.66666666666666663</v>
      </c>
      <c r="BS238" s="415">
        <f t="shared" si="70"/>
        <v>0.6777777777777777</v>
      </c>
      <c r="BT238" s="935"/>
      <c r="BU238" s="935"/>
      <c r="BV238" s="935"/>
      <c r="BW238" s="935"/>
      <c r="BX238" s="935"/>
      <c r="BY238" s="935"/>
      <c r="BZ238" s="935"/>
      <c r="CA238" s="935"/>
      <c r="CB238" s="935"/>
      <c r="CC238" s="935"/>
      <c r="CD238" s="935"/>
      <c r="CE238" s="935"/>
      <c r="CF238" s="935"/>
      <c r="CG238" s="935"/>
      <c r="CH238" s="935"/>
      <c r="CI238" s="935"/>
      <c r="CJ238" s="935"/>
      <c r="CK238" s="935"/>
      <c r="CL238" s="935"/>
      <c r="CM238" s="935"/>
      <c r="CN238" s="935"/>
      <c r="CO238" s="935"/>
      <c r="CP238" s="935"/>
      <c r="CQ238" s="935"/>
      <c r="CR238" s="935"/>
      <c r="CS238" s="935"/>
      <c r="CT238" s="935"/>
      <c r="CU238" s="935"/>
      <c r="CV238" s="935"/>
    </row>
    <row r="239" spans="1:100">
      <c r="A239" s="375">
        <f t="shared" si="71"/>
        <v>8</v>
      </c>
      <c r="B239" s="455">
        <v>44429</v>
      </c>
      <c r="C239" s="493" t="s">
        <v>1980</v>
      </c>
      <c r="D239" s="376" t="str">
        <f>IFERROR(VLOOKUP(E:E,'Item Data Support Sheet'!A:O,7,0),"")</f>
        <v>NIPPLE LASER MARKING</v>
      </c>
      <c r="E239" s="447" t="s">
        <v>1814</v>
      </c>
      <c r="F239" s="500"/>
      <c r="G239" s="376"/>
      <c r="H239" s="602" t="str">
        <f>IFERROR(VLOOKUP(E:E,'Item Data Support Sheet'!A:O,2,0),"")</f>
        <v>NIPPLE S TYPE S SIZE PUNCHED LASER MARKED</v>
      </c>
      <c r="I239" s="501" t="s">
        <v>2567</v>
      </c>
      <c r="J239" s="447" t="s">
        <v>2808</v>
      </c>
      <c r="K239" s="438">
        <v>5</v>
      </c>
      <c r="L239" s="499">
        <v>5000</v>
      </c>
      <c r="M239" s="366">
        <f t="shared" si="86"/>
        <v>1000</v>
      </c>
      <c r="N239" s="367">
        <f t="shared" si="69"/>
        <v>4950</v>
      </c>
      <c r="O239" s="61">
        <v>4950</v>
      </c>
      <c r="P239" s="368">
        <v>0</v>
      </c>
      <c r="Q239" s="368">
        <v>0</v>
      </c>
      <c r="R239" s="494">
        <v>0</v>
      </c>
      <c r="S239" s="493">
        <v>0</v>
      </c>
      <c r="T239" s="494">
        <v>0</v>
      </c>
      <c r="U239" s="493">
        <v>0</v>
      </c>
      <c r="V239" s="502">
        <v>1</v>
      </c>
      <c r="W239" s="453">
        <f t="shared" si="72"/>
        <v>4950</v>
      </c>
      <c r="X239" s="748">
        <f t="shared" si="73"/>
        <v>0.99</v>
      </c>
      <c r="Y239" s="451" t="str">
        <f>IFERROR(VLOOKUP(E:E,'Item Data Support Sheet'!A:J,6,0),0)</f>
        <v>FO019</v>
      </c>
      <c r="Z239" s="428">
        <f>IFERROR(VLOOKUP(E:E,'Item Data Support Sheet'!A:O,4,0),0)</f>
        <v>0</v>
      </c>
      <c r="AA239" s="428">
        <f t="shared" si="74"/>
        <v>0</v>
      </c>
      <c r="AB239" s="429" t="str">
        <f t="shared" si="75"/>
        <v xml:space="preserve"> </v>
      </c>
      <c r="AC239" s="424">
        <f t="shared" si="76"/>
        <v>0</v>
      </c>
      <c r="AD239" s="371">
        <f t="shared" si="77"/>
        <v>0</v>
      </c>
      <c r="AE239" s="748">
        <f t="shared" si="78"/>
        <v>1</v>
      </c>
      <c r="AF239" s="417">
        <f t="shared" si="79"/>
        <v>0</v>
      </c>
      <c r="AG239" s="416">
        <f t="shared" si="80"/>
        <v>5</v>
      </c>
      <c r="AH239" s="372">
        <f t="shared" si="81"/>
        <v>1</v>
      </c>
      <c r="AI239" s="373">
        <f t="shared" si="82"/>
        <v>990</v>
      </c>
      <c r="AJ239" s="418">
        <f>VLOOKUP(D239,'Standard Cycle time'!C:D,2,0)</f>
        <v>3.5</v>
      </c>
      <c r="AK239" s="418">
        <f t="shared" si="83"/>
        <v>3.6363636363636362</v>
      </c>
      <c r="AL239" s="374">
        <f t="shared" si="84"/>
        <v>0.96250000000000002</v>
      </c>
      <c r="AM239" s="372">
        <f t="shared" si="85"/>
        <v>0.96250000000000002</v>
      </c>
      <c r="AN239" s="799" t="s">
        <v>2579</v>
      </c>
      <c r="AO239" s="929"/>
      <c r="AP239" s="440">
        <v>0</v>
      </c>
      <c r="AQ239" s="440">
        <v>0</v>
      </c>
      <c r="AR239" s="440">
        <v>0</v>
      </c>
      <c r="AS239" s="440">
        <v>0</v>
      </c>
      <c r="AT239" s="440">
        <v>0</v>
      </c>
      <c r="AU239" s="440">
        <v>0</v>
      </c>
      <c r="AV239" s="440">
        <v>0</v>
      </c>
      <c r="AW239" s="440">
        <v>0</v>
      </c>
      <c r="AX239" s="440">
        <v>0</v>
      </c>
      <c r="AY239" s="440">
        <v>0</v>
      </c>
      <c r="AZ239" s="440">
        <v>0</v>
      </c>
      <c r="BA239" s="440">
        <v>0</v>
      </c>
      <c r="BB239" s="440">
        <v>0</v>
      </c>
      <c r="BC239" s="440">
        <v>0</v>
      </c>
      <c r="BD239" s="440">
        <v>0</v>
      </c>
      <c r="BE239" s="440">
        <v>0</v>
      </c>
      <c r="BF239" s="440">
        <v>0</v>
      </c>
      <c r="BG239" s="440">
        <v>0</v>
      </c>
      <c r="BH239" s="440">
        <v>0</v>
      </c>
      <c r="BI239" s="440">
        <v>0</v>
      </c>
      <c r="BJ239" s="440">
        <v>0</v>
      </c>
      <c r="BK239" s="440">
        <v>0</v>
      </c>
      <c r="BL239" s="440">
        <v>0</v>
      </c>
      <c r="BM239" s="440">
        <v>0</v>
      </c>
      <c r="BN239" s="440">
        <v>0</v>
      </c>
      <c r="BO239" s="440">
        <v>0</v>
      </c>
      <c r="BP239" s="440">
        <v>0</v>
      </c>
      <c r="BQ239" s="440">
        <v>0</v>
      </c>
      <c r="BR239" s="415">
        <f t="shared" si="68"/>
        <v>0</v>
      </c>
      <c r="BS239" s="415">
        <f t="shared" si="70"/>
        <v>0</v>
      </c>
      <c r="BT239" s="935"/>
      <c r="BU239" s="935"/>
      <c r="BV239" s="935"/>
      <c r="BW239" s="935"/>
      <c r="BX239" s="935"/>
      <c r="BY239" s="935"/>
      <c r="BZ239" s="935"/>
      <c r="CA239" s="935"/>
      <c r="CB239" s="935"/>
      <c r="CC239" s="935"/>
      <c r="CD239" s="935"/>
      <c r="CE239" s="935"/>
      <c r="CF239" s="935"/>
      <c r="CG239" s="935"/>
      <c r="CH239" s="935"/>
      <c r="CI239" s="935"/>
      <c r="CJ239" s="935"/>
      <c r="CK239" s="935"/>
      <c r="CL239" s="935"/>
      <c r="CM239" s="935"/>
      <c r="CN239" s="935"/>
      <c r="CO239" s="935"/>
      <c r="CP239" s="935"/>
      <c r="CQ239" s="935"/>
      <c r="CR239" s="935"/>
      <c r="CS239" s="935"/>
      <c r="CT239" s="935"/>
      <c r="CU239" s="935"/>
      <c r="CV239" s="935"/>
    </row>
    <row r="240" spans="1:100">
      <c r="A240" s="375">
        <f t="shared" si="71"/>
        <v>8</v>
      </c>
      <c r="B240" s="455">
        <v>44429</v>
      </c>
      <c r="C240" s="493" t="s">
        <v>2000</v>
      </c>
      <c r="D240" s="376" t="str">
        <f>IFERROR(VLOOKUP(E:E,'Item Data Support Sheet'!A:O,7,0),"")</f>
        <v>NIPPLE PUNCH INSPECTED</v>
      </c>
      <c r="E240" s="447" t="s">
        <v>1818</v>
      </c>
      <c r="F240" s="500"/>
      <c r="G240" s="376"/>
      <c r="H240" s="602" t="str">
        <f>IFERROR(VLOOKUP(E:E,'Item Data Support Sheet'!A:O,2,0),"")</f>
        <v>NIPPLE S TYPE S SIZE PUNCHED INSPECTED</v>
      </c>
      <c r="I240" s="501" t="s">
        <v>2568</v>
      </c>
      <c r="J240" s="447" t="s">
        <v>2812</v>
      </c>
      <c r="K240" s="438">
        <v>5</v>
      </c>
      <c r="L240" s="499">
        <v>5000</v>
      </c>
      <c r="M240" s="366">
        <f t="shared" si="86"/>
        <v>1000</v>
      </c>
      <c r="N240" s="367">
        <f t="shared" si="69"/>
        <v>7224</v>
      </c>
      <c r="O240" s="61">
        <v>7200</v>
      </c>
      <c r="P240" s="368">
        <v>0</v>
      </c>
      <c r="Q240" s="368">
        <v>0</v>
      </c>
      <c r="R240" s="494">
        <v>0</v>
      </c>
      <c r="S240" s="493">
        <v>0</v>
      </c>
      <c r="T240" s="494">
        <v>24</v>
      </c>
      <c r="U240" s="493">
        <v>0</v>
      </c>
      <c r="V240" s="502">
        <v>1</v>
      </c>
      <c r="W240" s="453">
        <f t="shared" si="72"/>
        <v>7200</v>
      </c>
      <c r="X240" s="748">
        <f t="shared" si="73"/>
        <v>1.44</v>
      </c>
      <c r="Y240" s="451" t="str">
        <f>IFERROR(VLOOKUP(E:E,'Item Data Support Sheet'!A:J,6,0),0)</f>
        <v>FO104</v>
      </c>
      <c r="Z240" s="428">
        <f>IFERROR(VLOOKUP(E:E,'Item Data Support Sheet'!A:O,4,0),0)</f>
        <v>0</v>
      </c>
      <c r="AA240" s="428">
        <f t="shared" si="74"/>
        <v>0</v>
      </c>
      <c r="AB240" s="429" t="str">
        <f t="shared" si="75"/>
        <v xml:space="preserve"> </v>
      </c>
      <c r="AC240" s="424">
        <f t="shared" si="76"/>
        <v>3.3222591362126247E-3</v>
      </c>
      <c r="AD240" s="371">
        <f t="shared" si="77"/>
        <v>0</v>
      </c>
      <c r="AE240" s="748">
        <f t="shared" si="78"/>
        <v>0.99667774086378735</v>
      </c>
      <c r="AF240" s="417">
        <f t="shared" si="79"/>
        <v>0</v>
      </c>
      <c r="AG240" s="416">
        <f t="shared" si="80"/>
        <v>5</v>
      </c>
      <c r="AH240" s="372">
        <f t="shared" si="81"/>
        <v>1</v>
      </c>
      <c r="AI240" s="373">
        <f t="shared" si="82"/>
        <v>1440</v>
      </c>
      <c r="AJ240" s="418">
        <f>VLOOKUP(D240,'Standard Cycle time'!C:D,2,0)</f>
        <v>4</v>
      </c>
      <c r="AK240" s="418">
        <f t="shared" si="83"/>
        <v>2.5</v>
      </c>
      <c r="AL240" s="374">
        <f t="shared" si="84"/>
        <v>1.6</v>
      </c>
      <c r="AM240" s="372">
        <f t="shared" si="85"/>
        <v>1.5946843853820598</v>
      </c>
      <c r="AN240" s="799" t="s">
        <v>2578</v>
      </c>
      <c r="AO240" s="929"/>
      <c r="AP240" s="440">
        <v>0</v>
      </c>
      <c r="AQ240" s="440">
        <v>0</v>
      </c>
      <c r="AR240" s="440">
        <v>0</v>
      </c>
      <c r="AS240" s="440">
        <v>0</v>
      </c>
      <c r="AT240" s="440">
        <v>0</v>
      </c>
      <c r="AU240" s="440">
        <v>0</v>
      </c>
      <c r="AV240" s="440">
        <v>0</v>
      </c>
      <c r="AW240" s="440">
        <v>0</v>
      </c>
      <c r="AX240" s="440">
        <v>0</v>
      </c>
      <c r="AY240" s="440">
        <v>0</v>
      </c>
      <c r="AZ240" s="440">
        <v>0</v>
      </c>
      <c r="BA240" s="440">
        <v>0</v>
      </c>
      <c r="BB240" s="440">
        <v>0</v>
      </c>
      <c r="BC240" s="440">
        <v>0</v>
      </c>
      <c r="BD240" s="440">
        <v>0</v>
      </c>
      <c r="BE240" s="440">
        <v>0</v>
      </c>
      <c r="BF240" s="440">
        <v>0</v>
      </c>
      <c r="BG240" s="440">
        <v>0</v>
      </c>
      <c r="BH240" s="440">
        <v>0</v>
      </c>
      <c r="BI240" s="440">
        <v>0</v>
      </c>
      <c r="BJ240" s="440">
        <v>0</v>
      </c>
      <c r="BK240" s="440">
        <v>0</v>
      </c>
      <c r="BL240" s="440">
        <v>0</v>
      </c>
      <c r="BM240" s="440">
        <v>0</v>
      </c>
      <c r="BN240" s="440">
        <v>0</v>
      </c>
      <c r="BO240" s="440">
        <v>0</v>
      </c>
      <c r="BP240" s="440">
        <v>0</v>
      </c>
      <c r="BQ240" s="440">
        <v>0</v>
      </c>
      <c r="BR240" s="415">
        <f t="shared" si="68"/>
        <v>0</v>
      </c>
      <c r="BS240" s="415">
        <f t="shared" si="70"/>
        <v>0</v>
      </c>
      <c r="BT240" s="935"/>
      <c r="BU240" s="935"/>
      <c r="BV240" s="935"/>
      <c r="BW240" s="935"/>
      <c r="BX240" s="935"/>
      <c r="BY240" s="935"/>
      <c r="BZ240" s="935"/>
      <c r="CA240" s="935"/>
      <c r="CB240" s="935"/>
      <c r="CC240" s="935"/>
      <c r="CD240" s="935"/>
      <c r="CE240" s="935"/>
      <c r="CF240" s="935"/>
      <c r="CG240" s="935"/>
      <c r="CH240" s="935"/>
      <c r="CI240" s="935"/>
      <c r="CJ240" s="935"/>
      <c r="CK240" s="935"/>
      <c r="CL240" s="935"/>
      <c r="CM240" s="935"/>
      <c r="CN240" s="935"/>
      <c r="CO240" s="935"/>
      <c r="CP240" s="935"/>
      <c r="CQ240" s="935"/>
      <c r="CR240" s="935"/>
      <c r="CS240" s="935"/>
      <c r="CT240" s="935"/>
      <c r="CU240" s="935"/>
      <c r="CV240" s="935"/>
    </row>
    <row r="241" spans="1:100">
      <c r="A241" s="375">
        <f t="shared" si="71"/>
        <v>8</v>
      </c>
      <c r="B241" s="455">
        <v>44429</v>
      </c>
      <c r="C241" s="493" t="s">
        <v>2000</v>
      </c>
      <c r="D241" s="376" t="str">
        <f>IFERROR(VLOOKUP(E:E,'Item Data Support Sheet'!A:O,7,0),"")</f>
        <v>NIPPLE WRAP PRINTED</v>
      </c>
      <c r="E241" s="447" t="s">
        <v>109</v>
      </c>
      <c r="F241" s="500"/>
      <c r="G241" s="376" t="s">
        <v>1693</v>
      </c>
      <c r="H241" s="602" t="str">
        <f>IFERROR(VLOOKUP(E:E,'Item Data Support Sheet'!A:O,2,0),"")</f>
        <v>NIPPLE S TYPE M SIZE WITH PRINTED WRAP</v>
      </c>
      <c r="I241" s="501" t="s">
        <v>2569</v>
      </c>
      <c r="J241" s="447" t="s">
        <v>2812</v>
      </c>
      <c r="K241" s="438">
        <v>5</v>
      </c>
      <c r="L241" s="499">
        <v>6000</v>
      </c>
      <c r="M241" s="366">
        <f t="shared" si="86"/>
        <v>1200</v>
      </c>
      <c r="N241" s="367">
        <f t="shared" si="69"/>
        <v>8705</v>
      </c>
      <c r="O241" s="61">
        <v>8701</v>
      </c>
      <c r="P241" s="368">
        <v>0</v>
      </c>
      <c r="Q241" s="368">
        <v>0</v>
      </c>
      <c r="R241" s="494">
        <v>0</v>
      </c>
      <c r="S241" s="493">
        <v>0</v>
      </c>
      <c r="T241" s="494">
        <v>4</v>
      </c>
      <c r="U241" s="493">
        <v>0</v>
      </c>
      <c r="V241" s="502">
        <v>1</v>
      </c>
      <c r="W241" s="453">
        <f t="shared" si="72"/>
        <v>8701</v>
      </c>
      <c r="X241" s="748">
        <f t="shared" si="73"/>
        <v>1.4501666666666666</v>
      </c>
      <c r="Y241" s="451" t="str">
        <f>IFERROR(VLOOKUP(E:E,'Item Data Support Sheet'!A:J,6,0),0)</f>
        <v>FO020</v>
      </c>
      <c r="Z241" s="428">
        <f>IFERROR(VLOOKUP(E:E,'Item Data Support Sheet'!A:O,4,0),0)</f>
        <v>0</v>
      </c>
      <c r="AA241" s="428">
        <f t="shared" si="74"/>
        <v>0</v>
      </c>
      <c r="AB241" s="429" t="str">
        <f t="shared" si="75"/>
        <v xml:space="preserve"> </v>
      </c>
      <c r="AC241" s="424">
        <f t="shared" si="76"/>
        <v>4.5950603101665711E-4</v>
      </c>
      <c r="AD241" s="371">
        <f t="shared" si="77"/>
        <v>0</v>
      </c>
      <c r="AE241" s="748">
        <f t="shared" si="78"/>
        <v>0.99954049396898337</v>
      </c>
      <c r="AF241" s="417">
        <f t="shared" si="79"/>
        <v>0</v>
      </c>
      <c r="AG241" s="416">
        <f t="shared" si="80"/>
        <v>5</v>
      </c>
      <c r="AH241" s="372">
        <f t="shared" si="81"/>
        <v>1</v>
      </c>
      <c r="AI241" s="373">
        <f t="shared" si="82"/>
        <v>1740.2</v>
      </c>
      <c r="AJ241" s="418">
        <f>VLOOKUP(D241,'Standard Cycle time'!C:D,2,0)</f>
        <v>2.5</v>
      </c>
      <c r="AK241" s="418">
        <f t="shared" si="83"/>
        <v>2.0687277324445468</v>
      </c>
      <c r="AL241" s="374">
        <f t="shared" si="84"/>
        <v>1.2084722222222222</v>
      </c>
      <c r="AM241" s="372">
        <f t="shared" si="85"/>
        <v>1.207916921947795</v>
      </c>
      <c r="AN241" s="799" t="s">
        <v>2580</v>
      </c>
      <c r="AO241" s="761"/>
      <c r="AP241" s="440"/>
      <c r="AQ241" s="440">
        <v>0</v>
      </c>
      <c r="AR241" s="440">
        <v>0</v>
      </c>
      <c r="AS241" s="440">
        <v>0</v>
      </c>
      <c r="AT241" s="440">
        <v>0</v>
      </c>
      <c r="AU241" s="440">
        <v>0</v>
      </c>
      <c r="AV241" s="440">
        <v>0</v>
      </c>
      <c r="AW241" s="440">
        <v>0</v>
      </c>
      <c r="AX241" s="440">
        <v>0</v>
      </c>
      <c r="AY241" s="440">
        <v>0</v>
      </c>
      <c r="AZ241" s="440">
        <v>0</v>
      </c>
      <c r="BA241" s="440">
        <v>0</v>
      </c>
      <c r="BB241" s="440">
        <v>0</v>
      </c>
      <c r="BC241" s="440">
        <v>0</v>
      </c>
      <c r="BD241" s="440">
        <v>0</v>
      </c>
      <c r="BE241" s="440">
        <v>0</v>
      </c>
      <c r="BF241" s="440">
        <v>0</v>
      </c>
      <c r="BG241" s="440">
        <v>0</v>
      </c>
      <c r="BH241" s="440">
        <v>0</v>
      </c>
      <c r="BI241" s="440">
        <v>0</v>
      </c>
      <c r="BJ241" s="440">
        <v>0</v>
      </c>
      <c r="BK241" s="440">
        <v>0</v>
      </c>
      <c r="BL241" s="440">
        <v>0</v>
      </c>
      <c r="BM241" s="440">
        <v>0</v>
      </c>
      <c r="BN241" s="440">
        <v>0</v>
      </c>
      <c r="BO241" s="440">
        <v>0</v>
      </c>
      <c r="BP241" s="440">
        <v>0</v>
      </c>
      <c r="BQ241" s="440">
        <v>0</v>
      </c>
      <c r="BR241" s="415">
        <f t="shared" si="68"/>
        <v>0</v>
      </c>
      <c r="BS241" s="415">
        <f t="shared" si="70"/>
        <v>0</v>
      </c>
      <c r="BT241" s="935"/>
      <c r="BU241" s="935"/>
      <c r="BV241" s="935"/>
      <c r="BW241" s="935"/>
      <c r="BX241" s="935"/>
      <c r="BY241" s="935"/>
      <c r="BZ241" s="935"/>
      <c r="CA241" s="935"/>
      <c r="CB241" s="935"/>
      <c r="CC241" s="935"/>
      <c r="CD241" s="935"/>
      <c r="CE241" s="935"/>
      <c r="CF241" s="935"/>
      <c r="CG241" s="935"/>
      <c r="CH241" s="935"/>
      <c r="CI241" s="935"/>
      <c r="CJ241" s="935"/>
      <c r="CK241" s="935"/>
      <c r="CL241" s="935"/>
      <c r="CM241" s="935"/>
      <c r="CN241" s="935"/>
      <c r="CO241" s="935"/>
      <c r="CP241" s="935"/>
      <c r="CQ241" s="935"/>
      <c r="CR241" s="935"/>
      <c r="CS241" s="935"/>
      <c r="CT241" s="935"/>
      <c r="CU241" s="935"/>
      <c r="CV241" s="935"/>
    </row>
    <row r="242" spans="1:100">
      <c r="A242" s="375">
        <f t="shared" si="71"/>
        <v>8</v>
      </c>
      <c r="B242" s="455">
        <v>44429</v>
      </c>
      <c r="C242" s="493" t="s">
        <v>1980</v>
      </c>
      <c r="D242" s="376" t="str">
        <f>IFERROR(VLOOKUP(E:E,'Item Data Support Sheet'!A:O,7,0),"")</f>
        <v>BOTTLE MOLDED</v>
      </c>
      <c r="E242" s="447" t="s">
        <v>68</v>
      </c>
      <c r="F242" s="500" t="s">
        <v>1664</v>
      </c>
      <c r="G242" s="376" t="s">
        <v>1888</v>
      </c>
      <c r="H242" s="602" t="str">
        <f>IFERROR(VLOOKUP(E:E,'Item Data Support Sheet'!A:O,2,0),"")</f>
        <v>RPP 240 ML BOTTLE MOLDED</v>
      </c>
      <c r="I242" s="501" t="s">
        <v>2570</v>
      </c>
      <c r="J242" s="447" t="s">
        <v>2808</v>
      </c>
      <c r="K242" s="438">
        <v>8</v>
      </c>
      <c r="L242" s="499">
        <v>2574</v>
      </c>
      <c r="M242" s="366">
        <f t="shared" si="86"/>
        <v>321.75</v>
      </c>
      <c r="N242" s="367">
        <f t="shared" si="69"/>
        <v>2640</v>
      </c>
      <c r="O242" s="61">
        <v>2520</v>
      </c>
      <c r="P242" s="368">
        <v>0.2</v>
      </c>
      <c r="Q242" s="368">
        <v>80</v>
      </c>
      <c r="R242" s="494">
        <v>0</v>
      </c>
      <c r="S242" s="493">
        <v>0</v>
      </c>
      <c r="T242" s="494">
        <v>40</v>
      </c>
      <c r="U242" s="493">
        <v>0</v>
      </c>
      <c r="V242" s="502">
        <v>1</v>
      </c>
      <c r="W242" s="453">
        <f t="shared" si="72"/>
        <v>2520</v>
      </c>
      <c r="X242" s="748">
        <f t="shared" si="73"/>
        <v>0.97902097902097907</v>
      </c>
      <c r="Y242" s="451" t="str">
        <f>IFERROR(VLOOKUP(E:E,'Item Data Support Sheet'!A:J,6,0),0)</f>
        <v>HMC</v>
      </c>
      <c r="Z242" s="428">
        <f>IFERROR(VLOOKUP(E:E,'Item Data Support Sheet'!A:O,4,0),0)</f>
        <v>32.1</v>
      </c>
      <c r="AA242" s="428">
        <f t="shared" si="74"/>
        <v>84.944000000000017</v>
      </c>
      <c r="AB242" s="429">
        <f t="shared" si="75"/>
        <v>0.95229798455452996</v>
      </c>
      <c r="AC242" s="424">
        <f t="shared" si="76"/>
        <v>1.5625E-2</v>
      </c>
      <c r="AD242" s="371">
        <f t="shared" si="77"/>
        <v>2.9411764705882353E-2</v>
      </c>
      <c r="AE242" s="748">
        <f t="shared" si="78"/>
        <v>0.98484848484848486</v>
      </c>
      <c r="AF242" s="417">
        <f t="shared" si="79"/>
        <v>0</v>
      </c>
      <c r="AG242" s="416">
        <f t="shared" si="80"/>
        <v>8</v>
      </c>
      <c r="AH242" s="372">
        <f t="shared" si="81"/>
        <v>1</v>
      </c>
      <c r="AI242" s="373">
        <f t="shared" si="82"/>
        <v>315</v>
      </c>
      <c r="AJ242" s="418">
        <f>VLOOKUP(D242,'Standard Cycle time'!C:D,2,0)</f>
        <v>9</v>
      </c>
      <c r="AK242" s="418">
        <f t="shared" si="83"/>
        <v>11.428571428571429</v>
      </c>
      <c r="AL242" s="374">
        <f t="shared" si="84"/>
        <v>0.78749999999999998</v>
      </c>
      <c r="AM242" s="372">
        <f t="shared" si="85"/>
        <v>0.77556818181818177</v>
      </c>
      <c r="AN242" s="799">
        <v>2633</v>
      </c>
      <c r="AO242" s="761"/>
      <c r="AP242" s="440"/>
      <c r="AQ242" s="440">
        <v>0</v>
      </c>
      <c r="AR242" s="440">
        <v>0</v>
      </c>
      <c r="AS242" s="440">
        <v>0</v>
      </c>
      <c r="AT242" s="440">
        <v>0</v>
      </c>
      <c r="AU242" s="440">
        <v>0</v>
      </c>
      <c r="AV242" s="440">
        <v>0</v>
      </c>
      <c r="AW242" s="440">
        <v>0</v>
      </c>
      <c r="AX242" s="440">
        <v>0</v>
      </c>
      <c r="AY242" s="440">
        <v>0</v>
      </c>
      <c r="AZ242" s="440">
        <v>0</v>
      </c>
      <c r="BA242" s="440">
        <v>0</v>
      </c>
      <c r="BB242" s="440">
        <v>0</v>
      </c>
      <c r="BC242" s="440">
        <v>0</v>
      </c>
      <c r="BD242" s="440">
        <v>0</v>
      </c>
      <c r="BE242" s="440">
        <v>0</v>
      </c>
      <c r="BF242" s="440">
        <v>0</v>
      </c>
      <c r="BG242" s="440">
        <v>0</v>
      </c>
      <c r="BH242" s="440">
        <v>0</v>
      </c>
      <c r="BI242" s="440">
        <v>0</v>
      </c>
      <c r="BJ242" s="440">
        <v>0</v>
      </c>
      <c r="BK242" s="440">
        <v>0</v>
      </c>
      <c r="BL242" s="440">
        <v>0</v>
      </c>
      <c r="BM242" s="440">
        <v>0</v>
      </c>
      <c r="BN242" s="440">
        <v>0</v>
      </c>
      <c r="BO242" s="440">
        <v>0</v>
      </c>
      <c r="BP242" s="440">
        <v>0</v>
      </c>
      <c r="BQ242" s="440">
        <v>0</v>
      </c>
      <c r="BR242" s="415">
        <f t="shared" si="68"/>
        <v>0</v>
      </c>
      <c r="BS242" s="415">
        <f t="shared" si="70"/>
        <v>0</v>
      </c>
      <c r="BT242" s="935"/>
      <c r="BU242" s="935"/>
      <c r="BV242" s="935"/>
      <c r="BW242" s="935"/>
      <c r="BX242" s="935"/>
      <c r="BY242" s="935"/>
      <c r="BZ242" s="935"/>
      <c r="CA242" s="935"/>
      <c r="CB242" s="935"/>
      <c r="CC242" s="935"/>
      <c r="CD242" s="935"/>
      <c r="CE242" s="935"/>
      <c r="CF242" s="935"/>
      <c r="CG242" s="935"/>
      <c r="CH242" s="935"/>
      <c r="CI242" s="935"/>
      <c r="CJ242" s="935"/>
      <c r="CK242" s="935"/>
      <c r="CL242" s="935"/>
      <c r="CM242" s="935"/>
      <c r="CN242" s="935"/>
      <c r="CO242" s="935"/>
      <c r="CP242" s="935"/>
      <c r="CQ242" s="935"/>
      <c r="CR242" s="935"/>
      <c r="CS242" s="935"/>
      <c r="CT242" s="935"/>
      <c r="CU242" s="935"/>
      <c r="CV242" s="935"/>
    </row>
    <row r="243" spans="1:100">
      <c r="A243" s="375">
        <f t="shared" si="71"/>
        <v>8</v>
      </c>
      <c r="B243" s="455">
        <v>44429</v>
      </c>
      <c r="C243" s="493" t="s">
        <v>2000</v>
      </c>
      <c r="D243" s="376" t="str">
        <f>IFERROR(VLOOKUP(E:E,'Item Data Support Sheet'!A:O,7,0),"")</f>
        <v>BOTTLE PRINTED</v>
      </c>
      <c r="E243" s="447" t="s">
        <v>15</v>
      </c>
      <c r="F243" s="500"/>
      <c r="G243" s="376"/>
      <c r="H243" s="602" t="str">
        <f>IFERROR(VLOOKUP(E:E,'Item Data Support Sheet'!A:O,2,0),"")</f>
        <v>RPP 240 ML BOTTLE PRINTED</v>
      </c>
      <c r="I243" s="501" t="s">
        <v>2572</v>
      </c>
      <c r="J243" s="447" t="s">
        <v>2813</v>
      </c>
      <c r="K243" s="438">
        <v>2</v>
      </c>
      <c r="L243" s="499">
        <v>1200</v>
      </c>
      <c r="M243" s="366">
        <f t="shared" si="86"/>
        <v>600</v>
      </c>
      <c r="N243" s="367">
        <f t="shared" si="69"/>
        <v>1257</v>
      </c>
      <c r="O243" s="61">
        <v>1246</v>
      </c>
      <c r="P243" s="368">
        <v>0</v>
      </c>
      <c r="Q243" s="368">
        <v>0</v>
      </c>
      <c r="R243" s="494">
        <v>8</v>
      </c>
      <c r="S243" s="493">
        <v>0</v>
      </c>
      <c r="T243" s="494">
        <v>11</v>
      </c>
      <c r="U243" s="493">
        <v>0</v>
      </c>
      <c r="V243" s="502">
        <v>6</v>
      </c>
      <c r="W243" s="453">
        <f t="shared" si="72"/>
        <v>207.66666666666666</v>
      </c>
      <c r="X243" s="748">
        <f t="shared" si="73"/>
        <v>1.0383333333333333</v>
      </c>
      <c r="Y243" s="451" t="str">
        <f>IFERROR(VLOOKUP(E:E,'Item Data Support Sheet'!A:J,6,0),0)</f>
        <v>FO005</v>
      </c>
      <c r="Z243" s="428">
        <f>IFERROR(VLOOKUP(E:E,'Item Data Support Sheet'!A:O,4,0),0)</f>
        <v>0</v>
      </c>
      <c r="AA243" s="428">
        <f t="shared" si="74"/>
        <v>0</v>
      </c>
      <c r="AB243" s="429" t="str">
        <f t="shared" si="75"/>
        <v xml:space="preserve"> </v>
      </c>
      <c r="AC243" s="424">
        <f t="shared" si="76"/>
        <v>8.7509944311853615E-3</v>
      </c>
      <c r="AD243" s="371">
        <f t="shared" si="77"/>
        <v>0</v>
      </c>
      <c r="AE243" s="748">
        <f t="shared" si="78"/>
        <v>0.99124900556881468</v>
      </c>
      <c r="AF243" s="417">
        <f t="shared" si="79"/>
        <v>0.16666666666666666</v>
      </c>
      <c r="AG243" s="416">
        <f t="shared" si="80"/>
        <v>1.8333333333333333</v>
      </c>
      <c r="AH243" s="372">
        <f t="shared" si="81"/>
        <v>0.91666666666666663</v>
      </c>
      <c r="AI243" s="373">
        <f t="shared" si="82"/>
        <v>623</v>
      </c>
      <c r="AJ243" s="418">
        <f>VLOOKUP(D243,'Standard Cycle time'!C:D,2,0)</f>
        <v>32.4</v>
      </c>
      <c r="AK243" s="418">
        <f t="shared" si="83"/>
        <v>31.781701444622794</v>
      </c>
      <c r="AL243" s="374">
        <f t="shared" si="84"/>
        <v>1.0194545454545454</v>
      </c>
      <c r="AM243" s="372">
        <f t="shared" si="85"/>
        <v>0.92632219570405716</v>
      </c>
      <c r="AN243" s="799" t="s">
        <v>2573</v>
      </c>
      <c r="AO243" s="929"/>
      <c r="AP243" s="440">
        <v>10</v>
      </c>
      <c r="AQ243" s="440">
        <v>0</v>
      </c>
      <c r="AR243" s="440">
        <v>0</v>
      </c>
      <c r="AS243" s="440">
        <v>0</v>
      </c>
      <c r="AT243" s="440">
        <v>0</v>
      </c>
      <c r="AU243" s="440">
        <v>0</v>
      </c>
      <c r="AV243" s="440">
        <v>0</v>
      </c>
      <c r="AW243" s="440">
        <v>0</v>
      </c>
      <c r="AX243" s="440">
        <v>0</v>
      </c>
      <c r="AY243" s="440">
        <v>0</v>
      </c>
      <c r="AZ243" s="440">
        <v>0</v>
      </c>
      <c r="BA243" s="440">
        <v>0</v>
      </c>
      <c r="BB243" s="440">
        <v>0</v>
      </c>
      <c r="BC243" s="440">
        <v>0</v>
      </c>
      <c r="BD243" s="440">
        <v>0</v>
      </c>
      <c r="BE243" s="440">
        <v>0</v>
      </c>
      <c r="BF243" s="440">
        <v>0</v>
      </c>
      <c r="BG243" s="440">
        <v>0</v>
      </c>
      <c r="BH243" s="440">
        <v>0</v>
      </c>
      <c r="BI243" s="440">
        <v>0</v>
      </c>
      <c r="BJ243" s="440">
        <v>0</v>
      </c>
      <c r="BK243" s="440">
        <v>0</v>
      </c>
      <c r="BL243" s="440">
        <v>0</v>
      </c>
      <c r="BM243" s="440">
        <v>0</v>
      </c>
      <c r="BN243" s="440">
        <v>0</v>
      </c>
      <c r="BO243" s="440">
        <v>0</v>
      </c>
      <c r="BP243" s="440">
        <v>0</v>
      </c>
      <c r="BQ243" s="440">
        <v>0</v>
      </c>
      <c r="BR243" s="415">
        <f t="shared" si="68"/>
        <v>0.16666666666666666</v>
      </c>
      <c r="BS243" s="415">
        <f t="shared" si="70"/>
        <v>0.16944444444444443</v>
      </c>
      <c r="BT243" s="935"/>
      <c r="BU243" s="935"/>
      <c r="BV243" s="935"/>
      <c r="BW243" s="935"/>
      <c r="BX243" s="935"/>
      <c r="BY243" s="935"/>
      <c r="BZ243" s="935"/>
      <c r="CA243" s="935"/>
      <c r="CB243" s="935"/>
      <c r="CC243" s="935"/>
      <c r="CD243" s="935"/>
      <c r="CE243" s="935"/>
      <c r="CF243" s="935"/>
      <c r="CG243" s="935"/>
      <c r="CH243" s="935"/>
      <c r="CI243" s="935"/>
      <c r="CJ243" s="935"/>
      <c r="CK243" s="935"/>
      <c r="CL243" s="935"/>
      <c r="CM243" s="935"/>
      <c r="CN243" s="935"/>
      <c r="CO243" s="935"/>
      <c r="CP243" s="935"/>
      <c r="CQ243" s="935"/>
      <c r="CR243" s="935"/>
      <c r="CS243" s="935"/>
      <c r="CT243" s="935"/>
      <c r="CU243" s="935"/>
      <c r="CV243" s="935"/>
    </row>
    <row r="244" spans="1:100">
      <c r="A244" s="375">
        <f t="shared" si="71"/>
        <v>8</v>
      </c>
      <c r="B244" s="455">
        <v>44429</v>
      </c>
      <c r="C244" s="493" t="s">
        <v>2000</v>
      </c>
      <c r="D244" s="376" t="str">
        <f>IFERROR(VLOOKUP(E:E,'Item Data Support Sheet'!A:O,7,0),"")</f>
        <v>BOTTLE PRINTED</v>
      </c>
      <c r="E244" s="447" t="s">
        <v>1906</v>
      </c>
      <c r="F244" s="500"/>
      <c r="G244" s="376"/>
      <c r="H244" s="602" t="str">
        <f>IFERROR(VLOOKUP(E:E,'Item Data Support Sheet'!A:O,2,0),"")</f>
        <v>RPP 120 ML RPP PRINTED ELEPHANT</v>
      </c>
      <c r="I244" s="501" t="s">
        <v>2574</v>
      </c>
      <c r="J244" s="447" t="s">
        <v>2813</v>
      </c>
      <c r="K244" s="438">
        <v>2.5</v>
      </c>
      <c r="L244" s="499">
        <v>1062</v>
      </c>
      <c r="M244" s="366">
        <f t="shared" si="86"/>
        <v>424.8</v>
      </c>
      <c r="N244" s="367">
        <f t="shared" si="69"/>
        <v>283</v>
      </c>
      <c r="O244" s="61">
        <v>275</v>
      </c>
      <c r="P244" s="368">
        <v>0</v>
      </c>
      <c r="Q244" s="368">
        <v>0</v>
      </c>
      <c r="R244" s="494">
        <v>12</v>
      </c>
      <c r="S244" s="493">
        <v>0</v>
      </c>
      <c r="T244" s="494">
        <v>8</v>
      </c>
      <c r="U244" s="493">
        <v>0</v>
      </c>
      <c r="V244" s="502">
        <v>6</v>
      </c>
      <c r="W244" s="453">
        <f t="shared" si="72"/>
        <v>45.833333333333336</v>
      </c>
      <c r="X244" s="748">
        <f t="shared" si="73"/>
        <v>0.25894538606403011</v>
      </c>
      <c r="Y244" s="451" t="str">
        <f>IFERROR(VLOOKUP(E:E,'Item Data Support Sheet'!A:J,6,0),0)</f>
        <v>FO004</v>
      </c>
      <c r="Z244" s="428">
        <f>IFERROR(VLOOKUP(E:E,'Item Data Support Sheet'!A:O,4,0),0)</f>
        <v>0</v>
      </c>
      <c r="AA244" s="428">
        <f t="shared" si="74"/>
        <v>0</v>
      </c>
      <c r="AB244" s="429" t="str">
        <f t="shared" si="75"/>
        <v xml:space="preserve"> </v>
      </c>
      <c r="AC244" s="424">
        <f t="shared" si="76"/>
        <v>2.8268551236749116E-2</v>
      </c>
      <c r="AD244" s="371">
        <f t="shared" si="77"/>
        <v>0</v>
      </c>
      <c r="AE244" s="748">
        <f t="shared" si="78"/>
        <v>0.9717314487632509</v>
      </c>
      <c r="AF244" s="417">
        <f t="shared" si="79"/>
        <v>2</v>
      </c>
      <c r="AG244" s="416">
        <f t="shared" si="80"/>
        <v>0.5</v>
      </c>
      <c r="AH244" s="372">
        <f t="shared" si="81"/>
        <v>0.2</v>
      </c>
      <c r="AI244" s="373">
        <f t="shared" si="82"/>
        <v>110</v>
      </c>
      <c r="AJ244" s="418">
        <f>VLOOKUP(D244,'Standard Cycle time'!C:D,2,0)</f>
        <v>32.4</v>
      </c>
      <c r="AK244" s="418">
        <f t="shared" si="83"/>
        <v>39.272727272727273</v>
      </c>
      <c r="AL244" s="374">
        <f t="shared" si="84"/>
        <v>0.82499999999999996</v>
      </c>
      <c r="AM244" s="372">
        <f t="shared" si="85"/>
        <v>0.1603356890459364</v>
      </c>
      <c r="AN244" s="799" t="s">
        <v>2665</v>
      </c>
      <c r="AO244" s="929" t="s">
        <v>2575</v>
      </c>
      <c r="AP244" s="440">
        <v>30</v>
      </c>
      <c r="AQ244" s="440">
        <v>90</v>
      </c>
      <c r="AR244" s="440">
        <v>0</v>
      </c>
      <c r="AS244" s="440">
        <v>0</v>
      </c>
      <c r="AT244" s="440">
        <v>0</v>
      </c>
      <c r="AU244" s="440">
        <v>0</v>
      </c>
      <c r="AV244" s="440">
        <v>0</v>
      </c>
      <c r="AW244" s="440">
        <v>0</v>
      </c>
      <c r="AX244" s="440">
        <v>0</v>
      </c>
      <c r="AY244" s="440">
        <v>0</v>
      </c>
      <c r="AZ244" s="440">
        <v>0</v>
      </c>
      <c r="BA244" s="440">
        <v>0</v>
      </c>
      <c r="BB244" s="440">
        <v>0</v>
      </c>
      <c r="BC244" s="440">
        <v>0</v>
      </c>
      <c r="BD244" s="440">
        <v>0</v>
      </c>
      <c r="BE244" s="440">
        <v>0</v>
      </c>
      <c r="BF244" s="440">
        <v>0</v>
      </c>
      <c r="BG244" s="440">
        <v>0</v>
      </c>
      <c r="BH244" s="440">
        <v>0</v>
      </c>
      <c r="BI244" s="440">
        <v>0</v>
      </c>
      <c r="BJ244" s="440">
        <v>0</v>
      </c>
      <c r="BK244" s="440">
        <v>0</v>
      </c>
      <c r="BL244" s="440">
        <v>0</v>
      </c>
      <c r="BM244" s="440">
        <v>0</v>
      </c>
      <c r="BN244" s="440">
        <v>0</v>
      </c>
      <c r="BO244" s="440">
        <v>0</v>
      </c>
      <c r="BP244" s="440">
        <v>0</v>
      </c>
      <c r="BQ244" s="440">
        <v>0</v>
      </c>
      <c r="BR244" s="415">
        <f t="shared" si="68"/>
        <v>2</v>
      </c>
      <c r="BS244" s="415">
        <f t="shared" si="70"/>
        <v>2.0333333333333332</v>
      </c>
      <c r="BT244" s="935"/>
      <c r="BU244" s="935"/>
      <c r="BV244" s="935"/>
      <c r="BW244" s="935"/>
      <c r="BX244" s="935"/>
      <c r="BY244" s="935"/>
      <c r="BZ244" s="935"/>
      <c r="CA244" s="935"/>
      <c r="CB244" s="935"/>
      <c r="CC244" s="935"/>
      <c r="CD244" s="935"/>
      <c r="CE244" s="935"/>
      <c r="CF244" s="935"/>
      <c r="CG244" s="935"/>
      <c r="CH244" s="935"/>
      <c r="CI244" s="935"/>
      <c r="CJ244" s="935"/>
      <c r="CK244" s="935"/>
      <c r="CL244" s="935"/>
      <c r="CM244" s="935"/>
      <c r="CN244" s="935"/>
      <c r="CO244" s="935"/>
      <c r="CP244" s="935"/>
      <c r="CQ244" s="935"/>
      <c r="CR244" s="935"/>
      <c r="CS244" s="935"/>
      <c r="CT244" s="935"/>
      <c r="CU244" s="935"/>
      <c r="CV244" s="935"/>
    </row>
    <row r="245" spans="1:100">
      <c r="A245" s="375">
        <f t="shared" si="71"/>
        <v>8</v>
      </c>
      <c r="B245" s="505">
        <v>44432</v>
      </c>
      <c r="C245" s="493" t="s">
        <v>1980</v>
      </c>
      <c r="D245" s="376" t="str">
        <f>IFERROR(VLOOKUP(E:E,'Item Data Support Sheet'!A:O,7,0),"")</f>
        <v>NIPPLE PUNCH</v>
      </c>
      <c r="E245" s="447" t="s">
        <v>2486</v>
      </c>
      <c r="F245" s="500"/>
      <c r="G245" s="376"/>
      <c r="H245" s="602" t="str">
        <f>IFERROR(VLOOKUP(E:E,'Item Data Support Sheet'!A:O,2,0),"")</f>
        <v>NIPPLE S TYPE LL SIZE PUNCHED</v>
      </c>
      <c r="I245" s="501" t="s">
        <v>2581</v>
      </c>
      <c r="J245" s="447" t="s">
        <v>2810</v>
      </c>
      <c r="K245" s="438">
        <v>8</v>
      </c>
      <c r="L245" s="499">
        <v>7000</v>
      </c>
      <c r="M245" s="366">
        <f t="shared" si="86"/>
        <v>875</v>
      </c>
      <c r="N245" s="367">
        <f t="shared" si="69"/>
        <v>6500</v>
      </c>
      <c r="O245" s="61">
        <v>6500</v>
      </c>
      <c r="P245" s="368">
        <v>0</v>
      </c>
      <c r="Q245" s="368">
        <v>0</v>
      </c>
      <c r="R245" s="494">
        <v>0</v>
      </c>
      <c r="S245" s="493">
        <v>0</v>
      </c>
      <c r="T245" s="494">
        <v>0</v>
      </c>
      <c r="U245" s="493">
        <v>0</v>
      </c>
      <c r="V245" s="502">
        <v>1</v>
      </c>
      <c r="W245" s="453">
        <f t="shared" si="72"/>
        <v>6500</v>
      </c>
      <c r="X245" s="748">
        <f t="shared" si="73"/>
        <v>0.9285714285714286</v>
      </c>
      <c r="Y245" s="451" t="str">
        <f>IFERROR(VLOOKUP(E:E,'Item Data Support Sheet'!A:J,6,0),0)</f>
        <v>FO150</v>
      </c>
      <c r="Z245" s="428">
        <f>IFERROR(VLOOKUP(E:E,'Item Data Support Sheet'!A:O,4,0),0)</f>
        <v>0</v>
      </c>
      <c r="AA245" s="428">
        <f t="shared" si="74"/>
        <v>0</v>
      </c>
      <c r="AB245" s="429" t="str">
        <f t="shared" si="75"/>
        <v xml:space="preserve"> </v>
      </c>
      <c r="AC245" s="424">
        <f t="shared" si="76"/>
        <v>0</v>
      </c>
      <c r="AD245" s="371">
        <f t="shared" si="77"/>
        <v>0</v>
      </c>
      <c r="AE245" s="748">
        <f t="shared" si="78"/>
        <v>1</v>
      </c>
      <c r="AF245" s="417">
        <f t="shared" si="79"/>
        <v>0.66666666666666663</v>
      </c>
      <c r="AG245" s="416">
        <f t="shared" si="80"/>
        <v>7.333333333333333</v>
      </c>
      <c r="AH245" s="372">
        <f t="shared" si="81"/>
        <v>0.91666666666666663</v>
      </c>
      <c r="AI245" s="373">
        <f t="shared" si="82"/>
        <v>812.5</v>
      </c>
      <c r="AJ245" s="418">
        <f>VLOOKUP(D245,'Standard Cycle time'!C:D,2,0)</f>
        <v>3.5</v>
      </c>
      <c r="AK245" s="418">
        <f t="shared" si="83"/>
        <v>4.0615384615384613</v>
      </c>
      <c r="AL245" s="374">
        <f t="shared" si="84"/>
        <v>0.86174242424242431</v>
      </c>
      <c r="AM245" s="372">
        <f t="shared" si="85"/>
        <v>0.78993055555555558</v>
      </c>
      <c r="AN245" s="799">
        <v>2640</v>
      </c>
      <c r="AO245" s="928" t="s">
        <v>2584</v>
      </c>
      <c r="AP245" s="440">
        <v>40</v>
      </c>
      <c r="AQ245" s="440">
        <v>0</v>
      </c>
      <c r="AR245" s="440">
        <v>0</v>
      </c>
      <c r="AS245" s="440">
        <v>0</v>
      </c>
      <c r="AT245" s="440">
        <v>0</v>
      </c>
      <c r="AU245" s="440">
        <v>0</v>
      </c>
      <c r="AV245" s="440">
        <v>0</v>
      </c>
      <c r="AW245" s="440">
        <v>0</v>
      </c>
      <c r="AX245" s="440">
        <v>0</v>
      </c>
      <c r="AY245" s="440">
        <v>0</v>
      </c>
      <c r="AZ245" s="440">
        <v>0</v>
      </c>
      <c r="BA245" s="440">
        <v>0</v>
      </c>
      <c r="BB245" s="440">
        <v>0</v>
      </c>
      <c r="BC245" s="440">
        <v>0</v>
      </c>
      <c r="BD245" s="440">
        <v>0</v>
      </c>
      <c r="BE245" s="440">
        <v>0</v>
      </c>
      <c r="BF245" s="440">
        <v>0</v>
      </c>
      <c r="BG245" s="440">
        <v>0</v>
      </c>
      <c r="BH245" s="440">
        <v>0</v>
      </c>
      <c r="BI245" s="440">
        <v>0</v>
      </c>
      <c r="BJ245" s="440">
        <v>0</v>
      </c>
      <c r="BK245" s="440">
        <v>0</v>
      </c>
      <c r="BL245" s="440">
        <v>0</v>
      </c>
      <c r="BM245" s="440">
        <v>0</v>
      </c>
      <c r="BN245" s="440">
        <v>0</v>
      </c>
      <c r="BO245" s="440">
        <v>0</v>
      </c>
      <c r="BP245" s="440">
        <v>0</v>
      </c>
      <c r="BQ245" s="440">
        <v>0</v>
      </c>
      <c r="BR245" s="415">
        <f t="shared" si="68"/>
        <v>0.66666666666666663</v>
      </c>
      <c r="BS245" s="415">
        <f t="shared" si="70"/>
        <v>0.6777777777777777</v>
      </c>
      <c r="BT245" s="935"/>
      <c r="BU245" s="935"/>
      <c r="BV245" s="935"/>
      <c r="BW245" s="935"/>
      <c r="BX245" s="935"/>
      <c r="BY245" s="935"/>
      <c r="BZ245" s="935"/>
      <c r="CA245" s="935"/>
      <c r="CB245" s="935"/>
      <c r="CC245" s="935"/>
      <c r="CD245" s="935"/>
      <c r="CE245" s="935"/>
      <c r="CF245" s="935"/>
      <c r="CG245" s="935"/>
      <c r="CH245" s="935"/>
      <c r="CI245" s="935"/>
      <c r="CJ245" s="935"/>
      <c r="CK245" s="935"/>
      <c r="CL245" s="935"/>
      <c r="CM245" s="935"/>
      <c r="CN245" s="935"/>
      <c r="CO245" s="935"/>
      <c r="CP245" s="935"/>
      <c r="CQ245" s="935"/>
      <c r="CR245" s="935"/>
      <c r="CS245" s="935"/>
      <c r="CT245" s="935"/>
      <c r="CU245" s="935"/>
      <c r="CV245" s="935"/>
    </row>
    <row r="246" spans="1:100">
      <c r="A246" s="375">
        <f t="shared" si="71"/>
        <v>8</v>
      </c>
      <c r="B246" s="505">
        <v>44432</v>
      </c>
      <c r="C246" s="493" t="s">
        <v>1980</v>
      </c>
      <c r="D246" s="376" t="str">
        <f>IFERROR(VLOOKUP(E:E,'Item Data Support Sheet'!A:O,7,0),"")</f>
        <v>NIPPLE LASER MARKING</v>
      </c>
      <c r="E246" s="447" t="s">
        <v>2487</v>
      </c>
      <c r="F246" s="500"/>
      <c r="G246" s="376"/>
      <c r="H246" s="602" t="str">
        <f>IFERROR(VLOOKUP(E:E,'Item Data Support Sheet'!A:O,2,0),"")</f>
        <v>NIPPLE S TYPE LL SIZE LASER MARKED</v>
      </c>
      <c r="I246" s="501" t="s">
        <v>2582</v>
      </c>
      <c r="J246" s="447" t="s">
        <v>2810</v>
      </c>
      <c r="K246" s="438">
        <v>8</v>
      </c>
      <c r="L246" s="499">
        <v>7000</v>
      </c>
      <c r="M246" s="366">
        <f t="shared" si="86"/>
        <v>875</v>
      </c>
      <c r="N246" s="367">
        <f t="shared" si="69"/>
        <v>7100</v>
      </c>
      <c r="O246" s="61">
        <v>7100</v>
      </c>
      <c r="P246" s="368">
        <v>0</v>
      </c>
      <c r="Q246" s="368">
        <v>0</v>
      </c>
      <c r="R246" s="494">
        <v>0</v>
      </c>
      <c r="S246" s="493">
        <v>0</v>
      </c>
      <c r="T246" s="494">
        <v>0</v>
      </c>
      <c r="U246" s="493">
        <v>0</v>
      </c>
      <c r="V246" s="502">
        <v>1</v>
      </c>
      <c r="W246" s="453">
        <f t="shared" si="72"/>
        <v>7100</v>
      </c>
      <c r="X246" s="748">
        <f t="shared" si="73"/>
        <v>1.0142857142857142</v>
      </c>
      <c r="Y246" s="451" t="str">
        <f>IFERROR(VLOOKUP(E:E,'Item Data Support Sheet'!A:J,6,0),0)</f>
        <v>FO151</v>
      </c>
      <c r="Z246" s="428">
        <f>IFERROR(VLOOKUP(E:E,'Item Data Support Sheet'!A:O,4,0),0)</f>
        <v>0</v>
      </c>
      <c r="AA246" s="428">
        <f t="shared" si="74"/>
        <v>0</v>
      </c>
      <c r="AB246" s="429" t="str">
        <f t="shared" si="75"/>
        <v xml:space="preserve"> </v>
      </c>
      <c r="AC246" s="424">
        <f t="shared" si="76"/>
        <v>0</v>
      </c>
      <c r="AD246" s="371">
        <f t="shared" si="77"/>
        <v>0</v>
      </c>
      <c r="AE246" s="748">
        <f t="shared" si="78"/>
        <v>1</v>
      </c>
      <c r="AF246" s="417">
        <f t="shared" si="79"/>
        <v>0.66666666666666663</v>
      </c>
      <c r="AG246" s="416">
        <f t="shared" si="80"/>
        <v>7.333333333333333</v>
      </c>
      <c r="AH246" s="372">
        <f t="shared" si="81"/>
        <v>0.91666666666666663</v>
      </c>
      <c r="AI246" s="373">
        <f t="shared" si="82"/>
        <v>887.5</v>
      </c>
      <c r="AJ246" s="418">
        <f>VLOOKUP(D246,'Standard Cycle time'!C:D,2,0)</f>
        <v>3.5</v>
      </c>
      <c r="AK246" s="418">
        <f t="shared" si="83"/>
        <v>3.7183098591549295</v>
      </c>
      <c r="AL246" s="374">
        <f t="shared" si="84"/>
        <v>0.94128787878787878</v>
      </c>
      <c r="AM246" s="372">
        <f t="shared" si="85"/>
        <v>0.86284722222222221</v>
      </c>
      <c r="AN246" s="799" t="s">
        <v>2583</v>
      </c>
      <c r="AO246" s="929"/>
      <c r="AP246" s="440">
        <v>40</v>
      </c>
      <c r="AQ246" s="440">
        <v>0</v>
      </c>
      <c r="AR246" s="440">
        <v>0</v>
      </c>
      <c r="AS246" s="440">
        <v>0</v>
      </c>
      <c r="AT246" s="440">
        <v>0</v>
      </c>
      <c r="AU246" s="440">
        <v>0</v>
      </c>
      <c r="AV246" s="440">
        <v>0</v>
      </c>
      <c r="AW246" s="440">
        <v>0</v>
      </c>
      <c r="AX246" s="440">
        <v>0</v>
      </c>
      <c r="AY246" s="440">
        <v>0</v>
      </c>
      <c r="AZ246" s="440">
        <v>0</v>
      </c>
      <c r="BA246" s="440">
        <v>0</v>
      </c>
      <c r="BB246" s="440">
        <v>0</v>
      </c>
      <c r="BC246" s="440">
        <v>0</v>
      </c>
      <c r="BD246" s="440">
        <v>0</v>
      </c>
      <c r="BE246" s="440">
        <v>0</v>
      </c>
      <c r="BF246" s="440">
        <v>0</v>
      </c>
      <c r="BG246" s="440">
        <v>0</v>
      </c>
      <c r="BH246" s="440">
        <v>0</v>
      </c>
      <c r="BI246" s="440">
        <v>0</v>
      </c>
      <c r="BJ246" s="440">
        <v>0</v>
      </c>
      <c r="BK246" s="440">
        <v>0</v>
      </c>
      <c r="BL246" s="440">
        <v>0</v>
      </c>
      <c r="BM246" s="440">
        <v>0</v>
      </c>
      <c r="BN246" s="440">
        <v>0</v>
      </c>
      <c r="BO246" s="440">
        <v>0</v>
      </c>
      <c r="BP246" s="440">
        <v>0</v>
      </c>
      <c r="BQ246" s="440">
        <v>0</v>
      </c>
      <c r="BR246" s="415">
        <f t="shared" si="68"/>
        <v>0.66666666666666663</v>
      </c>
      <c r="BS246" s="415">
        <f t="shared" si="70"/>
        <v>0.6777777777777777</v>
      </c>
      <c r="BT246" s="935"/>
      <c r="BU246" s="935"/>
      <c r="BV246" s="935"/>
      <c r="BW246" s="935"/>
      <c r="BX246" s="935"/>
      <c r="BY246" s="935"/>
      <c r="BZ246" s="935"/>
      <c r="CA246" s="935"/>
      <c r="CB246" s="935"/>
      <c r="CC246" s="935"/>
      <c r="CD246" s="935"/>
      <c r="CE246" s="935"/>
      <c r="CF246" s="935"/>
      <c r="CG246" s="935"/>
      <c r="CH246" s="935"/>
      <c r="CI246" s="935"/>
      <c r="CJ246" s="935"/>
      <c r="CK246" s="935"/>
      <c r="CL246" s="935"/>
      <c r="CM246" s="935"/>
      <c r="CN246" s="935"/>
      <c r="CO246" s="935"/>
      <c r="CP246" s="935"/>
      <c r="CQ246" s="935"/>
      <c r="CR246" s="935"/>
      <c r="CS246" s="935"/>
      <c r="CT246" s="935"/>
      <c r="CU246" s="935"/>
      <c r="CV246" s="935"/>
    </row>
    <row r="247" spans="1:100" ht="15.75" customHeight="1">
      <c r="A247" s="375">
        <f t="shared" si="71"/>
        <v>8</v>
      </c>
      <c r="B247" s="505">
        <v>44432</v>
      </c>
      <c r="C247" s="493" t="s">
        <v>1980</v>
      </c>
      <c r="D247" s="376" t="str">
        <f>IFERROR(VLOOKUP(E:E,'Item Data Support Sheet'!A:O,7,0),"")</f>
        <v>HOOD MOLDED</v>
      </c>
      <c r="E247" s="447" t="s">
        <v>1987</v>
      </c>
      <c r="F247" s="500"/>
      <c r="G247" s="376"/>
      <c r="H247" s="602" t="str">
        <f>IFERROR(VLOOKUP(E:E,'Item Data Support Sheet'!A:O,2,0),"")</f>
        <v>HOOD S TYPE MOLDED</v>
      </c>
      <c r="I247" s="501" t="s">
        <v>2585</v>
      </c>
      <c r="J247" s="447" t="s">
        <v>2810</v>
      </c>
      <c r="K247" s="438">
        <v>2</v>
      </c>
      <c r="L247" s="499">
        <v>4137</v>
      </c>
      <c r="M247" s="366">
        <f t="shared" si="86"/>
        <v>2068.5</v>
      </c>
      <c r="N247" s="367">
        <f t="shared" si="69"/>
        <v>1795</v>
      </c>
      <c r="O247" s="61">
        <v>1100</v>
      </c>
      <c r="P247" s="368">
        <v>0</v>
      </c>
      <c r="Q247" s="368">
        <v>600</v>
      </c>
      <c r="R247" s="494">
        <v>0</v>
      </c>
      <c r="S247" s="493">
        <v>0</v>
      </c>
      <c r="T247" s="494">
        <v>95</v>
      </c>
      <c r="U247" s="493">
        <v>0</v>
      </c>
      <c r="V247" s="502">
        <v>1</v>
      </c>
      <c r="W247" s="453">
        <f t="shared" si="72"/>
        <v>1100</v>
      </c>
      <c r="X247" s="748">
        <f t="shared" si="73"/>
        <v>0.26589315929417451</v>
      </c>
      <c r="Y247" s="451" t="str">
        <f>IFERROR(VLOOKUP(E:E,'Item Data Support Sheet'!A:J,6,0),0)</f>
        <v>HMC</v>
      </c>
      <c r="Z247" s="428">
        <f>IFERROR(VLOOKUP(E:E,'Item Data Support Sheet'!A:O,4,0),0)</f>
        <v>8.6</v>
      </c>
      <c r="AA247" s="428">
        <f t="shared" si="74"/>
        <v>15.436999999999999</v>
      </c>
      <c r="AB247" s="429">
        <f t="shared" si="75"/>
        <v>0.61281337047353768</v>
      </c>
      <c r="AC247" s="424">
        <f t="shared" si="76"/>
        <v>7.9497907949790794E-2</v>
      </c>
      <c r="AD247" s="371">
        <f t="shared" si="77"/>
        <v>0.25052192066805845</v>
      </c>
      <c r="AE247" s="748">
        <f t="shared" si="78"/>
        <v>0.94707520891364905</v>
      </c>
      <c r="AF247" s="417">
        <f t="shared" si="79"/>
        <v>0</v>
      </c>
      <c r="AG247" s="416">
        <f t="shared" si="80"/>
        <v>2</v>
      </c>
      <c r="AH247" s="372">
        <f t="shared" si="81"/>
        <v>1</v>
      </c>
      <c r="AI247" s="373">
        <f t="shared" si="82"/>
        <v>550</v>
      </c>
      <c r="AJ247" s="418">
        <f>VLOOKUP(D247,'Standard Cycle time'!C:D,2,0)</f>
        <v>6</v>
      </c>
      <c r="AK247" s="418">
        <f t="shared" si="83"/>
        <v>6.5454545454545459</v>
      </c>
      <c r="AL247" s="374">
        <f t="shared" si="84"/>
        <v>0.91666666666666663</v>
      </c>
      <c r="AM247" s="372">
        <f t="shared" si="85"/>
        <v>0.86815227483751156</v>
      </c>
      <c r="AN247" s="799">
        <v>2643</v>
      </c>
      <c r="AO247" s="827" t="s">
        <v>2586</v>
      </c>
      <c r="AP247" s="440"/>
      <c r="AQ247" s="440">
        <v>0</v>
      </c>
      <c r="AR247" s="440">
        <v>0</v>
      </c>
      <c r="AS247" s="440">
        <v>0</v>
      </c>
      <c r="AT247" s="440">
        <v>0</v>
      </c>
      <c r="AU247" s="440">
        <v>0</v>
      </c>
      <c r="AV247" s="440">
        <v>0</v>
      </c>
      <c r="AW247" s="440">
        <v>0</v>
      </c>
      <c r="AX247" s="440">
        <v>0</v>
      </c>
      <c r="AY247" s="440">
        <v>0</v>
      </c>
      <c r="AZ247" s="440">
        <v>0</v>
      </c>
      <c r="BA247" s="440">
        <v>0</v>
      </c>
      <c r="BB247" s="440">
        <v>0</v>
      </c>
      <c r="BC247" s="440">
        <v>0</v>
      </c>
      <c r="BD247" s="440">
        <v>0</v>
      </c>
      <c r="BE247" s="440">
        <v>0</v>
      </c>
      <c r="BF247" s="440">
        <v>0</v>
      </c>
      <c r="BG247" s="440">
        <v>0</v>
      </c>
      <c r="BH247" s="440">
        <v>0</v>
      </c>
      <c r="BI247" s="440">
        <v>0</v>
      </c>
      <c r="BJ247" s="440">
        <v>0</v>
      </c>
      <c r="BK247" s="440">
        <v>0</v>
      </c>
      <c r="BL247" s="440">
        <v>0</v>
      </c>
      <c r="BM247" s="440">
        <v>0</v>
      </c>
      <c r="BN247" s="440">
        <v>0</v>
      </c>
      <c r="BO247" s="440">
        <v>0</v>
      </c>
      <c r="BP247" s="440">
        <v>0</v>
      </c>
      <c r="BQ247" s="440">
        <v>0</v>
      </c>
      <c r="BR247" s="415">
        <f t="shared" ref="BR247:BR312" si="87">SUM(AP247:BQ247)/60</f>
        <v>0</v>
      </c>
      <c r="BS247" s="415">
        <f t="shared" si="70"/>
        <v>0</v>
      </c>
      <c r="BT247" s="935"/>
      <c r="BU247" s="935"/>
      <c r="BV247" s="935"/>
      <c r="BW247" s="935"/>
      <c r="BX247" s="935"/>
      <c r="BY247" s="935"/>
      <c r="BZ247" s="935"/>
      <c r="CA247" s="935"/>
      <c r="CB247" s="935"/>
      <c r="CC247" s="935"/>
      <c r="CD247" s="935"/>
      <c r="CE247" s="935"/>
      <c r="CF247" s="935"/>
      <c r="CG247" s="935"/>
      <c r="CH247" s="935"/>
      <c r="CI247" s="935"/>
      <c r="CJ247" s="935"/>
      <c r="CK247" s="935"/>
      <c r="CL247" s="935"/>
      <c r="CM247" s="935"/>
      <c r="CN247" s="935"/>
      <c r="CO247" s="935"/>
      <c r="CP247" s="935"/>
      <c r="CQ247" s="935"/>
      <c r="CR247" s="935"/>
      <c r="CS247" s="935"/>
      <c r="CT247" s="935"/>
      <c r="CU247" s="935"/>
      <c r="CV247" s="935"/>
    </row>
    <row r="248" spans="1:100">
      <c r="A248" s="375">
        <f t="shared" si="71"/>
        <v>8</v>
      </c>
      <c r="B248" s="505">
        <v>44432</v>
      </c>
      <c r="C248" s="493" t="s">
        <v>2000</v>
      </c>
      <c r="D248" s="376" t="str">
        <f>IFERROR(VLOOKUP(E:E,'Item Data Support Sheet'!A:O,7,0),"")</f>
        <v>BOTTLE PRINTED</v>
      </c>
      <c r="E248" s="447" t="s">
        <v>1906</v>
      </c>
      <c r="F248" s="500"/>
      <c r="G248" s="376" t="s">
        <v>1698</v>
      </c>
      <c r="H248" s="602" t="str">
        <f>IFERROR(VLOOKUP(E:E,'Item Data Support Sheet'!A:O,2,0),"")</f>
        <v>RPP 120 ML RPP PRINTED ELEPHANT</v>
      </c>
      <c r="I248" s="501" t="s">
        <v>2587</v>
      </c>
      <c r="J248" s="447" t="s">
        <v>2813</v>
      </c>
      <c r="K248" s="438">
        <v>2</v>
      </c>
      <c r="L248" s="499">
        <v>600</v>
      </c>
      <c r="M248" s="366">
        <f t="shared" si="86"/>
        <v>300</v>
      </c>
      <c r="N248" s="367">
        <f t="shared" si="69"/>
        <v>140</v>
      </c>
      <c r="O248" s="61">
        <v>137</v>
      </c>
      <c r="P248" s="368">
        <v>0</v>
      </c>
      <c r="Q248" s="368">
        <v>0</v>
      </c>
      <c r="R248" s="494">
        <v>5</v>
      </c>
      <c r="S248" s="493">
        <v>0</v>
      </c>
      <c r="T248" s="494">
        <v>3</v>
      </c>
      <c r="U248" s="493">
        <v>0</v>
      </c>
      <c r="V248" s="502">
        <v>5</v>
      </c>
      <c r="W248" s="453">
        <f t="shared" si="72"/>
        <v>27.4</v>
      </c>
      <c r="X248" s="748">
        <f t="shared" si="73"/>
        <v>0.22833333333333333</v>
      </c>
      <c r="Y248" s="451" t="str">
        <f>IFERROR(VLOOKUP(E:E,'Item Data Support Sheet'!A:J,6,0),0)</f>
        <v>FO004</v>
      </c>
      <c r="Z248" s="428">
        <f>IFERROR(VLOOKUP(E:E,'Item Data Support Sheet'!A:O,4,0),0)</f>
        <v>0</v>
      </c>
      <c r="AA248" s="428">
        <f t="shared" si="74"/>
        <v>0</v>
      </c>
      <c r="AB248" s="429" t="str">
        <f t="shared" si="75"/>
        <v xml:space="preserve"> </v>
      </c>
      <c r="AC248" s="424">
        <f t="shared" si="76"/>
        <v>2.1428571428571429E-2</v>
      </c>
      <c r="AD248" s="371">
        <f t="shared" si="77"/>
        <v>0</v>
      </c>
      <c r="AE248" s="748">
        <f t="shared" si="78"/>
        <v>0.97857142857142854</v>
      </c>
      <c r="AF248" s="417">
        <f t="shared" si="79"/>
        <v>1.6666666666666667</v>
      </c>
      <c r="AG248" s="416">
        <f t="shared" si="80"/>
        <v>0.33333333333333326</v>
      </c>
      <c r="AH248" s="372">
        <f t="shared" si="81"/>
        <v>0.16666666666666663</v>
      </c>
      <c r="AI248" s="373">
        <f t="shared" si="82"/>
        <v>68.5</v>
      </c>
      <c r="AJ248" s="418">
        <f>VLOOKUP(D248,'Standard Cycle time'!C:D,2,0)</f>
        <v>32.4</v>
      </c>
      <c r="AK248" s="418">
        <f t="shared" si="83"/>
        <v>43.795620437956195</v>
      </c>
      <c r="AL248" s="374">
        <f t="shared" si="84"/>
        <v>0.73980000000000012</v>
      </c>
      <c r="AM248" s="372">
        <f t="shared" si="85"/>
        <v>0.12065785714285712</v>
      </c>
      <c r="AN248" s="799" t="s">
        <v>2666</v>
      </c>
      <c r="AO248" s="928" t="s">
        <v>2591</v>
      </c>
      <c r="AP248" s="440">
        <v>20</v>
      </c>
      <c r="AQ248" s="440">
        <v>80</v>
      </c>
      <c r="AR248" s="440">
        <v>0</v>
      </c>
      <c r="AS248" s="440">
        <v>0</v>
      </c>
      <c r="AT248" s="440">
        <v>0</v>
      </c>
      <c r="AU248" s="440">
        <v>0</v>
      </c>
      <c r="AV248" s="440">
        <v>0</v>
      </c>
      <c r="AW248" s="440">
        <v>0</v>
      </c>
      <c r="AX248" s="440">
        <v>0</v>
      </c>
      <c r="AY248" s="440">
        <v>0</v>
      </c>
      <c r="AZ248" s="440">
        <v>0</v>
      </c>
      <c r="BA248" s="440">
        <v>0</v>
      </c>
      <c r="BB248" s="440">
        <v>0</v>
      </c>
      <c r="BC248" s="440">
        <v>0</v>
      </c>
      <c r="BD248" s="440">
        <v>0</v>
      </c>
      <c r="BE248" s="440">
        <v>0</v>
      </c>
      <c r="BF248" s="440">
        <v>0</v>
      </c>
      <c r="BG248" s="440">
        <v>0</v>
      </c>
      <c r="BH248" s="440">
        <v>0</v>
      </c>
      <c r="BI248" s="440">
        <v>0</v>
      </c>
      <c r="BJ248" s="440">
        <v>0</v>
      </c>
      <c r="BK248" s="440">
        <v>0</v>
      </c>
      <c r="BL248" s="440">
        <v>0</v>
      </c>
      <c r="BM248" s="440">
        <v>0</v>
      </c>
      <c r="BN248" s="440">
        <v>0</v>
      </c>
      <c r="BO248" s="440">
        <v>0</v>
      </c>
      <c r="BP248" s="440">
        <v>0</v>
      </c>
      <c r="BQ248" s="440">
        <v>0</v>
      </c>
      <c r="BR248" s="415">
        <f t="shared" si="87"/>
        <v>1.6666666666666667</v>
      </c>
      <c r="BS248" s="415">
        <f t="shared" si="70"/>
        <v>1.6944444444444444</v>
      </c>
      <c r="BT248" s="935"/>
      <c r="BU248" s="935"/>
      <c r="BV248" s="935"/>
      <c r="BW248" s="935"/>
      <c r="BX248" s="935"/>
      <c r="BY248" s="935"/>
      <c r="BZ248" s="935"/>
      <c r="CA248" s="935"/>
      <c r="CB248" s="935"/>
      <c r="CC248" s="935"/>
      <c r="CD248" s="935"/>
      <c r="CE248" s="935"/>
      <c r="CF248" s="935"/>
      <c r="CG248" s="935"/>
      <c r="CH248" s="935"/>
      <c r="CI248" s="935"/>
      <c r="CJ248" s="935"/>
      <c r="CK248" s="935"/>
      <c r="CL248" s="935"/>
      <c r="CM248" s="935"/>
      <c r="CN248" s="935"/>
      <c r="CO248" s="935"/>
      <c r="CP248" s="935"/>
      <c r="CQ248" s="935"/>
      <c r="CR248" s="935"/>
      <c r="CS248" s="935"/>
      <c r="CT248" s="935"/>
      <c r="CU248" s="935"/>
      <c r="CV248" s="935"/>
    </row>
    <row r="249" spans="1:100">
      <c r="A249" s="375">
        <f t="shared" si="71"/>
        <v>8</v>
      </c>
      <c r="B249" s="505">
        <v>44432</v>
      </c>
      <c r="C249" s="493" t="s">
        <v>2000</v>
      </c>
      <c r="D249" s="376" t="str">
        <f>IFERROR(VLOOKUP(E:E,'Item Data Support Sheet'!A:O,7,0),"")</f>
        <v>BOTTLE PRINTED</v>
      </c>
      <c r="E249" s="447" t="s">
        <v>232</v>
      </c>
      <c r="F249" s="500"/>
      <c r="G249" s="376" t="s">
        <v>1698</v>
      </c>
      <c r="H249" s="602" t="str">
        <f>IFERROR(VLOOKUP(E:E,'Item Data Support Sheet'!A:O,2,0),"")</f>
        <v>RPP 120ML BOY BLUE BOTLE PNTD WM3GB W/BIS LOGO</v>
      </c>
      <c r="I249" s="501" t="s">
        <v>2588</v>
      </c>
      <c r="J249" s="447" t="s">
        <v>2813</v>
      </c>
      <c r="K249" s="438">
        <v>2</v>
      </c>
      <c r="L249" s="499">
        <v>600</v>
      </c>
      <c r="M249" s="366">
        <f t="shared" si="86"/>
        <v>300</v>
      </c>
      <c r="N249" s="367">
        <f t="shared" si="69"/>
        <v>407</v>
      </c>
      <c r="O249" s="61">
        <v>396</v>
      </c>
      <c r="P249" s="368">
        <v>0</v>
      </c>
      <c r="Q249" s="368">
        <v>0</v>
      </c>
      <c r="R249" s="494">
        <v>9</v>
      </c>
      <c r="S249" s="493">
        <v>0</v>
      </c>
      <c r="T249" s="494">
        <v>11</v>
      </c>
      <c r="U249" s="493">
        <v>0</v>
      </c>
      <c r="V249" s="502">
        <v>5</v>
      </c>
      <c r="W249" s="453">
        <f t="shared" si="72"/>
        <v>79.2</v>
      </c>
      <c r="X249" s="748">
        <f t="shared" si="73"/>
        <v>0.66</v>
      </c>
      <c r="Y249" s="451" t="str">
        <f>IFERROR(VLOOKUP(E:E,'Item Data Support Sheet'!A:J,6,0),0)</f>
        <v>FO054</v>
      </c>
      <c r="Z249" s="428">
        <f>IFERROR(VLOOKUP(E:E,'Item Data Support Sheet'!A:O,4,0),0)</f>
        <v>0</v>
      </c>
      <c r="AA249" s="428">
        <f t="shared" si="74"/>
        <v>0</v>
      </c>
      <c r="AB249" s="429" t="str">
        <f t="shared" si="75"/>
        <v xml:space="preserve"> </v>
      </c>
      <c r="AC249" s="424">
        <f t="shared" si="76"/>
        <v>2.7027027027027029E-2</v>
      </c>
      <c r="AD249" s="371">
        <f t="shared" si="77"/>
        <v>0</v>
      </c>
      <c r="AE249" s="748">
        <f t="shared" si="78"/>
        <v>0.97297297297297303</v>
      </c>
      <c r="AF249" s="417">
        <f t="shared" si="79"/>
        <v>1.1666666666666667</v>
      </c>
      <c r="AG249" s="416">
        <f t="shared" si="80"/>
        <v>0.83333333333333326</v>
      </c>
      <c r="AH249" s="372">
        <f t="shared" si="81"/>
        <v>0.41666666666666663</v>
      </c>
      <c r="AI249" s="373">
        <f t="shared" si="82"/>
        <v>198</v>
      </c>
      <c r="AJ249" s="418">
        <f>VLOOKUP(D249,'Standard Cycle time'!C:D,2,0)</f>
        <v>32.4</v>
      </c>
      <c r="AK249" s="418">
        <f t="shared" si="83"/>
        <v>37.878787878787875</v>
      </c>
      <c r="AL249" s="374">
        <f t="shared" si="84"/>
        <v>0.85536000000000001</v>
      </c>
      <c r="AM249" s="372">
        <f t="shared" si="85"/>
        <v>0.34676756756756755</v>
      </c>
      <c r="AN249" s="799" t="s">
        <v>2667</v>
      </c>
      <c r="AO249" s="928" t="s">
        <v>2593</v>
      </c>
      <c r="AP249" s="440">
        <v>30</v>
      </c>
      <c r="AQ249" s="440">
        <v>40</v>
      </c>
      <c r="AR249" s="440">
        <v>0</v>
      </c>
      <c r="AS249" s="440">
        <v>0</v>
      </c>
      <c r="AT249" s="440">
        <v>0</v>
      </c>
      <c r="AU249" s="440">
        <v>0</v>
      </c>
      <c r="AV249" s="440">
        <v>0</v>
      </c>
      <c r="AW249" s="440">
        <v>0</v>
      </c>
      <c r="AX249" s="440">
        <v>0</v>
      </c>
      <c r="AY249" s="440">
        <v>0</v>
      </c>
      <c r="AZ249" s="440">
        <v>0</v>
      </c>
      <c r="BA249" s="440">
        <v>0</v>
      </c>
      <c r="BB249" s="440">
        <v>0</v>
      </c>
      <c r="BC249" s="440">
        <v>0</v>
      </c>
      <c r="BD249" s="440">
        <v>0</v>
      </c>
      <c r="BE249" s="440">
        <v>0</v>
      </c>
      <c r="BF249" s="440">
        <v>0</v>
      </c>
      <c r="BG249" s="440">
        <v>0</v>
      </c>
      <c r="BH249" s="440">
        <v>0</v>
      </c>
      <c r="BI249" s="440">
        <v>0</v>
      </c>
      <c r="BJ249" s="440">
        <v>0</v>
      </c>
      <c r="BK249" s="440">
        <v>0</v>
      </c>
      <c r="BL249" s="440">
        <v>0</v>
      </c>
      <c r="BM249" s="440">
        <v>0</v>
      </c>
      <c r="BN249" s="440">
        <v>0</v>
      </c>
      <c r="BO249" s="440">
        <v>0</v>
      </c>
      <c r="BP249" s="440">
        <v>0</v>
      </c>
      <c r="BQ249" s="440">
        <v>0</v>
      </c>
      <c r="BR249" s="415">
        <f t="shared" si="87"/>
        <v>1.1666666666666667</v>
      </c>
      <c r="BS249" s="415">
        <f t="shared" si="70"/>
        <v>1.1861111111111111</v>
      </c>
      <c r="BT249" s="935"/>
      <c r="BU249" s="935"/>
      <c r="BV249" s="935"/>
      <c r="BW249" s="935"/>
      <c r="BX249" s="935"/>
      <c r="BY249" s="935"/>
      <c r="BZ249" s="935"/>
      <c r="CA249" s="935"/>
      <c r="CB249" s="935"/>
      <c r="CC249" s="935"/>
      <c r="CD249" s="935"/>
      <c r="CE249" s="935"/>
      <c r="CF249" s="935"/>
      <c r="CG249" s="935"/>
      <c r="CH249" s="935"/>
      <c r="CI249" s="935"/>
      <c r="CJ249" s="935"/>
      <c r="CK249" s="935"/>
      <c r="CL249" s="935"/>
      <c r="CM249" s="935"/>
      <c r="CN249" s="935"/>
      <c r="CO249" s="935"/>
      <c r="CP249" s="935"/>
      <c r="CQ249" s="935"/>
      <c r="CR249" s="935"/>
      <c r="CS249" s="935"/>
      <c r="CT249" s="935"/>
      <c r="CU249" s="935"/>
      <c r="CV249" s="935"/>
    </row>
    <row r="250" spans="1:100">
      <c r="A250" s="375">
        <f t="shared" si="71"/>
        <v>8</v>
      </c>
      <c r="B250" s="505">
        <v>44432</v>
      </c>
      <c r="C250" s="493" t="s">
        <v>2000</v>
      </c>
      <c r="D250" s="376" t="str">
        <f>IFERROR(VLOOKUP(E:E,'Item Data Support Sheet'!A:O,7,0),"")</f>
        <v>BOTTLE PRINTED</v>
      </c>
      <c r="E250" s="447" t="s">
        <v>1908</v>
      </c>
      <c r="F250" s="500"/>
      <c r="G250" s="376" t="s">
        <v>1698</v>
      </c>
      <c r="H250" s="602" t="str">
        <f>IFERROR(VLOOKUP(E:E,'Item Data Support Sheet'!A:O,2,0),"")</f>
        <v>RPP 240 ML RPP PRINTED BEE</v>
      </c>
      <c r="I250" s="501" t="s">
        <v>2589</v>
      </c>
      <c r="J250" s="447" t="s">
        <v>2813</v>
      </c>
      <c r="K250" s="438">
        <v>2</v>
      </c>
      <c r="L250" s="499">
        <v>600</v>
      </c>
      <c r="M250" s="366">
        <f t="shared" si="86"/>
        <v>300</v>
      </c>
      <c r="N250" s="367">
        <f t="shared" si="69"/>
        <v>1051</v>
      </c>
      <c r="O250" s="61">
        <v>1038</v>
      </c>
      <c r="P250" s="368">
        <v>0</v>
      </c>
      <c r="Q250" s="368">
        <v>0</v>
      </c>
      <c r="R250" s="494">
        <v>6</v>
      </c>
      <c r="S250" s="493">
        <v>0</v>
      </c>
      <c r="T250" s="494">
        <v>13</v>
      </c>
      <c r="U250" s="493">
        <v>0</v>
      </c>
      <c r="V250" s="502">
        <v>5</v>
      </c>
      <c r="W250" s="453">
        <f t="shared" si="72"/>
        <v>207.6</v>
      </c>
      <c r="X250" s="748">
        <f t="shared" si="73"/>
        <v>1.73</v>
      </c>
      <c r="Y250" s="451" t="str">
        <f>IFERROR(VLOOKUP(E:E,'Item Data Support Sheet'!A:J,6,0),0)</f>
        <v>FO005</v>
      </c>
      <c r="Z250" s="428">
        <f>IFERROR(VLOOKUP(E:E,'Item Data Support Sheet'!A:O,4,0),0)</f>
        <v>0</v>
      </c>
      <c r="AA250" s="428">
        <f t="shared" si="74"/>
        <v>0</v>
      </c>
      <c r="AB250" s="429" t="str">
        <f t="shared" si="75"/>
        <v xml:space="preserve"> </v>
      </c>
      <c r="AC250" s="424">
        <f t="shared" si="76"/>
        <v>1.2369172216936251E-2</v>
      </c>
      <c r="AD250" s="371">
        <f t="shared" si="77"/>
        <v>0</v>
      </c>
      <c r="AE250" s="748">
        <f t="shared" si="78"/>
        <v>0.98763082778306377</v>
      </c>
      <c r="AF250" s="417">
        <f t="shared" si="79"/>
        <v>0</v>
      </c>
      <c r="AG250" s="416">
        <f t="shared" si="80"/>
        <v>2</v>
      </c>
      <c r="AH250" s="372">
        <f t="shared" si="81"/>
        <v>1</v>
      </c>
      <c r="AI250" s="373">
        <f t="shared" si="82"/>
        <v>519</v>
      </c>
      <c r="AJ250" s="418">
        <f>VLOOKUP(D250,'Standard Cycle time'!C:D,2,0)</f>
        <v>32.4</v>
      </c>
      <c r="AK250" s="418">
        <f t="shared" si="83"/>
        <v>34.682080924855491</v>
      </c>
      <c r="AL250" s="374">
        <f t="shared" si="84"/>
        <v>0.93419999999999992</v>
      </c>
      <c r="AM250" s="372">
        <f t="shared" si="85"/>
        <v>0.92264471931493808</v>
      </c>
      <c r="AN250" s="799" t="s">
        <v>2668</v>
      </c>
      <c r="AO250" s="928" t="s">
        <v>2592</v>
      </c>
      <c r="AP250" s="440">
        <v>0</v>
      </c>
      <c r="AQ250" s="440">
        <v>0</v>
      </c>
      <c r="AR250" s="440">
        <v>0</v>
      </c>
      <c r="AS250" s="440">
        <v>0</v>
      </c>
      <c r="AT250" s="440">
        <v>0</v>
      </c>
      <c r="AU250" s="440">
        <v>0</v>
      </c>
      <c r="AV250" s="440">
        <v>0</v>
      </c>
      <c r="AW250" s="440">
        <v>0</v>
      </c>
      <c r="AX250" s="440">
        <v>0</v>
      </c>
      <c r="AY250" s="440">
        <v>0</v>
      </c>
      <c r="AZ250" s="440">
        <v>0</v>
      </c>
      <c r="BA250" s="440">
        <v>0</v>
      </c>
      <c r="BB250" s="440">
        <v>0</v>
      </c>
      <c r="BC250" s="440">
        <v>0</v>
      </c>
      <c r="BD250" s="440">
        <v>0</v>
      </c>
      <c r="BE250" s="440">
        <v>0</v>
      </c>
      <c r="BF250" s="440">
        <v>0</v>
      </c>
      <c r="BG250" s="440">
        <v>0</v>
      </c>
      <c r="BH250" s="440">
        <v>0</v>
      </c>
      <c r="BI250" s="440">
        <v>0</v>
      </c>
      <c r="BJ250" s="440">
        <v>0</v>
      </c>
      <c r="BK250" s="440">
        <v>0</v>
      </c>
      <c r="BL250" s="440">
        <v>0</v>
      </c>
      <c r="BM250" s="440">
        <v>0</v>
      </c>
      <c r="BN250" s="440">
        <v>0</v>
      </c>
      <c r="BO250" s="440">
        <v>0</v>
      </c>
      <c r="BP250" s="440">
        <v>0</v>
      </c>
      <c r="BQ250" s="440">
        <v>0</v>
      </c>
      <c r="BR250" s="415">
        <f t="shared" si="87"/>
        <v>0</v>
      </c>
      <c r="BS250" s="415">
        <f t="shared" si="70"/>
        <v>0</v>
      </c>
      <c r="BT250" s="935"/>
      <c r="BU250" s="935"/>
      <c r="BV250" s="935"/>
      <c r="BW250" s="935"/>
      <c r="BX250" s="935"/>
      <c r="BY250" s="935"/>
      <c r="BZ250" s="935"/>
      <c r="CA250" s="935"/>
      <c r="CB250" s="935"/>
      <c r="CC250" s="935"/>
      <c r="CD250" s="935"/>
      <c r="CE250" s="935"/>
      <c r="CF250" s="935"/>
      <c r="CG250" s="935"/>
      <c r="CH250" s="935"/>
      <c r="CI250" s="935"/>
      <c r="CJ250" s="935"/>
      <c r="CK250" s="935"/>
      <c r="CL250" s="935"/>
      <c r="CM250" s="935"/>
      <c r="CN250" s="935"/>
      <c r="CO250" s="935"/>
      <c r="CP250" s="935"/>
      <c r="CQ250" s="935"/>
      <c r="CR250" s="935"/>
      <c r="CS250" s="935"/>
      <c r="CT250" s="935"/>
      <c r="CU250" s="935"/>
      <c r="CV250" s="935"/>
    </row>
    <row r="251" spans="1:100">
      <c r="A251" s="375">
        <f t="shared" si="71"/>
        <v>8</v>
      </c>
      <c r="B251" s="505">
        <v>44432</v>
      </c>
      <c r="C251" s="493" t="s">
        <v>2000</v>
      </c>
      <c r="D251" s="376" t="str">
        <f>IFERROR(VLOOKUP(E:E,'Item Data Support Sheet'!A:O,7,0),"")</f>
        <v>BOTTLE PRINTED</v>
      </c>
      <c r="E251" s="447" t="s">
        <v>355</v>
      </c>
      <c r="F251" s="500"/>
      <c r="G251" s="376" t="s">
        <v>1698</v>
      </c>
      <c r="H251" s="602" t="str">
        <f>IFERROR(VLOOKUP(E:E,'Item Data Support Sheet'!A:O,2,0),"")</f>
        <v>RPP 240ML GRL PNK BOTLE PNTD WM3GB W/BIS LOGO</v>
      </c>
      <c r="I251" s="501" t="s">
        <v>2590</v>
      </c>
      <c r="J251" s="447" t="s">
        <v>2813</v>
      </c>
      <c r="K251" s="438">
        <v>2</v>
      </c>
      <c r="L251" s="499">
        <v>600</v>
      </c>
      <c r="M251" s="366">
        <f t="shared" si="86"/>
        <v>300</v>
      </c>
      <c r="N251" s="367">
        <f t="shared" si="69"/>
        <v>468</v>
      </c>
      <c r="O251" s="61">
        <v>457</v>
      </c>
      <c r="P251" s="368">
        <v>0</v>
      </c>
      <c r="Q251" s="368">
        <v>0</v>
      </c>
      <c r="R251" s="494">
        <v>9</v>
      </c>
      <c r="S251" s="493">
        <v>0</v>
      </c>
      <c r="T251" s="494">
        <v>11</v>
      </c>
      <c r="U251" s="493">
        <v>0</v>
      </c>
      <c r="V251" s="502">
        <v>5</v>
      </c>
      <c r="W251" s="453">
        <f t="shared" si="72"/>
        <v>91.4</v>
      </c>
      <c r="X251" s="748">
        <f t="shared" si="73"/>
        <v>0.76166666666666671</v>
      </c>
      <c r="Y251" s="451" t="str">
        <f>IFERROR(VLOOKUP(E:E,'Item Data Support Sheet'!A:J,6,0),0)</f>
        <v>FO057</v>
      </c>
      <c r="Z251" s="428">
        <f>IFERROR(VLOOKUP(E:E,'Item Data Support Sheet'!A:O,4,0),0)</f>
        <v>0</v>
      </c>
      <c r="AA251" s="428">
        <f t="shared" si="74"/>
        <v>0</v>
      </c>
      <c r="AB251" s="429" t="str">
        <f t="shared" si="75"/>
        <v xml:space="preserve"> </v>
      </c>
      <c r="AC251" s="424">
        <f t="shared" si="76"/>
        <v>2.3504273504273504E-2</v>
      </c>
      <c r="AD251" s="371">
        <f t="shared" si="77"/>
        <v>0</v>
      </c>
      <c r="AE251" s="748">
        <f t="shared" si="78"/>
        <v>0.97649572649572647</v>
      </c>
      <c r="AF251" s="417">
        <f t="shared" si="79"/>
        <v>1</v>
      </c>
      <c r="AG251" s="416">
        <f t="shared" si="80"/>
        <v>1</v>
      </c>
      <c r="AH251" s="372">
        <f t="shared" si="81"/>
        <v>0.5</v>
      </c>
      <c r="AI251" s="373">
        <f t="shared" si="82"/>
        <v>228.5</v>
      </c>
      <c r="AJ251" s="418">
        <f>VLOOKUP(D251,'Standard Cycle time'!C:D,2,0)</f>
        <v>32.4</v>
      </c>
      <c r="AK251" s="418">
        <f t="shared" si="83"/>
        <v>39.387308533916851</v>
      </c>
      <c r="AL251" s="374">
        <f t="shared" si="84"/>
        <v>0.82259999999999989</v>
      </c>
      <c r="AM251" s="372">
        <f t="shared" si="85"/>
        <v>0.40163269230769222</v>
      </c>
      <c r="AN251" s="799" t="s">
        <v>2669</v>
      </c>
      <c r="AO251" s="929"/>
      <c r="AP251" s="440">
        <v>0</v>
      </c>
      <c r="AQ251" s="440">
        <v>60</v>
      </c>
      <c r="AR251" s="440">
        <v>0</v>
      </c>
      <c r="AS251" s="440">
        <v>0</v>
      </c>
      <c r="AT251" s="440">
        <v>0</v>
      </c>
      <c r="AU251" s="440">
        <v>0</v>
      </c>
      <c r="AV251" s="440">
        <v>0</v>
      </c>
      <c r="AW251" s="440">
        <v>0</v>
      </c>
      <c r="AX251" s="440">
        <v>0</v>
      </c>
      <c r="AY251" s="440">
        <v>0</v>
      </c>
      <c r="AZ251" s="440">
        <v>0</v>
      </c>
      <c r="BA251" s="440">
        <v>0</v>
      </c>
      <c r="BB251" s="440">
        <v>0</v>
      </c>
      <c r="BC251" s="440">
        <v>0</v>
      </c>
      <c r="BD251" s="440">
        <v>0</v>
      </c>
      <c r="BE251" s="440">
        <v>0</v>
      </c>
      <c r="BF251" s="440">
        <v>0</v>
      </c>
      <c r="BG251" s="440">
        <v>0</v>
      </c>
      <c r="BH251" s="440">
        <v>0</v>
      </c>
      <c r="BI251" s="440">
        <v>0</v>
      </c>
      <c r="BJ251" s="440">
        <v>0</v>
      </c>
      <c r="BK251" s="440">
        <v>0</v>
      </c>
      <c r="BL251" s="440">
        <v>0</v>
      </c>
      <c r="BM251" s="440">
        <v>0</v>
      </c>
      <c r="BN251" s="440">
        <v>0</v>
      </c>
      <c r="BO251" s="440">
        <v>0</v>
      </c>
      <c r="BP251" s="440">
        <v>0</v>
      </c>
      <c r="BQ251" s="440">
        <v>0</v>
      </c>
      <c r="BR251" s="415">
        <f t="shared" si="87"/>
        <v>1</v>
      </c>
      <c r="BS251" s="415">
        <f t="shared" si="70"/>
        <v>1.0166666666666666</v>
      </c>
      <c r="BT251" s="935"/>
      <c r="BU251" s="935"/>
      <c r="BV251" s="935"/>
      <c r="BW251" s="935"/>
      <c r="BX251" s="935"/>
      <c r="BY251" s="935"/>
      <c r="BZ251" s="935"/>
      <c r="CA251" s="935"/>
      <c r="CB251" s="935"/>
      <c r="CC251" s="935"/>
      <c r="CD251" s="935"/>
      <c r="CE251" s="935"/>
      <c r="CF251" s="935"/>
      <c r="CG251" s="935"/>
      <c r="CH251" s="935"/>
      <c r="CI251" s="935"/>
      <c r="CJ251" s="935"/>
      <c r="CK251" s="935"/>
      <c r="CL251" s="935"/>
      <c r="CM251" s="935"/>
      <c r="CN251" s="935"/>
      <c r="CO251" s="935"/>
      <c r="CP251" s="935"/>
      <c r="CQ251" s="935"/>
      <c r="CR251" s="935"/>
      <c r="CS251" s="935"/>
      <c r="CT251" s="935"/>
      <c r="CU251" s="935"/>
      <c r="CV251" s="935"/>
    </row>
    <row r="252" spans="1:100">
      <c r="A252" s="375">
        <f t="shared" si="71"/>
        <v>8</v>
      </c>
      <c r="B252" s="505">
        <v>44432</v>
      </c>
      <c r="C252" s="493" t="s">
        <v>2000</v>
      </c>
      <c r="D252" s="376" t="str">
        <f>IFERROR(VLOOKUP(E:E,'Item Data Support Sheet'!A:O,7,0),"")</f>
        <v>NIPPLE PUNCH INSPECTED</v>
      </c>
      <c r="E252" s="447" t="s">
        <v>1818</v>
      </c>
      <c r="F252" s="500"/>
      <c r="G252" s="376"/>
      <c r="H252" s="602" t="str">
        <f>IFERROR(VLOOKUP(E:E,'Item Data Support Sheet'!A:O,2,0),"")</f>
        <v>NIPPLE S TYPE S SIZE PUNCHED INSPECTED</v>
      </c>
      <c r="I252" s="501" t="s">
        <v>2594</v>
      </c>
      <c r="J252" s="447" t="s">
        <v>2812</v>
      </c>
      <c r="K252" s="438">
        <v>4</v>
      </c>
      <c r="L252" s="499">
        <v>7000</v>
      </c>
      <c r="M252" s="366">
        <f t="shared" si="86"/>
        <v>1750</v>
      </c>
      <c r="N252" s="367">
        <f t="shared" si="69"/>
        <v>7926</v>
      </c>
      <c r="O252" s="61">
        <f>7921-16</f>
        <v>7905</v>
      </c>
      <c r="P252" s="368">
        <v>0</v>
      </c>
      <c r="Q252" s="368">
        <v>0</v>
      </c>
      <c r="R252" s="494">
        <v>0</v>
      </c>
      <c r="S252" s="493">
        <v>0</v>
      </c>
      <c r="T252" s="494">
        <f>29-8</f>
        <v>21</v>
      </c>
      <c r="U252" s="493">
        <v>0</v>
      </c>
      <c r="V252" s="502">
        <v>2</v>
      </c>
      <c r="W252" s="453">
        <f t="shared" si="72"/>
        <v>3952.5</v>
      </c>
      <c r="X252" s="748">
        <f t="shared" si="73"/>
        <v>1.1292857142857142</v>
      </c>
      <c r="Y252" s="451" t="str">
        <f>IFERROR(VLOOKUP(E:E,'Item Data Support Sheet'!A:J,6,0),0)</f>
        <v>FO104</v>
      </c>
      <c r="Z252" s="428">
        <f>IFERROR(VLOOKUP(E:E,'Item Data Support Sheet'!A:O,4,0),0)</f>
        <v>0</v>
      </c>
      <c r="AA252" s="428">
        <f t="shared" si="74"/>
        <v>0</v>
      </c>
      <c r="AB252" s="429" t="str">
        <f t="shared" si="75"/>
        <v xml:space="preserve"> </v>
      </c>
      <c r="AC252" s="424">
        <f t="shared" si="76"/>
        <v>2.6495079485238456E-3</v>
      </c>
      <c r="AD252" s="371">
        <f t="shared" si="77"/>
        <v>0</v>
      </c>
      <c r="AE252" s="748">
        <f t="shared" si="78"/>
        <v>0.99735049205147619</v>
      </c>
      <c r="AF252" s="417">
        <f t="shared" si="79"/>
        <v>0</v>
      </c>
      <c r="AG252" s="416">
        <f t="shared" si="80"/>
        <v>4</v>
      </c>
      <c r="AH252" s="372">
        <f t="shared" si="81"/>
        <v>1</v>
      </c>
      <c r="AI252" s="373">
        <f t="shared" si="82"/>
        <v>1976.25</v>
      </c>
      <c r="AJ252" s="418">
        <f>VLOOKUP(D252,'Standard Cycle time'!C:D,2,0)</f>
        <v>4</v>
      </c>
      <c r="AK252" s="418">
        <f t="shared" si="83"/>
        <v>3.6432637571157493</v>
      </c>
      <c r="AL252" s="374">
        <f t="shared" si="84"/>
        <v>1.0979166666666667</v>
      </c>
      <c r="AM252" s="372">
        <f t="shared" si="85"/>
        <v>1.0950077277315164</v>
      </c>
      <c r="AN252" s="799" t="s">
        <v>2599</v>
      </c>
      <c r="AO252" s="928" t="s">
        <v>2454</v>
      </c>
      <c r="AP252" s="440">
        <v>0</v>
      </c>
      <c r="AQ252" s="440">
        <v>0</v>
      </c>
      <c r="AR252" s="440">
        <v>0</v>
      </c>
      <c r="AS252" s="440">
        <v>0</v>
      </c>
      <c r="AT252" s="440">
        <v>0</v>
      </c>
      <c r="AU252" s="440">
        <v>0</v>
      </c>
      <c r="AV252" s="440">
        <v>0</v>
      </c>
      <c r="AW252" s="440">
        <v>0</v>
      </c>
      <c r="AX252" s="440">
        <v>0</v>
      </c>
      <c r="AY252" s="440">
        <v>0</v>
      </c>
      <c r="AZ252" s="440">
        <v>0</v>
      </c>
      <c r="BA252" s="440">
        <v>0</v>
      </c>
      <c r="BB252" s="440">
        <v>0</v>
      </c>
      <c r="BC252" s="440">
        <v>0</v>
      </c>
      <c r="BD252" s="440">
        <v>0</v>
      </c>
      <c r="BE252" s="440">
        <v>0</v>
      </c>
      <c r="BF252" s="440">
        <v>0</v>
      </c>
      <c r="BG252" s="440">
        <v>0</v>
      </c>
      <c r="BH252" s="440">
        <v>0</v>
      </c>
      <c r="BI252" s="440">
        <v>0</v>
      </c>
      <c r="BJ252" s="440">
        <v>0</v>
      </c>
      <c r="BK252" s="440">
        <v>0</v>
      </c>
      <c r="BL252" s="440">
        <v>0</v>
      </c>
      <c r="BM252" s="440">
        <v>0</v>
      </c>
      <c r="BN252" s="440">
        <v>0</v>
      </c>
      <c r="BO252" s="440">
        <v>0</v>
      </c>
      <c r="BP252" s="440">
        <v>0</v>
      </c>
      <c r="BQ252" s="440">
        <v>0</v>
      </c>
      <c r="BR252" s="415">
        <f t="shared" si="87"/>
        <v>0</v>
      </c>
      <c r="BS252" s="415">
        <f t="shared" si="70"/>
        <v>0</v>
      </c>
      <c r="BT252" s="935"/>
      <c r="BU252" s="935"/>
      <c r="BV252" s="935"/>
      <c r="BW252" s="935"/>
      <c r="BX252" s="935"/>
      <c r="BY252" s="935"/>
      <c r="BZ252" s="935"/>
      <c r="CA252" s="935"/>
      <c r="CB252" s="935"/>
      <c r="CC252" s="935"/>
      <c r="CD252" s="935"/>
      <c r="CE252" s="935"/>
      <c r="CF252" s="935"/>
      <c r="CG252" s="935"/>
      <c r="CH252" s="935"/>
      <c r="CI252" s="935"/>
      <c r="CJ252" s="935"/>
      <c r="CK252" s="935"/>
      <c r="CL252" s="935"/>
      <c r="CM252" s="935"/>
      <c r="CN252" s="935"/>
      <c r="CO252" s="935"/>
      <c r="CP252" s="935"/>
      <c r="CQ252" s="935"/>
      <c r="CR252" s="935"/>
      <c r="CS252" s="935"/>
      <c r="CT252" s="935"/>
      <c r="CU252" s="935"/>
      <c r="CV252" s="935"/>
    </row>
    <row r="253" spans="1:100">
      <c r="A253" s="375">
        <f t="shared" si="71"/>
        <v>8</v>
      </c>
      <c r="B253" s="505">
        <v>44432</v>
      </c>
      <c r="C253" s="493" t="s">
        <v>2000</v>
      </c>
      <c r="D253" s="376" t="str">
        <f>IFERROR(VLOOKUP(E:E,'Item Data Support Sheet'!A:O,7,0),"")</f>
        <v>NIPPLE PUNCH INSPECTED</v>
      </c>
      <c r="E253" s="447" t="s">
        <v>2488</v>
      </c>
      <c r="F253" s="500"/>
      <c r="G253" s="376"/>
      <c r="H253" s="602" t="str">
        <f>IFERROR(VLOOKUP(E:E,'Item Data Support Sheet'!A:O,2,0),"")</f>
        <v>NIPPLE S TYPE LL SIZE INSPECTED</v>
      </c>
      <c r="I253" s="501" t="s">
        <v>2595</v>
      </c>
      <c r="J253" s="447" t="s">
        <v>2812</v>
      </c>
      <c r="K253" s="438">
        <v>4</v>
      </c>
      <c r="L253" s="499">
        <v>7072</v>
      </c>
      <c r="M253" s="366">
        <f t="shared" si="86"/>
        <v>1768</v>
      </c>
      <c r="N253" s="367">
        <f t="shared" si="69"/>
        <v>9100</v>
      </c>
      <c r="O253" s="61">
        <v>9086</v>
      </c>
      <c r="P253" s="368">
        <v>0</v>
      </c>
      <c r="Q253" s="368">
        <v>0</v>
      </c>
      <c r="R253" s="494">
        <v>0</v>
      </c>
      <c r="S253" s="493">
        <v>0</v>
      </c>
      <c r="T253" s="494">
        <v>14</v>
      </c>
      <c r="U253" s="493">
        <v>0</v>
      </c>
      <c r="V253" s="502">
        <v>1</v>
      </c>
      <c r="W253" s="453">
        <f t="shared" si="72"/>
        <v>9086</v>
      </c>
      <c r="X253" s="748">
        <f t="shared" si="73"/>
        <v>1.2847850678733033</v>
      </c>
      <c r="Y253" s="451" t="str">
        <f>IFERROR(VLOOKUP(E:E,'Item Data Support Sheet'!A:J,6,0),0)</f>
        <v>FO152</v>
      </c>
      <c r="Z253" s="428">
        <f>IFERROR(VLOOKUP(E:E,'Item Data Support Sheet'!A:O,4,0),0)</f>
        <v>0</v>
      </c>
      <c r="AA253" s="428">
        <f t="shared" si="74"/>
        <v>0</v>
      </c>
      <c r="AB253" s="429" t="str">
        <f t="shared" si="75"/>
        <v xml:space="preserve"> </v>
      </c>
      <c r="AC253" s="424">
        <f t="shared" si="76"/>
        <v>1.5384615384615385E-3</v>
      </c>
      <c r="AD253" s="371">
        <f t="shared" si="77"/>
        <v>0</v>
      </c>
      <c r="AE253" s="748">
        <f t="shared" si="78"/>
        <v>0.99846153846153851</v>
      </c>
      <c r="AF253" s="417">
        <f t="shared" si="79"/>
        <v>0</v>
      </c>
      <c r="AG253" s="416">
        <f t="shared" si="80"/>
        <v>4</v>
      </c>
      <c r="AH253" s="372">
        <f t="shared" si="81"/>
        <v>1</v>
      </c>
      <c r="AI253" s="373">
        <f t="shared" si="82"/>
        <v>2271.5</v>
      </c>
      <c r="AJ253" s="418">
        <f>VLOOKUP(D253,'Standard Cycle time'!C:D,2,0)</f>
        <v>4</v>
      </c>
      <c r="AK253" s="418">
        <f t="shared" si="83"/>
        <v>1.5848558221439577</v>
      </c>
      <c r="AL253" s="374">
        <f t="shared" si="84"/>
        <v>2.5238888888888891</v>
      </c>
      <c r="AM253" s="372">
        <f t="shared" si="85"/>
        <v>2.5200059829059831</v>
      </c>
      <c r="AN253" s="799" t="s">
        <v>2604</v>
      </c>
      <c r="AO253" s="928" t="s">
        <v>2454</v>
      </c>
      <c r="AP253" s="440">
        <v>0</v>
      </c>
      <c r="AQ253" s="440">
        <v>0</v>
      </c>
      <c r="AR253" s="440">
        <v>0</v>
      </c>
      <c r="AS253" s="440">
        <v>0</v>
      </c>
      <c r="AT253" s="440">
        <v>0</v>
      </c>
      <c r="AU253" s="440">
        <v>0</v>
      </c>
      <c r="AV253" s="440">
        <v>0</v>
      </c>
      <c r="AW253" s="440">
        <v>0</v>
      </c>
      <c r="AX253" s="440">
        <v>0</v>
      </c>
      <c r="AY253" s="440">
        <v>0</v>
      </c>
      <c r="AZ253" s="440">
        <v>0</v>
      </c>
      <c r="BA253" s="440">
        <v>0</v>
      </c>
      <c r="BB253" s="440">
        <v>0</v>
      </c>
      <c r="BC253" s="440">
        <v>0</v>
      </c>
      <c r="BD253" s="440">
        <v>0</v>
      </c>
      <c r="BE253" s="440">
        <v>0</v>
      </c>
      <c r="BF253" s="440">
        <v>0</v>
      </c>
      <c r="BG253" s="440">
        <v>0</v>
      </c>
      <c r="BH253" s="440">
        <v>0</v>
      </c>
      <c r="BI253" s="440">
        <v>0</v>
      </c>
      <c r="BJ253" s="440">
        <v>0</v>
      </c>
      <c r="BK253" s="440">
        <v>0</v>
      </c>
      <c r="BL253" s="440">
        <v>0</v>
      </c>
      <c r="BM253" s="440">
        <v>0</v>
      </c>
      <c r="BN253" s="440">
        <v>0</v>
      </c>
      <c r="BO253" s="440">
        <v>0</v>
      </c>
      <c r="BP253" s="440">
        <v>0</v>
      </c>
      <c r="BQ253" s="440">
        <v>0</v>
      </c>
      <c r="BR253" s="415">
        <f t="shared" si="87"/>
        <v>0</v>
      </c>
      <c r="BS253" s="415">
        <f t="shared" si="70"/>
        <v>0</v>
      </c>
      <c r="BT253" s="935"/>
      <c r="BU253" s="935"/>
      <c r="BV253" s="935"/>
      <c r="BW253" s="935"/>
      <c r="BX253" s="935"/>
      <c r="BY253" s="935"/>
      <c r="BZ253" s="935"/>
      <c r="CA253" s="935"/>
      <c r="CB253" s="935"/>
      <c r="CC253" s="935"/>
      <c r="CD253" s="935"/>
      <c r="CE253" s="935"/>
      <c r="CF253" s="935"/>
      <c r="CG253" s="935"/>
      <c r="CH253" s="935"/>
      <c r="CI253" s="935"/>
      <c r="CJ253" s="935"/>
      <c r="CK253" s="935"/>
      <c r="CL253" s="935"/>
      <c r="CM253" s="935"/>
      <c r="CN253" s="935"/>
      <c r="CO253" s="935"/>
      <c r="CP253" s="935"/>
      <c r="CQ253" s="935"/>
      <c r="CR253" s="935"/>
      <c r="CS253" s="935"/>
      <c r="CT253" s="935"/>
      <c r="CU253" s="935"/>
      <c r="CV253" s="935"/>
    </row>
    <row r="254" spans="1:100">
      <c r="A254" s="375">
        <f t="shared" si="71"/>
        <v>8</v>
      </c>
      <c r="B254" s="505">
        <v>44432</v>
      </c>
      <c r="C254" s="493" t="s">
        <v>2000</v>
      </c>
      <c r="D254" s="376" t="str">
        <f>IFERROR(VLOOKUP(E:E,'Item Data Support Sheet'!A:O,7,0),"")</f>
        <v>NIPPLE WRAP PRINTED</v>
      </c>
      <c r="E254" s="447" t="s">
        <v>109</v>
      </c>
      <c r="F254" s="500"/>
      <c r="G254" s="376" t="s">
        <v>1693</v>
      </c>
      <c r="H254" s="602" t="str">
        <f>IFERROR(VLOOKUP(E:E,'Item Data Support Sheet'!A:O,2,0),"")</f>
        <v>NIPPLE S TYPE M SIZE WITH PRINTED WRAP</v>
      </c>
      <c r="I254" s="501" t="s">
        <v>2596</v>
      </c>
      <c r="J254" s="447" t="s">
        <v>2812</v>
      </c>
      <c r="K254" s="438">
        <v>8</v>
      </c>
      <c r="L254" s="499">
        <v>16132</v>
      </c>
      <c r="M254" s="366">
        <f t="shared" si="86"/>
        <v>2016.5</v>
      </c>
      <c r="N254" s="367">
        <f t="shared" si="69"/>
        <v>18065</v>
      </c>
      <c r="O254" s="61">
        <v>18065</v>
      </c>
      <c r="P254" s="368">
        <v>0</v>
      </c>
      <c r="Q254" s="368">
        <v>0</v>
      </c>
      <c r="R254" s="494">
        <v>0</v>
      </c>
      <c r="S254" s="493">
        <v>0</v>
      </c>
      <c r="T254" s="494">
        <v>0</v>
      </c>
      <c r="U254" s="493">
        <v>0</v>
      </c>
      <c r="V254" s="502">
        <v>2</v>
      </c>
      <c r="W254" s="453">
        <f t="shared" si="72"/>
        <v>9032.5</v>
      </c>
      <c r="X254" s="748">
        <f t="shared" si="73"/>
        <v>1.1198239523927598</v>
      </c>
      <c r="Y254" s="451" t="str">
        <f>IFERROR(VLOOKUP(E:E,'Item Data Support Sheet'!A:J,6,0),0)</f>
        <v>FO020</v>
      </c>
      <c r="Z254" s="428">
        <f>IFERROR(VLOOKUP(E:E,'Item Data Support Sheet'!A:O,4,0),0)</f>
        <v>0</v>
      </c>
      <c r="AA254" s="428">
        <f t="shared" si="74"/>
        <v>0</v>
      </c>
      <c r="AB254" s="429" t="str">
        <f t="shared" si="75"/>
        <v xml:space="preserve"> </v>
      </c>
      <c r="AC254" s="424">
        <f t="shared" si="76"/>
        <v>0</v>
      </c>
      <c r="AD254" s="371">
        <f t="shared" si="77"/>
        <v>0</v>
      </c>
      <c r="AE254" s="748">
        <f t="shared" si="78"/>
        <v>1</v>
      </c>
      <c r="AF254" s="417">
        <f t="shared" si="79"/>
        <v>0</v>
      </c>
      <c r="AG254" s="416">
        <f t="shared" si="80"/>
        <v>8</v>
      </c>
      <c r="AH254" s="372">
        <f t="shared" si="81"/>
        <v>1</v>
      </c>
      <c r="AI254" s="373">
        <f t="shared" si="82"/>
        <v>2258.125</v>
      </c>
      <c r="AJ254" s="418">
        <f>VLOOKUP(D254,'Standard Cycle time'!C:D,2,0)</f>
        <v>2.5</v>
      </c>
      <c r="AK254" s="418">
        <f t="shared" si="83"/>
        <v>3.1884860226958205</v>
      </c>
      <c r="AL254" s="374">
        <f t="shared" si="84"/>
        <v>0.78407118055555558</v>
      </c>
      <c r="AM254" s="372">
        <f t="shared" si="85"/>
        <v>0.78407118055555558</v>
      </c>
      <c r="AN254" s="799" t="s">
        <v>2600</v>
      </c>
      <c r="AO254" s="827" t="s">
        <v>2454</v>
      </c>
      <c r="AP254" s="440">
        <v>0</v>
      </c>
      <c r="AQ254" s="440">
        <v>0</v>
      </c>
      <c r="AR254" s="440">
        <v>0</v>
      </c>
      <c r="AS254" s="440">
        <v>0</v>
      </c>
      <c r="AT254" s="440">
        <v>0</v>
      </c>
      <c r="AU254" s="440">
        <v>0</v>
      </c>
      <c r="AV254" s="440">
        <v>0</v>
      </c>
      <c r="AW254" s="440">
        <v>0</v>
      </c>
      <c r="AX254" s="440">
        <v>0</v>
      </c>
      <c r="AY254" s="440">
        <v>0</v>
      </c>
      <c r="AZ254" s="440">
        <v>0</v>
      </c>
      <c r="BA254" s="440">
        <v>0</v>
      </c>
      <c r="BB254" s="440">
        <v>0</v>
      </c>
      <c r="BC254" s="440">
        <v>0</v>
      </c>
      <c r="BD254" s="440">
        <v>0</v>
      </c>
      <c r="BE254" s="440">
        <v>0</v>
      </c>
      <c r="BF254" s="440">
        <v>0</v>
      </c>
      <c r="BG254" s="440">
        <v>0</v>
      </c>
      <c r="BH254" s="440">
        <v>0</v>
      </c>
      <c r="BI254" s="440">
        <v>0</v>
      </c>
      <c r="BJ254" s="440">
        <v>0</v>
      </c>
      <c r="BK254" s="440">
        <v>0</v>
      </c>
      <c r="BL254" s="440">
        <v>0</v>
      </c>
      <c r="BM254" s="440">
        <v>0</v>
      </c>
      <c r="BN254" s="440">
        <v>0</v>
      </c>
      <c r="BO254" s="440">
        <v>0</v>
      </c>
      <c r="BP254" s="440">
        <v>0</v>
      </c>
      <c r="BQ254" s="440">
        <v>0</v>
      </c>
      <c r="BR254" s="415">
        <f t="shared" si="87"/>
        <v>0</v>
      </c>
      <c r="BS254" s="415">
        <f t="shared" si="70"/>
        <v>0</v>
      </c>
      <c r="BT254" s="935"/>
      <c r="BU254" s="935"/>
      <c r="BV254" s="935"/>
      <c r="BW254" s="935"/>
      <c r="BX254" s="935"/>
      <c r="BY254" s="935"/>
      <c r="BZ254" s="935"/>
      <c r="CA254" s="935"/>
      <c r="CB254" s="935"/>
      <c r="CC254" s="935"/>
      <c r="CD254" s="935"/>
      <c r="CE254" s="935"/>
      <c r="CF254" s="935"/>
      <c r="CG254" s="935"/>
      <c r="CH254" s="935"/>
      <c r="CI254" s="935"/>
      <c r="CJ254" s="935"/>
      <c r="CK254" s="935"/>
      <c r="CL254" s="935"/>
      <c r="CM254" s="935"/>
      <c r="CN254" s="935"/>
      <c r="CO254" s="935"/>
      <c r="CP254" s="935"/>
      <c r="CQ254" s="935"/>
      <c r="CR254" s="935"/>
      <c r="CS254" s="935"/>
      <c r="CT254" s="935"/>
      <c r="CU254" s="935"/>
      <c r="CV254" s="935"/>
    </row>
    <row r="255" spans="1:100">
      <c r="A255" s="375">
        <f t="shared" si="71"/>
        <v>8</v>
      </c>
      <c r="B255" s="505">
        <v>44432</v>
      </c>
      <c r="C255" s="493" t="s">
        <v>2001</v>
      </c>
      <c r="D255" s="376" t="str">
        <f>IFERROR(VLOOKUP(E:E,'Item Data Support Sheet'!A:O,7,0),"")</f>
        <v>BOTTLE MOLDED</v>
      </c>
      <c r="E255" s="447" t="s">
        <v>138</v>
      </c>
      <c r="F255" s="500" t="s">
        <v>1664</v>
      </c>
      <c r="G255" s="376" t="s">
        <v>1888</v>
      </c>
      <c r="H255" s="602" t="str">
        <f>IFERROR(VLOOKUP(E:E,'Item Data Support Sheet'!A:O,2,0),"")</f>
        <v>RPP 240ML PINK BOTTLE MOLDED (WM3GB)</v>
      </c>
      <c r="I255" s="501" t="s">
        <v>2597</v>
      </c>
      <c r="J255" s="447" t="s">
        <v>2808</v>
      </c>
      <c r="K255" s="438">
        <v>8</v>
      </c>
      <c r="L255" s="499">
        <v>1600</v>
      </c>
      <c r="M255" s="366">
        <f t="shared" si="86"/>
        <v>200</v>
      </c>
      <c r="N255" s="367">
        <f t="shared" si="69"/>
        <v>1648</v>
      </c>
      <c r="O255" s="61">
        <v>1440</v>
      </c>
      <c r="P255" s="368">
        <v>1.85</v>
      </c>
      <c r="Q255" s="368">
        <v>120</v>
      </c>
      <c r="R255" s="494">
        <v>0</v>
      </c>
      <c r="S255" s="493">
        <v>0</v>
      </c>
      <c r="T255" s="494">
        <v>80</v>
      </c>
      <c r="U255" s="493">
        <v>8</v>
      </c>
      <c r="V255" s="502">
        <v>1</v>
      </c>
      <c r="W255" s="453">
        <f t="shared" si="72"/>
        <v>1440</v>
      </c>
      <c r="X255" s="748">
        <f t="shared" si="73"/>
        <v>0.9</v>
      </c>
      <c r="Y255" s="451" t="str">
        <f>IFERROR(VLOOKUP(E:E,'Item Data Support Sheet'!A:J,6,0),0)</f>
        <v>WMG3B</v>
      </c>
      <c r="Z255" s="428">
        <f>IFERROR(VLOOKUP(E:E,'Item Data Support Sheet'!A:O,4,0),0)</f>
        <v>33.130000000000003</v>
      </c>
      <c r="AA255" s="428">
        <f t="shared" si="74"/>
        <v>56.448239999999998</v>
      </c>
      <c r="AB255" s="429">
        <f t="shared" si="75"/>
        <v>0.84514946790192225</v>
      </c>
      <c r="AC255" s="424">
        <f t="shared" si="76"/>
        <v>5.2631578947368418E-2</v>
      </c>
      <c r="AD255" s="371">
        <f t="shared" si="77"/>
        <v>6.7873303167420809E-2</v>
      </c>
      <c r="AE255" s="748">
        <f t="shared" si="78"/>
        <v>0.95145631067961167</v>
      </c>
      <c r="AF255" s="417">
        <f t="shared" si="79"/>
        <v>3.8333333333333335</v>
      </c>
      <c r="AG255" s="416">
        <f t="shared" si="80"/>
        <v>4.1666666666666661</v>
      </c>
      <c r="AH255" s="372">
        <f t="shared" si="81"/>
        <v>0.52083333333333326</v>
      </c>
      <c r="AI255" s="373">
        <f t="shared" si="82"/>
        <v>180</v>
      </c>
      <c r="AJ255" s="418">
        <f>VLOOKUP(D255,'Standard Cycle time'!C:D,2,0)</f>
        <v>9</v>
      </c>
      <c r="AK255" s="418">
        <f t="shared" si="83"/>
        <v>10.416666666666666</v>
      </c>
      <c r="AL255" s="374">
        <f t="shared" si="84"/>
        <v>0.8640000000000001</v>
      </c>
      <c r="AM255" s="372">
        <f t="shared" si="85"/>
        <v>0.42815533980582521</v>
      </c>
      <c r="AN255" s="799">
        <v>2644</v>
      </c>
      <c r="AO255" s="928" t="s">
        <v>2598</v>
      </c>
      <c r="AP255" s="440">
        <v>0</v>
      </c>
      <c r="AQ255" s="440">
        <v>120</v>
      </c>
      <c r="AR255" s="440">
        <v>0</v>
      </c>
      <c r="AS255" s="440">
        <v>0</v>
      </c>
      <c r="AT255" s="440">
        <v>0</v>
      </c>
      <c r="AU255" s="440">
        <v>0</v>
      </c>
      <c r="AV255" s="440">
        <v>60</v>
      </c>
      <c r="AW255" s="440">
        <v>0</v>
      </c>
      <c r="AX255" s="440">
        <v>0</v>
      </c>
      <c r="AY255" s="440">
        <v>0</v>
      </c>
      <c r="AZ255" s="440">
        <v>20</v>
      </c>
      <c r="BA255" s="440">
        <v>0</v>
      </c>
      <c r="BB255" s="440">
        <v>30</v>
      </c>
      <c r="BC255" s="440">
        <v>0</v>
      </c>
      <c r="BD255" s="440">
        <v>0</v>
      </c>
      <c r="BE255" s="440">
        <v>0</v>
      </c>
      <c r="BF255" s="440">
        <v>0</v>
      </c>
      <c r="BG255" s="440">
        <v>0</v>
      </c>
      <c r="BH255" s="440">
        <v>0</v>
      </c>
      <c r="BI255" s="440">
        <v>0</v>
      </c>
      <c r="BJ255" s="440">
        <v>0</v>
      </c>
      <c r="BK255" s="440">
        <v>0</v>
      </c>
      <c r="BL255" s="440">
        <v>0</v>
      </c>
      <c r="BM255" s="440">
        <v>0</v>
      </c>
      <c r="BN255" s="440">
        <v>0</v>
      </c>
      <c r="BO255" s="440">
        <v>0</v>
      </c>
      <c r="BP255" s="440">
        <v>0</v>
      </c>
      <c r="BQ255" s="440">
        <v>0</v>
      </c>
      <c r="BR255" s="415">
        <f t="shared" si="87"/>
        <v>3.8333333333333335</v>
      </c>
      <c r="BS255" s="415">
        <f t="shared" si="70"/>
        <v>3.8972222222222226</v>
      </c>
      <c r="BT255" s="935"/>
      <c r="BU255" s="935"/>
      <c r="BV255" s="935"/>
      <c r="BW255" s="935"/>
      <c r="BX255" s="935"/>
      <c r="BY255" s="935"/>
      <c r="BZ255" s="935"/>
      <c r="CA255" s="935"/>
      <c r="CB255" s="935"/>
      <c r="CC255" s="935"/>
      <c r="CD255" s="935"/>
      <c r="CE255" s="935"/>
      <c r="CF255" s="935"/>
      <c r="CG255" s="935"/>
      <c r="CH255" s="935"/>
      <c r="CI255" s="935"/>
      <c r="CJ255" s="935"/>
      <c r="CK255" s="935"/>
      <c r="CL255" s="935"/>
      <c r="CM255" s="935"/>
      <c r="CN255" s="935"/>
      <c r="CO255" s="935"/>
      <c r="CP255" s="935"/>
      <c r="CQ255" s="935"/>
      <c r="CR255" s="935"/>
      <c r="CS255" s="935"/>
      <c r="CT255" s="935"/>
      <c r="CU255" s="935"/>
      <c r="CV255" s="935"/>
    </row>
    <row r="256" spans="1:100" ht="58">
      <c r="A256" s="375">
        <f t="shared" si="71"/>
        <v>8</v>
      </c>
      <c r="B256" s="505">
        <v>44432</v>
      </c>
      <c r="C256" s="493" t="s">
        <v>2001</v>
      </c>
      <c r="D256" s="376" t="str">
        <f>IFERROR(VLOOKUP(E:E,'Item Data Support Sheet'!A:O,7,0),"")</f>
        <v>BOTTLE MOLDED</v>
      </c>
      <c r="E256" s="447" t="s">
        <v>65</v>
      </c>
      <c r="F256" s="500" t="s">
        <v>1682</v>
      </c>
      <c r="G256" s="376" t="s">
        <v>1665</v>
      </c>
      <c r="H256" s="602" t="str">
        <f>IFERROR(VLOOKUP(E:E,'Item Data Support Sheet'!A:O,2,0),"")</f>
        <v>KPP 120 ML BOTTLE MOLDED</v>
      </c>
      <c r="I256" s="501" t="s">
        <v>2601</v>
      </c>
      <c r="J256" s="447" t="s">
        <v>2808</v>
      </c>
      <c r="K256" s="438">
        <v>8</v>
      </c>
      <c r="L256" s="499">
        <v>2574</v>
      </c>
      <c r="M256" s="366">
        <f t="shared" si="86"/>
        <v>321.75</v>
      </c>
      <c r="N256" s="367">
        <f t="shared" si="69"/>
        <v>2852</v>
      </c>
      <c r="O256" s="61">
        <f>14*180</f>
        <v>2520</v>
      </c>
      <c r="P256" s="368">
        <v>0.84</v>
      </c>
      <c r="Q256" s="368">
        <v>220</v>
      </c>
      <c r="R256" s="494">
        <v>0</v>
      </c>
      <c r="S256" s="493">
        <v>0</v>
      </c>
      <c r="T256" s="494">
        <f>112-28</f>
        <v>84</v>
      </c>
      <c r="U256" s="493">
        <v>28</v>
      </c>
      <c r="V256" s="502">
        <v>1</v>
      </c>
      <c r="W256" s="453">
        <f t="shared" si="72"/>
        <v>2520</v>
      </c>
      <c r="X256" s="748">
        <f t="shared" si="73"/>
        <v>0.97902097902097907</v>
      </c>
      <c r="Y256" s="451" t="str">
        <f>IFERROR(VLOOKUP(E:E,'Item Data Support Sheet'!A:J,6,0),0)</f>
        <v>HMC</v>
      </c>
      <c r="Z256" s="428">
        <f>IFERROR(VLOOKUP(E:E,'Item Data Support Sheet'!A:O,4,0),0)</f>
        <v>21.3</v>
      </c>
      <c r="AA256" s="428">
        <f t="shared" si="74"/>
        <v>61.587600000000002</v>
      </c>
      <c r="AB256" s="429">
        <f t="shared" si="75"/>
        <v>0.87153907604777581</v>
      </c>
      <c r="AC256" s="424">
        <f t="shared" si="76"/>
        <v>3.2258064516129031E-2</v>
      </c>
      <c r="AD256" s="371">
        <f t="shared" si="77"/>
        <v>7.1614583333333329E-2</v>
      </c>
      <c r="AE256" s="748">
        <f t="shared" si="78"/>
        <v>0.97054698457222999</v>
      </c>
      <c r="AF256" s="417">
        <f t="shared" si="79"/>
        <v>0</v>
      </c>
      <c r="AG256" s="416">
        <f t="shared" si="80"/>
        <v>8</v>
      </c>
      <c r="AH256" s="372">
        <f t="shared" si="81"/>
        <v>1</v>
      </c>
      <c r="AI256" s="373">
        <f t="shared" si="82"/>
        <v>315</v>
      </c>
      <c r="AJ256" s="418">
        <f>VLOOKUP(D256,'Standard Cycle time'!C:D,2,0)</f>
        <v>9</v>
      </c>
      <c r="AK256" s="418">
        <f t="shared" si="83"/>
        <v>11.428571428571429</v>
      </c>
      <c r="AL256" s="374">
        <f t="shared" si="84"/>
        <v>0.78749999999999998</v>
      </c>
      <c r="AM256" s="372">
        <f t="shared" si="85"/>
        <v>0.76430575035063109</v>
      </c>
      <c r="AN256" s="799">
        <v>2656</v>
      </c>
      <c r="AO256" s="827" t="s">
        <v>2605</v>
      </c>
      <c r="AP256" s="440">
        <v>0</v>
      </c>
      <c r="AQ256" s="440">
        <v>0</v>
      </c>
      <c r="AR256" s="440">
        <v>0</v>
      </c>
      <c r="AS256" s="440">
        <v>0</v>
      </c>
      <c r="AT256" s="440">
        <v>0</v>
      </c>
      <c r="AU256" s="440">
        <v>0</v>
      </c>
      <c r="AV256" s="440">
        <v>0</v>
      </c>
      <c r="AW256" s="440">
        <v>0</v>
      </c>
      <c r="AX256" s="440">
        <v>0</v>
      </c>
      <c r="AY256" s="440">
        <v>0</v>
      </c>
      <c r="AZ256" s="440">
        <v>0</v>
      </c>
      <c r="BA256" s="440">
        <v>0</v>
      </c>
      <c r="BB256" s="440">
        <v>0</v>
      </c>
      <c r="BC256" s="440">
        <v>0</v>
      </c>
      <c r="BD256" s="440">
        <v>0</v>
      </c>
      <c r="BE256" s="440">
        <v>0</v>
      </c>
      <c r="BF256" s="440">
        <v>0</v>
      </c>
      <c r="BG256" s="440">
        <v>0</v>
      </c>
      <c r="BH256" s="440">
        <v>0</v>
      </c>
      <c r="BI256" s="440">
        <v>0</v>
      </c>
      <c r="BJ256" s="440">
        <v>0</v>
      </c>
      <c r="BK256" s="440">
        <v>0</v>
      </c>
      <c r="BL256" s="440">
        <v>0</v>
      </c>
      <c r="BM256" s="440">
        <v>0</v>
      </c>
      <c r="BN256" s="440">
        <v>0</v>
      </c>
      <c r="BO256" s="440">
        <v>0</v>
      </c>
      <c r="BP256" s="440">
        <v>0</v>
      </c>
      <c r="BQ256" s="440">
        <v>0</v>
      </c>
      <c r="BR256" s="415">
        <f t="shared" si="87"/>
        <v>0</v>
      </c>
      <c r="BS256" s="415">
        <f t="shared" si="70"/>
        <v>0</v>
      </c>
      <c r="BT256" s="935"/>
      <c r="BU256" s="935"/>
      <c r="BV256" s="935"/>
      <c r="BW256" s="935"/>
      <c r="BX256" s="935"/>
      <c r="BY256" s="935"/>
      <c r="BZ256" s="935"/>
      <c r="CA256" s="935"/>
      <c r="CB256" s="935"/>
      <c r="CC256" s="935"/>
      <c r="CD256" s="935"/>
      <c r="CE256" s="935"/>
      <c r="CF256" s="935"/>
      <c r="CG256" s="935"/>
      <c r="CH256" s="935"/>
      <c r="CI256" s="935"/>
      <c r="CJ256" s="935"/>
      <c r="CK256" s="935"/>
      <c r="CL256" s="935"/>
      <c r="CM256" s="935"/>
      <c r="CN256" s="935"/>
      <c r="CO256" s="935"/>
      <c r="CP256" s="935"/>
      <c r="CQ256" s="935"/>
      <c r="CR256" s="935"/>
      <c r="CS256" s="935"/>
      <c r="CT256" s="935"/>
      <c r="CU256" s="935"/>
      <c r="CV256" s="935"/>
    </row>
    <row r="257" spans="1:100">
      <c r="A257" s="375">
        <f t="shared" si="71"/>
        <v>8</v>
      </c>
      <c r="B257" s="505">
        <v>44432</v>
      </c>
      <c r="C257" s="493" t="s">
        <v>2001</v>
      </c>
      <c r="D257" s="376" t="str">
        <f>IFERROR(VLOOKUP(E:E,'Item Data Support Sheet'!A:O,7,0),"")</f>
        <v>NIPPLE PUNCH</v>
      </c>
      <c r="E257" s="447" t="s">
        <v>2486</v>
      </c>
      <c r="F257" s="500"/>
      <c r="G257" s="376" t="s">
        <v>1692</v>
      </c>
      <c r="H257" s="602" t="str">
        <f>IFERROR(VLOOKUP(E:E,'Item Data Support Sheet'!A:O,2,0),"")</f>
        <v>NIPPLE S TYPE LL SIZE PUNCHED</v>
      </c>
      <c r="I257" s="501" t="s">
        <v>2602</v>
      </c>
      <c r="J257" s="447" t="s">
        <v>2808</v>
      </c>
      <c r="K257" s="438">
        <v>8</v>
      </c>
      <c r="L257" s="499">
        <v>7036</v>
      </c>
      <c r="M257" s="366">
        <f t="shared" si="86"/>
        <v>879.5</v>
      </c>
      <c r="N257" s="367">
        <f t="shared" si="69"/>
        <v>6900</v>
      </c>
      <c r="O257" s="61">
        <v>6900</v>
      </c>
      <c r="P257" s="368">
        <v>0</v>
      </c>
      <c r="Q257" s="368">
        <v>0</v>
      </c>
      <c r="R257" s="494">
        <v>0</v>
      </c>
      <c r="S257" s="493">
        <v>0</v>
      </c>
      <c r="T257" s="494">
        <v>0</v>
      </c>
      <c r="U257" s="493">
        <v>0</v>
      </c>
      <c r="V257" s="502">
        <v>1</v>
      </c>
      <c r="W257" s="453">
        <f t="shared" si="72"/>
        <v>6900</v>
      </c>
      <c r="X257" s="748">
        <f t="shared" si="73"/>
        <v>0.98067083570210345</v>
      </c>
      <c r="Y257" s="451" t="str">
        <f>IFERROR(VLOOKUP(E:E,'Item Data Support Sheet'!A:J,6,0),0)</f>
        <v>FO150</v>
      </c>
      <c r="Z257" s="428">
        <f>IFERROR(VLOOKUP(E:E,'Item Data Support Sheet'!A:O,4,0),0)</f>
        <v>0</v>
      </c>
      <c r="AA257" s="428">
        <f t="shared" si="74"/>
        <v>0</v>
      </c>
      <c r="AB257" s="429" t="str">
        <f t="shared" si="75"/>
        <v xml:space="preserve"> </v>
      </c>
      <c r="AC257" s="424">
        <f t="shared" si="76"/>
        <v>0</v>
      </c>
      <c r="AD257" s="371">
        <f t="shared" si="77"/>
        <v>0</v>
      </c>
      <c r="AE257" s="748">
        <f t="shared" si="78"/>
        <v>1</v>
      </c>
      <c r="AF257" s="417">
        <f t="shared" si="79"/>
        <v>0.66666666666666663</v>
      </c>
      <c r="AG257" s="416">
        <f t="shared" si="80"/>
        <v>7.333333333333333</v>
      </c>
      <c r="AH257" s="372">
        <f t="shared" si="81"/>
        <v>0.91666666666666663</v>
      </c>
      <c r="AI257" s="373">
        <f t="shared" si="82"/>
        <v>862.5</v>
      </c>
      <c r="AJ257" s="418">
        <f>VLOOKUP(D257,'Standard Cycle time'!C:D,2,0)</f>
        <v>3.5</v>
      </c>
      <c r="AK257" s="418">
        <f t="shared" si="83"/>
        <v>3.8260869565217392</v>
      </c>
      <c r="AL257" s="374">
        <f t="shared" si="84"/>
        <v>0.91477272727272729</v>
      </c>
      <c r="AM257" s="372">
        <f t="shared" si="85"/>
        <v>0.83854166666666663</v>
      </c>
      <c r="AN257" s="799">
        <v>2652</v>
      </c>
      <c r="AO257" s="929"/>
      <c r="AP257" s="440">
        <v>40</v>
      </c>
      <c r="AQ257" s="440">
        <v>0</v>
      </c>
      <c r="AR257" s="440">
        <v>0</v>
      </c>
      <c r="AS257" s="440">
        <v>0</v>
      </c>
      <c r="AT257" s="440">
        <v>0</v>
      </c>
      <c r="AU257" s="440">
        <v>0</v>
      </c>
      <c r="AV257" s="440">
        <v>0</v>
      </c>
      <c r="AW257" s="440">
        <v>0</v>
      </c>
      <c r="AX257" s="440">
        <v>0</v>
      </c>
      <c r="AY257" s="440">
        <v>0</v>
      </c>
      <c r="AZ257" s="440">
        <v>0</v>
      </c>
      <c r="BA257" s="440">
        <v>0</v>
      </c>
      <c r="BB257" s="440">
        <v>0</v>
      </c>
      <c r="BC257" s="440">
        <v>0</v>
      </c>
      <c r="BD257" s="440">
        <v>0</v>
      </c>
      <c r="BE257" s="440">
        <v>0</v>
      </c>
      <c r="BF257" s="440">
        <v>0</v>
      </c>
      <c r="BG257" s="440">
        <v>0</v>
      </c>
      <c r="BH257" s="440">
        <v>0</v>
      </c>
      <c r="BI257" s="440">
        <v>0</v>
      </c>
      <c r="BJ257" s="440">
        <v>0</v>
      </c>
      <c r="BK257" s="440">
        <v>0</v>
      </c>
      <c r="BL257" s="440">
        <v>0</v>
      </c>
      <c r="BM257" s="440">
        <v>0</v>
      </c>
      <c r="BN257" s="440">
        <v>0</v>
      </c>
      <c r="BO257" s="440">
        <v>0</v>
      </c>
      <c r="BP257" s="440">
        <v>0</v>
      </c>
      <c r="BQ257" s="440">
        <v>0</v>
      </c>
      <c r="BR257" s="415">
        <f t="shared" si="87"/>
        <v>0.66666666666666663</v>
      </c>
      <c r="BS257" s="415">
        <f t="shared" si="70"/>
        <v>0.6777777777777777</v>
      </c>
      <c r="BT257" s="935"/>
      <c r="BU257" s="935"/>
      <c r="BV257" s="935"/>
      <c r="BW257" s="935"/>
      <c r="BX257" s="935"/>
      <c r="BY257" s="935"/>
      <c r="BZ257" s="935"/>
      <c r="CA257" s="935"/>
      <c r="CB257" s="935"/>
      <c r="CC257" s="935"/>
      <c r="CD257" s="935"/>
      <c r="CE257" s="935"/>
      <c r="CF257" s="935"/>
      <c r="CG257" s="935"/>
      <c r="CH257" s="935"/>
      <c r="CI257" s="935"/>
      <c r="CJ257" s="935"/>
      <c r="CK257" s="935"/>
      <c r="CL257" s="935"/>
      <c r="CM257" s="935"/>
      <c r="CN257" s="935"/>
      <c r="CO257" s="935"/>
      <c r="CP257" s="935"/>
      <c r="CQ257" s="935"/>
      <c r="CR257" s="935"/>
      <c r="CS257" s="935"/>
      <c r="CT257" s="935"/>
      <c r="CU257" s="935"/>
      <c r="CV257" s="935"/>
    </row>
    <row r="258" spans="1:100">
      <c r="A258" s="375">
        <f t="shared" si="71"/>
        <v>8</v>
      </c>
      <c r="B258" s="505">
        <v>44432</v>
      </c>
      <c r="C258" s="493" t="s">
        <v>2001</v>
      </c>
      <c r="D258" s="376" t="str">
        <f>IFERROR(VLOOKUP(E:E,'Item Data Support Sheet'!A:O,7,0),"")</f>
        <v>NIPPLE LASER MARKING</v>
      </c>
      <c r="E258" s="447" t="s">
        <v>2487</v>
      </c>
      <c r="F258" s="500"/>
      <c r="G258" s="376" t="s">
        <v>1812</v>
      </c>
      <c r="H258" s="602" t="str">
        <f>IFERROR(VLOOKUP(E:E,'Item Data Support Sheet'!A:O,2,0),"")</f>
        <v>NIPPLE S TYPE LL SIZE LASER MARKED</v>
      </c>
      <c r="I258" s="501" t="s">
        <v>2603</v>
      </c>
      <c r="J258" s="447" t="s">
        <v>2808</v>
      </c>
      <c r="K258" s="438">
        <v>8</v>
      </c>
      <c r="L258" s="499">
        <v>7036</v>
      </c>
      <c r="M258" s="366">
        <f t="shared" si="86"/>
        <v>879.5</v>
      </c>
      <c r="N258" s="367">
        <f t="shared" si="69"/>
        <v>6000</v>
      </c>
      <c r="O258" s="61">
        <v>6000</v>
      </c>
      <c r="P258" s="368">
        <v>0</v>
      </c>
      <c r="Q258" s="368">
        <v>0</v>
      </c>
      <c r="R258" s="494">
        <v>0</v>
      </c>
      <c r="S258" s="493">
        <v>0</v>
      </c>
      <c r="T258" s="494">
        <v>0</v>
      </c>
      <c r="U258" s="493">
        <v>0</v>
      </c>
      <c r="V258" s="502">
        <v>1</v>
      </c>
      <c r="W258" s="453">
        <f t="shared" si="72"/>
        <v>6000</v>
      </c>
      <c r="X258" s="748">
        <f t="shared" si="73"/>
        <v>0.85275724843661171</v>
      </c>
      <c r="Y258" s="451" t="str">
        <f>IFERROR(VLOOKUP(E:E,'Item Data Support Sheet'!A:J,6,0),0)</f>
        <v>FO151</v>
      </c>
      <c r="Z258" s="428">
        <f>IFERROR(VLOOKUP(E:E,'Item Data Support Sheet'!A:O,4,0),0)</f>
        <v>0</v>
      </c>
      <c r="AA258" s="428">
        <f t="shared" si="74"/>
        <v>0</v>
      </c>
      <c r="AB258" s="429" t="str">
        <f t="shared" si="75"/>
        <v xml:space="preserve"> </v>
      </c>
      <c r="AC258" s="424">
        <f t="shared" si="76"/>
        <v>0</v>
      </c>
      <c r="AD258" s="371">
        <f t="shared" si="77"/>
        <v>0</v>
      </c>
      <c r="AE258" s="748">
        <f t="shared" si="78"/>
        <v>1</v>
      </c>
      <c r="AF258" s="417">
        <f t="shared" si="79"/>
        <v>0.66666666666666663</v>
      </c>
      <c r="AG258" s="416">
        <f t="shared" si="80"/>
        <v>7.333333333333333</v>
      </c>
      <c r="AH258" s="372">
        <f t="shared" si="81"/>
        <v>0.91666666666666663</v>
      </c>
      <c r="AI258" s="373">
        <f t="shared" si="82"/>
        <v>750</v>
      </c>
      <c r="AJ258" s="418">
        <f>VLOOKUP(D258,'Standard Cycle time'!C:D,2,0)</f>
        <v>3.5</v>
      </c>
      <c r="AK258" s="418">
        <f t="shared" si="83"/>
        <v>4.4000000000000004</v>
      </c>
      <c r="AL258" s="374">
        <f t="shared" si="84"/>
        <v>0.79545454545454541</v>
      </c>
      <c r="AM258" s="372">
        <f t="shared" si="85"/>
        <v>0.72916666666666663</v>
      </c>
      <c r="AN258" s="799">
        <v>2653</v>
      </c>
      <c r="AO258" s="929"/>
      <c r="AP258" s="440">
        <v>40</v>
      </c>
      <c r="AQ258" s="440">
        <v>0</v>
      </c>
      <c r="AR258" s="440">
        <v>0</v>
      </c>
      <c r="AS258" s="440">
        <v>0</v>
      </c>
      <c r="AT258" s="440">
        <v>0</v>
      </c>
      <c r="AU258" s="440">
        <v>0</v>
      </c>
      <c r="AV258" s="440">
        <v>0</v>
      </c>
      <c r="AW258" s="440">
        <v>0</v>
      </c>
      <c r="AX258" s="440">
        <v>0</v>
      </c>
      <c r="AY258" s="440">
        <v>0</v>
      </c>
      <c r="AZ258" s="440">
        <v>0</v>
      </c>
      <c r="BA258" s="440">
        <v>0</v>
      </c>
      <c r="BB258" s="440">
        <v>0</v>
      </c>
      <c r="BC258" s="440">
        <v>0</v>
      </c>
      <c r="BD258" s="440">
        <v>0</v>
      </c>
      <c r="BE258" s="440">
        <v>0</v>
      </c>
      <c r="BF258" s="440">
        <v>0</v>
      </c>
      <c r="BG258" s="440">
        <v>0</v>
      </c>
      <c r="BH258" s="440">
        <v>0</v>
      </c>
      <c r="BI258" s="440">
        <v>0</v>
      </c>
      <c r="BJ258" s="440">
        <v>0</v>
      </c>
      <c r="BK258" s="440">
        <v>0</v>
      </c>
      <c r="BL258" s="440">
        <v>0</v>
      </c>
      <c r="BM258" s="440">
        <v>0</v>
      </c>
      <c r="BN258" s="440">
        <v>0</v>
      </c>
      <c r="BO258" s="440">
        <v>0</v>
      </c>
      <c r="BP258" s="440">
        <v>0</v>
      </c>
      <c r="BQ258" s="440">
        <v>0</v>
      </c>
      <c r="BR258" s="415">
        <f t="shared" si="87"/>
        <v>0.66666666666666663</v>
      </c>
      <c r="BS258" s="415">
        <f t="shared" si="70"/>
        <v>0.6777777777777777</v>
      </c>
      <c r="BT258" s="935"/>
      <c r="BU258" s="935"/>
      <c r="BV258" s="935"/>
      <c r="BW258" s="935"/>
      <c r="BX258" s="935"/>
      <c r="BY258" s="935"/>
      <c r="BZ258" s="935"/>
      <c r="CA258" s="935"/>
      <c r="CB258" s="935"/>
      <c r="CC258" s="935"/>
      <c r="CD258" s="935"/>
      <c r="CE258" s="935"/>
      <c r="CF258" s="935"/>
      <c r="CG258" s="935"/>
      <c r="CH258" s="935"/>
      <c r="CI258" s="935"/>
      <c r="CJ258" s="935"/>
      <c r="CK258" s="935"/>
      <c r="CL258" s="935"/>
      <c r="CM258" s="935"/>
      <c r="CN258" s="935"/>
      <c r="CO258" s="935"/>
      <c r="CP258" s="935"/>
      <c r="CQ258" s="935"/>
      <c r="CR258" s="935"/>
      <c r="CS258" s="935"/>
      <c r="CT258" s="935"/>
      <c r="CU258" s="935"/>
      <c r="CV258" s="935"/>
    </row>
    <row r="259" spans="1:100">
      <c r="A259" s="375">
        <f t="shared" si="71"/>
        <v>8</v>
      </c>
      <c r="B259" s="505">
        <v>44432</v>
      </c>
      <c r="C259" s="493" t="s">
        <v>2053</v>
      </c>
      <c r="D259" s="376" t="str">
        <f>IFERROR(VLOOKUP(E:E,'Item Data Support Sheet'!A:O,7,0),"")</f>
        <v>BOTTLE MOLDED</v>
      </c>
      <c r="E259" s="447" t="s">
        <v>65</v>
      </c>
      <c r="F259" s="500" t="s">
        <v>1682</v>
      </c>
      <c r="G259" s="376" t="s">
        <v>1665</v>
      </c>
      <c r="H259" s="602" t="str">
        <f>IFERROR(VLOOKUP(E:E,'Item Data Support Sheet'!A:O,2,0),"")</f>
        <v>KPP 120 ML BOTTLE MOLDED</v>
      </c>
      <c r="I259" s="501" t="s">
        <v>2606</v>
      </c>
      <c r="J259" s="447"/>
      <c r="K259" s="438">
        <v>8</v>
      </c>
      <c r="L259" s="499">
        <v>2574</v>
      </c>
      <c r="M259" s="366">
        <f t="shared" si="86"/>
        <v>321.75</v>
      </c>
      <c r="N259" s="367">
        <f t="shared" si="69"/>
        <v>3182</v>
      </c>
      <c r="O259" s="61">
        <v>3060</v>
      </c>
      <c r="P259" s="368">
        <v>0</v>
      </c>
      <c r="Q259" s="368">
        <v>57</v>
      </c>
      <c r="R259" s="494">
        <v>0</v>
      </c>
      <c r="S259" s="493">
        <v>0</v>
      </c>
      <c r="T259" s="494">
        <v>65</v>
      </c>
      <c r="U259" s="493">
        <v>0</v>
      </c>
      <c r="V259" s="502">
        <v>1</v>
      </c>
      <c r="W259" s="453">
        <f t="shared" si="72"/>
        <v>3060</v>
      </c>
      <c r="X259" s="748">
        <f t="shared" si="73"/>
        <v>1.1888111888111887</v>
      </c>
      <c r="Y259" s="451" t="str">
        <f>IFERROR(VLOOKUP(E:E,'Item Data Support Sheet'!A:J,6,0),0)</f>
        <v>HMC</v>
      </c>
      <c r="Z259" s="428">
        <f>IFERROR(VLOOKUP(E:E,'Item Data Support Sheet'!A:O,4,0),0)</f>
        <v>21.3</v>
      </c>
      <c r="AA259" s="428">
        <f t="shared" si="74"/>
        <v>67.776600000000002</v>
      </c>
      <c r="AB259" s="429">
        <f t="shared" si="75"/>
        <v>0.9616593337523569</v>
      </c>
      <c r="AC259" s="424">
        <f t="shared" si="76"/>
        <v>2.0799999999999999E-2</v>
      </c>
      <c r="AD259" s="371">
        <f t="shared" si="77"/>
        <v>1.7598024081506639E-2</v>
      </c>
      <c r="AE259" s="748">
        <f t="shared" si="78"/>
        <v>0.97957259585166567</v>
      </c>
      <c r="AF259" s="417">
        <f t="shared" si="79"/>
        <v>0.33333333333333331</v>
      </c>
      <c r="AG259" s="416">
        <f t="shared" si="80"/>
        <v>7.666666666666667</v>
      </c>
      <c r="AH259" s="372">
        <f t="shared" si="81"/>
        <v>0.95833333333333337</v>
      </c>
      <c r="AI259" s="373">
        <f t="shared" si="82"/>
        <v>382.5</v>
      </c>
      <c r="AJ259" s="418">
        <f>VLOOKUP(D259,'Standard Cycle time'!C:D,2,0)</f>
        <v>9</v>
      </c>
      <c r="AK259" s="418">
        <f t="shared" si="83"/>
        <v>9.0196078431372548</v>
      </c>
      <c r="AL259" s="374">
        <f t="shared" si="84"/>
        <v>0.99782608695652175</v>
      </c>
      <c r="AM259" s="372">
        <f t="shared" si="85"/>
        <v>0.93671629478315532</v>
      </c>
      <c r="AN259" s="799" t="s">
        <v>2608</v>
      </c>
      <c r="AO259" s="761"/>
      <c r="AP259" s="440">
        <v>0</v>
      </c>
      <c r="AQ259" s="440">
        <v>0</v>
      </c>
      <c r="AR259" s="440">
        <v>0</v>
      </c>
      <c r="AS259" s="440">
        <v>0</v>
      </c>
      <c r="AT259" s="440">
        <v>0</v>
      </c>
      <c r="AU259" s="440">
        <v>0</v>
      </c>
      <c r="AV259" s="440">
        <v>0</v>
      </c>
      <c r="AW259" s="440">
        <v>20</v>
      </c>
      <c r="AX259" s="440">
        <v>0</v>
      </c>
      <c r="AY259" s="440">
        <v>0</v>
      </c>
      <c r="AZ259" s="440">
        <v>0</v>
      </c>
      <c r="BA259" s="440">
        <v>0</v>
      </c>
      <c r="BB259" s="440">
        <v>0</v>
      </c>
      <c r="BC259" s="440">
        <v>0</v>
      </c>
      <c r="BD259" s="440">
        <v>0</v>
      </c>
      <c r="BE259" s="440">
        <v>0</v>
      </c>
      <c r="BF259" s="440">
        <v>0</v>
      </c>
      <c r="BG259" s="440">
        <v>0</v>
      </c>
      <c r="BH259" s="440">
        <v>0</v>
      </c>
      <c r="BI259" s="440">
        <v>0</v>
      </c>
      <c r="BJ259" s="440">
        <v>0</v>
      </c>
      <c r="BK259" s="440">
        <v>0</v>
      </c>
      <c r="BL259" s="440">
        <v>0</v>
      </c>
      <c r="BM259" s="440">
        <v>0</v>
      </c>
      <c r="BN259" s="440">
        <v>0</v>
      </c>
      <c r="BO259" s="440">
        <v>0</v>
      </c>
      <c r="BP259" s="440">
        <v>0</v>
      </c>
      <c r="BQ259" s="440">
        <v>0</v>
      </c>
      <c r="BR259" s="415">
        <f t="shared" si="87"/>
        <v>0.33333333333333331</v>
      </c>
      <c r="BS259" s="415">
        <f t="shared" si="70"/>
        <v>0.33888888888888885</v>
      </c>
      <c r="BT259" s="935"/>
      <c r="BU259" s="935"/>
      <c r="BV259" s="935"/>
      <c r="BW259" s="935"/>
      <c r="BX259" s="935"/>
      <c r="BY259" s="935"/>
      <c r="BZ259" s="935"/>
      <c r="CA259" s="935"/>
      <c r="CB259" s="935"/>
      <c r="CC259" s="935"/>
      <c r="CD259" s="935"/>
      <c r="CE259" s="935"/>
      <c r="CF259" s="935"/>
      <c r="CG259" s="935"/>
      <c r="CH259" s="935"/>
      <c r="CI259" s="935"/>
      <c r="CJ259" s="935"/>
      <c r="CK259" s="935"/>
      <c r="CL259" s="935"/>
      <c r="CM259" s="935"/>
      <c r="CN259" s="935"/>
      <c r="CO259" s="935"/>
      <c r="CP259" s="935"/>
      <c r="CQ259" s="935"/>
      <c r="CR259" s="935"/>
      <c r="CS259" s="935"/>
      <c r="CT259" s="935"/>
      <c r="CU259" s="935"/>
      <c r="CV259" s="935"/>
    </row>
    <row r="260" spans="1:100">
      <c r="A260" s="375">
        <f t="shared" si="71"/>
        <v>8</v>
      </c>
      <c r="B260" s="505">
        <v>44432</v>
      </c>
      <c r="C260" s="493" t="s">
        <v>2053</v>
      </c>
      <c r="D260" s="376" t="str">
        <f>IFERROR(VLOOKUP(E:E,'Item Data Support Sheet'!A:O,7,0),"")</f>
        <v>HOOD MOLDED</v>
      </c>
      <c r="E260" s="447" t="s">
        <v>1987</v>
      </c>
      <c r="F260" s="500"/>
      <c r="G260" s="376" t="s">
        <v>2220</v>
      </c>
      <c r="H260" s="602" t="str">
        <f>IFERROR(VLOOKUP(E:E,'Item Data Support Sheet'!A:O,2,0),"")</f>
        <v>HOOD S TYPE MOLDED</v>
      </c>
      <c r="I260" s="501" t="s">
        <v>2607</v>
      </c>
      <c r="J260" s="447" t="s">
        <v>2809</v>
      </c>
      <c r="K260" s="438">
        <v>8</v>
      </c>
      <c r="L260" s="499">
        <v>4137</v>
      </c>
      <c r="M260" s="366">
        <f t="shared" si="86"/>
        <v>517.125</v>
      </c>
      <c r="N260" s="367">
        <f t="shared" ref="N260:N323" si="88">+O260+Q260+T260+U260</f>
        <v>4116</v>
      </c>
      <c r="O260" s="61">
        <v>4000</v>
      </c>
      <c r="P260" s="368">
        <v>0.12</v>
      </c>
      <c r="Q260" s="368">
        <v>80</v>
      </c>
      <c r="R260" s="494">
        <v>0</v>
      </c>
      <c r="S260" s="493">
        <v>0</v>
      </c>
      <c r="T260" s="494">
        <v>28</v>
      </c>
      <c r="U260" s="493">
        <v>8</v>
      </c>
      <c r="V260" s="502">
        <v>1</v>
      </c>
      <c r="W260" s="453">
        <f t="shared" si="72"/>
        <v>4000</v>
      </c>
      <c r="X260" s="748">
        <f t="shared" si="73"/>
        <v>0.96688421561518012</v>
      </c>
      <c r="Y260" s="451" t="str">
        <f>IFERROR(VLOOKUP(E:E,'Item Data Support Sheet'!A:J,6,0),0)</f>
        <v>HMC</v>
      </c>
      <c r="Z260" s="428">
        <f>IFERROR(VLOOKUP(E:E,'Item Data Support Sheet'!A:O,4,0),0)</f>
        <v>8.6</v>
      </c>
      <c r="AA260" s="428">
        <f t="shared" si="74"/>
        <v>35.517599999999995</v>
      </c>
      <c r="AB260" s="429">
        <f t="shared" si="75"/>
        <v>0.96853390994887056</v>
      </c>
      <c r="AC260" s="424">
        <f t="shared" si="76"/>
        <v>6.9513406156901684E-3</v>
      </c>
      <c r="AD260" s="371">
        <f t="shared" si="77"/>
        <v>1.9065776930409915E-2</v>
      </c>
      <c r="AE260" s="748">
        <f t="shared" si="78"/>
        <v>0.99319727891156462</v>
      </c>
      <c r="AF260" s="417">
        <f t="shared" si="79"/>
        <v>1.2833333333333334</v>
      </c>
      <c r="AG260" s="416">
        <f t="shared" si="80"/>
        <v>6.7166666666666668</v>
      </c>
      <c r="AH260" s="372">
        <f t="shared" si="81"/>
        <v>0.83958333333333335</v>
      </c>
      <c r="AI260" s="373">
        <f t="shared" si="82"/>
        <v>500</v>
      </c>
      <c r="AJ260" s="418">
        <f>VLOOKUP(D260,'Standard Cycle time'!C:D,2,0)</f>
        <v>6</v>
      </c>
      <c r="AK260" s="418">
        <f t="shared" si="83"/>
        <v>6.0449999999999999</v>
      </c>
      <c r="AL260" s="374">
        <f t="shared" si="84"/>
        <v>0.99255583126550873</v>
      </c>
      <c r="AM260" s="372">
        <f t="shared" si="85"/>
        <v>0.82766439909297063</v>
      </c>
      <c r="AN260" s="799" t="s">
        <v>2609</v>
      </c>
      <c r="AO260" s="761"/>
      <c r="AP260" s="440">
        <v>0</v>
      </c>
      <c r="AQ260" s="440">
        <v>0</v>
      </c>
      <c r="AR260" s="440">
        <v>0</v>
      </c>
      <c r="AS260" s="440">
        <v>0</v>
      </c>
      <c r="AT260" s="440">
        <v>0</v>
      </c>
      <c r="AU260" s="440">
        <v>0</v>
      </c>
      <c r="AV260" s="440">
        <v>0</v>
      </c>
      <c r="AW260" s="440">
        <v>32</v>
      </c>
      <c r="AX260" s="440">
        <v>0</v>
      </c>
      <c r="AY260" s="440">
        <v>0</v>
      </c>
      <c r="AZ260" s="440">
        <v>0</v>
      </c>
      <c r="BA260" s="440">
        <v>0</v>
      </c>
      <c r="BB260" s="440">
        <v>45</v>
      </c>
      <c r="BC260" s="440">
        <v>0</v>
      </c>
      <c r="BD260" s="440">
        <v>0</v>
      </c>
      <c r="BE260" s="440">
        <v>0</v>
      </c>
      <c r="BF260" s="440">
        <v>0</v>
      </c>
      <c r="BG260" s="440">
        <v>0</v>
      </c>
      <c r="BH260" s="440">
        <v>0</v>
      </c>
      <c r="BI260" s="440">
        <v>0</v>
      </c>
      <c r="BJ260" s="440">
        <v>0</v>
      </c>
      <c r="BK260" s="440">
        <v>0</v>
      </c>
      <c r="BL260" s="440">
        <v>0</v>
      </c>
      <c r="BM260" s="440">
        <v>0</v>
      </c>
      <c r="BN260" s="440">
        <v>0</v>
      </c>
      <c r="BO260" s="440">
        <v>0</v>
      </c>
      <c r="BP260" s="440">
        <v>0</v>
      </c>
      <c r="BQ260" s="440">
        <v>0</v>
      </c>
      <c r="BR260" s="415">
        <f t="shared" si="87"/>
        <v>1.2833333333333334</v>
      </c>
      <c r="BS260" s="415">
        <f t="shared" ref="BS260:BS325" si="89">SUM(AP260:BR260)/60</f>
        <v>1.3047222222222221</v>
      </c>
      <c r="BT260" s="935"/>
      <c r="BU260" s="935"/>
      <c r="BV260" s="935"/>
      <c r="BW260" s="935"/>
      <c r="BX260" s="935"/>
      <c r="BY260" s="935"/>
      <c r="BZ260" s="935"/>
      <c r="CA260" s="935"/>
      <c r="CB260" s="935"/>
      <c r="CC260" s="935"/>
      <c r="CD260" s="935"/>
      <c r="CE260" s="935"/>
      <c r="CF260" s="935"/>
      <c r="CG260" s="935"/>
      <c r="CH260" s="935"/>
      <c r="CI260" s="935"/>
      <c r="CJ260" s="935"/>
      <c r="CK260" s="935"/>
      <c r="CL260" s="935"/>
      <c r="CM260" s="935"/>
      <c r="CN260" s="935"/>
      <c r="CO260" s="935"/>
      <c r="CP260" s="935"/>
      <c r="CQ260" s="935"/>
      <c r="CR260" s="935"/>
      <c r="CS260" s="935"/>
      <c r="CT260" s="935"/>
      <c r="CU260" s="935"/>
      <c r="CV260" s="935"/>
    </row>
    <row r="261" spans="1:100">
      <c r="A261" s="375">
        <f t="shared" ref="A261:A324" si="90">MONTH(B261)</f>
        <v>8</v>
      </c>
      <c r="B261" s="505">
        <v>44433</v>
      </c>
      <c r="C261" s="493" t="s">
        <v>1980</v>
      </c>
      <c r="D261" s="376" t="str">
        <f>IFERROR(VLOOKUP(E:E,'Item Data Support Sheet'!A:O,7,0),"")</f>
        <v>NIPPLE PUNCH</v>
      </c>
      <c r="E261" s="447" t="s">
        <v>2486</v>
      </c>
      <c r="F261" s="500"/>
      <c r="G261" s="376"/>
      <c r="H261" s="602" t="str">
        <f>IFERROR(VLOOKUP(E:E,'Item Data Support Sheet'!A:O,2,0),"")</f>
        <v>NIPPLE S TYPE LL SIZE PUNCHED</v>
      </c>
      <c r="I261" s="501" t="s">
        <v>2616</v>
      </c>
      <c r="J261" s="447" t="s">
        <v>2810</v>
      </c>
      <c r="K261" s="438">
        <v>8</v>
      </c>
      <c r="L261" s="499">
        <v>7000</v>
      </c>
      <c r="M261" s="366">
        <f t="shared" si="86"/>
        <v>875</v>
      </c>
      <c r="N261" s="367">
        <f t="shared" si="88"/>
        <v>7300</v>
      </c>
      <c r="O261" s="61">
        <v>7300</v>
      </c>
      <c r="P261" s="368">
        <v>0</v>
      </c>
      <c r="Q261" s="368">
        <v>0</v>
      </c>
      <c r="R261" s="494">
        <v>0</v>
      </c>
      <c r="S261" s="493">
        <v>0</v>
      </c>
      <c r="T261" s="494">
        <v>0</v>
      </c>
      <c r="U261" s="493">
        <v>0</v>
      </c>
      <c r="V261" s="502">
        <v>1</v>
      </c>
      <c r="W261" s="453">
        <f t="shared" ref="W261:W324" si="91">IFERROR(O261/V261,0)</f>
        <v>7300</v>
      </c>
      <c r="X261" s="748">
        <f t="shared" ref="X261:X324" si="92">O261/L261</f>
        <v>1.0428571428571429</v>
      </c>
      <c r="Y261" s="451" t="str">
        <f>IFERROR(VLOOKUP(E:E,'Item Data Support Sheet'!A:J,6,0),0)</f>
        <v>FO150</v>
      </c>
      <c r="Z261" s="428">
        <f>IFERROR(VLOOKUP(E:E,'Item Data Support Sheet'!A:O,4,0),0)</f>
        <v>0</v>
      </c>
      <c r="AA261" s="428">
        <f t="shared" ref="AA261:AA324" si="93">IFERROR(((N261)*(Z261/1000))+P261,0)</f>
        <v>0</v>
      </c>
      <c r="AB261" s="429" t="str">
        <f t="shared" ref="AB261:AB324" si="94">IFERROR((O261*(Z261/1000)/(AA261))," ")</f>
        <v xml:space="preserve"> </v>
      </c>
      <c r="AC261" s="424">
        <f t="shared" ref="AC261:AC324" si="95">IFERROR((T261)/((T261)+O261),0)</f>
        <v>0</v>
      </c>
      <c r="AD261" s="371">
        <f t="shared" ref="AD261:AD324" si="96">IFERROR(Q261/(Q261+N261),0)</f>
        <v>0</v>
      </c>
      <c r="AE261" s="748">
        <f t="shared" ref="AE261:AE324" si="97">(N261-T261)/N261</f>
        <v>1</v>
      </c>
      <c r="AF261" s="417">
        <f t="shared" ref="AF261:AF324" si="98">BR261</f>
        <v>0.66666666666666663</v>
      </c>
      <c r="AG261" s="416">
        <f t="shared" ref="AG261:AG324" si="99">K261-AF261</f>
        <v>7.333333333333333</v>
      </c>
      <c r="AH261" s="372">
        <f t="shared" ref="AH261:AH324" si="100">IFERROR(AG261/K261," ")</f>
        <v>0.91666666666666663</v>
      </c>
      <c r="AI261" s="373">
        <f t="shared" ref="AI261:AI324" si="101">IFERROR(O261/K261,0)</f>
        <v>912.5</v>
      </c>
      <c r="AJ261" s="418">
        <f>VLOOKUP(D261,'Standard Cycle time'!C:D,2,0)</f>
        <v>3.5</v>
      </c>
      <c r="AK261" s="418">
        <f t="shared" ref="AK261:AK324" si="102">AG261*V261*3600/O261</f>
        <v>3.6164383561643834</v>
      </c>
      <c r="AL261" s="374">
        <f t="shared" ref="AL261:AL324" si="103">AJ261/AK261</f>
        <v>0.96780303030303039</v>
      </c>
      <c r="AM261" s="372">
        <f t="shared" ref="AM261:AM324" si="104">AE261*AL261*AH261</f>
        <v>0.88715277777777779</v>
      </c>
      <c r="AN261" s="799" t="s">
        <v>2615</v>
      </c>
      <c r="AO261" s="929"/>
      <c r="AP261" s="440">
        <v>40</v>
      </c>
      <c r="AQ261" s="440">
        <v>0</v>
      </c>
      <c r="AR261" s="440">
        <v>0</v>
      </c>
      <c r="AS261" s="440">
        <v>0</v>
      </c>
      <c r="AT261" s="440">
        <v>0</v>
      </c>
      <c r="AU261" s="440">
        <v>0</v>
      </c>
      <c r="AV261" s="440">
        <v>0</v>
      </c>
      <c r="AW261" s="440">
        <v>0</v>
      </c>
      <c r="AX261" s="440">
        <v>0</v>
      </c>
      <c r="AY261" s="440">
        <v>0</v>
      </c>
      <c r="AZ261" s="440">
        <v>0</v>
      </c>
      <c r="BA261" s="440">
        <v>0</v>
      </c>
      <c r="BB261" s="440">
        <v>0</v>
      </c>
      <c r="BC261" s="440">
        <v>0</v>
      </c>
      <c r="BD261" s="440">
        <v>0</v>
      </c>
      <c r="BE261" s="440">
        <v>0</v>
      </c>
      <c r="BF261" s="440">
        <v>0</v>
      </c>
      <c r="BG261" s="440">
        <v>0</v>
      </c>
      <c r="BH261" s="440">
        <v>0</v>
      </c>
      <c r="BI261" s="440">
        <v>0</v>
      </c>
      <c r="BJ261" s="440">
        <v>0</v>
      </c>
      <c r="BK261" s="440">
        <v>0</v>
      </c>
      <c r="BL261" s="440">
        <v>0</v>
      </c>
      <c r="BM261" s="440">
        <v>0</v>
      </c>
      <c r="BN261" s="440">
        <v>0</v>
      </c>
      <c r="BO261" s="440">
        <v>0</v>
      </c>
      <c r="BP261" s="440">
        <v>0</v>
      </c>
      <c r="BQ261" s="440">
        <v>0</v>
      </c>
      <c r="BR261" s="415">
        <f t="shared" si="87"/>
        <v>0.66666666666666663</v>
      </c>
      <c r="BS261" s="415">
        <f t="shared" si="89"/>
        <v>0.6777777777777777</v>
      </c>
      <c r="BT261" s="935"/>
      <c r="BU261" s="935"/>
      <c r="BV261" s="935"/>
      <c r="BW261" s="935"/>
      <c r="BX261" s="935"/>
      <c r="BY261" s="935"/>
      <c r="BZ261" s="935"/>
      <c r="CA261" s="935"/>
      <c r="CB261" s="935"/>
      <c r="CC261" s="935"/>
      <c r="CD261" s="935"/>
      <c r="CE261" s="935"/>
      <c r="CF261" s="935"/>
      <c r="CG261" s="935"/>
      <c r="CH261" s="935"/>
      <c r="CI261" s="935"/>
      <c r="CJ261" s="935"/>
      <c r="CK261" s="935"/>
      <c r="CL261" s="935"/>
      <c r="CM261" s="935"/>
      <c r="CN261" s="935"/>
      <c r="CO261" s="935"/>
      <c r="CP261" s="935"/>
      <c r="CQ261" s="935"/>
      <c r="CR261" s="935"/>
      <c r="CS261" s="935"/>
      <c r="CT261" s="935"/>
      <c r="CU261" s="935"/>
      <c r="CV261" s="935"/>
    </row>
    <row r="262" spans="1:100">
      <c r="A262" s="375">
        <f t="shared" si="90"/>
        <v>8</v>
      </c>
      <c r="B262" s="505">
        <v>44433</v>
      </c>
      <c r="C262" s="493" t="s">
        <v>1980</v>
      </c>
      <c r="D262" s="376" t="str">
        <f>IFERROR(VLOOKUP(E:E,'Item Data Support Sheet'!A:O,7,0),"")</f>
        <v>NIPPLE LASER MARKING</v>
      </c>
      <c r="E262" s="447" t="s">
        <v>2487</v>
      </c>
      <c r="F262" s="500"/>
      <c r="G262" s="376"/>
      <c r="H262" s="602" t="str">
        <f>IFERROR(VLOOKUP(E:E,'Item Data Support Sheet'!A:O,2,0),"")</f>
        <v>NIPPLE S TYPE LL SIZE LASER MARKED</v>
      </c>
      <c r="I262" s="501" t="s">
        <v>2617</v>
      </c>
      <c r="J262" s="447" t="s">
        <v>2810</v>
      </c>
      <c r="K262" s="438">
        <v>8</v>
      </c>
      <c r="L262" s="499">
        <v>7000</v>
      </c>
      <c r="M262" s="366">
        <f t="shared" si="86"/>
        <v>875</v>
      </c>
      <c r="N262" s="367">
        <f t="shared" si="88"/>
        <v>6900</v>
      </c>
      <c r="O262" s="61">
        <v>6900</v>
      </c>
      <c r="P262" s="368">
        <v>0</v>
      </c>
      <c r="Q262" s="368">
        <v>0</v>
      </c>
      <c r="R262" s="494">
        <v>0</v>
      </c>
      <c r="S262" s="493">
        <v>0</v>
      </c>
      <c r="T262" s="494">
        <v>0</v>
      </c>
      <c r="U262" s="493">
        <v>0</v>
      </c>
      <c r="V262" s="502">
        <v>1</v>
      </c>
      <c r="W262" s="453">
        <f t="shared" si="91"/>
        <v>6900</v>
      </c>
      <c r="X262" s="748">
        <f t="shared" si="92"/>
        <v>0.98571428571428577</v>
      </c>
      <c r="Y262" s="451" t="str">
        <f>IFERROR(VLOOKUP(E:E,'Item Data Support Sheet'!A:J,6,0),0)</f>
        <v>FO151</v>
      </c>
      <c r="Z262" s="428">
        <f>IFERROR(VLOOKUP(E:E,'Item Data Support Sheet'!A:O,4,0),0)</f>
        <v>0</v>
      </c>
      <c r="AA262" s="428">
        <f t="shared" si="93"/>
        <v>0</v>
      </c>
      <c r="AB262" s="429" t="str">
        <f t="shared" si="94"/>
        <v xml:space="preserve"> </v>
      </c>
      <c r="AC262" s="424">
        <f t="shared" si="95"/>
        <v>0</v>
      </c>
      <c r="AD262" s="371">
        <f t="shared" si="96"/>
        <v>0</v>
      </c>
      <c r="AE262" s="748">
        <f t="shared" si="97"/>
        <v>1</v>
      </c>
      <c r="AF262" s="417">
        <f t="shared" si="98"/>
        <v>0.66666666666666663</v>
      </c>
      <c r="AG262" s="416">
        <f t="shared" si="99"/>
        <v>7.333333333333333</v>
      </c>
      <c r="AH262" s="372">
        <f t="shared" si="100"/>
        <v>0.91666666666666663</v>
      </c>
      <c r="AI262" s="373">
        <f t="shared" si="101"/>
        <v>862.5</v>
      </c>
      <c r="AJ262" s="418">
        <f>VLOOKUP(D262,'Standard Cycle time'!C:D,2,0)</f>
        <v>3.5</v>
      </c>
      <c r="AK262" s="418">
        <f t="shared" si="102"/>
        <v>3.8260869565217392</v>
      </c>
      <c r="AL262" s="374">
        <f t="shared" si="103"/>
        <v>0.91477272727272729</v>
      </c>
      <c r="AM262" s="372">
        <f t="shared" si="104"/>
        <v>0.83854166666666663</v>
      </c>
      <c r="AN262" s="799" t="s">
        <v>2618</v>
      </c>
      <c r="AO262" s="929"/>
      <c r="AP262" s="440">
        <v>40</v>
      </c>
      <c r="AQ262" s="440">
        <v>0</v>
      </c>
      <c r="AR262" s="440">
        <v>0</v>
      </c>
      <c r="AS262" s="440">
        <v>0</v>
      </c>
      <c r="AT262" s="440">
        <v>0</v>
      </c>
      <c r="AU262" s="440">
        <v>0</v>
      </c>
      <c r="AV262" s="440">
        <v>0</v>
      </c>
      <c r="AW262" s="440">
        <v>0</v>
      </c>
      <c r="AX262" s="440">
        <v>0</v>
      </c>
      <c r="AY262" s="440">
        <v>0</v>
      </c>
      <c r="AZ262" s="440">
        <v>0</v>
      </c>
      <c r="BA262" s="440">
        <v>0</v>
      </c>
      <c r="BB262" s="440">
        <v>0</v>
      </c>
      <c r="BC262" s="440">
        <v>0</v>
      </c>
      <c r="BD262" s="440">
        <v>0</v>
      </c>
      <c r="BE262" s="440">
        <v>0</v>
      </c>
      <c r="BF262" s="440">
        <v>0</v>
      </c>
      <c r="BG262" s="440">
        <v>0</v>
      </c>
      <c r="BH262" s="440">
        <v>0</v>
      </c>
      <c r="BI262" s="440">
        <v>0</v>
      </c>
      <c r="BJ262" s="440">
        <v>0</v>
      </c>
      <c r="BK262" s="440">
        <v>0</v>
      </c>
      <c r="BL262" s="440">
        <v>0</v>
      </c>
      <c r="BM262" s="440">
        <v>0</v>
      </c>
      <c r="BN262" s="440">
        <v>0</v>
      </c>
      <c r="BO262" s="440">
        <v>0</v>
      </c>
      <c r="BP262" s="440">
        <v>0</v>
      </c>
      <c r="BQ262" s="440">
        <v>0</v>
      </c>
      <c r="BR262" s="415">
        <f t="shared" si="87"/>
        <v>0.66666666666666663</v>
      </c>
      <c r="BS262" s="415">
        <f t="shared" si="89"/>
        <v>0.6777777777777777</v>
      </c>
      <c r="BT262" s="935"/>
      <c r="BU262" s="935"/>
      <c r="BV262" s="935"/>
      <c r="BW262" s="935"/>
      <c r="BX262" s="935"/>
      <c r="BY262" s="935"/>
      <c r="BZ262" s="935"/>
      <c r="CA262" s="935"/>
      <c r="CB262" s="935"/>
      <c r="CC262" s="935"/>
      <c r="CD262" s="935"/>
      <c r="CE262" s="935"/>
      <c r="CF262" s="935"/>
      <c r="CG262" s="935"/>
      <c r="CH262" s="935"/>
      <c r="CI262" s="935"/>
      <c r="CJ262" s="935"/>
      <c r="CK262" s="935"/>
      <c r="CL262" s="935"/>
      <c r="CM262" s="935"/>
      <c r="CN262" s="935"/>
      <c r="CO262" s="935"/>
      <c r="CP262" s="935"/>
      <c r="CQ262" s="935"/>
      <c r="CR262" s="935"/>
      <c r="CS262" s="935"/>
      <c r="CT262" s="935"/>
      <c r="CU262" s="935"/>
      <c r="CV262" s="935"/>
    </row>
    <row r="263" spans="1:100">
      <c r="A263" s="375">
        <f t="shared" si="90"/>
        <v>8</v>
      </c>
      <c r="B263" s="505">
        <v>44433</v>
      </c>
      <c r="C263" s="493" t="s">
        <v>1980</v>
      </c>
      <c r="D263" s="376" t="str">
        <f>IFERROR(VLOOKUP(E:E,'Item Data Support Sheet'!A:O,7,0),"")</f>
        <v>HOOD MOLDED</v>
      </c>
      <c r="E263" s="447" t="s">
        <v>1987</v>
      </c>
      <c r="F263" s="500"/>
      <c r="G263" s="376" t="s">
        <v>2220</v>
      </c>
      <c r="H263" s="602" t="str">
        <f>IFERROR(VLOOKUP(E:E,'Item Data Support Sheet'!A:O,2,0),"")</f>
        <v>HOOD S TYPE MOLDED</v>
      </c>
      <c r="I263" s="501" t="s">
        <v>2614</v>
      </c>
      <c r="J263" s="447" t="s">
        <v>2810</v>
      </c>
      <c r="K263" s="438">
        <v>7</v>
      </c>
      <c r="L263" s="499">
        <v>4137</v>
      </c>
      <c r="M263" s="366">
        <f t="shared" si="86"/>
        <v>591</v>
      </c>
      <c r="N263" s="367">
        <f t="shared" si="88"/>
        <v>4148</v>
      </c>
      <c r="O263" s="61">
        <v>4000</v>
      </c>
      <c r="P263" s="368">
        <v>0</v>
      </c>
      <c r="Q263" s="368">
        <v>100</v>
      </c>
      <c r="R263" s="494">
        <v>0</v>
      </c>
      <c r="S263" s="493">
        <v>0</v>
      </c>
      <c r="T263" s="494">
        <v>40</v>
      </c>
      <c r="U263" s="493">
        <v>8</v>
      </c>
      <c r="V263" s="502">
        <v>1</v>
      </c>
      <c r="W263" s="453">
        <f t="shared" si="91"/>
        <v>4000</v>
      </c>
      <c r="X263" s="748">
        <f t="shared" si="92"/>
        <v>0.96688421561518012</v>
      </c>
      <c r="Y263" s="451" t="str">
        <f>IFERROR(VLOOKUP(E:E,'Item Data Support Sheet'!A:J,6,0),0)</f>
        <v>HMC</v>
      </c>
      <c r="Z263" s="428">
        <f>IFERROR(VLOOKUP(E:E,'Item Data Support Sheet'!A:O,4,0),0)</f>
        <v>8.6</v>
      </c>
      <c r="AA263" s="428">
        <f t="shared" si="93"/>
        <v>35.672800000000002</v>
      </c>
      <c r="AB263" s="429">
        <f t="shared" si="94"/>
        <v>0.96432015429122464</v>
      </c>
      <c r="AC263" s="424">
        <f t="shared" si="95"/>
        <v>9.9009900990099011E-3</v>
      </c>
      <c r="AD263" s="371">
        <f t="shared" si="96"/>
        <v>2.3540489642184557E-2</v>
      </c>
      <c r="AE263" s="748">
        <f t="shared" si="97"/>
        <v>0.99035679845708779</v>
      </c>
      <c r="AF263" s="417">
        <f t="shared" si="98"/>
        <v>0</v>
      </c>
      <c r="AG263" s="416">
        <f t="shared" si="99"/>
        <v>7</v>
      </c>
      <c r="AH263" s="372">
        <f t="shared" si="100"/>
        <v>1</v>
      </c>
      <c r="AI263" s="373">
        <f t="shared" si="101"/>
        <v>571.42857142857144</v>
      </c>
      <c r="AJ263" s="418">
        <f>VLOOKUP(D263,'Standard Cycle time'!C:D,2,0)</f>
        <v>6</v>
      </c>
      <c r="AK263" s="418">
        <f t="shared" si="102"/>
        <v>6.3</v>
      </c>
      <c r="AL263" s="374">
        <f t="shared" si="103"/>
        <v>0.95238095238095244</v>
      </c>
      <c r="AM263" s="372">
        <f t="shared" si="104"/>
        <v>0.94319695091151223</v>
      </c>
      <c r="AN263" s="799">
        <v>2680</v>
      </c>
      <c r="AO263" s="761"/>
      <c r="AP263" s="440">
        <v>0</v>
      </c>
      <c r="AQ263" s="440">
        <v>0</v>
      </c>
      <c r="AR263" s="440">
        <v>0</v>
      </c>
      <c r="AS263" s="440">
        <v>0</v>
      </c>
      <c r="AT263" s="440">
        <v>0</v>
      </c>
      <c r="AU263" s="440">
        <v>0</v>
      </c>
      <c r="AV263" s="440">
        <v>0</v>
      </c>
      <c r="AW263" s="440">
        <v>0</v>
      </c>
      <c r="AX263" s="440">
        <v>0</v>
      </c>
      <c r="AY263" s="440">
        <v>0</v>
      </c>
      <c r="AZ263" s="440">
        <v>0</v>
      </c>
      <c r="BA263" s="440">
        <v>0</v>
      </c>
      <c r="BB263" s="440">
        <v>0</v>
      </c>
      <c r="BC263" s="440">
        <v>0</v>
      </c>
      <c r="BD263" s="440">
        <v>0</v>
      </c>
      <c r="BE263" s="440">
        <v>0</v>
      </c>
      <c r="BF263" s="440">
        <v>0</v>
      </c>
      <c r="BG263" s="440">
        <v>0</v>
      </c>
      <c r="BH263" s="440">
        <v>0</v>
      </c>
      <c r="BI263" s="440">
        <v>0</v>
      </c>
      <c r="BJ263" s="440">
        <v>0</v>
      </c>
      <c r="BK263" s="440">
        <v>0</v>
      </c>
      <c r="BL263" s="440">
        <v>0</v>
      </c>
      <c r="BM263" s="440">
        <v>0</v>
      </c>
      <c r="BN263" s="440">
        <v>0</v>
      </c>
      <c r="BO263" s="440">
        <v>0</v>
      </c>
      <c r="BP263" s="440">
        <v>0</v>
      </c>
      <c r="BQ263" s="440">
        <v>0</v>
      </c>
      <c r="BR263" s="415">
        <f t="shared" si="87"/>
        <v>0</v>
      </c>
      <c r="BS263" s="415">
        <f t="shared" si="89"/>
        <v>0</v>
      </c>
      <c r="BT263" s="935"/>
      <c r="BU263" s="935"/>
      <c r="BV263" s="935"/>
      <c r="BW263" s="935"/>
      <c r="BX263" s="935"/>
      <c r="BY263" s="935"/>
      <c r="BZ263" s="935"/>
      <c r="CA263" s="935"/>
      <c r="CB263" s="935"/>
      <c r="CC263" s="935"/>
      <c r="CD263" s="935"/>
      <c r="CE263" s="935"/>
      <c r="CF263" s="935"/>
      <c r="CG263" s="935"/>
      <c r="CH263" s="935"/>
      <c r="CI263" s="935"/>
      <c r="CJ263" s="935"/>
      <c r="CK263" s="935"/>
      <c r="CL263" s="935"/>
      <c r="CM263" s="935"/>
      <c r="CN263" s="935"/>
      <c r="CO263" s="935"/>
      <c r="CP263" s="935"/>
      <c r="CQ263" s="935"/>
      <c r="CR263" s="935"/>
      <c r="CS263" s="935"/>
      <c r="CT263" s="935"/>
      <c r="CU263" s="935"/>
      <c r="CV263" s="935"/>
    </row>
    <row r="264" spans="1:100">
      <c r="A264" s="375">
        <f t="shared" si="90"/>
        <v>8</v>
      </c>
      <c r="B264" s="505">
        <v>44433</v>
      </c>
      <c r="C264" s="493" t="s">
        <v>2000</v>
      </c>
      <c r="D264" s="376" t="str">
        <f>IFERROR(VLOOKUP(E:E,'Item Data Support Sheet'!A:O,7,0),"")</f>
        <v>NIPPLE PUNCH INSPECTED</v>
      </c>
      <c r="E264" s="447" t="s">
        <v>2488</v>
      </c>
      <c r="F264" s="500"/>
      <c r="G264" s="376"/>
      <c r="H264" s="602" t="str">
        <f>IFERROR(VLOOKUP(E:E,'Item Data Support Sheet'!A:O,2,0),"")</f>
        <v>NIPPLE S TYPE LL SIZE INSPECTED</v>
      </c>
      <c r="I264" s="501" t="s">
        <v>2623</v>
      </c>
      <c r="J264" s="447" t="s">
        <v>2812</v>
      </c>
      <c r="K264" s="438">
        <v>8.5</v>
      </c>
      <c r="L264" s="499">
        <v>14072</v>
      </c>
      <c r="M264" s="366">
        <f t="shared" si="86"/>
        <v>1655.5294117647059</v>
      </c>
      <c r="N264" s="367">
        <f t="shared" si="88"/>
        <v>12900</v>
      </c>
      <c r="O264" s="61">
        <v>12752</v>
      </c>
      <c r="P264" s="368">
        <v>0</v>
      </c>
      <c r="Q264" s="368">
        <v>0</v>
      </c>
      <c r="R264" s="494">
        <v>0</v>
      </c>
      <c r="S264" s="493">
        <v>0</v>
      </c>
      <c r="T264" s="494">
        <v>148</v>
      </c>
      <c r="U264" s="493">
        <v>0</v>
      </c>
      <c r="V264" s="502">
        <v>2</v>
      </c>
      <c r="W264" s="453">
        <f t="shared" si="91"/>
        <v>6376</v>
      </c>
      <c r="X264" s="748">
        <f t="shared" si="92"/>
        <v>0.90619670267197272</v>
      </c>
      <c r="Y264" s="451" t="str">
        <f>IFERROR(VLOOKUP(E:E,'Item Data Support Sheet'!A:J,6,0),0)</f>
        <v>FO152</v>
      </c>
      <c r="Z264" s="428">
        <f>IFERROR(VLOOKUP(E:E,'Item Data Support Sheet'!A:O,4,0),0)</f>
        <v>0</v>
      </c>
      <c r="AA264" s="428">
        <f t="shared" si="93"/>
        <v>0</v>
      </c>
      <c r="AB264" s="429" t="str">
        <f t="shared" si="94"/>
        <v xml:space="preserve"> </v>
      </c>
      <c r="AC264" s="424">
        <f t="shared" si="95"/>
        <v>1.1472868217054264E-2</v>
      </c>
      <c r="AD264" s="371">
        <f t="shared" si="96"/>
        <v>0</v>
      </c>
      <c r="AE264" s="748">
        <f t="shared" si="97"/>
        <v>0.98852713178294571</v>
      </c>
      <c r="AF264" s="417">
        <f t="shared" si="98"/>
        <v>0.83333333333333337</v>
      </c>
      <c r="AG264" s="416">
        <f t="shared" si="99"/>
        <v>7.666666666666667</v>
      </c>
      <c r="AH264" s="372">
        <f t="shared" si="100"/>
        <v>0.90196078431372551</v>
      </c>
      <c r="AI264" s="373">
        <f t="shared" si="101"/>
        <v>1500.2352941176471</v>
      </c>
      <c r="AJ264" s="418">
        <f>VLOOKUP(D264,'Standard Cycle time'!C:D,2,0)</f>
        <v>4</v>
      </c>
      <c r="AK264" s="418">
        <f t="shared" si="102"/>
        <v>4.3287327478042661</v>
      </c>
      <c r="AL264" s="374">
        <f t="shared" si="103"/>
        <v>0.92405797101449272</v>
      </c>
      <c r="AM264" s="372">
        <f t="shared" si="104"/>
        <v>0.82390182905203424</v>
      </c>
      <c r="AN264" s="799" t="s">
        <v>2625</v>
      </c>
      <c r="AO264" s="929"/>
      <c r="AP264" s="440">
        <v>50</v>
      </c>
      <c r="AQ264" s="440">
        <v>0</v>
      </c>
      <c r="AR264" s="440">
        <v>0</v>
      </c>
      <c r="AS264" s="440">
        <v>0</v>
      </c>
      <c r="AT264" s="440">
        <v>0</v>
      </c>
      <c r="AU264" s="440">
        <v>0</v>
      </c>
      <c r="AV264" s="440">
        <v>0</v>
      </c>
      <c r="AW264" s="440">
        <v>0</v>
      </c>
      <c r="AX264" s="440">
        <v>0</v>
      </c>
      <c r="AY264" s="440">
        <v>0</v>
      </c>
      <c r="AZ264" s="440">
        <v>0</v>
      </c>
      <c r="BA264" s="440">
        <v>0</v>
      </c>
      <c r="BB264" s="440">
        <v>0</v>
      </c>
      <c r="BC264" s="440">
        <v>0</v>
      </c>
      <c r="BD264" s="440">
        <v>0</v>
      </c>
      <c r="BE264" s="440">
        <v>0</v>
      </c>
      <c r="BF264" s="440">
        <v>0</v>
      </c>
      <c r="BG264" s="440">
        <v>0</v>
      </c>
      <c r="BH264" s="440">
        <v>0</v>
      </c>
      <c r="BI264" s="440">
        <v>0</v>
      </c>
      <c r="BJ264" s="440">
        <v>0</v>
      </c>
      <c r="BK264" s="440">
        <v>0</v>
      </c>
      <c r="BL264" s="440">
        <v>0</v>
      </c>
      <c r="BM264" s="440">
        <v>0</v>
      </c>
      <c r="BN264" s="440">
        <v>0</v>
      </c>
      <c r="BO264" s="440">
        <v>0</v>
      </c>
      <c r="BP264" s="440">
        <v>0</v>
      </c>
      <c r="BQ264" s="440">
        <v>0</v>
      </c>
      <c r="BR264" s="415">
        <f t="shared" si="87"/>
        <v>0.83333333333333337</v>
      </c>
      <c r="BS264" s="415">
        <f t="shared" si="89"/>
        <v>0.84722222222222221</v>
      </c>
      <c r="BT264" s="935"/>
      <c r="BU264" s="935"/>
      <c r="BV264" s="935"/>
      <c r="BW264" s="935"/>
      <c r="BX264" s="935"/>
      <c r="BY264" s="935"/>
      <c r="BZ264" s="935"/>
      <c r="CA264" s="935"/>
      <c r="CB264" s="935"/>
      <c r="CC264" s="935"/>
      <c r="CD264" s="935"/>
      <c r="CE264" s="935"/>
      <c r="CF264" s="935"/>
      <c r="CG264" s="935"/>
      <c r="CH264" s="935"/>
      <c r="CI264" s="935"/>
      <c r="CJ264" s="935"/>
      <c r="CK264" s="935"/>
      <c r="CL264" s="935"/>
      <c r="CM264" s="935"/>
      <c r="CN264" s="935"/>
      <c r="CO264" s="935"/>
      <c r="CP264" s="935"/>
      <c r="CQ264" s="935"/>
      <c r="CR264" s="935"/>
      <c r="CS264" s="935"/>
      <c r="CT264" s="935"/>
      <c r="CU264" s="935"/>
      <c r="CV264" s="935"/>
    </row>
    <row r="265" spans="1:100">
      <c r="A265" s="375">
        <f t="shared" si="90"/>
        <v>8</v>
      </c>
      <c r="B265" s="505">
        <v>44433</v>
      </c>
      <c r="C265" s="493" t="s">
        <v>2000</v>
      </c>
      <c r="D265" s="376" t="str">
        <f>IFERROR(VLOOKUP(E:E,'Item Data Support Sheet'!A:O,7,0),"")</f>
        <v>NIPPLE WRAP PRINTED</v>
      </c>
      <c r="E265" s="447" t="s">
        <v>108</v>
      </c>
      <c r="F265" s="500"/>
      <c r="G265" s="376"/>
      <c r="H265" s="602" t="str">
        <f>IFERROR(VLOOKUP(E:E,'Item Data Support Sheet'!A:O,2,0),"")</f>
        <v>NIPPLE S TYPE S SIZE WITH PRINTED WRAP</v>
      </c>
      <c r="I265" s="501" t="s">
        <v>2624</v>
      </c>
      <c r="J265" s="447" t="s">
        <v>2812</v>
      </c>
      <c r="K265" s="438">
        <v>8.5</v>
      </c>
      <c r="L265" s="499">
        <v>16132</v>
      </c>
      <c r="M265" s="366">
        <f t="shared" si="86"/>
        <v>1897.8823529411766</v>
      </c>
      <c r="N265" s="367">
        <f t="shared" si="88"/>
        <v>17547</v>
      </c>
      <c r="O265" s="61">
        <v>17545</v>
      </c>
      <c r="P265" s="368">
        <v>0</v>
      </c>
      <c r="Q265" s="368">
        <v>0</v>
      </c>
      <c r="R265" s="494">
        <v>0</v>
      </c>
      <c r="S265" s="493">
        <v>0</v>
      </c>
      <c r="T265" s="494">
        <v>2</v>
      </c>
      <c r="U265" s="493">
        <v>0</v>
      </c>
      <c r="V265" s="502">
        <v>1</v>
      </c>
      <c r="W265" s="453">
        <f t="shared" si="91"/>
        <v>17545</v>
      </c>
      <c r="X265" s="748">
        <f t="shared" si="92"/>
        <v>1.087589883461443</v>
      </c>
      <c r="Y265" s="451" t="str">
        <f>IFERROR(VLOOKUP(E:E,'Item Data Support Sheet'!A:J,6,0),0)</f>
        <v>FO108</v>
      </c>
      <c r="Z265" s="428">
        <f>IFERROR(VLOOKUP(E:E,'Item Data Support Sheet'!A:O,4,0),0)</f>
        <v>0</v>
      </c>
      <c r="AA265" s="428">
        <f t="shared" si="93"/>
        <v>0</v>
      </c>
      <c r="AB265" s="429" t="str">
        <f t="shared" si="94"/>
        <v xml:space="preserve"> </v>
      </c>
      <c r="AC265" s="424">
        <f t="shared" si="95"/>
        <v>1.1397959765202029E-4</v>
      </c>
      <c r="AD265" s="371">
        <f t="shared" si="96"/>
        <v>0</v>
      </c>
      <c r="AE265" s="748">
        <f t="shared" si="97"/>
        <v>0.99988602040234797</v>
      </c>
      <c r="AF265" s="417">
        <f t="shared" si="98"/>
        <v>0</v>
      </c>
      <c r="AG265" s="416">
        <f t="shared" si="99"/>
        <v>8.5</v>
      </c>
      <c r="AH265" s="372">
        <f t="shared" si="100"/>
        <v>1</v>
      </c>
      <c r="AI265" s="373">
        <f t="shared" si="101"/>
        <v>2064.1176470588234</v>
      </c>
      <c r="AJ265" s="418">
        <f>VLOOKUP(D265,'Standard Cycle time'!C:D,2,0)</f>
        <v>2.5</v>
      </c>
      <c r="AK265" s="418">
        <f t="shared" si="102"/>
        <v>1.744086634368766</v>
      </c>
      <c r="AL265" s="374">
        <f t="shared" si="103"/>
        <v>1.4334150326797386</v>
      </c>
      <c r="AM265" s="372">
        <f t="shared" si="104"/>
        <v>1.4332516526110455</v>
      </c>
      <c r="AN265" s="799" t="s">
        <v>2626</v>
      </c>
      <c r="AO265" s="761"/>
      <c r="AP265" s="440"/>
      <c r="AQ265" s="440">
        <v>0</v>
      </c>
      <c r="AR265" s="440">
        <v>0</v>
      </c>
      <c r="AS265" s="440">
        <v>0</v>
      </c>
      <c r="AT265" s="440">
        <v>0</v>
      </c>
      <c r="AU265" s="440">
        <v>0</v>
      </c>
      <c r="AV265" s="440">
        <v>0</v>
      </c>
      <c r="AW265" s="440">
        <v>0</v>
      </c>
      <c r="AX265" s="440">
        <v>0</v>
      </c>
      <c r="AY265" s="440">
        <v>0</v>
      </c>
      <c r="AZ265" s="440">
        <v>0</v>
      </c>
      <c r="BA265" s="440">
        <v>0</v>
      </c>
      <c r="BB265" s="440">
        <v>0</v>
      </c>
      <c r="BC265" s="440">
        <v>0</v>
      </c>
      <c r="BD265" s="440">
        <v>0</v>
      </c>
      <c r="BE265" s="440">
        <v>0</v>
      </c>
      <c r="BF265" s="440">
        <v>0</v>
      </c>
      <c r="BG265" s="440">
        <v>0</v>
      </c>
      <c r="BH265" s="440">
        <v>0</v>
      </c>
      <c r="BI265" s="440">
        <v>0</v>
      </c>
      <c r="BJ265" s="440">
        <v>0</v>
      </c>
      <c r="BK265" s="440">
        <v>0</v>
      </c>
      <c r="BL265" s="440">
        <v>0</v>
      </c>
      <c r="BM265" s="440">
        <v>0</v>
      </c>
      <c r="BN265" s="440">
        <v>0</v>
      </c>
      <c r="BO265" s="440">
        <v>0</v>
      </c>
      <c r="BP265" s="440">
        <v>0</v>
      </c>
      <c r="BQ265" s="440">
        <v>0</v>
      </c>
      <c r="BR265" s="415">
        <f t="shared" si="87"/>
        <v>0</v>
      </c>
      <c r="BS265" s="415">
        <f t="shared" si="89"/>
        <v>0</v>
      </c>
      <c r="BT265" s="935"/>
      <c r="BU265" s="935"/>
      <c r="BV265" s="935"/>
      <c r="BW265" s="935"/>
      <c r="BX265" s="935"/>
      <c r="BY265" s="935"/>
      <c r="BZ265" s="935"/>
      <c r="CA265" s="935"/>
      <c r="CB265" s="935"/>
      <c r="CC265" s="935"/>
      <c r="CD265" s="935"/>
      <c r="CE265" s="935"/>
      <c r="CF265" s="935"/>
      <c r="CG265" s="935"/>
      <c r="CH265" s="935"/>
      <c r="CI265" s="935"/>
      <c r="CJ265" s="935"/>
      <c r="CK265" s="935"/>
      <c r="CL265" s="935"/>
      <c r="CM265" s="935"/>
      <c r="CN265" s="935"/>
      <c r="CO265" s="935"/>
      <c r="CP265" s="935"/>
      <c r="CQ265" s="935"/>
      <c r="CR265" s="935"/>
      <c r="CS265" s="935"/>
      <c r="CT265" s="935"/>
      <c r="CU265" s="935"/>
      <c r="CV265" s="935"/>
    </row>
    <row r="266" spans="1:100" s="441" customFormat="1">
      <c r="A266" s="375">
        <f t="shared" si="90"/>
        <v>8</v>
      </c>
      <c r="B266" s="505">
        <v>44433</v>
      </c>
      <c r="C266" s="493" t="s">
        <v>2000</v>
      </c>
      <c r="D266" s="376" t="str">
        <f>IFERROR(VLOOKUP(E:E,'Item Data Support Sheet'!A:O,7,0),"")</f>
        <v>BOTTLE PRINTED</v>
      </c>
      <c r="E266" s="447" t="s">
        <v>359</v>
      </c>
      <c r="F266" s="500"/>
      <c r="G266" s="376" t="s">
        <v>1698</v>
      </c>
      <c r="H266" s="602" t="str">
        <f>IFERROR(VLOOKUP(E:E,'Item Data Support Sheet'!A:O,2,0),"")</f>
        <v>RPP 240ML FLORAL PNK BOTLE PNTD WM3GB W/BIS LOGO</v>
      </c>
      <c r="I266" s="501" t="s">
        <v>2627</v>
      </c>
      <c r="J266" s="447" t="s">
        <v>2813</v>
      </c>
      <c r="K266" s="438">
        <v>2</v>
      </c>
      <c r="L266" s="499">
        <v>400</v>
      </c>
      <c r="M266" s="366">
        <f t="shared" si="86"/>
        <v>200</v>
      </c>
      <c r="N266" s="367">
        <f t="shared" si="88"/>
        <v>393</v>
      </c>
      <c r="O266" s="61">
        <v>385</v>
      </c>
      <c r="P266" s="368">
        <v>0</v>
      </c>
      <c r="Q266" s="368">
        <v>0</v>
      </c>
      <c r="R266" s="494">
        <v>5</v>
      </c>
      <c r="S266" s="493">
        <v>0</v>
      </c>
      <c r="T266" s="494">
        <v>8</v>
      </c>
      <c r="U266" s="493">
        <v>0</v>
      </c>
      <c r="V266" s="502">
        <v>6</v>
      </c>
      <c r="W266" s="453">
        <f t="shared" si="91"/>
        <v>64.166666666666671</v>
      </c>
      <c r="X266" s="748">
        <f t="shared" si="92"/>
        <v>0.96250000000000002</v>
      </c>
      <c r="Y266" s="451" t="str">
        <f>IFERROR(VLOOKUP(E:E,'Item Data Support Sheet'!A:J,6,0),0)</f>
        <v>FO053</v>
      </c>
      <c r="Z266" s="428">
        <f>IFERROR(VLOOKUP(E:E,'Item Data Support Sheet'!A:O,4,0),0)</f>
        <v>0</v>
      </c>
      <c r="AA266" s="428">
        <f t="shared" si="93"/>
        <v>0</v>
      </c>
      <c r="AB266" s="429" t="str">
        <f t="shared" si="94"/>
        <v xml:space="preserve"> </v>
      </c>
      <c r="AC266" s="424">
        <f t="shared" si="95"/>
        <v>2.0356234096692113E-2</v>
      </c>
      <c r="AD266" s="371">
        <f t="shared" si="96"/>
        <v>0</v>
      </c>
      <c r="AE266" s="748">
        <f t="shared" si="97"/>
        <v>0.97964376590330793</v>
      </c>
      <c r="AF266" s="417">
        <f t="shared" si="98"/>
        <v>1.3333333333333333</v>
      </c>
      <c r="AG266" s="416">
        <f t="shared" si="99"/>
        <v>0.66666666666666674</v>
      </c>
      <c r="AH266" s="372">
        <f t="shared" si="100"/>
        <v>0.33333333333333337</v>
      </c>
      <c r="AI266" s="373">
        <f t="shared" si="101"/>
        <v>192.5</v>
      </c>
      <c r="AJ266" s="418">
        <f>VLOOKUP(D266,'Standard Cycle time'!C:D,2,0)</f>
        <v>32.4</v>
      </c>
      <c r="AK266" s="418">
        <f t="shared" si="102"/>
        <v>37.402597402597401</v>
      </c>
      <c r="AL266" s="374">
        <f t="shared" si="103"/>
        <v>0.86624999999999996</v>
      </c>
      <c r="AM266" s="372">
        <f t="shared" si="104"/>
        <v>0.28287213740458023</v>
      </c>
      <c r="AN266" s="799" t="s">
        <v>2670</v>
      </c>
      <c r="AO266" s="929" t="s">
        <v>2629</v>
      </c>
      <c r="AP266" s="440">
        <v>30</v>
      </c>
      <c r="AQ266" s="440">
        <v>50</v>
      </c>
      <c r="AR266" s="440"/>
      <c r="AS266" s="440"/>
      <c r="AT266" s="440"/>
      <c r="AU266" s="440"/>
      <c r="AV266" s="440"/>
      <c r="AW266" s="440"/>
      <c r="AX266" s="440"/>
      <c r="AY266" s="440"/>
      <c r="AZ266" s="440"/>
      <c r="BA266" s="440"/>
      <c r="BB266" s="440"/>
      <c r="BC266" s="440"/>
      <c r="BD266" s="440"/>
      <c r="BE266" s="440"/>
      <c r="BF266" s="440"/>
      <c r="BG266" s="440"/>
      <c r="BH266" s="440"/>
      <c r="BI266" s="440"/>
      <c r="BJ266" s="440"/>
      <c r="BK266" s="440"/>
      <c r="BL266" s="440"/>
      <c r="BM266" s="440"/>
      <c r="BN266" s="440"/>
      <c r="BO266" s="440"/>
      <c r="BP266" s="440"/>
      <c r="BQ266" s="440"/>
      <c r="BR266" s="415">
        <f t="shared" si="87"/>
        <v>1.3333333333333333</v>
      </c>
      <c r="BS266" s="415">
        <f t="shared" si="89"/>
        <v>1.3555555555555554</v>
      </c>
      <c r="BT266" s="935"/>
      <c r="BU266" s="935"/>
      <c r="BV266" s="935"/>
      <c r="BW266" s="935"/>
      <c r="BX266" s="935"/>
      <c r="BY266" s="935"/>
      <c r="BZ266" s="935"/>
      <c r="CA266" s="935"/>
      <c r="CB266" s="935"/>
      <c r="CC266" s="935"/>
      <c r="CD266" s="935"/>
      <c r="CE266" s="935"/>
      <c r="CF266" s="935"/>
      <c r="CG266" s="935"/>
      <c r="CH266" s="935"/>
      <c r="CI266" s="935"/>
      <c r="CJ266" s="935"/>
      <c r="CK266" s="935"/>
      <c r="CL266" s="935"/>
      <c r="CM266" s="935"/>
      <c r="CN266" s="935"/>
      <c r="CO266" s="935"/>
      <c r="CP266" s="935"/>
      <c r="CQ266" s="935"/>
      <c r="CR266" s="935"/>
      <c r="CS266" s="935"/>
      <c r="CT266" s="935"/>
      <c r="CU266" s="935"/>
      <c r="CV266" s="935"/>
    </row>
    <row r="267" spans="1:100" s="441" customFormat="1">
      <c r="A267" s="375">
        <f t="shared" si="90"/>
        <v>8</v>
      </c>
      <c r="B267" s="505">
        <v>44433</v>
      </c>
      <c r="C267" s="493" t="s">
        <v>2000</v>
      </c>
      <c r="D267" s="376" t="str">
        <f>IFERROR(VLOOKUP(E:E,'Item Data Support Sheet'!A:O,7,0),"")</f>
        <v>BOTTLE PRINTED</v>
      </c>
      <c r="E267" s="447" t="s">
        <v>358</v>
      </c>
      <c r="F267" s="500"/>
      <c r="G267" s="376" t="s">
        <v>1698</v>
      </c>
      <c r="H267" s="602" t="str">
        <f>IFERROR(VLOOKUP(E:E,'Item Data Support Sheet'!A:O,2,0),"")</f>
        <v>RPP 120ML FLORAL PNK BOTLE PNTD WM3GB W/BIS LOGO</v>
      </c>
      <c r="I267" s="501" t="s">
        <v>2628</v>
      </c>
      <c r="J267" s="447" t="s">
        <v>2813</v>
      </c>
      <c r="K267" s="438">
        <v>4</v>
      </c>
      <c r="L267" s="499">
        <v>1600</v>
      </c>
      <c r="M267" s="366">
        <f t="shared" si="86"/>
        <v>400</v>
      </c>
      <c r="N267" s="367">
        <f t="shared" si="88"/>
        <v>1624</v>
      </c>
      <c r="O267" s="61">
        <v>1609</v>
      </c>
      <c r="P267" s="368">
        <v>0</v>
      </c>
      <c r="Q267" s="368">
        <v>0</v>
      </c>
      <c r="R267" s="494">
        <v>13</v>
      </c>
      <c r="S267" s="493">
        <v>0</v>
      </c>
      <c r="T267" s="494">
        <v>15</v>
      </c>
      <c r="U267" s="493">
        <v>0</v>
      </c>
      <c r="V267" s="502">
        <v>6</v>
      </c>
      <c r="W267" s="453">
        <f t="shared" si="91"/>
        <v>268.16666666666669</v>
      </c>
      <c r="X267" s="748">
        <f t="shared" si="92"/>
        <v>1.005625</v>
      </c>
      <c r="Y267" s="451" t="str">
        <f>IFERROR(VLOOKUP(E:E,'Item Data Support Sheet'!A:J,6,0),0)</f>
        <v>FO052</v>
      </c>
      <c r="Z267" s="428">
        <f>IFERROR(VLOOKUP(E:E,'Item Data Support Sheet'!A:O,4,0),0)</f>
        <v>0</v>
      </c>
      <c r="AA267" s="428">
        <f t="shared" si="93"/>
        <v>0</v>
      </c>
      <c r="AB267" s="429" t="str">
        <f t="shared" si="94"/>
        <v xml:space="preserve"> </v>
      </c>
      <c r="AC267" s="424">
        <f t="shared" si="95"/>
        <v>9.2364532019704442E-3</v>
      </c>
      <c r="AD267" s="371">
        <f t="shared" si="96"/>
        <v>0</v>
      </c>
      <c r="AE267" s="748">
        <f t="shared" si="97"/>
        <v>0.99076354679802958</v>
      </c>
      <c r="AF267" s="417">
        <f t="shared" si="98"/>
        <v>0.83333333333333337</v>
      </c>
      <c r="AG267" s="416">
        <f t="shared" si="99"/>
        <v>3.1666666666666665</v>
      </c>
      <c r="AH267" s="372">
        <f t="shared" si="100"/>
        <v>0.79166666666666663</v>
      </c>
      <c r="AI267" s="373">
        <f t="shared" si="101"/>
        <v>402.25</v>
      </c>
      <c r="AJ267" s="418">
        <f>VLOOKUP(D267,'Standard Cycle time'!C:D,2,0)</f>
        <v>32.4</v>
      </c>
      <c r="AK267" s="418">
        <f t="shared" si="102"/>
        <v>42.510876320696084</v>
      </c>
      <c r="AL267" s="374">
        <f t="shared" si="103"/>
        <v>0.76215789473684203</v>
      </c>
      <c r="AM267" s="372">
        <f t="shared" si="104"/>
        <v>0.59780195504926104</v>
      </c>
      <c r="AN267" s="799" t="s">
        <v>2671</v>
      </c>
      <c r="AO267" s="929" t="s">
        <v>2630</v>
      </c>
      <c r="AP267" s="440">
        <v>10</v>
      </c>
      <c r="AQ267" s="440">
        <v>40</v>
      </c>
      <c r="AR267" s="440"/>
      <c r="AS267" s="440"/>
      <c r="AT267" s="440"/>
      <c r="AU267" s="440"/>
      <c r="AV267" s="440"/>
      <c r="AW267" s="440"/>
      <c r="AX267" s="440"/>
      <c r="AY267" s="440"/>
      <c r="AZ267" s="440"/>
      <c r="BA267" s="440"/>
      <c r="BB267" s="440"/>
      <c r="BC267" s="440"/>
      <c r="BD267" s="440"/>
      <c r="BE267" s="440"/>
      <c r="BF267" s="440"/>
      <c r="BG267" s="440"/>
      <c r="BH267" s="440"/>
      <c r="BI267" s="440"/>
      <c r="BJ267" s="440"/>
      <c r="BK267" s="440"/>
      <c r="BL267" s="440"/>
      <c r="BM267" s="440"/>
      <c r="BN267" s="440"/>
      <c r="BO267" s="440"/>
      <c r="BP267" s="440"/>
      <c r="BQ267" s="440"/>
      <c r="BR267" s="415">
        <f t="shared" si="87"/>
        <v>0.83333333333333337</v>
      </c>
      <c r="BS267" s="415">
        <f t="shared" si="89"/>
        <v>0.84722222222222221</v>
      </c>
      <c r="BT267" s="935"/>
      <c r="BU267" s="935"/>
      <c r="BV267" s="935"/>
      <c r="BW267" s="935"/>
      <c r="BX267" s="935"/>
      <c r="BY267" s="935"/>
      <c r="BZ267" s="935"/>
      <c r="CA267" s="935"/>
      <c r="CB267" s="935"/>
      <c r="CC267" s="935"/>
      <c r="CD267" s="935"/>
      <c r="CE267" s="935"/>
      <c r="CF267" s="935"/>
      <c r="CG267" s="935"/>
      <c r="CH267" s="935"/>
      <c r="CI267" s="935"/>
      <c r="CJ267" s="935"/>
      <c r="CK267" s="935"/>
      <c r="CL267" s="935"/>
      <c r="CM267" s="935"/>
      <c r="CN267" s="935"/>
      <c r="CO267" s="935"/>
      <c r="CP267" s="935"/>
      <c r="CQ267" s="935"/>
      <c r="CR267" s="935"/>
      <c r="CS267" s="935"/>
      <c r="CT267" s="935"/>
      <c r="CU267" s="935"/>
      <c r="CV267" s="935"/>
    </row>
    <row r="268" spans="1:100" s="441" customFormat="1">
      <c r="A268" s="375">
        <f t="shared" si="90"/>
        <v>8</v>
      </c>
      <c r="B268" s="505">
        <v>44433</v>
      </c>
      <c r="C268" s="493" t="s">
        <v>2000</v>
      </c>
      <c r="D268" s="376" t="str">
        <f>IFERROR(VLOOKUP(E:E,'Item Data Support Sheet'!A:O,7,0),"")</f>
        <v>BOTTLE PRINTED</v>
      </c>
      <c r="E268" s="447" t="s">
        <v>356</v>
      </c>
      <c r="F268" s="500"/>
      <c r="G268" s="376" t="s">
        <v>1698</v>
      </c>
      <c r="H268" s="602" t="str">
        <f>IFERROR(VLOOKUP(E:E,'Item Data Support Sheet'!A:O,2,0),"")</f>
        <v>RPP 120ML ABSTRCT PNK BOTLE PNTD WM3GB W/BIS LOGO</v>
      </c>
      <c r="I268" s="501" t="s">
        <v>2628</v>
      </c>
      <c r="J268" s="447" t="s">
        <v>2813</v>
      </c>
      <c r="K268" s="438">
        <v>2</v>
      </c>
      <c r="L268" s="499">
        <v>800</v>
      </c>
      <c r="M268" s="366">
        <f t="shared" si="86"/>
        <v>400</v>
      </c>
      <c r="N268" s="367">
        <f t="shared" si="88"/>
        <v>652</v>
      </c>
      <c r="O268" s="61">
        <v>642</v>
      </c>
      <c r="P268" s="368">
        <v>0</v>
      </c>
      <c r="Q268" s="368">
        <v>0</v>
      </c>
      <c r="R268" s="494">
        <v>8</v>
      </c>
      <c r="S268" s="493">
        <v>0</v>
      </c>
      <c r="T268" s="494">
        <v>10</v>
      </c>
      <c r="U268" s="493">
        <v>0</v>
      </c>
      <c r="V268" s="502">
        <v>6</v>
      </c>
      <c r="W268" s="453">
        <f t="shared" si="91"/>
        <v>107</v>
      </c>
      <c r="X268" s="748">
        <f t="shared" si="92"/>
        <v>0.80249999999999999</v>
      </c>
      <c r="Y268" s="451" t="str">
        <f>IFERROR(VLOOKUP(E:E,'Item Data Support Sheet'!A:J,6,0),0)</f>
        <v>FO052</v>
      </c>
      <c r="Z268" s="428">
        <f>IFERROR(VLOOKUP(E:E,'Item Data Support Sheet'!A:O,4,0),0)</f>
        <v>0</v>
      </c>
      <c r="AA268" s="428">
        <f t="shared" si="93"/>
        <v>0</v>
      </c>
      <c r="AB268" s="429" t="str">
        <f t="shared" si="94"/>
        <v xml:space="preserve"> </v>
      </c>
      <c r="AC268" s="424">
        <f t="shared" si="95"/>
        <v>1.5337423312883436E-2</v>
      </c>
      <c r="AD268" s="371">
        <f t="shared" si="96"/>
        <v>0</v>
      </c>
      <c r="AE268" s="748">
        <f t="shared" si="97"/>
        <v>0.98466257668711654</v>
      </c>
      <c r="AF268" s="417">
        <f t="shared" si="98"/>
        <v>0.83333333333333337</v>
      </c>
      <c r="AG268" s="416">
        <f t="shared" si="99"/>
        <v>1.1666666666666665</v>
      </c>
      <c r="AH268" s="372">
        <f t="shared" si="100"/>
        <v>0.58333333333333326</v>
      </c>
      <c r="AI268" s="373">
        <f t="shared" si="101"/>
        <v>321</v>
      </c>
      <c r="AJ268" s="418">
        <f>VLOOKUP(D268,'Standard Cycle time'!C:D,2,0)</f>
        <v>32.4</v>
      </c>
      <c r="AK268" s="418">
        <f t="shared" si="102"/>
        <v>39.252336448598122</v>
      </c>
      <c r="AL268" s="374">
        <f t="shared" si="103"/>
        <v>0.82542857142857162</v>
      </c>
      <c r="AM268" s="372">
        <f t="shared" si="104"/>
        <v>0.47411503067484667</v>
      </c>
      <c r="AN268" s="799" t="s">
        <v>2673</v>
      </c>
      <c r="AO268" s="929" t="s">
        <v>2631</v>
      </c>
      <c r="AP268" s="440">
        <v>10</v>
      </c>
      <c r="AQ268" s="440">
        <v>40</v>
      </c>
      <c r="AR268" s="440"/>
      <c r="AS268" s="440"/>
      <c r="AT268" s="440"/>
      <c r="AU268" s="440"/>
      <c r="AV268" s="440"/>
      <c r="AW268" s="440"/>
      <c r="AX268" s="440"/>
      <c r="AY268" s="440"/>
      <c r="AZ268" s="440"/>
      <c r="BA268" s="440"/>
      <c r="BB268" s="440"/>
      <c r="BC268" s="440"/>
      <c r="BD268" s="440"/>
      <c r="BE268" s="440"/>
      <c r="BF268" s="440"/>
      <c r="BG268" s="440"/>
      <c r="BH268" s="440"/>
      <c r="BI268" s="440"/>
      <c r="BJ268" s="440"/>
      <c r="BK268" s="440"/>
      <c r="BL268" s="440"/>
      <c r="BM268" s="440"/>
      <c r="BN268" s="440"/>
      <c r="BO268" s="440"/>
      <c r="BP268" s="440"/>
      <c r="BQ268" s="440"/>
      <c r="BR268" s="415">
        <f t="shared" si="87"/>
        <v>0.83333333333333337</v>
      </c>
      <c r="BS268" s="415">
        <f t="shared" si="89"/>
        <v>0.84722222222222221</v>
      </c>
      <c r="BT268" s="935"/>
      <c r="BU268" s="935"/>
      <c r="BV268" s="935"/>
      <c r="BW268" s="935"/>
      <c r="BX268" s="935"/>
      <c r="BY268" s="935"/>
      <c r="BZ268" s="935"/>
      <c r="CA268" s="935"/>
      <c r="CB268" s="935"/>
      <c r="CC268" s="935"/>
      <c r="CD268" s="935"/>
      <c r="CE268" s="935"/>
      <c r="CF268" s="935"/>
      <c r="CG268" s="935"/>
      <c r="CH268" s="935"/>
      <c r="CI268" s="935"/>
      <c r="CJ268" s="935"/>
      <c r="CK268" s="935"/>
      <c r="CL268" s="935"/>
      <c r="CM268" s="935"/>
      <c r="CN268" s="935"/>
      <c r="CO268" s="935"/>
      <c r="CP268" s="935"/>
      <c r="CQ268" s="935"/>
      <c r="CR268" s="935"/>
      <c r="CS268" s="935"/>
      <c r="CT268" s="935"/>
      <c r="CU268" s="935"/>
      <c r="CV268" s="935"/>
    </row>
    <row r="269" spans="1:100" ht="14.65" customHeight="1">
      <c r="A269" s="375">
        <f t="shared" si="90"/>
        <v>8</v>
      </c>
      <c r="B269" s="505">
        <v>44433</v>
      </c>
      <c r="C269" s="493" t="s">
        <v>2001</v>
      </c>
      <c r="D269" s="376" t="str">
        <f>IFERROR(VLOOKUP(E:E,'Item Data Support Sheet'!A:O,7,0),"")</f>
        <v>NIPPLE LASER MARKING</v>
      </c>
      <c r="E269" s="447" t="s">
        <v>2487</v>
      </c>
      <c r="F269" s="500"/>
      <c r="G269" s="376" t="s">
        <v>1812</v>
      </c>
      <c r="H269" s="602" t="str">
        <f>IFERROR(VLOOKUP(E:E,'Item Data Support Sheet'!A:O,2,0),"")</f>
        <v>NIPPLE S TYPE LL SIZE LASER MARKED</v>
      </c>
      <c r="I269" s="501" t="s">
        <v>2639</v>
      </c>
      <c r="J269" s="447" t="s">
        <v>2808</v>
      </c>
      <c r="K269" s="438">
        <v>8</v>
      </c>
      <c r="L269" s="499">
        <v>7036</v>
      </c>
      <c r="M269" s="366">
        <f t="shared" ref="M269:M332" si="105">IFERROR(L269/K269,0)</f>
        <v>879.5</v>
      </c>
      <c r="N269" s="367">
        <f t="shared" si="88"/>
        <v>6300</v>
      </c>
      <c r="O269" s="61">
        <f>4300+2000</f>
        <v>6300</v>
      </c>
      <c r="P269" s="368">
        <v>0</v>
      </c>
      <c r="Q269" s="368">
        <v>0</v>
      </c>
      <c r="R269" s="494">
        <v>0</v>
      </c>
      <c r="S269" s="493">
        <v>0</v>
      </c>
      <c r="T269" s="494">
        <v>0</v>
      </c>
      <c r="U269" s="493">
        <v>0</v>
      </c>
      <c r="V269" s="502">
        <v>1</v>
      </c>
      <c r="W269" s="453">
        <f t="shared" si="91"/>
        <v>6300</v>
      </c>
      <c r="X269" s="748">
        <f t="shared" si="92"/>
        <v>0.89539511085844226</v>
      </c>
      <c r="Y269" s="451" t="str">
        <f>IFERROR(VLOOKUP(E:E,'Item Data Support Sheet'!A:J,6,0),0)</f>
        <v>FO151</v>
      </c>
      <c r="Z269" s="428">
        <f>IFERROR(VLOOKUP(E:E,'Item Data Support Sheet'!A:O,4,0),0)</f>
        <v>0</v>
      </c>
      <c r="AA269" s="428">
        <f t="shared" si="93"/>
        <v>0</v>
      </c>
      <c r="AB269" s="429" t="str">
        <f t="shared" si="94"/>
        <v xml:space="preserve"> </v>
      </c>
      <c r="AC269" s="424">
        <f t="shared" si="95"/>
        <v>0</v>
      </c>
      <c r="AD269" s="371">
        <f t="shared" si="96"/>
        <v>0</v>
      </c>
      <c r="AE269" s="748">
        <f t="shared" si="97"/>
        <v>1</v>
      </c>
      <c r="AF269" s="417">
        <f t="shared" si="98"/>
        <v>0.66666666666666663</v>
      </c>
      <c r="AG269" s="416">
        <f t="shared" si="99"/>
        <v>7.333333333333333</v>
      </c>
      <c r="AH269" s="372">
        <f t="shared" si="100"/>
        <v>0.91666666666666663</v>
      </c>
      <c r="AI269" s="373">
        <f t="shared" si="101"/>
        <v>787.5</v>
      </c>
      <c r="AJ269" s="418">
        <f>VLOOKUP(D269,'Standard Cycle time'!C:D,2,0)</f>
        <v>3.5</v>
      </c>
      <c r="AK269" s="418">
        <f t="shared" si="102"/>
        <v>4.1904761904761907</v>
      </c>
      <c r="AL269" s="374">
        <f t="shared" si="103"/>
        <v>0.83522727272727271</v>
      </c>
      <c r="AM269" s="372">
        <f t="shared" si="104"/>
        <v>0.765625</v>
      </c>
      <c r="AN269" s="799" t="s">
        <v>2672</v>
      </c>
      <c r="AO269" s="929"/>
      <c r="AP269" s="440">
        <v>40</v>
      </c>
      <c r="AQ269" s="440">
        <v>0</v>
      </c>
      <c r="AR269" s="440">
        <v>0</v>
      </c>
      <c r="AS269" s="440">
        <v>0</v>
      </c>
      <c r="AT269" s="440">
        <v>0</v>
      </c>
      <c r="AU269" s="440">
        <v>0</v>
      </c>
      <c r="AV269" s="440">
        <v>0</v>
      </c>
      <c r="AW269" s="440">
        <v>0</v>
      </c>
      <c r="AX269" s="440">
        <v>0</v>
      </c>
      <c r="AY269" s="440">
        <v>0</v>
      </c>
      <c r="AZ269" s="440">
        <v>0</v>
      </c>
      <c r="BA269" s="440">
        <v>0</v>
      </c>
      <c r="BB269" s="440">
        <v>0</v>
      </c>
      <c r="BC269" s="440">
        <v>0</v>
      </c>
      <c r="BD269" s="440">
        <v>0</v>
      </c>
      <c r="BE269" s="440">
        <v>0</v>
      </c>
      <c r="BF269" s="440">
        <v>0</v>
      </c>
      <c r="BG269" s="440">
        <v>0</v>
      </c>
      <c r="BH269" s="440">
        <v>0</v>
      </c>
      <c r="BI269" s="440">
        <v>0</v>
      </c>
      <c r="BJ269" s="440">
        <v>0</v>
      </c>
      <c r="BK269" s="440">
        <v>0</v>
      </c>
      <c r="BL269" s="440">
        <v>0</v>
      </c>
      <c r="BM269" s="440">
        <v>0</v>
      </c>
      <c r="BN269" s="440">
        <v>0</v>
      </c>
      <c r="BO269" s="440">
        <v>0</v>
      </c>
      <c r="BP269" s="440">
        <v>0</v>
      </c>
      <c r="BQ269" s="440">
        <v>0</v>
      </c>
      <c r="BR269" s="415">
        <f t="shared" si="87"/>
        <v>0.66666666666666663</v>
      </c>
      <c r="BS269" s="415">
        <f t="shared" si="89"/>
        <v>0.6777777777777777</v>
      </c>
      <c r="BT269" s="935"/>
      <c r="BU269" s="935"/>
      <c r="BV269" s="935"/>
      <c r="BW269" s="935"/>
      <c r="BX269" s="935"/>
      <c r="BY269" s="935"/>
      <c r="BZ269" s="935"/>
      <c r="CA269" s="935"/>
      <c r="CB269" s="935"/>
      <c r="CC269" s="935"/>
      <c r="CD269" s="935"/>
      <c r="CE269" s="935"/>
      <c r="CF269" s="935"/>
      <c r="CG269" s="935"/>
      <c r="CH269" s="935"/>
      <c r="CI269" s="935"/>
      <c r="CJ269" s="935"/>
      <c r="CK269" s="935"/>
      <c r="CL269" s="935"/>
      <c r="CM269" s="935"/>
      <c r="CN269" s="935"/>
      <c r="CO269" s="935"/>
      <c r="CP269" s="935"/>
      <c r="CQ269" s="935"/>
      <c r="CR269" s="935"/>
      <c r="CS269" s="935"/>
      <c r="CT269" s="935"/>
      <c r="CU269" s="935"/>
      <c r="CV269" s="935"/>
    </row>
    <row r="270" spans="1:100">
      <c r="A270" s="375">
        <f t="shared" si="90"/>
        <v>8</v>
      </c>
      <c r="B270" s="505">
        <v>44433</v>
      </c>
      <c r="C270" s="493" t="s">
        <v>2001</v>
      </c>
      <c r="D270" s="376" t="str">
        <f>IFERROR(VLOOKUP(E:E,'Item Data Support Sheet'!A:O,7,0),"")</f>
        <v>NIPPLE PUNCH</v>
      </c>
      <c r="E270" s="447" t="s">
        <v>2486</v>
      </c>
      <c r="F270" s="500"/>
      <c r="G270" s="376" t="s">
        <v>1692</v>
      </c>
      <c r="H270" s="602" t="str">
        <f>IFERROR(VLOOKUP(E:E,'Item Data Support Sheet'!A:O,2,0),"")</f>
        <v>NIPPLE S TYPE LL SIZE PUNCHED</v>
      </c>
      <c r="I270" s="501" t="s">
        <v>2637</v>
      </c>
      <c r="J270" s="447" t="s">
        <v>2808</v>
      </c>
      <c r="K270" s="438">
        <v>5.5</v>
      </c>
      <c r="L270" s="499">
        <v>5000</v>
      </c>
      <c r="M270" s="366">
        <f t="shared" si="105"/>
        <v>909.09090909090912</v>
      </c>
      <c r="N270" s="367">
        <f t="shared" si="88"/>
        <v>4250</v>
      </c>
      <c r="O270" s="61">
        <f>2500+1750</f>
        <v>4250</v>
      </c>
      <c r="P270" s="368">
        <v>0</v>
      </c>
      <c r="Q270" s="368">
        <v>0</v>
      </c>
      <c r="R270" s="494">
        <v>0</v>
      </c>
      <c r="S270" s="493">
        <v>0</v>
      </c>
      <c r="T270" s="494">
        <v>0</v>
      </c>
      <c r="U270" s="493">
        <v>0</v>
      </c>
      <c r="V270" s="502">
        <v>1</v>
      </c>
      <c r="W270" s="453">
        <f t="shared" si="91"/>
        <v>4250</v>
      </c>
      <c r="X270" s="748">
        <f t="shared" si="92"/>
        <v>0.85</v>
      </c>
      <c r="Y270" s="451" t="str">
        <f>IFERROR(VLOOKUP(E:E,'Item Data Support Sheet'!A:J,6,0),0)</f>
        <v>FO150</v>
      </c>
      <c r="Z270" s="428">
        <f>IFERROR(VLOOKUP(E:E,'Item Data Support Sheet'!A:O,4,0),0)</f>
        <v>0</v>
      </c>
      <c r="AA270" s="428">
        <f t="shared" si="93"/>
        <v>0</v>
      </c>
      <c r="AB270" s="429" t="str">
        <f t="shared" si="94"/>
        <v xml:space="preserve"> </v>
      </c>
      <c r="AC270" s="424">
        <f t="shared" si="95"/>
        <v>0</v>
      </c>
      <c r="AD270" s="371">
        <f t="shared" si="96"/>
        <v>0</v>
      </c>
      <c r="AE270" s="748">
        <f t="shared" si="97"/>
        <v>1</v>
      </c>
      <c r="AF270" s="417">
        <f t="shared" si="98"/>
        <v>0.91666666666666663</v>
      </c>
      <c r="AG270" s="416">
        <f t="shared" si="99"/>
        <v>4.583333333333333</v>
      </c>
      <c r="AH270" s="372">
        <f t="shared" si="100"/>
        <v>0.83333333333333326</v>
      </c>
      <c r="AI270" s="373">
        <f t="shared" si="101"/>
        <v>772.72727272727275</v>
      </c>
      <c r="AJ270" s="418">
        <f>VLOOKUP(D270,'Standard Cycle time'!C:D,2,0)</f>
        <v>3.5</v>
      </c>
      <c r="AK270" s="418">
        <f t="shared" si="102"/>
        <v>3.8823529411764706</v>
      </c>
      <c r="AL270" s="374">
        <f t="shared" si="103"/>
        <v>0.90151515151515149</v>
      </c>
      <c r="AM270" s="372">
        <f t="shared" si="104"/>
        <v>0.75126262626262619</v>
      </c>
      <c r="AN270" s="799" t="s">
        <v>2638</v>
      </c>
      <c r="AO270" s="929"/>
      <c r="AP270" s="440">
        <v>40</v>
      </c>
      <c r="AQ270" s="440">
        <v>15</v>
      </c>
      <c r="AR270" s="440">
        <v>0</v>
      </c>
      <c r="AS270" s="440">
        <v>0</v>
      </c>
      <c r="AT270" s="440">
        <v>0</v>
      </c>
      <c r="AU270" s="440">
        <v>0</v>
      </c>
      <c r="AV270" s="440">
        <v>0</v>
      </c>
      <c r="AW270" s="440">
        <v>0</v>
      </c>
      <c r="AX270" s="440">
        <v>0</v>
      </c>
      <c r="AY270" s="440">
        <v>0</v>
      </c>
      <c r="AZ270" s="440">
        <v>0</v>
      </c>
      <c r="BA270" s="440">
        <v>0</v>
      </c>
      <c r="BB270" s="440">
        <v>0</v>
      </c>
      <c r="BC270" s="440">
        <v>0</v>
      </c>
      <c r="BD270" s="440">
        <v>0</v>
      </c>
      <c r="BE270" s="440">
        <v>0</v>
      </c>
      <c r="BF270" s="440">
        <v>0</v>
      </c>
      <c r="BG270" s="440">
        <v>0</v>
      </c>
      <c r="BH270" s="440">
        <v>0</v>
      </c>
      <c r="BI270" s="440">
        <v>0</v>
      </c>
      <c r="BJ270" s="440">
        <v>0</v>
      </c>
      <c r="BK270" s="440">
        <v>0</v>
      </c>
      <c r="BL270" s="440">
        <v>0</v>
      </c>
      <c r="BM270" s="440">
        <v>0</v>
      </c>
      <c r="BN270" s="440">
        <v>0</v>
      </c>
      <c r="BO270" s="440">
        <v>0</v>
      </c>
      <c r="BP270" s="440">
        <v>0</v>
      </c>
      <c r="BQ270" s="440">
        <v>0</v>
      </c>
      <c r="BR270" s="415">
        <f t="shared" si="87"/>
        <v>0.91666666666666663</v>
      </c>
      <c r="BS270" s="415">
        <f t="shared" si="89"/>
        <v>0.93194444444444435</v>
      </c>
      <c r="BT270" s="935"/>
      <c r="BU270" s="935"/>
      <c r="BV270" s="935"/>
      <c r="BW270" s="935"/>
      <c r="BX270" s="935"/>
      <c r="BY270" s="935"/>
      <c r="BZ270" s="935"/>
      <c r="CA270" s="935"/>
      <c r="CB270" s="935"/>
      <c r="CC270" s="935"/>
      <c r="CD270" s="935"/>
      <c r="CE270" s="935"/>
      <c r="CF270" s="935"/>
      <c r="CG270" s="935"/>
      <c r="CH270" s="935"/>
      <c r="CI270" s="935"/>
      <c r="CJ270" s="935"/>
      <c r="CK270" s="935"/>
      <c r="CL270" s="935"/>
      <c r="CM270" s="935"/>
      <c r="CN270" s="935"/>
      <c r="CO270" s="935"/>
      <c r="CP270" s="935"/>
      <c r="CQ270" s="935"/>
      <c r="CR270" s="935"/>
      <c r="CS270" s="935"/>
      <c r="CT270" s="935"/>
      <c r="CU270" s="935"/>
      <c r="CV270" s="935"/>
    </row>
    <row r="271" spans="1:100" ht="16.149999999999999" customHeight="1">
      <c r="A271" s="375">
        <f t="shared" si="90"/>
        <v>8</v>
      </c>
      <c r="B271" s="505">
        <v>44433</v>
      </c>
      <c r="C271" s="493" t="s">
        <v>2001</v>
      </c>
      <c r="D271" s="376" t="str">
        <f>IFERROR(VLOOKUP(E:E,'Item Data Support Sheet'!A:O,7,0),"")</f>
        <v>NIPPLE MOLDED</v>
      </c>
      <c r="E271" s="447" t="s">
        <v>74</v>
      </c>
      <c r="F271" s="500" t="s">
        <v>1678</v>
      </c>
      <c r="G271" s="376" t="s">
        <v>1691</v>
      </c>
      <c r="H271" s="602" t="str">
        <f>IFERROR(VLOOKUP(E:E,'Item Data Support Sheet'!A:O,2,0),"")</f>
        <v>NIPPLE S TYPE L SIZE INJECTION</v>
      </c>
      <c r="I271" s="501" t="s">
        <v>2632</v>
      </c>
      <c r="J271" s="447" t="s">
        <v>2808</v>
      </c>
      <c r="K271" s="438">
        <v>8</v>
      </c>
      <c r="L271" s="499">
        <v>4815</v>
      </c>
      <c r="M271" s="366">
        <f t="shared" si="105"/>
        <v>601.875</v>
      </c>
      <c r="N271" s="367">
        <f t="shared" si="88"/>
        <v>6048</v>
      </c>
      <c r="O271" s="61">
        <v>5700</v>
      </c>
      <c r="P271" s="368">
        <v>1.2</v>
      </c>
      <c r="Q271" s="368">
        <v>230</v>
      </c>
      <c r="R271" s="494">
        <v>0</v>
      </c>
      <c r="S271" s="493">
        <v>0</v>
      </c>
      <c r="T271" s="494">
        <v>110</v>
      </c>
      <c r="U271" s="493">
        <v>8</v>
      </c>
      <c r="V271" s="502">
        <v>1</v>
      </c>
      <c r="W271" s="453">
        <f t="shared" si="91"/>
        <v>5700</v>
      </c>
      <c r="X271" s="748">
        <f t="shared" si="92"/>
        <v>1.1838006230529594</v>
      </c>
      <c r="Y271" s="451" t="str">
        <f>IFERROR(VLOOKUP(E:E,'Item Data Support Sheet'!A:J,6,0),0)</f>
        <v>Silicon</v>
      </c>
      <c r="Z271" s="428">
        <f>IFERROR(VLOOKUP(E:E,'Item Data Support Sheet'!A:O,4,0),0)</f>
        <v>6.8</v>
      </c>
      <c r="AA271" s="428">
        <f t="shared" si="93"/>
        <v>42.3264</v>
      </c>
      <c r="AB271" s="429">
        <f t="shared" si="94"/>
        <v>0.91574053073259243</v>
      </c>
      <c r="AC271" s="424">
        <f t="shared" si="95"/>
        <v>1.8932874354561102E-2</v>
      </c>
      <c r="AD271" s="371">
        <f t="shared" si="96"/>
        <v>3.6635871296591273E-2</v>
      </c>
      <c r="AE271" s="748">
        <f t="shared" si="97"/>
        <v>0.9818121693121693</v>
      </c>
      <c r="AF271" s="417">
        <f t="shared" si="98"/>
        <v>0</v>
      </c>
      <c r="AG271" s="416">
        <f t="shared" si="99"/>
        <v>8</v>
      </c>
      <c r="AH271" s="372">
        <f t="shared" si="100"/>
        <v>1</v>
      </c>
      <c r="AI271" s="373">
        <f t="shared" si="101"/>
        <v>712.5</v>
      </c>
      <c r="AJ271" s="418">
        <f>VLOOKUP(D271,'Standard Cycle time'!C:D,2,0)</f>
        <v>5.25</v>
      </c>
      <c r="AK271" s="418">
        <f t="shared" si="102"/>
        <v>5.0526315789473681</v>
      </c>
      <c r="AL271" s="374">
        <f t="shared" si="103"/>
        <v>1.0390625</v>
      </c>
      <c r="AM271" s="372">
        <f t="shared" si="104"/>
        <v>1.0201642071759258</v>
      </c>
      <c r="AN271" s="799">
        <v>2709</v>
      </c>
      <c r="AO271" s="929" t="s">
        <v>2641</v>
      </c>
      <c r="AP271" s="440">
        <v>0</v>
      </c>
      <c r="AQ271" s="440"/>
      <c r="AR271" s="440">
        <v>0</v>
      </c>
      <c r="AS271" s="440">
        <v>0</v>
      </c>
      <c r="AT271" s="440">
        <v>0</v>
      </c>
      <c r="AU271" s="440">
        <v>0</v>
      </c>
      <c r="AV271" s="440">
        <v>0</v>
      </c>
      <c r="AW271" s="440"/>
      <c r="AX271" s="440">
        <v>0</v>
      </c>
      <c r="AY271" s="440">
        <v>0</v>
      </c>
      <c r="AZ271" s="440">
        <v>0</v>
      </c>
      <c r="BA271" s="440">
        <v>0</v>
      </c>
      <c r="BB271" s="440"/>
      <c r="BC271" s="440">
        <v>0</v>
      </c>
      <c r="BD271" s="440">
        <v>0</v>
      </c>
      <c r="BE271" s="440">
        <v>0</v>
      </c>
      <c r="BF271" s="440">
        <v>0</v>
      </c>
      <c r="BG271" s="440">
        <v>0</v>
      </c>
      <c r="BH271" s="440">
        <v>0</v>
      </c>
      <c r="BI271" s="440">
        <v>0</v>
      </c>
      <c r="BJ271" s="440">
        <v>0</v>
      </c>
      <c r="BK271" s="440">
        <v>0</v>
      </c>
      <c r="BL271" s="440">
        <v>0</v>
      </c>
      <c r="BM271" s="440">
        <v>0</v>
      </c>
      <c r="BN271" s="440">
        <v>0</v>
      </c>
      <c r="BO271" s="440">
        <v>0</v>
      </c>
      <c r="BP271" s="440">
        <v>0</v>
      </c>
      <c r="BQ271" s="440">
        <v>0</v>
      </c>
      <c r="BR271" s="415">
        <f t="shared" si="87"/>
        <v>0</v>
      </c>
      <c r="BS271" s="415">
        <f t="shared" si="89"/>
        <v>0</v>
      </c>
      <c r="BT271" s="935"/>
      <c r="BU271" s="935"/>
      <c r="BV271" s="935"/>
      <c r="BW271" s="935"/>
      <c r="BX271" s="935"/>
      <c r="BY271" s="935"/>
      <c r="BZ271" s="935"/>
      <c r="CA271" s="935"/>
      <c r="CB271" s="935"/>
      <c r="CC271" s="935"/>
      <c r="CD271" s="935"/>
      <c r="CE271" s="935"/>
      <c r="CF271" s="935"/>
      <c r="CG271" s="935"/>
      <c r="CH271" s="935"/>
      <c r="CI271" s="935"/>
      <c r="CJ271" s="935"/>
      <c r="CK271" s="935"/>
      <c r="CL271" s="935"/>
      <c r="CM271" s="935"/>
      <c r="CN271" s="935"/>
      <c r="CO271" s="935"/>
      <c r="CP271" s="935"/>
      <c r="CQ271" s="935"/>
      <c r="CR271" s="935"/>
      <c r="CS271" s="935"/>
      <c r="CT271" s="935"/>
      <c r="CU271" s="935"/>
      <c r="CV271" s="935"/>
    </row>
    <row r="272" spans="1:100">
      <c r="A272" s="375">
        <f t="shared" si="90"/>
        <v>8</v>
      </c>
      <c r="B272" s="505">
        <v>44433</v>
      </c>
      <c r="C272" s="493" t="s">
        <v>2001</v>
      </c>
      <c r="D272" s="376" t="str">
        <f>IFERROR(VLOOKUP(E:E,'Item Data Support Sheet'!A:O,7,0),"")</f>
        <v>NIPPLE POSTCURE</v>
      </c>
      <c r="E272" s="447" t="s">
        <v>78</v>
      </c>
      <c r="F272" s="500"/>
      <c r="G272" s="376" t="s">
        <v>1705</v>
      </c>
      <c r="H272" s="602" t="str">
        <f>IFERROR(VLOOKUP(E:E,'Item Data Support Sheet'!A:O,2,0),"")</f>
        <v>NIPPLE S TYPE L SIZE POSTCURED</v>
      </c>
      <c r="I272" s="501" t="s">
        <v>2633</v>
      </c>
      <c r="J272" s="447" t="s">
        <v>2808</v>
      </c>
      <c r="K272" s="438">
        <v>5</v>
      </c>
      <c r="L272" s="499">
        <v>7036</v>
      </c>
      <c r="M272" s="366">
        <f t="shared" si="105"/>
        <v>1407.2</v>
      </c>
      <c r="N272" s="367">
        <f t="shared" si="88"/>
        <v>5000</v>
      </c>
      <c r="O272" s="61">
        <v>5000</v>
      </c>
      <c r="P272" s="368">
        <v>0</v>
      </c>
      <c r="Q272" s="368">
        <v>0</v>
      </c>
      <c r="R272" s="494">
        <v>0</v>
      </c>
      <c r="S272" s="493">
        <v>0</v>
      </c>
      <c r="T272" s="494">
        <v>0</v>
      </c>
      <c r="U272" s="493">
        <v>0</v>
      </c>
      <c r="V272" s="502">
        <v>1</v>
      </c>
      <c r="W272" s="453">
        <f t="shared" si="91"/>
        <v>5000</v>
      </c>
      <c r="X272" s="748">
        <f t="shared" si="92"/>
        <v>0.71063104036384306</v>
      </c>
      <c r="Y272" s="451" t="str">
        <f>IFERROR(VLOOKUP(E:E,'Item Data Support Sheet'!A:J,6,0),0)</f>
        <v>FO013</v>
      </c>
      <c r="Z272" s="428">
        <f>IFERROR(VLOOKUP(E:E,'Item Data Support Sheet'!A:O,4,0),0)</f>
        <v>0</v>
      </c>
      <c r="AA272" s="428">
        <f t="shared" si="93"/>
        <v>0</v>
      </c>
      <c r="AB272" s="429" t="str">
        <f t="shared" si="94"/>
        <v xml:space="preserve"> </v>
      </c>
      <c r="AC272" s="424">
        <f t="shared" si="95"/>
        <v>0</v>
      </c>
      <c r="AD272" s="371">
        <f t="shared" si="96"/>
        <v>0</v>
      </c>
      <c r="AE272" s="748">
        <f t="shared" si="97"/>
        <v>1</v>
      </c>
      <c r="AF272" s="417">
        <f t="shared" si="98"/>
        <v>0.66666666666666663</v>
      </c>
      <c r="AG272" s="416">
        <f t="shared" si="99"/>
        <v>4.333333333333333</v>
      </c>
      <c r="AH272" s="372">
        <f t="shared" si="100"/>
        <v>0.86666666666666659</v>
      </c>
      <c r="AI272" s="373">
        <f t="shared" si="101"/>
        <v>1000</v>
      </c>
      <c r="AJ272" s="418">
        <f>VLOOKUP(D272,'Standard Cycle time'!C:D,2,0)</f>
        <v>2.2999999999999998</v>
      </c>
      <c r="AK272" s="418">
        <f t="shared" si="102"/>
        <v>3.1199999999999997</v>
      </c>
      <c r="AL272" s="374">
        <f t="shared" si="103"/>
        <v>0.73717948717948723</v>
      </c>
      <c r="AM272" s="372">
        <f t="shared" si="104"/>
        <v>0.63888888888888884</v>
      </c>
      <c r="AN272" s="799">
        <v>2711</v>
      </c>
      <c r="AO272" s="761"/>
      <c r="AP272" s="440">
        <v>40</v>
      </c>
      <c r="AQ272" s="440">
        <v>0</v>
      </c>
      <c r="AR272" s="440">
        <v>0</v>
      </c>
      <c r="AS272" s="440">
        <v>0</v>
      </c>
      <c r="AT272" s="440">
        <v>0</v>
      </c>
      <c r="AU272" s="440">
        <v>0</v>
      </c>
      <c r="AV272" s="440">
        <v>0</v>
      </c>
      <c r="AW272" s="440">
        <v>0</v>
      </c>
      <c r="AX272" s="440">
        <v>0</v>
      </c>
      <c r="AY272" s="440">
        <v>0</v>
      </c>
      <c r="AZ272" s="440">
        <v>0</v>
      </c>
      <c r="BA272" s="440">
        <v>0</v>
      </c>
      <c r="BB272" s="440">
        <v>0</v>
      </c>
      <c r="BC272" s="440">
        <v>0</v>
      </c>
      <c r="BD272" s="440">
        <v>0</v>
      </c>
      <c r="BE272" s="440">
        <v>0</v>
      </c>
      <c r="BF272" s="440">
        <v>0</v>
      </c>
      <c r="BG272" s="440">
        <v>0</v>
      </c>
      <c r="BH272" s="440">
        <v>0</v>
      </c>
      <c r="BI272" s="440">
        <v>0</v>
      </c>
      <c r="BJ272" s="440">
        <v>0</v>
      </c>
      <c r="BK272" s="440">
        <v>0</v>
      </c>
      <c r="BL272" s="440">
        <v>0</v>
      </c>
      <c r="BM272" s="440">
        <v>0</v>
      </c>
      <c r="BN272" s="440">
        <v>0</v>
      </c>
      <c r="BO272" s="440">
        <v>0</v>
      </c>
      <c r="BP272" s="440">
        <v>0</v>
      </c>
      <c r="BQ272" s="440">
        <v>0</v>
      </c>
      <c r="BR272" s="415">
        <f t="shared" si="87"/>
        <v>0.66666666666666663</v>
      </c>
      <c r="BS272" s="415">
        <f t="shared" si="89"/>
        <v>0.6777777777777777</v>
      </c>
      <c r="BT272" s="935"/>
      <c r="BU272" s="935"/>
      <c r="BV272" s="935"/>
      <c r="BW272" s="935"/>
      <c r="BX272" s="935"/>
      <c r="BY272" s="935"/>
      <c r="BZ272" s="935"/>
      <c r="CA272" s="935"/>
      <c r="CB272" s="935"/>
      <c r="CC272" s="935"/>
      <c r="CD272" s="935"/>
      <c r="CE272" s="935"/>
      <c r="CF272" s="935"/>
      <c r="CG272" s="935"/>
      <c r="CH272" s="935"/>
      <c r="CI272" s="935"/>
      <c r="CJ272" s="935"/>
      <c r="CK272" s="935"/>
      <c r="CL272" s="935"/>
      <c r="CM272" s="935"/>
      <c r="CN272" s="935"/>
      <c r="CO272" s="935"/>
      <c r="CP272" s="935"/>
      <c r="CQ272" s="935"/>
      <c r="CR272" s="935"/>
      <c r="CS272" s="935"/>
      <c r="CT272" s="935"/>
      <c r="CU272" s="935"/>
      <c r="CV272" s="935"/>
    </row>
    <row r="273" spans="1:100">
      <c r="A273" s="375">
        <f t="shared" si="90"/>
        <v>8</v>
      </c>
      <c r="B273" s="505">
        <v>44433</v>
      </c>
      <c r="C273" s="493" t="s">
        <v>2001</v>
      </c>
      <c r="D273" s="376" t="str">
        <f>IFERROR(VLOOKUP(E:E,'Item Data Support Sheet'!A:O,7,0),"")</f>
        <v>NIPPLE PUNCH</v>
      </c>
      <c r="E273" s="447" t="s">
        <v>82</v>
      </c>
      <c r="F273" s="500"/>
      <c r="G273" s="376" t="s">
        <v>1692</v>
      </c>
      <c r="H273" s="602" t="str">
        <f>IFERROR(VLOOKUP(E:E,'Item Data Support Sheet'!A:O,2,0),"")</f>
        <v>NIPPLE S TYPE L SIZE PUNCHED</v>
      </c>
      <c r="I273" s="501" t="s">
        <v>2634</v>
      </c>
      <c r="J273" s="447" t="s">
        <v>2808</v>
      </c>
      <c r="K273" s="438">
        <v>2.5</v>
      </c>
      <c r="L273" s="499">
        <v>2036</v>
      </c>
      <c r="M273" s="366">
        <f t="shared" si="105"/>
        <v>814.4</v>
      </c>
      <c r="N273" s="367">
        <f t="shared" si="88"/>
        <v>2000</v>
      </c>
      <c r="O273" s="61">
        <v>2000</v>
      </c>
      <c r="P273" s="368">
        <v>0</v>
      </c>
      <c r="Q273" s="368">
        <v>0</v>
      </c>
      <c r="R273" s="494">
        <v>0</v>
      </c>
      <c r="S273" s="493">
        <v>0</v>
      </c>
      <c r="T273" s="494">
        <v>0</v>
      </c>
      <c r="U273" s="493">
        <v>0</v>
      </c>
      <c r="V273" s="502">
        <v>1</v>
      </c>
      <c r="W273" s="453">
        <f t="shared" si="91"/>
        <v>2000</v>
      </c>
      <c r="X273" s="748">
        <f t="shared" si="92"/>
        <v>0.98231827111984282</v>
      </c>
      <c r="Y273" s="451" t="str">
        <f>IFERROR(VLOOKUP(E:E,'Item Data Support Sheet'!A:J,6,0),0)</f>
        <v>FO017</v>
      </c>
      <c r="Z273" s="428">
        <f>IFERROR(VLOOKUP(E:E,'Item Data Support Sheet'!A:O,4,0),0)</f>
        <v>0</v>
      </c>
      <c r="AA273" s="428">
        <f t="shared" si="93"/>
        <v>0</v>
      </c>
      <c r="AB273" s="429" t="str">
        <f t="shared" si="94"/>
        <v xml:space="preserve"> </v>
      </c>
      <c r="AC273" s="424">
        <f t="shared" si="95"/>
        <v>0</v>
      </c>
      <c r="AD273" s="371">
        <f t="shared" si="96"/>
        <v>0</v>
      </c>
      <c r="AE273" s="748">
        <f t="shared" si="97"/>
        <v>1</v>
      </c>
      <c r="AF273" s="417">
        <f t="shared" si="98"/>
        <v>0.33333333333333331</v>
      </c>
      <c r="AG273" s="416">
        <f t="shared" si="99"/>
        <v>2.1666666666666665</v>
      </c>
      <c r="AH273" s="372">
        <f t="shared" si="100"/>
        <v>0.86666666666666659</v>
      </c>
      <c r="AI273" s="373">
        <f t="shared" si="101"/>
        <v>800</v>
      </c>
      <c r="AJ273" s="418">
        <f>VLOOKUP(D273,'Standard Cycle time'!C:D,2,0)</f>
        <v>3.5</v>
      </c>
      <c r="AK273" s="418">
        <f t="shared" si="102"/>
        <v>3.8999999999999995</v>
      </c>
      <c r="AL273" s="374">
        <f t="shared" si="103"/>
        <v>0.89743589743589758</v>
      </c>
      <c r="AM273" s="372">
        <f t="shared" si="104"/>
        <v>0.77777777777777779</v>
      </c>
      <c r="AN273" s="799">
        <v>2713</v>
      </c>
      <c r="AO273" s="929" t="s">
        <v>2640</v>
      </c>
      <c r="AP273" s="440">
        <v>0</v>
      </c>
      <c r="AQ273" s="440">
        <v>0</v>
      </c>
      <c r="AR273" s="440">
        <v>0</v>
      </c>
      <c r="AS273" s="440">
        <v>0</v>
      </c>
      <c r="AT273" s="440">
        <v>0</v>
      </c>
      <c r="AU273" s="440">
        <v>0</v>
      </c>
      <c r="AV273" s="440">
        <v>0</v>
      </c>
      <c r="AW273" s="440">
        <v>0</v>
      </c>
      <c r="AX273" s="440">
        <v>0</v>
      </c>
      <c r="AY273" s="440">
        <v>0</v>
      </c>
      <c r="AZ273" s="440">
        <v>0</v>
      </c>
      <c r="BA273" s="440">
        <v>0</v>
      </c>
      <c r="BB273" s="440">
        <v>0</v>
      </c>
      <c r="BC273" s="440">
        <v>0</v>
      </c>
      <c r="BD273" s="440">
        <v>0</v>
      </c>
      <c r="BE273" s="440">
        <v>0</v>
      </c>
      <c r="BF273" s="440">
        <v>0</v>
      </c>
      <c r="BG273" s="440">
        <v>0</v>
      </c>
      <c r="BH273" s="440">
        <v>0</v>
      </c>
      <c r="BI273" s="440">
        <v>0</v>
      </c>
      <c r="BJ273" s="440">
        <v>0</v>
      </c>
      <c r="BK273" s="440">
        <v>0</v>
      </c>
      <c r="BL273" s="440">
        <v>0</v>
      </c>
      <c r="BM273" s="440">
        <v>0</v>
      </c>
      <c r="BN273" s="440">
        <v>0</v>
      </c>
      <c r="BO273" s="440">
        <v>0</v>
      </c>
      <c r="BP273" s="440">
        <v>0</v>
      </c>
      <c r="BQ273" s="440">
        <v>20</v>
      </c>
      <c r="BR273" s="415">
        <f t="shared" si="87"/>
        <v>0.33333333333333331</v>
      </c>
      <c r="BS273" s="415">
        <f t="shared" si="89"/>
        <v>0.33888888888888885</v>
      </c>
      <c r="BT273" s="935"/>
      <c r="BU273" s="935"/>
      <c r="BV273" s="935"/>
      <c r="BW273" s="935"/>
      <c r="BX273" s="935"/>
      <c r="BY273" s="935"/>
      <c r="BZ273" s="935"/>
      <c r="CA273" s="935"/>
      <c r="CB273" s="935"/>
      <c r="CC273" s="935"/>
      <c r="CD273" s="935"/>
      <c r="CE273" s="935"/>
      <c r="CF273" s="935"/>
      <c r="CG273" s="935"/>
      <c r="CH273" s="935"/>
      <c r="CI273" s="935"/>
      <c r="CJ273" s="935"/>
      <c r="CK273" s="935"/>
      <c r="CL273" s="935"/>
      <c r="CM273" s="935"/>
      <c r="CN273" s="935"/>
      <c r="CO273" s="935"/>
      <c r="CP273" s="935"/>
      <c r="CQ273" s="935"/>
      <c r="CR273" s="935"/>
      <c r="CS273" s="935"/>
      <c r="CT273" s="935"/>
      <c r="CU273" s="935"/>
      <c r="CV273" s="935"/>
    </row>
    <row r="274" spans="1:100" ht="29">
      <c r="A274" s="375">
        <f t="shared" si="90"/>
        <v>8</v>
      </c>
      <c r="B274" s="505">
        <v>44433</v>
      </c>
      <c r="C274" s="493" t="s">
        <v>2001</v>
      </c>
      <c r="D274" s="376" t="str">
        <f>IFERROR(VLOOKUP(E:E,'Item Data Support Sheet'!A:O,7,0),"")</f>
        <v>BOTTLE MOLDED</v>
      </c>
      <c r="E274" s="447" t="s">
        <v>65</v>
      </c>
      <c r="F274" s="500" t="s">
        <v>1682</v>
      </c>
      <c r="G274" s="376" t="s">
        <v>1665</v>
      </c>
      <c r="H274" s="602" t="str">
        <f>IFERROR(VLOOKUP(E:E,'Item Data Support Sheet'!A:O,2,0),"")</f>
        <v>KPP 120 ML BOTTLE MOLDED</v>
      </c>
      <c r="I274" s="501" t="s">
        <v>2635</v>
      </c>
      <c r="J274" s="447" t="s">
        <v>2808</v>
      </c>
      <c r="K274" s="438">
        <v>10.5</v>
      </c>
      <c r="L274" s="499">
        <v>2574</v>
      </c>
      <c r="M274" s="366">
        <f t="shared" si="105"/>
        <v>245.14285714285714</v>
      </c>
      <c r="N274" s="367">
        <f t="shared" si="88"/>
        <v>4718</v>
      </c>
      <c r="O274" s="61">
        <f>25*180</f>
        <v>4500</v>
      </c>
      <c r="P274" s="368">
        <v>1.5</v>
      </c>
      <c r="Q274" s="368">
        <v>118</v>
      </c>
      <c r="R274" s="494">
        <v>0</v>
      </c>
      <c r="S274" s="493">
        <v>0</v>
      </c>
      <c r="T274" s="494">
        <v>92</v>
      </c>
      <c r="U274" s="493">
        <v>8</v>
      </c>
      <c r="V274" s="502">
        <v>1</v>
      </c>
      <c r="W274" s="453">
        <f t="shared" si="91"/>
        <v>4500</v>
      </c>
      <c r="X274" s="748">
        <f t="shared" si="92"/>
        <v>1.7482517482517483</v>
      </c>
      <c r="Y274" s="451" t="str">
        <f>IFERROR(VLOOKUP(E:E,'Item Data Support Sheet'!A:J,6,0),0)</f>
        <v>HMC</v>
      </c>
      <c r="Z274" s="428">
        <f>IFERROR(VLOOKUP(E:E,'Item Data Support Sheet'!A:O,4,0),0)</f>
        <v>21.3</v>
      </c>
      <c r="AA274" s="428">
        <f t="shared" si="93"/>
        <v>101.99339999999999</v>
      </c>
      <c r="AB274" s="429">
        <f t="shared" si="94"/>
        <v>0.93976669078587438</v>
      </c>
      <c r="AC274" s="424">
        <f t="shared" si="95"/>
        <v>2.0034843205574911E-2</v>
      </c>
      <c r="AD274" s="371">
        <f t="shared" si="96"/>
        <v>2.4400330851943756E-2</v>
      </c>
      <c r="AE274" s="748">
        <f t="shared" si="97"/>
        <v>0.98050021195421788</v>
      </c>
      <c r="AF274" s="417">
        <f t="shared" si="98"/>
        <v>0</v>
      </c>
      <c r="AG274" s="416">
        <f t="shared" si="99"/>
        <v>10.5</v>
      </c>
      <c r="AH274" s="372">
        <f t="shared" si="100"/>
        <v>1</v>
      </c>
      <c r="AI274" s="373">
        <f t="shared" si="101"/>
        <v>428.57142857142856</v>
      </c>
      <c r="AJ274" s="418">
        <f>VLOOKUP(D274,'Standard Cycle time'!C:D,2,0)</f>
        <v>9</v>
      </c>
      <c r="AK274" s="418">
        <f t="shared" si="102"/>
        <v>8.4</v>
      </c>
      <c r="AL274" s="374">
        <f t="shared" si="103"/>
        <v>1.0714285714285714</v>
      </c>
      <c r="AM274" s="372">
        <f t="shared" si="104"/>
        <v>1.0505359413795192</v>
      </c>
      <c r="AN274" s="799">
        <v>2710</v>
      </c>
      <c r="AO274" s="761" t="s">
        <v>2642</v>
      </c>
      <c r="AP274" s="440">
        <v>0</v>
      </c>
      <c r="AQ274" s="440">
        <v>0</v>
      </c>
      <c r="AR274" s="440">
        <v>0</v>
      </c>
      <c r="AS274" s="440">
        <v>0</v>
      </c>
      <c r="AT274" s="440">
        <v>0</v>
      </c>
      <c r="AU274" s="440">
        <v>0</v>
      </c>
      <c r="AV274" s="440">
        <v>0</v>
      </c>
      <c r="AW274" s="440">
        <v>0</v>
      </c>
      <c r="AX274" s="440">
        <v>0</v>
      </c>
      <c r="AY274" s="440">
        <v>0</v>
      </c>
      <c r="AZ274" s="440">
        <v>0</v>
      </c>
      <c r="BA274" s="440">
        <v>0</v>
      </c>
      <c r="BB274" s="440">
        <v>0</v>
      </c>
      <c r="BC274" s="440">
        <v>0</v>
      </c>
      <c r="BD274" s="440">
        <v>0</v>
      </c>
      <c r="BE274" s="440">
        <v>0</v>
      </c>
      <c r="BF274" s="440">
        <v>0</v>
      </c>
      <c r="BG274" s="440">
        <v>0</v>
      </c>
      <c r="BH274" s="440">
        <v>0</v>
      </c>
      <c r="BI274" s="440">
        <v>0</v>
      </c>
      <c r="BJ274" s="440">
        <v>0</v>
      </c>
      <c r="BK274" s="440">
        <v>0</v>
      </c>
      <c r="BL274" s="440">
        <v>0</v>
      </c>
      <c r="BM274" s="440">
        <v>0</v>
      </c>
      <c r="BN274" s="440">
        <v>0</v>
      </c>
      <c r="BO274" s="440">
        <v>0</v>
      </c>
      <c r="BP274" s="440">
        <v>0</v>
      </c>
      <c r="BQ274" s="440">
        <v>0</v>
      </c>
      <c r="BR274" s="415">
        <f t="shared" si="87"/>
        <v>0</v>
      </c>
      <c r="BS274" s="415">
        <f t="shared" si="89"/>
        <v>0</v>
      </c>
      <c r="BT274" s="935"/>
      <c r="BU274" s="935"/>
      <c r="BV274" s="935"/>
      <c r="BW274" s="935"/>
      <c r="BX274" s="935"/>
      <c r="BY274" s="935"/>
      <c r="BZ274" s="935"/>
      <c r="CA274" s="935"/>
      <c r="CB274" s="935"/>
      <c r="CC274" s="935"/>
      <c r="CD274" s="935"/>
      <c r="CE274" s="935"/>
      <c r="CF274" s="935"/>
      <c r="CG274" s="935"/>
      <c r="CH274" s="935"/>
      <c r="CI274" s="935"/>
      <c r="CJ274" s="935"/>
      <c r="CK274" s="935"/>
      <c r="CL274" s="935"/>
      <c r="CM274" s="935"/>
      <c r="CN274" s="935"/>
      <c r="CO274" s="935"/>
      <c r="CP274" s="935"/>
      <c r="CQ274" s="935"/>
      <c r="CR274" s="935"/>
      <c r="CS274" s="935"/>
      <c r="CT274" s="935"/>
      <c r="CU274" s="935"/>
      <c r="CV274" s="935"/>
    </row>
    <row r="275" spans="1:100" ht="17.149999999999999" customHeight="1">
      <c r="A275" s="375">
        <f t="shared" si="90"/>
        <v>8</v>
      </c>
      <c r="B275" s="505">
        <v>44433</v>
      </c>
      <c r="C275" s="493" t="s">
        <v>2001</v>
      </c>
      <c r="D275" s="376" t="str">
        <f>IFERROR(VLOOKUP(E:E,'Item Data Support Sheet'!A:O,7,0),"")</f>
        <v>HOOD MOLDED</v>
      </c>
      <c r="E275" s="447" t="s">
        <v>1987</v>
      </c>
      <c r="F275" s="500"/>
      <c r="G275" s="376" t="s">
        <v>2220</v>
      </c>
      <c r="H275" s="602" t="str">
        <f>IFERROR(VLOOKUP(E:E,'Item Data Support Sheet'!A:O,2,0),"")</f>
        <v>HOOD S TYPE MOLDED</v>
      </c>
      <c r="I275" s="501" t="s">
        <v>2636</v>
      </c>
      <c r="J275" s="447" t="s">
        <v>2808</v>
      </c>
      <c r="K275" s="438">
        <v>8</v>
      </c>
      <c r="L275" s="499">
        <v>4137</v>
      </c>
      <c r="M275" s="366">
        <f t="shared" si="105"/>
        <v>517.125</v>
      </c>
      <c r="N275" s="367">
        <f t="shared" si="88"/>
        <v>3615</v>
      </c>
      <c r="O275" s="61">
        <v>3408</v>
      </c>
      <c r="P275" s="368">
        <v>0</v>
      </c>
      <c r="Q275" s="368">
        <v>115</v>
      </c>
      <c r="R275" s="494">
        <v>0</v>
      </c>
      <c r="S275" s="493">
        <v>0</v>
      </c>
      <c r="T275" s="494">
        <v>92</v>
      </c>
      <c r="U275" s="493">
        <v>0</v>
      </c>
      <c r="V275" s="502">
        <v>1</v>
      </c>
      <c r="W275" s="453">
        <f t="shared" si="91"/>
        <v>3408</v>
      </c>
      <c r="X275" s="748">
        <f t="shared" si="92"/>
        <v>0.82378535170413347</v>
      </c>
      <c r="Y275" s="451" t="str">
        <f>IFERROR(VLOOKUP(E:E,'Item Data Support Sheet'!A:J,6,0),0)</f>
        <v>HMC</v>
      </c>
      <c r="Z275" s="428">
        <f>IFERROR(VLOOKUP(E:E,'Item Data Support Sheet'!A:O,4,0),0)</f>
        <v>8.6</v>
      </c>
      <c r="AA275" s="428">
        <f t="shared" si="93"/>
        <v>31.088999999999999</v>
      </c>
      <c r="AB275" s="429">
        <f t="shared" si="94"/>
        <v>0.94273858921161835</v>
      </c>
      <c r="AC275" s="424">
        <f t="shared" si="95"/>
        <v>2.6285714285714287E-2</v>
      </c>
      <c r="AD275" s="371">
        <f t="shared" si="96"/>
        <v>3.0831099195710455E-2</v>
      </c>
      <c r="AE275" s="748">
        <f t="shared" si="97"/>
        <v>0.97455048409405254</v>
      </c>
      <c r="AF275" s="417">
        <f t="shared" si="98"/>
        <v>2</v>
      </c>
      <c r="AG275" s="416">
        <f t="shared" si="99"/>
        <v>6</v>
      </c>
      <c r="AH275" s="372">
        <f t="shared" si="100"/>
        <v>0.75</v>
      </c>
      <c r="AI275" s="373">
        <f t="shared" si="101"/>
        <v>426</v>
      </c>
      <c r="AJ275" s="418">
        <f>VLOOKUP(D275,'Standard Cycle time'!C:D,2,0)</f>
        <v>6</v>
      </c>
      <c r="AK275" s="418">
        <f t="shared" si="102"/>
        <v>6.3380281690140849</v>
      </c>
      <c r="AL275" s="374">
        <f t="shared" si="103"/>
        <v>0.94666666666666666</v>
      </c>
      <c r="AM275" s="372">
        <f t="shared" si="104"/>
        <v>0.69193084370677727</v>
      </c>
      <c r="AN275" s="799">
        <v>2712</v>
      </c>
      <c r="AO275" s="827" t="s">
        <v>2560</v>
      </c>
      <c r="AP275" s="440">
        <v>0</v>
      </c>
      <c r="AQ275" s="440">
        <v>0</v>
      </c>
      <c r="AR275" s="440">
        <v>0</v>
      </c>
      <c r="AS275" s="440">
        <v>0</v>
      </c>
      <c r="AT275" s="440">
        <v>0</v>
      </c>
      <c r="AU275" s="440">
        <v>0</v>
      </c>
      <c r="AV275" s="440">
        <v>120</v>
      </c>
      <c r="AW275" s="440">
        <v>0</v>
      </c>
      <c r="AX275" s="440">
        <v>0</v>
      </c>
      <c r="AY275" s="440">
        <v>0</v>
      </c>
      <c r="AZ275" s="440">
        <v>0</v>
      </c>
      <c r="BA275" s="440">
        <v>0</v>
      </c>
      <c r="BB275" s="440">
        <v>0</v>
      </c>
      <c r="BC275" s="440">
        <v>0</v>
      </c>
      <c r="BD275" s="440">
        <v>0</v>
      </c>
      <c r="BE275" s="440">
        <v>0</v>
      </c>
      <c r="BF275" s="440">
        <v>0</v>
      </c>
      <c r="BG275" s="440">
        <v>0</v>
      </c>
      <c r="BH275" s="440">
        <v>0</v>
      </c>
      <c r="BI275" s="440">
        <v>0</v>
      </c>
      <c r="BJ275" s="440">
        <v>0</v>
      </c>
      <c r="BK275" s="440">
        <v>0</v>
      </c>
      <c r="BL275" s="440">
        <v>0</v>
      </c>
      <c r="BM275" s="440">
        <v>0</v>
      </c>
      <c r="BN275" s="440">
        <v>0</v>
      </c>
      <c r="BO275" s="440">
        <v>0</v>
      </c>
      <c r="BP275" s="440">
        <v>0</v>
      </c>
      <c r="BQ275" s="440">
        <v>0</v>
      </c>
      <c r="BR275" s="415">
        <f t="shared" si="87"/>
        <v>2</v>
      </c>
      <c r="BS275" s="415">
        <f t="shared" si="89"/>
        <v>2.0333333333333332</v>
      </c>
      <c r="BT275" s="935"/>
      <c r="BU275" s="935"/>
      <c r="BV275" s="935"/>
      <c r="BW275" s="935"/>
      <c r="BX275" s="935"/>
      <c r="BY275" s="935"/>
      <c r="BZ275" s="935"/>
      <c r="CA275" s="935"/>
      <c r="CB275" s="935"/>
      <c r="CC275" s="935"/>
      <c r="CD275" s="935"/>
      <c r="CE275" s="935"/>
      <c r="CF275" s="935"/>
      <c r="CG275" s="935"/>
      <c r="CH275" s="935"/>
      <c r="CI275" s="935"/>
      <c r="CJ275" s="935"/>
      <c r="CK275" s="935"/>
      <c r="CL275" s="935"/>
      <c r="CM275" s="935"/>
      <c r="CN275" s="935"/>
      <c r="CO275" s="935"/>
      <c r="CP275" s="935"/>
      <c r="CQ275" s="935"/>
      <c r="CR275" s="935"/>
      <c r="CS275" s="935"/>
      <c r="CT275" s="935"/>
      <c r="CU275" s="935"/>
      <c r="CV275" s="935"/>
    </row>
    <row r="276" spans="1:100">
      <c r="A276" s="375">
        <f t="shared" si="90"/>
        <v>8</v>
      </c>
      <c r="B276" s="505">
        <v>44433</v>
      </c>
      <c r="C276" s="493" t="s">
        <v>2053</v>
      </c>
      <c r="D276" s="376" t="str">
        <f>IFERROR(VLOOKUP(E:E,'Item Data Support Sheet'!A:O,7,0),"")</f>
        <v>BOTTLE MOLDED</v>
      </c>
      <c r="E276" s="447" t="s">
        <v>65</v>
      </c>
      <c r="F276" s="500" t="s">
        <v>1682</v>
      </c>
      <c r="G276" s="376" t="s">
        <v>1665</v>
      </c>
      <c r="H276" s="602" t="str">
        <f>IFERROR(VLOOKUP(E:E,'Item Data Support Sheet'!A:O,2,0),"")</f>
        <v>KPP 120 ML BOTTLE MOLDED</v>
      </c>
      <c r="I276" s="501" t="s">
        <v>2643</v>
      </c>
      <c r="J276" s="447" t="s">
        <v>2809</v>
      </c>
      <c r="K276" s="438">
        <v>8</v>
      </c>
      <c r="L276" s="499">
        <v>2574</v>
      </c>
      <c r="M276" s="366">
        <f t="shared" si="105"/>
        <v>321.75</v>
      </c>
      <c r="N276" s="367">
        <f t="shared" si="88"/>
        <v>3382</v>
      </c>
      <c r="O276" s="61">
        <f>180*18</f>
        <v>3240</v>
      </c>
      <c r="P276" s="368">
        <v>0</v>
      </c>
      <c r="Q276" s="368">
        <v>53</v>
      </c>
      <c r="R276" s="494">
        <v>0</v>
      </c>
      <c r="S276" s="493">
        <v>0</v>
      </c>
      <c r="T276" s="494">
        <v>81</v>
      </c>
      <c r="U276" s="493">
        <v>8</v>
      </c>
      <c r="V276" s="502">
        <v>1</v>
      </c>
      <c r="W276" s="453">
        <f t="shared" si="91"/>
        <v>3240</v>
      </c>
      <c r="X276" s="748">
        <f t="shared" si="92"/>
        <v>1.2587412587412588</v>
      </c>
      <c r="Y276" s="451" t="str">
        <f>IFERROR(VLOOKUP(E:E,'Item Data Support Sheet'!A:J,6,0),0)</f>
        <v>HMC</v>
      </c>
      <c r="Z276" s="428">
        <f>IFERROR(VLOOKUP(E:E,'Item Data Support Sheet'!A:O,4,0),0)</f>
        <v>21.3</v>
      </c>
      <c r="AA276" s="428">
        <f t="shared" si="93"/>
        <v>72.036599999999993</v>
      </c>
      <c r="AB276" s="429">
        <f t="shared" si="94"/>
        <v>0.95801301005322304</v>
      </c>
      <c r="AC276" s="424">
        <f t="shared" si="95"/>
        <v>2.4390243902439025E-2</v>
      </c>
      <c r="AD276" s="371">
        <f t="shared" si="96"/>
        <v>1.5429403202328967E-2</v>
      </c>
      <c r="AE276" s="748">
        <f t="shared" si="97"/>
        <v>0.97604967474866944</v>
      </c>
      <c r="AF276" s="417">
        <f t="shared" si="98"/>
        <v>0</v>
      </c>
      <c r="AG276" s="416">
        <f t="shared" si="99"/>
        <v>8</v>
      </c>
      <c r="AH276" s="372">
        <f t="shared" si="100"/>
        <v>1</v>
      </c>
      <c r="AI276" s="373">
        <f t="shared" si="101"/>
        <v>405</v>
      </c>
      <c r="AJ276" s="418">
        <f>VLOOKUP(D276,'Standard Cycle time'!C:D,2,0)</f>
        <v>9</v>
      </c>
      <c r="AK276" s="418">
        <f t="shared" si="102"/>
        <v>8.8888888888888893</v>
      </c>
      <c r="AL276" s="374">
        <f t="shared" si="103"/>
        <v>1.0125</v>
      </c>
      <c r="AM276" s="372">
        <f t="shared" si="104"/>
        <v>0.9882502956830278</v>
      </c>
      <c r="AN276" s="799">
        <v>2714</v>
      </c>
      <c r="AO276" s="761"/>
      <c r="AP276" s="440">
        <v>0</v>
      </c>
      <c r="AQ276" s="440">
        <v>0</v>
      </c>
      <c r="AR276" s="440">
        <v>0</v>
      </c>
      <c r="AS276" s="440">
        <v>0</v>
      </c>
      <c r="AT276" s="440">
        <v>0</v>
      </c>
      <c r="AU276" s="440">
        <v>0</v>
      </c>
      <c r="AV276" s="440">
        <v>0</v>
      </c>
      <c r="AW276" s="440">
        <v>0</v>
      </c>
      <c r="AX276" s="440">
        <v>0</v>
      </c>
      <c r="AY276" s="440">
        <v>0</v>
      </c>
      <c r="AZ276" s="440">
        <v>0</v>
      </c>
      <c r="BA276" s="440">
        <v>0</v>
      </c>
      <c r="BB276" s="440">
        <v>0</v>
      </c>
      <c r="BC276" s="440">
        <v>0</v>
      </c>
      <c r="BD276" s="440">
        <v>0</v>
      </c>
      <c r="BE276" s="440">
        <v>0</v>
      </c>
      <c r="BF276" s="440">
        <v>0</v>
      </c>
      <c r="BG276" s="440">
        <v>0</v>
      </c>
      <c r="BH276" s="440">
        <v>0</v>
      </c>
      <c r="BI276" s="440">
        <v>0</v>
      </c>
      <c r="BJ276" s="440">
        <v>0</v>
      </c>
      <c r="BK276" s="440">
        <v>0</v>
      </c>
      <c r="BL276" s="440">
        <v>0</v>
      </c>
      <c r="BM276" s="440">
        <v>0</v>
      </c>
      <c r="BN276" s="440">
        <v>0</v>
      </c>
      <c r="BO276" s="440">
        <v>0</v>
      </c>
      <c r="BP276" s="440">
        <v>0</v>
      </c>
      <c r="BQ276" s="440">
        <v>0</v>
      </c>
      <c r="BR276" s="415">
        <f t="shared" si="87"/>
        <v>0</v>
      </c>
      <c r="BS276" s="415">
        <f t="shared" si="89"/>
        <v>0</v>
      </c>
      <c r="BT276" s="935"/>
      <c r="BU276" s="935"/>
      <c r="BV276" s="935"/>
      <c r="BW276" s="935"/>
      <c r="BX276" s="935"/>
      <c r="BY276" s="935"/>
      <c r="BZ276" s="935"/>
      <c r="CA276" s="935"/>
      <c r="CB276" s="935"/>
      <c r="CC276" s="935"/>
      <c r="CD276" s="935"/>
      <c r="CE276" s="935"/>
      <c r="CF276" s="935"/>
      <c r="CG276" s="935"/>
      <c r="CH276" s="935"/>
      <c r="CI276" s="935"/>
      <c r="CJ276" s="935"/>
      <c r="CK276" s="935"/>
      <c r="CL276" s="935"/>
      <c r="CM276" s="935"/>
      <c r="CN276" s="935"/>
      <c r="CO276" s="935"/>
      <c r="CP276" s="935"/>
      <c r="CQ276" s="935"/>
      <c r="CR276" s="935"/>
      <c r="CS276" s="935"/>
      <c r="CT276" s="935"/>
      <c r="CU276" s="935"/>
      <c r="CV276" s="935"/>
    </row>
    <row r="277" spans="1:100">
      <c r="A277" s="375">
        <f t="shared" si="90"/>
        <v>8</v>
      </c>
      <c r="B277" s="505">
        <v>44433</v>
      </c>
      <c r="C277" s="493" t="s">
        <v>2053</v>
      </c>
      <c r="D277" s="376" t="str">
        <f>IFERROR(VLOOKUP(E:E,'Item Data Support Sheet'!A:O,7,0),"")</f>
        <v>NIPPLE MOLDED</v>
      </c>
      <c r="E277" s="447" t="s">
        <v>74</v>
      </c>
      <c r="F277" s="500" t="s">
        <v>1678</v>
      </c>
      <c r="G277" s="376" t="s">
        <v>1691</v>
      </c>
      <c r="H277" s="602" t="str">
        <f>IFERROR(VLOOKUP(E:E,'Item Data Support Sheet'!A:O,2,0),"")</f>
        <v>NIPPLE S TYPE L SIZE INJECTION</v>
      </c>
      <c r="I277" s="501" t="s">
        <v>2644</v>
      </c>
      <c r="J277" s="447" t="s">
        <v>2809</v>
      </c>
      <c r="K277" s="438">
        <v>8</v>
      </c>
      <c r="L277" s="499">
        <v>4815</v>
      </c>
      <c r="M277" s="366">
        <f t="shared" si="105"/>
        <v>601.875</v>
      </c>
      <c r="N277" s="367">
        <f t="shared" si="88"/>
        <v>5010</v>
      </c>
      <c r="O277" s="61">
        <v>4888</v>
      </c>
      <c r="P277" s="368">
        <v>0</v>
      </c>
      <c r="Q277" s="368">
        <v>52</v>
      </c>
      <c r="R277" s="494">
        <v>0</v>
      </c>
      <c r="S277" s="493">
        <v>0</v>
      </c>
      <c r="T277" s="494">
        <v>70</v>
      </c>
      <c r="U277" s="493">
        <v>0</v>
      </c>
      <c r="V277" s="502">
        <v>1</v>
      </c>
      <c r="W277" s="453">
        <f t="shared" si="91"/>
        <v>4888</v>
      </c>
      <c r="X277" s="748">
        <f t="shared" si="92"/>
        <v>1.0151609553478713</v>
      </c>
      <c r="Y277" s="451" t="str">
        <f>IFERROR(VLOOKUP(E:E,'Item Data Support Sheet'!A:J,6,0),0)</f>
        <v>Silicon</v>
      </c>
      <c r="Z277" s="428">
        <f>IFERROR(VLOOKUP(E:E,'Item Data Support Sheet'!A:O,4,0),0)</f>
        <v>6.8</v>
      </c>
      <c r="AA277" s="428">
        <f t="shared" si="93"/>
        <v>34.067999999999998</v>
      </c>
      <c r="AB277" s="429">
        <f t="shared" si="94"/>
        <v>0.9756487025948104</v>
      </c>
      <c r="AC277" s="424">
        <f t="shared" si="95"/>
        <v>1.4118596208148447E-2</v>
      </c>
      <c r="AD277" s="371">
        <f t="shared" si="96"/>
        <v>1.0272619517977083E-2</v>
      </c>
      <c r="AE277" s="748">
        <f t="shared" si="97"/>
        <v>0.98602794411177641</v>
      </c>
      <c r="AF277" s="417">
        <f t="shared" si="98"/>
        <v>0</v>
      </c>
      <c r="AG277" s="416">
        <f t="shared" si="99"/>
        <v>8</v>
      </c>
      <c r="AH277" s="372">
        <f t="shared" si="100"/>
        <v>1</v>
      </c>
      <c r="AI277" s="373">
        <f t="shared" si="101"/>
        <v>611</v>
      </c>
      <c r="AJ277" s="418">
        <f>VLOOKUP(D277,'Standard Cycle time'!C:D,2,0)</f>
        <v>5.25</v>
      </c>
      <c r="AK277" s="418">
        <f t="shared" si="102"/>
        <v>5.8919803600654665</v>
      </c>
      <c r="AL277" s="374">
        <f t="shared" si="103"/>
        <v>0.89104166666666662</v>
      </c>
      <c r="AM277" s="372">
        <f t="shared" si="104"/>
        <v>0.87859198270126404</v>
      </c>
      <c r="AN277" s="799" t="s">
        <v>2646</v>
      </c>
      <c r="AO277" s="761"/>
      <c r="AP277" s="440">
        <v>0</v>
      </c>
      <c r="AQ277" s="440">
        <v>0</v>
      </c>
      <c r="AR277" s="440">
        <v>0</v>
      </c>
      <c r="AS277" s="440">
        <v>0</v>
      </c>
      <c r="AT277" s="440">
        <v>0</v>
      </c>
      <c r="AU277" s="440">
        <v>0</v>
      </c>
      <c r="AV277" s="440">
        <v>0</v>
      </c>
      <c r="AW277" s="440">
        <v>0</v>
      </c>
      <c r="AX277" s="440">
        <v>0</v>
      </c>
      <c r="AY277" s="440">
        <v>0</v>
      </c>
      <c r="AZ277" s="440">
        <v>0</v>
      </c>
      <c r="BA277" s="440">
        <v>0</v>
      </c>
      <c r="BB277" s="440">
        <v>0</v>
      </c>
      <c r="BC277" s="440">
        <v>0</v>
      </c>
      <c r="BD277" s="440">
        <v>0</v>
      </c>
      <c r="BE277" s="440">
        <v>0</v>
      </c>
      <c r="BF277" s="440">
        <v>0</v>
      </c>
      <c r="BG277" s="440">
        <v>0</v>
      </c>
      <c r="BH277" s="440">
        <v>0</v>
      </c>
      <c r="BI277" s="440">
        <v>0</v>
      </c>
      <c r="BJ277" s="440">
        <v>0</v>
      </c>
      <c r="BK277" s="440">
        <v>0</v>
      </c>
      <c r="BL277" s="440">
        <v>0</v>
      </c>
      <c r="BM277" s="440">
        <v>0</v>
      </c>
      <c r="BN277" s="440">
        <v>0</v>
      </c>
      <c r="BO277" s="440">
        <v>0</v>
      </c>
      <c r="BP277" s="440">
        <v>0</v>
      </c>
      <c r="BQ277" s="440">
        <v>0</v>
      </c>
      <c r="BR277" s="415">
        <f t="shared" si="87"/>
        <v>0</v>
      </c>
      <c r="BS277" s="415">
        <f t="shared" si="89"/>
        <v>0</v>
      </c>
      <c r="BT277" s="935"/>
      <c r="BU277" s="935"/>
      <c r="BV277" s="935"/>
      <c r="BW277" s="935"/>
      <c r="BX277" s="935"/>
      <c r="BY277" s="935"/>
      <c r="BZ277" s="935"/>
      <c r="CA277" s="935"/>
      <c r="CB277" s="935"/>
      <c r="CC277" s="935"/>
      <c r="CD277" s="935"/>
      <c r="CE277" s="935"/>
      <c r="CF277" s="935"/>
      <c r="CG277" s="935"/>
      <c r="CH277" s="935"/>
      <c r="CI277" s="935"/>
      <c r="CJ277" s="935"/>
      <c r="CK277" s="935"/>
      <c r="CL277" s="935"/>
      <c r="CM277" s="935"/>
      <c r="CN277" s="935"/>
      <c r="CO277" s="935"/>
      <c r="CP277" s="935"/>
      <c r="CQ277" s="935"/>
      <c r="CR277" s="935"/>
      <c r="CS277" s="935"/>
      <c r="CT277" s="935"/>
      <c r="CU277" s="935"/>
      <c r="CV277" s="935"/>
    </row>
    <row r="278" spans="1:100">
      <c r="A278" s="375">
        <f t="shared" si="90"/>
        <v>8</v>
      </c>
      <c r="B278" s="505">
        <v>44433</v>
      </c>
      <c r="C278" s="493" t="s">
        <v>2053</v>
      </c>
      <c r="D278" s="376" t="str">
        <f>IFERROR(VLOOKUP(E:E,'Item Data Support Sheet'!A:O,7,0),"")</f>
        <v>HOOD MOLDED</v>
      </c>
      <c r="E278" s="447" t="s">
        <v>1987</v>
      </c>
      <c r="F278" s="500"/>
      <c r="G278" s="376" t="s">
        <v>2220</v>
      </c>
      <c r="H278" s="602" t="str">
        <f>IFERROR(VLOOKUP(E:E,'Item Data Support Sheet'!A:O,2,0),"")</f>
        <v>HOOD S TYPE MOLDED</v>
      </c>
      <c r="I278" s="501" t="s">
        <v>2645</v>
      </c>
      <c r="J278" s="447" t="s">
        <v>2809</v>
      </c>
      <c r="K278" s="438">
        <v>8</v>
      </c>
      <c r="L278" s="499">
        <v>4137</v>
      </c>
      <c r="M278" s="366">
        <f t="shared" si="105"/>
        <v>517.125</v>
      </c>
      <c r="N278" s="367">
        <f t="shared" si="88"/>
        <v>5510</v>
      </c>
      <c r="O278" s="61">
        <v>5500</v>
      </c>
      <c r="P278" s="368">
        <v>0</v>
      </c>
      <c r="Q278" s="368">
        <v>0</v>
      </c>
      <c r="R278" s="494">
        <v>0</v>
      </c>
      <c r="S278" s="493">
        <v>0</v>
      </c>
      <c r="T278" s="494">
        <v>2</v>
      </c>
      <c r="U278" s="493">
        <v>8</v>
      </c>
      <c r="V278" s="502">
        <v>1</v>
      </c>
      <c r="W278" s="453">
        <f t="shared" si="91"/>
        <v>5500</v>
      </c>
      <c r="X278" s="748">
        <f t="shared" si="92"/>
        <v>1.3294657964708727</v>
      </c>
      <c r="Y278" s="451" t="str">
        <f>IFERROR(VLOOKUP(E:E,'Item Data Support Sheet'!A:J,6,0),0)</f>
        <v>HMC</v>
      </c>
      <c r="Z278" s="428">
        <f>IFERROR(VLOOKUP(E:E,'Item Data Support Sheet'!A:O,4,0),0)</f>
        <v>8.6</v>
      </c>
      <c r="AA278" s="428">
        <f t="shared" si="93"/>
        <v>47.386000000000003</v>
      </c>
      <c r="AB278" s="429">
        <f t="shared" si="94"/>
        <v>0.998185117967332</v>
      </c>
      <c r="AC278" s="424">
        <f t="shared" si="95"/>
        <v>3.6350418029807341E-4</v>
      </c>
      <c r="AD278" s="371">
        <f t="shared" si="96"/>
        <v>0</v>
      </c>
      <c r="AE278" s="748">
        <f t="shared" si="97"/>
        <v>0.9996370235934664</v>
      </c>
      <c r="AF278" s="417">
        <f t="shared" si="98"/>
        <v>0</v>
      </c>
      <c r="AG278" s="416">
        <f t="shared" si="99"/>
        <v>8</v>
      </c>
      <c r="AH278" s="372">
        <f t="shared" si="100"/>
        <v>1</v>
      </c>
      <c r="AI278" s="373">
        <f t="shared" si="101"/>
        <v>687.5</v>
      </c>
      <c r="AJ278" s="418">
        <f>VLOOKUP(D278,'Standard Cycle time'!C:D,2,0)</f>
        <v>6</v>
      </c>
      <c r="AK278" s="418">
        <f t="shared" si="102"/>
        <v>5.2363636363636363</v>
      </c>
      <c r="AL278" s="374">
        <f t="shared" si="103"/>
        <v>1.1458333333333333</v>
      </c>
      <c r="AM278" s="372">
        <f t="shared" si="104"/>
        <v>1.1454174228675136</v>
      </c>
      <c r="AN278" s="799" t="s">
        <v>2647</v>
      </c>
      <c r="AO278" s="761"/>
      <c r="AP278" s="440">
        <v>0</v>
      </c>
      <c r="AQ278" s="440">
        <v>0</v>
      </c>
      <c r="AR278" s="440">
        <v>0</v>
      </c>
      <c r="AS278" s="440">
        <v>0</v>
      </c>
      <c r="AT278" s="440">
        <v>0</v>
      </c>
      <c r="AU278" s="440">
        <v>0</v>
      </c>
      <c r="AV278" s="440">
        <v>0</v>
      </c>
      <c r="AW278" s="440">
        <v>0</v>
      </c>
      <c r="AX278" s="440">
        <v>0</v>
      </c>
      <c r="AY278" s="440">
        <v>0</v>
      </c>
      <c r="AZ278" s="440">
        <v>0</v>
      </c>
      <c r="BA278" s="440">
        <v>0</v>
      </c>
      <c r="BB278" s="440">
        <v>0</v>
      </c>
      <c r="BC278" s="440">
        <v>0</v>
      </c>
      <c r="BD278" s="440">
        <v>0</v>
      </c>
      <c r="BE278" s="440">
        <v>0</v>
      </c>
      <c r="BF278" s="440">
        <v>0</v>
      </c>
      <c r="BG278" s="440">
        <v>0</v>
      </c>
      <c r="BH278" s="440">
        <v>0</v>
      </c>
      <c r="BI278" s="440">
        <v>0</v>
      </c>
      <c r="BJ278" s="440">
        <v>0</v>
      </c>
      <c r="BK278" s="440">
        <v>0</v>
      </c>
      <c r="BL278" s="440">
        <v>0</v>
      </c>
      <c r="BM278" s="440">
        <v>0</v>
      </c>
      <c r="BN278" s="440">
        <v>0</v>
      </c>
      <c r="BO278" s="440">
        <v>0</v>
      </c>
      <c r="BP278" s="440">
        <v>0</v>
      </c>
      <c r="BQ278" s="440">
        <v>0</v>
      </c>
      <c r="BR278" s="415">
        <f t="shared" si="87"/>
        <v>0</v>
      </c>
      <c r="BS278" s="415">
        <f t="shared" si="89"/>
        <v>0</v>
      </c>
      <c r="BT278" s="935"/>
      <c r="BU278" s="935"/>
      <c r="BV278" s="935"/>
      <c r="BW278" s="935"/>
      <c r="BX278" s="935"/>
      <c r="BY278" s="935"/>
      <c r="BZ278" s="935"/>
      <c r="CA278" s="935"/>
      <c r="CB278" s="935"/>
      <c r="CC278" s="935"/>
      <c r="CD278" s="935"/>
      <c r="CE278" s="935"/>
      <c r="CF278" s="935"/>
      <c r="CG278" s="935"/>
      <c r="CH278" s="935"/>
      <c r="CI278" s="935"/>
      <c r="CJ278" s="935"/>
      <c r="CK278" s="935"/>
      <c r="CL278" s="935"/>
      <c r="CM278" s="935"/>
      <c r="CN278" s="935"/>
      <c r="CO278" s="935"/>
      <c r="CP278" s="935"/>
      <c r="CQ278" s="935"/>
      <c r="CR278" s="935"/>
      <c r="CS278" s="935"/>
      <c r="CT278" s="935"/>
      <c r="CU278" s="935"/>
      <c r="CV278" s="935"/>
    </row>
    <row r="279" spans="1:100">
      <c r="A279" s="375">
        <f t="shared" si="90"/>
        <v>8</v>
      </c>
      <c r="B279" s="505">
        <v>44434</v>
      </c>
      <c r="C279" s="493" t="s">
        <v>1980</v>
      </c>
      <c r="D279" s="376" t="str">
        <f>IFERROR(VLOOKUP(E:E,'Item Data Support Sheet'!A:O,7,0),"")</f>
        <v>NIPPLE MOLDED</v>
      </c>
      <c r="E279" s="447" t="s">
        <v>74</v>
      </c>
      <c r="F279" s="500" t="s">
        <v>1678</v>
      </c>
      <c r="G279" s="861" t="s">
        <v>1691</v>
      </c>
      <c r="H279" s="602" t="str">
        <f>IFERROR(VLOOKUP(E:E,'Item Data Support Sheet'!A:O,2,0),"")</f>
        <v>NIPPLE S TYPE L SIZE INJECTION</v>
      </c>
      <c r="I279" s="501" t="s">
        <v>2674</v>
      </c>
      <c r="J279" s="447" t="s">
        <v>2810</v>
      </c>
      <c r="K279" s="438">
        <v>8</v>
      </c>
      <c r="L279" s="499">
        <v>4815</v>
      </c>
      <c r="M279" s="366">
        <f t="shared" si="105"/>
        <v>601.875</v>
      </c>
      <c r="N279" s="367">
        <f t="shared" si="88"/>
        <v>3358</v>
      </c>
      <c r="O279" s="61">
        <v>3000</v>
      </c>
      <c r="P279" s="368">
        <f>5+4+0.95</f>
        <v>9.9499999999999993</v>
      </c>
      <c r="Q279" s="368">
        <v>280</v>
      </c>
      <c r="R279" s="494">
        <v>0</v>
      </c>
      <c r="S279" s="493">
        <v>0</v>
      </c>
      <c r="T279" s="494">
        <v>70</v>
      </c>
      <c r="U279" s="493">
        <v>8</v>
      </c>
      <c r="V279" s="502">
        <v>1</v>
      </c>
      <c r="W279" s="453">
        <f t="shared" si="91"/>
        <v>3000</v>
      </c>
      <c r="X279" s="748">
        <f t="shared" si="92"/>
        <v>0.62305295950155759</v>
      </c>
      <c r="Y279" s="451" t="str">
        <f>IFERROR(VLOOKUP(E:E,'Item Data Support Sheet'!A:J,6,0),0)</f>
        <v>Silicon</v>
      </c>
      <c r="Z279" s="428">
        <f>IFERROR(VLOOKUP(E:E,'Item Data Support Sheet'!A:O,4,0),0)</f>
        <v>6.8</v>
      </c>
      <c r="AA279" s="428">
        <f t="shared" si="93"/>
        <v>32.784399999999998</v>
      </c>
      <c r="AB279" s="429">
        <f t="shared" si="94"/>
        <v>0.62224716633520816</v>
      </c>
      <c r="AC279" s="424">
        <f t="shared" si="95"/>
        <v>2.2801302931596091E-2</v>
      </c>
      <c r="AD279" s="371">
        <f t="shared" si="96"/>
        <v>7.6965365585486528E-2</v>
      </c>
      <c r="AE279" s="748">
        <f t="shared" si="97"/>
        <v>0.97915425848719473</v>
      </c>
      <c r="AF279" s="417">
        <f t="shared" si="98"/>
        <v>2.1666666666666665</v>
      </c>
      <c r="AG279" s="416">
        <f t="shared" si="99"/>
        <v>5.8333333333333339</v>
      </c>
      <c r="AH279" s="372">
        <f t="shared" si="100"/>
        <v>0.72916666666666674</v>
      </c>
      <c r="AI279" s="373">
        <f t="shared" si="101"/>
        <v>375</v>
      </c>
      <c r="AJ279" s="418">
        <f>VLOOKUP(D279,'Standard Cycle time'!C:D,2,0)</f>
        <v>5.25</v>
      </c>
      <c r="AK279" s="418">
        <f t="shared" si="102"/>
        <v>7.0000000000000009</v>
      </c>
      <c r="AL279" s="374">
        <f t="shared" si="103"/>
        <v>0.74999999999999989</v>
      </c>
      <c r="AM279" s="372">
        <f t="shared" si="104"/>
        <v>0.53547498511018465</v>
      </c>
      <c r="AN279" s="799">
        <v>2729</v>
      </c>
      <c r="AO279" s="928" t="s">
        <v>2675</v>
      </c>
      <c r="AP279" s="440">
        <v>0</v>
      </c>
      <c r="AQ279" s="440">
        <v>0</v>
      </c>
      <c r="AR279" s="440">
        <v>0</v>
      </c>
      <c r="AS279" s="440">
        <v>0</v>
      </c>
      <c r="AT279" s="440">
        <v>0</v>
      </c>
      <c r="AU279" s="440">
        <v>60</v>
      </c>
      <c r="AV279" s="440">
        <v>20</v>
      </c>
      <c r="AW279" s="440">
        <v>0</v>
      </c>
      <c r="AX279" s="440">
        <v>50</v>
      </c>
      <c r="AY279" s="440">
        <v>0</v>
      </c>
      <c r="AZ279" s="440">
        <v>0</v>
      </c>
      <c r="BA279" s="440">
        <v>0</v>
      </c>
      <c r="BB279" s="440">
        <v>0</v>
      </c>
      <c r="BC279" s="440">
        <v>0</v>
      </c>
      <c r="BD279" s="440">
        <v>0</v>
      </c>
      <c r="BE279" s="440">
        <v>0</v>
      </c>
      <c r="BF279" s="440">
        <v>0</v>
      </c>
      <c r="BG279" s="440">
        <v>0</v>
      </c>
      <c r="BH279" s="440">
        <v>0</v>
      </c>
      <c r="BI279" s="440">
        <v>0</v>
      </c>
      <c r="BJ279" s="440">
        <v>0</v>
      </c>
      <c r="BK279" s="440">
        <v>0</v>
      </c>
      <c r="BL279" s="440">
        <v>0</v>
      </c>
      <c r="BM279" s="440">
        <v>0</v>
      </c>
      <c r="BN279" s="440">
        <v>0</v>
      </c>
      <c r="BO279" s="440">
        <v>0</v>
      </c>
      <c r="BP279" s="440">
        <v>0</v>
      </c>
      <c r="BQ279" s="440">
        <v>0</v>
      </c>
      <c r="BR279" s="415">
        <f t="shared" si="87"/>
        <v>2.1666666666666665</v>
      </c>
      <c r="BS279" s="415">
        <f t="shared" si="89"/>
        <v>2.2027777777777775</v>
      </c>
      <c r="BT279" s="935"/>
      <c r="BU279" s="935"/>
      <c r="BV279" s="935"/>
      <c r="BW279" s="935"/>
      <c r="BX279" s="935"/>
      <c r="BY279" s="935"/>
      <c r="BZ279" s="935"/>
      <c r="CA279" s="935"/>
      <c r="CB279" s="935"/>
      <c r="CC279" s="935"/>
      <c r="CD279" s="935"/>
      <c r="CE279" s="935"/>
      <c r="CF279" s="935"/>
      <c r="CG279" s="935"/>
      <c r="CH279" s="935"/>
      <c r="CI279" s="935"/>
      <c r="CJ279" s="935"/>
      <c r="CK279" s="935"/>
      <c r="CL279" s="935"/>
      <c r="CM279" s="935"/>
      <c r="CN279" s="935"/>
      <c r="CO279" s="935"/>
      <c r="CP279" s="935"/>
      <c r="CQ279" s="935"/>
      <c r="CR279" s="935"/>
      <c r="CS279" s="935"/>
      <c r="CT279" s="935"/>
      <c r="CU279" s="935"/>
      <c r="CV279" s="935"/>
    </row>
    <row r="280" spans="1:100">
      <c r="A280" s="375">
        <f t="shared" si="90"/>
        <v>8</v>
      </c>
      <c r="B280" s="505">
        <v>44434</v>
      </c>
      <c r="C280" s="493" t="s">
        <v>1980</v>
      </c>
      <c r="D280" s="376" t="str">
        <f>IFERROR(VLOOKUP(E:E,'Item Data Support Sheet'!A:O,7,0),"")</f>
        <v>HOOD MOLDED</v>
      </c>
      <c r="E280" s="447" t="s">
        <v>1987</v>
      </c>
      <c r="F280" s="500"/>
      <c r="G280" s="376" t="s">
        <v>2220</v>
      </c>
      <c r="H280" s="602" t="str">
        <f>IFERROR(VLOOKUP(E:E,'Item Data Support Sheet'!A:O,2,0),"")</f>
        <v>HOOD S TYPE MOLDED</v>
      </c>
      <c r="I280" s="501" t="s">
        <v>2676</v>
      </c>
      <c r="J280" s="447" t="s">
        <v>2810</v>
      </c>
      <c r="K280" s="438">
        <v>8</v>
      </c>
      <c r="L280" s="499">
        <v>4137</v>
      </c>
      <c r="M280" s="366">
        <f t="shared" si="105"/>
        <v>517.125</v>
      </c>
      <c r="N280" s="367">
        <f t="shared" si="88"/>
        <v>5020</v>
      </c>
      <c r="O280" s="61">
        <v>5000</v>
      </c>
      <c r="P280" s="368">
        <v>0.2</v>
      </c>
      <c r="Q280" s="368">
        <v>0</v>
      </c>
      <c r="R280" s="494">
        <v>0</v>
      </c>
      <c r="S280" s="493">
        <v>0</v>
      </c>
      <c r="T280" s="494">
        <v>12</v>
      </c>
      <c r="U280" s="493">
        <v>8</v>
      </c>
      <c r="V280" s="502">
        <v>1</v>
      </c>
      <c r="W280" s="453">
        <f t="shared" si="91"/>
        <v>5000</v>
      </c>
      <c r="X280" s="748">
        <f t="shared" si="92"/>
        <v>1.2086052695189751</v>
      </c>
      <c r="Y280" s="451" t="str">
        <f>IFERROR(VLOOKUP(E:E,'Item Data Support Sheet'!A:J,6,0),0)</f>
        <v>HMC</v>
      </c>
      <c r="Z280" s="428">
        <f>IFERROR(VLOOKUP(E:E,'Item Data Support Sheet'!A:O,4,0),0)</f>
        <v>8.6</v>
      </c>
      <c r="AA280" s="428">
        <f t="shared" si="93"/>
        <v>43.372</v>
      </c>
      <c r="AB280" s="429">
        <f t="shared" si="94"/>
        <v>0.99142303790463893</v>
      </c>
      <c r="AC280" s="424">
        <f t="shared" si="95"/>
        <v>2.3942537909018356E-3</v>
      </c>
      <c r="AD280" s="371">
        <f t="shared" si="96"/>
        <v>0</v>
      </c>
      <c r="AE280" s="748">
        <f t="shared" si="97"/>
        <v>0.99760956175298809</v>
      </c>
      <c r="AF280" s="417">
        <f t="shared" si="98"/>
        <v>0</v>
      </c>
      <c r="AG280" s="416">
        <f t="shared" si="99"/>
        <v>8</v>
      </c>
      <c r="AH280" s="372">
        <f t="shared" si="100"/>
        <v>1</v>
      </c>
      <c r="AI280" s="373">
        <f t="shared" si="101"/>
        <v>625</v>
      </c>
      <c r="AJ280" s="418">
        <f>VLOOKUP(D280,'Standard Cycle time'!C:D,2,0)</f>
        <v>6</v>
      </c>
      <c r="AK280" s="418">
        <f t="shared" si="102"/>
        <v>5.76</v>
      </c>
      <c r="AL280" s="374">
        <f t="shared" si="103"/>
        <v>1.0416666666666667</v>
      </c>
      <c r="AM280" s="372">
        <f t="shared" si="104"/>
        <v>1.0391766268260294</v>
      </c>
      <c r="AN280" s="799">
        <v>2721</v>
      </c>
      <c r="AO280" s="761"/>
      <c r="AP280" s="440">
        <v>0</v>
      </c>
      <c r="AQ280" s="440">
        <v>0</v>
      </c>
      <c r="AR280" s="440">
        <v>0</v>
      </c>
      <c r="AS280" s="440">
        <v>0</v>
      </c>
      <c r="AT280" s="440">
        <v>0</v>
      </c>
      <c r="AU280" s="440">
        <v>0</v>
      </c>
      <c r="AV280" s="440">
        <v>0</v>
      </c>
      <c r="AW280" s="440">
        <v>0</v>
      </c>
      <c r="AX280" s="440">
        <v>0</v>
      </c>
      <c r="AY280" s="440">
        <v>0</v>
      </c>
      <c r="AZ280" s="440">
        <v>0</v>
      </c>
      <c r="BA280" s="440">
        <v>0</v>
      </c>
      <c r="BB280" s="440">
        <v>0</v>
      </c>
      <c r="BC280" s="440">
        <v>0</v>
      </c>
      <c r="BD280" s="440">
        <v>0</v>
      </c>
      <c r="BE280" s="440">
        <v>0</v>
      </c>
      <c r="BF280" s="440">
        <v>0</v>
      </c>
      <c r="BG280" s="440">
        <v>0</v>
      </c>
      <c r="BH280" s="440">
        <v>0</v>
      </c>
      <c r="BI280" s="440">
        <v>0</v>
      </c>
      <c r="BJ280" s="440">
        <v>0</v>
      </c>
      <c r="BK280" s="440">
        <v>0</v>
      </c>
      <c r="BL280" s="440">
        <v>0</v>
      </c>
      <c r="BM280" s="440">
        <v>0</v>
      </c>
      <c r="BN280" s="440">
        <v>0</v>
      </c>
      <c r="BO280" s="440">
        <v>0</v>
      </c>
      <c r="BP280" s="440">
        <v>0</v>
      </c>
      <c r="BQ280" s="440">
        <v>0</v>
      </c>
      <c r="BR280" s="415">
        <f t="shared" si="87"/>
        <v>0</v>
      </c>
      <c r="BS280" s="415">
        <f t="shared" si="89"/>
        <v>0</v>
      </c>
      <c r="BT280" s="935"/>
      <c r="BU280" s="935"/>
      <c r="BV280" s="935"/>
      <c r="BW280" s="935"/>
      <c r="BX280" s="935"/>
      <c r="BY280" s="935"/>
      <c r="BZ280" s="935"/>
      <c r="CA280" s="935"/>
      <c r="CB280" s="935"/>
      <c r="CC280" s="935"/>
      <c r="CD280" s="935"/>
      <c r="CE280" s="935"/>
      <c r="CF280" s="935"/>
      <c r="CG280" s="935"/>
      <c r="CH280" s="935"/>
      <c r="CI280" s="935"/>
      <c r="CJ280" s="935"/>
      <c r="CK280" s="935"/>
      <c r="CL280" s="935"/>
      <c r="CM280" s="935"/>
      <c r="CN280" s="935"/>
      <c r="CO280" s="935"/>
      <c r="CP280" s="935"/>
      <c r="CQ280" s="935"/>
      <c r="CR280" s="935"/>
      <c r="CS280" s="935"/>
      <c r="CT280" s="935"/>
      <c r="CU280" s="935"/>
      <c r="CV280" s="935"/>
    </row>
    <row r="281" spans="1:100">
      <c r="A281" s="375">
        <f t="shared" si="90"/>
        <v>8</v>
      </c>
      <c r="B281" s="505">
        <v>44434</v>
      </c>
      <c r="C281" s="493" t="s">
        <v>1980</v>
      </c>
      <c r="D281" s="376" t="str">
        <f>IFERROR(VLOOKUP(E:E,'Item Data Support Sheet'!A:O,7,0),"")</f>
        <v>NIPPLE LASER MARKING</v>
      </c>
      <c r="E281" s="447" t="s">
        <v>2487</v>
      </c>
      <c r="F281" s="500"/>
      <c r="G281" s="376" t="s">
        <v>1812</v>
      </c>
      <c r="H281" s="602" t="str">
        <f>IFERROR(VLOOKUP(E:E,'Item Data Support Sheet'!A:O,2,0),"")</f>
        <v>NIPPLE S TYPE LL SIZE LASER MARKED</v>
      </c>
      <c r="I281" s="501" t="s">
        <v>2677</v>
      </c>
      <c r="J281" s="447" t="s">
        <v>2810</v>
      </c>
      <c r="K281" s="438">
        <v>4.5</v>
      </c>
      <c r="L281" s="499">
        <v>4000</v>
      </c>
      <c r="M281" s="366">
        <f t="shared" si="105"/>
        <v>888.88888888888891</v>
      </c>
      <c r="N281" s="367">
        <f t="shared" si="88"/>
        <v>4000</v>
      </c>
      <c r="O281" s="61">
        <v>4000</v>
      </c>
      <c r="P281" s="368">
        <v>0</v>
      </c>
      <c r="Q281" s="368">
        <v>0</v>
      </c>
      <c r="R281" s="494">
        <v>0</v>
      </c>
      <c r="S281" s="493">
        <v>0</v>
      </c>
      <c r="T281" s="494">
        <v>0</v>
      </c>
      <c r="U281" s="493">
        <v>0</v>
      </c>
      <c r="V281" s="502">
        <v>1</v>
      </c>
      <c r="W281" s="453">
        <f t="shared" si="91"/>
        <v>4000</v>
      </c>
      <c r="X281" s="748">
        <f t="shared" si="92"/>
        <v>1</v>
      </c>
      <c r="Y281" s="451" t="str">
        <f>IFERROR(VLOOKUP(E:E,'Item Data Support Sheet'!A:J,6,0),0)</f>
        <v>FO151</v>
      </c>
      <c r="Z281" s="428">
        <f>IFERROR(VLOOKUP(E:E,'Item Data Support Sheet'!A:O,4,0),0)</f>
        <v>0</v>
      </c>
      <c r="AA281" s="428">
        <f t="shared" si="93"/>
        <v>0</v>
      </c>
      <c r="AB281" s="429" t="str">
        <f t="shared" si="94"/>
        <v xml:space="preserve"> </v>
      </c>
      <c r="AC281" s="424">
        <f t="shared" si="95"/>
        <v>0</v>
      </c>
      <c r="AD281" s="371">
        <f t="shared" si="96"/>
        <v>0</v>
      </c>
      <c r="AE281" s="748">
        <f t="shared" si="97"/>
        <v>1</v>
      </c>
      <c r="AF281" s="417">
        <f t="shared" si="98"/>
        <v>0.5</v>
      </c>
      <c r="AG281" s="416">
        <f t="shared" si="99"/>
        <v>4</v>
      </c>
      <c r="AH281" s="372">
        <f t="shared" si="100"/>
        <v>0.88888888888888884</v>
      </c>
      <c r="AI281" s="373">
        <f t="shared" si="101"/>
        <v>888.88888888888891</v>
      </c>
      <c r="AJ281" s="418">
        <f>VLOOKUP(D281,'Standard Cycle time'!C:D,2,0)</f>
        <v>3.5</v>
      </c>
      <c r="AK281" s="418">
        <f t="shared" si="102"/>
        <v>3.6</v>
      </c>
      <c r="AL281" s="374">
        <f t="shared" si="103"/>
        <v>0.97222222222222221</v>
      </c>
      <c r="AM281" s="372">
        <f t="shared" si="104"/>
        <v>0.86419753086419748</v>
      </c>
      <c r="AN281" s="799">
        <v>2724</v>
      </c>
      <c r="AO281" s="929"/>
      <c r="AP281" s="440">
        <v>30</v>
      </c>
      <c r="AQ281" s="440">
        <v>0</v>
      </c>
      <c r="AR281" s="440">
        <v>0</v>
      </c>
      <c r="AS281" s="440">
        <v>0</v>
      </c>
      <c r="AT281" s="440">
        <v>0</v>
      </c>
      <c r="AU281" s="440">
        <v>0</v>
      </c>
      <c r="AV281" s="440">
        <v>0</v>
      </c>
      <c r="AW281" s="440">
        <v>0</v>
      </c>
      <c r="AX281" s="440">
        <v>0</v>
      </c>
      <c r="AY281" s="440">
        <v>0</v>
      </c>
      <c r="AZ281" s="440">
        <v>0</v>
      </c>
      <c r="BA281" s="440">
        <v>0</v>
      </c>
      <c r="BB281" s="440">
        <v>0</v>
      </c>
      <c r="BC281" s="440">
        <v>0</v>
      </c>
      <c r="BD281" s="440">
        <v>0</v>
      </c>
      <c r="BE281" s="440">
        <v>0</v>
      </c>
      <c r="BF281" s="440">
        <v>0</v>
      </c>
      <c r="BG281" s="440">
        <v>0</v>
      </c>
      <c r="BH281" s="440">
        <v>0</v>
      </c>
      <c r="BI281" s="440">
        <v>0</v>
      </c>
      <c r="BJ281" s="440">
        <v>0</v>
      </c>
      <c r="BK281" s="440">
        <v>0</v>
      </c>
      <c r="BL281" s="440">
        <v>0</v>
      </c>
      <c r="BM281" s="440">
        <v>0</v>
      </c>
      <c r="BN281" s="440">
        <v>0</v>
      </c>
      <c r="BO281" s="440">
        <v>0</v>
      </c>
      <c r="BP281" s="440">
        <v>0</v>
      </c>
      <c r="BQ281" s="440">
        <v>0</v>
      </c>
      <c r="BR281" s="415">
        <f t="shared" si="87"/>
        <v>0.5</v>
      </c>
      <c r="BS281" s="415">
        <f t="shared" si="89"/>
        <v>0.5083333333333333</v>
      </c>
      <c r="BT281" s="935"/>
      <c r="BU281" s="935"/>
      <c r="BV281" s="935"/>
      <c r="BW281" s="935"/>
      <c r="BX281" s="935"/>
      <c r="BY281" s="935"/>
      <c r="BZ281" s="935"/>
      <c r="CA281" s="935"/>
      <c r="CB281" s="935"/>
      <c r="CC281" s="935"/>
      <c r="CD281" s="935"/>
      <c r="CE281" s="935"/>
      <c r="CF281" s="935"/>
      <c r="CG281" s="935"/>
      <c r="CH281" s="935"/>
      <c r="CI281" s="935"/>
      <c r="CJ281" s="935"/>
      <c r="CK281" s="935"/>
      <c r="CL281" s="935"/>
      <c r="CM281" s="935"/>
      <c r="CN281" s="935"/>
      <c r="CO281" s="935"/>
      <c r="CP281" s="935"/>
      <c r="CQ281" s="935"/>
      <c r="CR281" s="935"/>
      <c r="CS281" s="935"/>
      <c r="CT281" s="935"/>
      <c r="CU281" s="935"/>
      <c r="CV281" s="935"/>
    </row>
    <row r="282" spans="1:100">
      <c r="A282" s="375">
        <f t="shared" si="90"/>
        <v>8</v>
      </c>
      <c r="B282" s="505">
        <v>44434</v>
      </c>
      <c r="C282" s="493" t="s">
        <v>1980</v>
      </c>
      <c r="D282" s="376" t="str">
        <f>IFERROR(VLOOKUP(E:E,'Item Data Support Sheet'!A:O,7,0),"")</f>
        <v>NIPPLE LASER MARKING</v>
      </c>
      <c r="E282" s="447" t="s">
        <v>1816</v>
      </c>
      <c r="F282" s="500"/>
      <c r="G282" s="376" t="s">
        <v>1812</v>
      </c>
      <c r="H282" s="602" t="str">
        <f>IFERROR(VLOOKUP(E:E,'Item Data Support Sheet'!A:O,2,0),"")</f>
        <v>NIPPLE S TYPE L SIZE PUNCHED LASER MARKED</v>
      </c>
      <c r="I282" s="501" t="s">
        <v>2678</v>
      </c>
      <c r="J282" s="447" t="s">
        <v>2810</v>
      </c>
      <c r="K282" s="438">
        <v>3</v>
      </c>
      <c r="L282" s="499">
        <v>3000</v>
      </c>
      <c r="M282" s="366">
        <f t="shared" si="105"/>
        <v>1000</v>
      </c>
      <c r="N282" s="367">
        <f t="shared" si="88"/>
        <v>3000</v>
      </c>
      <c r="O282" s="61">
        <v>2982</v>
      </c>
      <c r="P282" s="368">
        <v>0</v>
      </c>
      <c r="Q282" s="368">
        <v>0</v>
      </c>
      <c r="R282" s="494">
        <v>0</v>
      </c>
      <c r="S282" s="493">
        <v>0</v>
      </c>
      <c r="T282" s="494">
        <v>18</v>
      </c>
      <c r="U282" s="493">
        <v>0</v>
      </c>
      <c r="V282" s="502">
        <v>1</v>
      </c>
      <c r="W282" s="453">
        <f t="shared" si="91"/>
        <v>2982</v>
      </c>
      <c r="X282" s="748">
        <f t="shared" si="92"/>
        <v>0.99399999999999999</v>
      </c>
      <c r="Y282" s="451" t="str">
        <f>IFERROR(VLOOKUP(E:E,'Item Data Support Sheet'!A:J,6,0),0)</f>
        <v>FO021</v>
      </c>
      <c r="Z282" s="428">
        <f>IFERROR(VLOOKUP(E:E,'Item Data Support Sheet'!A:O,4,0),0)</f>
        <v>0</v>
      </c>
      <c r="AA282" s="428">
        <f t="shared" si="93"/>
        <v>0</v>
      </c>
      <c r="AB282" s="429" t="str">
        <f t="shared" si="94"/>
        <v xml:space="preserve"> </v>
      </c>
      <c r="AC282" s="424">
        <f t="shared" si="95"/>
        <v>6.0000000000000001E-3</v>
      </c>
      <c r="AD282" s="371">
        <f t="shared" si="96"/>
        <v>0</v>
      </c>
      <c r="AE282" s="748">
        <f t="shared" si="97"/>
        <v>0.99399999999999999</v>
      </c>
      <c r="AF282" s="417">
        <f t="shared" si="98"/>
        <v>0</v>
      </c>
      <c r="AG282" s="416">
        <f t="shared" si="99"/>
        <v>3</v>
      </c>
      <c r="AH282" s="372">
        <f t="shared" si="100"/>
        <v>1</v>
      </c>
      <c r="AI282" s="373">
        <f t="shared" si="101"/>
        <v>994</v>
      </c>
      <c r="AJ282" s="418">
        <f>VLOOKUP(D282,'Standard Cycle time'!C:D,2,0)</f>
        <v>3.5</v>
      </c>
      <c r="AK282" s="418">
        <f t="shared" si="102"/>
        <v>3.6217303822937628</v>
      </c>
      <c r="AL282" s="374">
        <f t="shared" si="103"/>
        <v>0.96638888888888885</v>
      </c>
      <c r="AM282" s="372">
        <f t="shared" si="104"/>
        <v>0.9605905555555555</v>
      </c>
      <c r="AN282" s="799">
        <v>2727</v>
      </c>
      <c r="AO282" s="929"/>
      <c r="AP282" s="440">
        <v>0</v>
      </c>
      <c r="AQ282" s="440">
        <v>0</v>
      </c>
      <c r="AR282" s="440">
        <v>0</v>
      </c>
      <c r="AS282" s="440">
        <v>0</v>
      </c>
      <c r="AT282" s="440">
        <v>0</v>
      </c>
      <c r="AU282" s="440">
        <v>0</v>
      </c>
      <c r="AV282" s="440">
        <v>0</v>
      </c>
      <c r="AW282" s="440">
        <v>0</v>
      </c>
      <c r="AX282" s="440">
        <v>0</v>
      </c>
      <c r="AY282" s="440">
        <v>0</v>
      </c>
      <c r="AZ282" s="440">
        <v>0</v>
      </c>
      <c r="BA282" s="440">
        <v>0</v>
      </c>
      <c r="BB282" s="440">
        <v>0</v>
      </c>
      <c r="BC282" s="440">
        <v>0</v>
      </c>
      <c r="BD282" s="440">
        <v>0</v>
      </c>
      <c r="BE282" s="440">
        <v>0</v>
      </c>
      <c r="BF282" s="440">
        <v>0</v>
      </c>
      <c r="BG282" s="440">
        <v>0</v>
      </c>
      <c r="BH282" s="440">
        <v>0</v>
      </c>
      <c r="BI282" s="440">
        <v>0</v>
      </c>
      <c r="BJ282" s="440">
        <v>0</v>
      </c>
      <c r="BK282" s="440">
        <v>0</v>
      </c>
      <c r="BL282" s="440">
        <v>0</v>
      </c>
      <c r="BM282" s="440">
        <v>0</v>
      </c>
      <c r="BN282" s="440">
        <v>0</v>
      </c>
      <c r="BO282" s="440">
        <v>0</v>
      </c>
      <c r="BP282" s="440">
        <v>0</v>
      </c>
      <c r="BQ282" s="440">
        <v>0</v>
      </c>
      <c r="BR282" s="415">
        <f t="shared" si="87"/>
        <v>0</v>
      </c>
      <c r="BS282" s="415">
        <f t="shared" si="89"/>
        <v>0</v>
      </c>
      <c r="BT282" s="935"/>
      <c r="BU282" s="935"/>
      <c r="BV282" s="935"/>
      <c r="BW282" s="935"/>
      <c r="BX282" s="935"/>
      <c r="BY282" s="935"/>
      <c r="BZ282" s="935"/>
      <c r="CA282" s="935"/>
      <c r="CB282" s="935"/>
      <c r="CC282" s="935"/>
      <c r="CD282" s="935"/>
      <c r="CE282" s="935"/>
      <c r="CF282" s="935"/>
      <c r="CG282" s="935"/>
      <c r="CH282" s="935"/>
      <c r="CI282" s="935"/>
      <c r="CJ282" s="935"/>
      <c r="CK282" s="935"/>
      <c r="CL282" s="935"/>
      <c r="CM282" s="935"/>
      <c r="CN282" s="935"/>
      <c r="CO282" s="935"/>
      <c r="CP282" s="935"/>
      <c r="CQ282" s="935"/>
      <c r="CR282" s="935"/>
      <c r="CS282" s="935"/>
      <c r="CT282" s="935"/>
      <c r="CU282" s="935"/>
      <c r="CV282" s="935"/>
    </row>
    <row r="283" spans="1:100">
      <c r="A283" s="375">
        <f t="shared" si="90"/>
        <v>8</v>
      </c>
      <c r="B283" s="505">
        <v>44434</v>
      </c>
      <c r="C283" s="493" t="s">
        <v>1980</v>
      </c>
      <c r="D283" s="376" t="str">
        <f>IFERROR(VLOOKUP(E:E,'Item Data Support Sheet'!A:O,7,0),"")</f>
        <v>NIPPLE POSTCURE</v>
      </c>
      <c r="E283" s="447" t="s">
        <v>78</v>
      </c>
      <c r="F283" s="500"/>
      <c r="G283" s="376" t="s">
        <v>1705</v>
      </c>
      <c r="H283" s="602" t="str">
        <f>IFERROR(VLOOKUP(E:E,'Item Data Support Sheet'!A:O,2,0),"")</f>
        <v>NIPPLE S TYPE L SIZE POSTCURED</v>
      </c>
      <c r="I283" s="501" t="s">
        <v>2679</v>
      </c>
      <c r="J283" s="447" t="s">
        <v>2810</v>
      </c>
      <c r="K283" s="438">
        <v>5</v>
      </c>
      <c r="L283" s="499">
        <v>7036</v>
      </c>
      <c r="M283" s="366">
        <f t="shared" si="105"/>
        <v>1407.2</v>
      </c>
      <c r="N283" s="367">
        <f t="shared" si="88"/>
        <v>5588</v>
      </c>
      <c r="O283" s="61">
        <f>3700+1888</f>
        <v>5588</v>
      </c>
      <c r="P283" s="368">
        <v>0</v>
      </c>
      <c r="Q283" s="368">
        <v>0</v>
      </c>
      <c r="R283" s="494">
        <v>0</v>
      </c>
      <c r="S283" s="493">
        <v>0</v>
      </c>
      <c r="T283" s="494">
        <v>0</v>
      </c>
      <c r="U283" s="493">
        <v>0</v>
      </c>
      <c r="V283" s="502">
        <v>1</v>
      </c>
      <c r="W283" s="453">
        <f t="shared" si="91"/>
        <v>5588</v>
      </c>
      <c r="X283" s="748">
        <f t="shared" si="92"/>
        <v>0.79420125071063108</v>
      </c>
      <c r="Y283" s="451" t="str">
        <f>IFERROR(VLOOKUP(E:E,'Item Data Support Sheet'!A:J,6,0),0)</f>
        <v>FO013</v>
      </c>
      <c r="Z283" s="428">
        <f>IFERROR(VLOOKUP(E:E,'Item Data Support Sheet'!A:O,4,0),0)</f>
        <v>0</v>
      </c>
      <c r="AA283" s="428">
        <f t="shared" si="93"/>
        <v>0</v>
      </c>
      <c r="AB283" s="429" t="str">
        <f t="shared" si="94"/>
        <v xml:space="preserve"> </v>
      </c>
      <c r="AC283" s="424">
        <f t="shared" si="95"/>
        <v>0</v>
      </c>
      <c r="AD283" s="371">
        <f t="shared" si="96"/>
        <v>0</v>
      </c>
      <c r="AE283" s="748">
        <f t="shared" si="97"/>
        <v>1</v>
      </c>
      <c r="AF283" s="417">
        <f t="shared" si="98"/>
        <v>0.66666666666666663</v>
      </c>
      <c r="AG283" s="416">
        <f t="shared" si="99"/>
        <v>4.333333333333333</v>
      </c>
      <c r="AH283" s="372">
        <f t="shared" si="100"/>
        <v>0.86666666666666659</v>
      </c>
      <c r="AI283" s="373">
        <f t="shared" si="101"/>
        <v>1117.5999999999999</v>
      </c>
      <c r="AJ283" s="418">
        <f>VLOOKUP(D283,'Standard Cycle time'!C:D,2,0)</f>
        <v>2.2999999999999998</v>
      </c>
      <c r="AK283" s="418">
        <f t="shared" si="102"/>
        <v>2.7916964924838936</v>
      </c>
      <c r="AL283" s="374">
        <f t="shared" si="103"/>
        <v>0.82387179487179496</v>
      </c>
      <c r="AM283" s="372">
        <f t="shared" si="104"/>
        <v>0.71402222222222222</v>
      </c>
      <c r="AN283" s="799" t="s">
        <v>2681</v>
      </c>
      <c r="AO283" s="761"/>
      <c r="AP283" s="440">
        <v>40</v>
      </c>
      <c r="AQ283" s="440">
        <v>0</v>
      </c>
      <c r="AR283" s="440">
        <v>0</v>
      </c>
      <c r="AS283" s="440">
        <v>0</v>
      </c>
      <c r="AT283" s="440">
        <v>0</v>
      </c>
      <c r="AU283" s="440">
        <v>0</v>
      </c>
      <c r="AV283" s="440">
        <v>0</v>
      </c>
      <c r="AW283" s="440">
        <v>0</v>
      </c>
      <c r="AX283" s="440">
        <v>0</v>
      </c>
      <c r="AY283" s="440">
        <v>0</v>
      </c>
      <c r="AZ283" s="440">
        <v>0</v>
      </c>
      <c r="BA283" s="440">
        <v>0</v>
      </c>
      <c r="BB283" s="440">
        <v>0</v>
      </c>
      <c r="BC283" s="440">
        <v>0</v>
      </c>
      <c r="BD283" s="440">
        <v>0</v>
      </c>
      <c r="BE283" s="440">
        <v>0</v>
      </c>
      <c r="BF283" s="440">
        <v>0</v>
      </c>
      <c r="BG283" s="440">
        <v>0</v>
      </c>
      <c r="BH283" s="440">
        <v>0</v>
      </c>
      <c r="BI283" s="440">
        <v>0</v>
      </c>
      <c r="BJ283" s="440">
        <v>0</v>
      </c>
      <c r="BK283" s="440">
        <v>0</v>
      </c>
      <c r="BL283" s="440">
        <v>0</v>
      </c>
      <c r="BM283" s="440">
        <v>0</v>
      </c>
      <c r="BN283" s="440">
        <v>0</v>
      </c>
      <c r="BO283" s="440">
        <v>0</v>
      </c>
      <c r="BP283" s="440">
        <v>0</v>
      </c>
      <c r="BQ283" s="440">
        <v>0</v>
      </c>
      <c r="BR283" s="415">
        <f t="shared" si="87"/>
        <v>0.66666666666666663</v>
      </c>
      <c r="BS283" s="415">
        <f t="shared" si="89"/>
        <v>0.6777777777777777</v>
      </c>
      <c r="BT283" s="935"/>
      <c r="BU283" s="935"/>
      <c r="BV283" s="935"/>
      <c r="BW283" s="935"/>
      <c r="BX283" s="935"/>
      <c r="BY283" s="935"/>
      <c r="BZ283" s="935"/>
      <c r="CA283" s="935"/>
      <c r="CB283" s="935"/>
      <c r="CC283" s="935"/>
      <c r="CD283" s="935"/>
      <c r="CE283" s="935"/>
      <c r="CF283" s="935"/>
      <c r="CG283" s="935"/>
      <c r="CH283" s="935"/>
      <c r="CI283" s="935"/>
      <c r="CJ283" s="935"/>
      <c r="CK283" s="935"/>
      <c r="CL283" s="935"/>
      <c r="CM283" s="935"/>
      <c r="CN283" s="935"/>
      <c r="CO283" s="935"/>
      <c r="CP283" s="935"/>
      <c r="CQ283" s="935"/>
      <c r="CR283" s="935"/>
      <c r="CS283" s="935"/>
      <c r="CT283" s="935"/>
      <c r="CU283" s="935"/>
      <c r="CV283" s="935"/>
    </row>
    <row r="284" spans="1:100">
      <c r="A284" s="375">
        <f t="shared" si="90"/>
        <v>8</v>
      </c>
      <c r="B284" s="505">
        <v>44434</v>
      </c>
      <c r="C284" s="493" t="s">
        <v>1980</v>
      </c>
      <c r="D284" s="376" t="str">
        <f>IFERROR(VLOOKUP(E:E,'Item Data Support Sheet'!A:O,7,0),"")</f>
        <v>NIPPLE PUNCH</v>
      </c>
      <c r="E284" s="447" t="s">
        <v>82</v>
      </c>
      <c r="F284" s="500"/>
      <c r="G284" s="376" t="s">
        <v>1692</v>
      </c>
      <c r="H284" s="602" t="str">
        <f>IFERROR(VLOOKUP(E:E,'Item Data Support Sheet'!A:O,2,0),"")</f>
        <v>NIPPLE S TYPE L SIZE PUNCHED</v>
      </c>
      <c r="I284" s="501" t="s">
        <v>2682</v>
      </c>
      <c r="J284" s="447" t="s">
        <v>2810</v>
      </c>
      <c r="K284" s="438">
        <v>8</v>
      </c>
      <c r="L284" s="499">
        <v>7000</v>
      </c>
      <c r="M284" s="366">
        <f t="shared" si="105"/>
        <v>875</v>
      </c>
      <c r="N284" s="367">
        <f t="shared" si="88"/>
        <v>6000</v>
      </c>
      <c r="O284" s="61">
        <v>6000</v>
      </c>
      <c r="P284" s="368">
        <v>0</v>
      </c>
      <c r="Q284" s="368">
        <v>0</v>
      </c>
      <c r="R284" s="494">
        <v>0</v>
      </c>
      <c r="S284" s="493">
        <v>0</v>
      </c>
      <c r="T284" s="494">
        <v>0</v>
      </c>
      <c r="U284" s="493">
        <v>0</v>
      </c>
      <c r="V284" s="502">
        <v>1</v>
      </c>
      <c r="W284" s="453">
        <f t="shared" si="91"/>
        <v>6000</v>
      </c>
      <c r="X284" s="748">
        <f t="shared" si="92"/>
        <v>0.8571428571428571</v>
      </c>
      <c r="Y284" s="451" t="str">
        <f>IFERROR(VLOOKUP(E:E,'Item Data Support Sheet'!A:J,6,0),0)</f>
        <v>FO017</v>
      </c>
      <c r="Z284" s="428">
        <f>IFERROR(VLOOKUP(E:E,'Item Data Support Sheet'!A:O,4,0),0)</f>
        <v>0</v>
      </c>
      <c r="AA284" s="428">
        <f t="shared" si="93"/>
        <v>0</v>
      </c>
      <c r="AB284" s="429" t="str">
        <f t="shared" si="94"/>
        <v xml:space="preserve"> </v>
      </c>
      <c r="AC284" s="424">
        <f t="shared" si="95"/>
        <v>0</v>
      </c>
      <c r="AD284" s="371">
        <f t="shared" si="96"/>
        <v>0</v>
      </c>
      <c r="AE284" s="748">
        <f t="shared" si="97"/>
        <v>1</v>
      </c>
      <c r="AF284" s="417">
        <f t="shared" si="98"/>
        <v>0.66666666666666663</v>
      </c>
      <c r="AG284" s="416">
        <f t="shared" si="99"/>
        <v>7.333333333333333</v>
      </c>
      <c r="AH284" s="372">
        <f t="shared" si="100"/>
        <v>0.91666666666666663</v>
      </c>
      <c r="AI284" s="373">
        <f t="shared" si="101"/>
        <v>750</v>
      </c>
      <c r="AJ284" s="418">
        <f>VLOOKUP(D284,'Standard Cycle time'!C:D,2,0)</f>
        <v>3.5</v>
      </c>
      <c r="AK284" s="418">
        <f t="shared" si="102"/>
        <v>4.4000000000000004</v>
      </c>
      <c r="AL284" s="374">
        <f t="shared" si="103"/>
        <v>0.79545454545454541</v>
      </c>
      <c r="AM284" s="372">
        <f t="shared" si="104"/>
        <v>0.72916666666666663</v>
      </c>
      <c r="AN284" s="799" t="s">
        <v>2680</v>
      </c>
      <c r="AO284" s="929"/>
      <c r="AP284" s="440">
        <v>40</v>
      </c>
      <c r="AQ284" s="440">
        <v>0</v>
      </c>
      <c r="AR284" s="440">
        <v>0</v>
      </c>
      <c r="AS284" s="440">
        <v>0</v>
      </c>
      <c r="AT284" s="440">
        <v>0</v>
      </c>
      <c r="AU284" s="440">
        <v>0</v>
      </c>
      <c r="AV284" s="440">
        <v>0</v>
      </c>
      <c r="AW284" s="440">
        <v>0</v>
      </c>
      <c r="AX284" s="440">
        <v>0</v>
      </c>
      <c r="AY284" s="440">
        <v>0</v>
      </c>
      <c r="AZ284" s="440">
        <v>0</v>
      </c>
      <c r="BA284" s="440">
        <v>0</v>
      </c>
      <c r="BB284" s="440">
        <v>0</v>
      </c>
      <c r="BC284" s="440">
        <v>0</v>
      </c>
      <c r="BD284" s="440">
        <v>0</v>
      </c>
      <c r="BE284" s="440">
        <v>0</v>
      </c>
      <c r="BF284" s="440">
        <v>0</v>
      </c>
      <c r="BG284" s="440">
        <v>0</v>
      </c>
      <c r="BH284" s="440">
        <v>0</v>
      </c>
      <c r="BI284" s="440">
        <v>0</v>
      </c>
      <c r="BJ284" s="440">
        <v>0</v>
      </c>
      <c r="BK284" s="440">
        <v>0</v>
      </c>
      <c r="BL284" s="440">
        <v>0</v>
      </c>
      <c r="BM284" s="440">
        <v>0</v>
      </c>
      <c r="BN284" s="440">
        <v>0</v>
      </c>
      <c r="BO284" s="440">
        <v>0</v>
      </c>
      <c r="BP284" s="440">
        <v>0</v>
      </c>
      <c r="BQ284" s="440">
        <v>0</v>
      </c>
      <c r="BR284" s="415">
        <f t="shared" si="87"/>
        <v>0.66666666666666663</v>
      </c>
      <c r="BS284" s="415">
        <f t="shared" si="89"/>
        <v>0.6777777777777777</v>
      </c>
      <c r="BT284" s="935"/>
      <c r="BU284" s="935"/>
      <c r="BV284" s="935"/>
      <c r="BW284" s="935"/>
      <c r="BX284" s="935"/>
      <c r="BY284" s="935"/>
      <c r="BZ284" s="935"/>
      <c r="CA284" s="935"/>
      <c r="CB284" s="935"/>
      <c r="CC284" s="935"/>
      <c r="CD284" s="935"/>
      <c r="CE284" s="935"/>
      <c r="CF284" s="935"/>
      <c r="CG284" s="935"/>
      <c r="CH284" s="935"/>
      <c r="CI284" s="935"/>
      <c r="CJ284" s="935"/>
      <c r="CK284" s="935"/>
      <c r="CL284" s="935"/>
      <c r="CM284" s="935"/>
      <c r="CN284" s="935"/>
      <c r="CO284" s="935"/>
      <c r="CP284" s="935"/>
      <c r="CQ284" s="935"/>
      <c r="CR284" s="935"/>
      <c r="CS284" s="935"/>
      <c r="CT284" s="935"/>
      <c r="CU284" s="935"/>
      <c r="CV284" s="935"/>
    </row>
    <row r="285" spans="1:100">
      <c r="A285" s="375">
        <f t="shared" si="90"/>
        <v>8</v>
      </c>
      <c r="B285" s="505">
        <v>44434</v>
      </c>
      <c r="C285" s="493" t="s">
        <v>2000</v>
      </c>
      <c r="D285" s="376" t="str">
        <f>IFERROR(VLOOKUP(E:E,'Item Data Support Sheet'!A:O,7,0),"")</f>
        <v>NIPPLE PUNCH INSPECTED</v>
      </c>
      <c r="E285" s="447" t="s">
        <v>2488</v>
      </c>
      <c r="F285" s="500"/>
      <c r="G285" s="376"/>
      <c r="H285" s="602" t="str">
        <f>IFERROR(VLOOKUP(E:E,'Item Data Support Sheet'!A:O,2,0),"")</f>
        <v>NIPPLE S TYPE LL SIZE INSPECTED</v>
      </c>
      <c r="I285" s="501" t="s">
        <v>2639</v>
      </c>
      <c r="J285" s="447" t="s">
        <v>2812</v>
      </c>
      <c r="K285" s="438">
        <v>5.5</v>
      </c>
      <c r="L285" s="499">
        <f>14072-L286</f>
        <v>10072</v>
      </c>
      <c r="M285" s="366">
        <f t="shared" si="105"/>
        <v>1831.2727272727273</v>
      </c>
      <c r="N285" s="367">
        <f t="shared" si="88"/>
        <v>8058</v>
      </c>
      <c r="O285" s="61">
        <v>7978</v>
      </c>
      <c r="P285" s="368">
        <v>0</v>
      </c>
      <c r="Q285" s="368">
        <v>0</v>
      </c>
      <c r="R285" s="494">
        <v>0</v>
      </c>
      <c r="S285" s="493">
        <v>0</v>
      </c>
      <c r="T285" s="494">
        <v>80</v>
      </c>
      <c r="U285" s="493">
        <v>0</v>
      </c>
      <c r="V285" s="502">
        <v>2</v>
      </c>
      <c r="W285" s="453">
        <f t="shared" si="91"/>
        <v>3989</v>
      </c>
      <c r="X285" s="748">
        <f t="shared" si="92"/>
        <v>0.79209690230341545</v>
      </c>
      <c r="Y285" s="451" t="str">
        <f>IFERROR(VLOOKUP(E:E,'Item Data Support Sheet'!A:J,6,0),0)</f>
        <v>FO152</v>
      </c>
      <c r="Z285" s="428">
        <f>IFERROR(VLOOKUP(E:E,'Item Data Support Sheet'!A:O,4,0),0)</f>
        <v>0</v>
      </c>
      <c r="AA285" s="428">
        <f t="shared" si="93"/>
        <v>0</v>
      </c>
      <c r="AB285" s="429" t="str">
        <f t="shared" si="94"/>
        <v xml:space="preserve"> </v>
      </c>
      <c r="AC285" s="424">
        <f t="shared" si="95"/>
        <v>9.928021841648052E-3</v>
      </c>
      <c r="AD285" s="371">
        <f t="shared" si="96"/>
        <v>0</v>
      </c>
      <c r="AE285" s="748">
        <f t="shared" si="97"/>
        <v>0.99007197815835191</v>
      </c>
      <c r="AF285" s="417">
        <f t="shared" si="98"/>
        <v>0.5</v>
      </c>
      <c r="AG285" s="416">
        <f t="shared" si="99"/>
        <v>5</v>
      </c>
      <c r="AH285" s="372">
        <f t="shared" si="100"/>
        <v>0.90909090909090906</v>
      </c>
      <c r="AI285" s="373">
        <f t="shared" si="101"/>
        <v>1450.5454545454545</v>
      </c>
      <c r="AJ285" s="418">
        <f>VLOOKUP(D285,'Standard Cycle time'!C:D,2,0)</f>
        <v>4</v>
      </c>
      <c r="AK285" s="418">
        <f t="shared" si="102"/>
        <v>4.5124091250940088</v>
      </c>
      <c r="AL285" s="374">
        <f t="shared" si="103"/>
        <v>0.88644444444444437</v>
      </c>
      <c r="AM285" s="372">
        <f t="shared" si="104"/>
        <v>0.79785800421690201</v>
      </c>
      <c r="AN285" s="799" t="s">
        <v>2685</v>
      </c>
      <c r="AO285" s="929"/>
      <c r="AP285" s="440">
        <v>30</v>
      </c>
      <c r="AQ285" s="440">
        <v>0</v>
      </c>
      <c r="AR285" s="440">
        <v>0</v>
      </c>
      <c r="AS285" s="440">
        <v>0</v>
      </c>
      <c r="AT285" s="440">
        <v>0</v>
      </c>
      <c r="AU285" s="440">
        <v>0</v>
      </c>
      <c r="AV285" s="440">
        <v>0</v>
      </c>
      <c r="AW285" s="440">
        <v>0</v>
      </c>
      <c r="AX285" s="440">
        <v>0</v>
      </c>
      <c r="AY285" s="440">
        <v>0</v>
      </c>
      <c r="AZ285" s="440">
        <v>0</v>
      </c>
      <c r="BA285" s="440">
        <v>0</v>
      </c>
      <c r="BB285" s="440">
        <v>0</v>
      </c>
      <c r="BC285" s="440">
        <v>0</v>
      </c>
      <c r="BD285" s="440">
        <v>0</v>
      </c>
      <c r="BE285" s="440">
        <v>0</v>
      </c>
      <c r="BF285" s="440">
        <v>0</v>
      </c>
      <c r="BG285" s="440">
        <v>0</v>
      </c>
      <c r="BH285" s="440">
        <v>0</v>
      </c>
      <c r="BI285" s="440">
        <v>0</v>
      </c>
      <c r="BJ285" s="440">
        <v>0</v>
      </c>
      <c r="BK285" s="440">
        <v>0</v>
      </c>
      <c r="BL285" s="440">
        <v>0</v>
      </c>
      <c r="BM285" s="440">
        <v>0</v>
      </c>
      <c r="BN285" s="440">
        <v>0</v>
      </c>
      <c r="BO285" s="440">
        <v>0</v>
      </c>
      <c r="BP285" s="440">
        <v>0</v>
      </c>
      <c r="BQ285" s="440">
        <v>0</v>
      </c>
      <c r="BR285" s="415">
        <f t="shared" si="87"/>
        <v>0.5</v>
      </c>
      <c r="BS285" s="415">
        <f t="shared" si="89"/>
        <v>0.5083333333333333</v>
      </c>
      <c r="BT285" s="935"/>
      <c r="BU285" s="935"/>
      <c r="BV285" s="935"/>
      <c r="BW285" s="935"/>
      <c r="BX285" s="935"/>
      <c r="BY285" s="935"/>
      <c r="BZ285" s="935"/>
      <c r="CA285" s="935"/>
      <c r="CB285" s="935"/>
      <c r="CC285" s="935"/>
      <c r="CD285" s="935"/>
      <c r="CE285" s="935"/>
      <c r="CF285" s="935"/>
      <c r="CG285" s="935"/>
      <c r="CH285" s="935"/>
      <c r="CI285" s="935"/>
      <c r="CJ285" s="935"/>
      <c r="CK285" s="935"/>
      <c r="CL285" s="935"/>
      <c r="CM285" s="935"/>
      <c r="CN285" s="935"/>
      <c r="CO285" s="935"/>
      <c r="CP285" s="935"/>
      <c r="CQ285" s="935"/>
      <c r="CR285" s="935"/>
      <c r="CS285" s="935"/>
      <c r="CT285" s="935"/>
      <c r="CU285" s="935"/>
      <c r="CV285" s="935"/>
    </row>
    <row r="286" spans="1:100">
      <c r="A286" s="375">
        <f t="shared" si="90"/>
        <v>8</v>
      </c>
      <c r="B286" s="505">
        <v>44434</v>
      </c>
      <c r="C286" s="493" t="s">
        <v>2000</v>
      </c>
      <c r="D286" s="376" t="str">
        <f>IFERROR(VLOOKUP(E:E,'Item Data Support Sheet'!A:O,7,0),"")</f>
        <v>NIPPLE PUNCH INSPECTED</v>
      </c>
      <c r="E286" s="447" t="s">
        <v>1820</v>
      </c>
      <c r="F286" s="500"/>
      <c r="G286" s="376"/>
      <c r="H286" s="602" t="str">
        <f>IFERROR(VLOOKUP(E:E,'Item Data Support Sheet'!A:O,2,0),"")</f>
        <v>NIPPLE S TYPE L SIZE PUNCHED INSPECTED</v>
      </c>
      <c r="I286" s="501" t="s">
        <v>2678</v>
      </c>
      <c r="J286" s="447" t="s">
        <v>2812</v>
      </c>
      <c r="K286" s="438">
        <v>3</v>
      </c>
      <c r="L286" s="499">
        <v>4000</v>
      </c>
      <c r="M286" s="366">
        <f t="shared" si="105"/>
        <v>1333.3333333333333</v>
      </c>
      <c r="N286" s="367">
        <f t="shared" si="88"/>
        <v>3982</v>
      </c>
      <c r="O286" s="61">
        <v>3942</v>
      </c>
      <c r="P286" s="368">
        <v>0</v>
      </c>
      <c r="Q286" s="368">
        <v>0</v>
      </c>
      <c r="R286" s="494">
        <v>0</v>
      </c>
      <c r="S286" s="493">
        <v>0</v>
      </c>
      <c r="T286" s="494">
        <v>40</v>
      </c>
      <c r="U286" s="493">
        <v>0</v>
      </c>
      <c r="V286" s="502">
        <v>2</v>
      </c>
      <c r="W286" s="453">
        <f t="shared" si="91"/>
        <v>1971</v>
      </c>
      <c r="X286" s="748">
        <f t="shared" si="92"/>
        <v>0.98550000000000004</v>
      </c>
      <c r="Y286" s="451" t="str">
        <f>IFERROR(VLOOKUP(E:E,'Item Data Support Sheet'!A:J,6,0),0)</f>
        <v>FO106</v>
      </c>
      <c r="Z286" s="428">
        <f>IFERROR(VLOOKUP(E:E,'Item Data Support Sheet'!A:O,4,0),0)</f>
        <v>0</v>
      </c>
      <c r="AA286" s="428">
        <f t="shared" si="93"/>
        <v>0</v>
      </c>
      <c r="AB286" s="429" t="str">
        <f t="shared" si="94"/>
        <v xml:space="preserve"> </v>
      </c>
      <c r="AC286" s="424">
        <f t="shared" si="95"/>
        <v>1.0045203415369162E-2</v>
      </c>
      <c r="AD286" s="371">
        <f t="shared" si="96"/>
        <v>0</v>
      </c>
      <c r="AE286" s="748">
        <f t="shared" si="97"/>
        <v>0.98995479658463081</v>
      </c>
      <c r="AF286" s="417">
        <f t="shared" si="98"/>
        <v>0.33333333333333331</v>
      </c>
      <c r="AG286" s="416">
        <f t="shared" si="99"/>
        <v>2.6666666666666665</v>
      </c>
      <c r="AH286" s="372">
        <f t="shared" si="100"/>
        <v>0.88888888888888884</v>
      </c>
      <c r="AI286" s="373">
        <f t="shared" si="101"/>
        <v>1314</v>
      </c>
      <c r="AJ286" s="418">
        <f>VLOOKUP(D286,'Standard Cycle time'!C:D,2,0)</f>
        <v>4</v>
      </c>
      <c r="AK286" s="418">
        <f t="shared" si="102"/>
        <v>4.8706240487062402</v>
      </c>
      <c r="AL286" s="374">
        <f t="shared" si="103"/>
        <v>0.82125000000000004</v>
      </c>
      <c r="AM286" s="372">
        <f t="shared" si="104"/>
        <v>0.72266700150678054</v>
      </c>
      <c r="AN286" s="799">
        <v>2765</v>
      </c>
      <c r="AO286" s="929"/>
      <c r="AP286" s="440">
        <v>20</v>
      </c>
      <c r="AQ286" s="440">
        <v>0</v>
      </c>
      <c r="AR286" s="440">
        <v>0</v>
      </c>
      <c r="AS286" s="440">
        <v>0</v>
      </c>
      <c r="AT286" s="440">
        <v>0</v>
      </c>
      <c r="AU286" s="440">
        <v>0</v>
      </c>
      <c r="AV286" s="440">
        <v>0</v>
      </c>
      <c r="AW286" s="440">
        <v>0</v>
      </c>
      <c r="AX286" s="440">
        <v>0</v>
      </c>
      <c r="AY286" s="440">
        <v>0</v>
      </c>
      <c r="AZ286" s="440">
        <v>0</v>
      </c>
      <c r="BA286" s="440">
        <v>0</v>
      </c>
      <c r="BB286" s="440">
        <v>0</v>
      </c>
      <c r="BC286" s="440">
        <v>0</v>
      </c>
      <c r="BD286" s="440">
        <v>0</v>
      </c>
      <c r="BE286" s="440">
        <v>0</v>
      </c>
      <c r="BF286" s="440">
        <v>0</v>
      </c>
      <c r="BG286" s="440">
        <v>0</v>
      </c>
      <c r="BH286" s="440">
        <v>0</v>
      </c>
      <c r="BI286" s="440">
        <v>0</v>
      </c>
      <c r="BJ286" s="440">
        <v>0</v>
      </c>
      <c r="BK286" s="440">
        <v>0</v>
      </c>
      <c r="BL286" s="440">
        <v>0</v>
      </c>
      <c r="BM286" s="440">
        <v>0</v>
      </c>
      <c r="BN286" s="440">
        <v>0</v>
      </c>
      <c r="BO286" s="440">
        <v>0</v>
      </c>
      <c r="BP286" s="440">
        <v>0</v>
      </c>
      <c r="BQ286" s="440">
        <v>0</v>
      </c>
      <c r="BR286" s="415">
        <f t="shared" si="87"/>
        <v>0.33333333333333331</v>
      </c>
      <c r="BS286" s="415">
        <f t="shared" si="89"/>
        <v>0.33888888888888885</v>
      </c>
      <c r="BT286" s="935"/>
      <c r="BU286" s="935"/>
      <c r="BV286" s="935"/>
      <c r="BW286" s="935"/>
      <c r="BX286" s="935"/>
      <c r="BY286" s="935"/>
      <c r="BZ286" s="935"/>
      <c r="CA286" s="935"/>
      <c r="CB286" s="935"/>
      <c r="CC286" s="935"/>
      <c r="CD286" s="935"/>
      <c r="CE286" s="935"/>
      <c r="CF286" s="935"/>
      <c r="CG286" s="935"/>
      <c r="CH286" s="935"/>
      <c r="CI286" s="935"/>
      <c r="CJ286" s="935"/>
      <c r="CK286" s="935"/>
      <c r="CL286" s="935"/>
      <c r="CM286" s="935"/>
      <c r="CN286" s="935"/>
      <c r="CO286" s="935"/>
      <c r="CP286" s="935"/>
      <c r="CQ286" s="935"/>
      <c r="CR286" s="935"/>
      <c r="CS286" s="935"/>
      <c r="CT286" s="935"/>
      <c r="CU286" s="935"/>
      <c r="CV286" s="935"/>
    </row>
    <row r="287" spans="1:100">
      <c r="A287" s="375">
        <f t="shared" si="90"/>
        <v>8</v>
      </c>
      <c r="B287" s="505">
        <v>44434</v>
      </c>
      <c r="C287" s="493" t="s">
        <v>2000</v>
      </c>
      <c r="D287" s="376" t="str">
        <f>IFERROR(VLOOKUP(E:E,'Item Data Support Sheet'!A:O,7,0),"")</f>
        <v>NIPPLE WRAP PRINTED</v>
      </c>
      <c r="E287" s="447" t="s">
        <v>109</v>
      </c>
      <c r="F287" s="500"/>
      <c r="G287" s="376" t="s">
        <v>1693</v>
      </c>
      <c r="H287" s="602" t="str">
        <f>IFERROR(VLOOKUP(E:E,'Item Data Support Sheet'!A:O,2,0),"")</f>
        <v>NIPPLE S TYPE M SIZE WITH PRINTED WRAP</v>
      </c>
      <c r="I287" s="501" t="s">
        <v>2683</v>
      </c>
      <c r="J287" s="447" t="s">
        <v>2812</v>
      </c>
      <c r="K287" s="438">
        <v>8.5</v>
      </c>
      <c r="L287" s="499">
        <v>16132</v>
      </c>
      <c r="M287" s="366">
        <f t="shared" si="105"/>
        <v>1897.8823529411766</v>
      </c>
      <c r="N287" s="367">
        <f t="shared" si="88"/>
        <v>17945</v>
      </c>
      <c r="O287" s="61">
        <v>17935</v>
      </c>
      <c r="P287" s="368">
        <v>0</v>
      </c>
      <c r="Q287" s="368">
        <v>0</v>
      </c>
      <c r="R287" s="494">
        <v>0</v>
      </c>
      <c r="S287" s="493">
        <v>0</v>
      </c>
      <c r="T287" s="494">
        <v>10</v>
      </c>
      <c r="U287" s="493">
        <v>0</v>
      </c>
      <c r="V287" s="502">
        <v>2</v>
      </c>
      <c r="W287" s="453">
        <f t="shared" si="91"/>
        <v>8967.5</v>
      </c>
      <c r="X287" s="748">
        <f t="shared" si="92"/>
        <v>1.1117654351599306</v>
      </c>
      <c r="Y287" s="451" t="str">
        <f>IFERROR(VLOOKUP(E:E,'Item Data Support Sheet'!A:J,6,0),0)</f>
        <v>FO020</v>
      </c>
      <c r="Z287" s="428">
        <f>IFERROR(VLOOKUP(E:E,'Item Data Support Sheet'!A:O,4,0),0)</f>
        <v>0</v>
      </c>
      <c r="AA287" s="428">
        <f t="shared" si="93"/>
        <v>0</v>
      </c>
      <c r="AB287" s="429" t="str">
        <f t="shared" si="94"/>
        <v xml:space="preserve"> </v>
      </c>
      <c r="AC287" s="424">
        <f t="shared" si="95"/>
        <v>5.5725828921705215E-4</v>
      </c>
      <c r="AD287" s="371">
        <f t="shared" si="96"/>
        <v>0</v>
      </c>
      <c r="AE287" s="748">
        <f t="shared" si="97"/>
        <v>0.99944274171078296</v>
      </c>
      <c r="AF287" s="417">
        <f t="shared" si="98"/>
        <v>0.83333333333333337</v>
      </c>
      <c r="AG287" s="416">
        <f t="shared" si="99"/>
        <v>7.666666666666667</v>
      </c>
      <c r="AH287" s="372">
        <f t="shared" si="100"/>
        <v>0.90196078431372551</v>
      </c>
      <c r="AI287" s="373">
        <f t="shared" si="101"/>
        <v>2110</v>
      </c>
      <c r="AJ287" s="418">
        <f>VLOOKUP(D287,'Standard Cycle time'!C:D,2,0)</f>
        <v>2.5</v>
      </c>
      <c r="AK287" s="418">
        <f t="shared" si="102"/>
        <v>3.0777808753833287</v>
      </c>
      <c r="AL287" s="374">
        <f t="shared" si="103"/>
        <v>0.81227355072463769</v>
      </c>
      <c r="AM287" s="372">
        <f t="shared" si="104"/>
        <v>0.73223061979505277</v>
      </c>
      <c r="AN287" s="799" t="s">
        <v>2687</v>
      </c>
      <c r="AO287" s="761"/>
      <c r="AP287" s="440">
        <v>50</v>
      </c>
      <c r="AQ287" s="440">
        <v>0</v>
      </c>
      <c r="AR287" s="440">
        <v>0</v>
      </c>
      <c r="AS287" s="440">
        <v>0</v>
      </c>
      <c r="AT287" s="440">
        <v>0</v>
      </c>
      <c r="AU287" s="440">
        <v>0</v>
      </c>
      <c r="AV287" s="440">
        <v>0</v>
      </c>
      <c r="AW287" s="440">
        <v>0</v>
      </c>
      <c r="AX287" s="440">
        <v>0</v>
      </c>
      <c r="AY287" s="440">
        <v>0</v>
      </c>
      <c r="AZ287" s="440">
        <v>0</v>
      </c>
      <c r="BA287" s="440">
        <v>0</v>
      </c>
      <c r="BB287" s="440">
        <v>0</v>
      </c>
      <c r="BC287" s="440">
        <v>0</v>
      </c>
      <c r="BD287" s="440">
        <v>0</v>
      </c>
      <c r="BE287" s="440">
        <v>0</v>
      </c>
      <c r="BF287" s="440">
        <v>0</v>
      </c>
      <c r="BG287" s="440">
        <v>0</v>
      </c>
      <c r="BH287" s="440">
        <v>0</v>
      </c>
      <c r="BI287" s="440">
        <v>0</v>
      </c>
      <c r="BJ287" s="440">
        <v>0</v>
      </c>
      <c r="BK287" s="440">
        <v>0</v>
      </c>
      <c r="BL287" s="440">
        <v>0</v>
      </c>
      <c r="BM287" s="440">
        <v>0</v>
      </c>
      <c r="BN287" s="440">
        <v>0</v>
      </c>
      <c r="BO287" s="440">
        <v>0</v>
      </c>
      <c r="BP287" s="440">
        <v>0</v>
      </c>
      <c r="BQ287" s="440">
        <v>0</v>
      </c>
      <c r="BR287" s="415">
        <f t="shared" si="87"/>
        <v>0.83333333333333337</v>
      </c>
      <c r="BS287" s="415">
        <f t="shared" si="89"/>
        <v>0.84722222222222221</v>
      </c>
      <c r="BT287" s="935"/>
      <c r="BU287" s="935"/>
      <c r="BV287" s="935"/>
      <c r="BW287" s="935"/>
      <c r="BX287" s="935"/>
      <c r="BY287" s="935"/>
      <c r="BZ287" s="935"/>
      <c r="CA287" s="935"/>
      <c r="CB287" s="935"/>
      <c r="CC287" s="935"/>
      <c r="CD287" s="935"/>
      <c r="CE287" s="935"/>
      <c r="CF287" s="935"/>
      <c r="CG287" s="935"/>
      <c r="CH287" s="935"/>
      <c r="CI287" s="935"/>
      <c r="CJ287" s="935"/>
      <c r="CK287" s="935"/>
      <c r="CL287" s="935"/>
      <c r="CM287" s="935"/>
      <c r="CN287" s="935"/>
      <c r="CO287" s="935"/>
      <c r="CP287" s="935"/>
      <c r="CQ287" s="935"/>
      <c r="CR287" s="935"/>
      <c r="CS287" s="935"/>
      <c r="CT287" s="935"/>
      <c r="CU287" s="935"/>
      <c r="CV287" s="935"/>
    </row>
    <row r="288" spans="1:100">
      <c r="A288" s="375">
        <f t="shared" si="90"/>
        <v>8</v>
      </c>
      <c r="B288" s="505">
        <v>44434</v>
      </c>
      <c r="C288" s="493" t="s">
        <v>2000</v>
      </c>
      <c r="D288" s="376" t="str">
        <f>IFERROR(VLOOKUP(E:E,'Item Data Support Sheet'!A:O,7,0),"")</f>
        <v>BOTTLE PRINTED</v>
      </c>
      <c r="E288" s="447" t="s">
        <v>69</v>
      </c>
      <c r="F288" s="500"/>
      <c r="G288" s="376" t="s">
        <v>1698</v>
      </c>
      <c r="H288" s="602" t="str">
        <f>IFERROR(VLOOKUP(E:E,'Item Data Support Sheet'!A:O,2,0),"")</f>
        <v>KPP 120 ML BOTTLE PRINTED</v>
      </c>
      <c r="I288" s="501" t="s">
        <v>2684</v>
      </c>
      <c r="J288" s="447" t="s">
        <v>2813</v>
      </c>
      <c r="K288" s="438">
        <v>8.5</v>
      </c>
      <c r="L288" s="499">
        <v>5100</v>
      </c>
      <c r="M288" s="366">
        <f t="shared" si="105"/>
        <v>600</v>
      </c>
      <c r="N288" s="367">
        <f t="shared" si="88"/>
        <v>6529</v>
      </c>
      <c r="O288" s="61">
        <v>6480</v>
      </c>
      <c r="P288" s="368">
        <v>0</v>
      </c>
      <c r="Q288" s="368">
        <v>0</v>
      </c>
      <c r="R288" s="494">
        <v>0</v>
      </c>
      <c r="S288" s="493">
        <v>0</v>
      </c>
      <c r="T288" s="494">
        <v>49</v>
      </c>
      <c r="U288" s="493">
        <v>0</v>
      </c>
      <c r="V288" s="502">
        <v>6</v>
      </c>
      <c r="W288" s="453">
        <f t="shared" si="91"/>
        <v>1080</v>
      </c>
      <c r="X288" s="748">
        <f t="shared" si="92"/>
        <v>1.2705882352941176</v>
      </c>
      <c r="Y288" s="451" t="str">
        <f>IFERROR(VLOOKUP(E:E,'Item Data Support Sheet'!A:J,6,0),0)</f>
        <v>FO001</v>
      </c>
      <c r="Z288" s="428">
        <f>IFERROR(VLOOKUP(E:E,'Item Data Support Sheet'!A:O,4,0),0)</f>
        <v>0</v>
      </c>
      <c r="AA288" s="428">
        <f t="shared" si="93"/>
        <v>0</v>
      </c>
      <c r="AB288" s="429" t="str">
        <f t="shared" si="94"/>
        <v xml:space="preserve"> </v>
      </c>
      <c r="AC288" s="424">
        <f t="shared" si="95"/>
        <v>7.5049777913922498E-3</v>
      </c>
      <c r="AD288" s="371">
        <f t="shared" si="96"/>
        <v>0</v>
      </c>
      <c r="AE288" s="748">
        <f t="shared" si="97"/>
        <v>0.99249502220860775</v>
      </c>
      <c r="AF288" s="417">
        <f t="shared" si="98"/>
        <v>0.83333333333333337</v>
      </c>
      <c r="AG288" s="416">
        <f t="shared" si="99"/>
        <v>7.666666666666667</v>
      </c>
      <c r="AH288" s="372">
        <f t="shared" si="100"/>
        <v>0.90196078431372551</v>
      </c>
      <c r="AI288" s="373">
        <f t="shared" si="101"/>
        <v>762.35294117647061</v>
      </c>
      <c r="AJ288" s="418">
        <f>VLOOKUP(D288,'Standard Cycle time'!C:D,2,0)</f>
        <v>32.4</v>
      </c>
      <c r="AK288" s="418">
        <f t="shared" si="102"/>
        <v>25.555555555555557</v>
      </c>
      <c r="AL288" s="374">
        <f t="shared" si="103"/>
        <v>1.2678260869565217</v>
      </c>
      <c r="AM288" s="372">
        <f t="shared" si="104"/>
        <v>1.1349472489256078</v>
      </c>
      <c r="AN288" s="799" t="s">
        <v>2792</v>
      </c>
      <c r="AO288" s="929"/>
      <c r="AP288" s="440">
        <v>50</v>
      </c>
      <c r="AQ288" s="440">
        <v>0</v>
      </c>
      <c r="AR288" s="440">
        <v>0</v>
      </c>
      <c r="AS288" s="440">
        <v>0</v>
      </c>
      <c r="AT288" s="440">
        <v>0</v>
      </c>
      <c r="AU288" s="440">
        <v>0</v>
      </c>
      <c r="AV288" s="440">
        <v>0</v>
      </c>
      <c r="AW288" s="440">
        <v>0</v>
      </c>
      <c r="AX288" s="440">
        <v>0</v>
      </c>
      <c r="AY288" s="440">
        <v>0</v>
      </c>
      <c r="AZ288" s="440">
        <v>0</v>
      </c>
      <c r="BA288" s="440">
        <v>0</v>
      </c>
      <c r="BB288" s="440">
        <v>0</v>
      </c>
      <c r="BC288" s="440">
        <v>0</v>
      </c>
      <c r="BD288" s="440">
        <v>0</v>
      </c>
      <c r="BE288" s="440">
        <v>0</v>
      </c>
      <c r="BF288" s="440">
        <v>0</v>
      </c>
      <c r="BG288" s="440">
        <v>0</v>
      </c>
      <c r="BH288" s="440">
        <v>0</v>
      </c>
      <c r="BI288" s="440">
        <v>0</v>
      </c>
      <c r="BJ288" s="440">
        <v>0</v>
      </c>
      <c r="BK288" s="440">
        <v>0</v>
      </c>
      <c r="BL288" s="440">
        <v>0</v>
      </c>
      <c r="BM288" s="440">
        <v>0</v>
      </c>
      <c r="BN288" s="440">
        <v>0</v>
      </c>
      <c r="BO288" s="440">
        <v>0</v>
      </c>
      <c r="BP288" s="440">
        <v>0</v>
      </c>
      <c r="BQ288" s="440">
        <v>0</v>
      </c>
      <c r="BR288" s="415">
        <f t="shared" si="87"/>
        <v>0.83333333333333337</v>
      </c>
      <c r="BS288" s="415">
        <f t="shared" si="89"/>
        <v>0.84722222222222221</v>
      </c>
      <c r="BT288" s="935"/>
      <c r="BU288" s="935"/>
      <c r="BV288" s="935"/>
      <c r="BW288" s="935"/>
      <c r="BX288" s="935"/>
      <c r="BY288" s="935"/>
      <c r="BZ288" s="935"/>
      <c r="CA288" s="935"/>
      <c r="CB288" s="935"/>
      <c r="CC288" s="935"/>
      <c r="CD288" s="935"/>
      <c r="CE288" s="935"/>
      <c r="CF288" s="935"/>
      <c r="CG288" s="935"/>
      <c r="CH288" s="935"/>
      <c r="CI288" s="935"/>
      <c r="CJ288" s="935"/>
      <c r="CK288" s="935"/>
      <c r="CL288" s="935"/>
      <c r="CM288" s="935"/>
      <c r="CN288" s="935"/>
      <c r="CO288" s="935"/>
      <c r="CP288" s="935"/>
      <c r="CQ288" s="935"/>
      <c r="CR288" s="935"/>
      <c r="CS288" s="935"/>
      <c r="CT288" s="935"/>
      <c r="CU288" s="935"/>
      <c r="CV288" s="935"/>
    </row>
    <row r="289" spans="1:100">
      <c r="A289" s="375">
        <f t="shared" si="90"/>
        <v>8</v>
      </c>
      <c r="B289" s="505">
        <v>44434</v>
      </c>
      <c r="C289" s="493" t="s">
        <v>2001</v>
      </c>
      <c r="D289" s="376" t="str">
        <f>IFERROR(VLOOKUP(E:E,'Item Data Support Sheet'!A:O,7,0),"")</f>
        <v>NIPPLE PUNCH</v>
      </c>
      <c r="E289" s="447" t="s">
        <v>82</v>
      </c>
      <c r="F289" s="500"/>
      <c r="G289" s="376" t="s">
        <v>1692</v>
      </c>
      <c r="H289" s="602" t="str">
        <f>IFERROR(VLOOKUP(E:E,'Item Data Support Sheet'!A:O,2,0),"")</f>
        <v>NIPPLE S TYPE L SIZE PUNCHED</v>
      </c>
      <c r="I289" s="501" t="s">
        <v>2686</v>
      </c>
      <c r="J289" s="447" t="s">
        <v>2808</v>
      </c>
      <c r="K289" s="438">
        <v>1</v>
      </c>
      <c r="L289" s="499">
        <v>1000</v>
      </c>
      <c r="M289" s="366">
        <f t="shared" si="105"/>
        <v>1000</v>
      </c>
      <c r="N289" s="367">
        <f t="shared" si="88"/>
        <v>1000</v>
      </c>
      <c r="O289" s="61">
        <v>1000</v>
      </c>
      <c r="P289" s="368">
        <v>0</v>
      </c>
      <c r="Q289" s="368">
        <v>0</v>
      </c>
      <c r="R289" s="494">
        <v>0</v>
      </c>
      <c r="S289" s="493">
        <v>0</v>
      </c>
      <c r="T289" s="494">
        <v>0</v>
      </c>
      <c r="U289" s="493">
        <v>0</v>
      </c>
      <c r="V289" s="502">
        <v>1</v>
      </c>
      <c r="W289" s="453">
        <f t="shared" si="91"/>
        <v>1000</v>
      </c>
      <c r="X289" s="748">
        <f t="shared" si="92"/>
        <v>1</v>
      </c>
      <c r="Y289" s="451" t="str">
        <f>IFERROR(VLOOKUP(E:E,'Item Data Support Sheet'!A:J,6,0),0)</f>
        <v>FO017</v>
      </c>
      <c r="Z289" s="428">
        <f>IFERROR(VLOOKUP(E:E,'Item Data Support Sheet'!A:O,4,0),0)</f>
        <v>0</v>
      </c>
      <c r="AA289" s="428">
        <f t="shared" si="93"/>
        <v>0</v>
      </c>
      <c r="AB289" s="429" t="str">
        <f t="shared" si="94"/>
        <v xml:space="preserve"> </v>
      </c>
      <c r="AC289" s="424">
        <f t="shared" si="95"/>
        <v>0</v>
      </c>
      <c r="AD289" s="371">
        <f t="shared" si="96"/>
        <v>0</v>
      </c>
      <c r="AE289" s="748">
        <f t="shared" si="97"/>
        <v>1</v>
      </c>
      <c r="AF289" s="417">
        <f t="shared" si="98"/>
        <v>0</v>
      </c>
      <c r="AG289" s="416">
        <f t="shared" si="99"/>
        <v>1</v>
      </c>
      <c r="AH289" s="372">
        <f t="shared" si="100"/>
        <v>1</v>
      </c>
      <c r="AI289" s="373">
        <f t="shared" si="101"/>
        <v>1000</v>
      </c>
      <c r="AJ289" s="418">
        <f>VLOOKUP(D289,'Standard Cycle time'!C:D,2,0)</f>
        <v>3.5</v>
      </c>
      <c r="AK289" s="418">
        <f t="shared" si="102"/>
        <v>3.6</v>
      </c>
      <c r="AL289" s="374">
        <f t="shared" si="103"/>
        <v>0.97222222222222221</v>
      </c>
      <c r="AM289" s="372">
        <f t="shared" si="104"/>
        <v>0.97222222222222221</v>
      </c>
      <c r="AN289" s="799">
        <v>2757</v>
      </c>
      <c r="AO289" s="929" t="s">
        <v>2688</v>
      </c>
      <c r="AP289" s="440">
        <v>0</v>
      </c>
      <c r="AQ289" s="440">
        <v>0</v>
      </c>
      <c r="AR289" s="440">
        <v>0</v>
      </c>
      <c r="AS289" s="440">
        <v>0</v>
      </c>
      <c r="AT289" s="440">
        <v>0</v>
      </c>
      <c r="AU289" s="440">
        <v>0</v>
      </c>
      <c r="AV289" s="440">
        <v>0</v>
      </c>
      <c r="AW289" s="440">
        <v>0</v>
      </c>
      <c r="AX289" s="440">
        <v>0</v>
      </c>
      <c r="AY289" s="440">
        <v>0</v>
      </c>
      <c r="AZ289" s="440">
        <v>0</v>
      </c>
      <c r="BA289" s="440">
        <v>0</v>
      </c>
      <c r="BB289" s="440">
        <v>0</v>
      </c>
      <c r="BC289" s="440">
        <v>0</v>
      </c>
      <c r="BD289" s="440">
        <v>0</v>
      </c>
      <c r="BE289" s="440">
        <v>0</v>
      </c>
      <c r="BF289" s="440">
        <v>0</v>
      </c>
      <c r="BG289" s="440">
        <v>0</v>
      </c>
      <c r="BH289" s="440">
        <v>0</v>
      </c>
      <c r="BI289" s="440">
        <v>0</v>
      </c>
      <c r="BJ289" s="440">
        <v>0</v>
      </c>
      <c r="BK289" s="440">
        <v>0</v>
      </c>
      <c r="BL289" s="440">
        <v>0</v>
      </c>
      <c r="BM289" s="440">
        <v>0</v>
      </c>
      <c r="BN289" s="440">
        <v>0</v>
      </c>
      <c r="BO289" s="440">
        <v>0</v>
      </c>
      <c r="BP289" s="440">
        <v>0</v>
      </c>
      <c r="BQ289" s="440">
        <v>0</v>
      </c>
      <c r="BR289" s="415">
        <f t="shared" si="87"/>
        <v>0</v>
      </c>
      <c r="BS289" s="415">
        <f t="shared" si="89"/>
        <v>0</v>
      </c>
      <c r="BT289" s="935"/>
      <c r="BU289" s="935"/>
      <c r="BV289" s="935"/>
      <c r="BW289" s="935"/>
      <c r="BX289" s="935"/>
      <c r="BY289" s="935"/>
      <c r="BZ289" s="935"/>
      <c r="CA289" s="935"/>
      <c r="CB289" s="935"/>
      <c r="CC289" s="935"/>
      <c r="CD289" s="935"/>
      <c r="CE289" s="935"/>
      <c r="CF289" s="935"/>
      <c r="CG289" s="935"/>
      <c r="CH289" s="935"/>
      <c r="CI289" s="935"/>
      <c r="CJ289" s="935"/>
      <c r="CK289" s="935"/>
      <c r="CL289" s="935"/>
      <c r="CM289" s="935"/>
      <c r="CN289" s="935"/>
      <c r="CO289" s="935"/>
      <c r="CP289" s="935"/>
      <c r="CQ289" s="935"/>
      <c r="CR289" s="935"/>
      <c r="CS289" s="935"/>
      <c r="CT289" s="935"/>
      <c r="CU289" s="935"/>
      <c r="CV289" s="935"/>
    </row>
    <row r="290" spans="1:100">
      <c r="A290" s="375">
        <f t="shared" si="90"/>
        <v>8</v>
      </c>
      <c r="B290" s="505">
        <v>44434</v>
      </c>
      <c r="C290" s="493" t="s">
        <v>2001</v>
      </c>
      <c r="D290" s="376" t="str">
        <f>IFERROR(VLOOKUP(E:E,'Item Data Support Sheet'!A:O,7,0),"")</f>
        <v>NIPPLE LASER MARKING</v>
      </c>
      <c r="E290" s="447" t="s">
        <v>1816</v>
      </c>
      <c r="F290" s="500"/>
      <c r="G290" s="376" t="s">
        <v>1812</v>
      </c>
      <c r="H290" s="602" t="str">
        <f>IFERROR(VLOOKUP(E:E,'Item Data Support Sheet'!A:O,2,0),"")</f>
        <v>NIPPLE S TYPE L SIZE PUNCHED LASER MARKED</v>
      </c>
      <c r="I290" s="501" t="s">
        <v>2678</v>
      </c>
      <c r="J290" s="447" t="s">
        <v>2808</v>
      </c>
      <c r="K290" s="438">
        <v>6.5</v>
      </c>
      <c r="L290" s="499">
        <v>7036</v>
      </c>
      <c r="M290" s="366">
        <f t="shared" si="105"/>
        <v>1082.4615384615386</v>
      </c>
      <c r="N290" s="367">
        <f t="shared" si="88"/>
        <v>6000</v>
      </c>
      <c r="O290" s="61">
        <v>6000</v>
      </c>
      <c r="P290" s="368">
        <v>0</v>
      </c>
      <c r="Q290" s="368">
        <v>0</v>
      </c>
      <c r="R290" s="494">
        <v>0</v>
      </c>
      <c r="S290" s="493">
        <v>0</v>
      </c>
      <c r="T290" s="494">
        <v>0</v>
      </c>
      <c r="U290" s="493">
        <v>0</v>
      </c>
      <c r="V290" s="502">
        <v>1</v>
      </c>
      <c r="W290" s="453">
        <f t="shared" si="91"/>
        <v>6000</v>
      </c>
      <c r="X290" s="748">
        <f t="shared" si="92"/>
        <v>0.85275724843661171</v>
      </c>
      <c r="Y290" s="451" t="str">
        <f>IFERROR(VLOOKUP(E:E,'Item Data Support Sheet'!A:J,6,0),0)</f>
        <v>FO021</v>
      </c>
      <c r="Z290" s="428">
        <f>IFERROR(VLOOKUP(E:E,'Item Data Support Sheet'!A:O,4,0),0)</f>
        <v>0</v>
      </c>
      <c r="AA290" s="428">
        <f t="shared" si="93"/>
        <v>0</v>
      </c>
      <c r="AB290" s="429" t="str">
        <f t="shared" si="94"/>
        <v xml:space="preserve"> </v>
      </c>
      <c r="AC290" s="424">
        <f t="shared" si="95"/>
        <v>0</v>
      </c>
      <c r="AD290" s="371">
        <f t="shared" si="96"/>
        <v>0</v>
      </c>
      <c r="AE290" s="748">
        <f t="shared" si="97"/>
        <v>1</v>
      </c>
      <c r="AF290" s="417">
        <f t="shared" si="98"/>
        <v>0.83333333333333337</v>
      </c>
      <c r="AG290" s="416">
        <f t="shared" si="99"/>
        <v>5.666666666666667</v>
      </c>
      <c r="AH290" s="372">
        <f t="shared" si="100"/>
        <v>0.87179487179487181</v>
      </c>
      <c r="AI290" s="373">
        <f t="shared" si="101"/>
        <v>923.07692307692309</v>
      </c>
      <c r="AJ290" s="418">
        <f>VLOOKUP(D290,'Standard Cycle time'!C:D,2,0)</f>
        <v>3.5</v>
      </c>
      <c r="AK290" s="418">
        <f t="shared" si="102"/>
        <v>3.4</v>
      </c>
      <c r="AL290" s="374">
        <f t="shared" si="103"/>
        <v>1.0294117647058825</v>
      </c>
      <c r="AM290" s="372">
        <f t="shared" si="104"/>
        <v>0.89743589743589758</v>
      </c>
      <c r="AN290" s="799" t="s">
        <v>2693</v>
      </c>
      <c r="AO290" s="929"/>
      <c r="AP290" s="440">
        <v>30</v>
      </c>
      <c r="AQ290" s="440">
        <v>0</v>
      </c>
      <c r="AR290" s="440">
        <v>0</v>
      </c>
      <c r="AS290" s="440">
        <v>0</v>
      </c>
      <c r="AT290" s="440">
        <v>20</v>
      </c>
      <c r="AU290" s="440">
        <v>0</v>
      </c>
      <c r="AV290" s="440">
        <v>0</v>
      </c>
      <c r="AW290" s="440">
        <v>0</v>
      </c>
      <c r="AX290" s="440">
        <v>0</v>
      </c>
      <c r="AY290" s="440">
        <v>0</v>
      </c>
      <c r="AZ290" s="440">
        <v>0</v>
      </c>
      <c r="BA290" s="440">
        <v>0</v>
      </c>
      <c r="BB290" s="440">
        <v>0</v>
      </c>
      <c r="BC290" s="440">
        <v>0</v>
      </c>
      <c r="BD290" s="440">
        <v>0</v>
      </c>
      <c r="BE290" s="440">
        <v>0</v>
      </c>
      <c r="BF290" s="440">
        <v>0</v>
      </c>
      <c r="BG290" s="440">
        <v>0</v>
      </c>
      <c r="BH290" s="440">
        <v>0</v>
      </c>
      <c r="BI290" s="440">
        <v>0</v>
      </c>
      <c r="BJ290" s="440">
        <v>0</v>
      </c>
      <c r="BK290" s="440">
        <v>0</v>
      </c>
      <c r="BL290" s="440">
        <v>0</v>
      </c>
      <c r="BM290" s="440">
        <v>0</v>
      </c>
      <c r="BN290" s="440">
        <v>0</v>
      </c>
      <c r="BO290" s="440">
        <v>0</v>
      </c>
      <c r="BP290" s="440">
        <v>0</v>
      </c>
      <c r="BQ290" s="440">
        <v>0</v>
      </c>
      <c r="BR290" s="415">
        <f t="shared" si="87"/>
        <v>0.83333333333333337</v>
      </c>
      <c r="BS290" s="415">
        <f t="shared" si="89"/>
        <v>0.84722222222222221</v>
      </c>
      <c r="BT290" s="935"/>
      <c r="BU290" s="935"/>
      <c r="BV290" s="935"/>
      <c r="BW290" s="935"/>
      <c r="BX290" s="935"/>
      <c r="BY290" s="935"/>
      <c r="BZ290" s="935"/>
      <c r="CA290" s="935"/>
      <c r="CB290" s="935"/>
      <c r="CC290" s="935"/>
      <c r="CD290" s="935"/>
      <c r="CE290" s="935"/>
      <c r="CF290" s="935"/>
      <c r="CG290" s="935"/>
      <c r="CH290" s="935"/>
      <c r="CI290" s="935"/>
      <c r="CJ290" s="935"/>
      <c r="CK290" s="935"/>
      <c r="CL290" s="935"/>
      <c r="CM290" s="935"/>
      <c r="CN290" s="935"/>
      <c r="CO290" s="935"/>
      <c r="CP290" s="935"/>
      <c r="CQ290" s="935"/>
      <c r="CR290" s="935"/>
      <c r="CS290" s="935"/>
      <c r="CT290" s="935"/>
      <c r="CU290" s="935"/>
      <c r="CV290" s="935"/>
    </row>
    <row r="291" spans="1:100">
      <c r="A291" s="375">
        <f t="shared" si="90"/>
        <v>8</v>
      </c>
      <c r="B291" s="505">
        <v>44434</v>
      </c>
      <c r="C291" s="493" t="s">
        <v>2001</v>
      </c>
      <c r="D291" s="376" t="str">
        <f>IFERROR(VLOOKUP(E:E,'Item Data Support Sheet'!A:O,7,0),"")</f>
        <v>NIPPLE MOLDED</v>
      </c>
      <c r="E291" s="447" t="s">
        <v>74</v>
      </c>
      <c r="F291" s="500" t="s">
        <v>1678</v>
      </c>
      <c r="G291" s="376" t="s">
        <v>1691</v>
      </c>
      <c r="H291" s="602" t="str">
        <f>IFERROR(VLOOKUP(E:E,'Item Data Support Sheet'!A:O,2,0),"")</f>
        <v>NIPPLE S TYPE L SIZE INJECTION</v>
      </c>
      <c r="I291" s="501" t="s">
        <v>2689</v>
      </c>
      <c r="J291" s="447" t="s">
        <v>2808</v>
      </c>
      <c r="K291" s="438">
        <v>8</v>
      </c>
      <c r="L291" s="499">
        <v>4815</v>
      </c>
      <c r="M291" s="366">
        <f t="shared" si="105"/>
        <v>601.875</v>
      </c>
      <c r="N291" s="367">
        <f t="shared" si="88"/>
        <v>5090</v>
      </c>
      <c r="O291" s="61">
        <v>5000</v>
      </c>
      <c r="P291" s="368">
        <v>0</v>
      </c>
      <c r="Q291" s="368">
        <v>40</v>
      </c>
      <c r="R291" s="494">
        <v>0</v>
      </c>
      <c r="S291" s="493">
        <v>0</v>
      </c>
      <c r="T291" s="494">
        <v>50</v>
      </c>
      <c r="U291" s="493">
        <v>0</v>
      </c>
      <c r="V291" s="502">
        <v>1</v>
      </c>
      <c r="W291" s="453">
        <f t="shared" si="91"/>
        <v>5000</v>
      </c>
      <c r="X291" s="748">
        <f t="shared" si="92"/>
        <v>1.0384215991692627</v>
      </c>
      <c r="Y291" s="451" t="str">
        <f>IFERROR(VLOOKUP(E:E,'Item Data Support Sheet'!A:J,6,0),0)</f>
        <v>Silicon</v>
      </c>
      <c r="Z291" s="428">
        <f>IFERROR(VLOOKUP(E:E,'Item Data Support Sheet'!A:O,4,0),0)</f>
        <v>6.8</v>
      </c>
      <c r="AA291" s="428">
        <f t="shared" si="93"/>
        <v>34.611999999999995</v>
      </c>
      <c r="AB291" s="429">
        <f t="shared" si="94"/>
        <v>0.98231827111984293</v>
      </c>
      <c r="AC291" s="424">
        <f t="shared" si="95"/>
        <v>9.9009900990099011E-3</v>
      </c>
      <c r="AD291" s="371">
        <f t="shared" si="96"/>
        <v>7.7972709551656916E-3</v>
      </c>
      <c r="AE291" s="748">
        <f t="shared" si="97"/>
        <v>0.99017681728880158</v>
      </c>
      <c r="AF291" s="417">
        <f t="shared" si="98"/>
        <v>0</v>
      </c>
      <c r="AG291" s="416">
        <f t="shared" si="99"/>
        <v>8</v>
      </c>
      <c r="AH291" s="372">
        <f t="shared" si="100"/>
        <v>1</v>
      </c>
      <c r="AI291" s="373">
        <f t="shared" si="101"/>
        <v>625</v>
      </c>
      <c r="AJ291" s="418">
        <f>VLOOKUP(D291,'Standard Cycle time'!C:D,2,0)</f>
        <v>5.25</v>
      </c>
      <c r="AK291" s="418">
        <f t="shared" si="102"/>
        <v>5.76</v>
      </c>
      <c r="AL291" s="374">
        <f t="shared" si="103"/>
        <v>0.91145833333333337</v>
      </c>
      <c r="AM291" s="372">
        <f t="shared" si="104"/>
        <v>0.9025049115913556</v>
      </c>
      <c r="AN291" s="799" t="s">
        <v>2695</v>
      </c>
      <c r="AO291" s="761"/>
      <c r="AP291" s="440">
        <v>0</v>
      </c>
      <c r="AQ291" s="440">
        <v>0</v>
      </c>
      <c r="AR291" s="440">
        <v>0</v>
      </c>
      <c r="AS291" s="440">
        <v>0</v>
      </c>
      <c r="AT291" s="440">
        <v>0</v>
      </c>
      <c r="AU291" s="440">
        <v>0</v>
      </c>
      <c r="AV291" s="440">
        <v>0</v>
      </c>
      <c r="AW291" s="440">
        <v>0</v>
      </c>
      <c r="AX291" s="440">
        <v>0</v>
      </c>
      <c r="AY291" s="440">
        <v>0</v>
      </c>
      <c r="AZ291" s="440">
        <v>0</v>
      </c>
      <c r="BA291" s="440">
        <v>0</v>
      </c>
      <c r="BB291" s="440">
        <v>0</v>
      </c>
      <c r="BC291" s="440">
        <v>0</v>
      </c>
      <c r="BD291" s="440">
        <v>0</v>
      </c>
      <c r="BE291" s="440">
        <v>0</v>
      </c>
      <c r="BF291" s="440">
        <v>0</v>
      </c>
      <c r="BG291" s="440">
        <v>0</v>
      </c>
      <c r="BH291" s="440">
        <v>0</v>
      </c>
      <c r="BI291" s="440">
        <v>0</v>
      </c>
      <c r="BJ291" s="440">
        <v>0</v>
      </c>
      <c r="BK291" s="440">
        <v>0</v>
      </c>
      <c r="BL291" s="440">
        <v>0</v>
      </c>
      <c r="BM291" s="440">
        <v>0</v>
      </c>
      <c r="BN291" s="440">
        <v>0</v>
      </c>
      <c r="BO291" s="440">
        <v>0</v>
      </c>
      <c r="BP291" s="440">
        <v>0</v>
      </c>
      <c r="BQ291" s="440">
        <v>0</v>
      </c>
      <c r="BR291" s="415">
        <f t="shared" si="87"/>
        <v>0</v>
      </c>
      <c r="BS291" s="415">
        <f t="shared" si="89"/>
        <v>0</v>
      </c>
      <c r="BT291" s="935"/>
      <c r="BU291" s="935"/>
      <c r="BV291" s="935"/>
      <c r="BW291" s="935"/>
      <c r="BX291" s="935"/>
      <c r="BY291" s="935"/>
      <c r="BZ291" s="935"/>
      <c r="CA291" s="935"/>
      <c r="CB291" s="935"/>
      <c r="CC291" s="935"/>
      <c r="CD291" s="935"/>
      <c r="CE291" s="935"/>
      <c r="CF291" s="935"/>
      <c r="CG291" s="935"/>
      <c r="CH291" s="935"/>
      <c r="CI291" s="935"/>
      <c r="CJ291" s="935"/>
      <c r="CK291" s="935"/>
      <c r="CL291" s="935"/>
      <c r="CM291" s="935"/>
      <c r="CN291" s="935"/>
      <c r="CO291" s="935"/>
      <c r="CP291" s="935"/>
      <c r="CQ291" s="935"/>
      <c r="CR291" s="935"/>
      <c r="CS291" s="935"/>
      <c r="CT291" s="935"/>
      <c r="CU291" s="935"/>
      <c r="CV291" s="935"/>
    </row>
    <row r="292" spans="1:100">
      <c r="A292" s="375">
        <f t="shared" si="90"/>
        <v>8</v>
      </c>
      <c r="B292" s="505">
        <v>44434</v>
      </c>
      <c r="C292" s="493" t="s">
        <v>2001</v>
      </c>
      <c r="D292" s="376" t="str">
        <f>IFERROR(VLOOKUP(E:E,'Item Data Support Sheet'!A:O,7,0),"")</f>
        <v>NIPPLE POSTCURE</v>
      </c>
      <c r="E292" s="447" t="s">
        <v>78</v>
      </c>
      <c r="F292" s="500"/>
      <c r="G292" s="376" t="s">
        <v>1705</v>
      </c>
      <c r="H292" s="602" t="str">
        <f>IFERROR(VLOOKUP(E:E,'Item Data Support Sheet'!A:O,2,0),"")</f>
        <v>NIPPLE S TYPE L SIZE POSTCURED</v>
      </c>
      <c r="I292" s="501" t="s">
        <v>2690</v>
      </c>
      <c r="J292" s="447" t="s">
        <v>2808</v>
      </c>
      <c r="K292" s="438">
        <v>6</v>
      </c>
      <c r="L292" s="499">
        <v>7036</v>
      </c>
      <c r="M292" s="366">
        <f t="shared" si="105"/>
        <v>1172.6666666666667</v>
      </c>
      <c r="N292" s="367">
        <f t="shared" si="88"/>
        <v>7000</v>
      </c>
      <c r="O292" s="61">
        <v>7000</v>
      </c>
      <c r="P292" s="368">
        <v>0</v>
      </c>
      <c r="Q292" s="368">
        <v>0</v>
      </c>
      <c r="R292" s="494">
        <v>0</v>
      </c>
      <c r="S292" s="493">
        <v>0</v>
      </c>
      <c r="T292" s="494">
        <v>0</v>
      </c>
      <c r="U292" s="493">
        <v>0</v>
      </c>
      <c r="V292" s="502">
        <v>1</v>
      </c>
      <c r="W292" s="453">
        <f t="shared" si="91"/>
        <v>7000</v>
      </c>
      <c r="X292" s="748">
        <f t="shared" si="92"/>
        <v>0.99488345650938037</v>
      </c>
      <c r="Y292" s="451" t="str">
        <f>IFERROR(VLOOKUP(E:E,'Item Data Support Sheet'!A:J,6,0),0)</f>
        <v>FO013</v>
      </c>
      <c r="Z292" s="428">
        <f>IFERROR(VLOOKUP(E:E,'Item Data Support Sheet'!A:O,4,0),0)</f>
        <v>0</v>
      </c>
      <c r="AA292" s="428">
        <f t="shared" si="93"/>
        <v>0</v>
      </c>
      <c r="AB292" s="429" t="str">
        <f t="shared" si="94"/>
        <v xml:space="preserve"> </v>
      </c>
      <c r="AC292" s="424">
        <f t="shared" si="95"/>
        <v>0</v>
      </c>
      <c r="AD292" s="371">
        <f t="shared" si="96"/>
        <v>0</v>
      </c>
      <c r="AE292" s="748">
        <f t="shared" si="97"/>
        <v>1</v>
      </c>
      <c r="AF292" s="417">
        <f t="shared" si="98"/>
        <v>0.5</v>
      </c>
      <c r="AG292" s="416">
        <f t="shared" si="99"/>
        <v>5.5</v>
      </c>
      <c r="AH292" s="372">
        <f t="shared" si="100"/>
        <v>0.91666666666666663</v>
      </c>
      <c r="AI292" s="373">
        <f t="shared" si="101"/>
        <v>1166.6666666666667</v>
      </c>
      <c r="AJ292" s="418">
        <f>VLOOKUP(D292,'Standard Cycle time'!C:D,2,0)</f>
        <v>2.2999999999999998</v>
      </c>
      <c r="AK292" s="418">
        <f t="shared" si="102"/>
        <v>2.8285714285714287</v>
      </c>
      <c r="AL292" s="374">
        <f t="shared" si="103"/>
        <v>0.81313131313131304</v>
      </c>
      <c r="AM292" s="372">
        <f t="shared" si="104"/>
        <v>0.74537037037037024</v>
      </c>
      <c r="AN292" s="799" t="s">
        <v>2694</v>
      </c>
      <c r="AO292" s="929"/>
      <c r="AP292" s="440">
        <v>30</v>
      </c>
      <c r="AQ292" s="440">
        <v>0</v>
      </c>
      <c r="AR292" s="440">
        <v>0</v>
      </c>
      <c r="AS292" s="440">
        <v>0</v>
      </c>
      <c r="AT292" s="440">
        <v>0</v>
      </c>
      <c r="AU292" s="440">
        <v>0</v>
      </c>
      <c r="AV292" s="440">
        <v>0</v>
      </c>
      <c r="AW292" s="440">
        <v>0</v>
      </c>
      <c r="AX292" s="440">
        <v>0</v>
      </c>
      <c r="AY292" s="440">
        <v>0</v>
      </c>
      <c r="AZ292" s="440">
        <v>0</v>
      </c>
      <c r="BA292" s="440">
        <v>0</v>
      </c>
      <c r="BB292" s="440">
        <v>0</v>
      </c>
      <c r="BC292" s="440">
        <v>0</v>
      </c>
      <c r="BD292" s="440">
        <v>0</v>
      </c>
      <c r="BE292" s="440">
        <v>0</v>
      </c>
      <c r="BF292" s="440">
        <v>0</v>
      </c>
      <c r="BG292" s="440">
        <v>0</v>
      </c>
      <c r="BH292" s="440">
        <v>0</v>
      </c>
      <c r="BI292" s="440">
        <v>0</v>
      </c>
      <c r="BJ292" s="440">
        <v>0</v>
      </c>
      <c r="BK292" s="440">
        <v>0</v>
      </c>
      <c r="BL292" s="440">
        <v>0</v>
      </c>
      <c r="BM292" s="440">
        <v>0</v>
      </c>
      <c r="BN292" s="440">
        <v>0</v>
      </c>
      <c r="BO292" s="440">
        <v>0</v>
      </c>
      <c r="BP292" s="440">
        <v>0</v>
      </c>
      <c r="BQ292" s="440">
        <v>0</v>
      </c>
      <c r="BR292" s="415">
        <f t="shared" si="87"/>
        <v>0.5</v>
      </c>
      <c r="BS292" s="415">
        <f t="shared" si="89"/>
        <v>0.5083333333333333</v>
      </c>
      <c r="BT292" s="935"/>
      <c r="BU292" s="935"/>
      <c r="BV292" s="935"/>
      <c r="BW292" s="935"/>
      <c r="BX292" s="935"/>
      <c r="BY292" s="935"/>
      <c r="BZ292" s="935"/>
      <c r="CA292" s="935"/>
      <c r="CB292" s="935"/>
      <c r="CC292" s="935"/>
      <c r="CD292" s="935"/>
      <c r="CE292" s="935"/>
      <c r="CF292" s="935"/>
      <c r="CG292" s="935"/>
      <c r="CH292" s="935"/>
      <c r="CI292" s="935"/>
      <c r="CJ292" s="935"/>
      <c r="CK292" s="935"/>
      <c r="CL292" s="935"/>
      <c r="CM292" s="935"/>
      <c r="CN292" s="935"/>
      <c r="CO292" s="935"/>
      <c r="CP292" s="935"/>
      <c r="CQ292" s="935"/>
      <c r="CR292" s="935"/>
      <c r="CS292" s="935"/>
      <c r="CT292" s="935"/>
      <c r="CU292" s="935"/>
      <c r="CV292" s="935"/>
    </row>
    <row r="293" spans="1:100">
      <c r="A293" s="375">
        <f t="shared" si="90"/>
        <v>8</v>
      </c>
      <c r="B293" s="505">
        <v>44434</v>
      </c>
      <c r="C293" s="493" t="s">
        <v>2001</v>
      </c>
      <c r="D293" s="376" t="str">
        <f>IFERROR(VLOOKUP(E:E,'Item Data Support Sheet'!A:O,7,0),"")</f>
        <v>BOTTLE MOLDED</v>
      </c>
      <c r="E293" s="447" t="s">
        <v>65</v>
      </c>
      <c r="F293" s="500" t="s">
        <v>1682</v>
      </c>
      <c r="G293" s="376" t="s">
        <v>1665</v>
      </c>
      <c r="H293" s="602" t="str">
        <f>IFERROR(VLOOKUP(E:E,'Item Data Support Sheet'!A:O,2,0),"")</f>
        <v>KPP 120 ML BOTTLE MOLDED</v>
      </c>
      <c r="I293" s="501" t="s">
        <v>2691</v>
      </c>
      <c r="J293" s="447" t="s">
        <v>2808</v>
      </c>
      <c r="K293" s="438">
        <v>8</v>
      </c>
      <c r="L293" s="499">
        <v>2574</v>
      </c>
      <c r="M293" s="366">
        <f t="shared" si="105"/>
        <v>321.75</v>
      </c>
      <c r="N293" s="367">
        <f t="shared" si="88"/>
        <v>3271</v>
      </c>
      <c r="O293" s="61">
        <f>17*180</f>
        <v>3060</v>
      </c>
      <c r="P293" s="368">
        <v>0</v>
      </c>
      <c r="Q293" s="368">
        <v>90</v>
      </c>
      <c r="R293" s="494">
        <v>0</v>
      </c>
      <c r="S293" s="493">
        <v>0</v>
      </c>
      <c r="T293" s="494">
        <v>88</v>
      </c>
      <c r="U293" s="493">
        <v>33</v>
      </c>
      <c r="V293" s="502">
        <v>1</v>
      </c>
      <c r="W293" s="453">
        <f t="shared" si="91"/>
        <v>3060</v>
      </c>
      <c r="X293" s="748">
        <f t="shared" si="92"/>
        <v>1.1888111888111887</v>
      </c>
      <c r="Y293" s="451" t="str">
        <f>IFERROR(VLOOKUP(E:E,'Item Data Support Sheet'!A:J,6,0),0)</f>
        <v>HMC</v>
      </c>
      <c r="Z293" s="428">
        <f>IFERROR(VLOOKUP(E:E,'Item Data Support Sheet'!A:O,4,0),0)</f>
        <v>21.3</v>
      </c>
      <c r="AA293" s="428">
        <f t="shared" si="93"/>
        <v>69.672299999999993</v>
      </c>
      <c r="AB293" s="429">
        <f t="shared" si="94"/>
        <v>0.93549373280342407</v>
      </c>
      <c r="AC293" s="424">
        <f t="shared" si="95"/>
        <v>2.795425667090216E-2</v>
      </c>
      <c r="AD293" s="371">
        <f t="shared" si="96"/>
        <v>2.6777744718833679E-2</v>
      </c>
      <c r="AE293" s="748">
        <f t="shared" si="97"/>
        <v>0.97309691225924788</v>
      </c>
      <c r="AF293" s="417">
        <f t="shared" si="98"/>
        <v>0</v>
      </c>
      <c r="AG293" s="416">
        <f t="shared" si="99"/>
        <v>8</v>
      </c>
      <c r="AH293" s="372">
        <f t="shared" si="100"/>
        <v>1</v>
      </c>
      <c r="AI293" s="373">
        <f t="shared" si="101"/>
        <v>382.5</v>
      </c>
      <c r="AJ293" s="418">
        <f>VLOOKUP(D293,'Standard Cycle time'!C:D,2,0)</f>
        <v>9</v>
      </c>
      <c r="AK293" s="418">
        <f t="shared" si="102"/>
        <v>9.4117647058823533</v>
      </c>
      <c r="AL293" s="374">
        <f t="shared" si="103"/>
        <v>0.95624999999999993</v>
      </c>
      <c r="AM293" s="372">
        <f t="shared" si="104"/>
        <v>0.93052392234790571</v>
      </c>
      <c r="AN293" s="799">
        <v>2770</v>
      </c>
      <c r="AO293" s="761"/>
      <c r="AP293" s="440">
        <v>0</v>
      </c>
      <c r="AQ293" s="440">
        <v>0</v>
      </c>
      <c r="AR293" s="440">
        <v>0</v>
      </c>
      <c r="AS293" s="440">
        <v>0</v>
      </c>
      <c r="AT293" s="440">
        <v>0</v>
      </c>
      <c r="AU293" s="440">
        <v>0</v>
      </c>
      <c r="AV293" s="440">
        <v>0</v>
      </c>
      <c r="AW293" s="440">
        <v>0</v>
      </c>
      <c r="AX293" s="440">
        <v>0</v>
      </c>
      <c r="AY293" s="440">
        <v>0</v>
      </c>
      <c r="AZ293" s="440">
        <v>0</v>
      </c>
      <c r="BA293" s="440">
        <v>0</v>
      </c>
      <c r="BB293" s="440">
        <v>0</v>
      </c>
      <c r="BC293" s="440">
        <v>0</v>
      </c>
      <c r="BD293" s="440">
        <v>0</v>
      </c>
      <c r="BE293" s="440">
        <v>0</v>
      </c>
      <c r="BF293" s="440">
        <v>0</v>
      </c>
      <c r="BG293" s="440">
        <v>0</v>
      </c>
      <c r="BH293" s="440">
        <v>0</v>
      </c>
      <c r="BI293" s="440">
        <v>0</v>
      </c>
      <c r="BJ293" s="440">
        <v>0</v>
      </c>
      <c r="BK293" s="440">
        <v>0</v>
      </c>
      <c r="BL293" s="440">
        <v>0</v>
      </c>
      <c r="BM293" s="440">
        <v>0</v>
      </c>
      <c r="BN293" s="440">
        <v>0</v>
      </c>
      <c r="BO293" s="440">
        <v>0</v>
      </c>
      <c r="BP293" s="440">
        <v>0</v>
      </c>
      <c r="BQ293" s="440">
        <v>0</v>
      </c>
      <c r="BR293" s="415">
        <f t="shared" si="87"/>
        <v>0</v>
      </c>
      <c r="BS293" s="415">
        <f t="shared" si="89"/>
        <v>0</v>
      </c>
      <c r="BT293" s="935"/>
      <c r="BU293" s="935"/>
      <c r="BV293" s="935"/>
      <c r="BW293" s="935"/>
      <c r="BX293" s="935"/>
      <c r="BY293" s="935"/>
      <c r="BZ293" s="935"/>
      <c r="CA293" s="935"/>
      <c r="CB293" s="935"/>
      <c r="CC293" s="935"/>
      <c r="CD293" s="935"/>
      <c r="CE293" s="935"/>
      <c r="CF293" s="935"/>
      <c r="CG293" s="935"/>
      <c r="CH293" s="935"/>
      <c r="CI293" s="935"/>
      <c r="CJ293" s="935"/>
      <c r="CK293" s="935"/>
      <c r="CL293" s="935"/>
      <c r="CM293" s="935"/>
      <c r="CN293" s="935"/>
      <c r="CO293" s="935"/>
      <c r="CP293" s="935"/>
      <c r="CQ293" s="935"/>
      <c r="CR293" s="935"/>
      <c r="CS293" s="935"/>
      <c r="CT293" s="935"/>
      <c r="CU293" s="935"/>
      <c r="CV293" s="935"/>
    </row>
    <row r="294" spans="1:100">
      <c r="A294" s="375">
        <f t="shared" si="90"/>
        <v>8</v>
      </c>
      <c r="B294" s="505">
        <v>44434</v>
      </c>
      <c r="C294" s="493" t="s">
        <v>2001</v>
      </c>
      <c r="D294" s="376" t="str">
        <f>IFERROR(VLOOKUP(E:E,'Item Data Support Sheet'!A:O,7,0),"")</f>
        <v>HOOD MOLDED</v>
      </c>
      <c r="E294" s="447" t="s">
        <v>1987</v>
      </c>
      <c r="F294" s="500"/>
      <c r="G294" s="376" t="s">
        <v>2220</v>
      </c>
      <c r="H294" s="602" t="str">
        <f>IFERROR(VLOOKUP(E:E,'Item Data Support Sheet'!A:O,2,0),"")</f>
        <v>HOOD S TYPE MOLDED</v>
      </c>
      <c r="I294" s="501" t="s">
        <v>2692</v>
      </c>
      <c r="J294" s="447" t="s">
        <v>2808</v>
      </c>
      <c r="K294" s="438">
        <v>8</v>
      </c>
      <c r="L294" s="499">
        <v>4137</v>
      </c>
      <c r="M294" s="366">
        <f t="shared" si="105"/>
        <v>517.125</v>
      </c>
      <c r="N294" s="367">
        <f t="shared" si="88"/>
        <v>5520</v>
      </c>
      <c r="O294" s="61">
        <v>5500</v>
      </c>
      <c r="P294" s="368">
        <v>0</v>
      </c>
      <c r="Q294" s="368">
        <v>0</v>
      </c>
      <c r="R294" s="494">
        <v>0</v>
      </c>
      <c r="S294" s="493">
        <v>0</v>
      </c>
      <c r="T294" s="494">
        <v>20</v>
      </c>
      <c r="U294" s="493">
        <v>0</v>
      </c>
      <c r="V294" s="502">
        <v>1</v>
      </c>
      <c r="W294" s="453">
        <f t="shared" si="91"/>
        <v>5500</v>
      </c>
      <c r="X294" s="748">
        <f t="shared" si="92"/>
        <v>1.3294657964708727</v>
      </c>
      <c r="Y294" s="451" t="str">
        <f>IFERROR(VLOOKUP(E:E,'Item Data Support Sheet'!A:J,6,0),0)</f>
        <v>HMC</v>
      </c>
      <c r="Z294" s="428">
        <f>IFERROR(VLOOKUP(E:E,'Item Data Support Sheet'!A:O,4,0),0)</f>
        <v>8.6</v>
      </c>
      <c r="AA294" s="428">
        <f t="shared" si="93"/>
        <v>47.472000000000001</v>
      </c>
      <c r="AB294" s="429">
        <f t="shared" si="94"/>
        <v>0.99637681159420277</v>
      </c>
      <c r="AC294" s="424">
        <f t="shared" si="95"/>
        <v>3.6231884057971015E-3</v>
      </c>
      <c r="AD294" s="371">
        <f t="shared" si="96"/>
        <v>0</v>
      </c>
      <c r="AE294" s="748">
        <f t="shared" si="97"/>
        <v>0.99637681159420288</v>
      </c>
      <c r="AF294" s="417">
        <f t="shared" si="98"/>
        <v>0</v>
      </c>
      <c r="AG294" s="416">
        <f t="shared" si="99"/>
        <v>8</v>
      </c>
      <c r="AH294" s="372">
        <f t="shared" si="100"/>
        <v>1</v>
      </c>
      <c r="AI294" s="373">
        <f t="shared" si="101"/>
        <v>687.5</v>
      </c>
      <c r="AJ294" s="418">
        <f>VLOOKUP(D294,'Standard Cycle time'!C:D,2,0)</f>
        <v>6</v>
      </c>
      <c r="AK294" s="418">
        <f t="shared" si="102"/>
        <v>5.2363636363636363</v>
      </c>
      <c r="AL294" s="374">
        <f t="shared" si="103"/>
        <v>1.1458333333333333</v>
      </c>
      <c r="AM294" s="372">
        <f t="shared" si="104"/>
        <v>1.141681763285024</v>
      </c>
      <c r="AN294" s="799">
        <v>2769</v>
      </c>
      <c r="AO294" s="761"/>
      <c r="AP294" s="440">
        <v>0</v>
      </c>
      <c r="AQ294" s="440">
        <v>0</v>
      </c>
      <c r="AR294" s="440">
        <v>0</v>
      </c>
      <c r="AS294" s="440">
        <v>0</v>
      </c>
      <c r="AT294" s="440">
        <v>0</v>
      </c>
      <c r="AU294" s="440">
        <v>0</v>
      </c>
      <c r="AV294" s="440">
        <v>0</v>
      </c>
      <c r="AW294" s="440">
        <v>0</v>
      </c>
      <c r="AX294" s="440">
        <v>0</v>
      </c>
      <c r="AY294" s="440">
        <v>0</v>
      </c>
      <c r="AZ294" s="440">
        <v>0</v>
      </c>
      <c r="BA294" s="440">
        <v>0</v>
      </c>
      <c r="BB294" s="440">
        <v>0</v>
      </c>
      <c r="BC294" s="440">
        <v>0</v>
      </c>
      <c r="BD294" s="440">
        <v>0</v>
      </c>
      <c r="BE294" s="440">
        <v>0</v>
      </c>
      <c r="BF294" s="440">
        <v>0</v>
      </c>
      <c r="BG294" s="440">
        <v>0</v>
      </c>
      <c r="BH294" s="440">
        <v>0</v>
      </c>
      <c r="BI294" s="440">
        <v>0</v>
      </c>
      <c r="BJ294" s="440">
        <v>0</v>
      </c>
      <c r="BK294" s="440">
        <v>0</v>
      </c>
      <c r="BL294" s="440">
        <v>0</v>
      </c>
      <c r="BM294" s="440">
        <v>0</v>
      </c>
      <c r="BN294" s="440">
        <v>0</v>
      </c>
      <c r="BO294" s="440">
        <v>0</v>
      </c>
      <c r="BP294" s="440">
        <v>0</v>
      </c>
      <c r="BQ294" s="440">
        <v>0</v>
      </c>
      <c r="BR294" s="415">
        <f t="shared" si="87"/>
        <v>0</v>
      </c>
      <c r="BS294" s="415">
        <f t="shared" si="89"/>
        <v>0</v>
      </c>
      <c r="BT294" s="935"/>
      <c r="BU294" s="935"/>
      <c r="BV294" s="935"/>
      <c r="BW294" s="935"/>
      <c r="BX294" s="935"/>
      <c r="BY294" s="935"/>
      <c r="BZ294" s="935"/>
      <c r="CA294" s="935"/>
      <c r="CB294" s="935"/>
      <c r="CC294" s="935"/>
      <c r="CD294" s="935"/>
      <c r="CE294" s="935"/>
      <c r="CF294" s="935"/>
      <c r="CG294" s="935"/>
      <c r="CH294" s="935"/>
      <c r="CI294" s="935"/>
      <c r="CJ294" s="935"/>
      <c r="CK294" s="935"/>
      <c r="CL294" s="935"/>
      <c r="CM294" s="935"/>
      <c r="CN294" s="935"/>
      <c r="CO294" s="935"/>
      <c r="CP294" s="935"/>
      <c r="CQ294" s="935"/>
      <c r="CR294" s="935"/>
      <c r="CS294" s="935"/>
      <c r="CT294" s="935"/>
      <c r="CU294" s="935"/>
      <c r="CV294" s="935"/>
    </row>
    <row r="295" spans="1:100">
      <c r="A295" s="375">
        <f t="shared" si="90"/>
        <v>8</v>
      </c>
      <c r="B295" s="505">
        <v>44434</v>
      </c>
      <c r="C295" s="493" t="s">
        <v>2053</v>
      </c>
      <c r="D295" s="376" t="str">
        <f>IFERROR(VLOOKUP(E:E,'Item Data Support Sheet'!A:O,7,0),"")</f>
        <v>BOTTLE MOLDED</v>
      </c>
      <c r="E295" s="447" t="s">
        <v>65</v>
      </c>
      <c r="F295" s="500" t="s">
        <v>1682</v>
      </c>
      <c r="G295" s="376" t="s">
        <v>1665</v>
      </c>
      <c r="H295" s="602" t="str">
        <f>IFERROR(VLOOKUP(E:E,'Item Data Support Sheet'!A:O,2,0),"")</f>
        <v>KPP 120 ML BOTTLE MOLDED</v>
      </c>
      <c r="I295" s="501" t="s">
        <v>2696</v>
      </c>
      <c r="J295" s="447" t="s">
        <v>2809</v>
      </c>
      <c r="K295" s="438">
        <v>8</v>
      </c>
      <c r="L295" s="499">
        <v>2574</v>
      </c>
      <c r="M295" s="366">
        <f t="shared" si="105"/>
        <v>321.75</v>
      </c>
      <c r="N295" s="367">
        <f t="shared" si="88"/>
        <v>3390</v>
      </c>
      <c r="O295" s="61">
        <f>3240-30</f>
        <v>3210</v>
      </c>
      <c r="P295" s="368">
        <v>0</v>
      </c>
      <c r="Q295" s="368">
        <v>80</v>
      </c>
      <c r="R295" s="494">
        <v>0</v>
      </c>
      <c r="S295" s="493">
        <v>0</v>
      </c>
      <c r="T295" s="494">
        <v>70</v>
      </c>
      <c r="U295" s="493">
        <v>30</v>
      </c>
      <c r="V295" s="502">
        <v>1</v>
      </c>
      <c r="W295" s="453">
        <f t="shared" si="91"/>
        <v>3210</v>
      </c>
      <c r="X295" s="748">
        <f t="shared" si="92"/>
        <v>1.2470862470862472</v>
      </c>
      <c r="Y295" s="451" t="str">
        <f>IFERROR(VLOOKUP(E:E,'Item Data Support Sheet'!A:J,6,0),0)</f>
        <v>HMC</v>
      </c>
      <c r="Z295" s="428">
        <f>IFERROR(VLOOKUP(E:E,'Item Data Support Sheet'!A:O,4,0),0)</f>
        <v>21.3</v>
      </c>
      <c r="AA295" s="428">
        <f t="shared" si="93"/>
        <v>72.206999999999994</v>
      </c>
      <c r="AB295" s="429">
        <f t="shared" si="94"/>
        <v>0.94690265486725678</v>
      </c>
      <c r="AC295" s="424">
        <f t="shared" si="95"/>
        <v>2.1341463414634148E-2</v>
      </c>
      <c r="AD295" s="371">
        <f t="shared" si="96"/>
        <v>2.3054755043227664E-2</v>
      </c>
      <c r="AE295" s="748">
        <f t="shared" si="97"/>
        <v>0.97935103244837762</v>
      </c>
      <c r="AF295" s="417">
        <f t="shared" si="98"/>
        <v>0</v>
      </c>
      <c r="AG295" s="416">
        <f t="shared" si="99"/>
        <v>8</v>
      </c>
      <c r="AH295" s="372">
        <f t="shared" si="100"/>
        <v>1</v>
      </c>
      <c r="AI295" s="373">
        <f t="shared" si="101"/>
        <v>401.25</v>
      </c>
      <c r="AJ295" s="418">
        <f>VLOOKUP(D295,'Standard Cycle time'!C:D,2,0)</f>
        <v>9</v>
      </c>
      <c r="AK295" s="418">
        <f t="shared" si="102"/>
        <v>8.9719626168224291</v>
      </c>
      <c r="AL295" s="374">
        <f t="shared" si="103"/>
        <v>1.003125</v>
      </c>
      <c r="AM295" s="372">
        <f t="shared" si="104"/>
        <v>0.98241150442477887</v>
      </c>
      <c r="AN295" s="799">
        <v>2804</v>
      </c>
      <c r="AO295" s="761"/>
      <c r="AP295" s="440">
        <v>0</v>
      </c>
      <c r="AQ295" s="440">
        <v>0</v>
      </c>
      <c r="AR295" s="440">
        <v>0</v>
      </c>
      <c r="AS295" s="440">
        <v>0</v>
      </c>
      <c r="AT295" s="440">
        <v>0</v>
      </c>
      <c r="AU295" s="440">
        <v>0</v>
      </c>
      <c r="AV295" s="440">
        <v>0</v>
      </c>
      <c r="AW295" s="440">
        <v>0</v>
      </c>
      <c r="AX295" s="440">
        <v>0</v>
      </c>
      <c r="AY295" s="440">
        <v>0</v>
      </c>
      <c r="AZ295" s="440">
        <v>0</v>
      </c>
      <c r="BA295" s="440">
        <v>0</v>
      </c>
      <c r="BB295" s="440">
        <v>0</v>
      </c>
      <c r="BC295" s="440">
        <v>0</v>
      </c>
      <c r="BD295" s="440">
        <v>0</v>
      </c>
      <c r="BE295" s="440">
        <v>0</v>
      </c>
      <c r="BF295" s="440">
        <v>0</v>
      </c>
      <c r="BG295" s="440">
        <v>0</v>
      </c>
      <c r="BH295" s="440">
        <v>0</v>
      </c>
      <c r="BI295" s="440">
        <v>0</v>
      </c>
      <c r="BJ295" s="440">
        <v>0</v>
      </c>
      <c r="BK295" s="440">
        <v>0</v>
      </c>
      <c r="BL295" s="440">
        <v>0</v>
      </c>
      <c r="BM295" s="440">
        <v>0</v>
      </c>
      <c r="BN295" s="440">
        <v>0</v>
      </c>
      <c r="BO295" s="440">
        <v>0</v>
      </c>
      <c r="BP295" s="440">
        <v>0</v>
      </c>
      <c r="BQ295" s="440">
        <v>0</v>
      </c>
      <c r="BR295" s="415">
        <f t="shared" si="87"/>
        <v>0</v>
      </c>
      <c r="BS295" s="415">
        <f t="shared" si="89"/>
        <v>0</v>
      </c>
      <c r="BT295" s="935"/>
      <c r="BU295" s="935"/>
      <c r="BV295" s="935"/>
      <c r="BW295" s="935"/>
      <c r="BX295" s="935"/>
      <c r="BY295" s="935"/>
      <c r="BZ295" s="935"/>
      <c r="CA295" s="935"/>
      <c r="CB295" s="935"/>
      <c r="CC295" s="935"/>
      <c r="CD295" s="935"/>
      <c r="CE295" s="935"/>
      <c r="CF295" s="935"/>
      <c r="CG295" s="935"/>
      <c r="CH295" s="935"/>
      <c r="CI295" s="935"/>
      <c r="CJ295" s="935"/>
      <c r="CK295" s="935"/>
      <c r="CL295" s="935"/>
      <c r="CM295" s="935"/>
      <c r="CN295" s="935"/>
      <c r="CO295" s="935"/>
      <c r="CP295" s="935"/>
      <c r="CQ295" s="935"/>
      <c r="CR295" s="935"/>
      <c r="CS295" s="935"/>
      <c r="CT295" s="935"/>
      <c r="CU295" s="935"/>
      <c r="CV295" s="935"/>
    </row>
    <row r="296" spans="1:100">
      <c r="A296" s="375">
        <f t="shared" si="90"/>
        <v>8</v>
      </c>
      <c r="B296" s="505">
        <v>44434</v>
      </c>
      <c r="C296" s="493" t="s">
        <v>2053</v>
      </c>
      <c r="D296" s="376" t="str">
        <f>IFERROR(VLOOKUP(E:E,'Item Data Support Sheet'!A:O,7,0),"")</f>
        <v>NIPPLE MOLDED</v>
      </c>
      <c r="E296" s="447" t="s">
        <v>74</v>
      </c>
      <c r="F296" s="500" t="s">
        <v>1678</v>
      </c>
      <c r="G296" s="376" t="s">
        <v>1691</v>
      </c>
      <c r="H296" s="602" t="str">
        <f>IFERROR(VLOOKUP(E:E,'Item Data Support Sheet'!A:O,2,0),"")</f>
        <v>NIPPLE S TYPE L SIZE INJECTION</v>
      </c>
      <c r="I296" s="501" t="s">
        <v>2697</v>
      </c>
      <c r="J296" s="447" t="s">
        <v>2809</v>
      </c>
      <c r="K296" s="438">
        <v>8</v>
      </c>
      <c r="L296" s="499">
        <v>4815</v>
      </c>
      <c r="M296" s="366">
        <f t="shared" si="105"/>
        <v>601.875</v>
      </c>
      <c r="N296" s="367">
        <f t="shared" si="88"/>
        <v>5411</v>
      </c>
      <c r="O296" s="61">
        <v>5300</v>
      </c>
      <c r="P296" s="368">
        <v>0</v>
      </c>
      <c r="Q296" s="368">
        <v>43</v>
      </c>
      <c r="R296" s="494">
        <v>0</v>
      </c>
      <c r="S296" s="493">
        <v>0</v>
      </c>
      <c r="T296" s="494">
        <v>60</v>
      </c>
      <c r="U296" s="493">
        <v>8</v>
      </c>
      <c r="V296" s="502">
        <v>1</v>
      </c>
      <c r="W296" s="453">
        <f t="shared" si="91"/>
        <v>5300</v>
      </c>
      <c r="X296" s="748">
        <f t="shared" si="92"/>
        <v>1.1007268951194185</v>
      </c>
      <c r="Y296" s="451" t="str">
        <f>IFERROR(VLOOKUP(E:E,'Item Data Support Sheet'!A:J,6,0),0)</f>
        <v>Silicon</v>
      </c>
      <c r="Z296" s="428">
        <f>IFERROR(VLOOKUP(E:E,'Item Data Support Sheet'!A:O,4,0),0)</f>
        <v>6.8</v>
      </c>
      <c r="AA296" s="428">
        <f t="shared" si="93"/>
        <v>36.794799999999995</v>
      </c>
      <c r="AB296" s="429">
        <f t="shared" si="94"/>
        <v>0.97948623175013871</v>
      </c>
      <c r="AC296" s="424">
        <f t="shared" si="95"/>
        <v>1.1194029850746268E-2</v>
      </c>
      <c r="AD296" s="371">
        <f t="shared" si="96"/>
        <v>7.8841217455078837E-3</v>
      </c>
      <c r="AE296" s="748">
        <f t="shared" si="97"/>
        <v>0.98891147662169654</v>
      </c>
      <c r="AF296" s="417">
        <f t="shared" si="98"/>
        <v>0</v>
      </c>
      <c r="AG296" s="416">
        <f t="shared" si="99"/>
        <v>8</v>
      </c>
      <c r="AH296" s="372">
        <f t="shared" si="100"/>
        <v>1</v>
      </c>
      <c r="AI296" s="373">
        <f t="shared" si="101"/>
        <v>662.5</v>
      </c>
      <c r="AJ296" s="418">
        <f>VLOOKUP(D296,'Standard Cycle time'!C:D,2,0)</f>
        <v>5.25</v>
      </c>
      <c r="AK296" s="418">
        <f t="shared" si="102"/>
        <v>5.4339622641509431</v>
      </c>
      <c r="AL296" s="374">
        <f t="shared" si="103"/>
        <v>0.96614583333333337</v>
      </c>
      <c r="AM296" s="372">
        <f t="shared" si="104"/>
        <v>0.95543270267356617</v>
      </c>
      <c r="AN296" s="799" t="s">
        <v>2699</v>
      </c>
      <c r="AO296" s="929"/>
      <c r="AP296" s="440">
        <v>0</v>
      </c>
      <c r="AQ296" s="440">
        <v>0</v>
      </c>
      <c r="AR296" s="440">
        <v>0</v>
      </c>
      <c r="AS296" s="440">
        <v>0</v>
      </c>
      <c r="AT296" s="440">
        <v>0</v>
      </c>
      <c r="AU296" s="440">
        <v>0</v>
      </c>
      <c r="AV296" s="440">
        <v>0</v>
      </c>
      <c r="AW296" s="440">
        <v>0</v>
      </c>
      <c r="AX296" s="440">
        <v>0</v>
      </c>
      <c r="AY296" s="440">
        <v>0</v>
      </c>
      <c r="AZ296" s="440">
        <v>0</v>
      </c>
      <c r="BA296" s="440">
        <v>0</v>
      </c>
      <c r="BB296" s="440">
        <v>0</v>
      </c>
      <c r="BC296" s="440">
        <v>0</v>
      </c>
      <c r="BD296" s="440">
        <v>0</v>
      </c>
      <c r="BE296" s="440">
        <v>0</v>
      </c>
      <c r="BF296" s="440">
        <v>0</v>
      </c>
      <c r="BG296" s="440">
        <v>0</v>
      </c>
      <c r="BH296" s="440">
        <v>0</v>
      </c>
      <c r="BI296" s="440">
        <v>0</v>
      </c>
      <c r="BJ296" s="440">
        <v>0</v>
      </c>
      <c r="BK296" s="440">
        <v>0</v>
      </c>
      <c r="BL296" s="440">
        <v>0</v>
      </c>
      <c r="BM296" s="440">
        <v>0</v>
      </c>
      <c r="BN296" s="440">
        <v>0</v>
      </c>
      <c r="BO296" s="440">
        <v>0</v>
      </c>
      <c r="BP296" s="440">
        <v>0</v>
      </c>
      <c r="BQ296" s="440">
        <v>0</v>
      </c>
      <c r="BR296" s="415">
        <f t="shared" si="87"/>
        <v>0</v>
      </c>
      <c r="BS296" s="415">
        <f t="shared" si="89"/>
        <v>0</v>
      </c>
      <c r="BT296" s="935"/>
      <c r="BU296" s="935"/>
      <c r="BV296" s="935"/>
      <c r="BW296" s="935"/>
      <c r="BX296" s="935"/>
      <c r="BY296" s="935"/>
      <c r="BZ296" s="935"/>
      <c r="CA296" s="935"/>
      <c r="CB296" s="935"/>
      <c r="CC296" s="935"/>
      <c r="CD296" s="935"/>
      <c r="CE296" s="935"/>
      <c r="CF296" s="935"/>
      <c r="CG296" s="935"/>
      <c r="CH296" s="935"/>
      <c r="CI296" s="935"/>
      <c r="CJ296" s="935"/>
      <c r="CK296" s="935"/>
      <c r="CL296" s="935"/>
      <c r="CM296" s="935"/>
      <c r="CN296" s="935"/>
      <c r="CO296" s="935"/>
      <c r="CP296" s="935"/>
      <c r="CQ296" s="935"/>
      <c r="CR296" s="935"/>
      <c r="CS296" s="935"/>
      <c r="CT296" s="935"/>
      <c r="CU296" s="935"/>
      <c r="CV296" s="935"/>
    </row>
    <row r="297" spans="1:100">
      <c r="A297" s="375">
        <f t="shared" si="90"/>
        <v>8</v>
      </c>
      <c r="B297" s="505">
        <v>44434</v>
      </c>
      <c r="C297" s="493" t="s">
        <v>2053</v>
      </c>
      <c r="D297" s="376" t="str">
        <f>IFERROR(VLOOKUP(E:E,'Item Data Support Sheet'!A:O,7,0),"")</f>
        <v>HOOD MOLDED</v>
      </c>
      <c r="E297" s="447" t="s">
        <v>1987</v>
      </c>
      <c r="F297" s="500"/>
      <c r="G297" s="376" t="s">
        <v>2220</v>
      </c>
      <c r="H297" s="602" t="str">
        <f>IFERROR(VLOOKUP(E:E,'Item Data Support Sheet'!A:O,2,0),"")</f>
        <v>HOOD S TYPE MOLDED</v>
      </c>
      <c r="I297" s="501" t="s">
        <v>2698</v>
      </c>
      <c r="J297" s="447" t="s">
        <v>2809</v>
      </c>
      <c r="K297" s="438">
        <v>8</v>
      </c>
      <c r="L297" s="499">
        <v>4137</v>
      </c>
      <c r="M297" s="366">
        <f t="shared" si="105"/>
        <v>517.125</v>
      </c>
      <c r="N297" s="367">
        <f t="shared" si="88"/>
        <v>5012</v>
      </c>
      <c r="O297" s="61">
        <v>5000</v>
      </c>
      <c r="P297" s="368">
        <v>0</v>
      </c>
      <c r="Q297" s="368">
        <v>0</v>
      </c>
      <c r="R297" s="494">
        <v>0</v>
      </c>
      <c r="S297" s="493">
        <v>0</v>
      </c>
      <c r="T297" s="494">
        <v>4</v>
      </c>
      <c r="U297" s="493">
        <v>8</v>
      </c>
      <c r="V297" s="502">
        <v>1</v>
      </c>
      <c r="W297" s="453">
        <f t="shared" si="91"/>
        <v>5000</v>
      </c>
      <c r="X297" s="748">
        <f t="shared" si="92"/>
        <v>1.2086052695189751</v>
      </c>
      <c r="Y297" s="451" t="str">
        <f>IFERROR(VLOOKUP(E:E,'Item Data Support Sheet'!A:J,6,0),0)</f>
        <v>HMC</v>
      </c>
      <c r="Z297" s="428">
        <f>IFERROR(VLOOKUP(E:E,'Item Data Support Sheet'!A:O,4,0),0)</f>
        <v>8.6</v>
      </c>
      <c r="AA297" s="428">
        <f t="shared" si="93"/>
        <v>43.103200000000001</v>
      </c>
      <c r="AB297" s="429">
        <f t="shared" si="94"/>
        <v>0.99760574620909814</v>
      </c>
      <c r="AC297" s="424">
        <f t="shared" si="95"/>
        <v>7.993605115907274E-4</v>
      </c>
      <c r="AD297" s="371">
        <f t="shared" si="96"/>
        <v>0</v>
      </c>
      <c r="AE297" s="748">
        <f t="shared" si="97"/>
        <v>0.99920191540303271</v>
      </c>
      <c r="AF297" s="417">
        <f t="shared" si="98"/>
        <v>0</v>
      </c>
      <c r="AG297" s="416">
        <f t="shared" si="99"/>
        <v>8</v>
      </c>
      <c r="AH297" s="372">
        <f t="shared" si="100"/>
        <v>1</v>
      </c>
      <c r="AI297" s="373">
        <f t="shared" si="101"/>
        <v>625</v>
      </c>
      <c r="AJ297" s="418">
        <f>VLOOKUP(D297,'Standard Cycle time'!C:D,2,0)</f>
        <v>6</v>
      </c>
      <c r="AK297" s="418">
        <f t="shared" si="102"/>
        <v>5.76</v>
      </c>
      <c r="AL297" s="374">
        <f t="shared" si="103"/>
        <v>1.0416666666666667</v>
      </c>
      <c r="AM297" s="372">
        <f t="shared" si="104"/>
        <v>1.0408353285448257</v>
      </c>
      <c r="AN297" s="799" t="s">
        <v>2700</v>
      </c>
      <c r="AO297" s="761"/>
      <c r="AP297" s="440">
        <v>0</v>
      </c>
      <c r="AQ297" s="440">
        <v>0</v>
      </c>
      <c r="AR297" s="440">
        <v>0</v>
      </c>
      <c r="AS297" s="440">
        <v>0</v>
      </c>
      <c r="AT297" s="440">
        <v>0</v>
      </c>
      <c r="AU297" s="440">
        <v>0</v>
      </c>
      <c r="AV297" s="440">
        <v>0</v>
      </c>
      <c r="AW297" s="440">
        <v>0</v>
      </c>
      <c r="AX297" s="440">
        <v>0</v>
      </c>
      <c r="AY297" s="440">
        <v>0</v>
      </c>
      <c r="AZ297" s="440">
        <v>0</v>
      </c>
      <c r="BA297" s="440">
        <v>0</v>
      </c>
      <c r="BB297" s="440">
        <v>0</v>
      </c>
      <c r="BC297" s="440">
        <v>0</v>
      </c>
      <c r="BD297" s="440">
        <v>0</v>
      </c>
      <c r="BE297" s="440">
        <v>0</v>
      </c>
      <c r="BF297" s="440">
        <v>0</v>
      </c>
      <c r="BG297" s="440">
        <v>0</v>
      </c>
      <c r="BH297" s="440">
        <v>0</v>
      </c>
      <c r="BI297" s="440">
        <v>0</v>
      </c>
      <c r="BJ297" s="440">
        <v>0</v>
      </c>
      <c r="BK297" s="440">
        <v>0</v>
      </c>
      <c r="BL297" s="440">
        <v>0</v>
      </c>
      <c r="BM297" s="440">
        <v>0</v>
      </c>
      <c r="BN297" s="440">
        <v>0</v>
      </c>
      <c r="BO297" s="440">
        <v>0</v>
      </c>
      <c r="BP297" s="440">
        <v>0</v>
      </c>
      <c r="BQ297" s="440">
        <v>0</v>
      </c>
      <c r="BR297" s="415">
        <f t="shared" si="87"/>
        <v>0</v>
      </c>
      <c r="BS297" s="415">
        <f t="shared" si="89"/>
        <v>0</v>
      </c>
      <c r="BT297" s="935"/>
      <c r="BU297" s="935"/>
      <c r="BV297" s="935"/>
      <c r="BW297" s="935"/>
      <c r="BX297" s="935"/>
      <c r="BY297" s="935"/>
      <c r="BZ297" s="935"/>
      <c r="CA297" s="935"/>
      <c r="CB297" s="935"/>
      <c r="CC297" s="935"/>
      <c r="CD297" s="935"/>
      <c r="CE297" s="935"/>
      <c r="CF297" s="935"/>
      <c r="CG297" s="935"/>
      <c r="CH297" s="935"/>
      <c r="CI297" s="935"/>
      <c r="CJ297" s="935"/>
      <c r="CK297" s="935"/>
      <c r="CL297" s="935"/>
      <c r="CM297" s="935"/>
      <c r="CN297" s="935"/>
      <c r="CO297" s="935"/>
      <c r="CP297" s="935"/>
      <c r="CQ297" s="935"/>
      <c r="CR297" s="935"/>
      <c r="CS297" s="935"/>
      <c r="CT297" s="935"/>
      <c r="CU297" s="935"/>
      <c r="CV297" s="935"/>
    </row>
    <row r="298" spans="1:100">
      <c r="A298" s="375">
        <f t="shared" si="90"/>
        <v>8</v>
      </c>
      <c r="B298" s="505">
        <v>44435</v>
      </c>
      <c r="C298" s="493" t="s">
        <v>1980</v>
      </c>
      <c r="D298" s="376" t="str">
        <f>IFERROR(VLOOKUP(E:E,'Item Data Support Sheet'!A:O,7,0),"")</f>
        <v>NIPPLE POSTCURE</v>
      </c>
      <c r="E298" s="447" t="s">
        <v>78</v>
      </c>
      <c r="F298" s="500"/>
      <c r="G298" s="376" t="s">
        <v>1705</v>
      </c>
      <c r="H298" s="602" t="str">
        <f>IFERROR(VLOOKUP(E:E,'Item Data Support Sheet'!A:O,2,0),"")</f>
        <v>NIPPLE S TYPE L SIZE POSTCURED</v>
      </c>
      <c r="I298" s="501" t="s">
        <v>2701</v>
      </c>
      <c r="J298" s="447" t="s">
        <v>2810</v>
      </c>
      <c r="K298" s="438">
        <v>8</v>
      </c>
      <c r="L298" s="499">
        <v>7036</v>
      </c>
      <c r="M298" s="366">
        <f t="shared" si="105"/>
        <v>879.5</v>
      </c>
      <c r="N298" s="367">
        <f t="shared" si="88"/>
        <v>10300</v>
      </c>
      <c r="O298" s="61">
        <f>6300+4000</f>
        <v>10300</v>
      </c>
      <c r="P298" s="368">
        <v>0</v>
      </c>
      <c r="Q298" s="368">
        <v>0</v>
      </c>
      <c r="R298" s="494">
        <v>0</v>
      </c>
      <c r="S298" s="493">
        <v>0</v>
      </c>
      <c r="T298" s="494">
        <v>0</v>
      </c>
      <c r="U298" s="493">
        <v>0</v>
      </c>
      <c r="V298" s="502">
        <v>1</v>
      </c>
      <c r="W298" s="453">
        <f t="shared" si="91"/>
        <v>10300</v>
      </c>
      <c r="X298" s="748">
        <f t="shared" si="92"/>
        <v>1.4638999431495168</v>
      </c>
      <c r="Y298" s="451" t="str">
        <f>IFERROR(VLOOKUP(E:E,'Item Data Support Sheet'!A:J,6,0),0)</f>
        <v>FO013</v>
      </c>
      <c r="Z298" s="428">
        <f>IFERROR(VLOOKUP(E:E,'Item Data Support Sheet'!A:O,4,0),0)</f>
        <v>0</v>
      </c>
      <c r="AA298" s="428">
        <f t="shared" si="93"/>
        <v>0</v>
      </c>
      <c r="AB298" s="429" t="str">
        <f t="shared" si="94"/>
        <v xml:space="preserve"> </v>
      </c>
      <c r="AC298" s="424">
        <f t="shared" si="95"/>
        <v>0</v>
      </c>
      <c r="AD298" s="371">
        <f t="shared" si="96"/>
        <v>0</v>
      </c>
      <c r="AE298" s="748">
        <f t="shared" si="97"/>
        <v>1</v>
      </c>
      <c r="AF298" s="417">
        <f t="shared" si="98"/>
        <v>0.66666666666666663</v>
      </c>
      <c r="AG298" s="416">
        <f t="shared" si="99"/>
        <v>7.333333333333333</v>
      </c>
      <c r="AH298" s="372">
        <f t="shared" si="100"/>
        <v>0.91666666666666663</v>
      </c>
      <c r="AI298" s="373">
        <f t="shared" si="101"/>
        <v>1287.5</v>
      </c>
      <c r="AJ298" s="418">
        <f>VLOOKUP(D298,'Standard Cycle time'!C:D,2,0)</f>
        <v>2.2999999999999998</v>
      </c>
      <c r="AK298" s="418">
        <f t="shared" si="102"/>
        <v>2.563106796116505</v>
      </c>
      <c r="AL298" s="374">
        <f t="shared" si="103"/>
        <v>0.89734848484848473</v>
      </c>
      <c r="AM298" s="372">
        <f t="shared" si="104"/>
        <v>0.82256944444444435</v>
      </c>
      <c r="AN298" s="799" t="s">
        <v>2704</v>
      </c>
      <c r="AO298" s="761"/>
      <c r="AP298" s="440">
        <v>40</v>
      </c>
      <c r="AQ298" s="440">
        <v>0</v>
      </c>
      <c r="AR298" s="440">
        <v>0</v>
      </c>
      <c r="AS298" s="440">
        <v>0</v>
      </c>
      <c r="AT298" s="440">
        <v>0</v>
      </c>
      <c r="AU298" s="440">
        <v>0</v>
      </c>
      <c r="AV298" s="440">
        <v>0</v>
      </c>
      <c r="AW298" s="440">
        <v>0</v>
      </c>
      <c r="AX298" s="440">
        <v>0</v>
      </c>
      <c r="AY298" s="440">
        <v>0</v>
      </c>
      <c r="AZ298" s="440">
        <v>0</v>
      </c>
      <c r="BA298" s="440">
        <v>0</v>
      </c>
      <c r="BB298" s="440">
        <v>0</v>
      </c>
      <c r="BC298" s="440">
        <v>0</v>
      </c>
      <c r="BD298" s="440">
        <v>0</v>
      </c>
      <c r="BE298" s="440">
        <v>0</v>
      </c>
      <c r="BF298" s="440">
        <v>0</v>
      </c>
      <c r="BG298" s="440">
        <v>0</v>
      </c>
      <c r="BH298" s="440">
        <v>0</v>
      </c>
      <c r="BI298" s="440">
        <v>0</v>
      </c>
      <c r="BJ298" s="440">
        <v>0</v>
      </c>
      <c r="BK298" s="440">
        <v>0</v>
      </c>
      <c r="BL298" s="440">
        <v>0</v>
      </c>
      <c r="BM298" s="440">
        <v>0</v>
      </c>
      <c r="BN298" s="440">
        <v>0</v>
      </c>
      <c r="BO298" s="440">
        <v>0</v>
      </c>
      <c r="BP298" s="440">
        <v>0</v>
      </c>
      <c r="BQ298" s="440">
        <v>0</v>
      </c>
      <c r="BR298" s="415">
        <f t="shared" si="87"/>
        <v>0.66666666666666663</v>
      </c>
      <c r="BS298" s="415">
        <f t="shared" si="89"/>
        <v>0.6777777777777777</v>
      </c>
      <c r="BT298" s="935"/>
      <c r="BU298" s="935"/>
      <c r="BV298" s="935"/>
      <c r="BW298" s="935"/>
      <c r="BX298" s="935"/>
      <c r="BY298" s="935"/>
      <c r="BZ298" s="935"/>
      <c r="CA298" s="935"/>
      <c r="CB298" s="935"/>
      <c r="CC298" s="935"/>
      <c r="CD298" s="935"/>
      <c r="CE298" s="935"/>
      <c r="CF298" s="935"/>
      <c r="CG298" s="935"/>
      <c r="CH298" s="935"/>
      <c r="CI298" s="935"/>
      <c r="CJ298" s="935"/>
      <c r="CK298" s="935"/>
      <c r="CL298" s="935"/>
      <c r="CM298" s="935"/>
      <c r="CN298" s="935"/>
      <c r="CO298" s="935"/>
      <c r="CP298" s="935"/>
      <c r="CQ298" s="935"/>
      <c r="CR298" s="935"/>
      <c r="CS298" s="935"/>
      <c r="CT298" s="935"/>
      <c r="CU298" s="935"/>
      <c r="CV298" s="935"/>
    </row>
    <row r="299" spans="1:100" ht="43.5">
      <c r="A299" s="375">
        <f t="shared" si="90"/>
        <v>8</v>
      </c>
      <c r="B299" s="862">
        <v>44435</v>
      </c>
      <c r="C299" s="493" t="s">
        <v>1980</v>
      </c>
      <c r="D299" s="376" t="str">
        <f>IFERROR(VLOOKUP(E:E,'Item Data Support Sheet'!A:O,7,0),"")</f>
        <v>NIPPLE MOLDED</v>
      </c>
      <c r="E299" s="447" t="s">
        <v>74</v>
      </c>
      <c r="F299" s="500"/>
      <c r="G299" s="376" t="s">
        <v>1691</v>
      </c>
      <c r="H299" s="602" t="str">
        <f>IFERROR(VLOOKUP(E:E,'Item Data Support Sheet'!A:O,2,0),"")</f>
        <v>NIPPLE S TYPE L SIZE INJECTION</v>
      </c>
      <c r="I299" s="501" t="s">
        <v>2702</v>
      </c>
      <c r="J299" s="447" t="s">
        <v>2810</v>
      </c>
      <c r="K299" s="438">
        <v>8</v>
      </c>
      <c r="L299" s="499">
        <v>4815</v>
      </c>
      <c r="M299" s="366">
        <f t="shared" si="105"/>
        <v>601.875</v>
      </c>
      <c r="N299" s="367">
        <f t="shared" si="88"/>
        <v>4340</v>
      </c>
      <c r="O299" s="61">
        <v>4170</v>
      </c>
      <c r="P299" s="368">
        <v>0</v>
      </c>
      <c r="Q299" s="368">
        <v>111</v>
      </c>
      <c r="R299" s="494">
        <v>0</v>
      </c>
      <c r="S299" s="493">
        <v>0</v>
      </c>
      <c r="T299" s="494">
        <v>51</v>
      </c>
      <c r="U299" s="493">
        <v>8</v>
      </c>
      <c r="V299" s="502">
        <v>1</v>
      </c>
      <c r="W299" s="453">
        <f t="shared" si="91"/>
        <v>4170</v>
      </c>
      <c r="X299" s="748">
        <f t="shared" si="92"/>
        <v>0.86604361370716509</v>
      </c>
      <c r="Y299" s="451" t="str">
        <f>IFERROR(VLOOKUP(E:E,'Item Data Support Sheet'!A:J,6,0),0)</f>
        <v>Silicon</v>
      </c>
      <c r="Z299" s="428">
        <f>IFERROR(VLOOKUP(E:E,'Item Data Support Sheet'!A:O,4,0),0)</f>
        <v>6.8</v>
      </c>
      <c r="AA299" s="428">
        <f t="shared" si="93"/>
        <v>29.511999999999997</v>
      </c>
      <c r="AB299" s="429">
        <f t="shared" si="94"/>
        <v>0.96082949308755761</v>
      </c>
      <c r="AC299" s="424">
        <f t="shared" si="95"/>
        <v>1.2082444918265814E-2</v>
      </c>
      <c r="AD299" s="371">
        <f t="shared" si="96"/>
        <v>2.4938216131206472E-2</v>
      </c>
      <c r="AE299" s="748">
        <f t="shared" si="97"/>
        <v>0.98824884792626733</v>
      </c>
      <c r="AF299" s="417">
        <f t="shared" si="98"/>
        <v>1</v>
      </c>
      <c r="AG299" s="416">
        <f t="shared" si="99"/>
        <v>7</v>
      </c>
      <c r="AH299" s="372">
        <f t="shared" si="100"/>
        <v>0.875</v>
      </c>
      <c r="AI299" s="373">
        <f t="shared" si="101"/>
        <v>521.25</v>
      </c>
      <c r="AJ299" s="418">
        <f>VLOOKUP(D299,'Standard Cycle time'!C:D,2,0)</f>
        <v>5.25</v>
      </c>
      <c r="AK299" s="418">
        <f t="shared" si="102"/>
        <v>6.043165467625899</v>
      </c>
      <c r="AL299" s="374">
        <f t="shared" si="103"/>
        <v>0.86875000000000002</v>
      </c>
      <c r="AM299" s="372">
        <f t="shared" si="104"/>
        <v>0.75122353830645172</v>
      </c>
      <c r="AN299" s="799">
        <v>2777</v>
      </c>
      <c r="AO299" s="858" t="s">
        <v>2709</v>
      </c>
      <c r="AP299" s="440">
        <v>0</v>
      </c>
      <c r="AQ299" s="440">
        <v>0</v>
      </c>
      <c r="AR299" s="440">
        <v>0</v>
      </c>
      <c r="AS299" s="440">
        <v>0</v>
      </c>
      <c r="AT299" s="440">
        <v>0</v>
      </c>
      <c r="AU299" s="440">
        <v>0</v>
      </c>
      <c r="AV299" s="440">
        <v>60</v>
      </c>
      <c r="AW299" s="440">
        <v>0</v>
      </c>
      <c r="AX299" s="440">
        <v>0</v>
      </c>
      <c r="AY299" s="440">
        <v>0</v>
      </c>
      <c r="AZ299" s="440">
        <v>0</v>
      </c>
      <c r="BA299" s="440">
        <v>0</v>
      </c>
      <c r="BB299" s="440">
        <v>0</v>
      </c>
      <c r="BC299" s="440">
        <v>0</v>
      </c>
      <c r="BD299" s="440">
        <v>0</v>
      </c>
      <c r="BE299" s="440">
        <v>0</v>
      </c>
      <c r="BF299" s="440">
        <v>0</v>
      </c>
      <c r="BG299" s="440">
        <v>0</v>
      </c>
      <c r="BH299" s="440">
        <v>0</v>
      </c>
      <c r="BI299" s="440">
        <v>0</v>
      </c>
      <c r="BJ299" s="440">
        <v>0</v>
      </c>
      <c r="BK299" s="440">
        <v>0</v>
      </c>
      <c r="BL299" s="440">
        <v>0</v>
      </c>
      <c r="BM299" s="440">
        <v>0</v>
      </c>
      <c r="BN299" s="440">
        <v>0</v>
      </c>
      <c r="BO299" s="440">
        <v>0</v>
      </c>
      <c r="BP299" s="440">
        <v>0</v>
      </c>
      <c r="BQ299" s="440">
        <v>0</v>
      </c>
      <c r="BR299" s="415">
        <f t="shared" si="87"/>
        <v>1</v>
      </c>
      <c r="BS299" s="415">
        <f t="shared" si="89"/>
        <v>1.0166666666666666</v>
      </c>
      <c r="BT299" s="935"/>
      <c r="BU299" s="935"/>
      <c r="BV299" s="935"/>
      <c r="BW299" s="935"/>
      <c r="BX299" s="935"/>
      <c r="BY299" s="935"/>
      <c r="BZ299" s="935"/>
      <c r="CA299" s="935"/>
      <c r="CB299" s="935"/>
      <c r="CC299" s="935"/>
      <c r="CD299" s="935"/>
      <c r="CE299" s="935"/>
      <c r="CF299" s="935"/>
      <c r="CG299" s="935"/>
      <c r="CH299" s="935"/>
      <c r="CI299" s="935"/>
      <c r="CJ299" s="935"/>
      <c r="CK299" s="935"/>
      <c r="CL299" s="935"/>
      <c r="CM299" s="935"/>
      <c r="CN299" s="935"/>
      <c r="CO299" s="935"/>
      <c r="CP299" s="935"/>
      <c r="CQ299" s="935"/>
      <c r="CR299" s="935"/>
      <c r="CS299" s="935"/>
      <c r="CT299" s="935"/>
      <c r="CU299" s="935"/>
      <c r="CV299" s="935"/>
    </row>
    <row r="300" spans="1:100">
      <c r="A300" s="375">
        <f t="shared" si="90"/>
        <v>8</v>
      </c>
      <c r="B300" s="862">
        <v>44435</v>
      </c>
      <c r="C300" s="493" t="s">
        <v>1980</v>
      </c>
      <c r="D300" s="376" t="str">
        <f>IFERROR(VLOOKUP(E:E,'Item Data Support Sheet'!A:O,7,0),"")</f>
        <v>HOOD MOLDED</v>
      </c>
      <c r="E300" s="447" t="s">
        <v>1987</v>
      </c>
      <c r="F300" s="500"/>
      <c r="G300" s="376" t="s">
        <v>2220</v>
      </c>
      <c r="H300" s="602" t="str">
        <f>IFERROR(VLOOKUP(E:E,'Item Data Support Sheet'!A:O,2,0),"")</f>
        <v>HOOD S TYPE MOLDED</v>
      </c>
      <c r="I300" s="501" t="s">
        <v>2703</v>
      </c>
      <c r="J300" s="447" t="s">
        <v>2810</v>
      </c>
      <c r="K300" s="438">
        <v>8</v>
      </c>
      <c r="L300" s="499">
        <v>4137</v>
      </c>
      <c r="M300" s="366">
        <f t="shared" si="105"/>
        <v>517.125</v>
      </c>
      <c r="N300" s="367">
        <f t="shared" si="88"/>
        <v>5526</v>
      </c>
      <c r="O300" s="61">
        <v>5500</v>
      </c>
      <c r="P300" s="368">
        <v>0</v>
      </c>
      <c r="Q300" s="368">
        <v>0</v>
      </c>
      <c r="R300" s="494">
        <v>0</v>
      </c>
      <c r="S300" s="493">
        <v>0</v>
      </c>
      <c r="T300" s="494">
        <v>18</v>
      </c>
      <c r="U300" s="493">
        <v>8</v>
      </c>
      <c r="V300" s="502">
        <v>1</v>
      </c>
      <c r="W300" s="453">
        <f t="shared" si="91"/>
        <v>5500</v>
      </c>
      <c r="X300" s="748">
        <f t="shared" si="92"/>
        <v>1.3294657964708727</v>
      </c>
      <c r="Y300" s="451" t="str">
        <f>IFERROR(VLOOKUP(E:E,'Item Data Support Sheet'!A:J,6,0),0)</f>
        <v>HMC</v>
      </c>
      <c r="Z300" s="428">
        <f>IFERROR(VLOOKUP(E:E,'Item Data Support Sheet'!A:O,4,0),0)</f>
        <v>8.6</v>
      </c>
      <c r="AA300" s="428">
        <f t="shared" si="93"/>
        <v>47.523600000000002</v>
      </c>
      <c r="AB300" s="429">
        <f t="shared" si="94"/>
        <v>0.9952949692363372</v>
      </c>
      <c r="AC300" s="424">
        <f t="shared" si="95"/>
        <v>3.2620514679231605E-3</v>
      </c>
      <c r="AD300" s="371">
        <f t="shared" si="96"/>
        <v>0</v>
      </c>
      <c r="AE300" s="748">
        <f t="shared" si="97"/>
        <v>0.99674267100977199</v>
      </c>
      <c r="AF300" s="417">
        <f t="shared" si="98"/>
        <v>0</v>
      </c>
      <c r="AG300" s="416">
        <f t="shared" si="99"/>
        <v>8</v>
      </c>
      <c r="AH300" s="372">
        <f t="shared" si="100"/>
        <v>1</v>
      </c>
      <c r="AI300" s="373">
        <f t="shared" si="101"/>
        <v>687.5</v>
      </c>
      <c r="AJ300" s="418">
        <f>VLOOKUP(D300,'Standard Cycle time'!C:D,2,0)</f>
        <v>6</v>
      </c>
      <c r="AK300" s="418">
        <f t="shared" si="102"/>
        <v>5.2363636363636363</v>
      </c>
      <c r="AL300" s="374">
        <f t="shared" si="103"/>
        <v>1.1458333333333333</v>
      </c>
      <c r="AM300" s="372">
        <f t="shared" si="104"/>
        <v>1.142100977198697</v>
      </c>
      <c r="AN300" s="799">
        <v>2778</v>
      </c>
      <c r="AO300" s="761"/>
      <c r="AP300" s="440">
        <v>0</v>
      </c>
      <c r="AQ300" s="440">
        <v>0</v>
      </c>
      <c r="AR300" s="440">
        <v>0</v>
      </c>
      <c r="AS300" s="440">
        <v>0</v>
      </c>
      <c r="AT300" s="440">
        <v>0</v>
      </c>
      <c r="AU300" s="440">
        <v>0</v>
      </c>
      <c r="AV300" s="440">
        <v>0</v>
      </c>
      <c r="AW300" s="440">
        <v>0</v>
      </c>
      <c r="AX300" s="440">
        <v>0</v>
      </c>
      <c r="AY300" s="440">
        <v>0</v>
      </c>
      <c r="AZ300" s="440">
        <v>0</v>
      </c>
      <c r="BA300" s="440">
        <v>0</v>
      </c>
      <c r="BB300" s="440">
        <v>0</v>
      </c>
      <c r="BC300" s="440">
        <v>0</v>
      </c>
      <c r="BD300" s="440">
        <v>0</v>
      </c>
      <c r="BE300" s="440">
        <v>0</v>
      </c>
      <c r="BF300" s="440">
        <v>0</v>
      </c>
      <c r="BG300" s="440">
        <v>0</v>
      </c>
      <c r="BH300" s="440">
        <v>0</v>
      </c>
      <c r="BI300" s="440">
        <v>0</v>
      </c>
      <c r="BJ300" s="440">
        <v>0</v>
      </c>
      <c r="BK300" s="440">
        <v>0</v>
      </c>
      <c r="BL300" s="440">
        <v>0</v>
      </c>
      <c r="BM300" s="440">
        <v>0</v>
      </c>
      <c r="BN300" s="440">
        <v>0</v>
      </c>
      <c r="BO300" s="440">
        <v>0</v>
      </c>
      <c r="BP300" s="440">
        <v>0</v>
      </c>
      <c r="BQ300" s="440">
        <v>0</v>
      </c>
      <c r="BR300" s="415">
        <f t="shared" si="87"/>
        <v>0</v>
      </c>
      <c r="BS300" s="415">
        <f t="shared" si="89"/>
        <v>0</v>
      </c>
      <c r="BT300" s="935"/>
      <c r="BU300" s="935"/>
      <c r="BV300" s="935"/>
      <c r="BW300" s="935"/>
      <c r="BX300" s="935"/>
      <c r="BY300" s="935"/>
      <c r="BZ300" s="935"/>
      <c r="CA300" s="935"/>
      <c r="CB300" s="935"/>
      <c r="CC300" s="935"/>
      <c r="CD300" s="935"/>
      <c r="CE300" s="935"/>
      <c r="CF300" s="935"/>
      <c r="CG300" s="935"/>
      <c r="CH300" s="935"/>
      <c r="CI300" s="935"/>
      <c r="CJ300" s="935"/>
      <c r="CK300" s="935"/>
      <c r="CL300" s="935"/>
      <c r="CM300" s="935"/>
      <c r="CN300" s="935"/>
      <c r="CO300" s="935"/>
      <c r="CP300" s="935"/>
      <c r="CQ300" s="935"/>
      <c r="CR300" s="935"/>
      <c r="CS300" s="935"/>
      <c r="CT300" s="935"/>
      <c r="CU300" s="935"/>
      <c r="CV300" s="935"/>
    </row>
    <row r="301" spans="1:100">
      <c r="A301" s="375">
        <f t="shared" si="90"/>
        <v>8</v>
      </c>
      <c r="B301" s="862">
        <v>44435</v>
      </c>
      <c r="C301" s="493" t="s">
        <v>1980</v>
      </c>
      <c r="D301" s="376" t="str">
        <f>IFERROR(VLOOKUP(E:E,'Item Data Support Sheet'!A:O,7,0),"")</f>
        <v>NIPPLE PUNCH</v>
      </c>
      <c r="E301" s="447" t="s">
        <v>82</v>
      </c>
      <c r="F301" s="500"/>
      <c r="G301" s="376" t="s">
        <v>1691</v>
      </c>
      <c r="H301" s="602" t="str">
        <f>IFERROR(VLOOKUP(E:E,'Item Data Support Sheet'!A:O,2,0),"")</f>
        <v>NIPPLE S TYPE L SIZE PUNCHED</v>
      </c>
      <c r="I301" s="501" t="s">
        <v>2706</v>
      </c>
      <c r="J301" s="447" t="s">
        <v>2810</v>
      </c>
      <c r="K301" s="438">
        <v>8</v>
      </c>
      <c r="L301" s="499">
        <v>7036</v>
      </c>
      <c r="M301" s="366">
        <f t="shared" si="105"/>
        <v>879.5</v>
      </c>
      <c r="N301" s="367">
        <f t="shared" si="88"/>
        <v>6588</v>
      </c>
      <c r="O301" s="61">
        <v>6588</v>
      </c>
      <c r="P301" s="368">
        <v>0</v>
      </c>
      <c r="Q301" s="368">
        <v>0</v>
      </c>
      <c r="R301" s="494">
        <v>0</v>
      </c>
      <c r="S301" s="493">
        <v>0</v>
      </c>
      <c r="T301" s="494">
        <v>0</v>
      </c>
      <c r="U301" s="493">
        <v>0</v>
      </c>
      <c r="V301" s="502">
        <v>1</v>
      </c>
      <c r="W301" s="453">
        <f t="shared" si="91"/>
        <v>6588</v>
      </c>
      <c r="X301" s="748">
        <f t="shared" si="92"/>
        <v>0.93632745878339962</v>
      </c>
      <c r="Y301" s="451" t="str">
        <f>IFERROR(VLOOKUP(E:E,'Item Data Support Sheet'!A:J,6,0),0)</f>
        <v>FO017</v>
      </c>
      <c r="Z301" s="428">
        <f>IFERROR(VLOOKUP(E:E,'Item Data Support Sheet'!A:O,4,0),0)</f>
        <v>0</v>
      </c>
      <c r="AA301" s="428">
        <f t="shared" si="93"/>
        <v>0</v>
      </c>
      <c r="AB301" s="429" t="str">
        <f t="shared" si="94"/>
        <v xml:space="preserve"> </v>
      </c>
      <c r="AC301" s="424">
        <f t="shared" si="95"/>
        <v>0</v>
      </c>
      <c r="AD301" s="371">
        <f t="shared" si="96"/>
        <v>0</v>
      </c>
      <c r="AE301" s="748">
        <f t="shared" si="97"/>
        <v>1</v>
      </c>
      <c r="AF301" s="417">
        <f t="shared" si="98"/>
        <v>0.66666666666666663</v>
      </c>
      <c r="AG301" s="416">
        <f t="shared" si="99"/>
        <v>7.333333333333333</v>
      </c>
      <c r="AH301" s="372">
        <f t="shared" si="100"/>
        <v>0.91666666666666663</v>
      </c>
      <c r="AI301" s="373">
        <f t="shared" si="101"/>
        <v>823.5</v>
      </c>
      <c r="AJ301" s="418">
        <f>VLOOKUP(D301,'Standard Cycle time'!C:D,2,0)</f>
        <v>3.5</v>
      </c>
      <c r="AK301" s="418">
        <f t="shared" si="102"/>
        <v>4.007285974499089</v>
      </c>
      <c r="AL301" s="374">
        <f t="shared" si="103"/>
        <v>0.87340909090909102</v>
      </c>
      <c r="AM301" s="372">
        <f t="shared" si="104"/>
        <v>0.80062500000000003</v>
      </c>
      <c r="AN301" s="799" t="s">
        <v>2705</v>
      </c>
      <c r="AO301" s="929" t="s">
        <v>2712</v>
      </c>
      <c r="AP301" s="440">
        <v>40</v>
      </c>
      <c r="AQ301" s="440">
        <v>0</v>
      </c>
      <c r="AR301" s="440">
        <v>0</v>
      </c>
      <c r="AS301" s="440">
        <v>0</v>
      </c>
      <c r="AT301" s="440">
        <v>0</v>
      </c>
      <c r="AU301" s="440">
        <v>0</v>
      </c>
      <c r="AV301" s="440">
        <v>0</v>
      </c>
      <c r="AW301" s="440">
        <v>0</v>
      </c>
      <c r="AX301" s="440">
        <v>0</v>
      </c>
      <c r="AY301" s="440">
        <v>0</v>
      </c>
      <c r="AZ301" s="440">
        <v>0</v>
      </c>
      <c r="BA301" s="440">
        <v>0</v>
      </c>
      <c r="BB301" s="440">
        <v>0</v>
      </c>
      <c r="BC301" s="440">
        <v>0</v>
      </c>
      <c r="BD301" s="440">
        <v>0</v>
      </c>
      <c r="BE301" s="440">
        <v>0</v>
      </c>
      <c r="BF301" s="440">
        <v>0</v>
      </c>
      <c r="BG301" s="440">
        <v>0</v>
      </c>
      <c r="BH301" s="440">
        <v>0</v>
      </c>
      <c r="BI301" s="440">
        <v>0</v>
      </c>
      <c r="BJ301" s="440">
        <v>0</v>
      </c>
      <c r="BK301" s="440">
        <v>0</v>
      </c>
      <c r="BL301" s="440">
        <v>0</v>
      </c>
      <c r="BM301" s="440">
        <v>0</v>
      </c>
      <c r="BN301" s="440">
        <v>0</v>
      </c>
      <c r="BO301" s="440">
        <v>0</v>
      </c>
      <c r="BP301" s="440">
        <v>0</v>
      </c>
      <c r="BQ301" s="440">
        <v>0</v>
      </c>
      <c r="BR301" s="415">
        <f t="shared" si="87"/>
        <v>0.66666666666666663</v>
      </c>
      <c r="BS301" s="415">
        <f t="shared" si="89"/>
        <v>0.6777777777777777</v>
      </c>
      <c r="BT301" s="935"/>
      <c r="BU301" s="935"/>
      <c r="BV301" s="935"/>
      <c r="BW301" s="935"/>
      <c r="BX301" s="935"/>
      <c r="BY301" s="935"/>
      <c r="BZ301" s="935"/>
      <c r="CA301" s="935"/>
      <c r="CB301" s="935"/>
      <c r="CC301" s="935"/>
      <c r="CD301" s="935"/>
      <c r="CE301" s="935"/>
      <c r="CF301" s="935"/>
      <c r="CG301" s="935"/>
      <c r="CH301" s="935"/>
      <c r="CI301" s="935"/>
      <c r="CJ301" s="935"/>
      <c r="CK301" s="935"/>
      <c r="CL301" s="935"/>
      <c r="CM301" s="935"/>
      <c r="CN301" s="935"/>
      <c r="CO301" s="935"/>
      <c r="CP301" s="935"/>
      <c r="CQ301" s="935"/>
      <c r="CR301" s="935"/>
      <c r="CS301" s="935"/>
      <c r="CT301" s="935"/>
      <c r="CU301" s="935"/>
      <c r="CV301" s="935"/>
    </row>
    <row r="302" spans="1:100">
      <c r="A302" s="375">
        <f t="shared" si="90"/>
        <v>8</v>
      </c>
      <c r="B302" s="862">
        <v>44435</v>
      </c>
      <c r="C302" s="493" t="s">
        <v>1980</v>
      </c>
      <c r="D302" s="376" t="str">
        <f>IFERROR(VLOOKUP(E:E,'Item Data Support Sheet'!A:O,7,0),"")</f>
        <v>NIPPLE LASER MARKING</v>
      </c>
      <c r="E302" s="447" t="s">
        <v>2487</v>
      </c>
      <c r="F302" s="500"/>
      <c r="G302" s="376" t="s">
        <v>1812</v>
      </c>
      <c r="H302" s="602" t="str">
        <f>IFERROR(VLOOKUP(E:E,'Item Data Support Sheet'!A:O,2,0),"")</f>
        <v>NIPPLE S TYPE LL SIZE LASER MARKED</v>
      </c>
      <c r="I302" s="501" t="s">
        <v>2677</v>
      </c>
      <c r="J302" s="447" t="s">
        <v>2810</v>
      </c>
      <c r="K302" s="438">
        <v>2.2999999999999998</v>
      </c>
      <c r="L302" s="499">
        <v>2250</v>
      </c>
      <c r="M302" s="366">
        <f t="shared" si="105"/>
        <v>978.26086956521749</v>
      </c>
      <c r="N302" s="367">
        <f t="shared" si="88"/>
        <v>2250</v>
      </c>
      <c r="O302" s="61">
        <v>2250</v>
      </c>
      <c r="P302" s="368">
        <v>0</v>
      </c>
      <c r="Q302" s="368">
        <v>0</v>
      </c>
      <c r="R302" s="494">
        <v>0</v>
      </c>
      <c r="S302" s="493">
        <v>0</v>
      </c>
      <c r="T302" s="494">
        <v>0</v>
      </c>
      <c r="U302" s="493">
        <v>0</v>
      </c>
      <c r="V302" s="502">
        <v>1</v>
      </c>
      <c r="W302" s="453">
        <f t="shared" si="91"/>
        <v>2250</v>
      </c>
      <c r="X302" s="748">
        <f t="shared" si="92"/>
        <v>1</v>
      </c>
      <c r="Y302" s="451" t="str">
        <f>IFERROR(VLOOKUP(E:E,'Item Data Support Sheet'!A:J,6,0),0)</f>
        <v>FO151</v>
      </c>
      <c r="Z302" s="428">
        <f>IFERROR(VLOOKUP(E:E,'Item Data Support Sheet'!A:O,4,0),0)</f>
        <v>0</v>
      </c>
      <c r="AA302" s="428">
        <f t="shared" si="93"/>
        <v>0</v>
      </c>
      <c r="AB302" s="429" t="str">
        <f t="shared" si="94"/>
        <v xml:space="preserve"> </v>
      </c>
      <c r="AC302" s="424">
        <f t="shared" si="95"/>
        <v>0</v>
      </c>
      <c r="AD302" s="371">
        <f t="shared" si="96"/>
        <v>0</v>
      </c>
      <c r="AE302" s="748">
        <f t="shared" si="97"/>
        <v>1</v>
      </c>
      <c r="AF302" s="417">
        <f t="shared" si="98"/>
        <v>0</v>
      </c>
      <c r="AG302" s="416">
        <f t="shared" si="99"/>
        <v>2.2999999999999998</v>
      </c>
      <c r="AH302" s="372">
        <f t="shared" si="100"/>
        <v>1</v>
      </c>
      <c r="AI302" s="373">
        <f t="shared" si="101"/>
        <v>978.26086956521749</v>
      </c>
      <c r="AJ302" s="418">
        <f>VLOOKUP(D302,'Standard Cycle time'!C:D,2,0)</f>
        <v>3.5</v>
      </c>
      <c r="AK302" s="418">
        <f t="shared" si="102"/>
        <v>3.68</v>
      </c>
      <c r="AL302" s="374">
        <f t="shared" si="103"/>
        <v>0.95108695652173914</v>
      </c>
      <c r="AM302" s="372">
        <f t="shared" si="104"/>
        <v>0.95108695652173914</v>
      </c>
      <c r="AN302" s="799" t="s">
        <v>2708</v>
      </c>
      <c r="AO302" s="929"/>
      <c r="AP302" s="440">
        <v>0</v>
      </c>
      <c r="AQ302" s="440">
        <v>0</v>
      </c>
      <c r="AR302" s="440">
        <v>0</v>
      </c>
      <c r="AS302" s="440">
        <v>0</v>
      </c>
      <c r="AT302" s="440">
        <v>0</v>
      </c>
      <c r="AU302" s="440">
        <v>0</v>
      </c>
      <c r="AV302" s="440">
        <v>0</v>
      </c>
      <c r="AW302" s="440">
        <v>0</v>
      </c>
      <c r="AX302" s="440">
        <v>0</v>
      </c>
      <c r="AY302" s="440">
        <v>0</v>
      </c>
      <c r="AZ302" s="440">
        <v>0</v>
      </c>
      <c r="BA302" s="440">
        <v>0</v>
      </c>
      <c r="BB302" s="440">
        <v>0</v>
      </c>
      <c r="BC302" s="440">
        <v>0</v>
      </c>
      <c r="BD302" s="440">
        <v>0</v>
      </c>
      <c r="BE302" s="440">
        <v>0</v>
      </c>
      <c r="BF302" s="440">
        <v>0</v>
      </c>
      <c r="BG302" s="440">
        <v>0</v>
      </c>
      <c r="BH302" s="440">
        <v>0</v>
      </c>
      <c r="BI302" s="440">
        <v>0</v>
      </c>
      <c r="BJ302" s="440">
        <v>0</v>
      </c>
      <c r="BK302" s="440">
        <v>0</v>
      </c>
      <c r="BL302" s="440">
        <v>0</v>
      </c>
      <c r="BM302" s="440">
        <v>0</v>
      </c>
      <c r="BN302" s="440">
        <v>0</v>
      </c>
      <c r="BO302" s="440">
        <v>0</v>
      </c>
      <c r="BP302" s="440">
        <v>0</v>
      </c>
      <c r="BQ302" s="440">
        <v>0</v>
      </c>
      <c r="BR302" s="415">
        <f t="shared" si="87"/>
        <v>0</v>
      </c>
      <c r="BS302" s="415">
        <f t="shared" si="89"/>
        <v>0</v>
      </c>
      <c r="BT302" s="935"/>
      <c r="BU302" s="935"/>
      <c r="BV302" s="935"/>
      <c r="BW302" s="935"/>
      <c r="BX302" s="935"/>
      <c r="BY302" s="935"/>
      <c r="BZ302" s="935"/>
      <c r="CA302" s="935"/>
      <c r="CB302" s="935"/>
      <c r="CC302" s="935"/>
      <c r="CD302" s="935"/>
      <c r="CE302" s="935"/>
      <c r="CF302" s="935"/>
      <c r="CG302" s="935"/>
      <c r="CH302" s="935"/>
      <c r="CI302" s="935"/>
      <c r="CJ302" s="935"/>
      <c r="CK302" s="935"/>
      <c r="CL302" s="935"/>
      <c r="CM302" s="935"/>
      <c r="CN302" s="935"/>
      <c r="CO302" s="935"/>
      <c r="CP302" s="935"/>
      <c r="CQ302" s="935"/>
      <c r="CR302" s="935"/>
      <c r="CS302" s="935"/>
      <c r="CT302" s="935"/>
      <c r="CU302" s="935"/>
      <c r="CV302" s="935"/>
    </row>
    <row r="303" spans="1:100">
      <c r="A303" s="375">
        <f t="shared" si="90"/>
        <v>8</v>
      </c>
      <c r="B303" s="862">
        <v>44435</v>
      </c>
      <c r="C303" s="493" t="s">
        <v>1980</v>
      </c>
      <c r="D303" s="376" t="str">
        <f>IFERROR(VLOOKUP(E:E,'Item Data Support Sheet'!A:O,7,0),"")</f>
        <v>NIPPLE LASER MARKING</v>
      </c>
      <c r="E303" s="447" t="s">
        <v>1816</v>
      </c>
      <c r="F303" s="500"/>
      <c r="G303" s="376" t="s">
        <v>1812</v>
      </c>
      <c r="H303" s="602" t="str">
        <f>IFERROR(VLOOKUP(E:E,'Item Data Support Sheet'!A:O,2,0),"")</f>
        <v>NIPPLE S TYPE L SIZE PUNCHED LASER MARKED</v>
      </c>
      <c r="I303" s="501" t="s">
        <v>2707</v>
      </c>
      <c r="J303" s="447" t="s">
        <v>2810</v>
      </c>
      <c r="K303" s="438">
        <v>5</v>
      </c>
      <c r="L303" s="499">
        <f>7000-2250</f>
        <v>4750</v>
      </c>
      <c r="M303" s="366">
        <f t="shared" si="105"/>
        <v>950</v>
      </c>
      <c r="N303" s="367">
        <f t="shared" si="88"/>
        <v>3588</v>
      </c>
      <c r="O303" s="61">
        <v>3588</v>
      </c>
      <c r="P303" s="368">
        <v>0</v>
      </c>
      <c r="Q303" s="368">
        <v>0</v>
      </c>
      <c r="R303" s="494">
        <v>0</v>
      </c>
      <c r="S303" s="493">
        <v>0</v>
      </c>
      <c r="T303" s="494">
        <v>0</v>
      </c>
      <c r="U303" s="493">
        <v>0</v>
      </c>
      <c r="V303" s="502">
        <v>1</v>
      </c>
      <c r="W303" s="453">
        <f t="shared" si="91"/>
        <v>3588</v>
      </c>
      <c r="X303" s="748">
        <f t="shared" si="92"/>
        <v>0.75536842105263158</v>
      </c>
      <c r="Y303" s="451" t="str">
        <f>IFERROR(VLOOKUP(E:E,'Item Data Support Sheet'!A:J,6,0),0)</f>
        <v>FO021</v>
      </c>
      <c r="Z303" s="428">
        <f>IFERROR(VLOOKUP(E:E,'Item Data Support Sheet'!A:O,4,0),0)</f>
        <v>0</v>
      </c>
      <c r="AA303" s="428">
        <f t="shared" si="93"/>
        <v>0</v>
      </c>
      <c r="AB303" s="429" t="str">
        <f t="shared" si="94"/>
        <v xml:space="preserve"> </v>
      </c>
      <c r="AC303" s="424">
        <f t="shared" si="95"/>
        <v>0</v>
      </c>
      <c r="AD303" s="371">
        <f t="shared" si="96"/>
        <v>0</v>
      </c>
      <c r="AE303" s="748">
        <f t="shared" si="97"/>
        <v>1</v>
      </c>
      <c r="AF303" s="417">
        <f t="shared" si="98"/>
        <v>0.5</v>
      </c>
      <c r="AG303" s="416">
        <f t="shared" si="99"/>
        <v>4.5</v>
      </c>
      <c r="AH303" s="372">
        <f t="shared" si="100"/>
        <v>0.9</v>
      </c>
      <c r="AI303" s="373">
        <f t="shared" si="101"/>
        <v>717.6</v>
      </c>
      <c r="AJ303" s="418">
        <f>VLOOKUP(D303,'Standard Cycle time'!C:D,2,0)</f>
        <v>3.5</v>
      </c>
      <c r="AK303" s="418">
        <f t="shared" si="102"/>
        <v>4.5150501672240804</v>
      </c>
      <c r="AL303" s="374">
        <f t="shared" si="103"/>
        <v>0.7751851851851852</v>
      </c>
      <c r="AM303" s="372">
        <f t="shared" si="104"/>
        <v>0.69766666666666666</v>
      </c>
      <c r="AN303" s="799" t="s">
        <v>2711</v>
      </c>
      <c r="AO303" s="929" t="s">
        <v>2710</v>
      </c>
      <c r="AP303" s="440">
        <v>30</v>
      </c>
      <c r="AQ303" s="440">
        <v>0</v>
      </c>
      <c r="AR303" s="440">
        <v>0</v>
      </c>
      <c r="AS303" s="440">
        <v>0</v>
      </c>
      <c r="AT303" s="440">
        <v>0</v>
      </c>
      <c r="AU303" s="440">
        <v>0</v>
      </c>
      <c r="AV303" s="440">
        <v>0</v>
      </c>
      <c r="AW303" s="440">
        <v>0</v>
      </c>
      <c r="AX303" s="440">
        <v>0</v>
      </c>
      <c r="AY303" s="440">
        <v>0</v>
      </c>
      <c r="AZ303" s="440">
        <v>0</v>
      </c>
      <c r="BA303" s="440">
        <v>0</v>
      </c>
      <c r="BB303" s="440">
        <v>0</v>
      </c>
      <c r="BC303" s="440">
        <v>0</v>
      </c>
      <c r="BD303" s="440">
        <v>0</v>
      </c>
      <c r="BE303" s="440">
        <v>0</v>
      </c>
      <c r="BF303" s="440">
        <v>0</v>
      </c>
      <c r="BG303" s="440">
        <v>0</v>
      </c>
      <c r="BH303" s="440">
        <v>0</v>
      </c>
      <c r="BI303" s="440">
        <v>0</v>
      </c>
      <c r="BJ303" s="440">
        <v>0</v>
      </c>
      <c r="BK303" s="440">
        <v>0</v>
      </c>
      <c r="BL303" s="440">
        <v>0</v>
      </c>
      <c r="BM303" s="440">
        <v>0</v>
      </c>
      <c r="BN303" s="440">
        <v>0</v>
      </c>
      <c r="BO303" s="440">
        <v>0</v>
      </c>
      <c r="BP303" s="440">
        <v>0</v>
      </c>
      <c r="BQ303" s="440">
        <v>0</v>
      </c>
      <c r="BR303" s="415">
        <f t="shared" si="87"/>
        <v>0.5</v>
      </c>
      <c r="BS303" s="415">
        <f t="shared" si="89"/>
        <v>0.5083333333333333</v>
      </c>
      <c r="BT303" s="935"/>
      <c r="BU303" s="935"/>
      <c r="BV303" s="935"/>
      <c r="BW303" s="935"/>
      <c r="BX303" s="935"/>
      <c r="BY303" s="935"/>
      <c r="BZ303" s="935"/>
      <c r="CA303" s="935"/>
      <c r="CB303" s="935"/>
      <c r="CC303" s="935"/>
      <c r="CD303" s="935"/>
      <c r="CE303" s="935"/>
      <c r="CF303" s="935"/>
      <c r="CG303" s="935"/>
      <c r="CH303" s="935"/>
      <c r="CI303" s="935"/>
      <c r="CJ303" s="935"/>
      <c r="CK303" s="935"/>
      <c r="CL303" s="935"/>
      <c r="CM303" s="935"/>
      <c r="CN303" s="935"/>
      <c r="CO303" s="935"/>
      <c r="CP303" s="935"/>
      <c r="CQ303" s="935"/>
      <c r="CR303" s="935"/>
      <c r="CS303" s="935"/>
      <c r="CT303" s="935"/>
      <c r="CU303" s="935"/>
      <c r="CV303" s="935"/>
    </row>
    <row r="304" spans="1:100">
      <c r="A304" s="375">
        <f t="shared" si="90"/>
        <v>8</v>
      </c>
      <c r="B304" s="862">
        <v>44435</v>
      </c>
      <c r="C304" s="493" t="s">
        <v>2000</v>
      </c>
      <c r="D304" s="376" t="str">
        <f>IFERROR(VLOOKUP(E:E,'Item Data Support Sheet'!A:O,7,0),"")</f>
        <v>BOTTLE PRINTED</v>
      </c>
      <c r="E304" s="447" t="s">
        <v>69</v>
      </c>
      <c r="F304" s="500"/>
      <c r="G304" s="376" t="s">
        <v>1698</v>
      </c>
      <c r="H304" s="602" t="str">
        <f>IFERROR(VLOOKUP(E:E,'Item Data Support Sheet'!A:O,2,0),"")</f>
        <v>KPP 120 ML BOTTLE PRINTED</v>
      </c>
      <c r="I304" s="501" t="s">
        <v>2713</v>
      </c>
      <c r="J304" s="447" t="s">
        <v>2813</v>
      </c>
      <c r="K304" s="438">
        <v>8.5</v>
      </c>
      <c r="L304" s="499">
        <v>5100</v>
      </c>
      <c r="M304" s="366">
        <f t="shared" si="105"/>
        <v>600</v>
      </c>
      <c r="N304" s="367">
        <f t="shared" si="88"/>
        <v>6347</v>
      </c>
      <c r="O304" s="61">
        <v>6300</v>
      </c>
      <c r="P304" s="368">
        <v>0</v>
      </c>
      <c r="Q304" s="368">
        <v>0</v>
      </c>
      <c r="R304" s="494">
        <v>0</v>
      </c>
      <c r="S304" s="493">
        <v>0</v>
      </c>
      <c r="T304" s="494">
        <v>47</v>
      </c>
      <c r="U304" s="493">
        <v>0</v>
      </c>
      <c r="V304" s="502">
        <v>6</v>
      </c>
      <c r="W304" s="453">
        <f t="shared" si="91"/>
        <v>1050</v>
      </c>
      <c r="X304" s="748">
        <f t="shared" si="92"/>
        <v>1.2352941176470589</v>
      </c>
      <c r="Y304" s="451" t="str">
        <f>IFERROR(VLOOKUP(E:E,'Item Data Support Sheet'!A:J,6,0),0)</f>
        <v>FO001</v>
      </c>
      <c r="Z304" s="428">
        <f>IFERROR(VLOOKUP(E:E,'Item Data Support Sheet'!A:O,4,0),0)</f>
        <v>0</v>
      </c>
      <c r="AA304" s="428">
        <f t="shared" si="93"/>
        <v>0</v>
      </c>
      <c r="AB304" s="429" t="str">
        <f t="shared" si="94"/>
        <v xml:space="preserve"> </v>
      </c>
      <c r="AC304" s="424">
        <f t="shared" si="95"/>
        <v>7.4050732629588785E-3</v>
      </c>
      <c r="AD304" s="371">
        <f t="shared" si="96"/>
        <v>0</v>
      </c>
      <c r="AE304" s="748">
        <f t="shared" si="97"/>
        <v>0.99259492673704108</v>
      </c>
      <c r="AF304" s="417">
        <f t="shared" si="98"/>
        <v>0.83333333333333337</v>
      </c>
      <c r="AG304" s="416">
        <f t="shared" si="99"/>
        <v>7.666666666666667</v>
      </c>
      <c r="AH304" s="372">
        <f t="shared" si="100"/>
        <v>0.90196078431372551</v>
      </c>
      <c r="AI304" s="373">
        <f t="shared" si="101"/>
        <v>741.17647058823525</v>
      </c>
      <c r="AJ304" s="418">
        <f>VLOOKUP(D304,'Standard Cycle time'!C:D,2,0)</f>
        <v>32.4</v>
      </c>
      <c r="AK304" s="418">
        <f t="shared" si="102"/>
        <v>26.285714285714285</v>
      </c>
      <c r="AL304" s="374">
        <f t="shared" si="103"/>
        <v>1.232608695652174</v>
      </c>
      <c r="AM304" s="372">
        <f t="shared" si="104"/>
        <v>1.1035320067841223</v>
      </c>
      <c r="AN304" s="799" t="s">
        <v>2793</v>
      </c>
      <c r="AO304" s="929"/>
      <c r="AP304" s="440">
        <v>50</v>
      </c>
      <c r="AQ304" s="440">
        <v>0</v>
      </c>
      <c r="AR304" s="440">
        <v>0</v>
      </c>
      <c r="AS304" s="440">
        <v>0</v>
      </c>
      <c r="AT304" s="440">
        <v>0</v>
      </c>
      <c r="AU304" s="440">
        <v>0</v>
      </c>
      <c r="AV304" s="440">
        <v>0</v>
      </c>
      <c r="AW304" s="440">
        <v>0</v>
      </c>
      <c r="AX304" s="440">
        <v>0</v>
      </c>
      <c r="AY304" s="440">
        <v>0</v>
      </c>
      <c r="AZ304" s="440">
        <v>0</v>
      </c>
      <c r="BA304" s="440">
        <v>0</v>
      </c>
      <c r="BB304" s="440">
        <v>0</v>
      </c>
      <c r="BC304" s="440">
        <v>0</v>
      </c>
      <c r="BD304" s="440">
        <v>0</v>
      </c>
      <c r="BE304" s="440">
        <v>0</v>
      </c>
      <c r="BF304" s="440">
        <v>0</v>
      </c>
      <c r="BG304" s="440">
        <v>0</v>
      </c>
      <c r="BH304" s="440">
        <v>0</v>
      </c>
      <c r="BI304" s="440">
        <v>0</v>
      </c>
      <c r="BJ304" s="440">
        <v>0</v>
      </c>
      <c r="BK304" s="440">
        <v>0</v>
      </c>
      <c r="BL304" s="440">
        <v>0</v>
      </c>
      <c r="BM304" s="440">
        <v>0</v>
      </c>
      <c r="BN304" s="440">
        <v>0</v>
      </c>
      <c r="BO304" s="440">
        <v>0</v>
      </c>
      <c r="BP304" s="440">
        <v>0</v>
      </c>
      <c r="BQ304" s="440">
        <v>0</v>
      </c>
      <c r="BR304" s="415">
        <f t="shared" si="87"/>
        <v>0.83333333333333337</v>
      </c>
      <c r="BS304" s="415">
        <f t="shared" si="89"/>
        <v>0.84722222222222221</v>
      </c>
      <c r="BT304" s="935"/>
      <c r="BU304" s="935"/>
      <c r="BV304" s="935"/>
      <c r="BW304" s="935"/>
      <c r="BX304" s="935"/>
      <c r="BY304" s="935"/>
      <c r="BZ304" s="935"/>
      <c r="CA304" s="935"/>
      <c r="CB304" s="935"/>
      <c r="CC304" s="935"/>
      <c r="CD304" s="935"/>
      <c r="CE304" s="935"/>
      <c r="CF304" s="935"/>
      <c r="CG304" s="935"/>
      <c r="CH304" s="935"/>
      <c r="CI304" s="935"/>
      <c r="CJ304" s="935"/>
      <c r="CK304" s="935"/>
      <c r="CL304" s="935"/>
      <c r="CM304" s="935"/>
      <c r="CN304" s="935"/>
      <c r="CO304" s="935"/>
      <c r="CP304" s="935"/>
      <c r="CQ304" s="935"/>
      <c r="CR304" s="935"/>
      <c r="CS304" s="935"/>
      <c r="CT304" s="935"/>
      <c r="CU304" s="935"/>
      <c r="CV304" s="935"/>
    </row>
    <row r="305" spans="1:100">
      <c r="A305" s="375">
        <f t="shared" si="90"/>
        <v>8</v>
      </c>
      <c r="B305" s="862">
        <v>44435</v>
      </c>
      <c r="C305" s="493" t="s">
        <v>2000</v>
      </c>
      <c r="D305" s="376" t="str">
        <f>IFERROR(VLOOKUP(E:E,'Item Data Support Sheet'!A:O,7,0),"")</f>
        <v>NIPPLE PUNCH INSPECTED</v>
      </c>
      <c r="E305" s="447" t="s">
        <v>1820</v>
      </c>
      <c r="F305" s="500"/>
      <c r="G305" s="376"/>
      <c r="H305" s="602" t="str">
        <f>IFERROR(VLOOKUP(E:E,'Item Data Support Sheet'!A:O,2,0),"")</f>
        <v>NIPPLE S TYPE L SIZE PUNCHED INSPECTED</v>
      </c>
      <c r="I305" s="501" t="s">
        <v>2678</v>
      </c>
      <c r="J305" s="447" t="s">
        <v>2812</v>
      </c>
      <c r="K305" s="438">
        <v>6.5</v>
      </c>
      <c r="L305" s="499">
        <v>12000</v>
      </c>
      <c r="M305" s="366">
        <f t="shared" si="105"/>
        <v>1846.1538461538462</v>
      </c>
      <c r="N305" s="367">
        <f t="shared" si="88"/>
        <v>11588</v>
      </c>
      <c r="O305" s="61">
        <v>11344</v>
      </c>
      <c r="P305" s="368">
        <v>0</v>
      </c>
      <c r="Q305" s="368">
        <v>0</v>
      </c>
      <c r="R305" s="494">
        <v>0</v>
      </c>
      <c r="S305" s="493">
        <v>0</v>
      </c>
      <c r="T305" s="494">
        <v>244</v>
      </c>
      <c r="U305" s="493">
        <v>0</v>
      </c>
      <c r="V305" s="502">
        <v>2</v>
      </c>
      <c r="W305" s="453">
        <f t="shared" si="91"/>
        <v>5672</v>
      </c>
      <c r="X305" s="748">
        <f t="shared" si="92"/>
        <v>0.94533333333333336</v>
      </c>
      <c r="Y305" s="451" t="str">
        <f>IFERROR(VLOOKUP(E:E,'Item Data Support Sheet'!A:J,6,0),0)</f>
        <v>FO106</v>
      </c>
      <c r="Z305" s="428">
        <f>IFERROR(VLOOKUP(E:E,'Item Data Support Sheet'!A:O,4,0),0)</f>
        <v>0</v>
      </c>
      <c r="AA305" s="428">
        <f t="shared" si="93"/>
        <v>0</v>
      </c>
      <c r="AB305" s="429" t="str">
        <f t="shared" si="94"/>
        <v xml:space="preserve"> </v>
      </c>
      <c r="AC305" s="424">
        <f t="shared" si="95"/>
        <v>2.105626510182948E-2</v>
      </c>
      <c r="AD305" s="371">
        <f t="shared" si="96"/>
        <v>0</v>
      </c>
      <c r="AE305" s="748">
        <f t="shared" si="97"/>
        <v>0.97894373489817055</v>
      </c>
      <c r="AF305" s="417">
        <f t="shared" si="98"/>
        <v>0.83333333333333337</v>
      </c>
      <c r="AG305" s="416">
        <f t="shared" si="99"/>
        <v>5.666666666666667</v>
      </c>
      <c r="AH305" s="372">
        <f t="shared" si="100"/>
        <v>0.87179487179487181</v>
      </c>
      <c r="AI305" s="373">
        <f t="shared" si="101"/>
        <v>1745.2307692307693</v>
      </c>
      <c r="AJ305" s="418">
        <f>VLOOKUP(D305,'Standard Cycle time'!C:D,2,0)</f>
        <v>4</v>
      </c>
      <c r="AK305" s="418">
        <f t="shared" si="102"/>
        <v>3.5966149506346969</v>
      </c>
      <c r="AL305" s="374">
        <f t="shared" si="103"/>
        <v>1.112156862745098</v>
      </c>
      <c r="AM305" s="372">
        <f t="shared" si="104"/>
        <v>0.94915707082776457</v>
      </c>
      <c r="AN305" s="799" t="s">
        <v>2720</v>
      </c>
      <c r="AO305" s="929"/>
      <c r="AP305" s="440">
        <v>50</v>
      </c>
      <c r="AQ305" s="440">
        <v>0</v>
      </c>
      <c r="AR305" s="440">
        <v>0</v>
      </c>
      <c r="AS305" s="440">
        <v>0</v>
      </c>
      <c r="AT305" s="440">
        <v>0</v>
      </c>
      <c r="AU305" s="440">
        <v>0</v>
      </c>
      <c r="AV305" s="440">
        <v>0</v>
      </c>
      <c r="AW305" s="440">
        <v>0</v>
      </c>
      <c r="AX305" s="440">
        <v>0</v>
      </c>
      <c r="AY305" s="440">
        <v>0</v>
      </c>
      <c r="AZ305" s="440">
        <v>0</v>
      </c>
      <c r="BA305" s="440">
        <v>0</v>
      </c>
      <c r="BB305" s="440">
        <v>0</v>
      </c>
      <c r="BC305" s="440">
        <v>0</v>
      </c>
      <c r="BD305" s="440">
        <v>0</v>
      </c>
      <c r="BE305" s="440">
        <v>0</v>
      </c>
      <c r="BF305" s="440">
        <v>0</v>
      </c>
      <c r="BG305" s="440">
        <v>0</v>
      </c>
      <c r="BH305" s="440">
        <v>0</v>
      </c>
      <c r="BI305" s="440">
        <v>0</v>
      </c>
      <c r="BJ305" s="440">
        <v>0</v>
      </c>
      <c r="BK305" s="440">
        <v>0</v>
      </c>
      <c r="BL305" s="440">
        <v>0</v>
      </c>
      <c r="BM305" s="440">
        <v>0</v>
      </c>
      <c r="BN305" s="440">
        <v>0</v>
      </c>
      <c r="BO305" s="440">
        <v>0</v>
      </c>
      <c r="BP305" s="440">
        <v>0</v>
      </c>
      <c r="BQ305" s="440">
        <v>0</v>
      </c>
      <c r="BR305" s="415">
        <f t="shared" si="87"/>
        <v>0.83333333333333337</v>
      </c>
      <c r="BS305" s="415">
        <f t="shared" si="89"/>
        <v>0.84722222222222221</v>
      </c>
      <c r="BT305" s="935"/>
      <c r="BU305" s="935"/>
      <c r="BV305" s="935"/>
      <c r="BW305" s="935"/>
      <c r="BX305" s="935"/>
      <c r="BY305" s="935"/>
      <c r="BZ305" s="935"/>
      <c r="CA305" s="935"/>
      <c r="CB305" s="935"/>
      <c r="CC305" s="935"/>
      <c r="CD305" s="935"/>
      <c r="CE305" s="935"/>
      <c r="CF305" s="935"/>
      <c r="CG305" s="935"/>
      <c r="CH305" s="935"/>
      <c r="CI305" s="935"/>
      <c r="CJ305" s="935"/>
      <c r="CK305" s="935"/>
      <c r="CL305" s="935"/>
      <c r="CM305" s="935"/>
      <c r="CN305" s="935"/>
      <c r="CO305" s="935"/>
      <c r="CP305" s="935"/>
      <c r="CQ305" s="935"/>
      <c r="CR305" s="935"/>
      <c r="CS305" s="935"/>
      <c r="CT305" s="935"/>
      <c r="CU305" s="935"/>
      <c r="CV305" s="935"/>
    </row>
    <row r="306" spans="1:100">
      <c r="A306" s="375">
        <f t="shared" si="90"/>
        <v>8</v>
      </c>
      <c r="B306" s="862">
        <v>44435</v>
      </c>
      <c r="C306" s="493" t="s">
        <v>2000</v>
      </c>
      <c r="D306" s="376" t="str">
        <f>IFERROR(VLOOKUP(E:E,'Item Data Support Sheet'!A:O,7,0),"")</f>
        <v>NIPPLE PUNCH INSPECTED</v>
      </c>
      <c r="E306" s="447" t="s">
        <v>2488</v>
      </c>
      <c r="F306" s="500"/>
      <c r="G306" s="376"/>
      <c r="H306" s="602" t="str">
        <f>IFERROR(VLOOKUP(E:E,'Item Data Support Sheet'!A:O,2,0),"")</f>
        <v>NIPPLE S TYPE LL SIZE INSPECTED</v>
      </c>
      <c r="I306" s="501" t="s">
        <v>2677</v>
      </c>
      <c r="J306" s="447" t="s">
        <v>2812</v>
      </c>
      <c r="K306" s="438">
        <v>2</v>
      </c>
      <c r="L306" s="499">
        <v>2072</v>
      </c>
      <c r="M306" s="366">
        <f t="shared" si="105"/>
        <v>1036</v>
      </c>
      <c r="N306" s="367">
        <f t="shared" si="88"/>
        <v>2492</v>
      </c>
      <c r="O306" s="61">
        <f>2206+176</f>
        <v>2382</v>
      </c>
      <c r="P306" s="368">
        <v>0</v>
      </c>
      <c r="Q306" s="368">
        <v>0</v>
      </c>
      <c r="R306" s="494">
        <v>0</v>
      </c>
      <c r="S306" s="493">
        <v>0</v>
      </c>
      <c r="T306" s="494">
        <f>44+66</f>
        <v>110</v>
      </c>
      <c r="U306" s="493">
        <v>0</v>
      </c>
      <c r="V306" s="502">
        <v>2</v>
      </c>
      <c r="W306" s="453">
        <f t="shared" si="91"/>
        <v>1191</v>
      </c>
      <c r="X306" s="748">
        <f t="shared" si="92"/>
        <v>1.1496138996138996</v>
      </c>
      <c r="Y306" s="451" t="str">
        <f>IFERROR(VLOOKUP(E:E,'Item Data Support Sheet'!A:J,6,0),0)</f>
        <v>FO152</v>
      </c>
      <c r="Z306" s="428">
        <f>IFERROR(VLOOKUP(E:E,'Item Data Support Sheet'!A:O,4,0),0)</f>
        <v>0</v>
      </c>
      <c r="AA306" s="428">
        <f t="shared" si="93"/>
        <v>0</v>
      </c>
      <c r="AB306" s="429" t="str">
        <f t="shared" si="94"/>
        <v xml:space="preserve"> </v>
      </c>
      <c r="AC306" s="424">
        <f t="shared" si="95"/>
        <v>4.4141252006420544E-2</v>
      </c>
      <c r="AD306" s="371">
        <f t="shared" si="96"/>
        <v>0</v>
      </c>
      <c r="AE306" s="748">
        <f t="shared" si="97"/>
        <v>0.95585874799357951</v>
      </c>
      <c r="AF306" s="417">
        <f t="shared" si="98"/>
        <v>0.5</v>
      </c>
      <c r="AG306" s="416">
        <f t="shared" si="99"/>
        <v>1.5</v>
      </c>
      <c r="AH306" s="372">
        <f t="shared" si="100"/>
        <v>0.75</v>
      </c>
      <c r="AI306" s="373">
        <f t="shared" si="101"/>
        <v>1191</v>
      </c>
      <c r="AJ306" s="418">
        <f>VLOOKUP(D306,'Standard Cycle time'!C:D,2,0)</f>
        <v>4</v>
      </c>
      <c r="AK306" s="418">
        <f t="shared" si="102"/>
        <v>4.5340050377833752</v>
      </c>
      <c r="AL306" s="374">
        <f t="shared" si="103"/>
        <v>0.88222222222222224</v>
      </c>
      <c r="AM306" s="372">
        <f t="shared" si="104"/>
        <v>0.63245987158908512</v>
      </c>
      <c r="AN306" s="799" t="s">
        <v>2714</v>
      </c>
      <c r="AO306" s="929"/>
      <c r="AP306" s="440">
        <v>0</v>
      </c>
      <c r="AQ306" s="440">
        <v>0</v>
      </c>
      <c r="AR306" s="440">
        <v>0</v>
      </c>
      <c r="AS306" s="440">
        <v>30</v>
      </c>
      <c r="AT306" s="440">
        <v>0</v>
      </c>
      <c r="AU306" s="440">
        <v>0</v>
      </c>
      <c r="AV306" s="440">
        <v>0</v>
      </c>
      <c r="AW306" s="440">
        <v>0</v>
      </c>
      <c r="AX306" s="440">
        <v>0</v>
      </c>
      <c r="AY306" s="440">
        <v>0</v>
      </c>
      <c r="AZ306" s="440">
        <v>0</v>
      </c>
      <c r="BA306" s="440">
        <v>0</v>
      </c>
      <c r="BB306" s="440">
        <v>0</v>
      </c>
      <c r="BC306" s="440">
        <v>0</v>
      </c>
      <c r="BD306" s="440">
        <v>0</v>
      </c>
      <c r="BE306" s="440">
        <v>0</v>
      </c>
      <c r="BF306" s="440">
        <v>0</v>
      </c>
      <c r="BG306" s="440">
        <v>0</v>
      </c>
      <c r="BH306" s="440">
        <v>0</v>
      </c>
      <c r="BI306" s="440">
        <v>0</v>
      </c>
      <c r="BJ306" s="440">
        <v>0</v>
      </c>
      <c r="BK306" s="440">
        <v>0</v>
      </c>
      <c r="BL306" s="440">
        <v>0</v>
      </c>
      <c r="BM306" s="440">
        <v>0</v>
      </c>
      <c r="BN306" s="440">
        <v>0</v>
      </c>
      <c r="BO306" s="440">
        <v>0</v>
      </c>
      <c r="BP306" s="440">
        <v>0</v>
      </c>
      <c r="BQ306" s="440">
        <v>0</v>
      </c>
      <c r="BR306" s="415">
        <f t="shared" si="87"/>
        <v>0.5</v>
      </c>
      <c r="BS306" s="415">
        <f t="shared" si="89"/>
        <v>0.5083333333333333</v>
      </c>
      <c r="BT306" s="935"/>
      <c r="BU306" s="935"/>
      <c r="BV306" s="935"/>
      <c r="BW306" s="935"/>
      <c r="BX306" s="935"/>
      <c r="BY306" s="935"/>
      <c r="BZ306" s="935"/>
      <c r="CA306" s="935"/>
      <c r="CB306" s="935"/>
      <c r="CC306" s="935"/>
      <c r="CD306" s="935"/>
      <c r="CE306" s="935"/>
      <c r="CF306" s="935"/>
      <c r="CG306" s="935"/>
      <c r="CH306" s="935"/>
      <c r="CI306" s="935"/>
      <c r="CJ306" s="935"/>
      <c r="CK306" s="935"/>
      <c r="CL306" s="935"/>
      <c r="CM306" s="935"/>
      <c r="CN306" s="935"/>
      <c r="CO306" s="935"/>
      <c r="CP306" s="935"/>
      <c r="CQ306" s="935"/>
      <c r="CR306" s="935"/>
      <c r="CS306" s="935"/>
      <c r="CT306" s="935"/>
      <c r="CU306" s="935"/>
      <c r="CV306" s="935"/>
    </row>
    <row r="307" spans="1:100">
      <c r="A307" s="375">
        <f t="shared" si="90"/>
        <v>8</v>
      </c>
      <c r="B307" s="862">
        <v>44435</v>
      </c>
      <c r="C307" s="493" t="s">
        <v>2000</v>
      </c>
      <c r="D307" s="376" t="str">
        <f>IFERROR(VLOOKUP(E:E,'Item Data Support Sheet'!A:O,7,0),"")</f>
        <v>NIPPLE WRAP PRINTED</v>
      </c>
      <c r="E307" s="447" t="s">
        <v>110</v>
      </c>
      <c r="F307" s="500"/>
      <c r="G307" s="376" t="s">
        <v>1693</v>
      </c>
      <c r="H307" s="602" t="str">
        <f>IFERROR(VLOOKUP(E:E,'Item Data Support Sheet'!A:O,2,0),"")</f>
        <v>NIPPLE S TYPE L SIZE WITH PRINTED WRAP</v>
      </c>
      <c r="I307" s="501" t="s">
        <v>2715</v>
      </c>
      <c r="J307" s="447" t="s">
        <v>2812</v>
      </c>
      <c r="K307" s="438">
        <v>4</v>
      </c>
      <c r="L307" s="499">
        <v>8016</v>
      </c>
      <c r="M307" s="366">
        <f t="shared" si="105"/>
        <v>2004</v>
      </c>
      <c r="N307" s="367">
        <f t="shared" si="88"/>
        <v>7668</v>
      </c>
      <c r="O307" s="61">
        <v>7668</v>
      </c>
      <c r="P307" s="368">
        <v>0</v>
      </c>
      <c r="Q307" s="368">
        <v>0</v>
      </c>
      <c r="R307" s="494">
        <v>0</v>
      </c>
      <c r="S307" s="493">
        <v>0</v>
      </c>
      <c r="T307" s="494">
        <v>0</v>
      </c>
      <c r="U307" s="493">
        <v>0</v>
      </c>
      <c r="V307" s="502">
        <v>2</v>
      </c>
      <c r="W307" s="453">
        <f t="shared" si="91"/>
        <v>3834</v>
      </c>
      <c r="X307" s="748">
        <f t="shared" si="92"/>
        <v>0.95658682634730541</v>
      </c>
      <c r="Y307" s="451" t="str">
        <f>IFERROR(VLOOKUP(E:E,'Item Data Support Sheet'!A:J,6,0),0)</f>
        <v>FO021</v>
      </c>
      <c r="Z307" s="428">
        <f>IFERROR(VLOOKUP(E:E,'Item Data Support Sheet'!A:O,4,0),0)</f>
        <v>0</v>
      </c>
      <c r="AA307" s="428">
        <f t="shared" si="93"/>
        <v>0</v>
      </c>
      <c r="AB307" s="429" t="str">
        <f t="shared" si="94"/>
        <v xml:space="preserve"> </v>
      </c>
      <c r="AC307" s="424">
        <f t="shared" si="95"/>
        <v>0</v>
      </c>
      <c r="AD307" s="371">
        <f t="shared" si="96"/>
        <v>0</v>
      </c>
      <c r="AE307" s="748">
        <f t="shared" si="97"/>
        <v>1</v>
      </c>
      <c r="AF307" s="417">
        <f t="shared" si="98"/>
        <v>0.16666666666666666</v>
      </c>
      <c r="AG307" s="416">
        <f t="shared" si="99"/>
        <v>3.8333333333333335</v>
      </c>
      <c r="AH307" s="372">
        <f t="shared" si="100"/>
        <v>0.95833333333333337</v>
      </c>
      <c r="AI307" s="373">
        <f t="shared" si="101"/>
        <v>1917</v>
      </c>
      <c r="AJ307" s="418">
        <f>VLOOKUP(D307,'Standard Cycle time'!C:D,2,0)</f>
        <v>2.5</v>
      </c>
      <c r="AK307" s="418">
        <f t="shared" si="102"/>
        <v>3.5993740219092332</v>
      </c>
      <c r="AL307" s="374">
        <f t="shared" si="103"/>
        <v>0.69456521739130439</v>
      </c>
      <c r="AM307" s="372">
        <f t="shared" si="104"/>
        <v>0.66562500000000002</v>
      </c>
      <c r="AN307" s="799" t="s">
        <v>2721</v>
      </c>
      <c r="AO307" s="761"/>
      <c r="AP307" s="440">
        <v>10</v>
      </c>
      <c r="AQ307" s="440">
        <v>0</v>
      </c>
      <c r="AR307" s="440">
        <v>0</v>
      </c>
      <c r="AS307" s="440">
        <v>0</v>
      </c>
      <c r="AT307" s="440">
        <v>0</v>
      </c>
      <c r="AU307" s="440">
        <v>0</v>
      </c>
      <c r="AV307" s="440">
        <v>0</v>
      </c>
      <c r="AW307" s="440">
        <v>0</v>
      </c>
      <c r="AX307" s="440">
        <v>0</v>
      </c>
      <c r="AY307" s="440">
        <v>0</v>
      </c>
      <c r="AZ307" s="440">
        <v>0</v>
      </c>
      <c r="BA307" s="440">
        <v>0</v>
      </c>
      <c r="BB307" s="440">
        <v>0</v>
      </c>
      <c r="BC307" s="440">
        <v>0</v>
      </c>
      <c r="BD307" s="440">
        <v>0</v>
      </c>
      <c r="BE307" s="440">
        <v>0</v>
      </c>
      <c r="BF307" s="440">
        <v>0</v>
      </c>
      <c r="BG307" s="440">
        <v>0</v>
      </c>
      <c r="BH307" s="440">
        <v>0</v>
      </c>
      <c r="BI307" s="440">
        <v>0</v>
      </c>
      <c r="BJ307" s="440">
        <v>0</v>
      </c>
      <c r="BK307" s="440">
        <v>0</v>
      </c>
      <c r="BL307" s="440">
        <v>0</v>
      </c>
      <c r="BM307" s="440">
        <v>0</v>
      </c>
      <c r="BN307" s="440">
        <v>0</v>
      </c>
      <c r="BO307" s="440">
        <v>0</v>
      </c>
      <c r="BP307" s="440">
        <v>0</v>
      </c>
      <c r="BQ307" s="440">
        <v>0</v>
      </c>
      <c r="BR307" s="415">
        <f t="shared" si="87"/>
        <v>0.16666666666666666</v>
      </c>
      <c r="BS307" s="415">
        <f t="shared" si="89"/>
        <v>0.16944444444444443</v>
      </c>
      <c r="BT307" s="935"/>
      <c r="BU307" s="935"/>
      <c r="BV307" s="935"/>
      <c r="BW307" s="935"/>
      <c r="BX307" s="935"/>
      <c r="BY307" s="935"/>
      <c r="BZ307" s="935"/>
      <c r="CA307" s="935"/>
      <c r="CB307" s="935"/>
      <c r="CC307" s="935"/>
      <c r="CD307" s="935"/>
      <c r="CE307" s="935"/>
      <c r="CF307" s="935"/>
      <c r="CG307" s="935"/>
      <c r="CH307" s="935"/>
      <c r="CI307" s="935"/>
      <c r="CJ307" s="935"/>
      <c r="CK307" s="935"/>
      <c r="CL307" s="935"/>
      <c r="CM307" s="935"/>
      <c r="CN307" s="935"/>
      <c r="CO307" s="935"/>
      <c r="CP307" s="935"/>
      <c r="CQ307" s="935"/>
      <c r="CR307" s="935"/>
      <c r="CS307" s="935"/>
      <c r="CT307" s="935"/>
      <c r="CU307" s="935"/>
      <c r="CV307" s="935"/>
    </row>
    <row r="308" spans="1:100">
      <c r="A308" s="375">
        <f t="shared" si="90"/>
        <v>8</v>
      </c>
      <c r="B308" s="862">
        <v>44435</v>
      </c>
      <c r="C308" s="493" t="s">
        <v>2001</v>
      </c>
      <c r="D308" s="376" t="str">
        <f>IFERROR(VLOOKUP(E:E,'Item Data Support Sheet'!A:O,7,0),"")</f>
        <v>NIPPLE LASER MARKING</v>
      </c>
      <c r="E308" s="447" t="s">
        <v>1816</v>
      </c>
      <c r="F308" s="500"/>
      <c r="G308" s="376" t="s">
        <v>1812</v>
      </c>
      <c r="H308" s="602" t="str">
        <f>IFERROR(VLOOKUP(E:E,'Item Data Support Sheet'!A:O,2,0),"")</f>
        <v>NIPPLE S TYPE L SIZE PUNCHED LASER MARKED</v>
      </c>
      <c r="I308" s="501" t="s">
        <v>2716</v>
      </c>
      <c r="J308" s="447" t="s">
        <v>2808</v>
      </c>
      <c r="K308" s="438">
        <v>8</v>
      </c>
      <c r="L308" s="499">
        <v>7036</v>
      </c>
      <c r="M308" s="366">
        <f t="shared" si="105"/>
        <v>879.5</v>
      </c>
      <c r="N308" s="367">
        <f t="shared" si="88"/>
        <v>7000</v>
      </c>
      <c r="O308" s="61">
        <v>7000</v>
      </c>
      <c r="P308" s="368">
        <v>0</v>
      </c>
      <c r="Q308" s="368">
        <v>0</v>
      </c>
      <c r="R308" s="494">
        <v>0</v>
      </c>
      <c r="S308" s="493">
        <v>0</v>
      </c>
      <c r="T308" s="494">
        <v>0</v>
      </c>
      <c r="U308" s="493">
        <v>0</v>
      </c>
      <c r="V308" s="502">
        <v>1</v>
      </c>
      <c r="W308" s="453">
        <f t="shared" si="91"/>
        <v>7000</v>
      </c>
      <c r="X308" s="748">
        <f t="shared" si="92"/>
        <v>0.99488345650938037</v>
      </c>
      <c r="Y308" s="451" t="str">
        <f>IFERROR(VLOOKUP(E:E,'Item Data Support Sheet'!A:J,6,0),0)</f>
        <v>FO021</v>
      </c>
      <c r="Z308" s="428">
        <f>IFERROR(VLOOKUP(E:E,'Item Data Support Sheet'!A:O,4,0),0)</f>
        <v>0</v>
      </c>
      <c r="AA308" s="428">
        <f t="shared" si="93"/>
        <v>0</v>
      </c>
      <c r="AB308" s="429" t="str">
        <f t="shared" si="94"/>
        <v xml:space="preserve"> </v>
      </c>
      <c r="AC308" s="424">
        <f t="shared" si="95"/>
        <v>0</v>
      </c>
      <c r="AD308" s="371">
        <f t="shared" si="96"/>
        <v>0</v>
      </c>
      <c r="AE308" s="748">
        <f t="shared" si="97"/>
        <v>1</v>
      </c>
      <c r="AF308" s="417">
        <f t="shared" si="98"/>
        <v>0.66666666666666663</v>
      </c>
      <c r="AG308" s="416">
        <f t="shared" si="99"/>
        <v>7.333333333333333</v>
      </c>
      <c r="AH308" s="372">
        <f t="shared" si="100"/>
        <v>0.91666666666666663</v>
      </c>
      <c r="AI308" s="373">
        <f t="shared" si="101"/>
        <v>875</v>
      </c>
      <c r="AJ308" s="418">
        <f>VLOOKUP(D308,'Standard Cycle time'!C:D,2,0)</f>
        <v>3.5</v>
      </c>
      <c r="AK308" s="418">
        <f t="shared" si="102"/>
        <v>3.7714285714285714</v>
      </c>
      <c r="AL308" s="374">
        <f t="shared" si="103"/>
        <v>0.92803030303030309</v>
      </c>
      <c r="AM308" s="372">
        <f t="shared" si="104"/>
        <v>0.85069444444444442</v>
      </c>
      <c r="AN308" s="799" t="s">
        <v>2723</v>
      </c>
      <c r="AO308" s="929"/>
      <c r="AP308" s="440">
        <v>40</v>
      </c>
      <c r="AQ308" s="440">
        <v>0</v>
      </c>
      <c r="AR308" s="440">
        <v>0</v>
      </c>
      <c r="AS308" s="440">
        <v>0</v>
      </c>
      <c r="AT308" s="440">
        <v>0</v>
      </c>
      <c r="AU308" s="440">
        <v>0</v>
      </c>
      <c r="AV308" s="440">
        <v>0</v>
      </c>
      <c r="AW308" s="440">
        <v>0</v>
      </c>
      <c r="AX308" s="440">
        <v>0</v>
      </c>
      <c r="AY308" s="440">
        <v>0</v>
      </c>
      <c r="AZ308" s="440">
        <v>0</v>
      </c>
      <c r="BA308" s="440">
        <v>0</v>
      </c>
      <c r="BB308" s="440">
        <v>0</v>
      </c>
      <c r="BC308" s="440">
        <v>0</v>
      </c>
      <c r="BD308" s="440">
        <v>0</v>
      </c>
      <c r="BE308" s="440">
        <v>0</v>
      </c>
      <c r="BF308" s="440">
        <v>0</v>
      </c>
      <c r="BG308" s="440">
        <v>0</v>
      </c>
      <c r="BH308" s="440">
        <v>0</v>
      </c>
      <c r="BI308" s="440">
        <v>0</v>
      </c>
      <c r="BJ308" s="440">
        <v>0</v>
      </c>
      <c r="BK308" s="440">
        <v>0</v>
      </c>
      <c r="BL308" s="440">
        <v>0</v>
      </c>
      <c r="BM308" s="440">
        <v>0</v>
      </c>
      <c r="BN308" s="440">
        <v>0</v>
      </c>
      <c r="BO308" s="440">
        <v>0</v>
      </c>
      <c r="BP308" s="440">
        <v>0</v>
      </c>
      <c r="BQ308" s="440">
        <v>0</v>
      </c>
      <c r="BR308" s="415">
        <f t="shared" si="87"/>
        <v>0.66666666666666663</v>
      </c>
      <c r="BS308" s="415">
        <f t="shared" si="89"/>
        <v>0.6777777777777777</v>
      </c>
      <c r="BT308" s="935"/>
      <c r="BU308" s="935"/>
      <c r="BV308" s="935"/>
      <c r="BW308" s="935"/>
      <c r="BX308" s="935"/>
      <c r="BY308" s="935"/>
      <c r="BZ308" s="935"/>
      <c r="CA308" s="935"/>
      <c r="CB308" s="935"/>
      <c r="CC308" s="935"/>
      <c r="CD308" s="935"/>
      <c r="CE308" s="935"/>
      <c r="CF308" s="935"/>
      <c r="CG308" s="935"/>
      <c r="CH308" s="935"/>
      <c r="CI308" s="935"/>
      <c r="CJ308" s="935"/>
      <c r="CK308" s="935"/>
      <c r="CL308" s="935"/>
      <c r="CM308" s="935"/>
      <c r="CN308" s="935"/>
      <c r="CO308" s="935"/>
      <c r="CP308" s="935"/>
      <c r="CQ308" s="935"/>
      <c r="CR308" s="935"/>
      <c r="CS308" s="935"/>
      <c r="CT308" s="935"/>
      <c r="CU308" s="935"/>
      <c r="CV308" s="935"/>
    </row>
    <row r="309" spans="1:100">
      <c r="A309" s="375">
        <f t="shared" si="90"/>
        <v>8</v>
      </c>
      <c r="B309" s="862">
        <v>44435</v>
      </c>
      <c r="C309" s="493" t="s">
        <v>2001</v>
      </c>
      <c r="D309" s="376" t="str">
        <f>IFERROR(VLOOKUP(E:E,'Item Data Support Sheet'!A:O,7,0),"")</f>
        <v>NIPPLE PUNCH</v>
      </c>
      <c r="E309" s="447" t="s">
        <v>82</v>
      </c>
      <c r="F309" s="500"/>
      <c r="G309" s="376" t="s">
        <v>1692</v>
      </c>
      <c r="H309" s="602" t="str">
        <f>IFERROR(VLOOKUP(E:E,'Item Data Support Sheet'!A:O,2,0),"")</f>
        <v>NIPPLE S TYPE L SIZE PUNCHED</v>
      </c>
      <c r="I309" s="501" t="s">
        <v>2722</v>
      </c>
      <c r="J309" s="447" t="s">
        <v>2808</v>
      </c>
      <c r="K309" s="438">
        <v>8</v>
      </c>
      <c r="L309" s="499">
        <v>7036</v>
      </c>
      <c r="M309" s="366">
        <f t="shared" si="105"/>
        <v>879.5</v>
      </c>
      <c r="N309" s="367">
        <f t="shared" si="88"/>
        <v>7300</v>
      </c>
      <c r="O309" s="61">
        <v>7300</v>
      </c>
      <c r="P309" s="368">
        <v>0</v>
      </c>
      <c r="Q309" s="368">
        <v>0</v>
      </c>
      <c r="R309" s="494">
        <v>0</v>
      </c>
      <c r="S309" s="493">
        <v>0</v>
      </c>
      <c r="T309" s="494">
        <v>0</v>
      </c>
      <c r="U309" s="493">
        <v>0</v>
      </c>
      <c r="V309" s="502">
        <v>1</v>
      </c>
      <c r="W309" s="453">
        <f t="shared" si="91"/>
        <v>7300</v>
      </c>
      <c r="X309" s="748">
        <f t="shared" si="92"/>
        <v>1.0375213189312109</v>
      </c>
      <c r="Y309" s="451" t="str">
        <f>IFERROR(VLOOKUP(E:E,'Item Data Support Sheet'!A:J,6,0),0)</f>
        <v>FO017</v>
      </c>
      <c r="Z309" s="428">
        <f>IFERROR(VLOOKUP(E:E,'Item Data Support Sheet'!A:O,4,0),0)</f>
        <v>0</v>
      </c>
      <c r="AA309" s="428">
        <f t="shared" si="93"/>
        <v>0</v>
      </c>
      <c r="AB309" s="429" t="str">
        <f t="shared" si="94"/>
        <v xml:space="preserve"> </v>
      </c>
      <c r="AC309" s="424">
        <f t="shared" si="95"/>
        <v>0</v>
      </c>
      <c r="AD309" s="371">
        <f t="shared" si="96"/>
        <v>0</v>
      </c>
      <c r="AE309" s="748">
        <f t="shared" si="97"/>
        <v>1</v>
      </c>
      <c r="AF309" s="417">
        <f t="shared" si="98"/>
        <v>0.66666666666666663</v>
      </c>
      <c r="AG309" s="416">
        <f t="shared" si="99"/>
        <v>7.333333333333333</v>
      </c>
      <c r="AH309" s="372">
        <f t="shared" si="100"/>
        <v>0.91666666666666663</v>
      </c>
      <c r="AI309" s="373">
        <f t="shared" si="101"/>
        <v>912.5</v>
      </c>
      <c r="AJ309" s="418">
        <f>VLOOKUP(D309,'Standard Cycle time'!C:D,2,0)</f>
        <v>3.5</v>
      </c>
      <c r="AK309" s="418">
        <f t="shared" si="102"/>
        <v>3.6164383561643834</v>
      </c>
      <c r="AL309" s="374">
        <f t="shared" si="103"/>
        <v>0.96780303030303039</v>
      </c>
      <c r="AM309" s="372">
        <f t="shared" si="104"/>
        <v>0.88715277777777779</v>
      </c>
      <c r="AN309" s="799">
        <v>2814</v>
      </c>
      <c r="AO309" s="929"/>
      <c r="AP309" s="440">
        <v>40</v>
      </c>
      <c r="AQ309" s="440">
        <v>0</v>
      </c>
      <c r="AR309" s="440">
        <v>0</v>
      </c>
      <c r="AS309" s="440">
        <v>0</v>
      </c>
      <c r="AT309" s="440">
        <v>0</v>
      </c>
      <c r="AU309" s="440">
        <v>0</v>
      </c>
      <c r="AV309" s="440">
        <v>0</v>
      </c>
      <c r="AW309" s="440">
        <v>0</v>
      </c>
      <c r="AX309" s="440">
        <v>0</v>
      </c>
      <c r="AY309" s="440">
        <v>0</v>
      </c>
      <c r="AZ309" s="440">
        <v>0</v>
      </c>
      <c r="BA309" s="440">
        <v>0</v>
      </c>
      <c r="BB309" s="440">
        <v>0</v>
      </c>
      <c r="BC309" s="440">
        <v>0</v>
      </c>
      <c r="BD309" s="440">
        <v>0</v>
      </c>
      <c r="BE309" s="440">
        <v>0</v>
      </c>
      <c r="BF309" s="440">
        <v>0</v>
      </c>
      <c r="BG309" s="440">
        <v>0</v>
      </c>
      <c r="BH309" s="440">
        <v>0</v>
      </c>
      <c r="BI309" s="440">
        <v>0</v>
      </c>
      <c r="BJ309" s="440">
        <v>0</v>
      </c>
      <c r="BK309" s="440">
        <v>0</v>
      </c>
      <c r="BL309" s="440">
        <v>0</v>
      </c>
      <c r="BM309" s="440">
        <v>0</v>
      </c>
      <c r="BN309" s="440">
        <v>0</v>
      </c>
      <c r="BO309" s="440">
        <v>0</v>
      </c>
      <c r="BP309" s="440">
        <v>0</v>
      </c>
      <c r="BQ309" s="440">
        <v>0</v>
      </c>
      <c r="BR309" s="415">
        <f t="shared" si="87"/>
        <v>0.66666666666666663</v>
      </c>
      <c r="BS309" s="415">
        <f t="shared" si="89"/>
        <v>0.6777777777777777</v>
      </c>
      <c r="BT309" s="935"/>
      <c r="BU309" s="935"/>
      <c r="BV309" s="935"/>
      <c r="BW309" s="935"/>
      <c r="BX309" s="935"/>
      <c r="BY309" s="935"/>
      <c r="BZ309" s="935"/>
      <c r="CA309" s="935"/>
      <c r="CB309" s="935"/>
      <c r="CC309" s="935"/>
      <c r="CD309" s="935"/>
      <c r="CE309" s="935"/>
      <c r="CF309" s="935"/>
      <c r="CG309" s="935"/>
      <c r="CH309" s="935"/>
      <c r="CI309" s="935"/>
      <c r="CJ309" s="935"/>
      <c r="CK309" s="935"/>
      <c r="CL309" s="935"/>
      <c r="CM309" s="935"/>
      <c r="CN309" s="935"/>
      <c r="CO309" s="935"/>
      <c r="CP309" s="935"/>
      <c r="CQ309" s="935"/>
      <c r="CR309" s="935"/>
      <c r="CS309" s="935"/>
      <c r="CT309" s="935"/>
      <c r="CU309" s="935"/>
      <c r="CV309" s="935"/>
    </row>
    <row r="310" spans="1:100">
      <c r="A310" s="375">
        <f t="shared" si="90"/>
        <v>8</v>
      </c>
      <c r="B310" s="862">
        <v>44435</v>
      </c>
      <c r="C310" s="493" t="s">
        <v>2001</v>
      </c>
      <c r="D310" s="376" t="str">
        <f>IFERROR(VLOOKUP(E:E,'Item Data Support Sheet'!A:O,7,0),"")</f>
        <v>NIPPLE MOLDED</v>
      </c>
      <c r="E310" s="447" t="s">
        <v>74</v>
      </c>
      <c r="F310" s="500"/>
      <c r="G310" s="376"/>
      <c r="H310" s="602" t="str">
        <f>IFERROR(VLOOKUP(E:E,'Item Data Support Sheet'!A:O,2,0),"")</f>
        <v>NIPPLE S TYPE L SIZE INJECTION</v>
      </c>
      <c r="I310" s="501" t="s">
        <v>2717</v>
      </c>
      <c r="J310" s="447" t="s">
        <v>2808</v>
      </c>
      <c r="K310" s="438">
        <v>8</v>
      </c>
      <c r="L310" s="499">
        <v>4815</v>
      </c>
      <c r="M310" s="366">
        <f t="shared" si="105"/>
        <v>601.875</v>
      </c>
      <c r="N310" s="367">
        <f t="shared" si="88"/>
        <v>5470</v>
      </c>
      <c r="O310" s="61">
        <v>5300</v>
      </c>
      <c r="P310" s="368">
        <v>0</v>
      </c>
      <c r="Q310" s="368">
        <v>90</v>
      </c>
      <c r="R310" s="494">
        <v>0</v>
      </c>
      <c r="S310" s="493">
        <v>0</v>
      </c>
      <c r="T310" s="494">
        <v>80</v>
      </c>
      <c r="U310" s="493">
        <v>0</v>
      </c>
      <c r="V310" s="502">
        <v>1</v>
      </c>
      <c r="W310" s="453">
        <f t="shared" si="91"/>
        <v>5300</v>
      </c>
      <c r="X310" s="748">
        <f t="shared" si="92"/>
        <v>1.1007268951194185</v>
      </c>
      <c r="Y310" s="451" t="str">
        <f>IFERROR(VLOOKUP(E:E,'Item Data Support Sheet'!A:J,6,0),0)</f>
        <v>Silicon</v>
      </c>
      <c r="Z310" s="428">
        <f>IFERROR(VLOOKUP(E:E,'Item Data Support Sheet'!A:O,4,0),0)</f>
        <v>6.8</v>
      </c>
      <c r="AA310" s="428">
        <f t="shared" si="93"/>
        <v>37.195999999999998</v>
      </c>
      <c r="AB310" s="429">
        <f t="shared" si="94"/>
        <v>0.96892138939670935</v>
      </c>
      <c r="AC310" s="424">
        <f t="shared" si="95"/>
        <v>1.4869888475836431E-2</v>
      </c>
      <c r="AD310" s="371">
        <f t="shared" si="96"/>
        <v>1.618705035971223E-2</v>
      </c>
      <c r="AE310" s="748">
        <f t="shared" si="97"/>
        <v>0.98537477148080443</v>
      </c>
      <c r="AF310" s="417">
        <f t="shared" si="98"/>
        <v>0</v>
      </c>
      <c r="AG310" s="416">
        <f t="shared" si="99"/>
        <v>8</v>
      </c>
      <c r="AH310" s="372">
        <f t="shared" si="100"/>
        <v>1</v>
      </c>
      <c r="AI310" s="373">
        <f t="shared" si="101"/>
        <v>662.5</v>
      </c>
      <c r="AJ310" s="418">
        <f>VLOOKUP(D310,'Standard Cycle time'!C:D,2,0)</f>
        <v>5.25</v>
      </c>
      <c r="AK310" s="418">
        <f t="shared" si="102"/>
        <v>5.4339622641509431</v>
      </c>
      <c r="AL310" s="374">
        <f t="shared" si="103"/>
        <v>0.96614583333333337</v>
      </c>
      <c r="AM310" s="372">
        <f t="shared" si="104"/>
        <v>0.95201572973796478</v>
      </c>
      <c r="AN310" s="799">
        <v>2817</v>
      </c>
      <c r="AO310" s="929"/>
      <c r="AP310" s="440">
        <v>0</v>
      </c>
      <c r="AQ310" s="440">
        <v>0</v>
      </c>
      <c r="AR310" s="440">
        <v>0</v>
      </c>
      <c r="AS310" s="440">
        <v>0</v>
      </c>
      <c r="AT310" s="440">
        <v>0</v>
      </c>
      <c r="AU310" s="440">
        <v>0</v>
      </c>
      <c r="AV310" s="440">
        <v>0</v>
      </c>
      <c r="AW310" s="440">
        <v>0</v>
      </c>
      <c r="AX310" s="440">
        <v>0</v>
      </c>
      <c r="AY310" s="440">
        <v>0</v>
      </c>
      <c r="AZ310" s="440">
        <v>0</v>
      </c>
      <c r="BA310" s="440">
        <v>0</v>
      </c>
      <c r="BB310" s="440">
        <v>0</v>
      </c>
      <c r="BC310" s="440">
        <v>0</v>
      </c>
      <c r="BD310" s="440">
        <v>0</v>
      </c>
      <c r="BE310" s="440">
        <v>0</v>
      </c>
      <c r="BF310" s="440">
        <v>0</v>
      </c>
      <c r="BG310" s="440">
        <v>0</v>
      </c>
      <c r="BH310" s="440">
        <v>0</v>
      </c>
      <c r="BI310" s="440">
        <v>0</v>
      </c>
      <c r="BJ310" s="440">
        <v>0</v>
      </c>
      <c r="BK310" s="440">
        <v>0</v>
      </c>
      <c r="BL310" s="440">
        <v>0</v>
      </c>
      <c r="BM310" s="440">
        <v>0</v>
      </c>
      <c r="BN310" s="440">
        <v>0</v>
      </c>
      <c r="BO310" s="440">
        <v>0</v>
      </c>
      <c r="BP310" s="440">
        <v>0</v>
      </c>
      <c r="BQ310" s="440">
        <v>0</v>
      </c>
      <c r="BR310" s="415">
        <f t="shared" si="87"/>
        <v>0</v>
      </c>
      <c r="BS310" s="415">
        <f t="shared" si="89"/>
        <v>0</v>
      </c>
      <c r="BT310" s="935"/>
      <c r="BU310" s="935"/>
      <c r="BV310" s="935"/>
      <c r="BW310" s="935"/>
      <c r="BX310" s="935"/>
      <c r="BY310" s="935"/>
      <c r="BZ310" s="935"/>
      <c r="CA310" s="935"/>
      <c r="CB310" s="935"/>
      <c r="CC310" s="935"/>
      <c r="CD310" s="935"/>
      <c r="CE310" s="935"/>
      <c r="CF310" s="935"/>
      <c r="CG310" s="935"/>
      <c r="CH310" s="935"/>
      <c r="CI310" s="935"/>
      <c r="CJ310" s="935"/>
      <c r="CK310" s="935"/>
      <c r="CL310" s="935"/>
      <c r="CM310" s="935"/>
      <c r="CN310" s="935"/>
      <c r="CO310" s="935"/>
      <c r="CP310" s="935"/>
      <c r="CQ310" s="935"/>
      <c r="CR310" s="935"/>
      <c r="CS310" s="935"/>
      <c r="CT310" s="935"/>
      <c r="CU310" s="935"/>
      <c r="CV310" s="935"/>
    </row>
    <row r="311" spans="1:100">
      <c r="A311" s="375">
        <f t="shared" si="90"/>
        <v>8</v>
      </c>
      <c r="B311" s="862">
        <v>44435</v>
      </c>
      <c r="C311" s="493" t="s">
        <v>2001</v>
      </c>
      <c r="D311" s="376" t="str">
        <f>IFERROR(VLOOKUP(E:E,'Item Data Support Sheet'!A:O,7,0),"")</f>
        <v>NIPPLE POSTCURE</v>
      </c>
      <c r="E311" s="447" t="s">
        <v>78</v>
      </c>
      <c r="F311" s="500"/>
      <c r="G311" s="376"/>
      <c r="H311" s="602" t="str">
        <f>IFERROR(VLOOKUP(E:E,'Item Data Support Sheet'!A:O,2,0),"")</f>
        <v>NIPPLE S TYPE L SIZE POSTCURED</v>
      </c>
      <c r="I311" s="501" t="s">
        <v>2719</v>
      </c>
      <c r="J311" s="447" t="s">
        <v>2808</v>
      </c>
      <c r="K311" s="438">
        <v>5</v>
      </c>
      <c r="L311" s="499">
        <v>7036</v>
      </c>
      <c r="M311" s="366">
        <f t="shared" si="105"/>
        <v>1407.2</v>
      </c>
      <c r="N311" s="367">
        <f t="shared" si="88"/>
        <v>4170</v>
      </c>
      <c r="O311" s="61">
        <v>4170</v>
      </c>
      <c r="P311" s="368">
        <v>0</v>
      </c>
      <c r="Q311" s="368">
        <v>0</v>
      </c>
      <c r="R311" s="494">
        <v>0</v>
      </c>
      <c r="S311" s="493">
        <v>0</v>
      </c>
      <c r="T311" s="494">
        <v>0</v>
      </c>
      <c r="U311" s="493">
        <v>0</v>
      </c>
      <c r="V311" s="502">
        <v>1</v>
      </c>
      <c r="W311" s="453">
        <f t="shared" si="91"/>
        <v>4170</v>
      </c>
      <c r="X311" s="748">
        <f t="shared" si="92"/>
        <v>0.59266628766344509</v>
      </c>
      <c r="Y311" s="451" t="str">
        <f>IFERROR(VLOOKUP(E:E,'Item Data Support Sheet'!A:J,6,0),0)</f>
        <v>FO013</v>
      </c>
      <c r="Z311" s="428">
        <f>IFERROR(VLOOKUP(E:E,'Item Data Support Sheet'!A:O,4,0),0)</f>
        <v>0</v>
      </c>
      <c r="AA311" s="428">
        <f t="shared" si="93"/>
        <v>0</v>
      </c>
      <c r="AB311" s="429" t="str">
        <f t="shared" si="94"/>
        <v xml:space="preserve"> </v>
      </c>
      <c r="AC311" s="424">
        <f t="shared" si="95"/>
        <v>0</v>
      </c>
      <c r="AD311" s="371">
        <f t="shared" si="96"/>
        <v>0</v>
      </c>
      <c r="AE311" s="748">
        <f t="shared" si="97"/>
        <v>1</v>
      </c>
      <c r="AF311" s="417">
        <f t="shared" si="98"/>
        <v>0.66666666666666663</v>
      </c>
      <c r="AG311" s="416">
        <f t="shared" si="99"/>
        <v>4.333333333333333</v>
      </c>
      <c r="AH311" s="372">
        <f t="shared" si="100"/>
        <v>0.86666666666666659</v>
      </c>
      <c r="AI311" s="373">
        <f t="shared" si="101"/>
        <v>834</v>
      </c>
      <c r="AJ311" s="418">
        <f>VLOOKUP(D311,'Standard Cycle time'!C:D,2,0)</f>
        <v>2.2999999999999998</v>
      </c>
      <c r="AK311" s="418">
        <f t="shared" si="102"/>
        <v>3.7410071942446037</v>
      </c>
      <c r="AL311" s="374">
        <f t="shared" si="103"/>
        <v>0.61480769230769239</v>
      </c>
      <c r="AM311" s="372">
        <f t="shared" si="104"/>
        <v>0.53283333333333338</v>
      </c>
      <c r="AN311" s="799">
        <v>2819</v>
      </c>
      <c r="AO311" s="761"/>
      <c r="AP311" s="440">
        <v>40</v>
      </c>
      <c r="AQ311" s="440">
        <v>0</v>
      </c>
      <c r="AR311" s="440">
        <v>0</v>
      </c>
      <c r="AS311" s="440">
        <v>0</v>
      </c>
      <c r="AT311" s="440">
        <v>0</v>
      </c>
      <c r="AU311" s="440">
        <v>0</v>
      </c>
      <c r="AV311" s="440">
        <v>0</v>
      </c>
      <c r="AW311" s="440">
        <v>0</v>
      </c>
      <c r="AX311" s="440">
        <v>0</v>
      </c>
      <c r="AY311" s="440">
        <v>0</v>
      </c>
      <c r="AZ311" s="440">
        <v>0</v>
      </c>
      <c r="BA311" s="440">
        <v>0</v>
      </c>
      <c r="BB311" s="440">
        <v>0</v>
      </c>
      <c r="BC311" s="440">
        <v>0</v>
      </c>
      <c r="BD311" s="440">
        <v>0</v>
      </c>
      <c r="BE311" s="440">
        <v>0</v>
      </c>
      <c r="BF311" s="440">
        <v>0</v>
      </c>
      <c r="BG311" s="440">
        <v>0</v>
      </c>
      <c r="BH311" s="440">
        <v>0</v>
      </c>
      <c r="BI311" s="440">
        <v>0</v>
      </c>
      <c r="BJ311" s="440">
        <v>0</v>
      </c>
      <c r="BK311" s="440">
        <v>0</v>
      </c>
      <c r="BL311" s="440">
        <v>0</v>
      </c>
      <c r="BM311" s="440">
        <v>0</v>
      </c>
      <c r="BN311" s="440">
        <v>0</v>
      </c>
      <c r="BO311" s="440">
        <v>0</v>
      </c>
      <c r="BP311" s="440">
        <v>0</v>
      </c>
      <c r="BQ311" s="440">
        <v>0</v>
      </c>
      <c r="BR311" s="415">
        <f t="shared" si="87"/>
        <v>0.66666666666666663</v>
      </c>
      <c r="BS311" s="415">
        <f t="shared" si="89"/>
        <v>0.6777777777777777</v>
      </c>
      <c r="BT311" s="935"/>
      <c r="BU311" s="935"/>
      <c r="BV311" s="935"/>
      <c r="BW311" s="935"/>
      <c r="BX311" s="935"/>
      <c r="BY311" s="935"/>
      <c r="BZ311" s="935"/>
      <c r="CA311" s="935"/>
      <c r="CB311" s="935"/>
      <c r="CC311" s="935"/>
      <c r="CD311" s="935"/>
      <c r="CE311" s="935"/>
      <c r="CF311" s="935"/>
      <c r="CG311" s="935"/>
      <c r="CH311" s="935"/>
      <c r="CI311" s="935"/>
      <c r="CJ311" s="935"/>
      <c r="CK311" s="935"/>
      <c r="CL311" s="935"/>
      <c r="CM311" s="935"/>
      <c r="CN311" s="935"/>
      <c r="CO311" s="935"/>
      <c r="CP311" s="935"/>
      <c r="CQ311" s="935"/>
      <c r="CR311" s="935"/>
      <c r="CS311" s="935"/>
      <c r="CT311" s="935"/>
      <c r="CU311" s="935"/>
      <c r="CV311" s="935"/>
    </row>
    <row r="312" spans="1:100" ht="29">
      <c r="A312" s="375">
        <f t="shared" si="90"/>
        <v>8</v>
      </c>
      <c r="B312" s="862">
        <v>44435</v>
      </c>
      <c r="C312" s="493" t="s">
        <v>2001</v>
      </c>
      <c r="D312" s="376" t="str">
        <f>IFERROR(VLOOKUP(E:E,'Item Data Support Sheet'!A:O,7,0),"")</f>
        <v>BOTTLE MOLDED</v>
      </c>
      <c r="E312" s="447" t="s">
        <v>137</v>
      </c>
      <c r="F312" s="500" t="s">
        <v>1664</v>
      </c>
      <c r="G312" s="376" t="s">
        <v>1665</v>
      </c>
      <c r="H312" s="602" t="str">
        <f>IFERROR(VLOOKUP(E:E,'Item Data Support Sheet'!A:O,2,0),"")</f>
        <v>RPP 120ML PINK BOTTLE MOLDED (WM3GB)</v>
      </c>
      <c r="I312" s="501" t="s">
        <v>2718</v>
      </c>
      <c r="J312" s="447" t="s">
        <v>2808</v>
      </c>
      <c r="K312" s="438">
        <v>4</v>
      </c>
      <c r="L312" s="499">
        <f>2503/2</f>
        <v>1251.5</v>
      </c>
      <c r="M312" s="366">
        <f t="shared" si="105"/>
        <v>312.875</v>
      </c>
      <c r="N312" s="367">
        <f t="shared" si="88"/>
        <v>1180</v>
      </c>
      <c r="O312" s="61">
        <f>180*6</f>
        <v>1080</v>
      </c>
      <c r="P312" s="368">
        <v>2.1</v>
      </c>
      <c r="Q312" s="368">
        <v>47</v>
      </c>
      <c r="R312" s="494">
        <v>0</v>
      </c>
      <c r="S312" s="493">
        <v>0</v>
      </c>
      <c r="T312" s="494">
        <v>45</v>
      </c>
      <c r="U312" s="493">
        <v>8</v>
      </c>
      <c r="V312" s="502">
        <v>1</v>
      </c>
      <c r="W312" s="453">
        <f t="shared" si="91"/>
        <v>1080</v>
      </c>
      <c r="X312" s="748">
        <f t="shared" si="92"/>
        <v>0.86296444266879746</v>
      </c>
      <c r="Y312" s="451" t="str">
        <f>IFERROR(VLOOKUP(E:E,'Item Data Support Sheet'!A:J,6,0),0)</f>
        <v>WMG3B</v>
      </c>
      <c r="Z312" s="428">
        <f>IFERROR(VLOOKUP(E:E,'Item Data Support Sheet'!A:O,4,0),0)</f>
        <v>22.7</v>
      </c>
      <c r="AA312" s="428">
        <f t="shared" si="93"/>
        <v>28.885999999999999</v>
      </c>
      <c r="AB312" s="429">
        <f t="shared" si="94"/>
        <v>0.84871564079484862</v>
      </c>
      <c r="AC312" s="424">
        <f t="shared" si="95"/>
        <v>0.04</v>
      </c>
      <c r="AD312" s="371">
        <f t="shared" si="96"/>
        <v>3.8304808475957623E-2</v>
      </c>
      <c r="AE312" s="748">
        <f t="shared" si="97"/>
        <v>0.96186440677966101</v>
      </c>
      <c r="AF312" s="417">
        <f t="shared" si="98"/>
        <v>0.75</v>
      </c>
      <c r="AG312" s="416">
        <f t="shared" si="99"/>
        <v>3.25</v>
      </c>
      <c r="AH312" s="372">
        <f t="shared" si="100"/>
        <v>0.8125</v>
      </c>
      <c r="AI312" s="373">
        <f t="shared" si="101"/>
        <v>270</v>
      </c>
      <c r="AJ312" s="418">
        <f>VLOOKUP(D312,'Standard Cycle time'!C:D,2,0)</f>
        <v>9</v>
      </c>
      <c r="AK312" s="418">
        <f t="shared" si="102"/>
        <v>10.833333333333334</v>
      </c>
      <c r="AL312" s="374">
        <f t="shared" si="103"/>
        <v>0.8307692307692307</v>
      </c>
      <c r="AM312" s="372">
        <f t="shared" si="104"/>
        <v>0.64925847457627117</v>
      </c>
      <c r="AN312" s="799">
        <v>2820</v>
      </c>
      <c r="AO312" s="827" t="s">
        <v>2726</v>
      </c>
      <c r="AP312" s="440">
        <v>0</v>
      </c>
      <c r="AQ312" s="440">
        <v>0</v>
      </c>
      <c r="AR312" s="440">
        <v>0</v>
      </c>
      <c r="AS312" s="440">
        <v>0</v>
      </c>
      <c r="AT312" s="440">
        <v>0</v>
      </c>
      <c r="AU312" s="440">
        <v>0</v>
      </c>
      <c r="AV312" s="440">
        <v>0</v>
      </c>
      <c r="AW312" s="440">
        <v>45</v>
      </c>
      <c r="AX312" s="440">
        <v>0</v>
      </c>
      <c r="AY312" s="440">
        <v>0</v>
      </c>
      <c r="AZ312" s="440">
        <v>0</v>
      </c>
      <c r="BA312" s="440">
        <v>0</v>
      </c>
      <c r="BB312" s="440">
        <v>0</v>
      </c>
      <c r="BC312" s="440">
        <v>0</v>
      </c>
      <c r="BD312" s="440">
        <v>0</v>
      </c>
      <c r="BE312" s="440">
        <v>0</v>
      </c>
      <c r="BF312" s="440">
        <v>0</v>
      </c>
      <c r="BG312" s="440">
        <v>0</v>
      </c>
      <c r="BH312" s="440">
        <v>0</v>
      </c>
      <c r="BI312" s="440">
        <v>0</v>
      </c>
      <c r="BJ312" s="440">
        <v>0</v>
      </c>
      <c r="BK312" s="440">
        <v>0</v>
      </c>
      <c r="BL312" s="440">
        <v>0</v>
      </c>
      <c r="BM312" s="440">
        <v>0</v>
      </c>
      <c r="BN312" s="440">
        <v>0</v>
      </c>
      <c r="BO312" s="440">
        <v>0</v>
      </c>
      <c r="BP312" s="440">
        <v>0</v>
      </c>
      <c r="BQ312" s="440">
        <v>0</v>
      </c>
      <c r="BR312" s="415">
        <f t="shared" si="87"/>
        <v>0.75</v>
      </c>
      <c r="BS312" s="415">
        <f t="shared" si="89"/>
        <v>0.76249999999999996</v>
      </c>
      <c r="BT312" s="935"/>
      <c r="BU312" s="935"/>
      <c r="BV312" s="935"/>
      <c r="BW312" s="935"/>
      <c r="BX312" s="935"/>
      <c r="BY312" s="935"/>
      <c r="BZ312" s="935"/>
      <c r="CA312" s="935"/>
      <c r="CB312" s="935"/>
      <c r="CC312" s="935"/>
      <c r="CD312" s="935"/>
      <c r="CE312" s="935"/>
      <c r="CF312" s="935"/>
      <c r="CG312" s="935"/>
      <c r="CH312" s="935"/>
      <c r="CI312" s="935"/>
      <c r="CJ312" s="935"/>
      <c r="CK312" s="935"/>
      <c r="CL312" s="935"/>
      <c r="CM312" s="935"/>
      <c r="CN312" s="935"/>
      <c r="CO312" s="935"/>
      <c r="CP312" s="935"/>
      <c r="CQ312" s="935"/>
      <c r="CR312" s="935"/>
      <c r="CS312" s="935"/>
      <c r="CT312" s="935"/>
      <c r="CU312" s="935"/>
      <c r="CV312" s="935"/>
    </row>
    <row r="313" spans="1:100">
      <c r="A313" s="375">
        <f t="shared" si="90"/>
        <v>8</v>
      </c>
      <c r="B313" s="862">
        <v>44435</v>
      </c>
      <c r="C313" s="493" t="s">
        <v>2001</v>
      </c>
      <c r="D313" s="376" t="str">
        <f>IFERROR(VLOOKUP(E:E,'Item Data Support Sheet'!A:O,7,0),"")</f>
        <v>HOOD MOLDED</v>
      </c>
      <c r="E313" s="447" t="s">
        <v>1987</v>
      </c>
      <c r="F313" s="500"/>
      <c r="G313" s="376" t="s">
        <v>2724</v>
      </c>
      <c r="H313" s="602" t="str">
        <f>IFERROR(VLOOKUP(E:E,'Item Data Support Sheet'!A:O,2,0),"")</f>
        <v>HOOD S TYPE MOLDED</v>
      </c>
      <c r="I313" s="501" t="s">
        <v>2725</v>
      </c>
      <c r="J313" s="447" t="s">
        <v>2808</v>
      </c>
      <c r="K313" s="438">
        <v>8</v>
      </c>
      <c r="L313" s="499">
        <v>4137</v>
      </c>
      <c r="M313" s="366">
        <f t="shared" si="105"/>
        <v>517.125</v>
      </c>
      <c r="N313" s="367">
        <f t="shared" si="88"/>
        <v>4573</v>
      </c>
      <c r="O313" s="61">
        <v>4500</v>
      </c>
      <c r="P313" s="368">
        <v>0</v>
      </c>
      <c r="Q313" s="368">
        <v>45</v>
      </c>
      <c r="R313" s="494">
        <v>0</v>
      </c>
      <c r="S313" s="493">
        <v>0</v>
      </c>
      <c r="T313" s="494">
        <v>28</v>
      </c>
      <c r="U313" s="493">
        <v>0</v>
      </c>
      <c r="V313" s="502">
        <v>1</v>
      </c>
      <c r="W313" s="453">
        <f t="shared" si="91"/>
        <v>4500</v>
      </c>
      <c r="X313" s="748">
        <f t="shared" si="92"/>
        <v>1.0877447425670776</v>
      </c>
      <c r="Y313" s="451" t="str">
        <f>IFERROR(VLOOKUP(E:E,'Item Data Support Sheet'!A:J,6,0),0)</f>
        <v>HMC</v>
      </c>
      <c r="Z313" s="428">
        <f>IFERROR(VLOOKUP(E:E,'Item Data Support Sheet'!A:O,4,0),0)</f>
        <v>8.6</v>
      </c>
      <c r="AA313" s="428">
        <f t="shared" si="93"/>
        <v>39.327800000000003</v>
      </c>
      <c r="AB313" s="429">
        <f t="shared" si="94"/>
        <v>0.98403673737152852</v>
      </c>
      <c r="AC313" s="424">
        <f t="shared" si="95"/>
        <v>6.183745583038869E-3</v>
      </c>
      <c r="AD313" s="371">
        <f t="shared" si="96"/>
        <v>9.7444781290601992E-3</v>
      </c>
      <c r="AE313" s="748">
        <f t="shared" si="97"/>
        <v>0.99387710474524382</v>
      </c>
      <c r="AF313" s="417">
        <f t="shared" si="98"/>
        <v>0</v>
      </c>
      <c r="AG313" s="416">
        <f t="shared" si="99"/>
        <v>8</v>
      </c>
      <c r="AH313" s="372">
        <f t="shared" si="100"/>
        <v>1</v>
      </c>
      <c r="AI313" s="373">
        <f t="shared" si="101"/>
        <v>562.5</v>
      </c>
      <c r="AJ313" s="418">
        <f>VLOOKUP(D313,'Standard Cycle time'!C:D,2,0)</f>
        <v>6</v>
      </c>
      <c r="AK313" s="418">
        <f t="shared" si="102"/>
        <v>6.4</v>
      </c>
      <c r="AL313" s="374">
        <f t="shared" si="103"/>
        <v>0.9375</v>
      </c>
      <c r="AM313" s="372">
        <f t="shared" si="104"/>
        <v>0.93175978569866613</v>
      </c>
      <c r="AN313" s="799">
        <v>2818</v>
      </c>
      <c r="AO313" s="761"/>
      <c r="AP313" s="440">
        <v>0</v>
      </c>
      <c r="AQ313" s="440">
        <v>0</v>
      </c>
      <c r="AR313" s="440">
        <v>0</v>
      </c>
      <c r="AS313" s="440">
        <v>0</v>
      </c>
      <c r="AT313" s="440">
        <v>0</v>
      </c>
      <c r="AU313" s="440">
        <v>0</v>
      </c>
      <c r="AV313" s="440">
        <v>0</v>
      </c>
      <c r="AW313" s="440">
        <v>0</v>
      </c>
      <c r="AX313" s="440">
        <v>0</v>
      </c>
      <c r="AY313" s="440">
        <v>0</v>
      </c>
      <c r="AZ313" s="440">
        <v>0</v>
      </c>
      <c r="BA313" s="440">
        <v>0</v>
      </c>
      <c r="BB313" s="440">
        <v>0</v>
      </c>
      <c r="BC313" s="440">
        <v>0</v>
      </c>
      <c r="BD313" s="440">
        <v>0</v>
      </c>
      <c r="BE313" s="440">
        <v>0</v>
      </c>
      <c r="BF313" s="440">
        <v>0</v>
      </c>
      <c r="BG313" s="440">
        <v>0</v>
      </c>
      <c r="BH313" s="440">
        <v>0</v>
      </c>
      <c r="BI313" s="440">
        <v>0</v>
      </c>
      <c r="BJ313" s="440">
        <v>0</v>
      </c>
      <c r="BK313" s="440">
        <v>0</v>
      </c>
      <c r="BL313" s="440">
        <v>0</v>
      </c>
      <c r="BM313" s="440">
        <v>0</v>
      </c>
      <c r="BN313" s="440">
        <v>0</v>
      </c>
      <c r="BO313" s="440">
        <v>0</v>
      </c>
      <c r="BP313" s="440">
        <v>0</v>
      </c>
      <c r="BQ313" s="440">
        <v>0</v>
      </c>
      <c r="BR313" s="415">
        <f t="shared" ref="BR313:BR353" si="106">SUM(AP313:BQ313)/60</f>
        <v>0</v>
      </c>
      <c r="BS313" s="415">
        <f t="shared" si="89"/>
        <v>0</v>
      </c>
      <c r="BT313" s="935"/>
      <c r="BU313" s="935"/>
      <c r="BV313" s="935"/>
      <c r="BW313" s="935"/>
      <c r="BX313" s="935"/>
      <c r="BY313" s="935"/>
      <c r="BZ313" s="935"/>
      <c r="CA313" s="935"/>
      <c r="CB313" s="935"/>
      <c r="CC313" s="935"/>
      <c r="CD313" s="935"/>
      <c r="CE313" s="935"/>
      <c r="CF313" s="935"/>
      <c r="CG313" s="935"/>
      <c r="CH313" s="935"/>
      <c r="CI313" s="935"/>
      <c r="CJ313" s="935"/>
      <c r="CK313" s="935"/>
      <c r="CL313" s="935"/>
      <c r="CM313" s="935"/>
      <c r="CN313" s="935"/>
      <c r="CO313" s="935"/>
      <c r="CP313" s="935"/>
      <c r="CQ313" s="935"/>
      <c r="CR313" s="935"/>
      <c r="CS313" s="935"/>
      <c r="CT313" s="935"/>
      <c r="CU313" s="935"/>
      <c r="CV313" s="935"/>
    </row>
    <row r="314" spans="1:100">
      <c r="A314" s="375">
        <f t="shared" si="90"/>
        <v>8</v>
      </c>
      <c r="B314" s="862">
        <v>44435</v>
      </c>
      <c r="C314" s="493" t="s">
        <v>2053</v>
      </c>
      <c r="D314" s="376" t="str">
        <f>IFERROR(VLOOKUP(E:E,'Item Data Support Sheet'!A:O,7,0),"")</f>
        <v>NIPPLE MOLDED</v>
      </c>
      <c r="E314" s="447" t="s">
        <v>74</v>
      </c>
      <c r="F314" s="500" t="s">
        <v>1678</v>
      </c>
      <c r="G314" s="376" t="s">
        <v>1691</v>
      </c>
      <c r="H314" s="602" t="str">
        <f>IFERROR(VLOOKUP(E:E,'Item Data Support Sheet'!A:O,2,0),"")</f>
        <v>NIPPLE S TYPE L SIZE INJECTION</v>
      </c>
      <c r="I314" s="501" t="s">
        <v>2727</v>
      </c>
      <c r="J314" s="447" t="s">
        <v>2809</v>
      </c>
      <c r="K314" s="438">
        <v>8</v>
      </c>
      <c r="L314" s="499">
        <v>4815</v>
      </c>
      <c r="M314" s="366">
        <f t="shared" si="105"/>
        <v>601.875</v>
      </c>
      <c r="N314" s="367">
        <f t="shared" si="88"/>
        <v>5331</v>
      </c>
      <c r="O314" s="61">
        <v>5200</v>
      </c>
      <c r="P314" s="368">
        <v>0</v>
      </c>
      <c r="Q314" s="368">
        <v>75</v>
      </c>
      <c r="R314" s="494">
        <v>0</v>
      </c>
      <c r="S314" s="493">
        <v>0</v>
      </c>
      <c r="T314" s="494">
        <v>48</v>
      </c>
      <c r="U314" s="493">
        <v>8</v>
      </c>
      <c r="V314" s="502">
        <v>1</v>
      </c>
      <c r="W314" s="453">
        <f t="shared" si="91"/>
        <v>5200</v>
      </c>
      <c r="X314" s="748">
        <f t="shared" si="92"/>
        <v>1.0799584631360333</v>
      </c>
      <c r="Y314" s="451" t="str">
        <f>IFERROR(VLOOKUP(E:E,'Item Data Support Sheet'!A:J,6,0),0)</f>
        <v>Silicon</v>
      </c>
      <c r="Z314" s="428">
        <f>IFERROR(VLOOKUP(E:E,'Item Data Support Sheet'!A:O,4,0),0)</f>
        <v>6.8</v>
      </c>
      <c r="AA314" s="428">
        <f t="shared" si="93"/>
        <v>36.250799999999998</v>
      </c>
      <c r="AB314" s="429">
        <f t="shared" si="94"/>
        <v>0.97542674920277628</v>
      </c>
      <c r="AC314" s="424">
        <f t="shared" si="95"/>
        <v>9.1463414634146336E-3</v>
      </c>
      <c r="AD314" s="371">
        <f t="shared" si="96"/>
        <v>1.3873473917869035E-2</v>
      </c>
      <c r="AE314" s="748">
        <f t="shared" si="97"/>
        <v>0.99099606077658975</v>
      </c>
      <c r="AF314" s="417">
        <f t="shared" si="98"/>
        <v>0</v>
      </c>
      <c r="AG314" s="416">
        <f t="shared" si="99"/>
        <v>8</v>
      </c>
      <c r="AH314" s="372">
        <f t="shared" si="100"/>
        <v>1</v>
      </c>
      <c r="AI314" s="373">
        <f t="shared" si="101"/>
        <v>650</v>
      </c>
      <c r="AJ314" s="418">
        <f>VLOOKUP(D314,'Standard Cycle time'!C:D,2,0)</f>
        <v>5.25</v>
      </c>
      <c r="AK314" s="418">
        <f t="shared" si="102"/>
        <v>5.5384615384615383</v>
      </c>
      <c r="AL314" s="374">
        <f t="shared" si="103"/>
        <v>0.94791666666666674</v>
      </c>
      <c r="AM314" s="372">
        <f t="shared" si="104"/>
        <v>0.93938168261114241</v>
      </c>
      <c r="AN314" s="799" t="s">
        <v>2732</v>
      </c>
      <c r="AO314" s="929"/>
      <c r="AP314" s="440">
        <v>0</v>
      </c>
      <c r="AQ314" s="440">
        <v>0</v>
      </c>
      <c r="AR314" s="440">
        <v>0</v>
      </c>
      <c r="AS314" s="440">
        <v>0</v>
      </c>
      <c r="AT314" s="440">
        <v>0</v>
      </c>
      <c r="AU314" s="440">
        <v>0</v>
      </c>
      <c r="AV314" s="440">
        <v>0</v>
      </c>
      <c r="AW314" s="440">
        <v>0</v>
      </c>
      <c r="AX314" s="440">
        <v>0</v>
      </c>
      <c r="AY314" s="440">
        <v>0</v>
      </c>
      <c r="AZ314" s="440">
        <v>0</v>
      </c>
      <c r="BA314" s="440">
        <v>0</v>
      </c>
      <c r="BB314" s="440">
        <v>0</v>
      </c>
      <c r="BC314" s="440">
        <v>0</v>
      </c>
      <c r="BD314" s="440">
        <v>0</v>
      </c>
      <c r="BE314" s="440">
        <v>0</v>
      </c>
      <c r="BF314" s="440">
        <v>0</v>
      </c>
      <c r="BG314" s="440">
        <v>0</v>
      </c>
      <c r="BH314" s="440">
        <v>0</v>
      </c>
      <c r="BI314" s="440">
        <v>0</v>
      </c>
      <c r="BJ314" s="440">
        <v>0</v>
      </c>
      <c r="BK314" s="440">
        <v>0</v>
      </c>
      <c r="BL314" s="440">
        <v>0</v>
      </c>
      <c r="BM314" s="440">
        <v>0</v>
      </c>
      <c r="BN314" s="440">
        <v>0</v>
      </c>
      <c r="BO314" s="440">
        <v>0</v>
      </c>
      <c r="BP314" s="440">
        <v>0</v>
      </c>
      <c r="BQ314" s="440">
        <v>0</v>
      </c>
      <c r="BR314" s="415">
        <f t="shared" si="106"/>
        <v>0</v>
      </c>
      <c r="BS314" s="415">
        <f t="shared" si="89"/>
        <v>0</v>
      </c>
      <c r="BT314" s="935"/>
      <c r="BU314" s="935"/>
      <c r="BV314" s="935"/>
      <c r="BW314" s="935"/>
      <c r="BX314" s="935"/>
      <c r="BY314" s="935"/>
      <c r="BZ314" s="935"/>
      <c r="CA314" s="935"/>
      <c r="CB314" s="935"/>
      <c r="CC314" s="935"/>
      <c r="CD314" s="935"/>
      <c r="CE314" s="935"/>
      <c r="CF314" s="935"/>
      <c r="CG314" s="935"/>
      <c r="CH314" s="935"/>
      <c r="CI314" s="935"/>
      <c r="CJ314" s="935"/>
      <c r="CK314" s="935"/>
      <c r="CL314" s="935"/>
      <c r="CM314" s="935"/>
      <c r="CN314" s="935"/>
      <c r="CO314" s="935"/>
      <c r="CP314" s="935"/>
      <c r="CQ314" s="935"/>
      <c r="CR314" s="935"/>
      <c r="CS314" s="935"/>
      <c r="CT314" s="935"/>
      <c r="CU314" s="935"/>
      <c r="CV314" s="935"/>
    </row>
    <row r="315" spans="1:100">
      <c r="A315" s="375">
        <f t="shared" si="90"/>
        <v>8</v>
      </c>
      <c r="B315" s="862">
        <v>44435</v>
      </c>
      <c r="C315" s="493" t="s">
        <v>2053</v>
      </c>
      <c r="D315" s="376" t="str">
        <f>IFERROR(VLOOKUP(E:E,'Item Data Support Sheet'!A:O,7,0),"")</f>
        <v>BOTTLE MOLDED</v>
      </c>
      <c r="E315" s="447" t="s">
        <v>137</v>
      </c>
      <c r="F315" s="500" t="s">
        <v>1664</v>
      </c>
      <c r="G315" s="376" t="s">
        <v>1665</v>
      </c>
      <c r="H315" s="602" t="str">
        <f>IFERROR(VLOOKUP(E:E,'Item Data Support Sheet'!A:O,2,0),"")</f>
        <v>RPP 120ML PINK BOTTLE MOLDED (WM3GB)</v>
      </c>
      <c r="I315" s="501" t="s">
        <v>2728</v>
      </c>
      <c r="J315" s="447" t="s">
        <v>2809</v>
      </c>
      <c r="K315" s="438">
        <v>8</v>
      </c>
      <c r="L315" s="499">
        <v>2574</v>
      </c>
      <c r="M315" s="366">
        <f t="shared" si="105"/>
        <v>321.75</v>
      </c>
      <c r="N315" s="367">
        <f t="shared" si="88"/>
        <v>3102</v>
      </c>
      <c r="O315" s="61">
        <f>180*16</f>
        <v>2880</v>
      </c>
      <c r="P315" s="368">
        <v>0.12</v>
      </c>
      <c r="Q315" s="368">
        <v>127</v>
      </c>
      <c r="R315" s="494">
        <v>0</v>
      </c>
      <c r="S315" s="493">
        <v>0</v>
      </c>
      <c r="T315" s="494">
        <v>87</v>
      </c>
      <c r="U315" s="493">
        <v>8</v>
      </c>
      <c r="V315" s="502">
        <v>1</v>
      </c>
      <c r="W315" s="453">
        <f t="shared" si="91"/>
        <v>2880</v>
      </c>
      <c r="X315" s="748">
        <f t="shared" si="92"/>
        <v>1.118881118881119</v>
      </c>
      <c r="Y315" s="451" t="str">
        <f>IFERROR(VLOOKUP(E:E,'Item Data Support Sheet'!A:J,6,0),0)</f>
        <v>WMG3B</v>
      </c>
      <c r="Z315" s="428">
        <f>IFERROR(VLOOKUP(E:E,'Item Data Support Sheet'!A:O,4,0),0)</f>
        <v>22.7</v>
      </c>
      <c r="AA315" s="428">
        <f t="shared" si="93"/>
        <v>70.535399999999996</v>
      </c>
      <c r="AB315" s="429">
        <f t="shared" si="94"/>
        <v>0.92685375003189885</v>
      </c>
      <c r="AC315" s="424">
        <f t="shared" si="95"/>
        <v>2.9322548028311426E-2</v>
      </c>
      <c r="AD315" s="371">
        <f t="shared" si="96"/>
        <v>3.9331062248374113E-2</v>
      </c>
      <c r="AE315" s="748">
        <f t="shared" si="97"/>
        <v>0.97195357833655704</v>
      </c>
      <c r="AF315" s="417">
        <f t="shared" si="98"/>
        <v>0.75</v>
      </c>
      <c r="AG315" s="416">
        <f t="shared" si="99"/>
        <v>7.25</v>
      </c>
      <c r="AH315" s="372">
        <f t="shared" si="100"/>
        <v>0.90625</v>
      </c>
      <c r="AI315" s="373">
        <f t="shared" si="101"/>
        <v>360</v>
      </c>
      <c r="AJ315" s="418">
        <f>VLOOKUP(D315,'Standard Cycle time'!C:D,2,0)</f>
        <v>9</v>
      </c>
      <c r="AK315" s="418">
        <f t="shared" si="102"/>
        <v>9.0625</v>
      </c>
      <c r="AL315" s="374">
        <f t="shared" si="103"/>
        <v>0.99310344827586206</v>
      </c>
      <c r="AM315" s="372">
        <f t="shared" si="104"/>
        <v>0.87475822050290131</v>
      </c>
      <c r="AN315" s="799" t="s">
        <v>2731</v>
      </c>
      <c r="AO315" s="761"/>
      <c r="AP315" s="440">
        <v>0</v>
      </c>
      <c r="AQ315" s="440">
        <v>0</v>
      </c>
      <c r="AR315" s="440">
        <v>0</v>
      </c>
      <c r="AS315" s="440">
        <v>0</v>
      </c>
      <c r="AT315" s="440">
        <v>0</v>
      </c>
      <c r="AU315" s="440">
        <v>0</v>
      </c>
      <c r="AV315" s="440">
        <v>0</v>
      </c>
      <c r="AW315" s="440">
        <v>45</v>
      </c>
      <c r="AX315" s="440">
        <v>0</v>
      </c>
      <c r="AY315" s="440">
        <v>0</v>
      </c>
      <c r="AZ315" s="440">
        <v>0</v>
      </c>
      <c r="BA315" s="440">
        <v>0</v>
      </c>
      <c r="BB315" s="440">
        <v>0</v>
      </c>
      <c r="BC315" s="440">
        <v>0</v>
      </c>
      <c r="BD315" s="440">
        <v>0</v>
      </c>
      <c r="BE315" s="440">
        <v>0</v>
      </c>
      <c r="BF315" s="440">
        <v>0</v>
      </c>
      <c r="BG315" s="440">
        <v>0</v>
      </c>
      <c r="BH315" s="440">
        <v>0</v>
      </c>
      <c r="BI315" s="440">
        <v>0</v>
      </c>
      <c r="BJ315" s="440">
        <v>0</v>
      </c>
      <c r="BK315" s="440">
        <v>0</v>
      </c>
      <c r="BL315" s="440">
        <v>0</v>
      </c>
      <c r="BM315" s="440">
        <v>0</v>
      </c>
      <c r="BN315" s="440">
        <v>0</v>
      </c>
      <c r="BO315" s="440">
        <v>0</v>
      </c>
      <c r="BP315" s="440">
        <v>0</v>
      </c>
      <c r="BQ315" s="440">
        <v>0</v>
      </c>
      <c r="BR315" s="415">
        <f t="shared" si="106"/>
        <v>0.75</v>
      </c>
      <c r="BS315" s="415">
        <f t="shared" si="89"/>
        <v>0.76249999999999996</v>
      </c>
      <c r="BT315" s="935"/>
      <c r="BU315" s="935"/>
      <c r="BV315" s="935"/>
      <c r="BW315" s="935"/>
      <c r="BX315" s="935"/>
      <c r="BY315" s="935"/>
      <c r="BZ315" s="935"/>
      <c r="CA315" s="935"/>
      <c r="CB315" s="935"/>
      <c r="CC315" s="935"/>
      <c r="CD315" s="935"/>
      <c r="CE315" s="935"/>
      <c r="CF315" s="935"/>
      <c r="CG315" s="935"/>
      <c r="CH315" s="935"/>
      <c r="CI315" s="935"/>
      <c r="CJ315" s="935"/>
      <c r="CK315" s="935"/>
      <c r="CL315" s="935"/>
      <c r="CM315" s="935"/>
      <c r="CN315" s="935"/>
      <c r="CO315" s="935"/>
      <c r="CP315" s="935"/>
      <c r="CQ315" s="935"/>
      <c r="CR315" s="935"/>
      <c r="CS315" s="935"/>
      <c r="CT315" s="935"/>
      <c r="CU315" s="935"/>
      <c r="CV315" s="935"/>
    </row>
    <row r="316" spans="1:100">
      <c r="A316" s="375">
        <f t="shared" si="90"/>
        <v>8</v>
      </c>
      <c r="B316" s="862">
        <v>44435</v>
      </c>
      <c r="C316" s="493" t="s">
        <v>2053</v>
      </c>
      <c r="D316" s="376" t="str">
        <f>IFERROR(VLOOKUP(E:E,'Item Data Support Sheet'!A:O,7,0),"")</f>
        <v>HOOD MOLDED</v>
      </c>
      <c r="E316" s="447" t="s">
        <v>1987</v>
      </c>
      <c r="F316" s="500"/>
      <c r="G316" s="376" t="s">
        <v>2729</v>
      </c>
      <c r="H316" s="602" t="str">
        <f>IFERROR(VLOOKUP(E:E,'Item Data Support Sheet'!A:O,2,0),"")</f>
        <v>HOOD S TYPE MOLDED</v>
      </c>
      <c r="I316" s="501" t="s">
        <v>2730</v>
      </c>
      <c r="J316" s="447" t="s">
        <v>2809</v>
      </c>
      <c r="K316" s="438">
        <v>8</v>
      </c>
      <c r="L316" s="499">
        <v>4137</v>
      </c>
      <c r="M316" s="366">
        <f t="shared" si="105"/>
        <v>517.125</v>
      </c>
      <c r="N316" s="367">
        <f t="shared" si="88"/>
        <v>5520</v>
      </c>
      <c r="O316" s="61">
        <v>5500</v>
      </c>
      <c r="P316" s="368">
        <v>0</v>
      </c>
      <c r="Q316" s="368">
        <v>0</v>
      </c>
      <c r="R316" s="494">
        <v>0</v>
      </c>
      <c r="S316" s="493">
        <v>0</v>
      </c>
      <c r="T316" s="494">
        <v>12</v>
      </c>
      <c r="U316" s="493">
        <v>8</v>
      </c>
      <c r="V316" s="502">
        <v>1</v>
      </c>
      <c r="W316" s="453">
        <f t="shared" si="91"/>
        <v>5500</v>
      </c>
      <c r="X316" s="748">
        <f t="shared" si="92"/>
        <v>1.3294657964708727</v>
      </c>
      <c r="Y316" s="451" t="str">
        <f>IFERROR(VLOOKUP(E:E,'Item Data Support Sheet'!A:J,6,0),0)</f>
        <v>HMC</v>
      </c>
      <c r="Z316" s="428">
        <f>IFERROR(VLOOKUP(E:E,'Item Data Support Sheet'!A:O,4,0),0)</f>
        <v>8.6</v>
      </c>
      <c r="AA316" s="428">
        <f t="shared" si="93"/>
        <v>47.472000000000001</v>
      </c>
      <c r="AB316" s="429">
        <f t="shared" si="94"/>
        <v>0.99637681159420277</v>
      </c>
      <c r="AC316" s="424">
        <f t="shared" si="95"/>
        <v>2.1770682148040637E-3</v>
      </c>
      <c r="AD316" s="371">
        <f t="shared" si="96"/>
        <v>0</v>
      </c>
      <c r="AE316" s="748">
        <f t="shared" si="97"/>
        <v>0.99782608695652175</v>
      </c>
      <c r="AF316" s="417">
        <f t="shared" si="98"/>
        <v>0</v>
      </c>
      <c r="AG316" s="416">
        <f t="shared" si="99"/>
        <v>8</v>
      </c>
      <c r="AH316" s="372">
        <f t="shared" si="100"/>
        <v>1</v>
      </c>
      <c r="AI316" s="373">
        <f t="shared" si="101"/>
        <v>687.5</v>
      </c>
      <c r="AJ316" s="418">
        <f>VLOOKUP(D316,'Standard Cycle time'!C:D,2,0)</f>
        <v>6</v>
      </c>
      <c r="AK316" s="418">
        <f t="shared" si="102"/>
        <v>5.2363636363636363</v>
      </c>
      <c r="AL316" s="374">
        <f t="shared" si="103"/>
        <v>1.1458333333333333</v>
      </c>
      <c r="AM316" s="372">
        <f t="shared" si="104"/>
        <v>1.1433423913043477</v>
      </c>
      <c r="AN316" s="799" t="s">
        <v>2733</v>
      </c>
      <c r="AO316" s="761"/>
      <c r="AP316" s="440">
        <v>0</v>
      </c>
      <c r="AQ316" s="440">
        <v>0</v>
      </c>
      <c r="AR316" s="440">
        <v>0</v>
      </c>
      <c r="AS316" s="440">
        <v>0</v>
      </c>
      <c r="AT316" s="440">
        <v>0</v>
      </c>
      <c r="AU316" s="440">
        <v>0</v>
      </c>
      <c r="AV316" s="440">
        <v>0</v>
      </c>
      <c r="AW316" s="440">
        <v>0</v>
      </c>
      <c r="AX316" s="440">
        <v>0</v>
      </c>
      <c r="AY316" s="440">
        <v>0</v>
      </c>
      <c r="AZ316" s="440">
        <v>0</v>
      </c>
      <c r="BA316" s="440">
        <v>0</v>
      </c>
      <c r="BB316" s="440">
        <v>0</v>
      </c>
      <c r="BC316" s="440">
        <v>0</v>
      </c>
      <c r="BD316" s="440">
        <v>0</v>
      </c>
      <c r="BE316" s="440">
        <v>0</v>
      </c>
      <c r="BF316" s="440">
        <v>0</v>
      </c>
      <c r="BG316" s="440">
        <v>0</v>
      </c>
      <c r="BH316" s="440">
        <v>0</v>
      </c>
      <c r="BI316" s="440">
        <v>0</v>
      </c>
      <c r="BJ316" s="440">
        <v>0</v>
      </c>
      <c r="BK316" s="440">
        <v>0</v>
      </c>
      <c r="BL316" s="440">
        <v>0</v>
      </c>
      <c r="BM316" s="440">
        <v>0</v>
      </c>
      <c r="BN316" s="440">
        <v>0</v>
      </c>
      <c r="BO316" s="440">
        <v>0</v>
      </c>
      <c r="BP316" s="440">
        <v>0</v>
      </c>
      <c r="BQ316" s="440">
        <v>0</v>
      </c>
      <c r="BR316" s="415">
        <f t="shared" si="106"/>
        <v>0</v>
      </c>
      <c r="BS316" s="415">
        <f t="shared" si="89"/>
        <v>0</v>
      </c>
      <c r="BT316" s="935"/>
      <c r="BU316" s="935"/>
      <c r="BV316" s="935"/>
      <c r="BW316" s="935"/>
      <c r="BX316" s="935"/>
      <c r="BY316" s="935"/>
      <c r="BZ316" s="935"/>
      <c r="CA316" s="935"/>
      <c r="CB316" s="935"/>
      <c r="CC316" s="935"/>
      <c r="CD316" s="935"/>
      <c r="CE316" s="935"/>
      <c r="CF316" s="935"/>
      <c r="CG316" s="935"/>
      <c r="CH316" s="935"/>
      <c r="CI316" s="935"/>
      <c r="CJ316" s="935"/>
      <c r="CK316" s="935"/>
      <c r="CL316" s="935"/>
      <c r="CM316" s="935"/>
      <c r="CN316" s="935"/>
      <c r="CO316" s="935"/>
      <c r="CP316" s="935"/>
      <c r="CQ316" s="935"/>
      <c r="CR316" s="935"/>
      <c r="CS316" s="935"/>
      <c r="CT316" s="935"/>
      <c r="CU316" s="935"/>
      <c r="CV316" s="935"/>
    </row>
    <row r="317" spans="1:100">
      <c r="A317" s="375">
        <f t="shared" si="90"/>
        <v>8</v>
      </c>
      <c r="B317" s="862">
        <v>44436</v>
      </c>
      <c r="C317" s="493" t="s">
        <v>1980</v>
      </c>
      <c r="D317" s="376" t="str">
        <f>IFERROR(VLOOKUP(E:E,'Item Data Support Sheet'!A:O,7,0),"")</f>
        <v>BOTTLE MOLDED</v>
      </c>
      <c r="E317" s="447" t="s">
        <v>137</v>
      </c>
      <c r="F317" s="500" t="s">
        <v>1682</v>
      </c>
      <c r="G317" s="376" t="s">
        <v>1665</v>
      </c>
      <c r="H317" s="602" t="str">
        <f>IFERROR(VLOOKUP(E:E,'Item Data Support Sheet'!A:O,2,0),"")</f>
        <v>RPP 120ML PINK BOTTLE MOLDED (WM3GB)</v>
      </c>
      <c r="I317" s="501" t="s">
        <v>2734</v>
      </c>
      <c r="J317" s="447" t="s">
        <v>2810</v>
      </c>
      <c r="K317" s="438">
        <v>3</v>
      </c>
      <c r="L317" s="499">
        <v>1200</v>
      </c>
      <c r="M317" s="366">
        <f t="shared" si="105"/>
        <v>400</v>
      </c>
      <c r="N317" s="367">
        <f t="shared" si="88"/>
        <v>1132</v>
      </c>
      <c r="O317" s="61">
        <f>6*180</f>
        <v>1080</v>
      </c>
      <c r="P317" s="368">
        <v>0.9</v>
      </c>
      <c r="Q317" s="368">
        <v>27</v>
      </c>
      <c r="R317" s="494">
        <v>0</v>
      </c>
      <c r="S317" s="493">
        <v>0</v>
      </c>
      <c r="T317" s="494">
        <v>17</v>
      </c>
      <c r="U317" s="493">
        <v>8</v>
      </c>
      <c r="V317" s="502">
        <v>1</v>
      </c>
      <c r="W317" s="453">
        <f t="shared" si="91"/>
        <v>1080</v>
      </c>
      <c r="X317" s="748">
        <f t="shared" si="92"/>
        <v>0.9</v>
      </c>
      <c r="Y317" s="451" t="str">
        <f>IFERROR(VLOOKUP(E:E,'Item Data Support Sheet'!A:J,6,0),0)</f>
        <v>WMG3B</v>
      </c>
      <c r="Z317" s="428">
        <f>IFERROR(VLOOKUP(E:E,'Item Data Support Sheet'!A:O,4,0),0)</f>
        <v>22.7</v>
      </c>
      <c r="AA317" s="428">
        <f t="shared" si="93"/>
        <v>26.596399999999996</v>
      </c>
      <c r="AB317" s="429">
        <f t="shared" si="94"/>
        <v>0.92177888736821534</v>
      </c>
      <c r="AC317" s="424">
        <f t="shared" si="95"/>
        <v>1.5496809480401094E-2</v>
      </c>
      <c r="AD317" s="371">
        <f t="shared" si="96"/>
        <v>2.3295944779982744E-2</v>
      </c>
      <c r="AE317" s="748">
        <f t="shared" si="97"/>
        <v>0.98498233215547704</v>
      </c>
      <c r="AF317" s="417">
        <f t="shared" si="98"/>
        <v>0</v>
      </c>
      <c r="AG317" s="416">
        <f t="shared" si="99"/>
        <v>3</v>
      </c>
      <c r="AH317" s="372">
        <f t="shared" si="100"/>
        <v>1</v>
      </c>
      <c r="AI317" s="373">
        <f t="shared" si="101"/>
        <v>360</v>
      </c>
      <c r="AJ317" s="418">
        <f>VLOOKUP(D317,'Standard Cycle time'!C:D,2,0)</f>
        <v>9</v>
      </c>
      <c r="AK317" s="418">
        <f t="shared" si="102"/>
        <v>10</v>
      </c>
      <c r="AL317" s="374">
        <f t="shared" si="103"/>
        <v>0.9</v>
      </c>
      <c r="AM317" s="372">
        <f t="shared" si="104"/>
        <v>0.8864840989399293</v>
      </c>
      <c r="AN317" s="799">
        <v>2826</v>
      </c>
      <c r="AO317" s="929" t="s">
        <v>2736</v>
      </c>
      <c r="AP317" s="440">
        <v>0</v>
      </c>
      <c r="AQ317" s="440">
        <v>0</v>
      </c>
      <c r="AR317" s="440">
        <v>0</v>
      </c>
      <c r="AS317" s="440">
        <v>0</v>
      </c>
      <c r="AT317" s="440">
        <v>0</v>
      </c>
      <c r="AU317" s="440">
        <v>0</v>
      </c>
      <c r="AV317" s="440">
        <v>0</v>
      </c>
      <c r="AW317" s="440">
        <v>0</v>
      </c>
      <c r="AX317" s="440">
        <v>0</v>
      </c>
      <c r="AY317" s="440">
        <v>0</v>
      </c>
      <c r="AZ317" s="440">
        <v>0</v>
      </c>
      <c r="BA317" s="440">
        <v>0</v>
      </c>
      <c r="BB317" s="440">
        <v>0</v>
      </c>
      <c r="BC317" s="440">
        <v>0</v>
      </c>
      <c r="BD317" s="440">
        <v>0</v>
      </c>
      <c r="BE317" s="440">
        <v>0</v>
      </c>
      <c r="BF317" s="440">
        <v>0</v>
      </c>
      <c r="BG317" s="440">
        <v>0</v>
      </c>
      <c r="BH317" s="440">
        <v>0</v>
      </c>
      <c r="BI317" s="440">
        <v>0</v>
      </c>
      <c r="BJ317" s="440">
        <v>0</v>
      </c>
      <c r="BK317" s="440">
        <v>0</v>
      </c>
      <c r="BL317" s="440">
        <v>0</v>
      </c>
      <c r="BM317" s="440">
        <v>0</v>
      </c>
      <c r="BN317" s="440">
        <v>0</v>
      </c>
      <c r="BO317" s="440">
        <v>0</v>
      </c>
      <c r="BP317" s="440">
        <v>0</v>
      </c>
      <c r="BQ317" s="440">
        <v>0</v>
      </c>
      <c r="BR317" s="415">
        <f t="shared" si="106"/>
        <v>0</v>
      </c>
      <c r="BS317" s="415">
        <f t="shared" si="89"/>
        <v>0</v>
      </c>
      <c r="BT317" s="935"/>
      <c r="BU317" s="935"/>
      <c r="BV317" s="935"/>
      <c r="BW317" s="935"/>
      <c r="BX317" s="935"/>
      <c r="BY317" s="935"/>
      <c r="BZ317" s="935"/>
      <c r="CA317" s="935"/>
      <c r="CB317" s="935"/>
      <c r="CC317" s="935"/>
      <c r="CD317" s="935"/>
      <c r="CE317" s="935"/>
      <c r="CF317" s="935"/>
      <c r="CG317" s="935"/>
      <c r="CH317" s="935"/>
      <c r="CI317" s="935"/>
      <c r="CJ317" s="935"/>
      <c r="CK317" s="935"/>
      <c r="CL317" s="935"/>
      <c r="CM317" s="935"/>
      <c r="CN317" s="935"/>
      <c r="CO317" s="935"/>
      <c r="CP317" s="935"/>
      <c r="CQ317" s="935"/>
      <c r="CR317" s="935"/>
      <c r="CS317" s="935"/>
      <c r="CT317" s="935"/>
      <c r="CU317" s="935"/>
      <c r="CV317" s="935"/>
    </row>
    <row r="318" spans="1:100">
      <c r="A318" s="375">
        <f t="shared" si="90"/>
        <v>8</v>
      </c>
      <c r="B318" s="862">
        <v>44436</v>
      </c>
      <c r="C318" s="493" t="s">
        <v>1980</v>
      </c>
      <c r="D318" s="376" t="str">
        <f>IFERROR(VLOOKUP(E:E,'Item Data Support Sheet'!A:O,7,0),"")</f>
        <v>NIPPLE POSTCURE</v>
      </c>
      <c r="E318" s="447" t="s">
        <v>78</v>
      </c>
      <c r="F318" s="500"/>
      <c r="G318" s="376" t="s">
        <v>1705</v>
      </c>
      <c r="H318" s="602" t="str">
        <f>IFERROR(VLOOKUP(E:E,'Item Data Support Sheet'!A:O,2,0),"")</f>
        <v>NIPPLE S TYPE L SIZE POSTCURED</v>
      </c>
      <c r="I318" s="501" t="s">
        <v>2735</v>
      </c>
      <c r="J318" s="447" t="s">
        <v>2810</v>
      </c>
      <c r="K318" s="438">
        <v>8</v>
      </c>
      <c r="L318" s="499">
        <v>7036</v>
      </c>
      <c r="M318" s="366">
        <f t="shared" si="105"/>
        <v>879.5</v>
      </c>
      <c r="N318" s="367">
        <f t="shared" si="88"/>
        <v>9500</v>
      </c>
      <c r="O318" s="61">
        <f>1300+5200+3000</f>
        <v>9500</v>
      </c>
      <c r="P318" s="368">
        <v>0</v>
      </c>
      <c r="Q318" s="368">
        <v>0</v>
      </c>
      <c r="R318" s="494">
        <v>0</v>
      </c>
      <c r="S318" s="493">
        <v>0</v>
      </c>
      <c r="T318" s="494">
        <v>0</v>
      </c>
      <c r="U318" s="493">
        <v>0</v>
      </c>
      <c r="V318" s="502">
        <v>1</v>
      </c>
      <c r="W318" s="453">
        <f t="shared" si="91"/>
        <v>9500</v>
      </c>
      <c r="X318" s="748">
        <f t="shared" si="92"/>
        <v>1.3501989766913018</v>
      </c>
      <c r="Y318" s="451" t="str">
        <f>IFERROR(VLOOKUP(E:E,'Item Data Support Sheet'!A:J,6,0),0)</f>
        <v>FO013</v>
      </c>
      <c r="Z318" s="428">
        <f>IFERROR(VLOOKUP(E:E,'Item Data Support Sheet'!A:O,4,0),0)</f>
        <v>0</v>
      </c>
      <c r="AA318" s="428">
        <f t="shared" si="93"/>
        <v>0</v>
      </c>
      <c r="AB318" s="429" t="str">
        <f t="shared" si="94"/>
        <v xml:space="preserve"> </v>
      </c>
      <c r="AC318" s="424">
        <f t="shared" si="95"/>
        <v>0</v>
      </c>
      <c r="AD318" s="371">
        <f t="shared" si="96"/>
        <v>0</v>
      </c>
      <c r="AE318" s="748">
        <f t="shared" si="97"/>
        <v>1</v>
      </c>
      <c r="AF318" s="417">
        <f t="shared" si="98"/>
        <v>0.66666666666666663</v>
      </c>
      <c r="AG318" s="416">
        <f t="shared" si="99"/>
        <v>7.333333333333333</v>
      </c>
      <c r="AH318" s="372">
        <f t="shared" si="100"/>
        <v>0.91666666666666663</v>
      </c>
      <c r="AI318" s="373">
        <f t="shared" si="101"/>
        <v>1187.5</v>
      </c>
      <c r="AJ318" s="418">
        <f>VLOOKUP(D318,'Standard Cycle time'!C:D,2,0)</f>
        <v>2.2999999999999998</v>
      </c>
      <c r="AK318" s="418">
        <f t="shared" si="102"/>
        <v>2.7789473684210528</v>
      </c>
      <c r="AL318" s="374">
        <f t="shared" si="103"/>
        <v>0.82765151515151503</v>
      </c>
      <c r="AM318" s="372">
        <f t="shared" si="104"/>
        <v>0.75868055555555536</v>
      </c>
      <c r="AN318" s="799" t="s">
        <v>2741</v>
      </c>
      <c r="AO318" s="761"/>
      <c r="AP318" s="440">
        <v>40</v>
      </c>
      <c r="AQ318" s="440">
        <v>0</v>
      </c>
      <c r="AR318" s="440">
        <v>0</v>
      </c>
      <c r="AS318" s="440">
        <v>0</v>
      </c>
      <c r="AT318" s="440">
        <v>0</v>
      </c>
      <c r="AU318" s="440">
        <v>0</v>
      </c>
      <c r="AV318" s="440">
        <v>0</v>
      </c>
      <c r="AW318" s="440">
        <v>0</v>
      </c>
      <c r="AX318" s="440">
        <v>0</v>
      </c>
      <c r="AY318" s="440">
        <v>0</v>
      </c>
      <c r="AZ318" s="440">
        <v>0</v>
      </c>
      <c r="BA318" s="440">
        <v>0</v>
      </c>
      <c r="BB318" s="440">
        <v>0</v>
      </c>
      <c r="BC318" s="440">
        <v>0</v>
      </c>
      <c r="BD318" s="440">
        <v>0</v>
      </c>
      <c r="BE318" s="440">
        <v>0</v>
      </c>
      <c r="BF318" s="440">
        <v>0</v>
      </c>
      <c r="BG318" s="440">
        <v>0</v>
      </c>
      <c r="BH318" s="440">
        <v>0</v>
      </c>
      <c r="BI318" s="440">
        <v>0</v>
      </c>
      <c r="BJ318" s="440">
        <v>0</v>
      </c>
      <c r="BK318" s="440">
        <v>0</v>
      </c>
      <c r="BL318" s="440">
        <v>0</v>
      </c>
      <c r="BM318" s="440">
        <v>0</v>
      </c>
      <c r="BN318" s="440">
        <v>0</v>
      </c>
      <c r="BO318" s="440">
        <v>0</v>
      </c>
      <c r="BP318" s="440">
        <v>0</v>
      </c>
      <c r="BQ318" s="440">
        <v>0</v>
      </c>
      <c r="BR318" s="415">
        <f t="shared" si="106"/>
        <v>0.66666666666666663</v>
      </c>
      <c r="BS318" s="415">
        <f t="shared" si="89"/>
        <v>0.6777777777777777</v>
      </c>
      <c r="BT318" s="935"/>
      <c r="BU318" s="935"/>
      <c r="BV318" s="935"/>
      <c r="BW318" s="935"/>
      <c r="BX318" s="935"/>
      <c r="BY318" s="935"/>
      <c r="BZ318" s="935"/>
      <c r="CA318" s="935"/>
      <c r="CB318" s="935"/>
      <c r="CC318" s="935"/>
      <c r="CD318" s="935"/>
      <c r="CE318" s="935"/>
      <c r="CF318" s="935"/>
      <c r="CG318" s="935"/>
      <c r="CH318" s="935"/>
      <c r="CI318" s="935"/>
      <c r="CJ318" s="935"/>
      <c r="CK318" s="935"/>
      <c r="CL318" s="935"/>
      <c r="CM318" s="935"/>
      <c r="CN318" s="935"/>
      <c r="CO318" s="935"/>
      <c r="CP318" s="935"/>
      <c r="CQ318" s="935"/>
      <c r="CR318" s="935"/>
      <c r="CS318" s="935"/>
      <c r="CT318" s="935"/>
      <c r="CU318" s="935"/>
      <c r="CV318" s="935"/>
    </row>
    <row r="319" spans="1:100" ht="17.25" customHeight="1">
      <c r="A319" s="375">
        <f t="shared" si="90"/>
        <v>8</v>
      </c>
      <c r="B319" s="862">
        <v>44436</v>
      </c>
      <c r="C319" s="493" t="s">
        <v>1980</v>
      </c>
      <c r="D319" s="376" t="str">
        <f>IFERROR(VLOOKUP(E:E,'Item Data Support Sheet'!A:O,7,0),"")</f>
        <v>BOTTLE MOLDED</v>
      </c>
      <c r="E319" s="447" t="s">
        <v>139</v>
      </c>
      <c r="F319" s="500" t="s">
        <v>1682</v>
      </c>
      <c r="G319" s="376" t="s">
        <v>1665</v>
      </c>
      <c r="H319" s="602" t="str">
        <f>IFERROR(VLOOKUP(E:E,'Item Data Support Sheet'!A:O,2,0),"")</f>
        <v>RPP 120ML BLUE BOTTLE MOLDED (WM3GB)</v>
      </c>
      <c r="I319" s="501" t="s">
        <v>2734</v>
      </c>
      <c r="J319" s="447" t="s">
        <v>2810</v>
      </c>
      <c r="K319" s="438">
        <f>8-3.7</f>
        <v>4.3</v>
      </c>
      <c r="L319" s="499">
        <f>2574-1200</f>
        <v>1374</v>
      </c>
      <c r="M319" s="366">
        <f t="shared" si="105"/>
        <v>319.53488372093022</v>
      </c>
      <c r="N319" s="367">
        <f t="shared" si="88"/>
        <v>1173</v>
      </c>
      <c r="O319" s="61">
        <f>6*180</f>
        <v>1080</v>
      </c>
      <c r="P319" s="368">
        <v>1.1000000000000001</v>
      </c>
      <c r="Q319" s="368">
        <v>57</v>
      </c>
      <c r="R319" s="494">
        <v>0</v>
      </c>
      <c r="S319" s="493">
        <v>0</v>
      </c>
      <c r="T319" s="494">
        <v>20</v>
      </c>
      <c r="U319" s="493">
        <v>16</v>
      </c>
      <c r="V319" s="502">
        <v>1</v>
      </c>
      <c r="W319" s="453">
        <f t="shared" si="91"/>
        <v>1080</v>
      </c>
      <c r="X319" s="748">
        <f t="shared" si="92"/>
        <v>0.78602620087336239</v>
      </c>
      <c r="Y319" s="451" t="str">
        <f>IFERROR(VLOOKUP(E:E,'Item Data Support Sheet'!A:J,6,0),0)</f>
        <v>WMG3B</v>
      </c>
      <c r="Z319" s="428">
        <f>IFERROR(VLOOKUP(E:E,'Item Data Support Sheet'!A:O,4,0),0)</f>
        <v>22.7</v>
      </c>
      <c r="AA319" s="428">
        <f t="shared" si="93"/>
        <v>27.7271</v>
      </c>
      <c r="AB319" s="429">
        <f t="shared" si="94"/>
        <v>0.88418911462071392</v>
      </c>
      <c r="AC319" s="424">
        <f t="shared" si="95"/>
        <v>1.8181818181818181E-2</v>
      </c>
      <c r="AD319" s="371">
        <f t="shared" si="96"/>
        <v>4.6341463414634146E-2</v>
      </c>
      <c r="AE319" s="748">
        <f t="shared" si="97"/>
        <v>0.98294970161977835</v>
      </c>
      <c r="AF319" s="417">
        <f t="shared" si="98"/>
        <v>1.3333333333333333</v>
      </c>
      <c r="AG319" s="416">
        <f t="shared" si="99"/>
        <v>2.9666666666666668</v>
      </c>
      <c r="AH319" s="372">
        <f t="shared" si="100"/>
        <v>0.68992248062015504</v>
      </c>
      <c r="AI319" s="373">
        <f t="shared" si="101"/>
        <v>251.16279069767444</v>
      </c>
      <c r="AJ319" s="418">
        <f>VLOOKUP(D319,'Standard Cycle time'!C:D,2,0)</f>
        <v>9</v>
      </c>
      <c r="AK319" s="418">
        <f t="shared" si="102"/>
        <v>9.8888888888888893</v>
      </c>
      <c r="AL319" s="374">
        <f t="shared" si="103"/>
        <v>0.9101123595505618</v>
      </c>
      <c r="AM319" s="372">
        <f t="shared" si="104"/>
        <v>0.61720097543567476</v>
      </c>
      <c r="AN319" s="799">
        <v>2845</v>
      </c>
      <c r="AO319" s="858" t="s">
        <v>2744</v>
      </c>
      <c r="AP319" s="440">
        <v>0</v>
      </c>
      <c r="AQ319" s="440">
        <v>20</v>
      </c>
      <c r="AR319" s="440">
        <v>60</v>
      </c>
      <c r="AS319" s="440">
        <v>0</v>
      </c>
      <c r="AT319" s="440">
        <v>0</v>
      </c>
      <c r="AU319" s="440">
        <v>0</v>
      </c>
      <c r="AV319" s="440">
        <v>0</v>
      </c>
      <c r="AW319" s="440">
        <v>0</v>
      </c>
      <c r="AX319" s="440">
        <v>0</v>
      </c>
      <c r="AY319" s="440">
        <v>0</v>
      </c>
      <c r="AZ319" s="440">
        <v>0</v>
      </c>
      <c r="BA319" s="440">
        <v>0</v>
      </c>
      <c r="BB319" s="440">
        <v>0</v>
      </c>
      <c r="BC319" s="440">
        <v>0</v>
      </c>
      <c r="BD319" s="440">
        <v>0</v>
      </c>
      <c r="BE319" s="440">
        <v>0</v>
      </c>
      <c r="BF319" s="440">
        <v>0</v>
      </c>
      <c r="BG319" s="440">
        <v>0</v>
      </c>
      <c r="BH319" s="440">
        <v>0</v>
      </c>
      <c r="BI319" s="440">
        <v>0</v>
      </c>
      <c r="BJ319" s="440">
        <v>0</v>
      </c>
      <c r="BK319" s="440">
        <v>0</v>
      </c>
      <c r="BL319" s="440">
        <v>0</v>
      </c>
      <c r="BM319" s="440">
        <v>0</v>
      </c>
      <c r="BN319" s="440">
        <v>0</v>
      </c>
      <c r="BO319" s="440">
        <v>0</v>
      </c>
      <c r="BP319" s="440">
        <v>0</v>
      </c>
      <c r="BQ319" s="440">
        <v>0</v>
      </c>
      <c r="BR319" s="415">
        <f t="shared" si="106"/>
        <v>1.3333333333333333</v>
      </c>
      <c r="BS319" s="415">
        <f t="shared" si="89"/>
        <v>1.3555555555555554</v>
      </c>
      <c r="BT319" s="935"/>
      <c r="BU319" s="935"/>
      <c r="BV319" s="935"/>
      <c r="BW319" s="935"/>
      <c r="BX319" s="935"/>
      <c r="BY319" s="935"/>
      <c r="BZ319" s="935"/>
      <c r="CA319" s="935"/>
      <c r="CB319" s="935"/>
      <c r="CC319" s="935"/>
      <c r="CD319" s="935"/>
      <c r="CE319" s="935"/>
      <c r="CF319" s="935"/>
      <c r="CG319" s="935"/>
      <c r="CH319" s="935"/>
      <c r="CI319" s="935"/>
      <c r="CJ319" s="935"/>
      <c r="CK319" s="935"/>
      <c r="CL319" s="935"/>
      <c r="CM319" s="935"/>
      <c r="CN319" s="935"/>
      <c r="CO319" s="935"/>
      <c r="CP319" s="935"/>
      <c r="CQ319" s="935"/>
      <c r="CR319" s="935"/>
      <c r="CS319" s="935"/>
      <c r="CT319" s="935"/>
      <c r="CU319" s="935"/>
      <c r="CV319" s="935"/>
    </row>
    <row r="320" spans="1:100">
      <c r="A320" s="375">
        <f t="shared" si="90"/>
        <v>8</v>
      </c>
      <c r="B320" s="862">
        <v>44436</v>
      </c>
      <c r="C320" s="493" t="s">
        <v>1980</v>
      </c>
      <c r="D320" s="376" t="str">
        <f>IFERROR(VLOOKUP(E:E,'Item Data Support Sheet'!A:O,7,0),"")</f>
        <v>NIPPLE MOLDED</v>
      </c>
      <c r="E320" s="447" t="s">
        <v>74</v>
      </c>
      <c r="F320" s="500" t="s">
        <v>1678</v>
      </c>
      <c r="G320" s="376" t="s">
        <v>1691</v>
      </c>
      <c r="H320" s="602" t="str">
        <f>IFERROR(VLOOKUP(E:E,'Item Data Support Sheet'!A:O,2,0),"")</f>
        <v>NIPPLE S TYPE L SIZE INJECTION</v>
      </c>
      <c r="I320" s="501" t="s">
        <v>2737</v>
      </c>
      <c r="J320" s="447" t="s">
        <v>2810</v>
      </c>
      <c r="K320" s="438">
        <v>8</v>
      </c>
      <c r="L320" s="499">
        <v>4815</v>
      </c>
      <c r="M320" s="366">
        <f t="shared" si="105"/>
        <v>601.875</v>
      </c>
      <c r="N320" s="367">
        <f t="shared" si="88"/>
        <v>5337</v>
      </c>
      <c r="O320" s="61">
        <v>5200</v>
      </c>
      <c r="P320" s="368">
        <v>0</v>
      </c>
      <c r="Q320" s="368">
        <v>54</v>
      </c>
      <c r="R320" s="494">
        <v>0</v>
      </c>
      <c r="S320" s="493">
        <v>0</v>
      </c>
      <c r="T320" s="494">
        <v>75</v>
      </c>
      <c r="U320" s="493">
        <v>8</v>
      </c>
      <c r="V320" s="502">
        <v>1</v>
      </c>
      <c r="W320" s="453">
        <f t="shared" si="91"/>
        <v>5200</v>
      </c>
      <c r="X320" s="748">
        <f t="shared" si="92"/>
        <v>1.0799584631360333</v>
      </c>
      <c r="Y320" s="451" t="str">
        <f>IFERROR(VLOOKUP(E:E,'Item Data Support Sheet'!A:J,6,0),0)</f>
        <v>Silicon</v>
      </c>
      <c r="Z320" s="428">
        <f>IFERROR(VLOOKUP(E:E,'Item Data Support Sheet'!A:O,4,0),0)</f>
        <v>6.8</v>
      </c>
      <c r="AA320" s="428">
        <f t="shared" si="93"/>
        <v>36.291599999999995</v>
      </c>
      <c r="AB320" s="429">
        <f t="shared" si="94"/>
        <v>0.97433014802323414</v>
      </c>
      <c r="AC320" s="424">
        <f t="shared" si="95"/>
        <v>1.4218009478672985E-2</v>
      </c>
      <c r="AD320" s="371">
        <f t="shared" si="96"/>
        <v>1.001669449081803E-2</v>
      </c>
      <c r="AE320" s="748">
        <f t="shared" si="97"/>
        <v>0.985947161326588</v>
      </c>
      <c r="AF320" s="417">
        <f t="shared" si="98"/>
        <v>0</v>
      </c>
      <c r="AG320" s="416">
        <f t="shared" si="99"/>
        <v>8</v>
      </c>
      <c r="AH320" s="372">
        <f t="shared" si="100"/>
        <v>1</v>
      </c>
      <c r="AI320" s="373">
        <f t="shared" si="101"/>
        <v>650</v>
      </c>
      <c r="AJ320" s="418">
        <f>VLOOKUP(D320,'Standard Cycle time'!C:D,2,0)</f>
        <v>5.25</v>
      </c>
      <c r="AK320" s="418">
        <f t="shared" si="102"/>
        <v>5.5384615384615383</v>
      </c>
      <c r="AL320" s="374">
        <f t="shared" si="103"/>
        <v>0.94791666666666674</v>
      </c>
      <c r="AM320" s="372">
        <f t="shared" si="104"/>
        <v>0.93459574667416156</v>
      </c>
      <c r="AN320" s="799" t="s">
        <v>2739</v>
      </c>
      <c r="AO320" s="929"/>
      <c r="AP320" s="440">
        <v>0</v>
      </c>
      <c r="AQ320" s="440">
        <v>0</v>
      </c>
      <c r="AR320" s="440">
        <v>0</v>
      </c>
      <c r="AS320" s="440">
        <v>0</v>
      </c>
      <c r="AT320" s="440">
        <v>0</v>
      </c>
      <c r="AU320" s="440">
        <v>0</v>
      </c>
      <c r="AV320" s="440">
        <v>0</v>
      </c>
      <c r="AW320" s="440">
        <v>0</v>
      </c>
      <c r="AX320" s="440">
        <v>0</v>
      </c>
      <c r="AY320" s="440">
        <v>0</v>
      </c>
      <c r="AZ320" s="440">
        <v>0</v>
      </c>
      <c r="BA320" s="440">
        <v>0</v>
      </c>
      <c r="BB320" s="440">
        <v>0</v>
      </c>
      <c r="BC320" s="440">
        <v>0</v>
      </c>
      <c r="BD320" s="440">
        <v>0</v>
      </c>
      <c r="BE320" s="440">
        <v>0</v>
      </c>
      <c r="BF320" s="440">
        <v>0</v>
      </c>
      <c r="BG320" s="440">
        <v>0</v>
      </c>
      <c r="BH320" s="440">
        <v>0</v>
      </c>
      <c r="BI320" s="440">
        <v>0</v>
      </c>
      <c r="BJ320" s="440">
        <v>0</v>
      </c>
      <c r="BK320" s="440">
        <v>0</v>
      </c>
      <c r="BL320" s="440">
        <v>0</v>
      </c>
      <c r="BM320" s="440">
        <v>0</v>
      </c>
      <c r="BN320" s="440">
        <v>0</v>
      </c>
      <c r="BO320" s="440">
        <v>0</v>
      </c>
      <c r="BP320" s="440">
        <v>0</v>
      </c>
      <c r="BQ320" s="440">
        <v>0</v>
      </c>
      <c r="BR320" s="415">
        <f t="shared" si="106"/>
        <v>0</v>
      </c>
      <c r="BS320" s="415">
        <f t="shared" si="89"/>
        <v>0</v>
      </c>
      <c r="BT320" s="935"/>
      <c r="BU320" s="935"/>
      <c r="BV320" s="935"/>
      <c r="BW320" s="935"/>
      <c r="BX320" s="935"/>
      <c r="BY320" s="935"/>
      <c r="BZ320" s="935"/>
      <c r="CA320" s="935"/>
      <c r="CB320" s="935"/>
      <c r="CC320" s="935"/>
      <c r="CD320" s="935"/>
      <c r="CE320" s="935"/>
      <c r="CF320" s="935"/>
      <c r="CG320" s="935"/>
      <c r="CH320" s="935"/>
      <c r="CI320" s="935"/>
      <c r="CJ320" s="935"/>
      <c r="CK320" s="935"/>
      <c r="CL320" s="935"/>
      <c r="CM320" s="935"/>
      <c r="CN320" s="935"/>
      <c r="CO320" s="935"/>
      <c r="CP320" s="935"/>
      <c r="CQ320" s="935"/>
      <c r="CR320" s="935"/>
      <c r="CS320" s="935"/>
      <c r="CT320" s="935"/>
      <c r="CU320" s="935"/>
      <c r="CV320" s="935"/>
    </row>
    <row r="321" spans="1:100">
      <c r="A321" s="375">
        <f t="shared" si="90"/>
        <v>8</v>
      </c>
      <c r="B321" s="862">
        <v>44436</v>
      </c>
      <c r="C321" s="493" t="s">
        <v>1980</v>
      </c>
      <c r="D321" s="376" t="str">
        <f>IFERROR(VLOOKUP(E:E,'Item Data Support Sheet'!A:O,7,0),"")</f>
        <v>NIPPLE PUNCH</v>
      </c>
      <c r="E321" s="447" t="s">
        <v>82</v>
      </c>
      <c r="F321" s="500"/>
      <c r="G321" s="376" t="s">
        <v>1692</v>
      </c>
      <c r="H321" s="602" t="str">
        <f>IFERROR(VLOOKUP(E:E,'Item Data Support Sheet'!A:O,2,0),"")</f>
        <v>NIPPLE S TYPE L SIZE PUNCHED</v>
      </c>
      <c r="I321" s="501" t="s">
        <v>2701</v>
      </c>
      <c r="J321" s="447" t="s">
        <v>2810</v>
      </c>
      <c r="K321" s="438">
        <v>8</v>
      </c>
      <c r="L321" s="499">
        <v>7000</v>
      </c>
      <c r="M321" s="366">
        <f t="shared" si="105"/>
        <v>875</v>
      </c>
      <c r="N321" s="367">
        <f t="shared" si="88"/>
        <v>7170</v>
      </c>
      <c r="O321" s="61">
        <v>7170</v>
      </c>
      <c r="P321" s="368">
        <v>0</v>
      </c>
      <c r="Q321" s="368">
        <v>0</v>
      </c>
      <c r="R321" s="494">
        <v>0</v>
      </c>
      <c r="S321" s="493">
        <v>0</v>
      </c>
      <c r="T321" s="494">
        <v>0</v>
      </c>
      <c r="U321" s="493">
        <v>0</v>
      </c>
      <c r="V321" s="502">
        <v>1</v>
      </c>
      <c r="W321" s="453">
        <f t="shared" si="91"/>
        <v>7170</v>
      </c>
      <c r="X321" s="748">
        <f t="shared" si="92"/>
        <v>1.0242857142857142</v>
      </c>
      <c r="Y321" s="451" t="str">
        <f>IFERROR(VLOOKUP(E:E,'Item Data Support Sheet'!A:J,6,0),0)</f>
        <v>FO017</v>
      </c>
      <c r="Z321" s="428">
        <f>IFERROR(VLOOKUP(E:E,'Item Data Support Sheet'!A:O,4,0),0)</f>
        <v>0</v>
      </c>
      <c r="AA321" s="428">
        <f t="shared" si="93"/>
        <v>0</v>
      </c>
      <c r="AB321" s="429" t="str">
        <f t="shared" si="94"/>
        <v xml:space="preserve"> </v>
      </c>
      <c r="AC321" s="424">
        <f t="shared" si="95"/>
        <v>0</v>
      </c>
      <c r="AD321" s="371">
        <f t="shared" si="96"/>
        <v>0</v>
      </c>
      <c r="AE321" s="748">
        <f t="shared" si="97"/>
        <v>1</v>
      </c>
      <c r="AF321" s="417">
        <f t="shared" si="98"/>
        <v>0.66666666666666663</v>
      </c>
      <c r="AG321" s="416">
        <f t="shared" si="99"/>
        <v>7.333333333333333</v>
      </c>
      <c r="AH321" s="372">
        <f t="shared" si="100"/>
        <v>0.91666666666666663</v>
      </c>
      <c r="AI321" s="373">
        <f t="shared" si="101"/>
        <v>896.25</v>
      </c>
      <c r="AJ321" s="418">
        <f>VLOOKUP(D321,'Standard Cycle time'!C:D,2,0)</f>
        <v>3.5</v>
      </c>
      <c r="AK321" s="418">
        <f t="shared" si="102"/>
        <v>3.6820083682008367</v>
      </c>
      <c r="AL321" s="374">
        <f t="shared" si="103"/>
        <v>0.95056818181818181</v>
      </c>
      <c r="AM321" s="372">
        <f t="shared" si="104"/>
        <v>0.87135416666666665</v>
      </c>
      <c r="AN321" s="799" t="s">
        <v>2740</v>
      </c>
      <c r="AO321" s="929"/>
      <c r="AP321" s="440">
        <v>40</v>
      </c>
      <c r="AQ321" s="440">
        <v>0</v>
      </c>
      <c r="AR321" s="440">
        <v>0</v>
      </c>
      <c r="AS321" s="440">
        <v>0</v>
      </c>
      <c r="AT321" s="440">
        <v>0</v>
      </c>
      <c r="AU321" s="440">
        <v>0</v>
      </c>
      <c r="AV321" s="440">
        <v>0</v>
      </c>
      <c r="AW321" s="440">
        <v>0</v>
      </c>
      <c r="AX321" s="440">
        <v>0</v>
      </c>
      <c r="AY321" s="440">
        <v>0</v>
      </c>
      <c r="AZ321" s="440">
        <v>0</v>
      </c>
      <c r="BA321" s="440">
        <v>0</v>
      </c>
      <c r="BB321" s="440">
        <v>0</v>
      </c>
      <c r="BC321" s="440">
        <v>0</v>
      </c>
      <c r="BD321" s="440">
        <v>0</v>
      </c>
      <c r="BE321" s="440">
        <v>0</v>
      </c>
      <c r="BF321" s="440">
        <v>0</v>
      </c>
      <c r="BG321" s="440">
        <v>0</v>
      </c>
      <c r="BH321" s="440">
        <v>0</v>
      </c>
      <c r="BI321" s="440">
        <v>0</v>
      </c>
      <c r="BJ321" s="440">
        <v>0</v>
      </c>
      <c r="BK321" s="440">
        <v>0</v>
      </c>
      <c r="BL321" s="440">
        <v>0</v>
      </c>
      <c r="BM321" s="440">
        <v>0</v>
      </c>
      <c r="BN321" s="440">
        <v>0</v>
      </c>
      <c r="BO321" s="440">
        <v>0</v>
      </c>
      <c r="BP321" s="440">
        <v>0</v>
      </c>
      <c r="BQ321" s="440">
        <v>0</v>
      </c>
      <c r="BR321" s="415">
        <f t="shared" si="106"/>
        <v>0.66666666666666663</v>
      </c>
      <c r="BS321" s="415">
        <f t="shared" si="89"/>
        <v>0.6777777777777777</v>
      </c>
      <c r="BT321" s="935"/>
      <c r="BU321" s="935"/>
      <c r="BV321" s="935"/>
      <c r="BW321" s="935"/>
      <c r="BX321" s="935"/>
      <c r="BY321" s="935"/>
      <c r="BZ321" s="935"/>
      <c r="CA321" s="935"/>
      <c r="CB321" s="935"/>
      <c r="CC321" s="935"/>
      <c r="CD321" s="935"/>
      <c r="CE321" s="935"/>
      <c r="CF321" s="935"/>
      <c r="CG321" s="935"/>
      <c r="CH321" s="935"/>
      <c r="CI321" s="935"/>
      <c r="CJ321" s="935"/>
      <c r="CK321" s="935"/>
      <c r="CL321" s="935"/>
      <c r="CM321" s="935"/>
      <c r="CN321" s="935"/>
      <c r="CO321" s="935"/>
      <c r="CP321" s="935"/>
      <c r="CQ321" s="935"/>
      <c r="CR321" s="935"/>
      <c r="CS321" s="935"/>
      <c r="CT321" s="935"/>
      <c r="CU321" s="935"/>
      <c r="CV321" s="935"/>
    </row>
    <row r="322" spans="1:100">
      <c r="A322" s="375">
        <f t="shared" si="90"/>
        <v>8</v>
      </c>
      <c r="B322" s="862">
        <v>44436</v>
      </c>
      <c r="C322" s="493" t="s">
        <v>1980</v>
      </c>
      <c r="D322" s="376" t="str">
        <f>IFERROR(VLOOKUP(E:E,'Item Data Support Sheet'!A:O,7,0),"")</f>
        <v>HOOD MOLDED</v>
      </c>
      <c r="E322" s="447" t="s">
        <v>1987</v>
      </c>
      <c r="F322" s="500"/>
      <c r="G322" s="376" t="s">
        <v>2220</v>
      </c>
      <c r="H322" s="602" t="str">
        <f>IFERROR(VLOOKUP(E:E,'Item Data Support Sheet'!A:O,2,0),"")</f>
        <v>HOOD S TYPE MOLDED</v>
      </c>
      <c r="I322" s="501" t="s">
        <v>2738</v>
      </c>
      <c r="J322" s="447" t="s">
        <v>2810</v>
      </c>
      <c r="K322" s="438">
        <v>8</v>
      </c>
      <c r="L322" s="499">
        <v>4137</v>
      </c>
      <c r="M322" s="366">
        <f t="shared" si="105"/>
        <v>517.125</v>
      </c>
      <c r="N322" s="367">
        <f t="shared" si="88"/>
        <v>5320</v>
      </c>
      <c r="O322" s="61">
        <v>5300</v>
      </c>
      <c r="P322" s="368">
        <v>0</v>
      </c>
      <c r="Q322" s="368">
        <v>0</v>
      </c>
      <c r="R322" s="494">
        <v>0</v>
      </c>
      <c r="S322" s="493">
        <v>0</v>
      </c>
      <c r="T322" s="494">
        <v>12</v>
      </c>
      <c r="U322" s="493">
        <v>8</v>
      </c>
      <c r="V322" s="502">
        <v>1</v>
      </c>
      <c r="W322" s="453">
        <f t="shared" si="91"/>
        <v>5300</v>
      </c>
      <c r="X322" s="748">
        <f t="shared" si="92"/>
        <v>1.2811215856901137</v>
      </c>
      <c r="Y322" s="451" t="str">
        <f>IFERROR(VLOOKUP(E:E,'Item Data Support Sheet'!A:J,6,0),0)</f>
        <v>HMC</v>
      </c>
      <c r="Z322" s="428">
        <f>IFERROR(VLOOKUP(E:E,'Item Data Support Sheet'!A:O,4,0),0)</f>
        <v>8.6</v>
      </c>
      <c r="AA322" s="428">
        <f t="shared" si="93"/>
        <v>45.752000000000002</v>
      </c>
      <c r="AB322" s="429">
        <f t="shared" si="94"/>
        <v>0.99624060150375926</v>
      </c>
      <c r="AC322" s="424">
        <f t="shared" si="95"/>
        <v>2.2590361445783132E-3</v>
      </c>
      <c r="AD322" s="371">
        <f t="shared" si="96"/>
        <v>0</v>
      </c>
      <c r="AE322" s="748">
        <f t="shared" si="97"/>
        <v>0.9977443609022556</v>
      </c>
      <c r="AF322" s="417">
        <f t="shared" si="98"/>
        <v>0</v>
      </c>
      <c r="AG322" s="416">
        <f t="shared" si="99"/>
        <v>8</v>
      </c>
      <c r="AH322" s="372">
        <f t="shared" si="100"/>
        <v>1</v>
      </c>
      <c r="AI322" s="373">
        <f t="shared" si="101"/>
        <v>662.5</v>
      </c>
      <c r="AJ322" s="418">
        <f>VLOOKUP(D322,'Standard Cycle time'!C:D,2,0)</f>
        <v>6</v>
      </c>
      <c r="AK322" s="418">
        <f t="shared" si="102"/>
        <v>5.4339622641509431</v>
      </c>
      <c r="AL322" s="374">
        <f t="shared" si="103"/>
        <v>1.1041666666666667</v>
      </c>
      <c r="AM322" s="372">
        <f t="shared" si="104"/>
        <v>1.1016760651629074</v>
      </c>
      <c r="AN322" s="799">
        <v>2835</v>
      </c>
      <c r="AO322" s="761"/>
      <c r="AP322" s="440">
        <v>0</v>
      </c>
      <c r="AQ322" s="440">
        <v>0</v>
      </c>
      <c r="AR322" s="440">
        <v>0</v>
      </c>
      <c r="AS322" s="440">
        <v>0</v>
      </c>
      <c r="AT322" s="440">
        <v>0</v>
      </c>
      <c r="AU322" s="440">
        <v>0</v>
      </c>
      <c r="AV322" s="440">
        <v>0</v>
      </c>
      <c r="AW322" s="440">
        <v>0</v>
      </c>
      <c r="AX322" s="440">
        <v>0</v>
      </c>
      <c r="AY322" s="440">
        <v>0</v>
      </c>
      <c r="AZ322" s="440">
        <v>0</v>
      </c>
      <c r="BA322" s="440">
        <v>0</v>
      </c>
      <c r="BB322" s="440">
        <v>0</v>
      </c>
      <c r="BC322" s="440">
        <v>0</v>
      </c>
      <c r="BD322" s="440">
        <v>0</v>
      </c>
      <c r="BE322" s="440">
        <v>0</v>
      </c>
      <c r="BF322" s="440">
        <v>0</v>
      </c>
      <c r="BG322" s="440">
        <v>0</v>
      </c>
      <c r="BH322" s="440">
        <v>0</v>
      </c>
      <c r="BI322" s="440">
        <v>0</v>
      </c>
      <c r="BJ322" s="440">
        <v>0</v>
      </c>
      <c r="BK322" s="440">
        <v>0</v>
      </c>
      <c r="BL322" s="440">
        <v>0</v>
      </c>
      <c r="BM322" s="440">
        <v>0</v>
      </c>
      <c r="BN322" s="440">
        <v>0</v>
      </c>
      <c r="BO322" s="440">
        <v>0</v>
      </c>
      <c r="BP322" s="440">
        <v>0</v>
      </c>
      <c r="BQ322" s="440">
        <v>0</v>
      </c>
      <c r="BR322" s="415">
        <f t="shared" si="106"/>
        <v>0</v>
      </c>
      <c r="BS322" s="415">
        <f t="shared" si="89"/>
        <v>0</v>
      </c>
      <c r="BT322" s="935"/>
      <c r="BU322" s="935"/>
      <c r="BV322" s="935"/>
      <c r="BW322" s="935"/>
      <c r="BX322" s="935"/>
      <c r="BY322" s="935"/>
      <c r="BZ322" s="935"/>
      <c r="CA322" s="935"/>
      <c r="CB322" s="935"/>
      <c r="CC322" s="935"/>
      <c r="CD322" s="935"/>
      <c r="CE322" s="935"/>
      <c r="CF322" s="935"/>
      <c r="CG322" s="935"/>
      <c r="CH322" s="935"/>
      <c r="CI322" s="935"/>
      <c r="CJ322" s="935"/>
      <c r="CK322" s="935"/>
      <c r="CL322" s="935"/>
      <c r="CM322" s="935"/>
      <c r="CN322" s="935"/>
      <c r="CO322" s="935"/>
      <c r="CP322" s="935"/>
      <c r="CQ322" s="935"/>
      <c r="CR322" s="935"/>
      <c r="CS322" s="935"/>
      <c r="CT322" s="935"/>
      <c r="CU322" s="935"/>
      <c r="CV322" s="935"/>
    </row>
    <row r="323" spans="1:100">
      <c r="A323" s="375">
        <f t="shared" si="90"/>
        <v>8</v>
      </c>
      <c r="B323" s="862">
        <v>44436</v>
      </c>
      <c r="C323" s="493" t="s">
        <v>1980</v>
      </c>
      <c r="D323" s="376" t="str">
        <f>IFERROR(VLOOKUP(E:E,'Item Data Support Sheet'!A:O,7,0),"")</f>
        <v>NIPPLE LASER MARKING</v>
      </c>
      <c r="E323" s="447" t="s">
        <v>1816</v>
      </c>
      <c r="F323" s="500"/>
      <c r="G323" s="376" t="s">
        <v>1812</v>
      </c>
      <c r="H323" s="602" t="str">
        <f>IFERROR(VLOOKUP(E:E,'Item Data Support Sheet'!A:O,2,0),"")</f>
        <v>NIPPLE S TYPE L SIZE PUNCHED LASER MARKED</v>
      </c>
      <c r="I323" s="501" t="s">
        <v>2742</v>
      </c>
      <c r="J323" s="447" t="s">
        <v>2810</v>
      </c>
      <c r="K323" s="438">
        <v>8</v>
      </c>
      <c r="L323" s="499">
        <v>7000</v>
      </c>
      <c r="M323" s="366">
        <f t="shared" si="105"/>
        <v>875</v>
      </c>
      <c r="N323" s="367">
        <f t="shared" si="88"/>
        <v>6470</v>
      </c>
      <c r="O323" s="61">
        <v>6470</v>
      </c>
      <c r="P323" s="368">
        <v>0</v>
      </c>
      <c r="Q323" s="368">
        <v>0</v>
      </c>
      <c r="R323" s="494">
        <v>0</v>
      </c>
      <c r="S323" s="493">
        <v>0</v>
      </c>
      <c r="T323" s="494">
        <v>0</v>
      </c>
      <c r="U323" s="493">
        <v>0</v>
      </c>
      <c r="V323" s="502">
        <v>1</v>
      </c>
      <c r="W323" s="453">
        <f t="shared" si="91"/>
        <v>6470</v>
      </c>
      <c r="X323" s="748">
        <f t="shared" si="92"/>
        <v>0.92428571428571427</v>
      </c>
      <c r="Y323" s="451" t="str">
        <f>IFERROR(VLOOKUP(E:E,'Item Data Support Sheet'!A:J,6,0),0)</f>
        <v>FO021</v>
      </c>
      <c r="Z323" s="428">
        <f>IFERROR(VLOOKUP(E:E,'Item Data Support Sheet'!A:O,4,0),0)</f>
        <v>0</v>
      </c>
      <c r="AA323" s="428">
        <f t="shared" si="93"/>
        <v>0</v>
      </c>
      <c r="AB323" s="429" t="str">
        <f t="shared" si="94"/>
        <v xml:space="preserve"> </v>
      </c>
      <c r="AC323" s="424">
        <f t="shared" si="95"/>
        <v>0</v>
      </c>
      <c r="AD323" s="371">
        <f t="shared" si="96"/>
        <v>0</v>
      </c>
      <c r="AE323" s="748">
        <f t="shared" si="97"/>
        <v>1</v>
      </c>
      <c r="AF323" s="417">
        <f t="shared" si="98"/>
        <v>0.66666666666666663</v>
      </c>
      <c r="AG323" s="416">
        <f t="shared" si="99"/>
        <v>7.333333333333333</v>
      </c>
      <c r="AH323" s="372">
        <f t="shared" si="100"/>
        <v>0.91666666666666663</v>
      </c>
      <c r="AI323" s="373">
        <f t="shared" si="101"/>
        <v>808.75</v>
      </c>
      <c r="AJ323" s="418">
        <f>VLOOKUP(D323,'Standard Cycle time'!C:D,2,0)</f>
        <v>3.5</v>
      </c>
      <c r="AK323" s="418">
        <f t="shared" si="102"/>
        <v>4.0803709428129826</v>
      </c>
      <c r="AL323" s="374">
        <f t="shared" si="103"/>
        <v>0.85776515151515165</v>
      </c>
      <c r="AM323" s="372">
        <f t="shared" si="104"/>
        <v>0.78628472222222234</v>
      </c>
      <c r="AN323" s="799" t="s">
        <v>2743</v>
      </c>
      <c r="AO323" s="929"/>
      <c r="AP323" s="440">
        <v>40</v>
      </c>
      <c r="AQ323" s="440">
        <v>0</v>
      </c>
      <c r="AR323" s="440">
        <v>0</v>
      </c>
      <c r="AS323" s="440">
        <v>0</v>
      </c>
      <c r="AT323" s="440">
        <v>0</v>
      </c>
      <c r="AU323" s="440">
        <v>0</v>
      </c>
      <c r="AV323" s="440">
        <v>0</v>
      </c>
      <c r="AW323" s="440">
        <v>0</v>
      </c>
      <c r="AX323" s="440">
        <v>0</v>
      </c>
      <c r="AY323" s="440">
        <v>0</v>
      </c>
      <c r="AZ323" s="440">
        <v>0</v>
      </c>
      <c r="BA323" s="440">
        <v>0</v>
      </c>
      <c r="BB323" s="440">
        <v>0</v>
      </c>
      <c r="BC323" s="440">
        <v>0</v>
      </c>
      <c r="BD323" s="440">
        <v>0</v>
      </c>
      <c r="BE323" s="440">
        <v>0</v>
      </c>
      <c r="BF323" s="440">
        <v>0</v>
      </c>
      <c r="BG323" s="440">
        <v>0</v>
      </c>
      <c r="BH323" s="440">
        <v>0</v>
      </c>
      <c r="BI323" s="440">
        <v>0</v>
      </c>
      <c r="BJ323" s="440">
        <v>0</v>
      </c>
      <c r="BK323" s="440">
        <v>0</v>
      </c>
      <c r="BL323" s="440">
        <v>0</v>
      </c>
      <c r="BM323" s="440">
        <v>0</v>
      </c>
      <c r="BN323" s="440">
        <v>0</v>
      </c>
      <c r="BO323" s="440">
        <v>0</v>
      </c>
      <c r="BP323" s="440">
        <v>0</v>
      </c>
      <c r="BQ323" s="440">
        <v>0</v>
      </c>
      <c r="BR323" s="415">
        <f t="shared" si="106"/>
        <v>0.66666666666666663</v>
      </c>
      <c r="BS323" s="415">
        <f t="shared" si="89"/>
        <v>0.6777777777777777</v>
      </c>
      <c r="BT323" s="935"/>
      <c r="BU323" s="935"/>
      <c r="BV323" s="935"/>
      <c r="BW323" s="935"/>
      <c r="BX323" s="935"/>
      <c r="BY323" s="935"/>
      <c r="BZ323" s="935"/>
      <c r="CA323" s="935"/>
      <c r="CB323" s="935"/>
      <c r="CC323" s="935"/>
      <c r="CD323" s="935"/>
      <c r="CE323" s="935"/>
      <c r="CF323" s="935"/>
      <c r="CG323" s="935"/>
      <c r="CH323" s="935"/>
      <c r="CI323" s="935"/>
      <c r="CJ323" s="935"/>
      <c r="CK323" s="935"/>
      <c r="CL323" s="935"/>
      <c r="CM323" s="935"/>
      <c r="CN323" s="935"/>
      <c r="CO323" s="935"/>
      <c r="CP323" s="935"/>
      <c r="CQ323" s="935"/>
      <c r="CR323" s="935"/>
      <c r="CS323" s="935"/>
      <c r="CT323" s="935"/>
      <c r="CU323" s="935"/>
      <c r="CV323" s="935"/>
    </row>
    <row r="324" spans="1:100">
      <c r="A324" s="375">
        <f t="shared" si="90"/>
        <v>8</v>
      </c>
      <c r="B324" s="862">
        <v>44436</v>
      </c>
      <c r="C324" s="493" t="s">
        <v>2000</v>
      </c>
      <c r="D324" s="376" t="str">
        <f>IFERROR(VLOOKUP(E:E,'Item Data Support Sheet'!A:O,7,0),"")</f>
        <v>NIPPLE PUNCH INSPECTED</v>
      </c>
      <c r="E324" s="447" t="s">
        <v>1820</v>
      </c>
      <c r="F324" s="500"/>
      <c r="G324" s="376"/>
      <c r="H324" s="602" t="str">
        <f>IFERROR(VLOOKUP(E:E,'Item Data Support Sheet'!A:O,2,0),"")</f>
        <v>NIPPLE S TYPE L SIZE PUNCHED INSPECTED</v>
      </c>
      <c r="I324" s="501" t="s">
        <v>2716</v>
      </c>
      <c r="J324" s="447" t="s">
        <v>2812</v>
      </c>
      <c r="K324" s="438">
        <v>8.5</v>
      </c>
      <c r="L324" s="499">
        <v>14072</v>
      </c>
      <c r="M324" s="366">
        <f t="shared" si="105"/>
        <v>1655.5294117647059</v>
      </c>
      <c r="N324" s="367">
        <f t="shared" ref="N324:N387" si="107">+O324+Q324+T324+U324</f>
        <v>12470</v>
      </c>
      <c r="O324" s="61">
        <v>12444</v>
      </c>
      <c r="P324" s="368">
        <v>0</v>
      </c>
      <c r="Q324" s="368">
        <v>0</v>
      </c>
      <c r="R324" s="494">
        <v>0</v>
      </c>
      <c r="S324" s="493">
        <v>0</v>
      </c>
      <c r="T324" s="494">
        <v>26</v>
      </c>
      <c r="U324" s="493">
        <v>0</v>
      </c>
      <c r="V324" s="502">
        <v>2</v>
      </c>
      <c r="W324" s="453">
        <f t="shared" si="91"/>
        <v>6222</v>
      </c>
      <c r="X324" s="748">
        <f t="shared" si="92"/>
        <v>0.8843092666287663</v>
      </c>
      <c r="Y324" s="451" t="str">
        <f>IFERROR(VLOOKUP(E:E,'Item Data Support Sheet'!A:J,6,0),0)</f>
        <v>FO106</v>
      </c>
      <c r="Z324" s="428">
        <f>IFERROR(VLOOKUP(E:E,'Item Data Support Sheet'!A:O,4,0),0)</f>
        <v>0</v>
      </c>
      <c r="AA324" s="428">
        <f t="shared" si="93"/>
        <v>0</v>
      </c>
      <c r="AB324" s="429" t="str">
        <f t="shared" si="94"/>
        <v xml:space="preserve"> </v>
      </c>
      <c r="AC324" s="424">
        <f t="shared" si="95"/>
        <v>2.0850040096230954E-3</v>
      </c>
      <c r="AD324" s="371">
        <f t="shared" si="96"/>
        <v>0</v>
      </c>
      <c r="AE324" s="748">
        <f t="shared" si="97"/>
        <v>0.99791499599037692</v>
      </c>
      <c r="AF324" s="417">
        <f t="shared" si="98"/>
        <v>0.83333333333333337</v>
      </c>
      <c r="AG324" s="416">
        <f t="shared" si="99"/>
        <v>7.666666666666667</v>
      </c>
      <c r="AH324" s="372">
        <f t="shared" si="100"/>
        <v>0.90196078431372551</v>
      </c>
      <c r="AI324" s="373">
        <f t="shared" si="101"/>
        <v>1464</v>
      </c>
      <c r="AJ324" s="418">
        <f>VLOOKUP(D324,'Standard Cycle time'!C:D,2,0)</f>
        <v>4</v>
      </c>
      <c r="AK324" s="418">
        <f t="shared" si="102"/>
        <v>4.435872709739634</v>
      </c>
      <c r="AL324" s="374">
        <f t="shared" si="103"/>
        <v>0.90173913043478249</v>
      </c>
      <c r="AM324" s="372">
        <f t="shared" si="104"/>
        <v>0.8116375300721731</v>
      </c>
      <c r="AN324" s="799">
        <v>2860</v>
      </c>
      <c r="AO324" s="929" t="s">
        <v>2746</v>
      </c>
      <c r="AP324" s="440">
        <v>50</v>
      </c>
      <c r="AQ324" s="440">
        <v>0</v>
      </c>
      <c r="AR324" s="440">
        <v>0</v>
      </c>
      <c r="AS324" s="440">
        <v>0</v>
      </c>
      <c r="AT324" s="440">
        <v>0</v>
      </c>
      <c r="AU324" s="440">
        <v>0</v>
      </c>
      <c r="AV324" s="440">
        <v>0</v>
      </c>
      <c r="AW324" s="440">
        <v>0</v>
      </c>
      <c r="AX324" s="440">
        <v>0</v>
      </c>
      <c r="AY324" s="440">
        <v>0</v>
      </c>
      <c r="AZ324" s="440">
        <v>0</v>
      </c>
      <c r="BA324" s="440">
        <v>0</v>
      </c>
      <c r="BB324" s="440">
        <v>0</v>
      </c>
      <c r="BC324" s="440">
        <v>0</v>
      </c>
      <c r="BD324" s="440">
        <v>0</v>
      </c>
      <c r="BE324" s="440">
        <v>0</v>
      </c>
      <c r="BF324" s="440">
        <v>0</v>
      </c>
      <c r="BG324" s="440">
        <v>0</v>
      </c>
      <c r="BH324" s="440">
        <v>0</v>
      </c>
      <c r="BI324" s="440">
        <v>0</v>
      </c>
      <c r="BJ324" s="440">
        <v>0</v>
      </c>
      <c r="BK324" s="440">
        <v>0</v>
      </c>
      <c r="BL324" s="440">
        <v>0</v>
      </c>
      <c r="BM324" s="440">
        <v>0</v>
      </c>
      <c r="BN324" s="440">
        <v>0</v>
      </c>
      <c r="BO324" s="440">
        <v>0</v>
      </c>
      <c r="BP324" s="440">
        <v>0</v>
      </c>
      <c r="BQ324" s="440">
        <v>0</v>
      </c>
      <c r="BR324" s="415">
        <f t="shared" si="106"/>
        <v>0.83333333333333337</v>
      </c>
      <c r="BS324" s="415">
        <f t="shared" si="89"/>
        <v>0.84722222222222221</v>
      </c>
      <c r="BT324" s="935"/>
      <c r="BU324" s="935"/>
      <c r="BV324" s="935"/>
      <c r="BW324" s="935"/>
      <c r="BX324" s="935"/>
      <c r="BY324" s="935"/>
      <c r="BZ324" s="935"/>
      <c r="CA324" s="935"/>
      <c r="CB324" s="935"/>
      <c r="CC324" s="935"/>
      <c r="CD324" s="935"/>
      <c r="CE324" s="935"/>
      <c r="CF324" s="935"/>
      <c r="CG324" s="935"/>
      <c r="CH324" s="935"/>
      <c r="CI324" s="935"/>
      <c r="CJ324" s="935"/>
      <c r="CK324" s="935"/>
      <c r="CL324" s="935"/>
      <c r="CM324" s="935"/>
      <c r="CN324" s="935"/>
      <c r="CO324" s="935"/>
      <c r="CP324" s="935"/>
      <c r="CQ324" s="935"/>
      <c r="CR324" s="935"/>
      <c r="CS324" s="935"/>
      <c r="CT324" s="935"/>
      <c r="CU324" s="935"/>
      <c r="CV324" s="935"/>
    </row>
    <row r="325" spans="1:100">
      <c r="A325" s="375">
        <f t="shared" ref="A325:A388" si="108">MONTH(B325)</f>
        <v>8</v>
      </c>
      <c r="B325" s="862">
        <v>44436</v>
      </c>
      <c r="C325" s="493" t="s">
        <v>2000</v>
      </c>
      <c r="D325" s="376" t="str">
        <f>IFERROR(VLOOKUP(E:E,'Item Data Support Sheet'!A:O,7,0),"")</f>
        <v>NIPPLE WRAP PRINTED</v>
      </c>
      <c r="E325" s="447" t="s">
        <v>110</v>
      </c>
      <c r="F325" s="500"/>
      <c r="G325" s="376" t="s">
        <v>1693</v>
      </c>
      <c r="H325" s="602" t="str">
        <f>IFERROR(VLOOKUP(E:E,'Item Data Support Sheet'!A:O,2,0),"")</f>
        <v>NIPPLE S TYPE L SIZE WITH PRINTED WRAP</v>
      </c>
      <c r="I325" s="501" t="s">
        <v>2716</v>
      </c>
      <c r="J325" s="447" t="s">
        <v>2812</v>
      </c>
      <c r="K325" s="438">
        <v>8.5</v>
      </c>
      <c r="L325" s="499">
        <v>16032</v>
      </c>
      <c r="M325" s="366">
        <f t="shared" si="105"/>
        <v>1886.1176470588234</v>
      </c>
      <c r="N325" s="367">
        <f t="shared" si="107"/>
        <v>11426</v>
      </c>
      <c r="O325" s="61">
        <v>11423</v>
      </c>
      <c r="P325" s="368">
        <v>0</v>
      </c>
      <c r="Q325" s="368">
        <v>0</v>
      </c>
      <c r="R325" s="494">
        <v>0</v>
      </c>
      <c r="S325" s="493">
        <v>0</v>
      </c>
      <c r="T325" s="494">
        <v>3</v>
      </c>
      <c r="U325" s="493">
        <v>0</v>
      </c>
      <c r="V325" s="502">
        <v>2</v>
      </c>
      <c r="W325" s="453">
        <f t="shared" ref="W325:W388" si="109">IFERROR(O325/V325,0)</f>
        <v>5711.5</v>
      </c>
      <c r="X325" s="748">
        <f t="shared" ref="X325:X388" si="110">O325/L325</f>
        <v>0.71251247504990023</v>
      </c>
      <c r="Y325" s="451" t="str">
        <f>IFERROR(VLOOKUP(E:E,'Item Data Support Sheet'!A:J,6,0),0)</f>
        <v>FO021</v>
      </c>
      <c r="Z325" s="428">
        <f>IFERROR(VLOOKUP(E:E,'Item Data Support Sheet'!A:O,4,0),0)</f>
        <v>0</v>
      </c>
      <c r="AA325" s="428">
        <f t="shared" ref="AA325:AA388" si="111">IFERROR(((N325)*(Z325/1000))+P325,0)</f>
        <v>0</v>
      </c>
      <c r="AB325" s="429" t="str">
        <f t="shared" ref="AB325:AB388" si="112">IFERROR((O325*(Z325/1000)/(AA325))," ")</f>
        <v xml:space="preserve"> </v>
      </c>
      <c r="AC325" s="424">
        <f t="shared" ref="AC325:AC388" si="113">IFERROR((T325)/((T325)+O325),0)</f>
        <v>2.6255907579205323E-4</v>
      </c>
      <c r="AD325" s="371">
        <f t="shared" ref="AD325:AD388" si="114">IFERROR(Q325/(Q325+N325),0)</f>
        <v>0</v>
      </c>
      <c r="AE325" s="748">
        <f t="shared" ref="AE325:AE388" si="115">(N325-T325)/N325</f>
        <v>0.99973744092420791</v>
      </c>
      <c r="AF325" s="417">
        <f t="shared" ref="AF325:AF388" si="116">BR325</f>
        <v>0.83333333333333337</v>
      </c>
      <c r="AG325" s="416">
        <f t="shared" ref="AG325:AG388" si="117">K325-AF325</f>
        <v>7.666666666666667</v>
      </c>
      <c r="AH325" s="372">
        <f t="shared" ref="AH325:AH388" si="118">IFERROR(AG325/K325," ")</f>
        <v>0.90196078431372551</v>
      </c>
      <c r="AI325" s="373">
        <f t="shared" ref="AI325:AI388" si="119">IFERROR(O325/K325,0)</f>
        <v>1343.8823529411766</v>
      </c>
      <c r="AJ325" s="418">
        <f>VLOOKUP(D325,'Standard Cycle time'!C:D,2,0)</f>
        <v>2.5</v>
      </c>
      <c r="AK325" s="418">
        <f t="shared" ref="AK325:AK388" si="120">AG325*V325*3600/O325</f>
        <v>4.8323557734395521</v>
      </c>
      <c r="AL325" s="374">
        <f t="shared" ref="AL325:AL388" si="121">AJ325/AK325</f>
        <v>0.51734601449275364</v>
      </c>
      <c r="AM325" s="372">
        <f t="shared" ref="AM325:AM388" si="122">AE325*AL325*AH325</f>
        <v>0.46650330015021357</v>
      </c>
      <c r="AN325" s="799">
        <v>2861</v>
      </c>
      <c r="AO325" s="761"/>
      <c r="AP325" s="440">
        <v>50</v>
      </c>
      <c r="AQ325" s="440">
        <v>0</v>
      </c>
      <c r="AR325" s="440">
        <v>0</v>
      </c>
      <c r="AS325" s="440">
        <v>0</v>
      </c>
      <c r="AT325" s="440">
        <v>0</v>
      </c>
      <c r="AU325" s="440">
        <v>0</v>
      </c>
      <c r="AV325" s="440">
        <v>0</v>
      </c>
      <c r="AW325" s="440">
        <v>0</v>
      </c>
      <c r="AX325" s="440">
        <v>0</v>
      </c>
      <c r="AY325" s="440">
        <v>0</v>
      </c>
      <c r="AZ325" s="440">
        <v>0</v>
      </c>
      <c r="BA325" s="440">
        <v>0</v>
      </c>
      <c r="BB325" s="440">
        <v>0</v>
      </c>
      <c r="BC325" s="440">
        <v>0</v>
      </c>
      <c r="BD325" s="440">
        <v>0</v>
      </c>
      <c r="BE325" s="440">
        <v>0</v>
      </c>
      <c r="BF325" s="440">
        <v>0</v>
      </c>
      <c r="BG325" s="440">
        <v>0</v>
      </c>
      <c r="BH325" s="440">
        <v>0</v>
      </c>
      <c r="BI325" s="440">
        <v>0</v>
      </c>
      <c r="BJ325" s="440">
        <v>0</v>
      </c>
      <c r="BK325" s="440">
        <v>0</v>
      </c>
      <c r="BL325" s="440">
        <v>0</v>
      </c>
      <c r="BM325" s="440">
        <v>0</v>
      </c>
      <c r="BN325" s="440">
        <v>0</v>
      </c>
      <c r="BO325" s="440">
        <v>0</v>
      </c>
      <c r="BP325" s="440">
        <v>0</v>
      </c>
      <c r="BQ325" s="440">
        <v>0</v>
      </c>
      <c r="BR325" s="415">
        <f t="shared" si="106"/>
        <v>0.83333333333333337</v>
      </c>
      <c r="BS325" s="415">
        <f t="shared" si="89"/>
        <v>0.84722222222222221</v>
      </c>
      <c r="BT325" s="935"/>
      <c r="BU325" s="935"/>
      <c r="BV325" s="935"/>
      <c r="BW325" s="935"/>
      <c r="BX325" s="935"/>
      <c r="BY325" s="935"/>
      <c r="BZ325" s="935"/>
      <c r="CA325" s="935"/>
      <c r="CB325" s="935"/>
      <c r="CC325" s="935"/>
      <c r="CD325" s="935"/>
      <c r="CE325" s="935"/>
      <c r="CF325" s="935"/>
      <c r="CG325" s="935"/>
      <c r="CH325" s="935"/>
      <c r="CI325" s="935"/>
      <c r="CJ325" s="935"/>
      <c r="CK325" s="935"/>
      <c r="CL325" s="935"/>
      <c r="CM325" s="935"/>
      <c r="CN325" s="935"/>
      <c r="CO325" s="935"/>
      <c r="CP325" s="935"/>
      <c r="CQ325" s="935"/>
      <c r="CR325" s="935"/>
      <c r="CS325" s="935"/>
      <c r="CT325" s="935"/>
      <c r="CU325" s="935"/>
      <c r="CV325" s="935"/>
    </row>
    <row r="326" spans="1:100">
      <c r="A326" s="375">
        <f t="shared" si="108"/>
        <v>8</v>
      </c>
      <c r="B326" s="862">
        <v>44436</v>
      </c>
      <c r="C326" s="493" t="s">
        <v>2000</v>
      </c>
      <c r="D326" s="376" t="str">
        <f>IFERROR(VLOOKUP(E:E,'Item Data Support Sheet'!A:O,7,0),"")</f>
        <v>BOTTLE PRINTED</v>
      </c>
      <c r="E326" s="447" t="s">
        <v>69</v>
      </c>
      <c r="F326" s="500"/>
      <c r="G326" s="376" t="s">
        <v>1698</v>
      </c>
      <c r="H326" s="602" t="str">
        <f>IFERROR(VLOOKUP(E:E,'Item Data Support Sheet'!A:O,2,0),"")</f>
        <v>KPP 120 ML BOTTLE PRINTED</v>
      </c>
      <c r="I326" s="501" t="s">
        <v>2748</v>
      </c>
      <c r="J326" s="447" t="s">
        <v>2813</v>
      </c>
      <c r="K326" s="438">
        <v>4.5</v>
      </c>
      <c r="L326" s="499">
        <v>2000</v>
      </c>
      <c r="M326" s="366">
        <f t="shared" si="105"/>
        <v>444.44444444444446</v>
      </c>
      <c r="N326" s="367">
        <f t="shared" si="107"/>
        <v>1997</v>
      </c>
      <c r="O326" s="61">
        <v>1986</v>
      </c>
      <c r="P326" s="368">
        <v>0</v>
      </c>
      <c r="Q326" s="368">
        <v>0</v>
      </c>
      <c r="R326" s="494">
        <v>26</v>
      </c>
      <c r="S326" s="493">
        <v>0</v>
      </c>
      <c r="T326" s="494">
        <v>11</v>
      </c>
      <c r="U326" s="493">
        <v>0</v>
      </c>
      <c r="V326" s="502">
        <v>6</v>
      </c>
      <c r="W326" s="453">
        <f t="shared" si="109"/>
        <v>331</v>
      </c>
      <c r="X326" s="748">
        <f t="shared" si="110"/>
        <v>0.99299999999999999</v>
      </c>
      <c r="Y326" s="451" t="str">
        <f>IFERROR(VLOOKUP(E:E,'Item Data Support Sheet'!A:J,6,0),0)</f>
        <v>FO001</v>
      </c>
      <c r="Z326" s="428">
        <f>IFERROR(VLOOKUP(E:E,'Item Data Support Sheet'!A:O,4,0),0)</f>
        <v>0</v>
      </c>
      <c r="AA326" s="428">
        <f t="shared" si="111"/>
        <v>0</v>
      </c>
      <c r="AB326" s="429" t="str">
        <f t="shared" si="112"/>
        <v xml:space="preserve"> </v>
      </c>
      <c r="AC326" s="424">
        <f t="shared" si="113"/>
        <v>5.5082623935903859E-3</v>
      </c>
      <c r="AD326" s="371">
        <f t="shared" si="114"/>
        <v>0</v>
      </c>
      <c r="AE326" s="748">
        <f t="shared" si="115"/>
        <v>0.99449173760640963</v>
      </c>
      <c r="AF326" s="417">
        <f t="shared" si="116"/>
        <v>0.83333333333333337</v>
      </c>
      <c r="AG326" s="416">
        <f t="shared" si="117"/>
        <v>3.6666666666666665</v>
      </c>
      <c r="AH326" s="372">
        <f t="shared" si="118"/>
        <v>0.81481481481481477</v>
      </c>
      <c r="AI326" s="373">
        <f t="shared" si="119"/>
        <v>441.33333333333331</v>
      </c>
      <c r="AJ326" s="418">
        <f>VLOOKUP(D326,'Standard Cycle time'!C:D,2,0)</f>
        <v>32.4</v>
      </c>
      <c r="AK326" s="418">
        <f t="shared" si="120"/>
        <v>39.879154078549846</v>
      </c>
      <c r="AL326" s="374">
        <f t="shared" si="121"/>
        <v>0.81245454545454554</v>
      </c>
      <c r="AM326" s="372">
        <f t="shared" si="122"/>
        <v>0.65835353029544319</v>
      </c>
      <c r="AN326" s="799">
        <v>2841</v>
      </c>
      <c r="AO326" s="929" t="s">
        <v>2752</v>
      </c>
      <c r="AP326" s="440">
        <v>30</v>
      </c>
      <c r="AQ326" s="440">
        <v>20</v>
      </c>
      <c r="AR326" s="440">
        <v>0</v>
      </c>
      <c r="AS326" s="440">
        <v>0</v>
      </c>
      <c r="AT326" s="440">
        <v>0</v>
      </c>
      <c r="AU326" s="440">
        <v>0</v>
      </c>
      <c r="AV326" s="440">
        <v>0</v>
      </c>
      <c r="AW326" s="440">
        <v>0</v>
      </c>
      <c r="AX326" s="440">
        <v>0</v>
      </c>
      <c r="AY326" s="440">
        <v>0</v>
      </c>
      <c r="AZ326" s="440">
        <v>0</v>
      </c>
      <c r="BA326" s="440">
        <v>0</v>
      </c>
      <c r="BB326" s="440">
        <v>0</v>
      </c>
      <c r="BC326" s="440">
        <v>0</v>
      </c>
      <c r="BD326" s="440">
        <v>0</v>
      </c>
      <c r="BE326" s="440">
        <v>0</v>
      </c>
      <c r="BF326" s="440">
        <v>0</v>
      </c>
      <c r="BG326" s="440">
        <v>0</v>
      </c>
      <c r="BH326" s="440">
        <v>0</v>
      </c>
      <c r="BI326" s="440">
        <v>0</v>
      </c>
      <c r="BJ326" s="440">
        <v>0</v>
      </c>
      <c r="BK326" s="440">
        <v>0</v>
      </c>
      <c r="BL326" s="440">
        <v>0</v>
      </c>
      <c r="BM326" s="440">
        <v>0</v>
      </c>
      <c r="BN326" s="440">
        <v>0</v>
      </c>
      <c r="BO326" s="440">
        <v>0</v>
      </c>
      <c r="BP326" s="440">
        <v>0</v>
      </c>
      <c r="BQ326" s="440">
        <v>0</v>
      </c>
      <c r="BR326" s="415">
        <f t="shared" si="106"/>
        <v>0.83333333333333337</v>
      </c>
      <c r="BS326" s="415">
        <f t="shared" ref="BS326:BS353" si="123">SUM(AP326:BR326)/60</f>
        <v>0.84722222222222221</v>
      </c>
      <c r="BT326" s="935"/>
      <c r="BU326" s="935"/>
      <c r="BV326" s="935"/>
      <c r="BW326" s="935"/>
      <c r="BX326" s="935"/>
      <c r="BY326" s="935"/>
      <c r="BZ326" s="935"/>
      <c r="CA326" s="935"/>
      <c r="CB326" s="935"/>
      <c r="CC326" s="935"/>
      <c r="CD326" s="935"/>
      <c r="CE326" s="935"/>
      <c r="CF326" s="935"/>
      <c r="CG326" s="935"/>
      <c r="CH326" s="935"/>
      <c r="CI326" s="935"/>
      <c r="CJ326" s="935"/>
      <c r="CK326" s="935"/>
      <c r="CL326" s="935"/>
      <c r="CM326" s="935"/>
      <c r="CN326" s="935"/>
      <c r="CO326" s="935"/>
      <c r="CP326" s="935"/>
      <c r="CQ326" s="935"/>
      <c r="CR326" s="935"/>
      <c r="CS326" s="935"/>
      <c r="CT326" s="935"/>
      <c r="CU326" s="935"/>
      <c r="CV326" s="935"/>
    </row>
    <row r="327" spans="1:100">
      <c r="A327" s="375">
        <f t="shared" si="108"/>
        <v>8</v>
      </c>
      <c r="B327" s="862">
        <v>44436</v>
      </c>
      <c r="C327" s="493" t="s">
        <v>2000</v>
      </c>
      <c r="D327" s="376" t="str">
        <f>IFERROR(VLOOKUP(E:E,'Item Data Support Sheet'!A:O,7,0),"")</f>
        <v>BOTTLE PRINTED</v>
      </c>
      <c r="E327" s="447" t="s">
        <v>229</v>
      </c>
      <c r="F327" s="500"/>
      <c r="G327" s="376" t="s">
        <v>1698</v>
      </c>
      <c r="H327" s="602" t="str">
        <f>IFERROR(VLOOKUP(E:E,'Item Data Support Sheet'!A:O,2,0),"")</f>
        <v>KPP 120 BOTTLE PRINTED (WMG3B) W/O OZ &amp; W/BIS LOGO</v>
      </c>
      <c r="I327" s="501" t="s">
        <v>2749</v>
      </c>
      <c r="J327" s="447" t="s">
        <v>2813</v>
      </c>
      <c r="K327" s="438">
        <v>2</v>
      </c>
      <c r="L327" s="499">
        <v>1000</v>
      </c>
      <c r="M327" s="366">
        <f t="shared" si="105"/>
        <v>500</v>
      </c>
      <c r="N327" s="367">
        <f t="shared" si="107"/>
        <v>1077</v>
      </c>
      <c r="O327" s="61">
        <v>1063</v>
      </c>
      <c r="P327" s="368">
        <v>0</v>
      </c>
      <c r="Q327" s="368">
        <v>0</v>
      </c>
      <c r="R327" s="494">
        <v>7</v>
      </c>
      <c r="S327" s="493">
        <v>0</v>
      </c>
      <c r="T327" s="494">
        <v>14</v>
      </c>
      <c r="U327" s="493">
        <v>0</v>
      </c>
      <c r="V327" s="502">
        <v>6</v>
      </c>
      <c r="W327" s="453">
        <f t="shared" si="109"/>
        <v>177.16666666666666</v>
      </c>
      <c r="X327" s="748">
        <f t="shared" si="110"/>
        <v>1.0629999999999999</v>
      </c>
      <c r="Y327" s="451" t="str">
        <f>IFERROR(VLOOKUP(E:E,'Item Data Support Sheet'!A:J,6,0),0)</f>
        <v>FO042</v>
      </c>
      <c r="Z327" s="428">
        <f>IFERROR(VLOOKUP(E:E,'Item Data Support Sheet'!A:O,4,0),0)</f>
        <v>0</v>
      </c>
      <c r="AA327" s="428">
        <f t="shared" si="111"/>
        <v>0</v>
      </c>
      <c r="AB327" s="429" t="str">
        <f t="shared" si="112"/>
        <v xml:space="preserve"> </v>
      </c>
      <c r="AC327" s="424">
        <f t="shared" si="113"/>
        <v>1.2999071494893221E-2</v>
      </c>
      <c r="AD327" s="371">
        <f t="shared" si="114"/>
        <v>0</v>
      </c>
      <c r="AE327" s="748">
        <f t="shared" si="115"/>
        <v>0.98700092850510679</v>
      </c>
      <c r="AF327" s="417">
        <f t="shared" si="116"/>
        <v>0.5</v>
      </c>
      <c r="AG327" s="416">
        <f t="shared" si="117"/>
        <v>1.5</v>
      </c>
      <c r="AH327" s="372">
        <f t="shared" si="118"/>
        <v>0.75</v>
      </c>
      <c r="AI327" s="373">
        <f t="shared" si="119"/>
        <v>531.5</v>
      </c>
      <c r="AJ327" s="418">
        <f>VLOOKUP(D327,'Standard Cycle time'!C:D,2,0)</f>
        <v>32.4</v>
      </c>
      <c r="AK327" s="418">
        <f t="shared" si="120"/>
        <v>30.479774223894637</v>
      </c>
      <c r="AL327" s="374">
        <f t="shared" si="121"/>
        <v>1.0629999999999999</v>
      </c>
      <c r="AM327" s="372">
        <f t="shared" si="122"/>
        <v>0.78688649025069635</v>
      </c>
      <c r="AN327" s="799" t="s">
        <v>2750</v>
      </c>
      <c r="AO327" s="929"/>
      <c r="AP327" s="440">
        <v>0</v>
      </c>
      <c r="AQ327" s="440">
        <v>30</v>
      </c>
      <c r="AR327" s="440">
        <v>0</v>
      </c>
      <c r="AS327" s="440">
        <v>0</v>
      </c>
      <c r="AT327" s="440">
        <v>0</v>
      </c>
      <c r="AU327" s="440">
        <v>0</v>
      </c>
      <c r="AV327" s="440">
        <v>0</v>
      </c>
      <c r="AW327" s="440">
        <v>0</v>
      </c>
      <c r="AX327" s="440">
        <v>0</v>
      </c>
      <c r="AY327" s="440">
        <v>0</v>
      </c>
      <c r="AZ327" s="440">
        <v>0</v>
      </c>
      <c r="BA327" s="440">
        <v>0</v>
      </c>
      <c r="BB327" s="440">
        <v>0</v>
      </c>
      <c r="BC327" s="440">
        <v>0</v>
      </c>
      <c r="BD327" s="440">
        <v>0</v>
      </c>
      <c r="BE327" s="440">
        <v>0</v>
      </c>
      <c r="BF327" s="440">
        <v>0</v>
      </c>
      <c r="BG327" s="440">
        <v>0</v>
      </c>
      <c r="BH327" s="440">
        <v>0</v>
      </c>
      <c r="BI327" s="440">
        <v>0</v>
      </c>
      <c r="BJ327" s="440">
        <v>0</v>
      </c>
      <c r="BK327" s="440">
        <v>0</v>
      </c>
      <c r="BL327" s="440">
        <v>0</v>
      </c>
      <c r="BM327" s="440">
        <v>0</v>
      </c>
      <c r="BN327" s="440">
        <v>0</v>
      </c>
      <c r="BO327" s="440">
        <v>0</v>
      </c>
      <c r="BP327" s="440">
        <v>0</v>
      </c>
      <c r="BQ327" s="440">
        <v>0</v>
      </c>
      <c r="BR327" s="415">
        <f t="shared" si="106"/>
        <v>0.5</v>
      </c>
      <c r="BS327" s="415">
        <f t="shared" si="123"/>
        <v>0.5083333333333333</v>
      </c>
      <c r="BT327" s="935"/>
      <c r="BU327" s="935"/>
      <c r="BV327" s="935"/>
      <c r="BW327" s="935"/>
      <c r="BX327" s="935"/>
      <c r="BY327" s="935"/>
      <c r="BZ327" s="935"/>
      <c r="CA327" s="935"/>
      <c r="CB327" s="935"/>
      <c r="CC327" s="935"/>
      <c r="CD327" s="935"/>
      <c r="CE327" s="935"/>
      <c r="CF327" s="935"/>
      <c r="CG327" s="935"/>
      <c r="CH327" s="935"/>
      <c r="CI327" s="935"/>
      <c r="CJ327" s="935"/>
      <c r="CK327" s="935"/>
      <c r="CL327" s="935"/>
      <c r="CM327" s="935"/>
      <c r="CN327" s="935"/>
      <c r="CO327" s="935"/>
      <c r="CP327" s="935"/>
      <c r="CQ327" s="935"/>
      <c r="CR327" s="935"/>
      <c r="CS327" s="935"/>
      <c r="CT327" s="935"/>
      <c r="CU327" s="935"/>
      <c r="CV327" s="935"/>
    </row>
    <row r="328" spans="1:100">
      <c r="A328" s="375">
        <f t="shared" si="108"/>
        <v>8</v>
      </c>
      <c r="B328" s="862">
        <v>44436</v>
      </c>
      <c r="C328" s="493" t="s">
        <v>2000</v>
      </c>
      <c r="D328" s="376" t="str">
        <f>IFERROR(VLOOKUP(E:E,'Item Data Support Sheet'!A:O,7,0),"")</f>
        <v>BOTTLE PRINTED</v>
      </c>
      <c r="E328" s="447" t="s">
        <v>367</v>
      </c>
      <c r="F328" s="500"/>
      <c r="G328" s="376" t="s">
        <v>1698</v>
      </c>
      <c r="H328" s="602" t="str">
        <f>IFERROR(VLOOKUP(E:E,'Item Data Support Sheet'!A:O,2,0),"")</f>
        <v>RPP 120ML FLORAL BLUE BOTLE PNTD WM3GB W/BIS LOGO</v>
      </c>
      <c r="I328" s="501" t="s">
        <v>2751</v>
      </c>
      <c r="J328" s="447" t="s">
        <v>2813</v>
      </c>
      <c r="K328" s="438">
        <v>2</v>
      </c>
      <c r="L328" s="499">
        <v>1000</v>
      </c>
      <c r="M328" s="366">
        <f t="shared" si="105"/>
        <v>500</v>
      </c>
      <c r="N328" s="367">
        <f t="shared" si="107"/>
        <v>1011</v>
      </c>
      <c r="O328" s="61">
        <v>1000</v>
      </c>
      <c r="P328" s="368">
        <v>0</v>
      </c>
      <c r="Q328" s="368">
        <v>0</v>
      </c>
      <c r="R328" s="494">
        <v>16</v>
      </c>
      <c r="S328" s="493">
        <v>0</v>
      </c>
      <c r="T328" s="494">
        <v>11</v>
      </c>
      <c r="U328" s="493">
        <v>0</v>
      </c>
      <c r="V328" s="502">
        <v>6</v>
      </c>
      <c r="W328" s="453">
        <f t="shared" si="109"/>
        <v>166.66666666666666</v>
      </c>
      <c r="X328" s="748">
        <f t="shared" si="110"/>
        <v>1</v>
      </c>
      <c r="Y328" s="451" t="str">
        <f>IFERROR(VLOOKUP(E:E,'Item Data Support Sheet'!A:J,6,0),0)</f>
        <v>FO054</v>
      </c>
      <c r="Z328" s="428">
        <f>IFERROR(VLOOKUP(E:E,'Item Data Support Sheet'!A:O,4,0),0)</f>
        <v>0</v>
      </c>
      <c r="AA328" s="428">
        <f t="shared" si="111"/>
        <v>0</v>
      </c>
      <c r="AB328" s="429" t="str">
        <f t="shared" si="112"/>
        <v xml:space="preserve"> </v>
      </c>
      <c r="AC328" s="424">
        <f t="shared" si="113"/>
        <v>1.0880316518298714E-2</v>
      </c>
      <c r="AD328" s="371">
        <f t="shared" si="114"/>
        <v>0</v>
      </c>
      <c r="AE328" s="748">
        <f t="shared" si="115"/>
        <v>0.98911968348170132</v>
      </c>
      <c r="AF328" s="417">
        <f t="shared" si="116"/>
        <v>0</v>
      </c>
      <c r="AG328" s="416">
        <f t="shared" si="117"/>
        <v>2</v>
      </c>
      <c r="AH328" s="372">
        <f t="shared" si="118"/>
        <v>1</v>
      </c>
      <c r="AI328" s="373">
        <f t="shared" si="119"/>
        <v>500</v>
      </c>
      <c r="AJ328" s="418">
        <f>VLOOKUP(D328,'Standard Cycle time'!C:D,2,0)</f>
        <v>32.4</v>
      </c>
      <c r="AK328" s="418">
        <f t="shared" si="120"/>
        <v>43.2</v>
      </c>
      <c r="AL328" s="374">
        <f t="shared" si="121"/>
        <v>0.74999999999999989</v>
      </c>
      <c r="AM328" s="372">
        <f t="shared" si="122"/>
        <v>0.74183976261127593</v>
      </c>
      <c r="AN328" s="799" t="s">
        <v>2794</v>
      </c>
      <c r="AO328" s="929" t="s">
        <v>2753</v>
      </c>
      <c r="AP328" s="440">
        <v>0</v>
      </c>
      <c r="AQ328" s="440">
        <v>0</v>
      </c>
      <c r="AR328" s="440">
        <v>0</v>
      </c>
      <c r="AS328" s="440">
        <v>0</v>
      </c>
      <c r="AT328" s="440">
        <v>0</v>
      </c>
      <c r="AU328" s="440">
        <v>0</v>
      </c>
      <c r="AV328" s="440">
        <v>0</v>
      </c>
      <c r="AW328" s="440">
        <v>0</v>
      </c>
      <c r="AX328" s="440">
        <v>0</v>
      </c>
      <c r="AY328" s="440">
        <v>0</v>
      </c>
      <c r="AZ328" s="440">
        <v>0</v>
      </c>
      <c r="BA328" s="440">
        <v>0</v>
      </c>
      <c r="BB328" s="440">
        <v>0</v>
      </c>
      <c r="BC328" s="440">
        <v>0</v>
      </c>
      <c r="BD328" s="440">
        <v>0</v>
      </c>
      <c r="BE328" s="440">
        <v>0</v>
      </c>
      <c r="BF328" s="440">
        <v>0</v>
      </c>
      <c r="BG328" s="440">
        <v>0</v>
      </c>
      <c r="BH328" s="440">
        <v>0</v>
      </c>
      <c r="BI328" s="440">
        <v>0</v>
      </c>
      <c r="BJ328" s="440">
        <v>0</v>
      </c>
      <c r="BK328" s="440">
        <v>0</v>
      </c>
      <c r="BL328" s="440">
        <v>0</v>
      </c>
      <c r="BM328" s="440">
        <v>0</v>
      </c>
      <c r="BN328" s="440">
        <v>0</v>
      </c>
      <c r="BO328" s="440">
        <v>0</v>
      </c>
      <c r="BP328" s="440">
        <v>0</v>
      </c>
      <c r="BQ328" s="440">
        <v>0</v>
      </c>
      <c r="BR328" s="415">
        <f t="shared" si="106"/>
        <v>0</v>
      </c>
      <c r="BS328" s="415">
        <f t="shared" si="123"/>
        <v>0</v>
      </c>
      <c r="BT328" s="935"/>
      <c r="BU328" s="935"/>
      <c r="BV328" s="935"/>
      <c r="BW328" s="935"/>
      <c r="BX328" s="935"/>
      <c r="BY328" s="935"/>
      <c r="BZ328" s="935"/>
      <c r="CA328" s="935"/>
      <c r="CB328" s="935"/>
      <c r="CC328" s="935"/>
      <c r="CD328" s="935"/>
      <c r="CE328" s="935"/>
      <c r="CF328" s="935"/>
      <c r="CG328" s="935"/>
      <c r="CH328" s="935"/>
      <c r="CI328" s="935"/>
      <c r="CJ328" s="935"/>
      <c r="CK328" s="935"/>
      <c r="CL328" s="935"/>
      <c r="CM328" s="935"/>
      <c r="CN328" s="935"/>
      <c r="CO328" s="935"/>
      <c r="CP328" s="935"/>
      <c r="CQ328" s="935"/>
      <c r="CR328" s="935"/>
      <c r="CS328" s="935"/>
      <c r="CT328" s="935"/>
      <c r="CU328" s="935"/>
      <c r="CV328" s="935"/>
    </row>
    <row r="329" spans="1:100">
      <c r="A329" s="375">
        <f t="shared" si="108"/>
        <v>8</v>
      </c>
      <c r="B329" s="862">
        <v>44436</v>
      </c>
      <c r="C329" s="493" t="s">
        <v>2001</v>
      </c>
      <c r="D329" s="376" t="str">
        <f>IFERROR(VLOOKUP(E:E,'Item Data Support Sheet'!A:O,7,0),"")</f>
        <v>NIPPLE LASER MARKING</v>
      </c>
      <c r="E329" s="447" t="s">
        <v>1816</v>
      </c>
      <c r="F329" s="500"/>
      <c r="G329" s="497" t="s">
        <v>1812</v>
      </c>
      <c r="H329" s="602" t="str">
        <f>IFERROR(VLOOKUP(E:E,'Item Data Support Sheet'!A:O,2,0),"")</f>
        <v>NIPPLE S TYPE L SIZE PUNCHED LASER MARKED</v>
      </c>
      <c r="I329" s="501" t="s">
        <v>2747</v>
      </c>
      <c r="J329" s="447" t="s">
        <v>2808</v>
      </c>
      <c r="K329" s="438">
        <v>8</v>
      </c>
      <c r="L329" s="499">
        <v>7036</v>
      </c>
      <c r="M329" s="366">
        <f t="shared" si="105"/>
        <v>879.5</v>
      </c>
      <c r="N329" s="367">
        <f t="shared" si="107"/>
        <v>6300</v>
      </c>
      <c r="O329" s="61">
        <v>6300</v>
      </c>
      <c r="P329" s="368">
        <v>0</v>
      </c>
      <c r="Q329" s="368">
        <v>0</v>
      </c>
      <c r="R329" s="494">
        <v>0</v>
      </c>
      <c r="S329" s="493">
        <v>0</v>
      </c>
      <c r="T329" s="494">
        <v>0</v>
      </c>
      <c r="U329" s="493">
        <v>0</v>
      </c>
      <c r="V329" s="502">
        <v>1</v>
      </c>
      <c r="W329" s="453">
        <f t="shared" si="109"/>
        <v>6300</v>
      </c>
      <c r="X329" s="748">
        <f t="shared" si="110"/>
        <v>0.89539511085844226</v>
      </c>
      <c r="Y329" s="451" t="str">
        <f>IFERROR(VLOOKUP(E:E,'Item Data Support Sheet'!A:J,6,0),0)</f>
        <v>FO021</v>
      </c>
      <c r="Z329" s="428">
        <f>IFERROR(VLOOKUP(E:E,'Item Data Support Sheet'!A:O,4,0),0)</f>
        <v>0</v>
      </c>
      <c r="AA329" s="428">
        <f t="shared" si="111"/>
        <v>0</v>
      </c>
      <c r="AB329" s="429" t="str">
        <f t="shared" si="112"/>
        <v xml:space="preserve"> </v>
      </c>
      <c r="AC329" s="424">
        <f t="shared" si="113"/>
        <v>0</v>
      </c>
      <c r="AD329" s="371">
        <f t="shared" si="114"/>
        <v>0</v>
      </c>
      <c r="AE329" s="748">
        <f t="shared" si="115"/>
        <v>1</v>
      </c>
      <c r="AF329" s="417">
        <f t="shared" si="116"/>
        <v>0.66666666666666663</v>
      </c>
      <c r="AG329" s="416">
        <f t="shared" si="117"/>
        <v>7.333333333333333</v>
      </c>
      <c r="AH329" s="372">
        <f t="shared" si="118"/>
        <v>0.91666666666666663</v>
      </c>
      <c r="AI329" s="373">
        <f t="shared" si="119"/>
        <v>787.5</v>
      </c>
      <c r="AJ329" s="418">
        <f>VLOOKUP(D329,'Standard Cycle time'!C:D,2,0)</f>
        <v>3.5</v>
      </c>
      <c r="AK329" s="418">
        <f t="shared" si="120"/>
        <v>4.1904761904761907</v>
      </c>
      <c r="AL329" s="374">
        <f t="shared" si="121"/>
        <v>0.83522727272727271</v>
      </c>
      <c r="AM329" s="372">
        <f t="shared" si="122"/>
        <v>0.765625</v>
      </c>
      <c r="AN329" s="799" t="s">
        <v>2759</v>
      </c>
      <c r="AO329" s="929"/>
      <c r="AP329" s="440">
        <v>40</v>
      </c>
      <c r="AQ329" s="440">
        <v>0</v>
      </c>
      <c r="AR329" s="440">
        <v>0</v>
      </c>
      <c r="AS329" s="440">
        <v>0</v>
      </c>
      <c r="AT329" s="440">
        <v>0</v>
      </c>
      <c r="AU329" s="440">
        <v>0</v>
      </c>
      <c r="AV329" s="440">
        <v>0</v>
      </c>
      <c r="AW329" s="440">
        <v>0</v>
      </c>
      <c r="AX329" s="440">
        <v>0</v>
      </c>
      <c r="AY329" s="440">
        <v>0</v>
      </c>
      <c r="AZ329" s="440">
        <v>0</v>
      </c>
      <c r="BA329" s="440">
        <v>0</v>
      </c>
      <c r="BB329" s="440">
        <v>0</v>
      </c>
      <c r="BC329" s="440">
        <v>0</v>
      </c>
      <c r="BD329" s="440">
        <v>0</v>
      </c>
      <c r="BE329" s="440">
        <v>0</v>
      </c>
      <c r="BF329" s="440">
        <v>0</v>
      </c>
      <c r="BG329" s="440">
        <v>0</v>
      </c>
      <c r="BH329" s="440">
        <v>0</v>
      </c>
      <c r="BI329" s="440">
        <v>0</v>
      </c>
      <c r="BJ329" s="440">
        <v>0</v>
      </c>
      <c r="BK329" s="440">
        <v>0</v>
      </c>
      <c r="BL329" s="440">
        <v>0</v>
      </c>
      <c r="BM329" s="440">
        <v>0</v>
      </c>
      <c r="BN329" s="440">
        <v>0</v>
      </c>
      <c r="BO329" s="440">
        <v>0</v>
      </c>
      <c r="BP329" s="440">
        <v>0</v>
      </c>
      <c r="BQ329" s="440">
        <v>0</v>
      </c>
      <c r="BR329" s="415">
        <f t="shared" si="106"/>
        <v>0.66666666666666663</v>
      </c>
      <c r="BS329" s="415">
        <f t="shared" si="123"/>
        <v>0.6777777777777777</v>
      </c>
      <c r="BT329" s="935"/>
      <c r="BU329" s="935"/>
      <c r="BV329" s="935"/>
      <c r="BW329" s="935"/>
      <c r="BX329" s="935"/>
      <c r="BY329" s="935"/>
      <c r="BZ329" s="935"/>
      <c r="CA329" s="935"/>
      <c r="CB329" s="935"/>
      <c r="CC329" s="935"/>
      <c r="CD329" s="935"/>
      <c r="CE329" s="935"/>
      <c r="CF329" s="935"/>
      <c r="CG329" s="935"/>
      <c r="CH329" s="935"/>
      <c r="CI329" s="935"/>
      <c r="CJ329" s="935"/>
      <c r="CK329" s="935"/>
      <c r="CL329" s="935"/>
      <c r="CM329" s="935"/>
      <c r="CN329" s="935"/>
      <c r="CO329" s="935"/>
      <c r="CP329" s="935"/>
      <c r="CQ329" s="935"/>
      <c r="CR329" s="935"/>
      <c r="CS329" s="935"/>
      <c r="CT329" s="935"/>
      <c r="CU329" s="935"/>
      <c r="CV329" s="935"/>
    </row>
    <row r="330" spans="1:100">
      <c r="A330" s="375">
        <f t="shared" si="108"/>
        <v>8</v>
      </c>
      <c r="B330" s="862">
        <v>44436</v>
      </c>
      <c r="C330" s="493" t="s">
        <v>2001</v>
      </c>
      <c r="D330" s="376" t="str">
        <f>IFERROR(VLOOKUP(E:E,'Item Data Support Sheet'!A:O,7,0),"")</f>
        <v>NIPPLE PUNCH</v>
      </c>
      <c r="E330" s="447" t="s">
        <v>82</v>
      </c>
      <c r="F330" s="500"/>
      <c r="G330" s="497" t="s">
        <v>1692</v>
      </c>
      <c r="H330" s="602" t="str">
        <f>IFERROR(VLOOKUP(E:E,'Item Data Support Sheet'!A:O,2,0),"")</f>
        <v>NIPPLE S TYPE L SIZE PUNCHED</v>
      </c>
      <c r="I330" s="501" t="s">
        <v>2758</v>
      </c>
      <c r="J330" s="447" t="s">
        <v>2808</v>
      </c>
      <c r="K330" s="438">
        <v>8</v>
      </c>
      <c r="L330" s="499">
        <v>7036</v>
      </c>
      <c r="M330" s="366">
        <f t="shared" si="105"/>
        <v>879.5</v>
      </c>
      <c r="N330" s="367">
        <f t="shared" si="107"/>
        <v>7300</v>
      </c>
      <c r="O330" s="61">
        <v>7300</v>
      </c>
      <c r="P330" s="368">
        <v>0</v>
      </c>
      <c r="Q330" s="368">
        <v>0</v>
      </c>
      <c r="R330" s="494">
        <v>0</v>
      </c>
      <c r="S330" s="493">
        <v>0</v>
      </c>
      <c r="T330" s="494">
        <v>0</v>
      </c>
      <c r="U330" s="493">
        <v>0</v>
      </c>
      <c r="V330" s="502">
        <v>1</v>
      </c>
      <c r="W330" s="453">
        <f t="shared" si="109"/>
        <v>7300</v>
      </c>
      <c r="X330" s="748">
        <f t="shared" si="110"/>
        <v>1.0375213189312109</v>
      </c>
      <c r="Y330" s="451" t="str">
        <f>IFERROR(VLOOKUP(E:E,'Item Data Support Sheet'!A:J,6,0),0)</f>
        <v>FO017</v>
      </c>
      <c r="Z330" s="428">
        <f>IFERROR(VLOOKUP(E:E,'Item Data Support Sheet'!A:O,4,0),0)</f>
        <v>0</v>
      </c>
      <c r="AA330" s="428">
        <f t="shared" si="111"/>
        <v>0</v>
      </c>
      <c r="AB330" s="429" t="str">
        <f t="shared" si="112"/>
        <v xml:space="preserve"> </v>
      </c>
      <c r="AC330" s="424">
        <f t="shared" si="113"/>
        <v>0</v>
      </c>
      <c r="AD330" s="371">
        <f t="shared" si="114"/>
        <v>0</v>
      </c>
      <c r="AE330" s="748">
        <f t="shared" si="115"/>
        <v>1</v>
      </c>
      <c r="AF330" s="417">
        <f t="shared" si="116"/>
        <v>0.66666666666666663</v>
      </c>
      <c r="AG330" s="416">
        <f t="shared" si="117"/>
        <v>7.333333333333333</v>
      </c>
      <c r="AH330" s="372">
        <f t="shared" si="118"/>
        <v>0.91666666666666663</v>
      </c>
      <c r="AI330" s="373">
        <f t="shared" si="119"/>
        <v>912.5</v>
      </c>
      <c r="AJ330" s="418">
        <f>VLOOKUP(D330,'Standard Cycle time'!C:D,2,0)</f>
        <v>3.5</v>
      </c>
      <c r="AK330" s="418">
        <f t="shared" si="120"/>
        <v>3.6164383561643834</v>
      </c>
      <c r="AL330" s="374">
        <f t="shared" si="121"/>
        <v>0.96780303030303039</v>
      </c>
      <c r="AM330" s="372">
        <f t="shared" si="122"/>
        <v>0.88715277777777779</v>
      </c>
      <c r="AN330" s="799">
        <v>2864</v>
      </c>
      <c r="AO330" s="929"/>
      <c r="AP330" s="440">
        <v>40</v>
      </c>
      <c r="AQ330" s="440">
        <v>0</v>
      </c>
      <c r="AR330" s="440">
        <v>0</v>
      </c>
      <c r="AS330" s="440">
        <v>0</v>
      </c>
      <c r="AT330" s="440">
        <v>0</v>
      </c>
      <c r="AU330" s="440">
        <v>0</v>
      </c>
      <c r="AV330" s="440">
        <v>0</v>
      </c>
      <c r="AW330" s="440">
        <v>0</v>
      </c>
      <c r="AX330" s="440">
        <v>0</v>
      </c>
      <c r="AY330" s="440">
        <v>0</v>
      </c>
      <c r="AZ330" s="440">
        <v>0</v>
      </c>
      <c r="BA330" s="440">
        <v>0</v>
      </c>
      <c r="BB330" s="440">
        <v>0</v>
      </c>
      <c r="BC330" s="440">
        <v>0</v>
      </c>
      <c r="BD330" s="440">
        <v>0</v>
      </c>
      <c r="BE330" s="440">
        <v>0</v>
      </c>
      <c r="BF330" s="440">
        <v>0</v>
      </c>
      <c r="BG330" s="440">
        <v>0</v>
      </c>
      <c r="BH330" s="440">
        <v>0</v>
      </c>
      <c r="BI330" s="440">
        <v>0</v>
      </c>
      <c r="BJ330" s="440">
        <v>0</v>
      </c>
      <c r="BK330" s="440">
        <v>0</v>
      </c>
      <c r="BL330" s="440">
        <v>0</v>
      </c>
      <c r="BM330" s="440">
        <v>0</v>
      </c>
      <c r="BN330" s="440">
        <v>0</v>
      </c>
      <c r="BO330" s="440">
        <v>0</v>
      </c>
      <c r="BP330" s="440">
        <v>0</v>
      </c>
      <c r="BQ330" s="440">
        <v>0</v>
      </c>
      <c r="BR330" s="415">
        <f t="shared" si="106"/>
        <v>0.66666666666666663</v>
      </c>
      <c r="BS330" s="415">
        <f t="shared" si="123"/>
        <v>0.6777777777777777</v>
      </c>
      <c r="BT330" s="935"/>
      <c r="BU330" s="935"/>
      <c r="BV330" s="935"/>
      <c r="BW330" s="935"/>
      <c r="BX330" s="935"/>
      <c r="BY330" s="935"/>
      <c r="BZ330" s="935"/>
      <c r="CA330" s="935"/>
      <c r="CB330" s="935"/>
      <c r="CC330" s="935"/>
      <c r="CD330" s="935"/>
      <c r="CE330" s="935"/>
      <c r="CF330" s="935"/>
      <c r="CG330" s="935"/>
      <c r="CH330" s="935"/>
      <c r="CI330" s="935"/>
      <c r="CJ330" s="935"/>
      <c r="CK330" s="935"/>
      <c r="CL330" s="935"/>
      <c r="CM330" s="935"/>
      <c r="CN330" s="935"/>
      <c r="CO330" s="935"/>
      <c r="CP330" s="935"/>
      <c r="CQ330" s="935"/>
      <c r="CR330" s="935"/>
      <c r="CS330" s="935"/>
      <c r="CT330" s="935"/>
      <c r="CU330" s="935"/>
      <c r="CV330" s="935"/>
    </row>
    <row r="331" spans="1:100">
      <c r="A331" s="375">
        <f t="shared" si="108"/>
        <v>8</v>
      </c>
      <c r="B331" s="862">
        <v>44436</v>
      </c>
      <c r="C331" s="493" t="s">
        <v>2001</v>
      </c>
      <c r="D331" s="376" t="str">
        <f>IFERROR(VLOOKUP(E:E,'Item Data Support Sheet'!A:O,7,0),"")</f>
        <v>NIPPLE POSTCURE</v>
      </c>
      <c r="E331" s="447" t="s">
        <v>78</v>
      </c>
      <c r="F331" s="500"/>
      <c r="G331" s="497" t="s">
        <v>1692</v>
      </c>
      <c r="H331" s="602" t="str">
        <f>IFERROR(VLOOKUP(E:E,'Item Data Support Sheet'!A:O,2,0),"")</f>
        <v>NIPPLE S TYPE L SIZE POSTCURED</v>
      </c>
      <c r="I331" s="501" t="s">
        <v>2754</v>
      </c>
      <c r="J331" s="447" t="s">
        <v>2808</v>
      </c>
      <c r="K331" s="438">
        <v>5</v>
      </c>
      <c r="L331" s="499">
        <v>7036</v>
      </c>
      <c r="M331" s="366">
        <f t="shared" si="105"/>
        <v>1407.2</v>
      </c>
      <c r="N331" s="367">
        <f t="shared" si="107"/>
        <v>5200</v>
      </c>
      <c r="O331" s="61">
        <v>5200</v>
      </c>
      <c r="P331" s="368">
        <v>0</v>
      </c>
      <c r="Q331" s="368">
        <v>0</v>
      </c>
      <c r="R331" s="494">
        <v>0</v>
      </c>
      <c r="S331" s="493">
        <v>0</v>
      </c>
      <c r="T331" s="494">
        <v>0</v>
      </c>
      <c r="U331" s="493">
        <v>0</v>
      </c>
      <c r="V331" s="502">
        <v>1</v>
      </c>
      <c r="W331" s="453">
        <f t="shared" si="109"/>
        <v>5200</v>
      </c>
      <c r="X331" s="748">
        <f t="shared" si="110"/>
        <v>0.73905628197839679</v>
      </c>
      <c r="Y331" s="451" t="str">
        <f>IFERROR(VLOOKUP(E:E,'Item Data Support Sheet'!A:J,6,0),0)</f>
        <v>FO013</v>
      </c>
      <c r="Z331" s="428">
        <f>IFERROR(VLOOKUP(E:E,'Item Data Support Sheet'!A:O,4,0),0)</f>
        <v>0</v>
      </c>
      <c r="AA331" s="428">
        <f t="shared" si="111"/>
        <v>0</v>
      </c>
      <c r="AB331" s="429" t="str">
        <f t="shared" si="112"/>
        <v xml:space="preserve"> </v>
      </c>
      <c r="AC331" s="424">
        <f t="shared" si="113"/>
        <v>0</v>
      </c>
      <c r="AD331" s="371">
        <f t="shared" si="114"/>
        <v>0</v>
      </c>
      <c r="AE331" s="748">
        <f t="shared" si="115"/>
        <v>1</v>
      </c>
      <c r="AF331" s="417">
        <f t="shared" si="116"/>
        <v>2</v>
      </c>
      <c r="AG331" s="416">
        <f t="shared" si="117"/>
        <v>3</v>
      </c>
      <c r="AH331" s="372">
        <f t="shared" si="118"/>
        <v>0.6</v>
      </c>
      <c r="AI331" s="373">
        <f t="shared" si="119"/>
        <v>1040</v>
      </c>
      <c r="AJ331" s="418">
        <f>VLOOKUP(D331,'Standard Cycle time'!C:D,2,0)</f>
        <v>2.2999999999999998</v>
      </c>
      <c r="AK331" s="418">
        <f t="shared" si="120"/>
        <v>2.0769230769230771</v>
      </c>
      <c r="AL331" s="374">
        <f t="shared" si="121"/>
        <v>1.1074074074074072</v>
      </c>
      <c r="AM331" s="372">
        <f t="shared" si="122"/>
        <v>0.66444444444444428</v>
      </c>
      <c r="AN331" s="799" t="s">
        <v>2761</v>
      </c>
      <c r="AO331" s="929" t="s">
        <v>2760</v>
      </c>
      <c r="AP331" s="440"/>
      <c r="AQ331" s="440">
        <v>0</v>
      </c>
      <c r="AR331" s="440">
        <v>0</v>
      </c>
      <c r="AS331" s="440">
        <v>0</v>
      </c>
      <c r="AT331" s="440">
        <v>120</v>
      </c>
      <c r="AU331" s="440">
        <v>0</v>
      </c>
      <c r="AV331" s="440">
        <v>0</v>
      </c>
      <c r="AW331" s="440">
        <v>0</v>
      </c>
      <c r="AX331" s="440">
        <v>0</v>
      </c>
      <c r="AY331" s="440">
        <v>0</v>
      </c>
      <c r="AZ331" s="440">
        <v>0</v>
      </c>
      <c r="BA331" s="440">
        <v>0</v>
      </c>
      <c r="BB331" s="440">
        <v>0</v>
      </c>
      <c r="BC331" s="440">
        <v>0</v>
      </c>
      <c r="BD331" s="440">
        <v>0</v>
      </c>
      <c r="BE331" s="440">
        <v>0</v>
      </c>
      <c r="BF331" s="440">
        <v>0</v>
      </c>
      <c r="BG331" s="440">
        <v>0</v>
      </c>
      <c r="BH331" s="440">
        <v>0</v>
      </c>
      <c r="BI331" s="440">
        <v>0</v>
      </c>
      <c r="BJ331" s="440">
        <v>0</v>
      </c>
      <c r="BK331" s="440">
        <v>0</v>
      </c>
      <c r="BL331" s="440">
        <v>0</v>
      </c>
      <c r="BM331" s="440">
        <v>0</v>
      </c>
      <c r="BN331" s="440">
        <v>0</v>
      </c>
      <c r="BO331" s="440">
        <v>0</v>
      </c>
      <c r="BP331" s="440">
        <v>0</v>
      </c>
      <c r="BQ331" s="440">
        <v>0</v>
      </c>
      <c r="BR331" s="415">
        <f t="shared" si="106"/>
        <v>2</v>
      </c>
      <c r="BS331" s="415">
        <f t="shared" si="123"/>
        <v>2.0333333333333332</v>
      </c>
      <c r="BT331" s="935"/>
      <c r="BU331" s="935"/>
      <c r="BV331" s="935"/>
      <c r="BW331" s="935"/>
      <c r="BX331" s="935"/>
      <c r="BY331" s="935"/>
      <c r="BZ331" s="935"/>
      <c r="CA331" s="935"/>
      <c r="CB331" s="935"/>
      <c r="CC331" s="935"/>
      <c r="CD331" s="935"/>
      <c r="CE331" s="935"/>
      <c r="CF331" s="935"/>
      <c r="CG331" s="935"/>
      <c r="CH331" s="935"/>
      <c r="CI331" s="935"/>
      <c r="CJ331" s="935"/>
      <c r="CK331" s="935"/>
      <c r="CL331" s="935"/>
      <c r="CM331" s="935"/>
      <c r="CN331" s="935"/>
      <c r="CO331" s="935"/>
      <c r="CP331" s="935"/>
      <c r="CQ331" s="935"/>
      <c r="CR331" s="935"/>
      <c r="CS331" s="935"/>
      <c r="CT331" s="935"/>
      <c r="CU331" s="935"/>
      <c r="CV331" s="935"/>
    </row>
    <row r="332" spans="1:100">
      <c r="A332" s="375">
        <f t="shared" si="108"/>
        <v>8</v>
      </c>
      <c r="B332" s="862">
        <v>44436</v>
      </c>
      <c r="C332" s="493" t="s">
        <v>2001</v>
      </c>
      <c r="D332" s="376" t="str">
        <f>IFERROR(VLOOKUP(E:E,'Item Data Support Sheet'!A:O,7,0),"")</f>
        <v>NIPPLE MOLDED</v>
      </c>
      <c r="E332" s="447" t="s">
        <v>74</v>
      </c>
      <c r="F332" s="500" t="s">
        <v>1678</v>
      </c>
      <c r="G332" s="497" t="s">
        <v>1691</v>
      </c>
      <c r="H332" s="602" t="str">
        <f>IFERROR(VLOOKUP(E:E,'Item Data Support Sheet'!A:O,2,0),"")</f>
        <v>NIPPLE S TYPE L SIZE INJECTION</v>
      </c>
      <c r="I332" s="501" t="s">
        <v>2755</v>
      </c>
      <c r="J332" s="447" t="s">
        <v>2808</v>
      </c>
      <c r="K332" s="438">
        <v>8</v>
      </c>
      <c r="L332" s="499">
        <v>4815</v>
      </c>
      <c r="M332" s="366">
        <f t="shared" si="105"/>
        <v>601.875</v>
      </c>
      <c r="N332" s="367">
        <f t="shared" si="107"/>
        <v>5557</v>
      </c>
      <c r="O332" s="61">
        <v>5500</v>
      </c>
      <c r="P332" s="368">
        <v>0</v>
      </c>
      <c r="Q332" s="368">
        <v>0</v>
      </c>
      <c r="R332" s="494">
        <v>0</v>
      </c>
      <c r="S332" s="493">
        <v>0</v>
      </c>
      <c r="T332" s="494">
        <v>57</v>
      </c>
      <c r="U332" s="493">
        <v>0</v>
      </c>
      <c r="V332" s="502">
        <v>1</v>
      </c>
      <c r="W332" s="453">
        <f t="shared" si="109"/>
        <v>5500</v>
      </c>
      <c r="X332" s="748">
        <f t="shared" si="110"/>
        <v>1.142263759086189</v>
      </c>
      <c r="Y332" s="451" t="str">
        <f>IFERROR(VLOOKUP(E:E,'Item Data Support Sheet'!A:J,6,0),0)</f>
        <v>Silicon</v>
      </c>
      <c r="Z332" s="428">
        <f>IFERROR(VLOOKUP(E:E,'Item Data Support Sheet'!A:O,4,0),0)</f>
        <v>6.8</v>
      </c>
      <c r="AA332" s="428">
        <f t="shared" si="111"/>
        <v>37.787599999999998</v>
      </c>
      <c r="AB332" s="429">
        <f t="shared" si="112"/>
        <v>0.98974266690660428</v>
      </c>
      <c r="AC332" s="424">
        <f t="shared" si="113"/>
        <v>1.0257333093395717E-2</v>
      </c>
      <c r="AD332" s="371">
        <f t="shared" si="114"/>
        <v>0</v>
      </c>
      <c r="AE332" s="748">
        <f t="shared" si="115"/>
        <v>0.98974266690660428</v>
      </c>
      <c r="AF332" s="417">
        <f t="shared" si="116"/>
        <v>0</v>
      </c>
      <c r="AG332" s="416">
        <f t="shared" si="117"/>
        <v>8</v>
      </c>
      <c r="AH332" s="372">
        <f t="shared" si="118"/>
        <v>1</v>
      </c>
      <c r="AI332" s="373">
        <f t="shared" si="119"/>
        <v>687.5</v>
      </c>
      <c r="AJ332" s="418">
        <f>VLOOKUP(D332,'Standard Cycle time'!C:D,2,0)</f>
        <v>5.25</v>
      </c>
      <c r="AK332" s="418">
        <f t="shared" si="120"/>
        <v>5.2363636363636363</v>
      </c>
      <c r="AL332" s="374">
        <f t="shared" si="121"/>
        <v>1.0026041666666667</v>
      </c>
      <c r="AM332" s="372">
        <f t="shared" si="122"/>
        <v>0.99232012176834028</v>
      </c>
      <c r="AN332" s="799">
        <v>2867</v>
      </c>
      <c r="AO332" s="761"/>
      <c r="AP332" s="440">
        <v>0</v>
      </c>
      <c r="AQ332" s="440">
        <v>0</v>
      </c>
      <c r="AR332" s="440">
        <v>0</v>
      </c>
      <c r="AS332" s="440">
        <v>0</v>
      </c>
      <c r="AT332" s="440">
        <v>0</v>
      </c>
      <c r="AU332" s="440">
        <v>0</v>
      </c>
      <c r="AV332" s="440">
        <v>0</v>
      </c>
      <c r="AW332" s="440">
        <v>0</v>
      </c>
      <c r="AX332" s="440">
        <v>0</v>
      </c>
      <c r="AY332" s="440">
        <v>0</v>
      </c>
      <c r="AZ332" s="440">
        <v>0</v>
      </c>
      <c r="BA332" s="440">
        <v>0</v>
      </c>
      <c r="BB332" s="440">
        <v>0</v>
      </c>
      <c r="BC332" s="440">
        <v>0</v>
      </c>
      <c r="BD332" s="440">
        <v>0</v>
      </c>
      <c r="BE332" s="440">
        <v>0</v>
      </c>
      <c r="BF332" s="440">
        <v>0</v>
      </c>
      <c r="BG332" s="440">
        <v>0</v>
      </c>
      <c r="BH332" s="440">
        <v>0</v>
      </c>
      <c r="BI332" s="440">
        <v>0</v>
      </c>
      <c r="BJ332" s="440">
        <v>0</v>
      </c>
      <c r="BK332" s="440">
        <v>0</v>
      </c>
      <c r="BL332" s="440">
        <v>0</v>
      </c>
      <c r="BM332" s="440">
        <v>0</v>
      </c>
      <c r="BN332" s="440">
        <v>0</v>
      </c>
      <c r="BO332" s="440">
        <v>0</v>
      </c>
      <c r="BP332" s="440">
        <v>0</v>
      </c>
      <c r="BQ332" s="440">
        <v>0</v>
      </c>
      <c r="BR332" s="415">
        <f t="shared" si="106"/>
        <v>0</v>
      </c>
      <c r="BS332" s="415">
        <f t="shared" si="123"/>
        <v>0</v>
      </c>
      <c r="BT332" s="935"/>
      <c r="BU332" s="935"/>
      <c r="BV332" s="935"/>
      <c r="BW332" s="935"/>
      <c r="BX332" s="935"/>
      <c r="BY332" s="935"/>
      <c r="BZ332" s="935"/>
      <c r="CA332" s="935"/>
      <c r="CB332" s="935"/>
      <c r="CC332" s="935"/>
      <c r="CD332" s="935"/>
      <c r="CE332" s="935"/>
      <c r="CF332" s="935"/>
      <c r="CG332" s="935"/>
      <c r="CH332" s="935"/>
      <c r="CI332" s="935"/>
      <c r="CJ332" s="935"/>
      <c r="CK332" s="935"/>
      <c r="CL332" s="935"/>
      <c r="CM332" s="935"/>
      <c r="CN332" s="935"/>
      <c r="CO332" s="935"/>
      <c r="CP332" s="935"/>
      <c r="CQ332" s="935"/>
      <c r="CR332" s="935"/>
      <c r="CS332" s="935"/>
      <c r="CT332" s="935"/>
      <c r="CU332" s="935"/>
      <c r="CV332" s="935"/>
    </row>
    <row r="333" spans="1:100" ht="29">
      <c r="A333" s="375">
        <f t="shared" si="108"/>
        <v>8</v>
      </c>
      <c r="B333" s="862">
        <v>44436</v>
      </c>
      <c r="C333" s="493" t="s">
        <v>2001</v>
      </c>
      <c r="D333" s="376" t="str">
        <f>IFERROR(VLOOKUP(E:E,'Item Data Support Sheet'!A:O,7,0),"")</f>
        <v>BOTTLE MOLDED</v>
      </c>
      <c r="E333" s="447" t="s">
        <v>139</v>
      </c>
      <c r="F333" s="500" t="s">
        <v>1682</v>
      </c>
      <c r="G333" s="376" t="s">
        <v>1665</v>
      </c>
      <c r="H333" s="602" t="str">
        <f>IFERROR(VLOOKUP(E:E,'Item Data Support Sheet'!A:O,2,0),"")</f>
        <v>RPP 120ML BLUE BOTTLE MOLDED (WM3GB)</v>
      </c>
      <c r="I333" s="501" t="s">
        <v>2756</v>
      </c>
      <c r="J333" s="447" t="s">
        <v>2808</v>
      </c>
      <c r="K333" s="438">
        <v>8</v>
      </c>
      <c r="L333" s="499">
        <v>2503</v>
      </c>
      <c r="M333" s="366">
        <f t="shared" ref="M333:M396" si="124">IFERROR(L333/K333,0)</f>
        <v>312.875</v>
      </c>
      <c r="N333" s="367">
        <f t="shared" si="107"/>
        <v>2831</v>
      </c>
      <c r="O333" s="61">
        <f>15*180</f>
        <v>2700</v>
      </c>
      <c r="P333" s="368">
        <v>0.3</v>
      </c>
      <c r="Q333" s="368">
        <v>57</v>
      </c>
      <c r="R333" s="494">
        <v>0</v>
      </c>
      <c r="S333" s="493">
        <v>0</v>
      </c>
      <c r="T333" s="494">
        <v>74</v>
      </c>
      <c r="U333" s="493">
        <v>0</v>
      </c>
      <c r="V333" s="502">
        <v>1</v>
      </c>
      <c r="W333" s="453">
        <f t="shared" si="109"/>
        <v>2700</v>
      </c>
      <c r="X333" s="748">
        <f t="shared" si="110"/>
        <v>1.0787055533359968</v>
      </c>
      <c r="Y333" s="451" t="str">
        <f>IFERROR(VLOOKUP(E:E,'Item Data Support Sheet'!A:J,6,0),0)</f>
        <v>WMG3B</v>
      </c>
      <c r="Z333" s="428">
        <f>IFERROR(VLOOKUP(E:E,'Item Data Support Sheet'!A:O,4,0),0)</f>
        <v>22.7</v>
      </c>
      <c r="AA333" s="428">
        <f t="shared" si="111"/>
        <v>64.563699999999997</v>
      </c>
      <c r="AB333" s="429">
        <f t="shared" si="112"/>
        <v>0.94929503730424358</v>
      </c>
      <c r="AC333" s="424">
        <f t="shared" si="113"/>
        <v>2.6676279740447006E-2</v>
      </c>
      <c r="AD333" s="371">
        <f t="shared" si="114"/>
        <v>1.9736842105263157E-2</v>
      </c>
      <c r="AE333" s="748">
        <f t="shared" si="115"/>
        <v>0.97386082656305195</v>
      </c>
      <c r="AF333" s="417">
        <f t="shared" si="116"/>
        <v>0</v>
      </c>
      <c r="AG333" s="416">
        <f t="shared" si="117"/>
        <v>8</v>
      </c>
      <c r="AH333" s="372">
        <f t="shared" si="118"/>
        <v>1</v>
      </c>
      <c r="AI333" s="373">
        <f t="shared" si="119"/>
        <v>337.5</v>
      </c>
      <c r="AJ333" s="418">
        <f>VLOOKUP(D333,'Standard Cycle time'!C:D,2,0)</f>
        <v>9</v>
      </c>
      <c r="AK333" s="418">
        <f t="shared" si="120"/>
        <v>10.666666666666666</v>
      </c>
      <c r="AL333" s="374">
        <f t="shared" si="121"/>
        <v>0.84375</v>
      </c>
      <c r="AM333" s="372">
        <f t="shared" si="122"/>
        <v>0.82169507241257511</v>
      </c>
      <c r="AN333" s="799">
        <v>2868</v>
      </c>
      <c r="AO333" s="761" t="s">
        <v>2762</v>
      </c>
      <c r="AP333" s="440">
        <v>0</v>
      </c>
      <c r="AQ333" s="440">
        <v>0</v>
      </c>
      <c r="AR333" s="440">
        <v>0</v>
      </c>
      <c r="AS333" s="440">
        <v>0</v>
      </c>
      <c r="AT333" s="440">
        <v>0</v>
      </c>
      <c r="AU333" s="440">
        <v>0</v>
      </c>
      <c r="AV333" s="440">
        <v>0</v>
      </c>
      <c r="AW333" s="440">
        <v>0</v>
      </c>
      <c r="AX333" s="440">
        <v>0</v>
      </c>
      <c r="AY333" s="440">
        <v>0</v>
      </c>
      <c r="AZ333" s="440">
        <v>0</v>
      </c>
      <c r="BA333" s="440">
        <v>0</v>
      </c>
      <c r="BB333" s="440">
        <v>0</v>
      </c>
      <c r="BC333" s="440">
        <v>0</v>
      </c>
      <c r="BD333" s="440">
        <v>0</v>
      </c>
      <c r="BE333" s="440">
        <v>0</v>
      </c>
      <c r="BF333" s="440">
        <v>0</v>
      </c>
      <c r="BG333" s="440">
        <v>0</v>
      </c>
      <c r="BH333" s="440">
        <v>0</v>
      </c>
      <c r="BI333" s="440">
        <v>0</v>
      </c>
      <c r="BJ333" s="440">
        <v>0</v>
      </c>
      <c r="BK333" s="440">
        <v>0</v>
      </c>
      <c r="BL333" s="440">
        <v>0</v>
      </c>
      <c r="BM333" s="440">
        <v>0</v>
      </c>
      <c r="BN333" s="440">
        <v>0</v>
      </c>
      <c r="BO333" s="440">
        <v>0</v>
      </c>
      <c r="BP333" s="440">
        <v>0</v>
      </c>
      <c r="BQ333" s="440">
        <v>0</v>
      </c>
      <c r="BR333" s="415">
        <f t="shared" si="106"/>
        <v>0</v>
      </c>
      <c r="BS333" s="415">
        <f t="shared" si="123"/>
        <v>0</v>
      </c>
      <c r="BT333" s="935"/>
      <c r="BU333" s="935"/>
      <c r="BV333" s="935"/>
      <c r="BW333" s="935"/>
      <c r="BX333" s="935"/>
      <c r="BY333" s="935"/>
      <c r="BZ333" s="935"/>
      <c r="CA333" s="935"/>
      <c r="CB333" s="935"/>
      <c r="CC333" s="935"/>
      <c r="CD333" s="935"/>
      <c r="CE333" s="935"/>
      <c r="CF333" s="935"/>
      <c r="CG333" s="935"/>
      <c r="CH333" s="935"/>
      <c r="CI333" s="935"/>
      <c r="CJ333" s="935"/>
      <c r="CK333" s="935"/>
      <c r="CL333" s="935"/>
      <c r="CM333" s="935"/>
      <c r="CN333" s="935"/>
      <c r="CO333" s="935"/>
      <c r="CP333" s="935"/>
      <c r="CQ333" s="935"/>
      <c r="CR333" s="935"/>
      <c r="CS333" s="935"/>
      <c r="CT333" s="935"/>
      <c r="CU333" s="935"/>
      <c r="CV333" s="935"/>
    </row>
    <row r="334" spans="1:100">
      <c r="A334" s="375">
        <f t="shared" si="108"/>
        <v>8</v>
      </c>
      <c r="B334" s="862">
        <v>44436</v>
      </c>
      <c r="C334" s="493" t="s">
        <v>2001</v>
      </c>
      <c r="D334" s="376" t="str">
        <f>IFERROR(VLOOKUP(E:E,'Item Data Support Sheet'!A:O,7,0),"")</f>
        <v>HOOD MOLDED</v>
      </c>
      <c r="E334" s="447" t="s">
        <v>1987</v>
      </c>
      <c r="F334" s="500"/>
      <c r="G334" s="497" t="s">
        <v>2729</v>
      </c>
      <c r="H334" s="602" t="str">
        <f>IFERROR(VLOOKUP(E:E,'Item Data Support Sheet'!A:O,2,0),"")</f>
        <v>HOOD S TYPE MOLDED</v>
      </c>
      <c r="I334" s="501" t="s">
        <v>2757</v>
      </c>
      <c r="J334" s="447" t="s">
        <v>2808</v>
      </c>
      <c r="K334" s="438">
        <v>8</v>
      </c>
      <c r="L334" s="499">
        <v>4137</v>
      </c>
      <c r="M334" s="366">
        <f t="shared" si="124"/>
        <v>517.125</v>
      </c>
      <c r="N334" s="367">
        <f t="shared" si="107"/>
        <v>5020</v>
      </c>
      <c r="O334" s="61">
        <v>5000</v>
      </c>
      <c r="P334" s="368">
        <v>0</v>
      </c>
      <c r="Q334" s="368">
        <v>0</v>
      </c>
      <c r="R334" s="494">
        <v>0</v>
      </c>
      <c r="S334" s="493">
        <v>0</v>
      </c>
      <c r="T334" s="494">
        <v>20</v>
      </c>
      <c r="U334" s="493">
        <v>0</v>
      </c>
      <c r="V334" s="502">
        <v>1</v>
      </c>
      <c r="W334" s="453">
        <f t="shared" si="109"/>
        <v>5000</v>
      </c>
      <c r="X334" s="748">
        <f t="shared" si="110"/>
        <v>1.2086052695189751</v>
      </c>
      <c r="Y334" s="451" t="str">
        <f>IFERROR(VLOOKUP(E:E,'Item Data Support Sheet'!A:J,6,0),0)</f>
        <v>HMC</v>
      </c>
      <c r="Z334" s="428">
        <f>IFERROR(VLOOKUP(E:E,'Item Data Support Sheet'!A:O,4,0),0)</f>
        <v>8.6</v>
      </c>
      <c r="AA334" s="428">
        <f t="shared" si="111"/>
        <v>43.171999999999997</v>
      </c>
      <c r="AB334" s="429">
        <f t="shared" si="112"/>
        <v>0.99601593625498019</v>
      </c>
      <c r="AC334" s="424">
        <f t="shared" si="113"/>
        <v>3.9840637450199202E-3</v>
      </c>
      <c r="AD334" s="371">
        <f t="shared" si="114"/>
        <v>0</v>
      </c>
      <c r="AE334" s="748">
        <f t="shared" si="115"/>
        <v>0.99601593625498008</v>
      </c>
      <c r="AF334" s="417">
        <f t="shared" si="116"/>
        <v>0</v>
      </c>
      <c r="AG334" s="416">
        <f t="shared" si="117"/>
        <v>8</v>
      </c>
      <c r="AH334" s="372">
        <f t="shared" si="118"/>
        <v>1</v>
      </c>
      <c r="AI334" s="373">
        <f t="shared" si="119"/>
        <v>625</v>
      </c>
      <c r="AJ334" s="418">
        <f>VLOOKUP(D334,'Standard Cycle time'!C:D,2,0)</f>
        <v>6</v>
      </c>
      <c r="AK334" s="418">
        <f t="shared" si="120"/>
        <v>5.76</v>
      </c>
      <c r="AL334" s="374">
        <f t="shared" si="121"/>
        <v>1.0416666666666667</v>
      </c>
      <c r="AM334" s="372">
        <f t="shared" si="122"/>
        <v>1.0375166002656042</v>
      </c>
      <c r="AN334" s="799">
        <v>2866</v>
      </c>
      <c r="AO334" s="761"/>
      <c r="AP334" s="440">
        <v>0</v>
      </c>
      <c r="AQ334" s="440">
        <v>0</v>
      </c>
      <c r="AR334" s="440">
        <v>0</v>
      </c>
      <c r="AS334" s="440">
        <v>0</v>
      </c>
      <c r="AT334" s="440">
        <v>0</v>
      </c>
      <c r="AU334" s="440">
        <v>0</v>
      </c>
      <c r="AV334" s="440">
        <v>0</v>
      </c>
      <c r="AW334" s="440">
        <v>0</v>
      </c>
      <c r="AX334" s="440">
        <v>0</v>
      </c>
      <c r="AY334" s="440">
        <v>0</v>
      </c>
      <c r="AZ334" s="440">
        <v>0</v>
      </c>
      <c r="BA334" s="440">
        <v>0</v>
      </c>
      <c r="BB334" s="440">
        <v>0</v>
      </c>
      <c r="BC334" s="440">
        <v>0</v>
      </c>
      <c r="BD334" s="440">
        <v>0</v>
      </c>
      <c r="BE334" s="440">
        <v>0</v>
      </c>
      <c r="BF334" s="440">
        <v>0</v>
      </c>
      <c r="BG334" s="440">
        <v>0</v>
      </c>
      <c r="BH334" s="440">
        <v>0</v>
      </c>
      <c r="BI334" s="440">
        <v>0</v>
      </c>
      <c r="BJ334" s="440">
        <v>0</v>
      </c>
      <c r="BK334" s="440">
        <v>0</v>
      </c>
      <c r="BL334" s="440">
        <v>0</v>
      </c>
      <c r="BM334" s="440">
        <v>0</v>
      </c>
      <c r="BN334" s="440">
        <v>0</v>
      </c>
      <c r="BO334" s="440">
        <v>0</v>
      </c>
      <c r="BP334" s="440">
        <v>0</v>
      </c>
      <c r="BQ334" s="440">
        <v>0</v>
      </c>
      <c r="BR334" s="415">
        <f t="shared" si="106"/>
        <v>0</v>
      </c>
      <c r="BS334" s="415">
        <f t="shared" si="123"/>
        <v>0</v>
      </c>
      <c r="BT334" s="935"/>
      <c r="BU334" s="935"/>
      <c r="BV334" s="935"/>
      <c r="BW334" s="935"/>
      <c r="BX334" s="935"/>
      <c r="BY334" s="935"/>
      <c r="BZ334" s="935"/>
      <c r="CA334" s="935"/>
      <c r="CB334" s="935"/>
      <c r="CC334" s="935"/>
      <c r="CD334" s="935"/>
      <c r="CE334" s="935"/>
      <c r="CF334" s="935"/>
      <c r="CG334" s="935"/>
      <c r="CH334" s="935"/>
      <c r="CI334" s="935"/>
      <c r="CJ334" s="935"/>
      <c r="CK334" s="935"/>
      <c r="CL334" s="935"/>
      <c r="CM334" s="935"/>
      <c r="CN334" s="935"/>
      <c r="CO334" s="935"/>
      <c r="CP334" s="935"/>
      <c r="CQ334" s="935"/>
      <c r="CR334" s="935"/>
      <c r="CS334" s="935"/>
      <c r="CT334" s="935"/>
      <c r="CU334" s="935"/>
      <c r="CV334" s="935"/>
    </row>
    <row r="335" spans="1:100">
      <c r="A335" s="375">
        <f t="shared" si="108"/>
        <v>8</v>
      </c>
      <c r="B335" s="862">
        <v>44436</v>
      </c>
      <c r="C335" s="493" t="s">
        <v>2053</v>
      </c>
      <c r="D335" s="376" t="str">
        <f>IFERROR(VLOOKUP(E:E,'Item Data Support Sheet'!A:O,7,0),"")</f>
        <v>BOTTLE MOLDED</v>
      </c>
      <c r="E335" s="447" t="s">
        <v>139</v>
      </c>
      <c r="F335" s="500" t="s">
        <v>1682</v>
      </c>
      <c r="G335" s="497" t="s">
        <v>1665</v>
      </c>
      <c r="H335" s="602" t="str">
        <f>IFERROR(VLOOKUP(E:E,'Item Data Support Sheet'!A:O,2,0),"")</f>
        <v>RPP 120ML BLUE BOTTLE MOLDED (WM3GB)</v>
      </c>
      <c r="I335" s="501" t="s">
        <v>2763</v>
      </c>
      <c r="J335" s="447" t="s">
        <v>2809</v>
      </c>
      <c r="K335" s="438">
        <v>3.3</v>
      </c>
      <c r="L335" s="499">
        <v>1200</v>
      </c>
      <c r="M335" s="366">
        <f t="shared" si="124"/>
        <v>363.63636363636368</v>
      </c>
      <c r="N335" s="367">
        <f t="shared" si="107"/>
        <v>1316</v>
      </c>
      <c r="O335" s="61">
        <f>180*7</f>
        <v>1260</v>
      </c>
      <c r="P335" s="368">
        <v>0.28000000000000003</v>
      </c>
      <c r="Q335" s="368">
        <v>28</v>
      </c>
      <c r="R335" s="494">
        <v>0</v>
      </c>
      <c r="S335" s="493">
        <v>0</v>
      </c>
      <c r="T335" s="494">
        <v>20</v>
      </c>
      <c r="U335" s="493">
        <v>8</v>
      </c>
      <c r="V335" s="502">
        <v>1</v>
      </c>
      <c r="W335" s="453">
        <f t="shared" si="109"/>
        <v>1260</v>
      </c>
      <c r="X335" s="748">
        <f t="shared" si="110"/>
        <v>1.05</v>
      </c>
      <c r="Y335" s="451" t="str">
        <f>IFERROR(VLOOKUP(E:E,'Item Data Support Sheet'!A:J,6,0),0)</f>
        <v>WMG3B</v>
      </c>
      <c r="Z335" s="428">
        <f>IFERROR(VLOOKUP(E:E,'Item Data Support Sheet'!A:O,4,0),0)</f>
        <v>22.7</v>
      </c>
      <c r="AA335" s="428">
        <f t="shared" si="111"/>
        <v>30.153199999999998</v>
      </c>
      <c r="AB335" s="429">
        <f t="shared" si="112"/>
        <v>0.94855604048658182</v>
      </c>
      <c r="AC335" s="424">
        <f t="shared" si="113"/>
        <v>1.5625E-2</v>
      </c>
      <c r="AD335" s="371">
        <f t="shared" si="114"/>
        <v>2.0833333333333332E-2</v>
      </c>
      <c r="AE335" s="748">
        <f t="shared" si="115"/>
        <v>0.98480243161094227</v>
      </c>
      <c r="AF335" s="417">
        <f t="shared" si="116"/>
        <v>0.15</v>
      </c>
      <c r="AG335" s="416">
        <f t="shared" si="117"/>
        <v>3.15</v>
      </c>
      <c r="AH335" s="372">
        <f t="shared" si="118"/>
        <v>0.95454545454545459</v>
      </c>
      <c r="AI335" s="373">
        <f t="shared" si="119"/>
        <v>381.81818181818181</v>
      </c>
      <c r="AJ335" s="418">
        <f>VLOOKUP(D335,'Standard Cycle time'!C:D,2,0)</f>
        <v>9</v>
      </c>
      <c r="AK335" s="418">
        <f t="shared" si="120"/>
        <v>9</v>
      </c>
      <c r="AL335" s="374">
        <f t="shared" si="121"/>
        <v>1</v>
      </c>
      <c r="AM335" s="372">
        <f t="shared" si="122"/>
        <v>0.94003868471953589</v>
      </c>
      <c r="AN335" s="799" t="s">
        <v>2764</v>
      </c>
      <c r="AO335" s="761"/>
      <c r="AP335" s="440">
        <v>0</v>
      </c>
      <c r="AQ335" s="440">
        <v>0</v>
      </c>
      <c r="AR335" s="440">
        <v>0</v>
      </c>
      <c r="AS335" s="440">
        <v>0</v>
      </c>
      <c r="AT335" s="440">
        <v>0</v>
      </c>
      <c r="AU335" s="440">
        <v>0</v>
      </c>
      <c r="AV335" s="440">
        <v>0</v>
      </c>
      <c r="AW335" s="440">
        <v>9</v>
      </c>
      <c r="AX335" s="440">
        <v>0</v>
      </c>
      <c r="AY335" s="440">
        <v>0</v>
      </c>
      <c r="AZ335" s="440">
        <v>0</v>
      </c>
      <c r="BA335" s="440">
        <v>0</v>
      </c>
      <c r="BB335" s="440">
        <v>0</v>
      </c>
      <c r="BC335" s="440">
        <v>0</v>
      </c>
      <c r="BD335" s="440">
        <v>0</v>
      </c>
      <c r="BE335" s="440">
        <v>0</v>
      </c>
      <c r="BF335" s="440">
        <v>0</v>
      </c>
      <c r="BG335" s="440">
        <v>0</v>
      </c>
      <c r="BH335" s="440">
        <v>0</v>
      </c>
      <c r="BI335" s="440">
        <v>0</v>
      </c>
      <c r="BJ335" s="440">
        <v>0</v>
      </c>
      <c r="BK335" s="440">
        <v>0</v>
      </c>
      <c r="BL335" s="440">
        <v>0</v>
      </c>
      <c r="BM335" s="440">
        <v>0</v>
      </c>
      <c r="BN335" s="440">
        <v>0</v>
      </c>
      <c r="BO335" s="440">
        <v>0</v>
      </c>
      <c r="BP335" s="440">
        <v>0</v>
      </c>
      <c r="BQ335" s="440">
        <v>0</v>
      </c>
      <c r="BR335" s="415">
        <f t="shared" si="106"/>
        <v>0.15</v>
      </c>
      <c r="BS335" s="415">
        <f t="shared" si="123"/>
        <v>0.1525</v>
      </c>
      <c r="BT335" s="935"/>
      <c r="BU335" s="935"/>
      <c r="BV335" s="935"/>
      <c r="BW335" s="935"/>
      <c r="BX335" s="935"/>
      <c r="BY335" s="935"/>
      <c r="BZ335" s="935"/>
      <c r="CA335" s="935"/>
      <c r="CB335" s="935"/>
      <c r="CC335" s="935"/>
      <c r="CD335" s="935"/>
      <c r="CE335" s="935"/>
      <c r="CF335" s="935"/>
      <c r="CG335" s="935"/>
      <c r="CH335" s="935"/>
      <c r="CI335" s="935"/>
      <c r="CJ335" s="935"/>
      <c r="CK335" s="935"/>
      <c r="CL335" s="935"/>
      <c r="CM335" s="935"/>
      <c r="CN335" s="935"/>
      <c r="CO335" s="935"/>
      <c r="CP335" s="935"/>
      <c r="CQ335" s="935"/>
      <c r="CR335" s="935"/>
      <c r="CS335" s="935"/>
      <c r="CT335" s="935"/>
      <c r="CU335" s="935"/>
      <c r="CV335" s="935"/>
    </row>
    <row r="336" spans="1:100">
      <c r="A336" s="375">
        <f t="shared" si="108"/>
        <v>8</v>
      </c>
      <c r="B336" s="862">
        <v>44436</v>
      </c>
      <c r="C336" s="493" t="s">
        <v>2053</v>
      </c>
      <c r="D336" s="376" t="str">
        <f>IFERROR(VLOOKUP(E:E,'Item Data Support Sheet'!A:O,7,0),"")</f>
        <v>NIPPLE MOLDED</v>
      </c>
      <c r="E336" s="447" t="s">
        <v>74</v>
      </c>
      <c r="F336" s="500" t="s">
        <v>1678</v>
      </c>
      <c r="G336" s="497" t="s">
        <v>1691</v>
      </c>
      <c r="H336" s="602" t="str">
        <f>IFERROR(VLOOKUP(E:E,'Item Data Support Sheet'!A:O,2,0),"")</f>
        <v>NIPPLE S TYPE L SIZE INJECTION</v>
      </c>
      <c r="I336" s="501" t="s">
        <v>2765</v>
      </c>
      <c r="J336" s="447" t="s">
        <v>2809</v>
      </c>
      <c r="K336" s="438">
        <v>8</v>
      </c>
      <c r="L336" s="499">
        <v>4815</v>
      </c>
      <c r="M336" s="366">
        <f t="shared" si="124"/>
        <v>601.875</v>
      </c>
      <c r="N336" s="367">
        <f t="shared" si="107"/>
        <v>4313</v>
      </c>
      <c r="O336" s="61">
        <v>4210</v>
      </c>
      <c r="P336" s="368">
        <v>0.44800000000000001</v>
      </c>
      <c r="Q336" s="368">
        <v>41</v>
      </c>
      <c r="R336" s="494">
        <v>0</v>
      </c>
      <c r="S336" s="493">
        <v>0</v>
      </c>
      <c r="T336" s="494">
        <v>54</v>
      </c>
      <c r="U336" s="493">
        <v>8</v>
      </c>
      <c r="V336" s="502">
        <v>1</v>
      </c>
      <c r="W336" s="453">
        <f t="shared" si="109"/>
        <v>4210</v>
      </c>
      <c r="X336" s="748">
        <f t="shared" si="110"/>
        <v>0.87435098650051923</v>
      </c>
      <c r="Y336" s="451" t="str">
        <f>IFERROR(VLOOKUP(E:E,'Item Data Support Sheet'!A:J,6,0),0)</f>
        <v>Silicon</v>
      </c>
      <c r="Z336" s="428">
        <f>IFERROR(VLOOKUP(E:E,'Item Data Support Sheet'!A:O,4,0),0)</f>
        <v>6.8</v>
      </c>
      <c r="AA336" s="428">
        <f t="shared" si="111"/>
        <v>29.776399999999999</v>
      </c>
      <c r="AB336" s="429">
        <f t="shared" si="112"/>
        <v>0.96143254389382204</v>
      </c>
      <c r="AC336" s="424">
        <f t="shared" si="113"/>
        <v>1.2664165103189493E-2</v>
      </c>
      <c r="AD336" s="371">
        <f t="shared" si="114"/>
        <v>9.416628387689481E-3</v>
      </c>
      <c r="AE336" s="748">
        <f t="shared" si="115"/>
        <v>0.98747971249710176</v>
      </c>
      <c r="AF336" s="417">
        <f t="shared" si="116"/>
        <v>1.75</v>
      </c>
      <c r="AG336" s="416">
        <f t="shared" si="117"/>
        <v>6.25</v>
      </c>
      <c r="AH336" s="372">
        <f t="shared" si="118"/>
        <v>0.78125</v>
      </c>
      <c r="AI336" s="373">
        <f t="shared" si="119"/>
        <v>526.25</v>
      </c>
      <c r="AJ336" s="418">
        <f>VLOOKUP(D336,'Standard Cycle time'!C:D,2,0)</f>
        <v>5.25</v>
      </c>
      <c r="AK336" s="418">
        <f t="shared" si="120"/>
        <v>5.3444180522565317</v>
      </c>
      <c r="AL336" s="374">
        <f t="shared" si="121"/>
        <v>0.98233333333333339</v>
      </c>
      <c r="AM336" s="372">
        <f t="shared" si="122"/>
        <v>0.75783924810649972</v>
      </c>
      <c r="AN336" s="799" t="s">
        <v>2767</v>
      </c>
      <c r="AO336" s="761"/>
      <c r="AP336" s="440">
        <v>0</v>
      </c>
      <c r="AQ336" s="440">
        <v>0</v>
      </c>
      <c r="AR336" s="440">
        <v>0</v>
      </c>
      <c r="AS336" s="440">
        <v>0</v>
      </c>
      <c r="AT336" s="440">
        <v>0</v>
      </c>
      <c r="AU336" s="440">
        <v>0</v>
      </c>
      <c r="AV336" s="440">
        <v>0</v>
      </c>
      <c r="AW336" s="440">
        <v>15</v>
      </c>
      <c r="AX336" s="440">
        <v>0</v>
      </c>
      <c r="AY336" s="440">
        <v>0</v>
      </c>
      <c r="AZ336" s="440">
        <v>0</v>
      </c>
      <c r="BA336" s="440">
        <v>0</v>
      </c>
      <c r="BB336" s="440">
        <v>90</v>
      </c>
      <c r="BC336" s="440">
        <v>0</v>
      </c>
      <c r="BD336" s="440">
        <v>0</v>
      </c>
      <c r="BE336" s="440">
        <v>0</v>
      </c>
      <c r="BF336" s="440">
        <v>0</v>
      </c>
      <c r="BG336" s="440">
        <v>0</v>
      </c>
      <c r="BH336" s="440">
        <v>0</v>
      </c>
      <c r="BI336" s="440">
        <v>0</v>
      </c>
      <c r="BJ336" s="440">
        <v>0</v>
      </c>
      <c r="BK336" s="440">
        <v>0</v>
      </c>
      <c r="BL336" s="440">
        <v>0</v>
      </c>
      <c r="BM336" s="440">
        <v>0</v>
      </c>
      <c r="BN336" s="440">
        <v>0</v>
      </c>
      <c r="BO336" s="440">
        <v>0</v>
      </c>
      <c r="BP336" s="440">
        <v>0</v>
      </c>
      <c r="BQ336" s="440">
        <v>0</v>
      </c>
      <c r="BR336" s="415">
        <f t="shared" si="106"/>
        <v>1.75</v>
      </c>
      <c r="BS336" s="415">
        <f t="shared" si="123"/>
        <v>1.7791666666666666</v>
      </c>
      <c r="BT336" s="935"/>
      <c r="BU336" s="935"/>
      <c r="BV336" s="935"/>
      <c r="BW336" s="935"/>
      <c r="BX336" s="935"/>
      <c r="BY336" s="935"/>
      <c r="BZ336" s="935"/>
      <c r="CA336" s="935"/>
      <c r="CB336" s="935"/>
      <c r="CC336" s="935"/>
      <c r="CD336" s="935"/>
      <c r="CE336" s="935"/>
      <c r="CF336" s="935"/>
      <c r="CG336" s="935"/>
      <c r="CH336" s="935"/>
      <c r="CI336" s="935"/>
      <c r="CJ336" s="935"/>
      <c r="CK336" s="935"/>
      <c r="CL336" s="935"/>
      <c r="CM336" s="935"/>
      <c r="CN336" s="935"/>
      <c r="CO336" s="935"/>
      <c r="CP336" s="935"/>
      <c r="CQ336" s="935"/>
      <c r="CR336" s="935"/>
      <c r="CS336" s="935"/>
      <c r="CT336" s="935"/>
      <c r="CU336" s="935"/>
      <c r="CV336" s="935"/>
    </row>
    <row r="337" spans="1:100">
      <c r="A337" s="375">
        <f t="shared" si="108"/>
        <v>8</v>
      </c>
      <c r="B337" s="862">
        <v>44436</v>
      </c>
      <c r="C337" s="493" t="s">
        <v>2053</v>
      </c>
      <c r="D337" s="376" t="str">
        <f>IFERROR(VLOOKUP(E:E,'Item Data Support Sheet'!A:O,7,0),"")</f>
        <v>HOOD MOLDED</v>
      </c>
      <c r="E337" s="447" t="s">
        <v>1987</v>
      </c>
      <c r="F337" s="500"/>
      <c r="G337" s="497" t="s">
        <v>2729</v>
      </c>
      <c r="H337" s="602" t="str">
        <f>IFERROR(VLOOKUP(E:E,'Item Data Support Sheet'!A:O,2,0),"")</f>
        <v>HOOD S TYPE MOLDED</v>
      </c>
      <c r="I337" s="501" t="s">
        <v>2766</v>
      </c>
      <c r="J337" s="447" t="s">
        <v>2809</v>
      </c>
      <c r="K337" s="438">
        <v>8</v>
      </c>
      <c r="L337" s="499">
        <v>4137</v>
      </c>
      <c r="M337" s="366">
        <f t="shared" si="124"/>
        <v>517.125</v>
      </c>
      <c r="N337" s="367">
        <f t="shared" si="107"/>
        <v>5512</v>
      </c>
      <c r="O337" s="61">
        <v>5500</v>
      </c>
      <c r="P337" s="368">
        <v>0</v>
      </c>
      <c r="Q337" s="368">
        <v>0</v>
      </c>
      <c r="R337" s="494">
        <v>0</v>
      </c>
      <c r="S337" s="493">
        <v>0</v>
      </c>
      <c r="T337" s="494">
        <v>4</v>
      </c>
      <c r="U337" s="493">
        <v>8</v>
      </c>
      <c r="V337" s="502">
        <v>1</v>
      </c>
      <c r="W337" s="453">
        <f t="shared" si="109"/>
        <v>5500</v>
      </c>
      <c r="X337" s="748">
        <f t="shared" si="110"/>
        <v>1.3294657964708727</v>
      </c>
      <c r="Y337" s="451" t="str">
        <f>IFERROR(VLOOKUP(E:E,'Item Data Support Sheet'!A:J,6,0),0)</f>
        <v>HMC</v>
      </c>
      <c r="Z337" s="428">
        <f>IFERROR(VLOOKUP(E:E,'Item Data Support Sheet'!A:O,4,0),0)</f>
        <v>8.6</v>
      </c>
      <c r="AA337" s="428">
        <f t="shared" si="111"/>
        <v>47.403199999999998</v>
      </c>
      <c r="AB337" s="429">
        <f t="shared" si="112"/>
        <v>0.99782293178519588</v>
      </c>
      <c r="AC337" s="424">
        <f t="shared" si="113"/>
        <v>7.2674418604651162E-4</v>
      </c>
      <c r="AD337" s="371">
        <f t="shared" si="114"/>
        <v>0</v>
      </c>
      <c r="AE337" s="748">
        <f t="shared" si="115"/>
        <v>0.99927431059506533</v>
      </c>
      <c r="AF337" s="417">
        <f t="shared" si="116"/>
        <v>0</v>
      </c>
      <c r="AG337" s="416">
        <f t="shared" si="117"/>
        <v>8</v>
      </c>
      <c r="AH337" s="372">
        <f t="shared" si="118"/>
        <v>1</v>
      </c>
      <c r="AI337" s="373">
        <f t="shared" si="119"/>
        <v>687.5</v>
      </c>
      <c r="AJ337" s="418">
        <f>VLOOKUP(D337,'Standard Cycle time'!C:D,2,0)</f>
        <v>6</v>
      </c>
      <c r="AK337" s="418">
        <f t="shared" si="120"/>
        <v>5.2363636363636363</v>
      </c>
      <c r="AL337" s="374">
        <f t="shared" si="121"/>
        <v>1.1458333333333333</v>
      </c>
      <c r="AM337" s="372">
        <f t="shared" si="122"/>
        <v>1.1450018142235123</v>
      </c>
      <c r="AN337" s="799">
        <v>2875</v>
      </c>
      <c r="AO337" s="799"/>
      <c r="AP337" s="440">
        <v>0</v>
      </c>
      <c r="AQ337" s="440">
        <v>0</v>
      </c>
      <c r="AR337" s="440">
        <v>0</v>
      </c>
      <c r="AS337" s="440">
        <v>0</v>
      </c>
      <c r="AT337" s="440">
        <v>0</v>
      </c>
      <c r="AU337" s="440">
        <v>0</v>
      </c>
      <c r="AV337" s="440">
        <v>0</v>
      </c>
      <c r="AW337" s="440">
        <v>0</v>
      </c>
      <c r="AX337" s="440">
        <v>0</v>
      </c>
      <c r="AY337" s="440">
        <v>0</v>
      </c>
      <c r="AZ337" s="440">
        <v>0</v>
      </c>
      <c r="BA337" s="440">
        <v>0</v>
      </c>
      <c r="BB337" s="440">
        <v>0</v>
      </c>
      <c r="BC337" s="440">
        <v>0</v>
      </c>
      <c r="BD337" s="440">
        <v>0</v>
      </c>
      <c r="BE337" s="440">
        <v>0</v>
      </c>
      <c r="BF337" s="440">
        <v>0</v>
      </c>
      <c r="BG337" s="440">
        <v>0</v>
      </c>
      <c r="BH337" s="440">
        <v>0</v>
      </c>
      <c r="BI337" s="440">
        <v>0</v>
      </c>
      <c r="BJ337" s="440">
        <v>0</v>
      </c>
      <c r="BK337" s="440">
        <v>0</v>
      </c>
      <c r="BL337" s="440">
        <v>0</v>
      </c>
      <c r="BM337" s="440">
        <v>0</v>
      </c>
      <c r="BN337" s="440">
        <v>0</v>
      </c>
      <c r="BO337" s="440">
        <v>0</v>
      </c>
      <c r="BP337" s="440">
        <v>0</v>
      </c>
      <c r="BQ337" s="440">
        <v>0</v>
      </c>
      <c r="BR337" s="415">
        <f t="shared" si="106"/>
        <v>0</v>
      </c>
      <c r="BS337" s="415">
        <f t="shared" si="123"/>
        <v>0</v>
      </c>
      <c r="BT337" s="935"/>
      <c r="BU337" s="935"/>
      <c r="BV337" s="935"/>
      <c r="BW337" s="935"/>
      <c r="BX337" s="935"/>
      <c r="BY337" s="935"/>
      <c r="BZ337" s="935"/>
      <c r="CA337" s="935"/>
      <c r="CB337" s="935"/>
      <c r="CC337" s="935"/>
      <c r="CD337" s="935"/>
      <c r="CE337" s="935"/>
      <c r="CF337" s="935"/>
      <c r="CG337" s="935"/>
      <c r="CH337" s="935"/>
      <c r="CI337" s="935"/>
      <c r="CJ337" s="935"/>
      <c r="CK337" s="935"/>
      <c r="CL337" s="935"/>
      <c r="CM337" s="935"/>
      <c r="CN337" s="935"/>
      <c r="CO337" s="935"/>
      <c r="CP337" s="935"/>
      <c r="CQ337" s="935"/>
      <c r="CR337" s="935"/>
      <c r="CS337" s="935"/>
      <c r="CT337" s="935"/>
      <c r="CU337" s="935"/>
      <c r="CV337" s="935"/>
    </row>
    <row r="338" spans="1:100">
      <c r="A338" s="375">
        <f t="shared" si="108"/>
        <v>8</v>
      </c>
      <c r="B338" s="862">
        <v>44439</v>
      </c>
      <c r="C338" s="493" t="s">
        <v>1980</v>
      </c>
      <c r="D338" s="376" t="str">
        <f>IFERROR(VLOOKUP(E:E,'Item Data Support Sheet'!A:O,7,0),"")</f>
        <v>NIPPLE POSTCURE</v>
      </c>
      <c r="E338" s="447" t="s">
        <v>78</v>
      </c>
      <c r="F338" s="500"/>
      <c r="G338" s="497"/>
      <c r="H338" s="602" t="str">
        <f>IFERROR(VLOOKUP(E:E,'Item Data Support Sheet'!A:O,2,0),"")</f>
        <v>NIPPLE S TYPE L SIZE POSTCURED</v>
      </c>
      <c r="I338" s="501" t="s">
        <v>2768</v>
      </c>
      <c r="J338" s="447" t="s">
        <v>2808</v>
      </c>
      <c r="K338" s="438">
        <v>8</v>
      </c>
      <c r="L338" s="499">
        <v>7036</v>
      </c>
      <c r="M338" s="366">
        <f t="shared" si="124"/>
        <v>879.5</v>
      </c>
      <c r="N338" s="367">
        <f t="shared" si="107"/>
        <v>6710</v>
      </c>
      <c r="O338" s="61">
        <f>2500+4210</f>
        <v>6710</v>
      </c>
      <c r="P338" s="368">
        <v>0</v>
      </c>
      <c r="Q338" s="368">
        <v>0</v>
      </c>
      <c r="R338" s="494">
        <v>0</v>
      </c>
      <c r="S338" s="493">
        <v>0</v>
      </c>
      <c r="T338" s="494">
        <v>0</v>
      </c>
      <c r="U338" s="493">
        <v>0</v>
      </c>
      <c r="V338" s="502">
        <v>1</v>
      </c>
      <c r="W338" s="453">
        <f t="shared" si="109"/>
        <v>6710</v>
      </c>
      <c r="X338" s="748">
        <f t="shared" si="110"/>
        <v>0.9536668561682774</v>
      </c>
      <c r="Y338" s="451" t="str">
        <f>IFERROR(VLOOKUP(E:E,'Item Data Support Sheet'!A:J,6,0),0)</f>
        <v>FO013</v>
      </c>
      <c r="Z338" s="428">
        <f>IFERROR(VLOOKUP(E:E,'Item Data Support Sheet'!A:O,4,0),0)</f>
        <v>0</v>
      </c>
      <c r="AA338" s="428">
        <f t="shared" si="111"/>
        <v>0</v>
      </c>
      <c r="AB338" s="429" t="str">
        <f t="shared" si="112"/>
        <v xml:space="preserve"> </v>
      </c>
      <c r="AC338" s="424">
        <f t="shared" si="113"/>
        <v>0</v>
      </c>
      <c r="AD338" s="371">
        <f t="shared" si="114"/>
        <v>0</v>
      </c>
      <c r="AE338" s="748">
        <f t="shared" si="115"/>
        <v>1</v>
      </c>
      <c r="AF338" s="417">
        <f t="shared" si="116"/>
        <v>0.66666666666666663</v>
      </c>
      <c r="AG338" s="416">
        <f t="shared" si="117"/>
        <v>7.333333333333333</v>
      </c>
      <c r="AH338" s="372">
        <f t="shared" si="118"/>
        <v>0.91666666666666663</v>
      </c>
      <c r="AI338" s="373">
        <f t="shared" si="119"/>
        <v>838.75</v>
      </c>
      <c r="AJ338" s="418">
        <f>VLOOKUP(D338,'Standard Cycle time'!C:D,2,0)</f>
        <v>2.2999999999999998</v>
      </c>
      <c r="AK338" s="418">
        <f t="shared" si="120"/>
        <v>3.9344262295081966</v>
      </c>
      <c r="AL338" s="374">
        <f t="shared" si="121"/>
        <v>0.58458333333333334</v>
      </c>
      <c r="AM338" s="372">
        <f t="shared" si="122"/>
        <v>0.5358680555555555</v>
      </c>
      <c r="AN338" s="799" t="s">
        <v>2769</v>
      </c>
      <c r="AO338" s="929"/>
      <c r="AP338" s="440">
        <v>40</v>
      </c>
      <c r="AQ338" s="440">
        <v>0</v>
      </c>
      <c r="AR338" s="440">
        <v>0</v>
      </c>
      <c r="AS338" s="440">
        <v>0</v>
      </c>
      <c r="AT338" s="440">
        <v>0</v>
      </c>
      <c r="AU338" s="440">
        <v>0</v>
      </c>
      <c r="AV338" s="440">
        <v>0</v>
      </c>
      <c r="AW338" s="440">
        <v>0</v>
      </c>
      <c r="AX338" s="440">
        <v>0</v>
      </c>
      <c r="AY338" s="440">
        <v>0</v>
      </c>
      <c r="AZ338" s="440">
        <v>0</v>
      </c>
      <c r="BA338" s="440">
        <v>0</v>
      </c>
      <c r="BB338" s="440">
        <v>0</v>
      </c>
      <c r="BC338" s="440">
        <v>0</v>
      </c>
      <c r="BD338" s="440">
        <v>0</v>
      </c>
      <c r="BE338" s="440">
        <v>0</v>
      </c>
      <c r="BF338" s="440">
        <v>0</v>
      </c>
      <c r="BG338" s="440">
        <v>0</v>
      </c>
      <c r="BH338" s="440">
        <v>0</v>
      </c>
      <c r="BI338" s="440">
        <v>0</v>
      </c>
      <c r="BJ338" s="440">
        <v>0</v>
      </c>
      <c r="BK338" s="440">
        <v>0</v>
      </c>
      <c r="BL338" s="440">
        <v>0</v>
      </c>
      <c r="BM338" s="440">
        <v>0</v>
      </c>
      <c r="BN338" s="440">
        <v>0</v>
      </c>
      <c r="BO338" s="440">
        <v>0</v>
      </c>
      <c r="BP338" s="440">
        <v>0</v>
      </c>
      <c r="BQ338" s="440">
        <v>0</v>
      </c>
      <c r="BR338" s="415">
        <f t="shared" si="106"/>
        <v>0.66666666666666663</v>
      </c>
      <c r="BS338" s="415">
        <f t="shared" si="123"/>
        <v>0.6777777777777777</v>
      </c>
      <c r="BT338" s="935"/>
      <c r="BU338" s="935"/>
      <c r="BV338" s="935"/>
      <c r="BW338" s="935"/>
      <c r="BX338" s="935"/>
      <c r="BY338" s="935"/>
      <c r="BZ338" s="935"/>
      <c r="CA338" s="935"/>
      <c r="CB338" s="935"/>
      <c r="CC338" s="935"/>
      <c r="CD338" s="935"/>
      <c r="CE338" s="935"/>
      <c r="CF338" s="935"/>
      <c r="CG338" s="935"/>
      <c r="CH338" s="935"/>
      <c r="CI338" s="935"/>
      <c r="CJ338" s="935"/>
      <c r="CK338" s="935"/>
      <c r="CL338" s="935"/>
      <c r="CM338" s="935"/>
      <c r="CN338" s="935"/>
      <c r="CO338" s="935"/>
      <c r="CP338" s="935"/>
      <c r="CQ338" s="935"/>
      <c r="CR338" s="935"/>
      <c r="CS338" s="935"/>
      <c r="CT338" s="935"/>
      <c r="CU338" s="935"/>
      <c r="CV338" s="935"/>
    </row>
    <row r="339" spans="1:100">
      <c r="A339" s="375">
        <f t="shared" si="108"/>
        <v>8</v>
      </c>
      <c r="B339" s="862">
        <v>44439</v>
      </c>
      <c r="C339" s="493" t="s">
        <v>1980</v>
      </c>
      <c r="D339" s="376" t="str">
        <f>IFERROR(VLOOKUP(E:E,'Item Data Support Sheet'!A:O,7,0),"")</f>
        <v>NIPPLE MOLDED</v>
      </c>
      <c r="E339" s="447" t="s">
        <v>74</v>
      </c>
      <c r="F339" s="500" t="s">
        <v>1678</v>
      </c>
      <c r="G339" s="497" t="s">
        <v>1691</v>
      </c>
      <c r="H339" s="602" t="str">
        <f>IFERROR(VLOOKUP(E:E,'Item Data Support Sheet'!A:O,2,0),"")</f>
        <v>NIPPLE S TYPE L SIZE INJECTION</v>
      </c>
      <c r="I339" s="501" t="s">
        <v>2770</v>
      </c>
      <c r="J339" s="447" t="s">
        <v>2808</v>
      </c>
      <c r="K339" s="438">
        <v>8</v>
      </c>
      <c r="L339" s="499">
        <v>4815</v>
      </c>
      <c r="M339" s="366">
        <f t="shared" si="124"/>
        <v>601.875</v>
      </c>
      <c r="N339" s="367">
        <f t="shared" si="107"/>
        <v>4160</v>
      </c>
      <c r="O339" s="61">
        <v>4000</v>
      </c>
      <c r="P339" s="368">
        <v>1.2</v>
      </c>
      <c r="Q339" s="368">
        <v>102</v>
      </c>
      <c r="R339" s="494">
        <v>0</v>
      </c>
      <c r="S339" s="493">
        <v>0</v>
      </c>
      <c r="T339" s="494">
        <v>50</v>
      </c>
      <c r="U339" s="493">
        <v>8</v>
      </c>
      <c r="V339" s="502">
        <v>1</v>
      </c>
      <c r="W339" s="453">
        <f t="shared" si="109"/>
        <v>4000</v>
      </c>
      <c r="X339" s="748">
        <f t="shared" si="110"/>
        <v>0.83073727933541019</v>
      </c>
      <c r="Y339" s="451" t="str">
        <f>IFERROR(VLOOKUP(E:E,'Item Data Support Sheet'!A:J,6,0),0)</f>
        <v>Silicon</v>
      </c>
      <c r="Z339" s="428">
        <f>IFERROR(VLOOKUP(E:E,'Item Data Support Sheet'!A:O,4,0),0)</f>
        <v>6.8</v>
      </c>
      <c r="AA339" s="428">
        <f t="shared" si="111"/>
        <v>29.487999999999996</v>
      </c>
      <c r="AB339" s="429">
        <f t="shared" si="112"/>
        <v>0.92240911557243632</v>
      </c>
      <c r="AC339" s="424">
        <f t="shared" si="113"/>
        <v>1.2345679012345678E-2</v>
      </c>
      <c r="AD339" s="371">
        <f t="shared" si="114"/>
        <v>2.3932426091037073E-2</v>
      </c>
      <c r="AE339" s="748">
        <f t="shared" si="115"/>
        <v>0.98798076923076927</v>
      </c>
      <c r="AF339" s="417">
        <f t="shared" si="116"/>
        <v>2</v>
      </c>
      <c r="AG339" s="416">
        <f t="shared" si="117"/>
        <v>6</v>
      </c>
      <c r="AH339" s="372">
        <f t="shared" si="118"/>
        <v>0.75</v>
      </c>
      <c r="AI339" s="373">
        <f t="shared" si="119"/>
        <v>500</v>
      </c>
      <c r="AJ339" s="418">
        <f>VLOOKUP(D339,'Standard Cycle time'!C:D,2,0)</f>
        <v>5.25</v>
      </c>
      <c r="AK339" s="418">
        <f t="shared" si="120"/>
        <v>5.4</v>
      </c>
      <c r="AL339" s="374">
        <f t="shared" si="121"/>
        <v>0.97222222222222221</v>
      </c>
      <c r="AM339" s="372">
        <f t="shared" si="122"/>
        <v>0.72040264423076927</v>
      </c>
      <c r="AN339" s="799">
        <v>2887</v>
      </c>
      <c r="AO339" s="929" t="s">
        <v>2774</v>
      </c>
      <c r="AP339" s="440">
        <v>0</v>
      </c>
      <c r="AQ339" s="440">
        <v>0</v>
      </c>
      <c r="AR339" s="440">
        <v>0</v>
      </c>
      <c r="AS339" s="440">
        <v>0</v>
      </c>
      <c r="AT339" s="440">
        <v>0</v>
      </c>
      <c r="AU339" s="440">
        <v>0</v>
      </c>
      <c r="AV339" s="440">
        <v>0</v>
      </c>
      <c r="AW339" s="440">
        <v>30</v>
      </c>
      <c r="AX339" s="440">
        <v>0</v>
      </c>
      <c r="AY339" s="440">
        <v>0</v>
      </c>
      <c r="AZ339" s="440">
        <v>0</v>
      </c>
      <c r="BA339" s="440">
        <v>0</v>
      </c>
      <c r="BB339" s="440">
        <v>90</v>
      </c>
      <c r="BC339" s="440">
        <v>0</v>
      </c>
      <c r="BD339" s="440">
        <v>0</v>
      </c>
      <c r="BE339" s="440">
        <v>0</v>
      </c>
      <c r="BF339" s="440">
        <v>0</v>
      </c>
      <c r="BG339" s="440">
        <v>0</v>
      </c>
      <c r="BH339" s="440">
        <v>0</v>
      </c>
      <c r="BI339" s="440">
        <v>0</v>
      </c>
      <c r="BJ339" s="440">
        <v>0</v>
      </c>
      <c r="BK339" s="440">
        <v>0</v>
      </c>
      <c r="BL339" s="440">
        <v>0</v>
      </c>
      <c r="BM339" s="440">
        <v>0</v>
      </c>
      <c r="BN339" s="440">
        <v>0</v>
      </c>
      <c r="BO339" s="440">
        <v>0</v>
      </c>
      <c r="BP339" s="440">
        <v>0</v>
      </c>
      <c r="BQ339" s="440">
        <v>0</v>
      </c>
      <c r="BR339" s="415">
        <f t="shared" si="106"/>
        <v>2</v>
      </c>
      <c r="BS339" s="415">
        <f t="shared" si="123"/>
        <v>2.0333333333333332</v>
      </c>
      <c r="BT339" s="935"/>
      <c r="BU339" s="935"/>
      <c r="BV339" s="935"/>
      <c r="BW339" s="935"/>
      <c r="BX339" s="935"/>
      <c r="BY339" s="935"/>
      <c r="BZ339" s="935"/>
      <c r="CA339" s="935"/>
      <c r="CB339" s="935"/>
      <c r="CC339" s="935"/>
      <c r="CD339" s="935"/>
      <c r="CE339" s="935"/>
      <c r="CF339" s="935"/>
      <c r="CG339" s="935"/>
      <c r="CH339" s="935"/>
      <c r="CI339" s="935"/>
      <c r="CJ339" s="935"/>
      <c r="CK339" s="935"/>
      <c r="CL339" s="935"/>
      <c r="CM339" s="935"/>
      <c r="CN339" s="935"/>
      <c r="CO339" s="935"/>
      <c r="CP339" s="935"/>
      <c r="CQ339" s="935"/>
      <c r="CR339" s="935"/>
      <c r="CS339" s="935"/>
      <c r="CT339" s="935"/>
      <c r="CU339" s="935"/>
      <c r="CV339" s="935"/>
    </row>
    <row r="340" spans="1:100">
      <c r="A340" s="375">
        <f t="shared" si="108"/>
        <v>8</v>
      </c>
      <c r="B340" s="862">
        <v>44439</v>
      </c>
      <c r="C340" s="493" t="s">
        <v>1980</v>
      </c>
      <c r="D340" s="376" t="str">
        <f>IFERROR(VLOOKUP(E:E,'Item Data Support Sheet'!A:O,7,0),"")</f>
        <v>NIPPLE PUNCH</v>
      </c>
      <c r="E340" s="447" t="s">
        <v>82</v>
      </c>
      <c r="F340" s="500"/>
      <c r="G340" s="497" t="s">
        <v>1692</v>
      </c>
      <c r="H340" s="602" t="str">
        <f>IFERROR(VLOOKUP(E:E,'Item Data Support Sheet'!A:O,2,0),"")</f>
        <v>NIPPLE S TYPE L SIZE PUNCHED</v>
      </c>
      <c r="I340" s="501"/>
      <c r="J340" s="447" t="s">
        <v>2808</v>
      </c>
      <c r="K340" s="438">
        <v>8</v>
      </c>
      <c r="L340" s="499">
        <v>7036</v>
      </c>
      <c r="M340" s="366">
        <f t="shared" si="124"/>
        <v>879.5</v>
      </c>
      <c r="N340" s="367">
        <f t="shared" si="107"/>
        <v>6400</v>
      </c>
      <c r="O340" s="61">
        <f>1200+5200</f>
        <v>6400</v>
      </c>
      <c r="P340" s="368">
        <v>0</v>
      </c>
      <c r="Q340" s="368">
        <v>0</v>
      </c>
      <c r="R340" s="494">
        <v>0</v>
      </c>
      <c r="S340" s="493">
        <v>0</v>
      </c>
      <c r="T340" s="494">
        <v>0</v>
      </c>
      <c r="U340" s="493">
        <v>0</v>
      </c>
      <c r="V340" s="502">
        <v>1</v>
      </c>
      <c r="W340" s="453">
        <f t="shared" si="109"/>
        <v>6400</v>
      </c>
      <c r="X340" s="748">
        <f t="shared" si="110"/>
        <v>0.90960773166571918</v>
      </c>
      <c r="Y340" s="451" t="str">
        <f>IFERROR(VLOOKUP(E:E,'Item Data Support Sheet'!A:J,6,0),0)</f>
        <v>FO017</v>
      </c>
      <c r="Z340" s="428">
        <f>IFERROR(VLOOKUP(E:E,'Item Data Support Sheet'!A:O,4,0),0)</f>
        <v>0</v>
      </c>
      <c r="AA340" s="428">
        <f t="shared" si="111"/>
        <v>0</v>
      </c>
      <c r="AB340" s="429" t="str">
        <f t="shared" si="112"/>
        <v xml:space="preserve"> </v>
      </c>
      <c r="AC340" s="424">
        <f t="shared" si="113"/>
        <v>0</v>
      </c>
      <c r="AD340" s="371">
        <f t="shared" si="114"/>
        <v>0</v>
      </c>
      <c r="AE340" s="748">
        <f t="shared" si="115"/>
        <v>1</v>
      </c>
      <c r="AF340" s="417">
        <f t="shared" si="116"/>
        <v>0.66666666666666663</v>
      </c>
      <c r="AG340" s="416">
        <f t="shared" si="117"/>
        <v>7.333333333333333</v>
      </c>
      <c r="AH340" s="372">
        <f t="shared" si="118"/>
        <v>0.91666666666666663</v>
      </c>
      <c r="AI340" s="373">
        <f t="shared" si="119"/>
        <v>800</v>
      </c>
      <c r="AJ340" s="418">
        <f>VLOOKUP(D340,'Standard Cycle time'!C:D,2,0)</f>
        <v>3.5</v>
      </c>
      <c r="AK340" s="418">
        <f t="shared" si="120"/>
        <v>4.125</v>
      </c>
      <c r="AL340" s="374">
        <f t="shared" si="121"/>
        <v>0.84848484848484851</v>
      </c>
      <c r="AM340" s="372">
        <f t="shared" si="122"/>
        <v>0.77777777777777779</v>
      </c>
      <c r="AN340" s="799" t="s">
        <v>2773</v>
      </c>
      <c r="AO340" s="929"/>
      <c r="AP340" s="440">
        <v>40</v>
      </c>
      <c r="AQ340" s="440">
        <v>0</v>
      </c>
      <c r="AR340" s="440">
        <v>0</v>
      </c>
      <c r="AS340" s="440">
        <v>0</v>
      </c>
      <c r="AT340" s="440">
        <v>0</v>
      </c>
      <c r="AU340" s="440">
        <v>0</v>
      </c>
      <c r="AV340" s="440">
        <v>0</v>
      </c>
      <c r="AW340" s="440">
        <v>0</v>
      </c>
      <c r="AX340" s="440">
        <v>0</v>
      </c>
      <c r="AY340" s="440">
        <v>0</v>
      </c>
      <c r="AZ340" s="440">
        <v>0</v>
      </c>
      <c r="BA340" s="440">
        <v>0</v>
      </c>
      <c r="BB340" s="440">
        <v>0</v>
      </c>
      <c r="BC340" s="440">
        <v>0</v>
      </c>
      <c r="BD340" s="440">
        <v>0</v>
      </c>
      <c r="BE340" s="440">
        <v>0</v>
      </c>
      <c r="BF340" s="440">
        <v>0</v>
      </c>
      <c r="BG340" s="440">
        <v>0</v>
      </c>
      <c r="BH340" s="440">
        <v>0</v>
      </c>
      <c r="BI340" s="440">
        <v>0</v>
      </c>
      <c r="BJ340" s="440">
        <v>0</v>
      </c>
      <c r="BK340" s="440">
        <v>0</v>
      </c>
      <c r="BL340" s="440">
        <v>0</v>
      </c>
      <c r="BM340" s="440">
        <v>0</v>
      </c>
      <c r="BN340" s="440">
        <v>0</v>
      </c>
      <c r="BO340" s="440">
        <v>0</v>
      </c>
      <c r="BP340" s="440">
        <v>0</v>
      </c>
      <c r="BQ340" s="440">
        <v>0</v>
      </c>
      <c r="BR340" s="415">
        <f t="shared" si="106"/>
        <v>0.66666666666666663</v>
      </c>
      <c r="BS340" s="415">
        <f t="shared" si="123"/>
        <v>0.6777777777777777</v>
      </c>
      <c r="BT340" s="935"/>
      <c r="BU340" s="935"/>
      <c r="BV340" s="935"/>
      <c r="BW340" s="935"/>
      <c r="BX340" s="935"/>
      <c r="BY340" s="935"/>
      <c r="BZ340" s="935"/>
      <c r="CA340" s="935"/>
      <c r="CB340" s="935"/>
      <c r="CC340" s="935"/>
      <c r="CD340" s="935"/>
      <c r="CE340" s="935"/>
      <c r="CF340" s="935"/>
      <c r="CG340" s="935"/>
      <c r="CH340" s="935"/>
      <c r="CI340" s="935"/>
      <c r="CJ340" s="935"/>
      <c r="CK340" s="935"/>
      <c r="CL340" s="935"/>
      <c r="CM340" s="935"/>
      <c r="CN340" s="935"/>
      <c r="CO340" s="935"/>
      <c r="CP340" s="935"/>
      <c r="CQ340" s="935"/>
      <c r="CR340" s="935"/>
      <c r="CS340" s="935"/>
      <c r="CT340" s="935"/>
      <c r="CU340" s="935"/>
      <c r="CV340" s="935"/>
    </row>
    <row r="341" spans="1:100">
      <c r="A341" s="375">
        <f t="shared" si="108"/>
        <v>8</v>
      </c>
      <c r="B341" s="862">
        <v>44439</v>
      </c>
      <c r="C341" s="493" t="s">
        <v>1980</v>
      </c>
      <c r="D341" s="376" t="str">
        <f>IFERROR(VLOOKUP(E:E,'Item Data Support Sheet'!A:O,7,0),"")</f>
        <v>NIPPLE LASER MARKING</v>
      </c>
      <c r="E341" s="447" t="s">
        <v>1816</v>
      </c>
      <c r="F341" s="500"/>
      <c r="G341" s="497" t="s">
        <v>1812</v>
      </c>
      <c r="H341" s="602" t="str">
        <f>IFERROR(VLOOKUP(E:E,'Item Data Support Sheet'!A:O,2,0),"")</f>
        <v>NIPPLE S TYPE L SIZE PUNCHED LASER MARKED</v>
      </c>
      <c r="I341" s="501" t="s">
        <v>2772</v>
      </c>
      <c r="J341" s="447" t="s">
        <v>2808</v>
      </c>
      <c r="K341" s="438">
        <v>8</v>
      </c>
      <c r="L341" s="499">
        <v>7036</v>
      </c>
      <c r="M341" s="366">
        <f t="shared" si="124"/>
        <v>879.5</v>
      </c>
      <c r="N341" s="367">
        <f t="shared" si="107"/>
        <v>3000</v>
      </c>
      <c r="O341" s="61">
        <v>3000</v>
      </c>
      <c r="P341" s="368">
        <v>0</v>
      </c>
      <c r="Q341" s="368">
        <v>0</v>
      </c>
      <c r="R341" s="494">
        <v>0</v>
      </c>
      <c r="S341" s="493">
        <v>0</v>
      </c>
      <c r="T341" s="494">
        <v>0</v>
      </c>
      <c r="U341" s="493">
        <v>0</v>
      </c>
      <c r="V341" s="502">
        <v>1</v>
      </c>
      <c r="W341" s="453">
        <f t="shared" si="109"/>
        <v>3000</v>
      </c>
      <c r="X341" s="748">
        <f t="shared" si="110"/>
        <v>0.42637862421830586</v>
      </c>
      <c r="Y341" s="451" t="str">
        <f>IFERROR(VLOOKUP(E:E,'Item Data Support Sheet'!A:J,6,0),0)</f>
        <v>FO021</v>
      </c>
      <c r="Z341" s="428">
        <f>IFERROR(VLOOKUP(E:E,'Item Data Support Sheet'!A:O,4,0),0)</f>
        <v>0</v>
      </c>
      <c r="AA341" s="428">
        <f t="shared" si="111"/>
        <v>0</v>
      </c>
      <c r="AB341" s="429" t="str">
        <f t="shared" si="112"/>
        <v xml:space="preserve"> </v>
      </c>
      <c r="AC341" s="424">
        <f t="shared" si="113"/>
        <v>0</v>
      </c>
      <c r="AD341" s="371">
        <f t="shared" si="114"/>
        <v>0</v>
      </c>
      <c r="AE341" s="748">
        <f t="shared" si="115"/>
        <v>1</v>
      </c>
      <c r="AF341" s="417">
        <f t="shared" si="116"/>
        <v>4.666666666666667</v>
      </c>
      <c r="AG341" s="416">
        <f t="shared" si="117"/>
        <v>3.333333333333333</v>
      </c>
      <c r="AH341" s="372">
        <f t="shared" si="118"/>
        <v>0.41666666666666663</v>
      </c>
      <c r="AI341" s="373">
        <f t="shared" si="119"/>
        <v>375</v>
      </c>
      <c r="AJ341" s="418">
        <f>VLOOKUP(D341,'Standard Cycle time'!C:D,2,0)</f>
        <v>3.5</v>
      </c>
      <c r="AK341" s="418">
        <f t="shared" si="120"/>
        <v>3.9999999999999996</v>
      </c>
      <c r="AL341" s="374">
        <f t="shared" si="121"/>
        <v>0.87500000000000011</v>
      </c>
      <c r="AM341" s="372">
        <f t="shared" si="122"/>
        <v>0.36458333333333337</v>
      </c>
      <c r="AN341" s="799">
        <v>2878</v>
      </c>
      <c r="AO341" s="929" t="s">
        <v>2775</v>
      </c>
      <c r="AP341" s="440">
        <v>40</v>
      </c>
      <c r="AQ341" s="440">
        <v>0</v>
      </c>
      <c r="AR341" s="440">
        <v>0</v>
      </c>
      <c r="AS341" s="440">
        <v>0</v>
      </c>
      <c r="AT341" s="440">
        <v>0</v>
      </c>
      <c r="AU341" s="440">
        <v>0</v>
      </c>
      <c r="AV341" s="440">
        <v>0</v>
      </c>
      <c r="AW341" s="440">
        <v>0</v>
      </c>
      <c r="AX341" s="440">
        <v>0</v>
      </c>
      <c r="AY341" s="440">
        <v>0</v>
      </c>
      <c r="AZ341" s="440">
        <v>0</v>
      </c>
      <c r="BA341" s="440">
        <v>0</v>
      </c>
      <c r="BB341" s="440">
        <v>0</v>
      </c>
      <c r="BC341" s="440">
        <v>0</v>
      </c>
      <c r="BD341" s="440">
        <v>0</v>
      </c>
      <c r="BE341" s="440">
        <v>0</v>
      </c>
      <c r="BF341" s="440">
        <v>0</v>
      </c>
      <c r="BG341" s="440">
        <v>0</v>
      </c>
      <c r="BH341" s="440">
        <v>0</v>
      </c>
      <c r="BI341" s="440">
        <v>0</v>
      </c>
      <c r="BJ341" s="440">
        <v>0</v>
      </c>
      <c r="BK341" s="440">
        <v>240</v>
      </c>
      <c r="BL341" s="440">
        <v>0</v>
      </c>
      <c r="BM341" s="440">
        <v>0</v>
      </c>
      <c r="BN341" s="440">
        <v>0</v>
      </c>
      <c r="BO341" s="440">
        <v>0</v>
      </c>
      <c r="BP341" s="440">
        <v>0</v>
      </c>
      <c r="BQ341" s="440">
        <v>0</v>
      </c>
      <c r="BR341" s="415">
        <f t="shared" si="106"/>
        <v>4.666666666666667</v>
      </c>
      <c r="BS341" s="415">
        <f t="shared" si="123"/>
        <v>4.7444444444444445</v>
      </c>
      <c r="BT341" s="935"/>
      <c r="BU341" s="935"/>
      <c r="BV341" s="935"/>
      <c r="BW341" s="935"/>
      <c r="BX341" s="935"/>
      <c r="BY341" s="935"/>
      <c r="BZ341" s="935"/>
      <c r="CA341" s="935"/>
      <c r="CB341" s="935"/>
      <c r="CC341" s="935"/>
      <c r="CD341" s="935"/>
      <c r="CE341" s="935"/>
      <c r="CF341" s="935"/>
      <c r="CG341" s="935"/>
      <c r="CH341" s="935"/>
      <c r="CI341" s="935"/>
      <c r="CJ341" s="935"/>
      <c r="CK341" s="935"/>
      <c r="CL341" s="935"/>
      <c r="CM341" s="935"/>
      <c r="CN341" s="935"/>
      <c r="CO341" s="935"/>
      <c r="CP341" s="935"/>
      <c r="CQ341" s="935"/>
      <c r="CR341" s="935"/>
      <c r="CS341" s="935"/>
      <c r="CT341" s="935"/>
      <c r="CU341" s="935"/>
      <c r="CV341" s="935"/>
    </row>
    <row r="342" spans="1:100">
      <c r="A342" s="375">
        <f t="shared" si="108"/>
        <v>8</v>
      </c>
      <c r="B342" s="862">
        <v>44439</v>
      </c>
      <c r="C342" s="493" t="s">
        <v>1980</v>
      </c>
      <c r="D342" s="376" t="str">
        <f>IFERROR(VLOOKUP(E:E,'Item Data Support Sheet'!A:O,7,0),"")</f>
        <v>HOOD MOLDED</v>
      </c>
      <c r="E342" s="447" t="s">
        <v>1987</v>
      </c>
      <c r="F342" s="500"/>
      <c r="G342" s="497" t="s">
        <v>2729</v>
      </c>
      <c r="H342" s="602" t="str">
        <f>IFERROR(VLOOKUP(E:E,'Item Data Support Sheet'!A:O,2,0),"")</f>
        <v>HOOD S TYPE MOLDED</v>
      </c>
      <c r="I342" s="501" t="s">
        <v>2771</v>
      </c>
      <c r="J342" s="447" t="s">
        <v>2808</v>
      </c>
      <c r="K342" s="438">
        <v>8</v>
      </c>
      <c r="L342" s="499">
        <v>4137</v>
      </c>
      <c r="M342" s="366">
        <f t="shared" si="124"/>
        <v>517.125</v>
      </c>
      <c r="N342" s="367">
        <f t="shared" si="107"/>
        <v>4545</v>
      </c>
      <c r="O342" s="61">
        <v>4500</v>
      </c>
      <c r="P342" s="368">
        <v>0.35</v>
      </c>
      <c r="Q342" s="368">
        <v>25</v>
      </c>
      <c r="R342" s="494">
        <v>0</v>
      </c>
      <c r="S342" s="493">
        <v>0</v>
      </c>
      <c r="T342" s="494">
        <v>12</v>
      </c>
      <c r="U342" s="493">
        <v>8</v>
      </c>
      <c r="V342" s="502">
        <v>1</v>
      </c>
      <c r="W342" s="453">
        <f t="shared" si="109"/>
        <v>4500</v>
      </c>
      <c r="X342" s="748">
        <f t="shared" si="110"/>
        <v>1.0877447425670776</v>
      </c>
      <c r="Y342" s="451" t="str">
        <f>IFERROR(VLOOKUP(E:E,'Item Data Support Sheet'!A:J,6,0),0)</f>
        <v>HMC</v>
      </c>
      <c r="Z342" s="428">
        <f>IFERROR(VLOOKUP(E:E,'Item Data Support Sheet'!A:O,4,0),0)</f>
        <v>8.6</v>
      </c>
      <c r="AA342" s="428">
        <f t="shared" si="111"/>
        <v>39.437000000000005</v>
      </c>
      <c r="AB342" s="429">
        <f t="shared" si="112"/>
        <v>0.98131196592032854</v>
      </c>
      <c r="AC342" s="424">
        <f t="shared" si="113"/>
        <v>2.6595744680851063E-3</v>
      </c>
      <c r="AD342" s="371">
        <f t="shared" si="114"/>
        <v>5.4704595185995622E-3</v>
      </c>
      <c r="AE342" s="748">
        <f t="shared" si="115"/>
        <v>0.99735973597359739</v>
      </c>
      <c r="AF342" s="417">
        <f t="shared" si="116"/>
        <v>0</v>
      </c>
      <c r="AG342" s="416">
        <f t="shared" si="117"/>
        <v>8</v>
      </c>
      <c r="AH342" s="372">
        <f t="shared" si="118"/>
        <v>1</v>
      </c>
      <c r="AI342" s="373">
        <f t="shared" si="119"/>
        <v>562.5</v>
      </c>
      <c r="AJ342" s="418">
        <f>VLOOKUP(D342,'Standard Cycle time'!C:D,2,0)</f>
        <v>6</v>
      </c>
      <c r="AK342" s="418">
        <f t="shared" si="120"/>
        <v>6.4</v>
      </c>
      <c r="AL342" s="374">
        <f t="shared" si="121"/>
        <v>0.9375</v>
      </c>
      <c r="AM342" s="372">
        <f t="shared" si="122"/>
        <v>0.93502475247524752</v>
      </c>
      <c r="AN342" s="799">
        <v>2885</v>
      </c>
      <c r="AO342" s="761"/>
      <c r="AP342" s="440">
        <v>0</v>
      </c>
      <c r="AQ342" s="440">
        <v>0</v>
      </c>
      <c r="AR342" s="440">
        <v>0</v>
      </c>
      <c r="AS342" s="440">
        <v>0</v>
      </c>
      <c r="AT342" s="440">
        <v>0</v>
      </c>
      <c r="AU342" s="440">
        <v>0</v>
      </c>
      <c r="AV342" s="440">
        <v>0</v>
      </c>
      <c r="AW342" s="440">
        <v>0</v>
      </c>
      <c r="AX342" s="440">
        <v>0</v>
      </c>
      <c r="AY342" s="440">
        <v>0</v>
      </c>
      <c r="AZ342" s="440">
        <v>0</v>
      </c>
      <c r="BA342" s="440">
        <v>0</v>
      </c>
      <c r="BB342" s="440">
        <v>0</v>
      </c>
      <c r="BC342" s="440">
        <v>0</v>
      </c>
      <c r="BD342" s="440">
        <v>0</v>
      </c>
      <c r="BE342" s="440">
        <v>0</v>
      </c>
      <c r="BF342" s="440">
        <v>0</v>
      </c>
      <c r="BG342" s="440">
        <v>0</v>
      </c>
      <c r="BH342" s="440">
        <v>0</v>
      </c>
      <c r="BI342" s="440">
        <v>0</v>
      </c>
      <c r="BJ342" s="440">
        <v>0</v>
      </c>
      <c r="BK342" s="440">
        <v>0</v>
      </c>
      <c r="BL342" s="440">
        <v>0</v>
      </c>
      <c r="BM342" s="440">
        <v>0</v>
      </c>
      <c r="BN342" s="440">
        <v>0</v>
      </c>
      <c r="BO342" s="440">
        <v>0</v>
      </c>
      <c r="BP342" s="440">
        <v>0</v>
      </c>
      <c r="BQ342" s="440">
        <v>0</v>
      </c>
      <c r="BR342" s="415">
        <f t="shared" si="106"/>
        <v>0</v>
      </c>
      <c r="BS342" s="415">
        <f t="shared" si="123"/>
        <v>0</v>
      </c>
      <c r="BT342" s="935"/>
      <c r="BU342" s="935"/>
      <c r="BV342" s="935"/>
      <c r="BW342" s="935"/>
      <c r="BX342" s="935"/>
      <c r="BY342" s="935"/>
      <c r="BZ342" s="935"/>
      <c r="CA342" s="935"/>
      <c r="CB342" s="935"/>
      <c r="CC342" s="935"/>
      <c r="CD342" s="935"/>
      <c r="CE342" s="935"/>
      <c r="CF342" s="935"/>
      <c r="CG342" s="935"/>
      <c r="CH342" s="935"/>
      <c r="CI342" s="935"/>
      <c r="CJ342" s="935"/>
      <c r="CK342" s="935"/>
      <c r="CL342" s="935"/>
      <c r="CM342" s="935"/>
      <c r="CN342" s="935"/>
      <c r="CO342" s="935"/>
      <c r="CP342" s="935"/>
      <c r="CQ342" s="935"/>
      <c r="CR342" s="935"/>
      <c r="CS342" s="935"/>
      <c r="CT342" s="935"/>
      <c r="CU342" s="935"/>
      <c r="CV342" s="935"/>
    </row>
    <row r="343" spans="1:100">
      <c r="A343" s="375">
        <f t="shared" si="108"/>
        <v>8</v>
      </c>
      <c r="B343" s="862">
        <v>44439</v>
      </c>
      <c r="C343" s="493" t="s">
        <v>2000</v>
      </c>
      <c r="D343" s="376" t="str">
        <f>IFERROR(VLOOKUP(E:E,'Item Data Support Sheet'!A:O,7,0),"")</f>
        <v>NIPPLE WRAP PRINTED</v>
      </c>
      <c r="E343" s="447" t="s">
        <v>108</v>
      </c>
      <c r="F343" s="500"/>
      <c r="G343" s="497" t="s">
        <v>1693</v>
      </c>
      <c r="H343" s="602" t="str">
        <f>IFERROR(VLOOKUP(E:E,'Item Data Support Sheet'!A:O,2,0),"")</f>
        <v>NIPPLE S TYPE S SIZE WITH PRINTED WRAP</v>
      </c>
      <c r="I343" s="501" t="s">
        <v>2777</v>
      </c>
      <c r="J343" s="447" t="s">
        <v>2812</v>
      </c>
      <c r="K343" s="438">
        <v>8.5</v>
      </c>
      <c r="L343" s="499">
        <v>16132</v>
      </c>
      <c r="M343" s="366">
        <f t="shared" si="124"/>
        <v>1897.8823529411766</v>
      </c>
      <c r="N343" s="367">
        <f t="shared" si="107"/>
        <v>18229</v>
      </c>
      <c r="O343" s="61">
        <v>18229</v>
      </c>
      <c r="P343" s="368">
        <v>0</v>
      </c>
      <c r="Q343" s="368">
        <v>0</v>
      </c>
      <c r="R343" s="494">
        <v>0</v>
      </c>
      <c r="S343" s="493">
        <v>0</v>
      </c>
      <c r="T343" s="494">
        <v>0</v>
      </c>
      <c r="U343" s="493">
        <v>0</v>
      </c>
      <c r="V343" s="502">
        <v>1</v>
      </c>
      <c r="W343" s="453">
        <f t="shared" si="109"/>
        <v>18229</v>
      </c>
      <c r="X343" s="748">
        <f t="shared" si="110"/>
        <v>1.1299900818249442</v>
      </c>
      <c r="Y343" s="451" t="str">
        <f>IFERROR(VLOOKUP(E:E,'Item Data Support Sheet'!A:J,6,0),0)</f>
        <v>FO108</v>
      </c>
      <c r="Z343" s="428">
        <f>IFERROR(VLOOKUP(E:E,'Item Data Support Sheet'!A:O,4,0),0)</f>
        <v>0</v>
      </c>
      <c r="AA343" s="428">
        <f t="shared" si="111"/>
        <v>0</v>
      </c>
      <c r="AB343" s="429" t="str">
        <f t="shared" si="112"/>
        <v xml:space="preserve"> </v>
      </c>
      <c r="AC343" s="424">
        <f t="shared" si="113"/>
        <v>0</v>
      </c>
      <c r="AD343" s="371">
        <f t="shared" si="114"/>
        <v>0</v>
      </c>
      <c r="AE343" s="748">
        <f t="shared" si="115"/>
        <v>1</v>
      </c>
      <c r="AF343" s="417">
        <f t="shared" si="116"/>
        <v>0</v>
      </c>
      <c r="AG343" s="416">
        <f t="shared" si="117"/>
        <v>8.5</v>
      </c>
      <c r="AH343" s="372">
        <f t="shared" si="118"/>
        <v>1</v>
      </c>
      <c r="AI343" s="373">
        <f t="shared" si="119"/>
        <v>2144.5882352941176</v>
      </c>
      <c r="AJ343" s="418">
        <f>VLOOKUP(D343,'Standard Cycle time'!C:D,2,0)</f>
        <v>2.5</v>
      </c>
      <c r="AK343" s="418">
        <f t="shared" si="120"/>
        <v>1.6786439190301168</v>
      </c>
      <c r="AL343" s="374">
        <f t="shared" si="121"/>
        <v>1.4892973856209151</v>
      </c>
      <c r="AM343" s="372">
        <f t="shared" si="122"/>
        <v>1.4892973856209151</v>
      </c>
      <c r="AN343" s="799" t="s">
        <v>2779</v>
      </c>
      <c r="AO343" s="761"/>
      <c r="AP343" s="440"/>
      <c r="AQ343" s="440">
        <v>0</v>
      </c>
      <c r="AR343" s="440">
        <v>0</v>
      </c>
      <c r="AS343" s="440">
        <v>0</v>
      </c>
      <c r="AT343" s="440">
        <v>0</v>
      </c>
      <c r="AU343" s="440">
        <v>0</v>
      </c>
      <c r="AV343" s="440">
        <v>0</v>
      </c>
      <c r="AW343" s="440">
        <v>0</v>
      </c>
      <c r="AX343" s="440">
        <v>0</v>
      </c>
      <c r="AY343" s="440">
        <v>0</v>
      </c>
      <c r="AZ343" s="440">
        <v>0</v>
      </c>
      <c r="BA343" s="440">
        <v>0</v>
      </c>
      <c r="BB343" s="440">
        <v>0</v>
      </c>
      <c r="BC343" s="440">
        <v>0</v>
      </c>
      <c r="BD343" s="440">
        <v>0</v>
      </c>
      <c r="BE343" s="440">
        <v>0</v>
      </c>
      <c r="BF343" s="440">
        <v>0</v>
      </c>
      <c r="BG343" s="440">
        <v>0</v>
      </c>
      <c r="BH343" s="440">
        <v>0</v>
      </c>
      <c r="BI343" s="440">
        <v>0</v>
      </c>
      <c r="BJ343" s="440">
        <v>0</v>
      </c>
      <c r="BK343" s="440">
        <v>0</v>
      </c>
      <c r="BL343" s="440">
        <v>0</v>
      </c>
      <c r="BM343" s="440">
        <v>0</v>
      </c>
      <c r="BN343" s="440">
        <v>0</v>
      </c>
      <c r="BO343" s="440">
        <v>0</v>
      </c>
      <c r="BP343" s="440">
        <v>0</v>
      </c>
      <c r="BQ343" s="440">
        <v>0</v>
      </c>
      <c r="BR343" s="415">
        <f t="shared" si="106"/>
        <v>0</v>
      </c>
      <c r="BS343" s="415">
        <f t="shared" si="123"/>
        <v>0</v>
      </c>
      <c r="BT343" s="935"/>
      <c r="BU343" s="935"/>
      <c r="BV343" s="935"/>
      <c r="BW343" s="935"/>
      <c r="BX343" s="935"/>
      <c r="BY343" s="935"/>
      <c r="BZ343" s="935"/>
      <c r="CA343" s="935"/>
      <c r="CB343" s="935"/>
      <c r="CC343" s="935"/>
      <c r="CD343" s="935"/>
      <c r="CE343" s="935"/>
      <c r="CF343" s="935"/>
      <c r="CG343" s="935"/>
      <c r="CH343" s="935"/>
      <c r="CI343" s="935"/>
      <c r="CJ343" s="935"/>
      <c r="CK343" s="935"/>
      <c r="CL343" s="935"/>
      <c r="CM343" s="935"/>
      <c r="CN343" s="935"/>
      <c r="CO343" s="935"/>
      <c r="CP343" s="935"/>
      <c r="CQ343" s="935"/>
      <c r="CR343" s="935"/>
      <c r="CS343" s="935"/>
      <c r="CT343" s="935"/>
      <c r="CU343" s="935"/>
      <c r="CV343" s="935"/>
    </row>
    <row r="344" spans="1:100">
      <c r="A344" s="375">
        <f t="shared" si="108"/>
        <v>8</v>
      </c>
      <c r="B344" s="862">
        <v>44439</v>
      </c>
      <c r="C344" s="493" t="s">
        <v>2000</v>
      </c>
      <c r="D344" s="376" t="str">
        <f>IFERROR(VLOOKUP(E:E,'Item Data Support Sheet'!A:O,7,0),"")</f>
        <v>NIPPLE PUNCH INSPECTED</v>
      </c>
      <c r="E344" s="447" t="s">
        <v>1820</v>
      </c>
      <c r="F344" s="500"/>
      <c r="G344" s="497"/>
      <c r="H344" s="602" t="str">
        <f>IFERROR(VLOOKUP(E:E,'Item Data Support Sheet'!A:O,2,0),"")</f>
        <v>NIPPLE S TYPE L SIZE PUNCHED INSPECTED</v>
      </c>
      <c r="I344" s="501" t="s">
        <v>2778</v>
      </c>
      <c r="J344" s="447" t="s">
        <v>2812</v>
      </c>
      <c r="K344" s="438">
        <v>8.5</v>
      </c>
      <c r="L344" s="499">
        <v>7036</v>
      </c>
      <c r="M344" s="366">
        <f t="shared" si="124"/>
        <v>827.76470588235293</v>
      </c>
      <c r="N344" s="367">
        <f t="shared" si="107"/>
        <v>7300</v>
      </c>
      <c r="O344" s="61">
        <v>7222</v>
      </c>
      <c r="P344" s="368">
        <v>0</v>
      </c>
      <c r="Q344" s="368">
        <v>0</v>
      </c>
      <c r="R344" s="494">
        <v>0</v>
      </c>
      <c r="S344" s="493">
        <v>0</v>
      </c>
      <c r="T344" s="494">
        <v>78</v>
      </c>
      <c r="U344" s="493">
        <v>0</v>
      </c>
      <c r="V344" s="502">
        <v>1</v>
      </c>
      <c r="W344" s="453">
        <f t="shared" si="109"/>
        <v>7222</v>
      </c>
      <c r="X344" s="748">
        <f t="shared" si="110"/>
        <v>1.026435474701535</v>
      </c>
      <c r="Y344" s="451" t="str">
        <f>IFERROR(VLOOKUP(E:E,'Item Data Support Sheet'!A:J,6,0),0)</f>
        <v>FO106</v>
      </c>
      <c r="Z344" s="428">
        <f>IFERROR(VLOOKUP(E:E,'Item Data Support Sheet'!A:O,4,0),0)</f>
        <v>0</v>
      </c>
      <c r="AA344" s="428">
        <f t="shared" si="111"/>
        <v>0</v>
      </c>
      <c r="AB344" s="429" t="str">
        <f t="shared" si="112"/>
        <v xml:space="preserve"> </v>
      </c>
      <c r="AC344" s="424">
        <f t="shared" si="113"/>
        <v>1.0684931506849316E-2</v>
      </c>
      <c r="AD344" s="371">
        <f t="shared" si="114"/>
        <v>0</v>
      </c>
      <c r="AE344" s="748">
        <f t="shared" si="115"/>
        <v>0.98931506849315065</v>
      </c>
      <c r="AF344" s="417">
        <f t="shared" si="116"/>
        <v>0.83333333333333337</v>
      </c>
      <c r="AG344" s="416">
        <f t="shared" si="117"/>
        <v>7.666666666666667</v>
      </c>
      <c r="AH344" s="372">
        <f t="shared" si="118"/>
        <v>0.90196078431372551</v>
      </c>
      <c r="AI344" s="373">
        <f t="shared" si="119"/>
        <v>849.64705882352939</v>
      </c>
      <c r="AJ344" s="418">
        <f>VLOOKUP(D344,'Standard Cycle time'!C:D,2,0)</f>
        <v>4</v>
      </c>
      <c r="AK344" s="418">
        <f t="shared" si="120"/>
        <v>3.8216560509554141</v>
      </c>
      <c r="AL344" s="374">
        <f t="shared" si="121"/>
        <v>1.0466666666666666</v>
      </c>
      <c r="AM344" s="372">
        <f t="shared" si="122"/>
        <v>0.93396515355000442</v>
      </c>
      <c r="AN344" s="799" t="s">
        <v>2780</v>
      </c>
      <c r="AO344" s="929"/>
      <c r="AP344" s="440">
        <v>50</v>
      </c>
      <c r="AQ344" s="440">
        <v>0</v>
      </c>
      <c r="AR344" s="440">
        <v>0</v>
      </c>
      <c r="AS344" s="440">
        <v>0</v>
      </c>
      <c r="AT344" s="440">
        <v>0</v>
      </c>
      <c r="AU344" s="440">
        <v>0</v>
      </c>
      <c r="AV344" s="440">
        <v>0</v>
      </c>
      <c r="AW344" s="440">
        <v>0</v>
      </c>
      <c r="AX344" s="440">
        <v>0</v>
      </c>
      <c r="AY344" s="440">
        <v>0</v>
      </c>
      <c r="AZ344" s="440">
        <v>0</v>
      </c>
      <c r="BA344" s="440">
        <v>0</v>
      </c>
      <c r="BB344" s="440">
        <v>0</v>
      </c>
      <c r="BC344" s="440">
        <v>0</v>
      </c>
      <c r="BD344" s="440">
        <v>0</v>
      </c>
      <c r="BE344" s="440">
        <v>0</v>
      </c>
      <c r="BF344" s="440">
        <v>0</v>
      </c>
      <c r="BG344" s="440">
        <v>0</v>
      </c>
      <c r="BH344" s="440">
        <v>0</v>
      </c>
      <c r="BI344" s="440">
        <v>0</v>
      </c>
      <c r="BJ344" s="440">
        <v>0</v>
      </c>
      <c r="BK344" s="440">
        <v>0</v>
      </c>
      <c r="BL344" s="440">
        <v>0</v>
      </c>
      <c r="BM344" s="440">
        <v>0</v>
      </c>
      <c r="BN344" s="440">
        <v>0</v>
      </c>
      <c r="BO344" s="440">
        <v>0</v>
      </c>
      <c r="BP344" s="440">
        <v>0</v>
      </c>
      <c r="BQ344" s="440">
        <v>0</v>
      </c>
      <c r="BR344" s="415">
        <f t="shared" si="106"/>
        <v>0.83333333333333337</v>
      </c>
      <c r="BS344" s="415">
        <f t="shared" si="123"/>
        <v>0.84722222222222221</v>
      </c>
      <c r="BT344" s="935"/>
      <c r="BU344" s="935"/>
      <c r="BV344" s="935"/>
      <c r="BW344" s="935"/>
      <c r="BX344" s="935"/>
      <c r="BY344" s="935"/>
      <c r="BZ344" s="935"/>
      <c r="CA344" s="935"/>
      <c r="CB344" s="935"/>
      <c r="CC344" s="935"/>
      <c r="CD344" s="935"/>
      <c r="CE344" s="935"/>
      <c r="CF344" s="935"/>
      <c r="CG344" s="935"/>
      <c r="CH344" s="935"/>
      <c r="CI344" s="935"/>
      <c r="CJ344" s="935"/>
      <c r="CK344" s="935"/>
      <c r="CL344" s="935"/>
      <c r="CM344" s="935"/>
      <c r="CN344" s="935"/>
      <c r="CO344" s="935"/>
      <c r="CP344" s="935"/>
      <c r="CQ344" s="935"/>
      <c r="CR344" s="935"/>
      <c r="CS344" s="935"/>
      <c r="CT344" s="935"/>
      <c r="CU344" s="935"/>
      <c r="CV344" s="935"/>
    </row>
    <row r="345" spans="1:100">
      <c r="A345" s="375">
        <f t="shared" si="108"/>
        <v>8</v>
      </c>
      <c r="B345" s="862">
        <v>44439</v>
      </c>
      <c r="C345" s="493" t="s">
        <v>2001</v>
      </c>
      <c r="D345" s="376" t="str">
        <f>IFERROR(VLOOKUP(E:E,'Item Data Support Sheet'!A:O,7,0),"")</f>
        <v>NIPPLE MOLDED</v>
      </c>
      <c r="E345" s="447" t="s">
        <v>74</v>
      </c>
      <c r="F345" s="500" t="s">
        <v>1678</v>
      </c>
      <c r="G345" s="497" t="s">
        <v>1691</v>
      </c>
      <c r="H345" s="602" t="str">
        <f>IFERROR(VLOOKUP(E:E,'Item Data Support Sheet'!A:O,2,0),"")</f>
        <v>NIPPLE S TYPE L SIZE INJECTION</v>
      </c>
      <c r="I345" s="501" t="s">
        <v>2781</v>
      </c>
      <c r="J345" s="447" t="s">
        <v>2810</v>
      </c>
      <c r="K345" s="438">
        <v>8</v>
      </c>
      <c r="L345" s="499">
        <v>4815</v>
      </c>
      <c r="M345" s="366">
        <f t="shared" si="124"/>
        <v>601.875</v>
      </c>
      <c r="N345" s="367">
        <f t="shared" si="107"/>
        <v>4385</v>
      </c>
      <c r="O345" s="61">
        <v>4300</v>
      </c>
      <c r="P345" s="368">
        <v>0.4</v>
      </c>
      <c r="Q345" s="368">
        <v>30</v>
      </c>
      <c r="R345" s="494">
        <v>0</v>
      </c>
      <c r="S345" s="493">
        <v>0</v>
      </c>
      <c r="T345" s="494">
        <v>55</v>
      </c>
      <c r="U345" s="493">
        <v>0</v>
      </c>
      <c r="V345" s="502">
        <v>1</v>
      </c>
      <c r="W345" s="453">
        <f t="shared" si="109"/>
        <v>4300</v>
      </c>
      <c r="X345" s="748">
        <f t="shared" si="110"/>
        <v>0.89304257528556596</v>
      </c>
      <c r="Y345" s="451" t="str">
        <f>IFERROR(VLOOKUP(E:E,'Item Data Support Sheet'!A:J,6,0),0)</f>
        <v>Silicon</v>
      </c>
      <c r="Z345" s="428">
        <f>IFERROR(VLOOKUP(E:E,'Item Data Support Sheet'!A:O,4,0),0)</f>
        <v>6.8</v>
      </c>
      <c r="AA345" s="428">
        <f t="shared" si="111"/>
        <v>30.217999999999996</v>
      </c>
      <c r="AB345" s="429">
        <f t="shared" si="112"/>
        <v>0.96763518432722229</v>
      </c>
      <c r="AC345" s="424">
        <f t="shared" si="113"/>
        <v>1.2629161882893225E-2</v>
      </c>
      <c r="AD345" s="371">
        <f t="shared" si="114"/>
        <v>6.7950169875424689E-3</v>
      </c>
      <c r="AE345" s="748">
        <f t="shared" si="115"/>
        <v>0.9874572405929305</v>
      </c>
      <c r="AF345" s="417">
        <f t="shared" si="116"/>
        <v>0</v>
      </c>
      <c r="AG345" s="416">
        <f t="shared" si="117"/>
        <v>8</v>
      </c>
      <c r="AH345" s="372">
        <f t="shared" si="118"/>
        <v>1</v>
      </c>
      <c r="AI345" s="373">
        <f t="shared" si="119"/>
        <v>537.5</v>
      </c>
      <c r="AJ345" s="418">
        <f>VLOOKUP(D345,'Standard Cycle time'!C:D,2,0)</f>
        <v>5.25</v>
      </c>
      <c r="AK345" s="418">
        <f t="shared" si="120"/>
        <v>6.6976744186046515</v>
      </c>
      <c r="AL345" s="374">
        <f t="shared" si="121"/>
        <v>0.78385416666666663</v>
      </c>
      <c r="AM345" s="372">
        <f t="shared" si="122"/>
        <v>0.77402247244393763</v>
      </c>
      <c r="AN345" s="799">
        <v>2904</v>
      </c>
      <c r="AO345" s="761"/>
      <c r="AP345" s="440">
        <v>0</v>
      </c>
      <c r="AQ345" s="440">
        <v>0</v>
      </c>
      <c r="AR345" s="440">
        <v>0</v>
      </c>
      <c r="AS345" s="440">
        <v>0</v>
      </c>
      <c r="AT345" s="440">
        <v>0</v>
      </c>
      <c r="AU345" s="440">
        <v>0</v>
      </c>
      <c r="AV345" s="440">
        <v>0</v>
      </c>
      <c r="AW345" s="440">
        <v>0</v>
      </c>
      <c r="AX345" s="440">
        <v>0</v>
      </c>
      <c r="AY345" s="440">
        <v>0</v>
      </c>
      <c r="AZ345" s="440">
        <v>0</v>
      </c>
      <c r="BA345" s="440">
        <v>0</v>
      </c>
      <c r="BB345" s="440">
        <v>0</v>
      </c>
      <c r="BC345" s="440">
        <v>0</v>
      </c>
      <c r="BD345" s="440">
        <v>0</v>
      </c>
      <c r="BE345" s="440">
        <v>0</v>
      </c>
      <c r="BF345" s="440">
        <v>0</v>
      </c>
      <c r="BG345" s="440">
        <v>0</v>
      </c>
      <c r="BH345" s="440">
        <v>0</v>
      </c>
      <c r="BI345" s="440">
        <v>0</v>
      </c>
      <c r="BJ345" s="440">
        <v>0</v>
      </c>
      <c r="BK345" s="440">
        <v>0</v>
      </c>
      <c r="BL345" s="440">
        <v>0</v>
      </c>
      <c r="BM345" s="440">
        <v>0</v>
      </c>
      <c r="BN345" s="440">
        <v>0</v>
      </c>
      <c r="BO345" s="440">
        <v>0</v>
      </c>
      <c r="BP345" s="440">
        <v>0</v>
      </c>
      <c r="BQ345" s="440">
        <v>0</v>
      </c>
      <c r="BR345" s="415">
        <f t="shared" si="106"/>
        <v>0</v>
      </c>
      <c r="BS345" s="415">
        <f t="shared" si="123"/>
        <v>0</v>
      </c>
      <c r="BT345" s="935"/>
      <c r="BU345" s="935"/>
      <c r="BV345" s="935"/>
      <c r="BW345" s="935"/>
      <c r="BX345" s="935"/>
      <c r="BY345" s="935"/>
      <c r="BZ345" s="935"/>
      <c r="CA345" s="935"/>
      <c r="CB345" s="935"/>
      <c r="CC345" s="935"/>
      <c r="CD345" s="935"/>
      <c r="CE345" s="935"/>
      <c r="CF345" s="935"/>
      <c r="CG345" s="935"/>
      <c r="CH345" s="935"/>
      <c r="CI345" s="935"/>
      <c r="CJ345" s="935"/>
      <c r="CK345" s="935"/>
      <c r="CL345" s="935"/>
      <c r="CM345" s="935"/>
      <c r="CN345" s="935"/>
      <c r="CO345" s="935"/>
      <c r="CP345" s="935"/>
      <c r="CQ345" s="935"/>
      <c r="CR345" s="935"/>
      <c r="CS345" s="935"/>
      <c r="CT345" s="935"/>
      <c r="CU345" s="935"/>
      <c r="CV345" s="935"/>
    </row>
    <row r="346" spans="1:100">
      <c r="A346" s="375">
        <f t="shared" si="108"/>
        <v>8</v>
      </c>
      <c r="B346" s="862">
        <v>44439</v>
      </c>
      <c r="C346" s="493" t="s">
        <v>2001</v>
      </c>
      <c r="D346" s="376" t="str">
        <f>IFERROR(VLOOKUP(E:E,'Item Data Support Sheet'!A:O,7,0),"")</f>
        <v>NIPPLE PUNCH</v>
      </c>
      <c r="E346" s="447" t="s">
        <v>82</v>
      </c>
      <c r="F346" s="500"/>
      <c r="G346" s="497" t="s">
        <v>1692</v>
      </c>
      <c r="H346" s="602" t="str">
        <f>IFERROR(VLOOKUP(E:E,'Item Data Support Sheet'!A:O,2,0),"")</f>
        <v>NIPPLE S TYPE L SIZE PUNCHED</v>
      </c>
      <c r="I346" s="501" t="s">
        <v>2782</v>
      </c>
      <c r="J346" s="447" t="s">
        <v>2810</v>
      </c>
      <c r="K346" s="438">
        <v>8</v>
      </c>
      <c r="L346" s="499">
        <v>7000</v>
      </c>
      <c r="M346" s="366">
        <f t="shared" si="124"/>
        <v>875</v>
      </c>
      <c r="N346" s="367">
        <f t="shared" si="107"/>
        <v>7500</v>
      </c>
      <c r="O346" s="61">
        <v>7500</v>
      </c>
      <c r="P346" s="368">
        <v>0</v>
      </c>
      <c r="Q346" s="368">
        <v>0</v>
      </c>
      <c r="R346" s="494">
        <v>0</v>
      </c>
      <c r="S346" s="493">
        <v>0</v>
      </c>
      <c r="T346" s="494">
        <v>0</v>
      </c>
      <c r="U346" s="493">
        <v>0</v>
      </c>
      <c r="V346" s="502">
        <v>1</v>
      </c>
      <c r="W346" s="453">
        <f t="shared" si="109"/>
        <v>7500</v>
      </c>
      <c r="X346" s="748">
        <f t="shared" si="110"/>
        <v>1.0714285714285714</v>
      </c>
      <c r="Y346" s="451" t="str">
        <f>IFERROR(VLOOKUP(E:E,'Item Data Support Sheet'!A:J,6,0),0)</f>
        <v>FO017</v>
      </c>
      <c r="Z346" s="428">
        <f>IFERROR(VLOOKUP(E:E,'Item Data Support Sheet'!A:O,4,0),0)</f>
        <v>0</v>
      </c>
      <c r="AA346" s="428">
        <f t="shared" si="111"/>
        <v>0</v>
      </c>
      <c r="AB346" s="429" t="str">
        <f t="shared" si="112"/>
        <v xml:space="preserve"> </v>
      </c>
      <c r="AC346" s="424">
        <f t="shared" si="113"/>
        <v>0</v>
      </c>
      <c r="AD346" s="371">
        <f t="shared" si="114"/>
        <v>0</v>
      </c>
      <c r="AE346" s="748">
        <f t="shared" si="115"/>
        <v>1</v>
      </c>
      <c r="AF346" s="417">
        <f t="shared" si="116"/>
        <v>0.66666666666666663</v>
      </c>
      <c r="AG346" s="416">
        <f t="shared" si="117"/>
        <v>7.333333333333333</v>
      </c>
      <c r="AH346" s="372">
        <f t="shared" si="118"/>
        <v>0.91666666666666663</v>
      </c>
      <c r="AI346" s="373">
        <f t="shared" si="119"/>
        <v>937.5</v>
      </c>
      <c r="AJ346" s="418">
        <f>VLOOKUP(D346,'Standard Cycle time'!C:D,2,0)</f>
        <v>3.5</v>
      </c>
      <c r="AK346" s="418">
        <f t="shared" si="120"/>
        <v>3.52</v>
      </c>
      <c r="AL346" s="374">
        <f t="shared" si="121"/>
        <v>0.99431818181818177</v>
      </c>
      <c r="AM346" s="372">
        <f t="shared" si="122"/>
        <v>0.91145833333333326</v>
      </c>
      <c r="AN346" s="799" t="s">
        <v>2783</v>
      </c>
      <c r="AO346" s="929"/>
      <c r="AP346" s="440">
        <v>40</v>
      </c>
      <c r="AQ346" s="440">
        <v>0</v>
      </c>
      <c r="AR346" s="440">
        <v>0</v>
      </c>
      <c r="AS346" s="440">
        <v>0</v>
      </c>
      <c r="AT346" s="440">
        <v>0</v>
      </c>
      <c r="AU346" s="440">
        <v>0</v>
      </c>
      <c r="AV346" s="440">
        <v>0</v>
      </c>
      <c r="AW346" s="440">
        <v>0</v>
      </c>
      <c r="AX346" s="440">
        <v>0</v>
      </c>
      <c r="AY346" s="440">
        <v>0</v>
      </c>
      <c r="AZ346" s="440">
        <v>0</v>
      </c>
      <c r="BA346" s="440">
        <v>0</v>
      </c>
      <c r="BB346" s="440">
        <v>0</v>
      </c>
      <c r="BC346" s="440">
        <v>0</v>
      </c>
      <c r="BD346" s="440">
        <v>0</v>
      </c>
      <c r="BE346" s="440">
        <v>0</v>
      </c>
      <c r="BF346" s="440">
        <v>0</v>
      </c>
      <c r="BG346" s="440">
        <v>0</v>
      </c>
      <c r="BH346" s="440">
        <v>0</v>
      </c>
      <c r="BI346" s="440">
        <v>0</v>
      </c>
      <c r="BJ346" s="440">
        <v>0</v>
      </c>
      <c r="BK346" s="440">
        <v>0</v>
      </c>
      <c r="BL346" s="440">
        <v>0</v>
      </c>
      <c r="BM346" s="440">
        <v>0</v>
      </c>
      <c r="BN346" s="440">
        <v>0</v>
      </c>
      <c r="BO346" s="440">
        <v>0</v>
      </c>
      <c r="BP346" s="440">
        <v>0</v>
      </c>
      <c r="BQ346" s="440">
        <v>0</v>
      </c>
      <c r="BR346" s="415">
        <f t="shared" si="106"/>
        <v>0.66666666666666663</v>
      </c>
      <c r="BS346" s="415">
        <f t="shared" si="123"/>
        <v>0.6777777777777777</v>
      </c>
      <c r="BT346" s="935"/>
      <c r="BU346" s="935"/>
      <c r="BV346" s="935"/>
      <c r="BW346" s="935"/>
      <c r="BX346" s="935"/>
      <c r="BY346" s="935"/>
      <c r="BZ346" s="935"/>
      <c r="CA346" s="935"/>
      <c r="CB346" s="935"/>
      <c r="CC346" s="935"/>
      <c r="CD346" s="935"/>
      <c r="CE346" s="935"/>
      <c r="CF346" s="935"/>
      <c r="CG346" s="935"/>
      <c r="CH346" s="935"/>
      <c r="CI346" s="935"/>
      <c r="CJ346" s="935"/>
      <c r="CK346" s="935"/>
      <c r="CL346" s="935"/>
      <c r="CM346" s="935"/>
      <c r="CN346" s="935"/>
      <c r="CO346" s="935"/>
      <c r="CP346" s="935"/>
      <c r="CQ346" s="935"/>
      <c r="CR346" s="935"/>
      <c r="CS346" s="935"/>
      <c r="CT346" s="935"/>
      <c r="CU346" s="935"/>
      <c r="CV346" s="935"/>
    </row>
    <row r="347" spans="1:100">
      <c r="A347" s="375">
        <f t="shared" si="108"/>
        <v>8</v>
      </c>
      <c r="B347" s="862">
        <v>44439</v>
      </c>
      <c r="C347" s="493" t="s">
        <v>2001</v>
      </c>
      <c r="D347" s="376" t="str">
        <f>IFERROR(VLOOKUP(E:E,'Item Data Support Sheet'!A:O,7,0),"")</f>
        <v>HOOD MOLDED</v>
      </c>
      <c r="E347" s="447" t="s">
        <v>1987</v>
      </c>
      <c r="F347" s="500"/>
      <c r="G347" s="497" t="s">
        <v>2220</v>
      </c>
      <c r="H347" s="602" t="str">
        <f>IFERROR(VLOOKUP(E:E,'Item Data Support Sheet'!A:O,2,0),"")</f>
        <v>HOOD S TYPE MOLDED</v>
      </c>
      <c r="I347" s="501" t="s">
        <v>2784</v>
      </c>
      <c r="J347" s="447" t="s">
        <v>2810</v>
      </c>
      <c r="K347" s="438">
        <v>8</v>
      </c>
      <c r="L347" s="499">
        <v>4137</v>
      </c>
      <c r="M347" s="366">
        <f t="shared" si="124"/>
        <v>517.125</v>
      </c>
      <c r="N347" s="367">
        <f t="shared" si="107"/>
        <v>4506</v>
      </c>
      <c r="O347" s="61">
        <v>4500</v>
      </c>
      <c r="P347" s="368">
        <v>0</v>
      </c>
      <c r="Q347" s="368">
        <v>0</v>
      </c>
      <c r="R347" s="494">
        <v>0</v>
      </c>
      <c r="S347" s="493">
        <v>0</v>
      </c>
      <c r="T347" s="494">
        <v>6</v>
      </c>
      <c r="U347" s="493">
        <v>0</v>
      </c>
      <c r="V347" s="502">
        <v>1</v>
      </c>
      <c r="W347" s="453">
        <f t="shared" si="109"/>
        <v>4500</v>
      </c>
      <c r="X347" s="748">
        <f t="shared" si="110"/>
        <v>1.0877447425670776</v>
      </c>
      <c r="Y347" s="451" t="str">
        <f>IFERROR(VLOOKUP(E:E,'Item Data Support Sheet'!A:J,6,0),0)</f>
        <v>HMC</v>
      </c>
      <c r="Z347" s="428">
        <f>IFERROR(VLOOKUP(E:E,'Item Data Support Sheet'!A:O,4,0),0)</f>
        <v>8.6</v>
      </c>
      <c r="AA347" s="428">
        <f t="shared" si="111"/>
        <v>38.751600000000003</v>
      </c>
      <c r="AB347" s="429">
        <f t="shared" si="112"/>
        <v>0.99866844207723038</v>
      </c>
      <c r="AC347" s="424">
        <f t="shared" si="113"/>
        <v>1.3315579227696406E-3</v>
      </c>
      <c r="AD347" s="371">
        <f t="shared" si="114"/>
        <v>0</v>
      </c>
      <c r="AE347" s="748">
        <f t="shared" si="115"/>
        <v>0.99866844207723038</v>
      </c>
      <c r="AF347" s="417">
        <f t="shared" si="116"/>
        <v>0</v>
      </c>
      <c r="AG347" s="416">
        <f t="shared" si="117"/>
        <v>8</v>
      </c>
      <c r="AH347" s="372">
        <f t="shared" si="118"/>
        <v>1</v>
      </c>
      <c r="AI347" s="373">
        <f t="shared" si="119"/>
        <v>562.5</v>
      </c>
      <c r="AJ347" s="418">
        <f>VLOOKUP(D347,'Standard Cycle time'!C:D,2,0)</f>
        <v>6</v>
      </c>
      <c r="AK347" s="418">
        <f t="shared" si="120"/>
        <v>6.4</v>
      </c>
      <c r="AL347" s="374">
        <f t="shared" si="121"/>
        <v>0.9375</v>
      </c>
      <c r="AM347" s="372">
        <f t="shared" si="122"/>
        <v>0.93625166444740349</v>
      </c>
      <c r="AN347" s="799">
        <v>2907</v>
      </c>
      <c r="AO347" s="761"/>
      <c r="AP347" s="440">
        <v>0</v>
      </c>
      <c r="AQ347" s="440">
        <v>0</v>
      </c>
      <c r="AR347" s="440">
        <v>0</v>
      </c>
      <c r="AS347" s="440">
        <v>0</v>
      </c>
      <c r="AT347" s="440">
        <v>0</v>
      </c>
      <c r="AU347" s="440">
        <v>0</v>
      </c>
      <c r="AV347" s="440">
        <v>0</v>
      </c>
      <c r="AW347" s="440">
        <v>0</v>
      </c>
      <c r="AX347" s="440">
        <v>0</v>
      </c>
      <c r="AY347" s="440">
        <v>0</v>
      </c>
      <c r="AZ347" s="440">
        <v>0</v>
      </c>
      <c r="BA347" s="440">
        <v>0</v>
      </c>
      <c r="BB347" s="440">
        <v>0</v>
      </c>
      <c r="BC347" s="440">
        <v>0</v>
      </c>
      <c r="BD347" s="440">
        <v>0</v>
      </c>
      <c r="BE347" s="440">
        <v>0</v>
      </c>
      <c r="BF347" s="440">
        <v>0</v>
      </c>
      <c r="BG347" s="440">
        <v>0</v>
      </c>
      <c r="BH347" s="440">
        <v>0</v>
      </c>
      <c r="BI347" s="440">
        <v>0</v>
      </c>
      <c r="BJ347" s="440">
        <v>0</v>
      </c>
      <c r="BK347" s="440">
        <v>0</v>
      </c>
      <c r="BL347" s="440">
        <v>0</v>
      </c>
      <c r="BM347" s="440">
        <v>0</v>
      </c>
      <c r="BN347" s="440">
        <v>0</v>
      </c>
      <c r="BO347" s="440">
        <v>0</v>
      </c>
      <c r="BP347" s="440">
        <v>0</v>
      </c>
      <c r="BQ347" s="440">
        <v>0</v>
      </c>
      <c r="BR347" s="415">
        <f t="shared" si="106"/>
        <v>0</v>
      </c>
      <c r="BS347" s="415">
        <f t="shared" si="123"/>
        <v>0</v>
      </c>
      <c r="BT347" s="935"/>
      <c r="BU347" s="935"/>
      <c r="BV347" s="935"/>
      <c r="BW347" s="935"/>
      <c r="BX347" s="935"/>
      <c r="BY347" s="935"/>
      <c r="BZ347" s="935"/>
      <c r="CA347" s="935"/>
      <c r="CB347" s="935"/>
      <c r="CC347" s="935"/>
      <c r="CD347" s="935"/>
      <c r="CE347" s="935"/>
      <c r="CF347" s="935"/>
      <c r="CG347" s="935"/>
      <c r="CH347" s="935"/>
      <c r="CI347" s="935"/>
      <c r="CJ347" s="935"/>
      <c r="CK347" s="935"/>
      <c r="CL347" s="935"/>
      <c r="CM347" s="935"/>
      <c r="CN347" s="935"/>
      <c r="CO347" s="935"/>
      <c r="CP347" s="935"/>
      <c r="CQ347" s="935"/>
      <c r="CR347" s="935"/>
      <c r="CS347" s="935"/>
      <c r="CT347" s="935"/>
      <c r="CU347" s="935"/>
      <c r="CV347" s="935"/>
    </row>
    <row r="348" spans="1:100">
      <c r="A348" s="375">
        <f t="shared" si="108"/>
        <v>8</v>
      </c>
      <c r="B348" s="862">
        <v>44439</v>
      </c>
      <c r="C348" s="493" t="s">
        <v>2001</v>
      </c>
      <c r="D348" s="376" t="str">
        <f>IFERROR(VLOOKUP(E:E,'Item Data Support Sheet'!A:O,7,0),"")</f>
        <v>NIPPLE POSTCURE</v>
      </c>
      <c r="E348" s="447" t="s">
        <v>78</v>
      </c>
      <c r="F348" s="500"/>
      <c r="G348" s="497" t="s">
        <v>1705</v>
      </c>
      <c r="H348" s="602" t="str">
        <f>IFERROR(VLOOKUP(E:E,'Item Data Support Sheet'!A:O,2,0),"")</f>
        <v>NIPPLE S TYPE L SIZE POSTCURED</v>
      </c>
      <c r="I348" s="438" t="s">
        <v>2785</v>
      </c>
      <c r="J348" s="447" t="s">
        <v>2810</v>
      </c>
      <c r="K348" s="438">
        <v>2.5</v>
      </c>
      <c r="L348" s="499">
        <v>4000</v>
      </c>
      <c r="M348" s="366">
        <f t="shared" si="124"/>
        <v>1600</v>
      </c>
      <c r="N348" s="367">
        <f t="shared" si="107"/>
        <v>4000</v>
      </c>
      <c r="O348" s="61">
        <v>4000</v>
      </c>
      <c r="P348" s="368">
        <v>0</v>
      </c>
      <c r="Q348" s="368">
        <v>0</v>
      </c>
      <c r="R348" s="494">
        <v>0</v>
      </c>
      <c r="S348" s="493">
        <v>0</v>
      </c>
      <c r="T348" s="494">
        <v>0</v>
      </c>
      <c r="U348" s="493">
        <v>0</v>
      </c>
      <c r="V348" s="502">
        <v>1</v>
      </c>
      <c r="W348" s="453">
        <f t="shared" si="109"/>
        <v>4000</v>
      </c>
      <c r="X348" s="748">
        <f t="shared" si="110"/>
        <v>1</v>
      </c>
      <c r="Y348" s="451" t="str">
        <f>IFERROR(VLOOKUP(E:E,'Item Data Support Sheet'!A:J,6,0),0)</f>
        <v>FO013</v>
      </c>
      <c r="Z348" s="428">
        <f>IFERROR(VLOOKUP(E:E,'Item Data Support Sheet'!A:O,4,0),0)</f>
        <v>0</v>
      </c>
      <c r="AA348" s="428">
        <f t="shared" si="111"/>
        <v>0</v>
      </c>
      <c r="AB348" s="429" t="str">
        <f t="shared" si="112"/>
        <v xml:space="preserve"> </v>
      </c>
      <c r="AC348" s="424">
        <f t="shared" si="113"/>
        <v>0</v>
      </c>
      <c r="AD348" s="371">
        <f t="shared" si="114"/>
        <v>0</v>
      </c>
      <c r="AE348" s="748">
        <f t="shared" si="115"/>
        <v>1</v>
      </c>
      <c r="AF348" s="417">
        <f t="shared" si="116"/>
        <v>0</v>
      </c>
      <c r="AG348" s="416">
        <f t="shared" si="117"/>
        <v>2.5</v>
      </c>
      <c r="AH348" s="372">
        <f t="shared" si="118"/>
        <v>1</v>
      </c>
      <c r="AI348" s="373">
        <f t="shared" si="119"/>
        <v>1600</v>
      </c>
      <c r="AJ348" s="418">
        <f>VLOOKUP(D348,'Standard Cycle time'!C:D,2,0)</f>
        <v>2.2999999999999998</v>
      </c>
      <c r="AK348" s="418">
        <f t="shared" si="120"/>
        <v>2.25</v>
      </c>
      <c r="AL348" s="374">
        <f t="shared" si="121"/>
        <v>1.0222222222222221</v>
      </c>
      <c r="AM348" s="372">
        <f t="shared" si="122"/>
        <v>1.0222222222222221</v>
      </c>
      <c r="AN348" s="799">
        <v>2908</v>
      </c>
      <c r="AO348" s="761"/>
      <c r="AP348" s="440">
        <v>0</v>
      </c>
      <c r="AQ348" s="440">
        <v>0</v>
      </c>
      <c r="AR348" s="440">
        <v>0</v>
      </c>
      <c r="AS348" s="440">
        <v>0</v>
      </c>
      <c r="AT348" s="440">
        <v>0</v>
      </c>
      <c r="AU348" s="440">
        <v>0</v>
      </c>
      <c r="AV348" s="440">
        <v>0</v>
      </c>
      <c r="AW348" s="440">
        <v>0</v>
      </c>
      <c r="AX348" s="440">
        <v>0</v>
      </c>
      <c r="AY348" s="440">
        <v>0</v>
      </c>
      <c r="AZ348" s="440">
        <v>0</v>
      </c>
      <c r="BA348" s="440">
        <v>0</v>
      </c>
      <c r="BB348" s="440">
        <v>0</v>
      </c>
      <c r="BC348" s="440">
        <v>0</v>
      </c>
      <c r="BD348" s="440">
        <v>0</v>
      </c>
      <c r="BE348" s="440">
        <v>0</v>
      </c>
      <c r="BF348" s="440">
        <v>0</v>
      </c>
      <c r="BG348" s="440">
        <v>0</v>
      </c>
      <c r="BH348" s="440">
        <v>0</v>
      </c>
      <c r="BI348" s="440">
        <v>0</v>
      </c>
      <c r="BJ348" s="440">
        <v>0</v>
      </c>
      <c r="BK348" s="440">
        <v>0</v>
      </c>
      <c r="BL348" s="440">
        <v>0</v>
      </c>
      <c r="BM348" s="440">
        <v>0</v>
      </c>
      <c r="BN348" s="440">
        <v>0</v>
      </c>
      <c r="BO348" s="440">
        <v>0</v>
      </c>
      <c r="BP348" s="440">
        <v>0</v>
      </c>
      <c r="BQ348" s="440">
        <v>0</v>
      </c>
      <c r="BR348" s="415">
        <f t="shared" si="106"/>
        <v>0</v>
      </c>
      <c r="BS348" s="415">
        <f t="shared" si="123"/>
        <v>0</v>
      </c>
      <c r="BT348" s="935"/>
      <c r="BU348" s="935"/>
      <c r="BV348" s="935"/>
      <c r="BW348" s="935"/>
      <c r="BX348" s="935"/>
      <c r="BY348" s="935"/>
      <c r="BZ348" s="935"/>
      <c r="CA348" s="935"/>
      <c r="CB348" s="935"/>
      <c r="CC348" s="935"/>
      <c r="CD348" s="935"/>
      <c r="CE348" s="935"/>
      <c r="CF348" s="935"/>
      <c r="CG348" s="935"/>
      <c r="CH348" s="935"/>
      <c r="CI348" s="935"/>
      <c r="CJ348" s="935"/>
      <c r="CK348" s="935"/>
      <c r="CL348" s="935"/>
      <c r="CM348" s="935"/>
      <c r="CN348" s="935"/>
      <c r="CO348" s="935"/>
      <c r="CP348" s="935"/>
      <c r="CQ348" s="935"/>
      <c r="CR348" s="935"/>
      <c r="CS348" s="935"/>
      <c r="CT348" s="935"/>
      <c r="CU348" s="935"/>
      <c r="CV348" s="935"/>
    </row>
    <row r="349" spans="1:100">
      <c r="A349" s="375">
        <f t="shared" si="108"/>
        <v>8</v>
      </c>
      <c r="B349" s="862">
        <v>44439</v>
      </c>
      <c r="C349" s="493" t="s">
        <v>2000</v>
      </c>
      <c r="D349" s="376" t="str">
        <f>IFERROR(VLOOKUP(E:E,'Item Data Support Sheet'!A:O,7,0),"")</f>
        <v>BOTTLE PRINTED</v>
      </c>
      <c r="E349" s="447" t="s">
        <v>164</v>
      </c>
      <c r="F349" s="500"/>
      <c r="G349" s="497"/>
      <c r="H349" s="602" t="str">
        <f>IFERROR(VLOOKUP(E:E,'Item Data Support Sheet'!A:O,2,0),"")</f>
        <v>RPP 120ML BOY BLUE BOTTLE PRINTED (WM3GB)</v>
      </c>
      <c r="I349" s="501" t="s">
        <v>2788</v>
      </c>
      <c r="J349" s="447" t="s">
        <v>2813</v>
      </c>
      <c r="K349" s="438">
        <v>3</v>
      </c>
      <c r="L349" s="499">
        <v>650</v>
      </c>
      <c r="M349" s="366">
        <f t="shared" si="124"/>
        <v>216.66666666666666</v>
      </c>
      <c r="N349" s="367">
        <f t="shared" si="107"/>
        <v>682</v>
      </c>
      <c r="O349" s="61">
        <v>670</v>
      </c>
      <c r="P349" s="368">
        <v>0</v>
      </c>
      <c r="Q349" s="368">
        <v>0</v>
      </c>
      <c r="R349" s="494">
        <v>7</v>
      </c>
      <c r="S349" s="493">
        <v>0</v>
      </c>
      <c r="T349" s="494">
        <v>12</v>
      </c>
      <c r="U349" s="493">
        <v>0</v>
      </c>
      <c r="V349" s="502">
        <v>6</v>
      </c>
      <c r="W349" s="453">
        <f t="shared" si="109"/>
        <v>111.66666666666667</v>
      </c>
      <c r="X349" s="748">
        <f t="shared" si="110"/>
        <v>1.0307692307692307</v>
      </c>
      <c r="Y349" s="451" t="str">
        <f>IFERROR(VLOOKUP(E:E,'Item Data Support Sheet'!A:J,6,0),0)</f>
        <v>FO054</v>
      </c>
      <c r="Z349" s="428">
        <f>IFERROR(VLOOKUP(E:E,'Item Data Support Sheet'!A:O,4,0),0)</f>
        <v>0</v>
      </c>
      <c r="AA349" s="428">
        <f t="shared" si="111"/>
        <v>0</v>
      </c>
      <c r="AB349" s="429" t="str">
        <f t="shared" si="112"/>
        <v xml:space="preserve"> </v>
      </c>
      <c r="AC349" s="424">
        <f t="shared" si="113"/>
        <v>1.7595307917888565E-2</v>
      </c>
      <c r="AD349" s="371">
        <f t="shared" si="114"/>
        <v>0</v>
      </c>
      <c r="AE349" s="748">
        <f t="shared" si="115"/>
        <v>0.98240469208211145</v>
      </c>
      <c r="AF349" s="417">
        <f t="shared" si="116"/>
        <v>1.8333333333333333</v>
      </c>
      <c r="AG349" s="416">
        <f t="shared" si="117"/>
        <v>1.1666666666666667</v>
      </c>
      <c r="AH349" s="372">
        <f t="shared" si="118"/>
        <v>0.3888888888888889</v>
      </c>
      <c r="AI349" s="373">
        <f t="shared" si="119"/>
        <v>223.33333333333334</v>
      </c>
      <c r="AJ349" s="418">
        <f>VLOOKUP(D349,'Standard Cycle time'!C:D,2,0)</f>
        <v>32.4</v>
      </c>
      <c r="AK349" s="418">
        <f t="shared" si="120"/>
        <v>37.611940298507463</v>
      </c>
      <c r="AL349" s="374">
        <f t="shared" si="121"/>
        <v>0.86142857142857143</v>
      </c>
      <c r="AM349" s="372">
        <f t="shared" si="122"/>
        <v>0.32910557184750733</v>
      </c>
      <c r="AN349" s="799" t="s">
        <v>2795</v>
      </c>
      <c r="AO349" s="929" t="s">
        <v>2786</v>
      </c>
      <c r="AP349" s="440">
        <v>30</v>
      </c>
      <c r="AQ349" s="440">
        <v>60</v>
      </c>
      <c r="AR349" s="440">
        <v>0</v>
      </c>
      <c r="AS349" s="440">
        <v>0</v>
      </c>
      <c r="AT349" s="440">
        <v>0</v>
      </c>
      <c r="AU349" s="440">
        <v>0</v>
      </c>
      <c r="AV349" s="440">
        <v>20</v>
      </c>
      <c r="AW349" s="440">
        <v>0</v>
      </c>
      <c r="AX349" s="440">
        <v>0</v>
      </c>
      <c r="AY349" s="440">
        <v>0</v>
      </c>
      <c r="AZ349" s="440">
        <v>0</v>
      </c>
      <c r="BA349" s="440">
        <v>0</v>
      </c>
      <c r="BB349" s="440">
        <v>0</v>
      </c>
      <c r="BC349" s="440">
        <v>0</v>
      </c>
      <c r="BD349" s="440">
        <v>0</v>
      </c>
      <c r="BE349" s="440">
        <v>0</v>
      </c>
      <c r="BF349" s="440">
        <v>0</v>
      </c>
      <c r="BG349" s="440">
        <v>0</v>
      </c>
      <c r="BH349" s="440">
        <v>0</v>
      </c>
      <c r="BI349" s="440">
        <v>0</v>
      </c>
      <c r="BJ349" s="440">
        <v>0</v>
      </c>
      <c r="BK349" s="440">
        <v>0</v>
      </c>
      <c r="BL349" s="440">
        <v>0</v>
      </c>
      <c r="BM349" s="440">
        <v>0</v>
      </c>
      <c r="BN349" s="440">
        <v>0</v>
      </c>
      <c r="BO349" s="440">
        <v>0</v>
      </c>
      <c r="BP349" s="440">
        <v>0</v>
      </c>
      <c r="BQ349" s="440">
        <v>0</v>
      </c>
      <c r="BR349" s="415">
        <f t="shared" si="106"/>
        <v>1.8333333333333333</v>
      </c>
      <c r="BS349" s="415">
        <f t="shared" si="123"/>
        <v>1.8638888888888887</v>
      </c>
      <c r="BT349" s="935"/>
      <c r="BU349" s="935"/>
      <c r="BV349" s="935"/>
      <c r="BW349" s="935"/>
      <c r="BX349" s="935"/>
      <c r="BY349" s="935"/>
      <c r="BZ349" s="935"/>
      <c r="CA349" s="935"/>
      <c r="CB349" s="935"/>
      <c r="CC349" s="935"/>
      <c r="CD349" s="935"/>
      <c r="CE349" s="935"/>
      <c r="CF349" s="935"/>
      <c r="CG349" s="935"/>
      <c r="CH349" s="935"/>
      <c r="CI349" s="935"/>
      <c r="CJ349" s="935"/>
      <c r="CK349" s="935"/>
      <c r="CL349" s="935"/>
      <c r="CM349" s="935"/>
      <c r="CN349" s="935"/>
      <c r="CO349" s="935"/>
      <c r="CP349" s="935"/>
      <c r="CQ349" s="935"/>
      <c r="CR349" s="935"/>
      <c r="CS349" s="935"/>
      <c r="CT349" s="935"/>
      <c r="CU349" s="935"/>
      <c r="CV349" s="935"/>
    </row>
    <row r="350" spans="1:100">
      <c r="A350" s="375">
        <f t="shared" si="108"/>
        <v>8</v>
      </c>
      <c r="B350" s="862">
        <v>44439</v>
      </c>
      <c r="C350" s="493" t="s">
        <v>2000</v>
      </c>
      <c r="D350" s="376" t="str">
        <f>IFERROR(VLOOKUP(E:E,'Item Data Support Sheet'!A:O,7,0),"")</f>
        <v>BOTTLE PRINTED</v>
      </c>
      <c r="E350" s="447" t="s">
        <v>141</v>
      </c>
      <c r="F350" s="500"/>
      <c r="G350" s="497"/>
      <c r="H350" s="602" t="str">
        <f>IFERROR(VLOOKUP(E:E,'Item Data Support Sheet'!A:O,2,0),"")</f>
        <v>RPP 120ML GIRL PINK BOTTLE PRINTED (WM3GB)</v>
      </c>
      <c r="I350" s="501" t="s">
        <v>2787</v>
      </c>
      <c r="J350" s="447" t="s">
        <v>2813</v>
      </c>
      <c r="K350" s="438">
        <v>4</v>
      </c>
      <c r="L350" s="499">
        <v>1100</v>
      </c>
      <c r="M350" s="366">
        <f t="shared" si="124"/>
        <v>275</v>
      </c>
      <c r="N350" s="367">
        <f t="shared" si="107"/>
        <v>1193</v>
      </c>
      <c r="O350" s="61">
        <v>1171</v>
      </c>
      <c r="P350" s="368">
        <v>0</v>
      </c>
      <c r="Q350" s="368">
        <v>0</v>
      </c>
      <c r="R350" s="494">
        <v>18</v>
      </c>
      <c r="S350" s="493">
        <v>0</v>
      </c>
      <c r="T350" s="494">
        <v>22</v>
      </c>
      <c r="U350" s="493">
        <v>0</v>
      </c>
      <c r="V350" s="502">
        <v>6</v>
      </c>
      <c r="W350" s="453">
        <f t="shared" si="109"/>
        <v>195.16666666666666</v>
      </c>
      <c r="X350" s="748">
        <f t="shared" si="110"/>
        <v>1.0645454545454545</v>
      </c>
      <c r="Y350" s="451" t="str">
        <f>IFERROR(VLOOKUP(E:E,'Item Data Support Sheet'!A:J,6,0),0)</f>
        <v>FO052</v>
      </c>
      <c r="Z350" s="428">
        <f>IFERROR(VLOOKUP(E:E,'Item Data Support Sheet'!A:O,4,0),0)</f>
        <v>0</v>
      </c>
      <c r="AA350" s="428">
        <f t="shared" si="111"/>
        <v>0</v>
      </c>
      <c r="AB350" s="429" t="str">
        <f t="shared" si="112"/>
        <v xml:space="preserve"> </v>
      </c>
      <c r="AC350" s="424">
        <f t="shared" si="113"/>
        <v>1.8440905280804692E-2</v>
      </c>
      <c r="AD350" s="371">
        <f t="shared" si="114"/>
        <v>0</v>
      </c>
      <c r="AE350" s="748">
        <f t="shared" si="115"/>
        <v>0.98155909471919534</v>
      </c>
      <c r="AF350" s="417">
        <f t="shared" si="116"/>
        <v>1.8333333333333333</v>
      </c>
      <c r="AG350" s="416">
        <f t="shared" si="117"/>
        <v>2.166666666666667</v>
      </c>
      <c r="AH350" s="372">
        <f t="shared" si="118"/>
        <v>0.54166666666666674</v>
      </c>
      <c r="AI350" s="373">
        <f t="shared" si="119"/>
        <v>292.75</v>
      </c>
      <c r="AJ350" s="418">
        <f>VLOOKUP(D350,'Standard Cycle time'!C:D,2,0)</f>
        <v>32.4</v>
      </c>
      <c r="AK350" s="418">
        <f t="shared" si="120"/>
        <v>39.965841161400519</v>
      </c>
      <c r="AL350" s="374">
        <f t="shared" si="121"/>
        <v>0.81069230769230749</v>
      </c>
      <c r="AM350" s="372">
        <f t="shared" si="122"/>
        <v>0.43102713746856663</v>
      </c>
      <c r="AN350" s="799">
        <v>2892</v>
      </c>
      <c r="AO350" s="929"/>
      <c r="AP350" s="440">
        <v>30</v>
      </c>
      <c r="AQ350" s="440">
        <v>60</v>
      </c>
      <c r="AR350" s="440">
        <v>0</v>
      </c>
      <c r="AS350" s="440">
        <v>0</v>
      </c>
      <c r="AT350" s="440">
        <v>0</v>
      </c>
      <c r="AU350" s="440">
        <v>0</v>
      </c>
      <c r="AV350" s="440">
        <v>20</v>
      </c>
      <c r="AW350" s="440">
        <v>0</v>
      </c>
      <c r="AX350" s="440">
        <v>0</v>
      </c>
      <c r="AY350" s="440">
        <v>0</v>
      </c>
      <c r="AZ350" s="440">
        <v>0</v>
      </c>
      <c r="BA350" s="440">
        <v>0</v>
      </c>
      <c r="BB350" s="440">
        <v>0</v>
      </c>
      <c r="BC350" s="440">
        <v>0</v>
      </c>
      <c r="BD350" s="440">
        <v>0</v>
      </c>
      <c r="BE350" s="440">
        <v>0</v>
      </c>
      <c r="BF350" s="440">
        <v>0</v>
      </c>
      <c r="BG350" s="440">
        <v>0</v>
      </c>
      <c r="BH350" s="440">
        <v>0</v>
      </c>
      <c r="BI350" s="440">
        <v>0</v>
      </c>
      <c r="BJ350" s="440">
        <v>0</v>
      </c>
      <c r="BK350" s="440">
        <v>0</v>
      </c>
      <c r="BL350" s="440">
        <v>0</v>
      </c>
      <c r="BM350" s="440">
        <v>0</v>
      </c>
      <c r="BN350" s="440">
        <v>0</v>
      </c>
      <c r="BO350" s="440">
        <v>0</v>
      </c>
      <c r="BP350" s="440">
        <v>0</v>
      </c>
      <c r="BQ350" s="440">
        <v>0</v>
      </c>
      <c r="BR350" s="415">
        <f t="shared" si="106"/>
        <v>1.8333333333333333</v>
      </c>
      <c r="BS350" s="415">
        <f t="shared" si="123"/>
        <v>1.8638888888888887</v>
      </c>
      <c r="BT350" s="935"/>
      <c r="BU350" s="935"/>
      <c r="BV350" s="935"/>
      <c r="BW350" s="935"/>
      <c r="BX350" s="935"/>
      <c r="BY350" s="935"/>
      <c r="BZ350" s="935"/>
      <c r="CA350" s="935"/>
      <c r="CB350" s="935"/>
      <c r="CC350" s="935"/>
      <c r="CD350" s="935"/>
      <c r="CE350" s="935"/>
      <c r="CF350" s="935"/>
      <c r="CG350" s="935"/>
      <c r="CH350" s="935"/>
      <c r="CI350" s="935"/>
      <c r="CJ350" s="935"/>
      <c r="CK350" s="935"/>
      <c r="CL350" s="935"/>
      <c r="CM350" s="935"/>
      <c r="CN350" s="935"/>
      <c r="CO350" s="935"/>
      <c r="CP350" s="935"/>
      <c r="CQ350" s="935"/>
      <c r="CR350" s="935"/>
      <c r="CS350" s="935"/>
      <c r="CT350" s="935"/>
      <c r="CU350" s="935"/>
      <c r="CV350" s="935"/>
    </row>
    <row r="351" spans="1:100">
      <c r="A351" s="375">
        <f t="shared" si="108"/>
        <v>8</v>
      </c>
      <c r="B351" s="862">
        <v>44439</v>
      </c>
      <c r="C351" s="493" t="s">
        <v>2000</v>
      </c>
      <c r="D351" s="376" t="str">
        <f>IFERROR(VLOOKUP(E:E,'Item Data Support Sheet'!A:O,7,0),"")</f>
        <v>BOTTLE PRINTED</v>
      </c>
      <c r="E351" s="447" t="s">
        <v>231</v>
      </c>
      <c r="F351" s="500"/>
      <c r="G351" s="497"/>
      <c r="H351" s="602" t="str">
        <f>IFERROR(VLOOKUP(E:E,'Item Data Support Sheet'!A:O,2,0),"")</f>
        <v>RPP 120ML GRL PNK BOTLE PNTD WM3GB W/BIS LOGO</v>
      </c>
      <c r="I351" s="501" t="s">
        <v>2787</v>
      </c>
      <c r="J351" s="447" t="s">
        <v>2813</v>
      </c>
      <c r="K351" s="438">
        <v>0.5</v>
      </c>
      <c r="L351" s="499">
        <v>210</v>
      </c>
      <c r="M351" s="366">
        <f t="shared" si="124"/>
        <v>420</v>
      </c>
      <c r="N351" s="367">
        <f t="shared" si="107"/>
        <v>7</v>
      </c>
      <c r="O351" s="61">
        <v>7</v>
      </c>
      <c r="P351" s="368">
        <v>0</v>
      </c>
      <c r="Q351" s="368">
        <v>0</v>
      </c>
      <c r="R351" s="494">
        <v>0</v>
      </c>
      <c r="S351" s="493">
        <v>0</v>
      </c>
      <c r="T351" s="494">
        <v>0</v>
      </c>
      <c r="U351" s="493">
        <v>0</v>
      </c>
      <c r="V351" s="502">
        <v>1</v>
      </c>
      <c r="W351" s="453">
        <f t="shared" si="109"/>
        <v>7</v>
      </c>
      <c r="X351" s="748">
        <f t="shared" si="110"/>
        <v>3.3333333333333333E-2</v>
      </c>
      <c r="Y351" s="451" t="str">
        <f>IFERROR(VLOOKUP(E:E,'Item Data Support Sheet'!A:J,6,0),0)</f>
        <v>FO052</v>
      </c>
      <c r="Z351" s="428">
        <f>IFERROR(VLOOKUP(E:E,'Item Data Support Sheet'!A:O,4,0),0)</f>
        <v>0</v>
      </c>
      <c r="AA351" s="428">
        <f t="shared" si="111"/>
        <v>0</v>
      </c>
      <c r="AB351" s="429" t="str">
        <f t="shared" si="112"/>
        <v xml:space="preserve"> </v>
      </c>
      <c r="AC351" s="424">
        <f t="shared" si="113"/>
        <v>0</v>
      </c>
      <c r="AD351" s="371">
        <f t="shared" si="114"/>
        <v>0</v>
      </c>
      <c r="AE351" s="748">
        <f t="shared" si="115"/>
        <v>1</v>
      </c>
      <c r="AF351" s="417">
        <f t="shared" si="116"/>
        <v>0.41666666666666669</v>
      </c>
      <c r="AG351" s="416">
        <f t="shared" si="117"/>
        <v>8.3333333333333315E-2</v>
      </c>
      <c r="AH351" s="372">
        <f t="shared" si="118"/>
        <v>0.16666666666666663</v>
      </c>
      <c r="AI351" s="373">
        <f t="shared" si="119"/>
        <v>14</v>
      </c>
      <c r="AJ351" s="418">
        <f>VLOOKUP(D351,'Standard Cycle time'!C:D,2,0)</f>
        <v>32.4</v>
      </c>
      <c r="AK351" s="418">
        <f t="shared" si="120"/>
        <v>42.857142857142847</v>
      </c>
      <c r="AL351" s="374">
        <f t="shared" si="121"/>
        <v>0.75600000000000012</v>
      </c>
      <c r="AM351" s="372">
        <f t="shared" si="122"/>
        <v>0.126</v>
      </c>
      <c r="AN351" s="799">
        <v>2893</v>
      </c>
      <c r="AO351" s="448"/>
      <c r="AP351" s="440">
        <v>0</v>
      </c>
      <c r="AQ351" s="440">
        <v>25</v>
      </c>
      <c r="AR351" s="440">
        <v>0</v>
      </c>
      <c r="AS351" s="440">
        <v>0</v>
      </c>
      <c r="AT351" s="440">
        <v>0</v>
      </c>
      <c r="AU351" s="440">
        <v>0</v>
      </c>
      <c r="AV351" s="440">
        <v>0</v>
      </c>
      <c r="AW351" s="440">
        <v>0</v>
      </c>
      <c r="AX351" s="440">
        <v>0</v>
      </c>
      <c r="AY351" s="440">
        <v>0</v>
      </c>
      <c r="AZ351" s="440">
        <v>0</v>
      </c>
      <c r="BA351" s="440">
        <v>0</v>
      </c>
      <c r="BB351" s="440">
        <v>0</v>
      </c>
      <c r="BC351" s="440">
        <v>0</v>
      </c>
      <c r="BD351" s="440">
        <v>0</v>
      </c>
      <c r="BE351" s="440">
        <v>0</v>
      </c>
      <c r="BF351" s="440">
        <v>0</v>
      </c>
      <c r="BG351" s="440">
        <v>0</v>
      </c>
      <c r="BH351" s="440">
        <v>0</v>
      </c>
      <c r="BI351" s="440">
        <v>0</v>
      </c>
      <c r="BJ351" s="440">
        <v>0</v>
      </c>
      <c r="BK351" s="440">
        <v>0</v>
      </c>
      <c r="BL351" s="440">
        <v>0</v>
      </c>
      <c r="BM351" s="440">
        <v>0</v>
      </c>
      <c r="BN351" s="440">
        <v>0</v>
      </c>
      <c r="BO351" s="440">
        <v>0</v>
      </c>
      <c r="BP351" s="440">
        <v>0</v>
      </c>
      <c r="BQ351" s="440">
        <v>0</v>
      </c>
      <c r="BR351" s="415">
        <f t="shared" si="106"/>
        <v>0.41666666666666669</v>
      </c>
      <c r="BS351" s="415">
        <f t="shared" si="123"/>
        <v>0.4236111111111111</v>
      </c>
      <c r="BT351" s="935"/>
      <c r="BU351" s="935"/>
      <c r="BV351" s="935"/>
      <c r="BW351" s="935"/>
      <c r="BX351" s="935"/>
      <c r="BY351" s="935"/>
      <c r="BZ351" s="935"/>
      <c r="CA351" s="935"/>
      <c r="CB351" s="935"/>
      <c r="CC351" s="935"/>
      <c r="CD351" s="935"/>
      <c r="CE351" s="935"/>
      <c r="CF351" s="935"/>
      <c r="CG351" s="935"/>
      <c r="CH351" s="935"/>
      <c r="CI351" s="935"/>
      <c r="CJ351" s="935"/>
      <c r="CK351" s="935"/>
      <c r="CL351" s="935"/>
      <c r="CM351" s="935"/>
      <c r="CN351" s="935"/>
      <c r="CO351" s="935"/>
      <c r="CP351" s="935"/>
      <c r="CQ351" s="935"/>
      <c r="CR351" s="935"/>
      <c r="CS351" s="935"/>
      <c r="CT351" s="935"/>
      <c r="CU351" s="935"/>
      <c r="CV351" s="935"/>
    </row>
    <row r="352" spans="1:100">
      <c r="A352" s="375">
        <f t="shared" si="108"/>
        <v>8</v>
      </c>
      <c r="B352" s="862">
        <v>44439</v>
      </c>
      <c r="C352" s="493" t="s">
        <v>2000</v>
      </c>
      <c r="D352" s="376" t="str">
        <f>IFERROR(VLOOKUP(E:E,'Item Data Support Sheet'!A:O,7,0),"")</f>
        <v>BOTTLE PRINTED</v>
      </c>
      <c r="E352" s="447" t="s">
        <v>232</v>
      </c>
      <c r="F352" s="500"/>
      <c r="G352" s="497"/>
      <c r="H352" s="602" t="str">
        <f>IFERROR(VLOOKUP(E:E,'Item Data Support Sheet'!A:O,2,0),"")</f>
        <v>RPP 120ML BOY BLUE BOTLE PNTD WM3GB W/BIS LOGO</v>
      </c>
      <c r="I352" s="501" t="s">
        <v>2789</v>
      </c>
      <c r="J352" s="447" t="s">
        <v>2813</v>
      </c>
      <c r="K352" s="438">
        <v>1</v>
      </c>
      <c r="L352" s="499">
        <v>215</v>
      </c>
      <c r="M352" s="366">
        <f t="shared" si="124"/>
        <v>215</v>
      </c>
      <c r="N352" s="367">
        <f t="shared" si="107"/>
        <v>51</v>
      </c>
      <c r="O352" s="61">
        <v>51</v>
      </c>
      <c r="P352" s="368">
        <v>0</v>
      </c>
      <c r="Q352" s="368">
        <v>0</v>
      </c>
      <c r="R352" s="494">
        <v>0</v>
      </c>
      <c r="S352" s="493">
        <v>0</v>
      </c>
      <c r="T352" s="494">
        <v>0</v>
      </c>
      <c r="U352" s="493">
        <v>0</v>
      </c>
      <c r="V352" s="502">
        <v>1</v>
      </c>
      <c r="W352" s="453">
        <f t="shared" si="109"/>
        <v>51</v>
      </c>
      <c r="X352" s="748">
        <f t="shared" si="110"/>
        <v>0.23720930232558141</v>
      </c>
      <c r="Y352" s="451" t="str">
        <f>IFERROR(VLOOKUP(E:E,'Item Data Support Sheet'!A:J,6,0),0)</f>
        <v>FO054</v>
      </c>
      <c r="Z352" s="428">
        <f>IFERROR(VLOOKUP(E:E,'Item Data Support Sheet'!A:O,4,0),0)</f>
        <v>0</v>
      </c>
      <c r="AA352" s="428">
        <f t="shared" si="111"/>
        <v>0</v>
      </c>
      <c r="AB352" s="429" t="str">
        <f t="shared" si="112"/>
        <v xml:space="preserve"> </v>
      </c>
      <c r="AC352" s="424">
        <f t="shared" si="113"/>
        <v>0</v>
      </c>
      <c r="AD352" s="371">
        <f t="shared" si="114"/>
        <v>0</v>
      </c>
      <c r="AE352" s="748">
        <f t="shared" si="115"/>
        <v>1</v>
      </c>
      <c r="AF352" s="417">
        <f t="shared" si="116"/>
        <v>0.5</v>
      </c>
      <c r="AG352" s="416">
        <f t="shared" si="117"/>
        <v>0.5</v>
      </c>
      <c r="AH352" s="372">
        <f t="shared" si="118"/>
        <v>0.5</v>
      </c>
      <c r="AI352" s="373">
        <f t="shared" si="119"/>
        <v>51</v>
      </c>
      <c r="AJ352" s="418">
        <f>VLOOKUP(D352,'Standard Cycle time'!C:D,2,0)</f>
        <v>32.4</v>
      </c>
      <c r="AK352" s="418">
        <f t="shared" si="120"/>
        <v>35.294117647058826</v>
      </c>
      <c r="AL352" s="374">
        <f t="shared" si="121"/>
        <v>0.91799999999999993</v>
      </c>
      <c r="AM352" s="372">
        <f t="shared" si="122"/>
        <v>0.45899999999999996</v>
      </c>
      <c r="AN352" s="799">
        <v>2894</v>
      </c>
      <c r="AO352" s="448"/>
      <c r="AP352" s="440">
        <v>0</v>
      </c>
      <c r="AQ352" s="440">
        <v>30</v>
      </c>
      <c r="AR352" s="440">
        <v>0</v>
      </c>
      <c r="AS352" s="440">
        <v>0</v>
      </c>
      <c r="AT352" s="440">
        <v>0</v>
      </c>
      <c r="AU352" s="440">
        <v>0</v>
      </c>
      <c r="AV352" s="440">
        <v>0</v>
      </c>
      <c r="AW352" s="440">
        <v>0</v>
      </c>
      <c r="AX352" s="440">
        <v>0</v>
      </c>
      <c r="AY352" s="440">
        <v>0</v>
      </c>
      <c r="AZ352" s="440">
        <v>0</v>
      </c>
      <c r="BA352" s="440">
        <v>0</v>
      </c>
      <c r="BB352" s="440">
        <v>0</v>
      </c>
      <c r="BC352" s="440">
        <v>0</v>
      </c>
      <c r="BD352" s="440">
        <v>0</v>
      </c>
      <c r="BE352" s="440">
        <v>0</v>
      </c>
      <c r="BF352" s="440">
        <v>0</v>
      </c>
      <c r="BG352" s="440">
        <v>0</v>
      </c>
      <c r="BH352" s="440">
        <v>0</v>
      </c>
      <c r="BI352" s="440">
        <v>0</v>
      </c>
      <c r="BJ352" s="440">
        <v>0</v>
      </c>
      <c r="BK352" s="440">
        <v>0</v>
      </c>
      <c r="BL352" s="440">
        <v>0</v>
      </c>
      <c r="BM352" s="440">
        <v>0</v>
      </c>
      <c r="BN352" s="440">
        <v>0</v>
      </c>
      <c r="BO352" s="440">
        <v>0</v>
      </c>
      <c r="BP352" s="440">
        <v>0</v>
      </c>
      <c r="BQ352" s="440">
        <v>0</v>
      </c>
      <c r="BR352" s="415">
        <f t="shared" si="106"/>
        <v>0.5</v>
      </c>
      <c r="BS352" s="415">
        <f t="shared" si="123"/>
        <v>0.5083333333333333</v>
      </c>
      <c r="BT352" s="935"/>
      <c r="BU352" s="935"/>
      <c r="BV352" s="935"/>
      <c r="BW352" s="935"/>
      <c r="BX352" s="935"/>
      <c r="BY352" s="935"/>
      <c r="BZ352" s="935"/>
      <c r="CA352" s="935"/>
      <c r="CB352" s="935"/>
      <c r="CC352" s="935"/>
      <c r="CD352" s="935"/>
      <c r="CE352" s="935"/>
      <c r="CF352" s="935"/>
      <c r="CG352" s="935"/>
      <c r="CH352" s="935"/>
      <c r="CI352" s="935"/>
      <c r="CJ352" s="935"/>
      <c r="CK352" s="935"/>
      <c r="CL352" s="935"/>
      <c r="CM352" s="935"/>
      <c r="CN352" s="935"/>
      <c r="CO352" s="935"/>
      <c r="CP352" s="935"/>
      <c r="CQ352" s="935"/>
      <c r="CR352" s="935"/>
      <c r="CS352" s="935"/>
      <c r="CT352" s="935"/>
      <c r="CU352" s="935"/>
      <c r="CV352" s="935"/>
    </row>
    <row r="353" spans="1:102">
      <c r="A353" s="375">
        <f t="shared" si="108"/>
        <v>8</v>
      </c>
      <c r="B353" s="862">
        <v>44439</v>
      </c>
      <c r="C353" s="493" t="s">
        <v>2000</v>
      </c>
      <c r="D353" s="376" t="str">
        <f>IFERROR(VLOOKUP(E:E,'Item Data Support Sheet'!A:O,7,0),"")</f>
        <v>BOTTLE PRINTED</v>
      </c>
      <c r="E353" s="447" t="s">
        <v>64</v>
      </c>
      <c r="F353" s="500"/>
      <c r="G353" s="497"/>
      <c r="H353" s="602" t="str">
        <f>IFERROR(VLOOKUP(E:E,'Item Data Support Sheet'!A:O,2,0),"")</f>
        <v>KPP 240 ML BOTTLE PRINTED</v>
      </c>
      <c r="I353" s="501" t="s">
        <v>2790</v>
      </c>
      <c r="J353" s="447" t="s">
        <v>2813</v>
      </c>
      <c r="K353" s="438">
        <f>8.5-7.2</f>
        <v>1.2999999999999998</v>
      </c>
      <c r="L353" s="499">
        <v>630</v>
      </c>
      <c r="M353" s="366">
        <f t="shared" si="124"/>
        <v>484.6153846153847</v>
      </c>
      <c r="N353" s="367">
        <f t="shared" si="107"/>
        <v>630</v>
      </c>
      <c r="O353" s="61">
        <v>595</v>
      </c>
      <c r="P353" s="368">
        <v>0</v>
      </c>
      <c r="Q353" s="368">
        <v>0</v>
      </c>
      <c r="R353" s="494">
        <v>0</v>
      </c>
      <c r="S353" s="493">
        <v>0</v>
      </c>
      <c r="T353" s="494">
        <f>5+30</f>
        <v>35</v>
      </c>
      <c r="U353" s="493">
        <v>0</v>
      </c>
      <c r="V353" s="502">
        <v>6</v>
      </c>
      <c r="W353" s="453">
        <f t="shared" si="109"/>
        <v>99.166666666666671</v>
      </c>
      <c r="X353" s="748">
        <f t="shared" si="110"/>
        <v>0.94444444444444442</v>
      </c>
      <c r="Y353" s="451" t="str">
        <f>IFERROR(VLOOKUP(E:E,'Item Data Support Sheet'!A:J,6,0),0)</f>
        <v>FO003</v>
      </c>
      <c r="Z353" s="428">
        <f>IFERROR(VLOOKUP(E:E,'Item Data Support Sheet'!A:O,4,0),0)</f>
        <v>0</v>
      </c>
      <c r="AA353" s="428">
        <f t="shared" si="111"/>
        <v>0</v>
      </c>
      <c r="AB353" s="429" t="str">
        <f t="shared" si="112"/>
        <v xml:space="preserve"> </v>
      </c>
      <c r="AC353" s="424">
        <f t="shared" si="113"/>
        <v>5.5555555555555552E-2</v>
      </c>
      <c r="AD353" s="371">
        <f t="shared" si="114"/>
        <v>0</v>
      </c>
      <c r="AE353" s="748">
        <f t="shared" si="115"/>
        <v>0.94444444444444442</v>
      </c>
      <c r="AF353" s="417">
        <f t="shared" si="116"/>
        <v>0.5</v>
      </c>
      <c r="AG353" s="416">
        <f t="shared" si="117"/>
        <v>0.79999999999999982</v>
      </c>
      <c r="AH353" s="372">
        <f t="shared" si="118"/>
        <v>0.61538461538461531</v>
      </c>
      <c r="AI353" s="373">
        <f t="shared" si="119"/>
        <v>457.69230769230774</v>
      </c>
      <c r="AJ353" s="418">
        <f>VLOOKUP(D353,'Standard Cycle time'!C:D,2,0)</f>
        <v>32.4</v>
      </c>
      <c r="AK353" s="418">
        <f t="shared" si="120"/>
        <v>29.042016806722682</v>
      </c>
      <c r="AL353" s="374">
        <f t="shared" si="121"/>
        <v>1.1156250000000003</v>
      </c>
      <c r="AM353" s="372">
        <f t="shared" si="122"/>
        <v>0.64839743589743604</v>
      </c>
      <c r="AN353" s="799">
        <v>2895</v>
      </c>
      <c r="AO353" s="448"/>
      <c r="AP353" s="440">
        <v>0</v>
      </c>
      <c r="AQ353" s="440">
        <v>30</v>
      </c>
      <c r="AR353" s="440">
        <v>0</v>
      </c>
      <c r="AS353" s="440">
        <v>0</v>
      </c>
      <c r="AT353" s="440">
        <v>0</v>
      </c>
      <c r="AU353" s="440">
        <v>0</v>
      </c>
      <c r="AV353" s="440">
        <v>0</v>
      </c>
      <c r="AW353" s="440">
        <v>0</v>
      </c>
      <c r="AX353" s="440">
        <v>0</v>
      </c>
      <c r="AY353" s="440">
        <v>0</v>
      </c>
      <c r="AZ353" s="440">
        <v>0</v>
      </c>
      <c r="BA353" s="440">
        <v>0</v>
      </c>
      <c r="BB353" s="440">
        <v>0</v>
      </c>
      <c r="BC353" s="440">
        <v>0</v>
      </c>
      <c r="BD353" s="440">
        <v>0</v>
      </c>
      <c r="BE353" s="440">
        <v>0</v>
      </c>
      <c r="BF353" s="440">
        <v>0</v>
      </c>
      <c r="BG353" s="440">
        <v>0</v>
      </c>
      <c r="BH353" s="440">
        <v>0</v>
      </c>
      <c r="BI353" s="440">
        <v>0</v>
      </c>
      <c r="BJ353" s="440">
        <v>0</v>
      </c>
      <c r="BK353" s="440">
        <v>0</v>
      </c>
      <c r="BL353" s="440">
        <v>0</v>
      </c>
      <c r="BM353" s="440">
        <v>0</v>
      </c>
      <c r="BN353" s="440">
        <v>0</v>
      </c>
      <c r="BO353" s="440">
        <v>0</v>
      </c>
      <c r="BP353" s="440">
        <v>0</v>
      </c>
      <c r="BQ353" s="440">
        <v>0</v>
      </c>
      <c r="BR353" s="415">
        <f t="shared" si="106"/>
        <v>0.5</v>
      </c>
      <c r="BS353" s="415">
        <f t="shared" si="123"/>
        <v>0.5083333333333333</v>
      </c>
      <c r="BT353" s="935"/>
      <c r="BU353" s="935"/>
      <c r="BV353" s="935"/>
      <c r="BW353" s="935"/>
      <c r="BX353" s="935"/>
      <c r="BY353" s="935"/>
      <c r="BZ353" s="935"/>
      <c r="CA353" s="935"/>
      <c r="CB353" s="935"/>
      <c r="CC353" s="935"/>
      <c r="CD353" s="935"/>
      <c r="CE353" s="935"/>
      <c r="CF353" s="935"/>
      <c r="CG353" s="935"/>
      <c r="CH353" s="935"/>
      <c r="CI353" s="935"/>
      <c r="CJ353" s="935"/>
      <c r="CK353" s="935"/>
      <c r="CL353" s="935"/>
      <c r="CM353" s="935"/>
      <c r="CN353" s="935"/>
      <c r="CO353" s="935"/>
      <c r="CP353" s="935"/>
      <c r="CQ353" s="935"/>
      <c r="CR353" s="935"/>
      <c r="CS353" s="935"/>
      <c r="CT353" s="935"/>
      <c r="CU353" s="935"/>
      <c r="CV353" s="935"/>
    </row>
    <row r="354" spans="1:102">
      <c r="A354" s="375">
        <f t="shared" si="108"/>
        <v>9</v>
      </c>
      <c r="B354" s="862">
        <v>44441</v>
      </c>
      <c r="C354" s="493" t="s">
        <v>1980</v>
      </c>
      <c r="D354" s="376" t="str">
        <f>IFERROR(VLOOKUP(E:E,'Item Data Support Sheet'!A:O,7,0),"")</f>
        <v>NIPPLE LASER MARKING</v>
      </c>
      <c r="E354" s="447" t="s">
        <v>1816</v>
      </c>
      <c r="F354" s="500"/>
      <c r="G354" s="497" t="s">
        <v>1812</v>
      </c>
      <c r="H354" s="602" t="str">
        <f>IFERROR(VLOOKUP(E:E,'Item Data Support Sheet'!A:O,2,0),"")</f>
        <v>NIPPLE S TYPE L SIZE PUNCHED LASER MARKED</v>
      </c>
      <c r="I354" s="501" t="s">
        <v>2818</v>
      </c>
      <c r="J354" s="501" t="s">
        <v>2809</v>
      </c>
      <c r="K354" s="438">
        <v>8</v>
      </c>
      <c r="L354" s="499">
        <v>7036</v>
      </c>
      <c r="M354" s="366">
        <f t="shared" si="124"/>
        <v>879.5</v>
      </c>
      <c r="N354" s="367">
        <f t="shared" si="107"/>
        <v>6200</v>
      </c>
      <c r="O354" s="61">
        <v>6200</v>
      </c>
      <c r="P354" s="368">
        <v>0</v>
      </c>
      <c r="Q354" s="368">
        <v>0</v>
      </c>
      <c r="R354" s="494">
        <v>0</v>
      </c>
      <c r="S354" s="493">
        <v>0</v>
      </c>
      <c r="T354" s="494">
        <v>0</v>
      </c>
      <c r="U354" s="493">
        <v>0</v>
      </c>
      <c r="V354" s="502">
        <v>1</v>
      </c>
      <c r="W354" s="453">
        <f t="shared" si="109"/>
        <v>6200</v>
      </c>
      <c r="X354" s="748">
        <f t="shared" si="110"/>
        <v>0.88118249005116545</v>
      </c>
      <c r="Y354" s="451" t="str">
        <f>IFERROR(VLOOKUP(E:E,'Item Data Support Sheet'!A:J,6,0),0)</f>
        <v>FO021</v>
      </c>
      <c r="Z354" s="428">
        <f>IFERROR(VLOOKUP(E:E,'Item Data Support Sheet'!A:O,4,0),0)</f>
        <v>0</v>
      </c>
      <c r="AA354" s="428">
        <f t="shared" si="111"/>
        <v>0</v>
      </c>
      <c r="AB354" s="429" t="str">
        <f t="shared" si="112"/>
        <v xml:space="preserve"> </v>
      </c>
      <c r="AC354" s="424">
        <f t="shared" si="113"/>
        <v>0</v>
      </c>
      <c r="AD354" s="371">
        <f t="shared" si="114"/>
        <v>0</v>
      </c>
      <c r="AE354" s="748">
        <f t="shared" si="115"/>
        <v>1</v>
      </c>
      <c r="AF354" s="417">
        <f t="shared" si="116"/>
        <v>1.6666666666666667</v>
      </c>
      <c r="AG354" s="416">
        <f t="shared" si="117"/>
        <v>6.333333333333333</v>
      </c>
      <c r="AH354" s="372">
        <f t="shared" si="118"/>
        <v>0.79166666666666663</v>
      </c>
      <c r="AI354" s="373">
        <f t="shared" si="119"/>
        <v>775</v>
      </c>
      <c r="AJ354" s="418">
        <f>VLOOKUP(D354,'Standard Cycle time'!C:D,2,0)</f>
        <v>3.5</v>
      </c>
      <c r="AK354" s="418">
        <f t="shared" si="120"/>
        <v>3.6774193548387095</v>
      </c>
      <c r="AL354" s="374">
        <f t="shared" si="121"/>
        <v>0.95175438596491235</v>
      </c>
      <c r="AM354" s="372">
        <f t="shared" si="122"/>
        <v>0.75347222222222221</v>
      </c>
      <c r="AN354" s="799" t="s">
        <v>2819</v>
      </c>
      <c r="AO354" s="448" t="s">
        <v>2820</v>
      </c>
      <c r="AP354" s="440">
        <v>40</v>
      </c>
      <c r="AQ354" s="440">
        <v>0</v>
      </c>
      <c r="AR354" s="440">
        <v>0</v>
      </c>
      <c r="AS354" s="440">
        <v>0</v>
      </c>
      <c r="AT354" s="440">
        <v>0</v>
      </c>
      <c r="AU354" s="440">
        <v>0</v>
      </c>
      <c r="AV354" s="440">
        <v>60</v>
      </c>
      <c r="AW354" s="440">
        <v>0</v>
      </c>
      <c r="AX354" s="440">
        <v>0</v>
      </c>
      <c r="AY354" s="440">
        <v>0</v>
      </c>
      <c r="AZ354" s="440">
        <v>0</v>
      </c>
      <c r="BA354" s="440">
        <v>0</v>
      </c>
      <c r="BB354" s="440">
        <v>0</v>
      </c>
      <c r="BC354" s="440">
        <v>0</v>
      </c>
      <c r="BD354" s="440">
        <v>0</v>
      </c>
      <c r="BE354" s="440">
        <v>0</v>
      </c>
      <c r="BF354" s="440">
        <v>0</v>
      </c>
      <c r="BG354" s="440">
        <v>0</v>
      </c>
      <c r="BH354" s="440">
        <v>0</v>
      </c>
      <c r="BI354" s="440">
        <v>0</v>
      </c>
      <c r="BJ354" s="440">
        <v>0</v>
      </c>
      <c r="BK354" s="440">
        <v>0</v>
      </c>
      <c r="BL354" s="440">
        <v>0</v>
      </c>
      <c r="BM354" s="440">
        <v>0</v>
      </c>
      <c r="BN354" s="440">
        <v>0</v>
      </c>
      <c r="BO354" s="440">
        <v>0</v>
      </c>
      <c r="BP354" s="440">
        <v>0</v>
      </c>
      <c r="BQ354" s="440">
        <v>0</v>
      </c>
      <c r="BR354" s="415">
        <v>1.6666666666666667</v>
      </c>
      <c r="BS354" s="415">
        <v>1.6944444444444444</v>
      </c>
      <c r="BT354" s="935"/>
      <c r="BU354" s="935"/>
      <c r="BV354" s="935"/>
      <c r="BW354" s="935"/>
      <c r="BX354" s="935"/>
      <c r="BY354" s="935"/>
      <c r="BZ354" s="935"/>
      <c r="CA354" s="935"/>
      <c r="CB354" s="935"/>
      <c r="CC354" s="935"/>
      <c r="CD354" s="935"/>
      <c r="CE354" s="935"/>
      <c r="CF354" s="935"/>
      <c r="CG354" s="935"/>
      <c r="CH354" s="935"/>
      <c r="CI354" s="935"/>
      <c r="CJ354" s="935"/>
      <c r="CK354" s="935"/>
      <c r="CL354" s="935"/>
      <c r="CM354" s="935"/>
      <c r="CN354" s="935"/>
      <c r="CO354" s="935"/>
      <c r="CP354" s="935"/>
      <c r="CQ354" s="935"/>
      <c r="CR354" s="935"/>
      <c r="CS354" s="935"/>
      <c r="CT354" s="935"/>
      <c r="CU354" s="935"/>
      <c r="CV354" s="935"/>
      <c r="CX354" t="s">
        <v>2808</v>
      </c>
    </row>
    <row r="355" spans="1:102">
      <c r="A355" s="375">
        <f t="shared" si="108"/>
        <v>9</v>
      </c>
      <c r="B355" s="862">
        <v>44441</v>
      </c>
      <c r="C355" s="493" t="s">
        <v>1980</v>
      </c>
      <c r="D355" s="376" t="str">
        <f>IFERROR(VLOOKUP(E:E,'Item Data Support Sheet'!A:O,7,0),"")</f>
        <v>NIPPLE MOLDED</v>
      </c>
      <c r="E355" s="447" t="s">
        <v>75</v>
      </c>
      <c r="F355" s="500" t="s">
        <v>1678</v>
      </c>
      <c r="G355" s="497" t="s">
        <v>1691</v>
      </c>
      <c r="H355" s="602" t="str">
        <f>IFERROR(VLOOKUP(E:E,'Item Data Support Sheet'!A:O,2,0),"")</f>
        <v>NIPPLE S TYPE Y SIZE INJECTION</v>
      </c>
      <c r="I355" s="501" t="s">
        <v>2821</v>
      </c>
      <c r="J355" s="501" t="s">
        <v>2809</v>
      </c>
      <c r="K355" s="438">
        <v>8</v>
      </c>
      <c r="L355" s="499">
        <v>4815</v>
      </c>
      <c r="M355" s="366">
        <f t="shared" si="124"/>
        <v>601.875</v>
      </c>
      <c r="N355" s="367">
        <f t="shared" si="107"/>
        <v>4136</v>
      </c>
      <c r="O355" s="61">
        <v>4000</v>
      </c>
      <c r="P355" s="368">
        <v>0.3</v>
      </c>
      <c r="Q355" s="368">
        <v>79</v>
      </c>
      <c r="R355" s="494">
        <v>0</v>
      </c>
      <c r="S355" s="493">
        <v>0</v>
      </c>
      <c r="T355" s="494">
        <v>49</v>
      </c>
      <c r="U355" s="493">
        <v>8</v>
      </c>
      <c r="V355" s="502">
        <v>1</v>
      </c>
      <c r="W355" s="453">
        <f t="shared" si="109"/>
        <v>4000</v>
      </c>
      <c r="X355" s="748">
        <f t="shared" si="110"/>
        <v>0.83073727933541019</v>
      </c>
      <c r="Y355" s="451" t="str">
        <f>IFERROR(VLOOKUP(E:E,'Item Data Support Sheet'!A:J,6,0),0)</f>
        <v>Silicon</v>
      </c>
      <c r="Z355" s="428">
        <f>IFERROR(VLOOKUP(E:E,'Item Data Support Sheet'!A:O,4,0),0)</f>
        <v>6.8</v>
      </c>
      <c r="AA355" s="428">
        <f t="shared" si="111"/>
        <v>28.424799999999998</v>
      </c>
      <c r="AB355" s="429">
        <f t="shared" si="112"/>
        <v>0.95691086656722302</v>
      </c>
      <c r="AC355" s="424">
        <f t="shared" si="113"/>
        <v>1.2101753519387503E-2</v>
      </c>
      <c r="AD355" s="371">
        <f t="shared" si="114"/>
        <v>1.8742586002372479E-2</v>
      </c>
      <c r="AE355" s="748">
        <f t="shared" si="115"/>
        <v>0.98815280464216637</v>
      </c>
      <c r="AF355" s="417">
        <f t="shared" si="116"/>
        <v>2</v>
      </c>
      <c r="AG355" s="416">
        <f t="shared" si="117"/>
        <v>6</v>
      </c>
      <c r="AH355" s="372">
        <f t="shared" si="118"/>
        <v>0.75</v>
      </c>
      <c r="AI355" s="373">
        <f t="shared" si="119"/>
        <v>500</v>
      </c>
      <c r="AJ355" s="418">
        <f>VLOOKUP(D355,'Standard Cycle time'!C:D,2,0)</f>
        <v>5.25</v>
      </c>
      <c r="AK355" s="418">
        <f t="shared" si="120"/>
        <v>5.4</v>
      </c>
      <c r="AL355" s="374">
        <f t="shared" si="121"/>
        <v>0.97222222222222221</v>
      </c>
      <c r="AM355" s="372">
        <f t="shared" si="122"/>
        <v>0.72052808671824631</v>
      </c>
      <c r="AN355" s="799">
        <v>2911</v>
      </c>
      <c r="AO355" s="448" t="s">
        <v>2822</v>
      </c>
      <c r="AP355" s="440">
        <v>0</v>
      </c>
      <c r="AQ355" s="440">
        <v>0</v>
      </c>
      <c r="AR355" s="440">
        <v>0</v>
      </c>
      <c r="AS355" s="440">
        <v>0</v>
      </c>
      <c r="AT355" s="440">
        <v>0</v>
      </c>
      <c r="AU355" s="440">
        <v>30</v>
      </c>
      <c r="AV355" s="440">
        <v>0</v>
      </c>
      <c r="AW355" s="440">
        <v>0</v>
      </c>
      <c r="AX355" s="440">
        <v>0</v>
      </c>
      <c r="AY355" s="440">
        <v>0</v>
      </c>
      <c r="AZ355" s="440">
        <v>0</v>
      </c>
      <c r="BA355" s="440">
        <v>0</v>
      </c>
      <c r="BB355" s="440">
        <v>90</v>
      </c>
      <c r="BC355" s="440">
        <v>0</v>
      </c>
      <c r="BD355" s="440">
        <v>0</v>
      </c>
      <c r="BE355" s="440">
        <v>0</v>
      </c>
      <c r="BF355" s="440">
        <v>0</v>
      </c>
      <c r="BG355" s="440">
        <v>0</v>
      </c>
      <c r="BH355" s="440">
        <v>0</v>
      </c>
      <c r="BI355" s="440">
        <v>0</v>
      </c>
      <c r="BJ355" s="440">
        <v>0</v>
      </c>
      <c r="BK355" s="440">
        <v>0</v>
      </c>
      <c r="BL355" s="440">
        <v>0</v>
      </c>
      <c r="BM355" s="440">
        <v>0</v>
      </c>
      <c r="BN355" s="440">
        <v>0</v>
      </c>
      <c r="BO355" s="440">
        <v>0</v>
      </c>
      <c r="BP355" s="440">
        <v>0</v>
      </c>
      <c r="BQ355" s="440">
        <v>0</v>
      </c>
      <c r="BR355" s="415">
        <v>2</v>
      </c>
      <c r="BS355" s="415">
        <v>2.0333333333333332</v>
      </c>
      <c r="BT355" s="935"/>
      <c r="BU355" s="935"/>
      <c r="BV355" s="935"/>
      <c r="BW355" s="935"/>
      <c r="BX355" s="935"/>
      <c r="BY355" s="935"/>
      <c r="BZ355" s="935"/>
      <c r="CA355" s="935"/>
      <c r="CB355" s="935"/>
      <c r="CC355" s="935"/>
      <c r="CD355" s="935"/>
      <c r="CE355" s="935"/>
      <c r="CF355" s="935"/>
      <c r="CG355" s="935"/>
      <c r="CH355" s="935"/>
      <c r="CI355" s="935"/>
      <c r="CJ355" s="935"/>
      <c r="CK355" s="935"/>
      <c r="CL355" s="935"/>
      <c r="CM355" s="935"/>
      <c r="CN355" s="935"/>
      <c r="CO355" s="935"/>
      <c r="CP355" s="935"/>
      <c r="CQ355" s="935"/>
      <c r="CR355" s="935"/>
      <c r="CS355" s="935"/>
      <c r="CT355" s="935"/>
      <c r="CU355" s="935"/>
      <c r="CV355" s="935"/>
      <c r="CX355" t="s">
        <v>2809</v>
      </c>
    </row>
    <row r="356" spans="1:102">
      <c r="A356" s="375">
        <f t="shared" si="108"/>
        <v>9</v>
      </c>
      <c r="B356" s="862">
        <v>44441</v>
      </c>
      <c r="C356" s="493" t="s">
        <v>1980</v>
      </c>
      <c r="D356" s="376" t="str">
        <f>IFERROR(VLOOKUP(E:E,'Item Data Support Sheet'!A:O,7,0),"")</f>
        <v>NIPPLE PUNCH</v>
      </c>
      <c r="E356" s="447" t="s">
        <v>82</v>
      </c>
      <c r="F356" s="500"/>
      <c r="G356" s="497" t="s">
        <v>1692</v>
      </c>
      <c r="H356" s="602" t="str">
        <f>IFERROR(VLOOKUP(E:E,'Item Data Support Sheet'!A:O,2,0),"")</f>
        <v>NIPPLE S TYPE L SIZE PUNCHED</v>
      </c>
      <c r="I356" s="501" t="s">
        <v>2823</v>
      </c>
      <c r="J356" s="501" t="s">
        <v>2809</v>
      </c>
      <c r="K356" s="438">
        <v>8</v>
      </c>
      <c r="L356" s="499">
        <v>7036</v>
      </c>
      <c r="M356" s="366">
        <f t="shared" si="124"/>
        <v>879.5</v>
      </c>
      <c r="N356" s="367">
        <f t="shared" si="107"/>
        <v>6210</v>
      </c>
      <c r="O356" s="61">
        <v>6185</v>
      </c>
      <c r="P356" s="368">
        <v>0</v>
      </c>
      <c r="Q356" s="368">
        <v>0</v>
      </c>
      <c r="R356" s="494">
        <v>0</v>
      </c>
      <c r="S356" s="493">
        <v>0</v>
      </c>
      <c r="T356" s="494">
        <v>25</v>
      </c>
      <c r="U356" s="493">
        <v>0</v>
      </c>
      <c r="V356" s="502">
        <v>1</v>
      </c>
      <c r="W356" s="453">
        <f t="shared" si="109"/>
        <v>6185</v>
      </c>
      <c r="X356" s="748">
        <f t="shared" si="110"/>
        <v>0.87905059693007392</v>
      </c>
      <c r="Y356" s="451" t="str">
        <f>IFERROR(VLOOKUP(E:E,'Item Data Support Sheet'!A:J,6,0),0)</f>
        <v>FO017</v>
      </c>
      <c r="Z356" s="428">
        <f>IFERROR(VLOOKUP(E:E,'Item Data Support Sheet'!A:O,4,0),0)</f>
        <v>0</v>
      </c>
      <c r="AA356" s="428">
        <f t="shared" si="111"/>
        <v>0</v>
      </c>
      <c r="AB356" s="429" t="str">
        <f t="shared" si="112"/>
        <v xml:space="preserve"> </v>
      </c>
      <c r="AC356" s="424">
        <f t="shared" si="113"/>
        <v>4.0257648953301124E-3</v>
      </c>
      <c r="AD356" s="371">
        <f t="shared" si="114"/>
        <v>0</v>
      </c>
      <c r="AE356" s="748">
        <f t="shared" si="115"/>
        <v>0.99597423510466987</v>
      </c>
      <c r="AF356" s="417">
        <f t="shared" si="116"/>
        <v>0.66666666666666663</v>
      </c>
      <c r="AG356" s="416">
        <f t="shared" si="117"/>
        <v>7.333333333333333</v>
      </c>
      <c r="AH356" s="372">
        <f t="shared" si="118"/>
        <v>0.91666666666666663</v>
      </c>
      <c r="AI356" s="373">
        <f t="shared" si="119"/>
        <v>773.125</v>
      </c>
      <c r="AJ356" s="418">
        <f>VLOOKUP(D356,'Standard Cycle time'!C:D,2,0)</f>
        <v>3.5</v>
      </c>
      <c r="AK356" s="418">
        <f t="shared" si="120"/>
        <v>4.268391269199677</v>
      </c>
      <c r="AL356" s="374">
        <f t="shared" si="121"/>
        <v>0.81998106060606057</v>
      </c>
      <c r="AM356" s="372">
        <f t="shared" si="122"/>
        <v>0.7486233421676507</v>
      </c>
      <c r="AN356" s="799" t="s">
        <v>2824</v>
      </c>
      <c r="AO356" s="448" t="s">
        <v>2825</v>
      </c>
      <c r="AP356" s="440">
        <v>40</v>
      </c>
      <c r="AQ356" s="440">
        <v>0</v>
      </c>
      <c r="AR356" s="440">
        <v>0</v>
      </c>
      <c r="AS356" s="440">
        <v>0</v>
      </c>
      <c r="AT356" s="440">
        <v>0</v>
      </c>
      <c r="AU356" s="440">
        <v>0</v>
      </c>
      <c r="AV356" s="440">
        <v>0</v>
      </c>
      <c r="AW356" s="440">
        <v>0</v>
      </c>
      <c r="AX356" s="440">
        <v>0</v>
      </c>
      <c r="AY356" s="440">
        <v>0</v>
      </c>
      <c r="AZ356" s="440">
        <v>0</v>
      </c>
      <c r="BA356" s="440">
        <v>0</v>
      </c>
      <c r="BB356" s="440">
        <v>0</v>
      </c>
      <c r="BC356" s="440">
        <v>0</v>
      </c>
      <c r="BD356" s="440">
        <v>0</v>
      </c>
      <c r="BE356" s="440">
        <v>0</v>
      </c>
      <c r="BF356" s="440">
        <v>0</v>
      </c>
      <c r="BG356" s="440">
        <v>0</v>
      </c>
      <c r="BH356" s="440">
        <v>0</v>
      </c>
      <c r="BI356" s="440">
        <v>0</v>
      </c>
      <c r="BJ356" s="440">
        <v>0</v>
      </c>
      <c r="BK356" s="440">
        <v>0</v>
      </c>
      <c r="BL356" s="440">
        <v>0</v>
      </c>
      <c r="BM356" s="440">
        <v>0</v>
      </c>
      <c r="BN356" s="440">
        <v>0</v>
      </c>
      <c r="BO356" s="440">
        <v>0</v>
      </c>
      <c r="BP356" s="440">
        <v>0</v>
      </c>
      <c r="BQ356" s="440">
        <v>0</v>
      </c>
      <c r="BR356" s="415">
        <v>0.66666666666666663</v>
      </c>
      <c r="BS356" s="415">
        <v>0.6777777777777777</v>
      </c>
      <c r="BT356" s="935"/>
      <c r="BU356" s="935"/>
      <c r="BV356" s="935"/>
      <c r="BW356" s="935"/>
      <c r="BX356" s="935"/>
      <c r="BY356" s="935"/>
      <c r="BZ356" s="935"/>
      <c r="CA356" s="935"/>
      <c r="CB356" s="935"/>
      <c r="CC356" s="935"/>
      <c r="CD356" s="935"/>
      <c r="CE356" s="935"/>
      <c r="CF356" s="935"/>
      <c r="CG356" s="935"/>
      <c r="CH356" s="935"/>
      <c r="CI356" s="935"/>
      <c r="CJ356" s="935"/>
      <c r="CK356" s="935"/>
      <c r="CL356" s="935"/>
      <c r="CM356" s="935"/>
      <c r="CN356" s="935"/>
      <c r="CO356" s="935"/>
      <c r="CP356" s="935"/>
      <c r="CQ356" s="935"/>
      <c r="CR356" s="935"/>
      <c r="CS356" s="935"/>
      <c r="CT356" s="935"/>
      <c r="CU356" s="935"/>
      <c r="CV356" s="935"/>
      <c r="CX356" t="s">
        <v>2826</v>
      </c>
    </row>
    <row r="357" spans="1:102">
      <c r="A357" s="375">
        <f t="shared" si="108"/>
        <v>9</v>
      </c>
      <c r="B357" s="862">
        <v>44441</v>
      </c>
      <c r="C357" s="493" t="s">
        <v>1980</v>
      </c>
      <c r="D357" s="376" t="str">
        <f>IFERROR(VLOOKUP(E:E,'Item Data Support Sheet'!A:O,7,0),"")</f>
        <v>BOTTLE MOLDED</v>
      </c>
      <c r="E357" s="447" t="s">
        <v>138</v>
      </c>
      <c r="F357" s="500" t="s">
        <v>1664</v>
      </c>
      <c r="G357" s="497" t="s">
        <v>1888</v>
      </c>
      <c r="H357" s="602" t="str">
        <f>IFERROR(VLOOKUP(E:E,'Item Data Support Sheet'!A:O,2,0),"")</f>
        <v>RPP 240ML PINK BOTTLE MOLDED (WM3GB)</v>
      </c>
      <c r="I357" s="501" t="s">
        <v>2827</v>
      </c>
      <c r="J357" s="501" t="s">
        <v>2809</v>
      </c>
      <c r="K357" s="438">
        <v>8</v>
      </c>
      <c r="L357" s="499">
        <v>2574</v>
      </c>
      <c r="M357" s="366">
        <f t="shared" si="124"/>
        <v>321.75</v>
      </c>
      <c r="N357" s="367">
        <f t="shared" si="107"/>
        <v>1092</v>
      </c>
      <c r="O357" s="61">
        <v>960</v>
      </c>
      <c r="P357" s="368">
        <v>0.37</v>
      </c>
      <c r="Q357" s="368">
        <v>70</v>
      </c>
      <c r="R357" s="494">
        <v>0</v>
      </c>
      <c r="S357" s="493">
        <v>0</v>
      </c>
      <c r="T357" s="494">
        <v>54</v>
      </c>
      <c r="U357" s="493">
        <v>8</v>
      </c>
      <c r="V357" s="502">
        <v>1</v>
      </c>
      <c r="W357" s="453">
        <f t="shared" si="109"/>
        <v>960</v>
      </c>
      <c r="X357" s="748">
        <f t="shared" si="110"/>
        <v>0.37296037296037299</v>
      </c>
      <c r="Y357" s="451" t="str">
        <f>IFERROR(VLOOKUP(E:E,'Item Data Support Sheet'!A:J,6,0),0)</f>
        <v>WMG3B</v>
      </c>
      <c r="Z357" s="428">
        <f>IFERROR(VLOOKUP(E:E,'Item Data Support Sheet'!A:O,4,0),0)</f>
        <v>33.130000000000003</v>
      </c>
      <c r="AA357" s="428">
        <f t="shared" si="111"/>
        <v>36.547959999999996</v>
      </c>
      <c r="AB357" s="429">
        <f t="shared" si="112"/>
        <v>0.87022093709197457</v>
      </c>
      <c r="AC357" s="424">
        <f t="shared" si="113"/>
        <v>5.3254437869822487E-2</v>
      </c>
      <c r="AD357" s="371">
        <f t="shared" si="114"/>
        <v>6.0240963855421686E-2</v>
      </c>
      <c r="AE357" s="748">
        <f t="shared" si="115"/>
        <v>0.9505494505494505</v>
      </c>
      <c r="AF357" s="417">
        <f t="shared" si="116"/>
        <v>5.5</v>
      </c>
      <c r="AG357" s="416">
        <f t="shared" si="117"/>
        <v>2.5</v>
      </c>
      <c r="AH357" s="372">
        <f t="shared" si="118"/>
        <v>0.3125</v>
      </c>
      <c r="AI357" s="373">
        <f t="shared" si="119"/>
        <v>120</v>
      </c>
      <c r="AJ357" s="418">
        <f>VLOOKUP(D357,'Standard Cycle time'!C:D,2,0)</f>
        <v>9</v>
      </c>
      <c r="AK357" s="418">
        <f t="shared" si="120"/>
        <v>9.375</v>
      </c>
      <c r="AL357" s="374">
        <f t="shared" si="121"/>
        <v>0.96</v>
      </c>
      <c r="AM357" s="372">
        <f t="shared" si="122"/>
        <v>0.28516483516483515</v>
      </c>
      <c r="AN357" s="799">
        <v>2913</v>
      </c>
      <c r="AO357" s="448" t="s">
        <v>2828</v>
      </c>
      <c r="AP357" s="440">
        <v>0</v>
      </c>
      <c r="AQ357" s="440">
        <v>0</v>
      </c>
      <c r="AR357" s="440">
        <v>150</v>
      </c>
      <c r="AS357" s="440">
        <v>0</v>
      </c>
      <c r="AT357" s="440">
        <v>0</v>
      </c>
      <c r="AU357" s="440">
        <v>0</v>
      </c>
      <c r="AV357" s="440">
        <v>60</v>
      </c>
      <c r="AW357" s="440">
        <v>120</v>
      </c>
      <c r="AX357" s="440">
        <v>0</v>
      </c>
      <c r="AY357" s="440">
        <v>0</v>
      </c>
      <c r="AZ357" s="440">
        <v>0</v>
      </c>
      <c r="BA357" s="440">
        <v>0</v>
      </c>
      <c r="BB357" s="440">
        <v>0</v>
      </c>
      <c r="BC357" s="440">
        <v>0</v>
      </c>
      <c r="BD357" s="440">
        <v>0</v>
      </c>
      <c r="BE357" s="440">
        <v>0</v>
      </c>
      <c r="BF357" s="440">
        <v>0</v>
      </c>
      <c r="BG357" s="440">
        <v>0</v>
      </c>
      <c r="BH357" s="440">
        <v>0</v>
      </c>
      <c r="BI357" s="440">
        <v>0</v>
      </c>
      <c r="BJ357" s="440">
        <v>0</v>
      </c>
      <c r="BK357" s="440">
        <v>0</v>
      </c>
      <c r="BL357" s="440">
        <v>0</v>
      </c>
      <c r="BM357" s="440">
        <v>0</v>
      </c>
      <c r="BN357" s="440">
        <v>0</v>
      </c>
      <c r="BO357" s="440">
        <v>0</v>
      </c>
      <c r="BP357" s="440">
        <v>0</v>
      </c>
      <c r="BQ357" s="440">
        <v>0</v>
      </c>
      <c r="BR357" s="415">
        <v>5.5</v>
      </c>
      <c r="BS357" s="415">
        <v>5.5916666666666668</v>
      </c>
      <c r="BT357" s="935"/>
      <c r="BU357" s="935"/>
      <c r="BV357" s="935"/>
      <c r="BW357" s="935"/>
      <c r="BX357" s="935"/>
      <c r="BY357" s="935"/>
      <c r="BZ357" s="935"/>
      <c r="CA357" s="935"/>
      <c r="CB357" s="935"/>
      <c r="CC357" s="935"/>
      <c r="CD357" s="935"/>
      <c r="CE357" s="935"/>
      <c r="CF357" s="935"/>
      <c r="CG357" s="935"/>
      <c r="CH357" s="935"/>
      <c r="CI357" s="935"/>
      <c r="CJ357" s="935"/>
      <c r="CK357" s="935"/>
      <c r="CL357" s="935"/>
      <c r="CM357" s="935"/>
      <c r="CN357" s="935"/>
      <c r="CO357" s="935"/>
      <c r="CP357" s="935"/>
      <c r="CQ357" s="935"/>
      <c r="CR357" s="935"/>
      <c r="CS357" s="935"/>
      <c r="CT357" s="935"/>
      <c r="CU357" s="935"/>
      <c r="CV357" s="935"/>
      <c r="CX357" t="s">
        <v>2811</v>
      </c>
    </row>
    <row r="358" spans="1:102">
      <c r="A358" s="375">
        <f t="shared" si="108"/>
        <v>9</v>
      </c>
      <c r="B358" s="862">
        <v>44441</v>
      </c>
      <c r="C358" s="493" t="s">
        <v>1980</v>
      </c>
      <c r="D358" s="376" t="str">
        <f>IFERROR(VLOOKUP(E:E,'Item Data Support Sheet'!A:O,7,0),"")</f>
        <v>HOOD MOLDED</v>
      </c>
      <c r="E358" s="447" t="s">
        <v>1987</v>
      </c>
      <c r="F358" s="500"/>
      <c r="G358" s="497" t="s">
        <v>2729</v>
      </c>
      <c r="H358" s="602" t="str">
        <f>IFERROR(VLOOKUP(E:E,'Item Data Support Sheet'!A:O,2,0),"")</f>
        <v>HOOD S TYPE MOLDED</v>
      </c>
      <c r="I358" s="501" t="s">
        <v>2829</v>
      </c>
      <c r="J358" s="501" t="s">
        <v>2809</v>
      </c>
      <c r="K358" s="438">
        <v>8</v>
      </c>
      <c r="L358" s="499">
        <v>4137</v>
      </c>
      <c r="M358" s="366">
        <f t="shared" si="124"/>
        <v>517.125</v>
      </c>
      <c r="N358" s="367">
        <f t="shared" si="107"/>
        <v>5005</v>
      </c>
      <c r="O358" s="61">
        <v>5000</v>
      </c>
      <c r="P358" s="368">
        <v>0.1</v>
      </c>
      <c r="Q358" s="368">
        <v>5</v>
      </c>
      <c r="R358" s="494">
        <v>0</v>
      </c>
      <c r="S358" s="493">
        <v>0</v>
      </c>
      <c r="T358" s="494">
        <v>0</v>
      </c>
      <c r="U358" s="493">
        <v>0</v>
      </c>
      <c r="V358" s="502">
        <v>1</v>
      </c>
      <c r="W358" s="453">
        <f t="shared" si="109"/>
        <v>5000</v>
      </c>
      <c r="X358" s="748">
        <f t="shared" si="110"/>
        <v>1.2086052695189751</v>
      </c>
      <c r="Y358" s="451" t="str">
        <f>IFERROR(VLOOKUP(E:E,'Item Data Support Sheet'!A:J,6,0),0)</f>
        <v>HMC</v>
      </c>
      <c r="Z358" s="428">
        <f>IFERROR(VLOOKUP(E:E,'Item Data Support Sheet'!A:O,4,0),0)</f>
        <v>8.6</v>
      </c>
      <c r="AA358" s="428">
        <f t="shared" si="111"/>
        <v>43.143000000000001</v>
      </c>
      <c r="AB358" s="429">
        <f t="shared" si="112"/>
        <v>0.99668544143893567</v>
      </c>
      <c r="AC358" s="424">
        <f t="shared" si="113"/>
        <v>0</v>
      </c>
      <c r="AD358" s="371">
        <f t="shared" si="114"/>
        <v>9.9800399201596798E-4</v>
      </c>
      <c r="AE358" s="748">
        <f t="shared" si="115"/>
        <v>1</v>
      </c>
      <c r="AF358" s="417">
        <f t="shared" si="116"/>
        <v>0</v>
      </c>
      <c r="AG358" s="416">
        <f t="shared" si="117"/>
        <v>8</v>
      </c>
      <c r="AH358" s="372">
        <f t="shared" si="118"/>
        <v>1</v>
      </c>
      <c r="AI358" s="373">
        <f t="shared" si="119"/>
        <v>625</v>
      </c>
      <c r="AJ358" s="418">
        <f>VLOOKUP(D358,'Standard Cycle time'!C:D,2,0)</f>
        <v>6</v>
      </c>
      <c r="AK358" s="418">
        <f t="shared" si="120"/>
        <v>5.76</v>
      </c>
      <c r="AL358" s="374">
        <f t="shared" si="121"/>
        <v>1.0416666666666667</v>
      </c>
      <c r="AM358" s="372">
        <f t="shared" si="122"/>
        <v>1.0416666666666667</v>
      </c>
      <c r="AN358" s="799">
        <v>2912</v>
      </c>
      <c r="AO358" s="448" t="s">
        <v>2454</v>
      </c>
      <c r="AP358" s="440">
        <v>0</v>
      </c>
      <c r="AQ358" s="440">
        <v>0</v>
      </c>
      <c r="AR358" s="440">
        <v>0</v>
      </c>
      <c r="AS358" s="440">
        <v>0</v>
      </c>
      <c r="AT358" s="440">
        <v>0</v>
      </c>
      <c r="AU358" s="440">
        <v>0</v>
      </c>
      <c r="AV358" s="440">
        <v>0</v>
      </c>
      <c r="AW358" s="440">
        <v>0</v>
      </c>
      <c r="AX358" s="440">
        <v>0</v>
      </c>
      <c r="AY358" s="440">
        <v>0</v>
      </c>
      <c r="AZ358" s="440">
        <v>0</v>
      </c>
      <c r="BA358" s="440">
        <v>0</v>
      </c>
      <c r="BB358" s="440">
        <v>0</v>
      </c>
      <c r="BC358" s="440">
        <v>0</v>
      </c>
      <c r="BD358" s="440">
        <v>0</v>
      </c>
      <c r="BE358" s="440">
        <v>0</v>
      </c>
      <c r="BF358" s="440">
        <v>0</v>
      </c>
      <c r="BG358" s="440">
        <v>0</v>
      </c>
      <c r="BH358" s="440">
        <v>0</v>
      </c>
      <c r="BI358" s="440">
        <v>0</v>
      </c>
      <c r="BJ358" s="440">
        <v>0</v>
      </c>
      <c r="BK358" s="440">
        <v>0</v>
      </c>
      <c r="BL358" s="440">
        <v>0</v>
      </c>
      <c r="BM358" s="440">
        <v>0</v>
      </c>
      <c r="BN358" s="440">
        <v>0</v>
      </c>
      <c r="BO358" s="440">
        <v>0</v>
      </c>
      <c r="BP358" s="440">
        <v>0</v>
      </c>
      <c r="BQ358" s="440">
        <v>0</v>
      </c>
      <c r="BR358" s="415">
        <v>0</v>
      </c>
      <c r="BS358" s="415">
        <v>0</v>
      </c>
      <c r="BT358" s="935"/>
      <c r="BU358" s="935"/>
      <c r="BV358" s="935"/>
      <c r="BW358" s="935"/>
      <c r="BX358" s="935"/>
      <c r="BY358" s="935"/>
      <c r="BZ358" s="935"/>
      <c r="CA358" s="935"/>
      <c r="CB358" s="935"/>
      <c r="CC358" s="935"/>
      <c r="CD358" s="935"/>
      <c r="CE358" s="935"/>
      <c r="CF358" s="935"/>
      <c r="CG358" s="935"/>
      <c r="CH358" s="935"/>
      <c r="CI358" s="935"/>
      <c r="CJ358" s="935"/>
      <c r="CK358" s="935"/>
      <c r="CL358" s="935"/>
      <c r="CM358" s="935"/>
      <c r="CN358" s="935"/>
      <c r="CO358" s="935"/>
      <c r="CP358" s="935"/>
      <c r="CQ358" s="935"/>
      <c r="CR358" s="935"/>
      <c r="CS358" s="935"/>
      <c r="CT358" s="935"/>
      <c r="CU358" s="935"/>
      <c r="CV358" s="935"/>
      <c r="CX358" t="s">
        <v>2812</v>
      </c>
    </row>
    <row r="359" spans="1:102">
      <c r="A359" s="375">
        <f t="shared" si="108"/>
        <v>9</v>
      </c>
      <c r="B359" s="862">
        <v>44441</v>
      </c>
      <c r="C359" s="493" t="s">
        <v>1980</v>
      </c>
      <c r="D359" s="376" t="str">
        <f>IFERROR(VLOOKUP(E:E,'Item Data Support Sheet'!A:O,7,0),"")</f>
        <v>NIPPLE POSTCURE</v>
      </c>
      <c r="E359" s="447" t="s">
        <v>78</v>
      </c>
      <c r="F359" s="500"/>
      <c r="G359" s="497" t="s">
        <v>1705</v>
      </c>
      <c r="H359" s="602" t="str">
        <f>IFERROR(VLOOKUP(E:E,'Item Data Support Sheet'!A:O,2,0),"")</f>
        <v>NIPPLE S TYPE L SIZE POSTCURED</v>
      </c>
      <c r="I359" s="501" t="s">
        <v>2830</v>
      </c>
      <c r="J359" s="501" t="s">
        <v>2809</v>
      </c>
      <c r="K359" s="438">
        <v>8</v>
      </c>
      <c r="L359" s="499">
        <v>7000</v>
      </c>
      <c r="M359" s="366">
        <f t="shared" si="124"/>
        <v>875</v>
      </c>
      <c r="N359" s="367">
        <f t="shared" si="107"/>
        <v>4300</v>
      </c>
      <c r="O359" s="61">
        <v>4300</v>
      </c>
      <c r="P359" s="368">
        <v>0</v>
      </c>
      <c r="Q359" s="368">
        <v>0</v>
      </c>
      <c r="R359" s="494">
        <v>0</v>
      </c>
      <c r="S359" s="493">
        <v>0</v>
      </c>
      <c r="T359" s="494">
        <v>0</v>
      </c>
      <c r="U359" s="493">
        <v>0</v>
      </c>
      <c r="V359" s="502">
        <v>1</v>
      </c>
      <c r="W359" s="453">
        <f t="shared" si="109"/>
        <v>4300</v>
      </c>
      <c r="X359" s="748">
        <f t="shared" si="110"/>
        <v>0.61428571428571432</v>
      </c>
      <c r="Y359" s="451" t="str">
        <f>IFERROR(VLOOKUP(E:E,'Item Data Support Sheet'!A:J,6,0),0)</f>
        <v>FO013</v>
      </c>
      <c r="Z359" s="428">
        <f>IFERROR(VLOOKUP(E:E,'Item Data Support Sheet'!A:O,4,0),0)</f>
        <v>0</v>
      </c>
      <c r="AA359" s="428">
        <f t="shared" si="111"/>
        <v>0</v>
      </c>
      <c r="AB359" s="429" t="str">
        <f t="shared" si="112"/>
        <v xml:space="preserve"> </v>
      </c>
      <c r="AC359" s="424">
        <f t="shared" si="113"/>
        <v>0</v>
      </c>
      <c r="AD359" s="371">
        <f t="shared" si="114"/>
        <v>0</v>
      </c>
      <c r="AE359" s="748">
        <f t="shared" si="115"/>
        <v>1</v>
      </c>
      <c r="AF359" s="417">
        <f t="shared" si="116"/>
        <v>4.666666666666667</v>
      </c>
      <c r="AG359" s="416">
        <f t="shared" si="117"/>
        <v>3.333333333333333</v>
      </c>
      <c r="AH359" s="372">
        <f t="shared" si="118"/>
        <v>0.41666666666666663</v>
      </c>
      <c r="AI359" s="373">
        <f t="shared" si="119"/>
        <v>537.5</v>
      </c>
      <c r="AJ359" s="418">
        <f>VLOOKUP(D359,'Standard Cycle time'!C:D,2,0)</f>
        <v>2.2999999999999998</v>
      </c>
      <c r="AK359" s="418">
        <f t="shared" si="120"/>
        <v>2.7906976744186043</v>
      </c>
      <c r="AL359" s="374">
        <f t="shared" si="121"/>
        <v>0.82416666666666671</v>
      </c>
      <c r="AM359" s="372">
        <f t="shared" si="122"/>
        <v>0.34340277777777778</v>
      </c>
      <c r="AN359" s="799" t="s">
        <v>2831</v>
      </c>
      <c r="AO359" s="448" t="s">
        <v>2832</v>
      </c>
      <c r="AP359" s="440">
        <v>40</v>
      </c>
      <c r="AQ359" s="440">
        <v>0</v>
      </c>
      <c r="AR359" s="440">
        <v>0</v>
      </c>
      <c r="AS359" s="440">
        <v>240</v>
      </c>
      <c r="AT359" s="440">
        <v>0</v>
      </c>
      <c r="AU359" s="440">
        <v>0</v>
      </c>
      <c r="AV359" s="440">
        <v>0</v>
      </c>
      <c r="AW359" s="440">
        <v>0</v>
      </c>
      <c r="AX359" s="440">
        <v>0</v>
      </c>
      <c r="AY359" s="440">
        <v>0</v>
      </c>
      <c r="AZ359" s="440">
        <v>0</v>
      </c>
      <c r="BA359" s="440">
        <v>0</v>
      </c>
      <c r="BB359" s="440">
        <v>0</v>
      </c>
      <c r="BC359" s="440">
        <v>0</v>
      </c>
      <c r="BD359" s="440">
        <v>0</v>
      </c>
      <c r="BE359" s="440">
        <v>0</v>
      </c>
      <c r="BF359" s="440">
        <v>0</v>
      </c>
      <c r="BG359" s="440">
        <v>0</v>
      </c>
      <c r="BH359" s="440">
        <v>0</v>
      </c>
      <c r="BI359" s="440">
        <v>0</v>
      </c>
      <c r="BJ359" s="440">
        <v>0</v>
      </c>
      <c r="BK359" s="440">
        <v>0</v>
      </c>
      <c r="BL359" s="440">
        <v>0</v>
      </c>
      <c r="BM359" s="440">
        <v>0</v>
      </c>
      <c r="BN359" s="440">
        <v>0</v>
      </c>
      <c r="BO359" s="440">
        <v>0</v>
      </c>
      <c r="BP359" s="440">
        <v>0</v>
      </c>
      <c r="BQ359" s="440">
        <v>0</v>
      </c>
      <c r="BR359" s="415">
        <v>4.666666666666667</v>
      </c>
      <c r="BS359" s="415">
        <v>4.7444444444444445</v>
      </c>
      <c r="BT359" s="935"/>
      <c r="BU359" s="935"/>
      <c r="BV359" s="935"/>
      <c r="BW359" s="935"/>
      <c r="BX359" s="935"/>
      <c r="BY359" s="935"/>
      <c r="BZ359" s="935"/>
      <c r="CA359" s="935"/>
      <c r="CB359" s="935"/>
      <c r="CC359" s="935"/>
      <c r="CD359" s="935"/>
      <c r="CE359" s="935"/>
      <c r="CF359" s="935"/>
      <c r="CG359" s="935"/>
      <c r="CH359" s="935"/>
      <c r="CI359" s="935"/>
      <c r="CJ359" s="935"/>
      <c r="CK359" s="935"/>
      <c r="CL359" s="935"/>
      <c r="CM359" s="935"/>
      <c r="CN359" s="935"/>
      <c r="CO359" s="935"/>
      <c r="CP359" s="935"/>
      <c r="CQ359" s="935"/>
      <c r="CR359" s="935"/>
      <c r="CS359" s="935"/>
      <c r="CT359" s="935"/>
      <c r="CU359" s="935"/>
      <c r="CV359" s="935"/>
      <c r="CX359" t="s">
        <v>2813</v>
      </c>
    </row>
    <row r="360" spans="1:102">
      <c r="A360" s="375">
        <f t="shared" si="108"/>
        <v>9</v>
      </c>
      <c r="B360" s="862">
        <v>44441</v>
      </c>
      <c r="C360" s="493" t="s">
        <v>2000</v>
      </c>
      <c r="D360" s="376" t="str">
        <f>IFERROR(VLOOKUP(E:E,'Item Data Support Sheet'!A:O,7,0),"")</f>
        <v>NIPPLE PUNCH INSPECTED</v>
      </c>
      <c r="E360" s="447" t="s">
        <v>1820</v>
      </c>
      <c r="F360" s="500"/>
      <c r="G360" s="497"/>
      <c r="H360" s="602" t="str">
        <f>IFERROR(VLOOKUP(E:E,'Item Data Support Sheet'!A:O,2,0),"")</f>
        <v>NIPPLE S TYPE L SIZE PUNCHED INSPECTED</v>
      </c>
      <c r="I360" s="501" t="s">
        <v>2833</v>
      </c>
      <c r="J360" s="501" t="s">
        <v>2808</v>
      </c>
      <c r="K360" s="438">
        <v>8</v>
      </c>
      <c r="L360" s="499">
        <v>14000</v>
      </c>
      <c r="M360" s="366">
        <f t="shared" si="124"/>
        <v>1750</v>
      </c>
      <c r="N360" s="367">
        <f t="shared" si="107"/>
        <v>8400</v>
      </c>
      <c r="O360" s="61">
        <v>8309</v>
      </c>
      <c r="P360" s="368">
        <v>0</v>
      </c>
      <c r="Q360" s="368">
        <v>0</v>
      </c>
      <c r="R360" s="494">
        <v>0</v>
      </c>
      <c r="S360" s="493">
        <v>0</v>
      </c>
      <c r="T360" s="494">
        <v>91</v>
      </c>
      <c r="U360" s="493">
        <v>0</v>
      </c>
      <c r="V360" s="502">
        <v>2</v>
      </c>
      <c r="W360" s="453">
        <f t="shared" si="109"/>
        <v>4154.5</v>
      </c>
      <c r="X360" s="748">
        <f t="shared" si="110"/>
        <v>0.59350000000000003</v>
      </c>
      <c r="Y360" s="451" t="str">
        <f>IFERROR(VLOOKUP(E:E,'Item Data Support Sheet'!A:J,6,0),0)</f>
        <v>FO106</v>
      </c>
      <c r="Z360" s="428">
        <f>IFERROR(VLOOKUP(E:E,'Item Data Support Sheet'!A:O,4,0),0)</f>
        <v>0</v>
      </c>
      <c r="AA360" s="428">
        <f t="shared" si="111"/>
        <v>0</v>
      </c>
      <c r="AB360" s="429" t="str">
        <f t="shared" si="112"/>
        <v xml:space="preserve"> </v>
      </c>
      <c r="AC360" s="424">
        <f t="shared" si="113"/>
        <v>1.0833333333333334E-2</v>
      </c>
      <c r="AD360" s="371">
        <f t="shared" si="114"/>
        <v>0</v>
      </c>
      <c r="AE360" s="748">
        <f t="shared" si="115"/>
        <v>0.98916666666666664</v>
      </c>
      <c r="AF360" s="417">
        <f t="shared" si="116"/>
        <v>2.5</v>
      </c>
      <c r="AG360" s="416">
        <f t="shared" si="117"/>
        <v>5.5</v>
      </c>
      <c r="AH360" s="372">
        <f t="shared" si="118"/>
        <v>0.6875</v>
      </c>
      <c r="AI360" s="373">
        <f t="shared" si="119"/>
        <v>1038.625</v>
      </c>
      <c r="AJ360" s="418">
        <f>VLOOKUP(D360,'Standard Cycle time'!C:D,2,0)</f>
        <v>4</v>
      </c>
      <c r="AK360" s="418">
        <f t="shared" si="120"/>
        <v>4.7659164761102417</v>
      </c>
      <c r="AL360" s="374">
        <f t="shared" si="121"/>
        <v>0.83929292929292931</v>
      </c>
      <c r="AM360" s="372">
        <f t="shared" si="122"/>
        <v>0.57076290509259264</v>
      </c>
      <c r="AN360" s="799" t="s">
        <v>2834</v>
      </c>
      <c r="AO360" s="448" t="s">
        <v>2835</v>
      </c>
      <c r="AP360" s="440">
        <v>50</v>
      </c>
      <c r="AQ360" s="440">
        <v>0</v>
      </c>
      <c r="AR360" s="440">
        <v>0</v>
      </c>
      <c r="AS360" s="440">
        <v>0</v>
      </c>
      <c r="AT360" s="440">
        <v>100</v>
      </c>
      <c r="AU360" s="440">
        <v>0</v>
      </c>
      <c r="AV360" s="440">
        <v>0</v>
      </c>
      <c r="AW360" s="440">
        <v>0</v>
      </c>
      <c r="AX360" s="440">
        <v>0</v>
      </c>
      <c r="AY360" s="440">
        <v>0</v>
      </c>
      <c r="AZ360" s="440">
        <v>0</v>
      </c>
      <c r="BA360" s="440">
        <v>0</v>
      </c>
      <c r="BB360" s="440">
        <v>0</v>
      </c>
      <c r="BC360" s="440">
        <v>0</v>
      </c>
      <c r="BD360" s="440">
        <v>0</v>
      </c>
      <c r="BE360" s="440">
        <v>0</v>
      </c>
      <c r="BF360" s="440">
        <v>0</v>
      </c>
      <c r="BG360" s="440">
        <v>0</v>
      </c>
      <c r="BH360" s="440">
        <v>0</v>
      </c>
      <c r="BI360" s="440">
        <v>0</v>
      </c>
      <c r="BJ360" s="440">
        <v>0</v>
      </c>
      <c r="BK360" s="440">
        <v>0</v>
      </c>
      <c r="BL360" s="440">
        <v>0</v>
      </c>
      <c r="BM360" s="440">
        <v>0</v>
      </c>
      <c r="BN360" s="440">
        <v>0</v>
      </c>
      <c r="BO360" s="440">
        <v>0</v>
      </c>
      <c r="BP360" s="440">
        <v>0</v>
      </c>
      <c r="BQ360" s="440">
        <v>0</v>
      </c>
      <c r="BR360" s="415">
        <v>2.5</v>
      </c>
      <c r="BS360" s="415">
        <v>2.5416666666666665</v>
      </c>
      <c r="BT360" s="935"/>
      <c r="BU360" s="935"/>
      <c r="BV360" s="935"/>
      <c r="BW360" s="935"/>
      <c r="BX360" s="935"/>
      <c r="BY360" s="935"/>
      <c r="BZ360" s="935"/>
      <c r="CA360" s="935"/>
      <c r="CB360" s="935"/>
      <c r="CC360" s="935"/>
      <c r="CD360" s="935"/>
      <c r="CE360" s="935"/>
      <c r="CF360" s="935"/>
      <c r="CG360" s="935"/>
      <c r="CH360" s="935"/>
      <c r="CI360" s="935"/>
      <c r="CJ360" s="935"/>
      <c r="CK360" s="935"/>
      <c r="CL360" s="935"/>
      <c r="CM360" s="935"/>
      <c r="CN360" s="935"/>
      <c r="CO360" s="935"/>
      <c r="CP360" s="935"/>
      <c r="CQ360" s="935"/>
      <c r="CR360" s="935"/>
      <c r="CS360" s="935"/>
      <c r="CT360" s="935"/>
      <c r="CU360" s="935"/>
      <c r="CV360" s="935"/>
    </row>
    <row r="361" spans="1:102">
      <c r="A361" s="375">
        <f t="shared" si="108"/>
        <v>9</v>
      </c>
      <c r="B361" s="862">
        <v>44441</v>
      </c>
      <c r="C361" s="493" t="s">
        <v>2000</v>
      </c>
      <c r="D361" s="376" t="str">
        <f>IFERROR(VLOOKUP(E:E,'Item Data Support Sheet'!A:O,7,0),"")</f>
        <v>BOTTLE PRINTED</v>
      </c>
      <c r="E361" s="447" t="s">
        <v>145</v>
      </c>
      <c r="F361" s="500"/>
      <c r="G361" s="497" t="s">
        <v>1698</v>
      </c>
      <c r="H361" s="602" t="str">
        <f>IFERROR(VLOOKUP(E:E,'Item Data Support Sheet'!A:O,2,0),"")</f>
        <v>KPP 240 BOTTLE PRINTED-WMG3B (OZ SCALE)</v>
      </c>
      <c r="I361" s="501" t="s">
        <v>2836</v>
      </c>
      <c r="J361" s="501" t="s">
        <v>2808</v>
      </c>
      <c r="K361" s="438">
        <v>6.5</v>
      </c>
      <c r="L361" s="499">
        <v>4400</v>
      </c>
      <c r="M361" s="366">
        <f t="shared" si="124"/>
        <v>676.92307692307691</v>
      </c>
      <c r="N361" s="367">
        <f t="shared" si="107"/>
        <v>4199</v>
      </c>
      <c r="O361" s="61">
        <v>4144</v>
      </c>
      <c r="P361" s="368">
        <v>0</v>
      </c>
      <c r="Q361" s="368">
        <v>0</v>
      </c>
      <c r="R361" s="494">
        <v>24</v>
      </c>
      <c r="S361" s="493">
        <v>0</v>
      </c>
      <c r="T361" s="494">
        <v>55</v>
      </c>
      <c r="U361" s="493">
        <v>0</v>
      </c>
      <c r="V361" s="502">
        <v>6</v>
      </c>
      <c r="W361" s="453">
        <f t="shared" si="109"/>
        <v>690.66666666666663</v>
      </c>
      <c r="X361" s="748">
        <f t="shared" si="110"/>
        <v>0.94181818181818178</v>
      </c>
      <c r="Y361" s="451" t="str">
        <f>IFERROR(VLOOKUP(E:E,'Item Data Support Sheet'!A:J,6,0),0)</f>
        <v>FO044</v>
      </c>
      <c r="Z361" s="428">
        <f>IFERROR(VLOOKUP(E:E,'Item Data Support Sheet'!A:O,4,0),0)</f>
        <v>0</v>
      </c>
      <c r="AA361" s="428">
        <f t="shared" si="111"/>
        <v>0</v>
      </c>
      <c r="AB361" s="429" t="str">
        <f t="shared" si="112"/>
        <v xml:space="preserve"> </v>
      </c>
      <c r="AC361" s="424">
        <f t="shared" si="113"/>
        <v>1.3098356751607526E-2</v>
      </c>
      <c r="AD361" s="371">
        <f t="shared" si="114"/>
        <v>0</v>
      </c>
      <c r="AE361" s="748">
        <f t="shared" si="115"/>
        <v>0.98690164324839247</v>
      </c>
      <c r="AF361" s="417">
        <f t="shared" si="116"/>
        <v>0.83333333333333337</v>
      </c>
      <c r="AG361" s="416">
        <f t="shared" si="117"/>
        <v>5.666666666666667</v>
      </c>
      <c r="AH361" s="372">
        <f t="shared" si="118"/>
        <v>0.87179487179487181</v>
      </c>
      <c r="AI361" s="373">
        <f t="shared" si="119"/>
        <v>637.53846153846155</v>
      </c>
      <c r="AJ361" s="418">
        <f>VLOOKUP(D361,'Standard Cycle time'!C:D,2,0)</f>
        <v>32.4</v>
      </c>
      <c r="AK361" s="418">
        <f t="shared" si="120"/>
        <v>29.536679536679536</v>
      </c>
      <c r="AL361" s="374">
        <f t="shared" si="121"/>
        <v>1.0969411764705883</v>
      </c>
      <c r="AM361" s="372">
        <f t="shared" si="122"/>
        <v>0.94378163298953976</v>
      </c>
      <c r="AN361" s="799" t="s">
        <v>2837</v>
      </c>
      <c r="AO361" s="448" t="s">
        <v>2838</v>
      </c>
      <c r="AP361" s="440">
        <v>50</v>
      </c>
      <c r="AQ361" s="440">
        <v>0</v>
      </c>
      <c r="AR361" s="440">
        <v>0</v>
      </c>
      <c r="AS361" s="440">
        <v>0</v>
      </c>
      <c r="AT361" s="440">
        <v>0</v>
      </c>
      <c r="AU361" s="440">
        <v>0</v>
      </c>
      <c r="AV361" s="440">
        <v>0</v>
      </c>
      <c r="AW361" s="440">
        <v>0</v>
      </c>
      <c r="AX361" s="440">
        <v>0</v>
      </c>
      <c r="AY361" s="440">
        <v>0</v>
      </c>
      <c r="AZ361" s="440">
        <v>0</v>
      </c>
      <c r="BA361" s="440">
        <v>0</v>
      </c>
      <c r="BB361" s="440">
        <v>0</v>
      </c>
      <c r="BC361" s="440">
        <v>0</v>
      </c>
      <c r="BD361" s="440">
        <v>0</v>
      </c>
      <c r="BE361" s="440">
        <v>0</v>
      </c>
      <c r="BF361" s="440">
        <v>0</v>
      </c>
      <c r="BG361" s="440">
        <v>0</v>
      </c>
      <c r="BH361" s="440">
        <v>0</v>
      </c>
      <c r="BI361" s="440">
        <v>0</v>
      </c>
      <c r="BJ361" s="440">
        <v>0</v>
      </c>
      <c r="BK361" s="440">
        <v>0</v>
      </c>
      <c r="BL361" s="440">
        <v>0</v>
      </c>
      <c r="BM361" s="440">
        <v>0</v>
      </c>
      <c r="BN361" s="440">
        <v>0</v>
      </c>
      <c r="BO361" s="440">
        <v>0</v>
      </c>
      <c r="BP361" s="440">
        <v>0</v>
      </c>
      <c r="BQ361" s="440">
        <v>0</v>
      </c>
      <c r="BR361" s="415">
        <v>0.83333333333333337</v>
      </c>
      <c r="BS361" s="415">
        <v>0.84722222222222221</v>
      </c>
      <c r="BT361" s="935"/>
      <c r="BU361" s="935"/>
      <c r="BV361" s="935"/>
      <c r="BW361" s="935"/>
      <c r="BX361" s="935"/>
      <c r="BY361" s="935"/>
      <c r="BZ361" s="935"/>
      <c r="CA361" s="935"/>
      <c r="CB361" s="935"/>
      <c r="CC361" s="935"/>
      <c r="CD361" s="935"/>
      <c r="CE361" s="935"/>
      <c r="CF361" s="935"/>
      <c r="CG361" s="935"/>
      <c r="CH361" s="935"/>
      <c r="CI361" s="935"/>
      <c r="CJ361" s="935"/>
      <c r="CK361" s="935"/>
      <c r="CL361" s="935"/>
      <c r="CM361" s="935"/>
      <c r="CN361" s="935"/>
      <c r="CO361" s="935"/>
      <c r="CP361" s="935"/>
      <c r="CQ361" s="935"/>
      <c r="CR361" s="935"/>
      <c r="CS361" s="935"/>
      <c r="CT361" s="935"/>
      <c r="CU361" s="935"/>
      <c r="CV361" s="935"/>
    </row>
    <row r="362" spans="1:102">
      <c r="A362" s="375">
        <f t="shared" si="108"/>
        <v>9</v>
      </c>
      <c r="B362" s="862">
        <v>44441</v>
      </c>
      <c r="C362" s="493" t="s">
        <v>2000</v>
      </c>
      <c r="D362" s="376" t="str">
        <f>IFERROR(VLOOKUP(E:E,'Item Data Support Sheet'!A:O,7,0),"")</f>
        <v>BOTTLE PRINTED</v>
      </c>
      <c r="E362" s="447" t="s">
        <v>400</v>
      </c>
      <c r="F362" s="500"/>
      <c r="G362" s="497" t="s">
        <v>1698</v>
      </c>
      <c r="H362" s="602" t="str">
        <f>IFERROR(VLOOKUP(E:E,'Item Data Support Sheet'!A:O,2,0),"")</f>
        <v>KPP 120 BOTTLE PRINTED-WMG3B (OZ SCALE)</v>
      </c>
      <c r="I362" s="501" t="s">
        <v>2839</v>
      </c>
      <c r="J362" s="501" t="s">
        <v>2808</v>
      </c>
      <c r="K362" s="438">
        <v>2</v>
      </c>
      <c r="L362" s="499">
        <v>500</v>
      </c>
      <c r="M362" s="366">
        <f t="shared" si="124"/>
        <v>250</v>
      </c>
      <c r="N362" s="367">
        <f t="shared" si="107"/>
        <v>545</v>
      </c>
      <c r="O362" s="61">
        <v>540</v>
      </c>
      <c r="P362" s="368">
        <v>0</v>
      </c>
      <c r="Q362" s="368">
        <v>0</v>
      </c>
      <c r="R362" s="494">
        <v>4</v>
      </c>
      <c r="S362" s="493">
        <v>0</v>
      </c>
      <c r="T362" s="494">
        <v>5</v>
      </c>
      <c r="U362" s="493">
        <v>0</v>
      </c>
      <c r="V362" s="502">
        <v>6</v>
      </c>
      <c r="W362" s="453">
        <f t="shared" si="109"/>
        <v>90</v>
      </c>
      <c r="X362" s="748">
        <f t="shared" si="110"/>
        <v>1.08</v>
      </c>
      <c r="Y362" s="451" t="str">
        <f>IFERROR(VLOOKUP(E:E,'Item Data Support Sheet'!A:J,6,0),0)</f>
        <v>FO042</v>
      </c>
      <c r="Z362" s="428">
        <f>IFERROR(VLOOKUP(E:E,'Item Data Support Sheet'!A:O,4,0),0)</f>
        <v>0</v>
      </c>
      <c r="AA362" s="428">
        <f t="shared" si="111"/>
        <v>0</v>
      </c>
      <c r="AB362" s="429" t="str">
        <f t="shared" si="112"/>
        <v xml:space="preserve"> </v>
      </c>
      <c r="AC362" s="424">
        <f t="shared" si="113"/>
        <v>9.1743119266055051E-3</v>
      </c>
      <c r="AD362" s="371">
        <f t="shared" si="114"/>
        <v>0</v>
      </c>
      <c r="AE362" s="748">
        <f t="shared" si="115"/>
        <v>0.99082568807339455</v>
      </c>
      <c r="AF362" s="417">
        <f t="shared" si="116"/>
        <v>1.1666666666666667</v>
      </c>
      <c r="AG362" s="416">
        <f t="shared" si="117"/>
        <v>0.83333333333333326</v>
      </c>
      <c r="AH362" s="372">
        <f t="shared" si="118"/>
        <v>0.41666666666666663</v>
      </c>
      <c r="AI362" s="373">
        <f t="shared" si="119"/>
        <v>270</v>
      </c>
      <c r="AJ362" s="418">
        <f>VLOOKUP(D362,'Standard Cycle time'!C:D,2,0)</f>
        <v>32.4</v>
      </c>
      <c r="AK362" s="418">
        <f t="shared" si="120"/>
        <v>33.333333333333336</v>
      </c>
      <c r="AL362" s="374">
        <f t="shared" si="121"/>
        <v>0.97199999999999986</v>
      </c>
      <c r="AM362" s="372">
        <f t="shared" si="122"/>
        <v>0.40128440366972468</v>
      </c>
      <c r="AN362" s="799">
        <v>2933</v>
      </c>
      <c r="AO362" s="448" t="s">
        <v>2840</v>
      </c>
      <c r="AP362" s="440">
        <v>0</v>
      </c>
      <c r="AQ362" s="440">
        <v>70</v>
      </c>
      <c r="AR362" s="440">
        <v>0</v>
      </c>
      <c r="AS362" s="440">
        <v>0</v>
      </c>
      <c r="AT362" s="440">
        <v>0</v>
      </c>
      <c r="AU362" s="440">
        <v>0</v>
      </c>
      <c r="AV362" s="440">
        <v>0</v>
      </c>
      <c r="AW362" s="440">
        <v>0</v>
      </c>
      <c r="AX362" s="440">
        <v>0</v>
      </c>
      <c r="AY362" s="440">
        <v>0</v>
      </c>
      <c r="AZ362" s="440">
        <v>0</v>
      </c>
      <c r="BA362" s="440">
        <v>0</v>
      </c>
      <c r="BB362" s="440">
        <v>0</v>
      </c>
      <c r="BC362" s="440">
        <v>0</v>
      </c>
      <c r="BD362" s="440">
        <v>0</v>
      </c>
      <c r="BE362" s="440">
        <v>0</v>
      </c>
      <c r="BF362" s="440">
        <v>0</v>
      </c>
      <c r="BG362" s="440">
        <v>0</v>
      </c>
      <c r="BH362" s="440">
        <v>0</v>
      </c>
      <c r="BI362" s="440">
        <v>0</v>
      </c>
      <c r="BJ362" s="440">
        <v>0</v>
      </c>
      <c r="BK362" s="440">
        <v>0</v>
      </c>
      <c r="BL362" s="440">
        <v>0</v>
      </c>
      <c r="BM362" s="440">
        <v>0</v>
      </c>
      <c r="BN362" s="440">
        <v>0</v>
      </c>
      <c r="BO362" s="440">
        <v>0</v>
      </c>
      <c r="BP362" s="440">
        <v>0</v>
      </c>
      <c r="BQ362" s="440">
        <v>0</v>
      </c>
      <c r="BR362" s="415">
        <v>1.1666666666666667</v>
      </c>
      <c r="BS362" s="415">
        <v>1.1861111111111111</v>
      </c>
      <c r="BT362" s="935"/>
      <c r="BU362" s="935"/>
      <c r="BV362" s="935"/>
      <c r="BW362" s="935"/>
      <c r="BX362" s="935"/>
      <c r="BY362" s="935"/>
      <c r="BZ362" s="935"/>
      <c r="CA362" s="935"/>
      <c r="CB362" s="935"/>
      <c r="CC362" s="935"/>
      <c r="CD362" s="935"/>
      <c r="CE362" s="935"/>
      <c r="CF362" s="935"/>
      <c r="CG362" s="935"/>
      <c r="CH362" s="935"/>
      <c r="CI362" s="935"/>
      <c r="CJ362" s="935"/>
      <c r="CK362" s="935"/>
      <c r="CL362" s="935"/>
      <c r="CM362" s="935"/>
      <c r="CN362" s="935"/>
      <c r="CO362" s="935"/>
      <c r="CP362" s="935"/>
      <c r="CQ362" s="935"/>
      <c r="CR362" s="935"/>
      <c r="CS362" s="935"/>
      <c r="CT362" s="935"/>
      <c r="CU362" s="935"/>
      <c r="CV362" s="935"/>
    </row>
    <row r="363" spans="1:102">
      <c r="A363" s="375">
        <f t="shared" si="108"/>
        <v>9</v>
      </c>
      <c r="B363" s="862">
        <v>44441</v>
      </c>
      <c r="C363" s="493" t="s">
        <v>2001</v>
      </c>
      <c r="D363" s="376" t="str">
        <f>IFERROR(VLOOKUP(E:E,'Item Data Support Sheet'!A:O,7,0),"")</f>
        <v>NIPPLE LASER MARKING</v>
      </c>
      <c r="E363" s="447" t="s">
        <v>1816</v>
      </c>
      <c r="F363" s="500"/>
      <c r="G363" s="497" t="s">
        <v>1812</v>
      </c>
      <c r="H363" s="602" t="str">
        <f>IFERROR(VLOOKUP(E:E,'Item Data Support Sheet'!A:O,2,0),"")</f>
        <v>NIPPLE S TYPE L SIZE PUNCHED LASER MARKED</v>
      </c>
      <c r="I363" s="501" t="s">
        <v>2818</v>
      </c>
      <c r="J363" s="501" t="s">
        <v>2808</v>
      </c>
      <c r="K363" s="438">
        <v>8</v>
      </c>
      <c r="L363" s="499">
        <v>7036</v>
      </c>
      <c r="M363" s="366">
        <f t="shared" si="124"/>
        <v>879.5</v>
      </c>
      <c r="N363" s="367">
        <f t="shared" si="107"/>
        <v>7200</v>
      </c>
      <c r="O363" s="61">
        <v>7200</v>
      </c>
      <c r="P363" s="368">
        <v>0</v>
      </c>
      <c r="Q363" s="368">
        <v>0</v>
      </c>
      <c r="R363" s="494">
        <v>0</v>
      </c>
      <c r="S363" s="493">
        <v>0</v>
      </c>
      <c r="T363" s="494">
        <v>0</v>
      </c>
      <c r="U363" s="493">
        <v>0</v>
      </c>
      <c r="V363" s="502">
        <v>1</v>
      </c>
      <c r="W363" s="453">
        <f t="shared" si="109"/>
        <v>7200</v>
      </c>
      <c r="X363" s="748">
        <f t="shared" si="110"/>
        <v>1.0233086981239341</v>
      </c>
      <c r="Y363" s="451" t="str">
        <f>IFERROR(VLOOKUP(E:E,'Item Data Support Sheet'!A:J,6,0),0)</f>
        <v>FO021</v>
      </c>
      <c r="Z363" s="428">
        <f>IFERROR(VLOOKUP(E:E,'Item Data Support Sheet'!A:O,4,0),0)</f>
        <v>0</v>
      </c>
      <c r="AA363" s="428">
        <f t="shared" si="111"/>
        <v>0</v>
      </c>
      <c r="AB363" s="429" t="str">
        <f t="shared" si="112"/>
        <v xml:space="preserve"> </v>
      </c>
      <c r="AC363" s="424">
        <f t="shared" si="113"/>
        <v>0</v>
      </c>
      <c r="AD363" s="371">
        <f t="shared" si="114"/>
        <v>0</v>
      </c>
      <c r="AE363" s="748">
        <f t="shared" si="115"/>
        <v>1</v>
      </c>
      <c r="AF363" s="417">
        <f t="shared" si="116"/>
        <v>0.66666666666666663</v>
      </c>
      <c r="AG363" s="416">
        <f t="shared" si="117"/>
        <v>7.333333333333333</v>
      </c>
      <c r="AH363" s="372">
        <f t="shared" si="118"/>
        <v>0.91666666666666663</v>
      </c>
      <c r="AI363" s="373">
        <f t="shared" si="119"/>
        <v>900</v>
      </c>
      <c r="AJ363" s="418">
        <f>VLOOKUP(D363,'Standard Cycle time'!C:D,2,0)</f>
        <v>3.5</v>
      </c>
      <c r="AK363" s="418">
        <f t="shared" si="120"/>
        <v>3.6666666666666665</v>
      </c>
      <c r="AL363" s="374">
        <f t="shared" si="121"/>
        <v>0.95454545454545459</v>
      </c>
      <c r="AM363" s="372">
        <f t="shared" si="122"/>
        <v>0.875</v>
      </c>
      <c r="AN363" s="799" t="s">
        <v>2841</v>
      </c>
      <c r="AO363" s="448" t="s">
        <v>2454</v>
      </c>
      <c r="AP363" s="440">
        <v>40</v>
      </c>
      <c r="AQ363" s="440">
        <v>0</v>
      </c>
      <c r="AR363" s="440">
        <v>0</v>
      </c>
      <c r="AS363" s="440">
        <v>0</v>
      </c>
      <c r="AT363" s="440">
        <v>0</v>
      </c>
      <c r="AU363" s="440">
        <v>0</v>
      </c>
      <c r="AV363" s="440">
        <v>0</v>
      </c>
      <c r="AW363" s="440">
        <v>0</v>
      </c>
      <c r="AX363" s="440">
        <v>0</v>
      </c>
      <c r="AY363" s="440">
        <v>0</v>
      </c>
      <c r="AZ363" s="440">
        <v>0</v>
      </c>
      <c r="BA363" s="440">
        <v>0</v>
      </c>
      <c r="BB363" s="440">
        <v>0</v>
      </c>
      <c r="BC363" s="440">
        <v>0</v>
      </c>
      <c r="BD363" s="440">
        <v>0</v>
      </c>
      <c r="BE363" s="440">
        <v>0</v>
      </c>
      <c r="BF363" s="440">
        <v>0</v>
      </c>
      <c r="BG363" s="440">
        <v>0</v>
      </c>
      <c r="BH363" s="440">
        <v>0</v>
      </c>
      <c r="BI363" s="440">
        <v>0</v>
      </c>
      <c r="BJ363" s="440">
        <v>0</v>
      </c>
      <c r="BK363" s="440">
        <v>0</v>
      </c>
      <c r="BL363" s="440">
        <v>0</v>
      </c>
      <c r="BM363" s="440">
        <v>0</v>
      </c>
      <c r="BN363" s="440">
        <v>0</v>
      </c>
      <c r="BO363" s="440">
        <v>0</v>
      </c>
      <c r="BP363" s="440">
        <v>0</v>
      </c>
      <c r="BQ363" s="440">
        <v>0</v>
      </c>
      <c r="BR363" s="415">
        <v>0.66666666666666663</v>
      </c>
      <c r="BS363" s="415">
        <v>0.6777777777777777</v>
      </c>
      <c r="BT363" s="935"/>
      <c r="BU363" s="935"/>
      <c r="BV363" s="935"/>
      <c r="BW363" s="935"/>
      <c r="BX363" s="935"/>
      <c r="BY363" s="935"/>
      <c r="BZ363" s="935"/>
      <c r="CA363" s="935"/>
      <c r="CB363" s="935"/>
      <c r="CC363" s="935"/>
      <c r="CD363" s="935"/>
      <c r="CE363" s="935"/>
      <c r="CF363" s="935"/>
      <c r="CG363" s="935"/>
      <c r="CH363" s="935"/>
      <c r="CI363" s="935"/>
      <c r="CJ363" s="935"/>
      <c r="CK363" s="935"/>
      <c r="CL363" s="935"/>
      <c r="CM363" s="935"/>
      <c r="CN363" s="935"/>
      <c r="CO363" s="935"/>
      <c r="CP363" s="935"/>
      <c r="CQ363" s="935"/>
      <c r="CR363" s="935"/>
      <c r="CS363" s="935"/>
      <c r="CT363" s="935"/>
      <c r="CU363" s="935"/>
      <c r="CV363" s="935"/>
    </row>
    <row r="364" spans="1:102" s="441" customFormat="1">
      <c r="A364" s="375">
        <f t="shared" si="108"/>
        <v>9</v>
      </c>
      <c r="B364" s="862">
        <v>44441</v>
      </c>
      <c r="C364" s="493" t="s">
        <v>2001</v>
      </c>
      <c r="D364" s="376" t="str">
        <f>IFERROR(VLOOKUP(E:E,'Item Data Support Sheet'!A:O,7,0),"")</f>
        <v>NIPPLE PUNCH</v>
      </c>
      <c r="E364" s="447" t="s">
        <v>82</v>
      </c>
      <c r="F364" s="500"/>
      <c r="G364" s="497" t="s">
        <v>1692</v>
      </c>
      <c r="H364" s="602" t="str">
        <f>IFERROR(VLOOKUP(E:E,'Item Data Support Sheet'!A:O,2,0),"")</f>
        <v>NIPPLE S TYPE L SIZE PUNCHED</v>
      </c>
      <c r="I364" s="501" t="s">
        <v>2842</v>
      </c>
      <c r="J364" s="501" t="s">
        <v>2808</v>
      </c>
      <c r="K364" s="438">
        <v>4.5</v>
      </c>
      <c r="L364" s="499">
        <v>4036</v>
      </c>
      <c r="M364" s="366">
        <f t="shared" si="124"/>
        <v>896.88888888888891</v>
      </c>
      <c r="N364" s="367">
        <f t="shared" si="107"/>
        <v>4300</v>
      </c>
      <c r="O364" s="61">
        <v>4300</v>
      </c>
      <c r="P364" s="368">
        <v>0</v>
      </c>
      <c r="Q364" s="368">
        <v>0</v>
      </c>
      <c r="R364" s="494">
        <v>0</v>
      </c>
      <c r="S364" s="493">
        <v>0</v>
      </c>
      <c r="T364" s="494">
        <v>0</v>
      </c>
      <c r="U364" s="493">
        <v>0</v>
      </c>
      <c r="V364" s="502">
        <v>1</v>
      </c>
      <c r="W364" s="453">
        <f t="shared" si="109"/>
        <v>4300</v>
      </c>
      <c r="X364" s="748">
        <f t="shared" si="110"/>
        <v>1.0654112983151636</v>
      </c>
      <c r="Y364" s="451" t="str">
        <f>IFERROR(VLOOKUP(E:E,'Item Data Support Sheet'!A:J,6,0),0)</f>
        <v>FO017</v>
      </c>
      <c r="Z364" s="428">
        <f>IFERROR(VLOOKUP(E:E,'Item Data Support Sheet'!A:O,4,0),0)</f>
        <v>0</v>
      </c>
      <c r="AA364" s="428">
        <f t="shared" si="111"/>
        <v>0</v>
      </c>
      <c r="AB364" s="429" t="str">
        <f t="shared" si="112"/>
        <v xml:space="preserve"> </v>
      </c>
      <c r="AC364" s="424">
        <f t="shared" si="113"/>
        <v>0</v>
      </c>
      <c r="AD364" s="371">
        <f t="shared" si="114"/>
        <v>0</v>
      </c>
      <c r="AE364" s="748">
        <f t="shared" si="115"/>
        <v>1</v>
      </c>
      <c r="AF364" s="417">
        <f t="shared" si="116"/>
        <v>0.66666666666666663</v>
      </c>
      <c r="AG364" s="416">
        <f t="shared" si="117"/>
        <v>3.8333333333333335</v>
      </c>
      <c r="AH364" s="372">
        <f t="shared" si="118"/>
        <v>0.85185185185185186</v>
      </c>
      <c r="AI364" s="373">
        <f t="shared" si="119"/>
        <v>955.55555555555554</v>
      </c>
      <c r="AJ364" s="418">
        <f>VLOOKUP(D364,'Standard Cycle time'!C:D,2,0)</f>
        <v>3.5</v>
      </c>
      <c r="AK364" s="418">
        <f t="shared" si="120"/>
        <v>3.2093023255813953</v>
      </c>
      <c r="AL364" s="374">
        <f t="shared" si="121"/>
        <v>1.0905797101449275</v>
      </c>
      <c r="AM364" s="372">
        <f t="shared" si="122"/>
        <v>0.92901234567901236</v>
      </c>
      <c r="AN364" s="799">
        <v>2924</v>
      </c>
      <c r="AO364" s="448"/>
      <c r="AP364" s="440">
        <v>40</v>
      </c>
      <c r="AQ364" s="440">
        <v>0</v>
      </c>
      <c r="AR364" s="440">
        <v>0</v>
      </c>
      <c r="AS364" s="440">
        <v>0</v>
      </c>
      <c r="AT364" s="440">
        <v>0</v>
      </c>
      <c r="AU364" s="440">
        <v>0</v>
      </c>
      <c r="AV364" s="440">
        <v>0</v>
      </c>
      <c r="AW364" s="440">
        <v>0</v>
      </c>
      <c r="AX364" s="440">
        <v>0</v>
      </c>
      <c r="AY364" s="440">
        <v>0</v>
      </c>
      <c r="AZ364" s="440">
        <v>0</v>
      </c>
      <c r="BA364" s="440">
        <v>0</v>
      </c>
      <c r="BB364" s="440">
        <v>0</v>
      </c>
      <c r="BC364" s="440">
        <v>0</v>
      </c>
      <c r="BD364" s="440">
        <v>0</v>
      </c>
      <c r="BE364" s="440">
        <v>0</v>
      </c>
      <c r="BF364" s="440">
        <v>0</v>
      </c>
      <c r="BG364" s="440">
        <v>0</v>
      </c>
      <c r="BH364" s="440">
        <v>0</v>
      </c>
      <c r="BI364" s="440">
        <v>0</v>
      </c>
      <c r="BJ364" s="440">
        <v>0</v>
      </c>
      <c r="BK364" s="440">
        <v>0</v>
      </c>
      <c r="BL364" s="440">
        <v>0</v>
      </c>
      <c r="BM364" s="440">
        <v>0</v>
      </c>
      <c r="BN364" s="440">
        <v>0</v>
      </c>
      <c r="BO364" s="440">
        <v>0</v>
      </c>
      <c r="BP364" s="440">
        <v>0</v>
      </c>
      <c r="BQ364" s="440">
        <v>0</v>
      </c>
      <c r="BR364" s="415">
        <v>0.66666666666666663</v>
      </c>
      <c r="BS364" s="415">
        <v>0.6777777777777777</v>
      </c>
      <c r="BT364" s="935"/>
      <c r="BU364" s="935"/>
      <c r="BV364" s="935"/>
      <c r="BW364" s="935"/>
      <c r="BX364" s="935"/>
      <c r="BY364" s="935"/>
      <c r="BZ364" s="935"/>
      <c r="CA364" s="935"/>
      <c r="CB364" s="935"/>
      <c r="CC364" s="935"/>
      <c r="CD364" s="935"/>
      <c r="CE364" s="935"/>
      <c r="CF364" s="935"/>
      <c r="CG364" s="935"/>
      <c r="CH364" s="935"/>
      <c r="CI364" s="935"/>
      <c r="CJ364" s="935"/>
      <c r="CK364" s="935"/>
      <c r="CL364" s="935"/>
      <c r="CM364" s="935"/>
      <c r="CN364" s="935"/>
      <c r="CO364" s="935"/>
      <c r="CP364" s="935"/>
      <c r="CQ364" s="935"/>
      <c r="CR364" s="935"/>
      <c r="CS364" s="935"/>
      <c r="CT364" s="935"/>
      <c r="CU364" s="935"/>
      <c r="CV364" s="935"/>
    </row>
    <row r="365" spans="1:102" s="441" customFormat="1">
      <c r="A365" s="375">
        <f t="shared" si="108"/>
        <v>9</v>
      </c>
      <c r="B365" s="862">
        <v>44441</v>
      </c>
      <c r="C365" s="493" t="s">
        <v>2001</v>
      </c>
      <c r="D365" s="376" t="str">
        <f>IFERROR(VLOOKUP(E:E,'Item Data Support Sheet'!A:O,7,0),"")</f>
        <v>NIPPLE PUNCH</v>
      </c>
      <c r="E365" s="447" t="s">
        <v>83</v>
      </c>
      <c r="F365" s="500"/>
      <c r="G365" s="497" t="s">
        <v>1692</v>
      </c>
      <c r="H365" s="602" t="str">
        <f>IFERROR(VLOOKUP(E:E,'Item Data Support Sheet'!A:O,2,0),"")</f>
        <v>NIPPLE S TYPE Y SIZE PUNCHED</v>
      </c>
      <c r="I365" s="501" t="s">
        <v>2843</v>
      </c>
      <c r="J365" s="501" t="s">
        <v>2808</v>
      </c>
      <c r="K365" s="438">
        <v>3.5</v>
      </c>
      <c r="L365" s="499">
        <v>3000</v>
      </c>
      <c r="M365" s="366">
        <f t="shared" si="124"/>
        <v>857.14285714285711</v>
      </c>
      <c r="N365" s="367">
        <f t="shared" si="107"/>
        <v>2000</v>
      </c>
      <c r="O365" s="61">
        <v>2000</v>
      </c>
      <c r="P365" s="368">
        <v>0</v>
      </c>
      <c r="Q365" s="368">
        <v>0</v>
      </c>
      <c r="R365" s="494">
        <v>0</v>
      </c>
      <c r="S365" s="493">
        <v>0</v>
      </c>
      <c r="T365" s="494">
        <v>0</v>
      </c>
      <c r="U365" s="493">
        <v>0</v>
      </c>
      <c r="V365" s="502">
        <v>1</v>
      </c>
      <c r="W365" s="453">
        <f t="shared" si="109"/>
        <v>2000</v>
      </c>
      <c r="X365" s="748">
        <f t="shared" si="110"/>
        <v>0.66666666666666663</v>
      </c>
      <c r="Y365" s="451" t="str">
        <f>IFERROR(VLOOKUP(E:E,'Item Data Support Sheet'!A:J,6,0),0)</f>
        <v>FO018</v>
      </c>
      <c r="Z365" s="428">
        <f>IFERROR(VLOOKUP(E:E,'Item Data Support Sheet'!A:O,4,0),0)</f>
        <v>0</v>
      </c>
      <c r="AA365" s="428">
        <f t="shared" si="111"/>
        <v>0</v>
      </c>
      <c r="AB365" s="429" t="str">
        <f t="shared" si="112"/>
        <v xml:space="preserve"> </v>
      </c>
      <c r="AC365" s="424">
        <f t="shared" si="113"/>
        <v>0</v>
      </c>
      <c r="AD365" s="371">
        <f t="shared" si="114"/>
        <v>0</v>
      </c>
      <c r="AE365" s="748">
        <f t="shared" si="115"/>
        <v>1</v>
      </c>
      <c r="AF365" s="417">
        <f t="shared" si="116"/>
        <v>1.1666666666666667</v>
      </c>
      <c r="AG365" s="416">
        <f t="shared" si="117"/>
        <v>2.333333333333333</v>
      </c>
      <c r="AH365" s="372">
        <f t="shared" si="118"/>
        <v>0.66666666666666663</v>
      </c>
      <c r="AI365" s="373">
        <f t="shared" si="119"/>
        <v>571.42857142857144</v>
      </c>
      <c r="AJ365" s="418">
        <f>VLOOKUP(D365,'Standard Cycle time'!C:D,2,0)</f>
        <v>3.5</v>
      </c>
      <c r="AK365" s="418">
        <f t="shared" si="120"/>
        <v>4.1999999999999993</v>
      </c>
      <c r="AL365" s="374">
        <f t="shared" si="121"/>
        <v>0.83333333333333348</v>
      </c>
      <c r="AM365" s="372">
        <f t="shared" si="122"/>
        <v>0.55555555555555558</v>
      </c>
      <c r="AN365" s="799">
        <v>2926</v>
      </c>
      <c r="AO365" s="448" t="s">
        <v>2844</v>
      </c>
      <c r="AP365" s="440">
        <v>0</v>
      </c>
      <c r="AQ365" s="440">
        <v>20</v>
      </c>
      <c r="AR365" s="440">
        <v>0</v>
      </c>
      <c r="AS365" s="440">
        <v>0</v>
      </c>
      <c r="AT365" s="440">
        <v>0</v>
      </c>
      <c r="AU365" s="440">
        <v>0</v>
      </c>
      <c r="AV365" s="440">
        <v>0</v>
      </c>
      <c r="AW365" s="440">
        <v>0</v>
      </c>
      <c r="AX365" s="440">
        <v>0</v>
      </c>
      <c r="AY365" s="440">
        <v>0</v>
      </c>
      <c r="AZ365" s="440">
        <v>0</v>
      </c>
      <c r="BA365" s="440">
        <v>0</v>
      </c>
      <c r="BB365" s="440">
        <v>0</v>
      </c>
      <c r="BC365" s="440">
        <v>0</v>
      </c>
      <c r="BD365" s="440">
        <v>0</v>
      </c>
      <c r="BE365" s="440">
        <v>0</v>
      </c>
      <c r="BF365" s="440">
        <v>0</v>
      </c>
      <c r="BG365" s="440">
        <v>0</v>
      </c>
      <c r="BH365" s="440">
        <v>0</v>
      </c>
      <c r="BI365" s="440">
        <v>0</v>
      </c>
      <c r="BJ365" s="440">
        <v>0</v>
      </c>
      <c r="BK365" s="440">
        <v>0</v>
      </c>
      <c r="BL365" s="440">
        <v>0</v>
      </c>
      <c r="BM365" s="440">
        <v>0</v>
      </c>
      <c r="BN365" s="440">
        <v>0</v>
      </c>
      <c r="BO365" s="440">
        <v>0</v>
      </c>
      <c r="BP365" s="440">
        <v>0</v>
      </c>
      <c r="BQ365" s="440">
        <v>50</v>
      </c>
      <c r="BR365" s="415">
        <v>1.1666666666666667</v>
      </c>
      <c r="BS365" s="415">
        <v>1.1861111111111111</v>
      </c>
      <c r="BT365" s="935"/>
      <c r="BU365" s="935"/>
      <c r="BV365" s="935"/>
      <c r="BW365" s="935"/>
      <c r="BX365" s="935"/>
      <c r="BY365" s="935"/>
      <c r="BZ365" s="935"/>
      <c r="CA365" s="935"/>
      <c r="CB365" s="935"/>
      <c r="CC365" s="935"/>
      <c r="CD365" s="935"/>
      <c r="CE365" s="935"/>
      <c r="CF365" s="935"/>
      <c r="CG365" s="935"/>
      <c r="CH365" s="935"/>
      <c r="CI365" s="935"/>
      <c r="CJ365" s="935"/>
      <c r="CK365" s="935"/>
      <c r="CL365" s="935"/>
      <c r="CM365" s="935"/>
      <c r="CN365" s="935"/>
      <c r="CO365" s="935"/>
      <c r="CP365" s="935"/>
      <c r="CQ365" s="935"/>
      <c r="CR365" s="935"/>
      <c r="CS365" s="935"/>
      <c r="CT365" s="935"/>
      <c r="CU365" s="935"/>
      <c r="CV365" s="935"/>
    </row>
    <row r="366" spans="1:102" s="441" customFormat="1">
      <c r="A366" s="375">
        <f t="shared" si="108"/>
        <v>9</v>
      </c>
      <c r="B366" s="862">
        <v>44441</v>
      </c>
      <c r="C366" s="493" t="s">
        <v>2001</v>
      </c>
      <c r="D366" s="376" t="str">
        <f>IFERROR(VLOOKUP(E:E,'Item Data Support Sheet'!A:O,7,0),"")</f>
        <v>NIPPLE MOLDED</v>
      </c>
      <c r="E366" s="447" t="s">
        <v>75</v>
      </c>
      <c r="F366" s="500" t="s">
        <v>1678</v>
      </c>
      <c r="G366" s="497" t="s">
        <v>1691</v>
      </c>
      <c r="H366" s="602" t="str">
        <f>IFERROR(VLOOKUP(E:E,'Item Data Support Sheet'!A:O,2,0),"")</f>
        <v>NIPPLE S TYPE Y SIZE INJECTION</v>
      </c>
      <c r="I366" s="501" t="s">
        <v>2845</v>
      </c>
      <c r="J366" s="501" t="s">
        <v>2808</v>
      </c>
      <c r="K366" s="438">
        <v>8</v>
      </c>
      <c r="L366" s="499">
        <v>4815</v>
      </c>
      <c r="M366" s="366">
        <f t="shared" si="124"/>
        <v>601.875</v>
      </c>
      <c r="N366" s="367">
        <f t="shared" si="107"/>
        <v>2300</v>
      </c>
      <c r="O366" s="61">
        <v>2220</v>
      </c>
      <c r="P366" s="368">
        <v>0.62</v>
      </c>
      <c r="Q366" s="368">
        <v>42</v>
      </c>
      <c r="R366" s="494">
        <v>0</v>
      </c>
      <c r="S366" s="493">
        <v>0</v>
      </c>
      <c r="T366" s="494">
        <v>30</v>
      </c>
      <c r="U366" s="493">
        <v>8</v>
      </c>
      <c r="V366" s="502">
        <v>1</v>
      </c>
      <c r="W366" s="453">
        <f t="shared" si="109"/>
        <v>2220</v>
      </c>
      <c r="X366" s="748">
        <f t="shared" si="110"/>
        <v>0.46105919003115264</v>
      </c>
      <c r="Y366" s="451" t="str">
        <f>IFERROR(VLOOKUP(E:E,'Item Data Support Sheet'!A:J,6,0),0)</f>
        <v>Silicon</v>
      </c>
      <c r="Z366" s="428">
        <f>IFERROR(VLOOKUP(E:E,'Item Data Support Sheet'!A:O,4,0),0)</f>
        <v>6.8</v>
      </c>
      <c r="AA366" s="428">
        <f t="shared" si="111"/>
        <v>16.259999999999998</v>
      </c>
      <c r="AB366" s="429">
        <f t="shared" si="112"/>
        <v>0.9284132841328413</v>
      </c>
      <c r="AC366" s="424">
        <f t="shared" si="113"/>
        <v>1.3333333333333334E-2</v>
      </c>
      <c r="AD366" s="371">
        <f t="shared" si="114"/>
        <v>1.7933390264730998E-2</v>
      </c>
      <c r="AE366" s="748">
        <f t="shared" si="115"/>
        <v>0.9869565217391304</v>
      </c>
      <c r="AF366" s="417">
        <f t="shared" si="116"/>
        <v>4</v>
      </c>
      <c r="AG366" s="416">
        <f t="shared" si="117"/>
        <v>4</v>
      </c>
      <c r="AH366" s="372">
        <f t="shared" si="118"/>
        <v>0.5</v>
      </c>
      <c r="AI366" s="373">
        <f t="shared" si="119"/>
        <v>277.5</v>
      </c>
      <c r="AJ366" s="418">
        <f>VLOOKUP(D366,'Standard Cycle time'!C:D,2,0)</f>
        <v>5.25</v>
      </c>
      <c r="AK366" s="418">
        <f t="shared" si="120"/>
        <v>6.4864864864864868</v>
      </c>
      <c r="AL366" s="374">
        <f t="shared" si="121"/>
        <v>0.80937499999999996</v>
      </c>
      <c r="AM366" s="372">
        <f t="shared" si="122"/>
        <v>0.39940896739130433</v>
      </c>
      <c r="AN366" s="799">
        <v>2921</v>
      </c>
      <c r="AO366" s="448" t="s">
        <v>2822</v>
      </c>
      <c r="AP366" s="440">
        <v>0</v>
      </c>
      <c r="AQ366" s="440">
        <v>120</v>
      </c>
      <c r="AR366" s="440">
        <v>0</v>
      </c>
      <c r="AS366" s="440">
        <v>0</v>
      </c>
      <c r="AT366" s="440">
        <v>0</v>
      </c>
      <c r="AU366" s="440">
        <v>0</v>
      </c>
      <c r="AV366" s="440">
        <v>0</v>
      </c>
      <c r="AW366" s="440">
        <v>0</v>
      </c>
      <c r="AX366" s="440">
        <v>0</v>
      </c>
      <c r="AY366" s="440">
        <v>0</v>
      </c>
      <c r="AZ366" s="440">
        <v>0</v>
      </c>
      <c r="BA366" s="440">
        <v>0</v>
      </c>
      <c r="BB366" s="440">
        <v>120</v>
      </c>
      <c r="BC366" s="440">
        <v>0</v>
      </c>
      <c r="BD366" s="440">
        <v>0</v>
      </c>
      <c r="BE366" s="440">
        <v>0</v>
      </c>
      <c r="BF366" s="440">
        <v>0</v>
      </c>
      <c r="BG366" s="440">
        <v>0</v>
      </c>
      <c r="BH366" s="440">
        <v>0</v>
      </c>
      <c r="BI366" s="440">
        <v>0</v>
      </c>
      <c r="BJ366" s="440">
        <v>0</v>
      </c>
      <c r="BK366" s="440">
        <v>0</v>
      </c>
      <c r="BL366" s="440">
        <v>0</v>
      </c>
      <c r="BM366" s="440">
        <v>0</v>
      </c>
      <c r="BN366" s="440">
        <v>0</v>
      </c>
      <c r="BO366" s="440">
        <v>0</v>
      </c>
      <c r="BP366" s="440">
        <v>0</v>
      </c>
      <c r="BQ366" s="440">
        <v>0</v>
      </c>
      <c r="BR366" s="415">
        <v>4</v>
      </c>
      <c r="BS366" s="415">
        <v>4.0666666666666664</v>
      </c>
      <c r="BT366" s="935"/>
      <c r="BU366" s="935"/>
      <c r="BV366" s="935"/>
      <c r="BW366" s="935"/>
      <c r="BX366" s="935"/>
      <c r="BY366" s="935"/>
      <c r="BZ366" s="935"/>
      <c r="CA366" s="935"/>
      <c r="CB366" s="935"/>
      <c r="CC366" s="935"/>
      <c r="CD366" s="935"/>
      <c r="CE366" s="935"/>
      <c r="CF366" s="935"/>
      <c r="CG366" s="935"/>
      <c r="CH366" s="935"/>
      <c r="CI366" s="935"/>
      <c r="CJ366" s="935"/>
      <c r="CK366" s="935"/>
      <c r="CL366" s="935"/>
      <c r="CM366" s="935"/>
      <c r="CN366" s="935"/>
      <c r="CO366" s="935"/>
      <c r="CP366" s="935"/>
      <c r="CQ366" s="935"/>
      <c r="CR366" s="935"/>
      <c r="CS366" s="935"/>
      <c r="CT366" s="935"/>
      <c r="CU366" s="935"/>
      <c r="CV366" s="935"/>
    </row>
    <row r="367" spans="1:102" s="441" customFormat="1">
      <c r="A367" s="375">
        <f t="shared" si="108"/>
        <v>9</v>
      </c>
      <c r="B367" s="862">
        <v>44441</v>
      </c>
      <c r="C367" s="493" t="s">
        <v>2001</v>
      </c>
      <c r="D367" s="376" t="str">
        <f>IFERROR(VLOOKUP(E:E,'Item Data Support Sheet'!A:O,7,0),"")</f>
        <v>BOTTLE MOLDED</v>
      </c>
      <c r="E367" s="447" t="s">
        <v>138</v>
      </c>
      <c r="F367" s="500" t="s">
        <v>1664</v>
      </c>
      <c r="G367" s="497" t="s">
        <v>1888</v>
      </c>
      <c r="H367" s="602" t="str">
        <f>IFERROR(VLOOKUP(E:E,'Item Data Support Sheet'!A:O,2,0),"")</f>
        <v>RPP 240ML PINK BOTTLE MOLDED (WM3GB)</v>
      </c>
      <c r="I367" s="501" t="s">
        <v>2846</v>
      </c>
      <c r="J367" s="501" t="s">
        <v>2808</v>
      </c>
      <c r="K367" s="438">
        <v>8</v>
      </c>
      <c r="L367" s="499">
        <v>2503</v>
      </c>
      <c r="M367" s="366">
        <f t="shared" si="124"/>
        <v>312.875</v>
      </c>
      <c r="N367" s="367">
        <f t="shared" si="107"/>
        <v>2673</v>
      </c>
      <c r="O367" s="61">
        <v>2520</v>
      </c>
      <c r="P367" s="368">
        <v>1.4</v>
      </c>
      <c r="Q367" s="368">
        <v>70</v>
      </c>
      <c r="R367" s="494">
        <v>0</v>
      </c>
      <c r="S367" s="493">
        <v>0</v>
      </c>
      <c r="T367" s="494">
        <v>83</v>
      </c>
      <c r="U367" s="493">
        <v>0</v>
      </c>
      <c r="V367" s="502">
        <v>1</v>
      </c>
      <c r="W367" s="453">
        <f t="shared" si="109"/>
        <v>2520</v>
      </c>
      <c r="X367" s="748">
        <f t="shared" si="110"/>
        <v>1.0067918497802637</v>
      </c>
      <c r="Y367" s="451" t="str">
        <f>IFERROR(VLOOKUP(E:E,'Item Data Support Sheet'!A:J,6,0),0)</f>
        <v>WMG3B</v>
      </c>
      <c r="Z367" s="428">
        <f>IFERROR(VLOOKUP(E:E,'Item Data Support Sheet'!A:O,4,0),0)</f>
        <v>33.130000000000003</v>
      </c>
      <c r="AA367" s="428">
        <f t="shared" si="111"/>
        <v>89.956490000000002</v>
      </c>
      <c r="AB367" s="429">
        <f t="shared" si="112"/>
        <v>0.92808867931596706</v>
      </c>
      <c r="AC367" s="424">
        <f t="shared" si="113"/>
        <v>3.1886285055704955E-2</v>
      </c>
      <c r="AD367" s="371">
        <f t="shared" si="114"/>
        <v>2.5519504192489974E-2</v>
      </c>
      <c r="AE367" s="748">
        <f t="shared" si="115"/>
        <v>0.96894874672652453</v>
      </c>
      <c r="AF367" s="417">
        <f t="shared" si="116"/>
        <v>0.5</v>
      </c>
      <c r="AG367" s="416">
        <f t="shared" si="117"/>
        <v>7.5</v>
      </c>
      <c r="AH367" s="372">
        <f t="shared" si="118"/>
        <v>0.9375</v>
      </c>
      <c r="AI367" s="373">
        <f t="shared" si="119"/>
        <v>315</v>
      </c>
      <c r="AJ367" s="418">
        <f>VLOOKUP(D367,'Standard Cycle time'!C:D,2,0)</f>
        <v>9</v>
      </c>
      <c r="AK367" s="418">
        <f t="shared" si="120"/>
        <v>10.714285714285714</v>
      </c>
      <c r="AL367" s="374">
        <f t="shared" si="121"/>
        <v>0.84000000000000008</v>
      </c>
      <c r="AM367" s="372">
        <f t="shared" si="122"/>
        <v>0.76304713804713808</v>
      </c>
      <c r="AN367" s="799">
        <v>2928</v>
      </c>
      <c r="AO367" s="448" t="s">
        <v>2454</v>
      </c>
      <c r="AP367" s="440">
        <v>0</v>
      </c>
      <c r="AQ367" s="440">
        <v>0</v>
      </c>
      <c r="AR367" s="440">
        <v>0</v>
      </c>
      <c r="AS367" s="440">
        <v>0</v>
      </c>
      <c r="AT367" s="440">
        <v>0</v>
      </c>
      <c r="AU367" s="440">
        <v>0</v>
      </c>
      <c r="AV367" s="440">
        <v>0</v>
      </c>
      <c r="AW367" s="440">
        <v>30</v>
      </c>
      <c r="AX367" s="440">
        <v>0</v>
      </c>
      <c r="AY367" s="440">
        <v>0</v>
      </c>
      <c r="AZ367" s="440">
        <v>0</v>
      </c>
      <c r="BA367" s="440">
        <v>0</v>
      </c>
      <c r="BB367" s="440">
        <v>0</v>
      </c>
      <c r="BC367" s="440">
        <v>0</v>
      </c>
      <c r="BD367" s="440">
        <v>0</v>
      </c>
      <c r="BE367" s="440">
        <v>0</v>
      </c>
      <c r="BF367" s="440">
        <v>0</v>
      </c>
      <c r="BG367" s="440">
        <v>0</v>
      </c>
      <c r="BH367" s="440">
        <v>0</v>
      </c>
      <c r="BI367" s="440">
        <v>0</v>
      </c>
      <c r="BJ367" s="440">
        <v>0</v>
      </c>
      <c r="BK367" s="440">
        <v>0</v>
      </c>
      <c r="BL367" s="440">
        <v>0</v>
      </c>
      <c r="BM367" s="440">
        <v>0</v>
      </c>
      <c r="BN367" s="440">
        <v>0</v>
      </c>
      <c r="BO367" s="440">
        <v>0</v>
      </c>
      <c r="BP367" s="440">
        <v>0</v>
      </c>
      <c r="BQ367" s="440">
        <v>0</v>
      </c>
      <c r="BR367" s="415">
        <v>0.5</v>
      </c>
      <c r="BS367" s="415">
        <v>0.5083333333333333</v>
      </c>
      <c r="BT367" s="935"/>
      <c r="BU367" s="935"/>
      <c r="BV367" s="935"/>
      <c r="BW367" s="935"/>
      <c r="BX367" s="935"/>
      <c r="BY367" s="935"/>
      <c r="BZ367" s="935"/>
      <c r="CA367" s="935"/>
      <c r="CB367" s="935"/>
      <c r="CC367" s="935"/>
      <c r="CD367" s="935"/>
      <c r="CE367" s="935"/>
      <c r="CF367" s="935"/>
      <c r="CG367" s="935"/>
      <c r="CH367" s="935"/>
      <c r="CI367" s="935"/>
      <c r="CJ367" s="935"/>
      <c r="CK367" s="935"/>
      <c r="CL367" s="935"/>
      <c r="CM367" s="935"/>
      <c r="CN367" s="935"/>
      <c r="CO367" s="935"/>
      <c r="CP367" s="935"/>
      <c r="CQ367" s="935"/>
      <c r="CR367" s="935"/>
      <c r="CS367" s="935"/>
      <c r="CT367" s="935"/>
      <c r="CU367" s="935"/>
      <c r="CV367" s="935"/>
    </row>
    <row r="368" spans="1:102" s="441" customFormat="1">
      <c r="A368" s="375">
        <f t="shared" si="108"/>
        <v>9</v>
      </c>
      <c r="B368" s="862">
        <v>44441</v>
      </c>
      <c r="C368" s="493" t="s">
        <v>2001</v>
      </c>
      <c r="D368" s="376" t="str">
        <f>IFERROR(VLOOKUP(E:E,'Item Data Support Sheet'!A:O,7,0),"")</f>
        <v>NIPPLE POSTCURE</v>
      </c>
      <c r="E368" s="447" t="s">
        <v>79</v>
      </c>
      <c r="F368" s="500"/>
      <c r="G368" s="497" t="s">
        <v>1705</v>
      </c>
      <c r="H368" s="602" t="str">
        <f>IFERROR(VLOOKUP(E:E,'Item Data Support Sheet'!A:O,2,0),"")</f>
        <v>NIPPLE S TYPE Y SIZE POSTCURED</v>
      </c>
      <c r="I368" s="501" t="s">
        <v>2847</v>
      </c>
      <c r="J368" s="501" t="s">
        <v>2808</v>
      </c>
      <c r="K368" s="438">
        <v>8</v>
      </c>
      <c r="L368" s="499">
        <v>7000</v>
      </c>
      <c r="M368" s="366">
        <f t="shared" si="124"/>
        <v>875</v>
      </c>
      <c r="N368" s="367">
        <f t="shared" si="107"/>
        <v>6220</v>
      </c>
      <c r="O368" s="61">
        <v>6220</v>
      </c>
      <c r="P368" s="368">
        <v>0</v>
      </c>
      <c r="Q368" s="368">
        <v>0</v>
      </c>
      <c r="R368" s="494">
        <v>0</v>
      </c>
      <c r="S368" s="493">
        <v>0</v>
      </c>
      <c r="T368" s="494">
        <v>0</v>
      </c>
      <c r="U368" s="493">
        <v>0</v>
      </c>
      <c r="V368" s="502">
        <v>1</v>
      </c>
      <c r="W368" s="453">
        <f t="shared" si="109"/>
        <v>6220</v>
      </c>
      <c r="X368" s="748">
        <f t="shared" si="110"/>
        <v>0.88857142857142857</v>
      </c>
      <c r="Y368" s="451" t="str">
        <f>IFERROR(VLOOKUP(E:E,'Item Data Support Sheet'!A:J,6,0),0)</f>
        <v>FO014</v>
      </c>
      <c r="Z368" s="428">
        <f>IFERROR(VLOOKUP(E:E,'Item Data Support Sheet'!A:O,4,0),0)</f>
        <v>0</v>
      </c>
      <c r="AA368" s="428">
        <f t="shared" si="111"/>
        <v>0</v>
      </c>
      <c r="AB368" s="429" t="str">
        <f t="shared" si="112"/>
        <v xml:space="preserve"> </v>
      </c>
      <c r="AC368" s="424">
        <f t="shared" si="113"/>
        <v>0</v>
      </c>
      <c r="AD368" s="371">
        <f t="shared" si="114"/>
        <v>0</v>
      </c>
      <c r="AE368" s="748">
        <f t="shared" si="115"/>
        <v>1</v>
      </c>
      <c r="AF368" s="417">
        <f t="shared" si="116"/>
        <v>3.1666666666666665</v>
      </c>
      <c r="AG368" s="416">
        <f t="shared" si="117"/>
        <v>4.8333333333333339</v>
      </c>
      <c r="AH368" s="372">
        <f t="shared" si="118"/>
        <v>0.60416666666666674</v>
      </c>
      <c r="AI368" s="373">
        <f t="shared" si="119"/>
        <v>777.5</v>
      </c>
      <c r="AJ368" s="418">
        <f>VLOOKUP(D368,'Standard Cycle time'!C:D,2,0)</f>
        <v>2.2999999999999998</v>
      </c>
      <c r="AK368" s="418">
        <f t="shared" si="120"/>
        <v>2.7974276527331194</v>
      </c>
      <c r="AL368" s="374">
        <f t="shared" si="121"/>
        <v>0.82218390804597685</v>
      </c>
      <c r="AM368" s="372">
        <f t="shared" si="122"/>
        <v>0.4967361111111111</v>
      </c>
      <c r="AN368" s="799" t="s">
        <v>2848</v>
      </c>
      <c r="AO368" s="448" t="s">
        <v>2832</v>
      </c>
      <c r="AP368" s="440">
        <v>40</v>
      </c>
      <c r="AQ368" s="440">
        <v>0</v>
      </c>
      <c r="AR368" s="440">
        <v>0</v>
      </c>
      <c r="AS368" s="440">
        <v>150</v>
      </c>
      <c r="AT368" s="440">
        <v>0</v>
      </c>
      <c r="AU368" s="440">
        <v>0</v>
      </c>
      <c r="AV368" s="440">
        <v>0</v>
      </c>
      <c r="AW368" s="440">
        <v>0</v>
      </c>
      <c r="AX368" s="440">
        <v>0</v>
      </c>
      <c r="AY368" s="440">
        <v>0</v>
      </c>
      <c r="AZ368" s="440">
        <v>0</v>
      </c>
      <c r="BA368" s="440">
        <v>0</v>
      </c>
      <c r="BB368" s="440">
        <v>0</v>
      </c>
      <c r="BC368" s="440">
        <v>0</v>
      </c>
      <c r="BD368" s="440">
        <v>0</v>
      </c>
      <c r="BE368" s="440">
        <v>0</v>
      </c>
      <c r="BF368" s="440">
        <v>0</v>
      </c>
      <c r="BG368" s="440">
        <v>0</v>
      </c>
      <c r="BH368" s="440">
        <v>0</v>
      </c>
      <c r="BI368" s="440">
        <v>0</v>
      </c>
      <c r="BJ368" s="440">
        <v>0</v>
      </c>
      <c r="BK368" s="440">
        <v>0</v>
      </c>
      <c r="BL368" s="440">
        <v>0</v>
      </c>
      <c r="BM368" s="440">
        <v>0</v>
      </c>
      <c r="BN368" s="440">
        <v>0</v>
      </c>
      <c r="BO368" s="440">
        <v>0</v>
      </c>
      <c r="BP368" s="440">
        <v>0</v>
      </c>
      <c r="BQ368" s="440">
        <v>0</v>
      </c>
      <c r="BR368" s="415">
        <v>3.1666666666666665</v>
      </c>
      <c r="BS368" s="415">
        <v>3.2194444444444441</v>
      </c>
      <c r="BT368" s="935"/>
      <c r="BU368" s="935"/>
      <c r="BV368" s="935"/>
      <c r="BW368" s="935"/>
      <c r="BX368" s="935"/>
      <c r="BY368" s="935"/>
      <c r="BZ368" s="935"/>
      <c r="CA368" s="935"/>
      <c r="CB368" s="935"/>
      <c r="CC368" s="935"/>
      <c r="CD368" s="935"/>
      <c r="CE368" s="935"/>
      <c r="CF368" s="935"/>
      <c r="CG368" s="935"/>
      <c r="CH368" s="935"/>
      <c r="CI368" s="935"/>
      <c r="CJ368" s="935"/>
      <c r="CK368" s="935"/>
      <c r="CL368" s="935"/>
      <c r="CM368" s="935"/>
      <c r="CN368" s="935"/>
      <c r="CO368" s="935"/>
      <c r="CP368" s="935"/>
      <c r="CQ368" s="935"/>
      <c r="CR368" s="935"/>
      <c r="CS368" s="935"/>
      <c r="CT368" s="935"/>
      <c r="CU368" s="935"/>
      <c r="CV368" s="935"/>
    </row>
    <row r="369" spans="1:100" s="441" customFormat="1">
      <c r="A369" s="375">
        <f t="shared" si="108"/>
        <v>9</v>
      </c>
      <c r="B369" s="862">
        <v>44441</v>
      </c>
      <c r="C369" s="493" t="s">
        <v>2001</v>
      </c>
      <c r="D369" s="376" t="str">
        <f>IFERROR(VLOOKUP(E:E,'Item Data Support Sheet'!A:O,7,0),"")</f>
        <v>HOOD MOLDED</v>
      </c>
      <c r="E369" s="447" t="s">
        <v>1987</v>
      </c>
      <c r="F369" s="500"/>
      <c r="G369" s="497" t="s">
        <v>2729</v>
      </c>
      <c r="H369" s="602" t="str">
        <f>IFERROR(VLOOKUP(E:E,'Item Data Support Sheet'!A:O,2,0),"")</f>
        <v>HOOD S TYPE MOLDED</v>
      </c>
      <c r="I369" s="501" t="s">
        <v>2849</v>
      </c>
      <c r="J369" s="501" t="s">
        <v>2808</v>
      </c>
      <c r="K369" s="438">
        <v>8</v>
      </c>
      <c r="L369" s="499">
        <v>4137</v>
      </c>
      <c r="M369" s="366">
        <f t="shared" si="124"/>
        <v>517.125</v>
      </c>
      <c r="N369" s="367">
        <f t="shared" si="107"/>
        <v>5012</v>
      </c>
      <c r="O369" s="61">
        <v>5000</v>
      </c>
      <c r="P369" s="368">
        <v>0</v>
      </c>
      <c r="Q369" s="368">
        <v>0</v>
      </c>
      <c r="R369" s="494">
        <v>0</v>
      </c>
      <c r="S369" s="493">
        <v>0</v>
      </c>
      <c r="T369" s="494">
        <v>12</v>
      </c>
      <c r="U369" s="493">
        <v>0</v>
      </c>
      <c r="V369" s="502">
        <v>1</v>
      </c>
      <c r="W369" s="453">
        <f t="shared" si="109"/>
        <v>5000</v>
      </c>
      <c r="X369" s="748">
        <f t="shared" si="110"/>
        <v>1.2086052695189751</v>
      </c>
      <c r="Y369" s="451" t="str">
        <f>IFERROR(VLOOKUP(E:E,'Item Data Support Sheet'!A:J,6,0),0)</f>
        <v>HMC</v>
      </c>
      <c r="Z369" s="428">
        <f>IFERROR(VLOOKUP(E:E,'Item Data Support Sheet'!A:O,4,0),0)</f>
        <v>8.6</v>
      </c>
      <c r="AA369" s="428">
        <f t="shared" si="111"/>
        <v>43.103200000000001</v>
      </c>
      <c r="AB369" s="429">
        <f t="shared" si="112"/>
        <v>0.99760574620909814</v>
      </c>
      <c r="AC369" s="424">
        <f t="shared" si="113"/>
        <v>2.3942537909018356E-3</v>
      </c>
      <c r="AD369" s="371">
        <f t="shared" si="114"/>
        <v>0</v>
      </c>
      <c r="AE369" s="748">
        <f t="shared" si="115"/>
        <v>0.99760574620909814</v>
      </c>
      <c r="AF369" s="417">
        <f t="shared" si="116"/>
        <v>0</v>
      </c>
      <c r="AG369" s="416">
        <f t="shared" si="117"/>
        <v>8</v>
      </c>
      <c r="AH369" s="372">
        <f t="shared" si="118"/>
        <v>1</v>
      </c>
      <c r="AI369" s="373">
        <f t="shared" si="119"/>
        <v>625</v>
      </c>
      <c r="AJ369" s="418">
        <f>VLOOKUP(D369,'Standard Cycle time'!C:D,2,0)</f>
        <v>6</v>
      </c>
      <c r="AK369" s="418">
        <f t="shared" si="120"/>
        <v>5.76</v>
      </c>
      <c r="AL369" s="374">
        <f t="shared" si="121"/>
        <v>1.0416666666666667</v>
      </c>
      <c r="AM369" s="372">
        <f t="shared" si="122"/>
        <v>1.039172652301144</v>
      </c>
      <c r="AN369" s="799">
        <v>2927</v>
      </c>
      <c r="AO369" s="448" t="s">
        <v>2454</v>
      </c>
      <c r="AP369" s="440">
        <v>0</v>
      </c>
      <c r="AQ369" s="440">
        <v>0</v>
      </c>
      <c r="AR369" s="440">
        <v>0</v>
      </c>
      <c r="AS369" s="440">
        <v>0</v>
      </c>
      <c r="AT369" s="440">
        <v>0</v>
      </c>
      <c r="AU369" s="440">
        <v>0</v>
      </c>
      <c r="AV369" s="440">
        <v>0</v>
      </c>
      <c r="AW369" s="440">
        <v>0</v>
      </c>
      <c r="AX369" s="440">
        <v>0</v>
      </c>
      <c r="AY369" s="440">
        <v>0</v>
      </c>
      <c r="AZ369" s="440">
        <v>0</v>
      </c>
      <c r="BA369" s="440">
        <v>0</v>
      </c>
      <c r="BB369" s="440">
        <v>0</v>
      </c>
      <c r="BC369" s="440">
        <v>0</v>
      </c>
      <c r="BD369" s="440">
        <v>0</v>
      </c>
      <c r="BE369" s="440">
        <v>0</v>
      </c>
      <c r="BF369" s="440">
        <v>0</v>
      </c>
      <c r="BG369" s="440">
        <v>0</v>
      </c>
      <c r="BH369" s="440">
        <v>0</v>
      </c>
      <c r="BI369" s="440">
        <v>0</v>
      </c>
      <c r="BJ369" s="440">
        <v>0</v>
      </c>
      <c r="BK369" s="440">
        <v>0</v>
      </c>
      <c r="BL369" s="440">
        <v>0</v>
      </c>
      <c r="BM369" s="440">
        <v>0</v>
      </c>
      <c r="BN369" s="440">
        <v>0</v>
      </c>
      <c r="BO369" s="440">
        <v>0</v>
      </c>
      <c r="BP369" s="440">
        <v>0</v>
      </c>
      <c r="BQ369" s="440">
        <v>0</v>
      </c>
      <c r="BR369" s="415">
        <v>0</v>
      </c>
      <c r="BS369" s="415">
        <v>0</v>
      </c>
      <c r="BT369" s="935"/>
      <c r="BU369" s="935"/>
      <c r="BV369" s="935"/>
      <c r="BW369" s="935"/>
      <c r="BX369" s="935"/>
      <c r="BY369" s="935"/>
      <c r="BZ369" s="935"/>
      <c r="CA369" s="935"/>
      <c r="CB369" s="935"/>
      <c r="CC369" s="935"/>
      <c r="CD369" s="935"/>
      <c r="CE369" s="935"/>
      <c r="CF369" s="935"/>
      <c r="CG369" s="935"/>
      <c r="CH369" s="935"/>
      <c r="CI369" s="935"/>
      <c r="CJ369" s="935"/>
      <c r="CK369" s="935"/>
      <c r="CL369" s="935"/>
      <c r="CM369" s="935"/>
      <c r="CN369" s="935"/>
      <c r="CO369" s="935"/>
      <c r="CP369" s="935"/>
      <c r="CQ369" s="935"/>
      <c r="CR369" s="935"/>
      <c r="CS369" s="935"/>
      <c r="CT369" s="935"/>
      <c r="CU369" s="935"/>
      <c r="CV369" s="935"/>
    </row>
    <row r="370" spans="1:100" s="441" customFormat="1">
      <c r="A370" s="375">
        <f t="shared" si="108"/>
        <v>9</v>
      </c>
      <c r="B370" s="862">
        <v>44441</v>
      </c>
      <c r="C370" s="493" t="s">
        <v>2053</v>
      </c>
      <c r="D370" s="376" t="str">
        <f>IFERROR(VLOOKUP(E:E,'Item Data Support Sheet'!A:O,7,0),"")</f>
        <v>BOTTLE MOLDED</v>
      </c>
      <c r="E370" s="447" t="s">
        <v>138</v>
      </c>
      <c r="F370" s="500" t="s">
        <v>1664</v>
      </c>
      <c r="G370" s="497" t="s">
        <v>1888</v>
      </c>
      <c r="H370" s="602" t="str">
        <f>IFERROR(VLOOKUP(E:E,'Item Data Support Sheet'!A:O,2,0),"")</f>
        <v>RPP 240ML PINK BOTTLE MOLDED (WM3GB)</v>
      </c>
      <c r="I370" s="501" t="s">
        <v>2850</v>
      </c>
      <c r="J370" s="501" t="s">
        <v>2826</v>
      </c>
      <c r="K370" s="438">
        <v>8</v>
      </c>
      <c r="L370" s="499">
        <v>2503</v>
      </c>
      <c r="M370" s="366">
        <f t="shared" si="124"/>
        <v>312.875</v>
      </c>
      <c r="N370" s="367">
        <f t="shared" si="107"/>
        <v>1795</v>
      </c>
      <c r="O370" s="61">
        <v>1680</v>
      </c>
      <c r="P370" s="368">
        <v>1.6</v>
      </c>
      <c r="Q370" s="368">
        <v>66</v>
      </c>
      <c r="R370" s="494">
        <v>0</v>
      </c>
      <c r="S370" s="493">
        <v>0</v>
      </c>
      <c r="T370" s="494">
        <v>41</v>
      </c>
      <c r="U370" s="493">
        <v>8</v>
      </c>
      <c r="V370" s="502">
        <v>1</v>
      </c>
      <c r="W370" s="453">
        <f t="shared" si="109"/>
        <v>1680</v>
      </c>
      <c r="X370" s="748">
        <f t="shared" si="110"/>
        <v>0.67119456652017584</v>
      </c>
      <c r="Y370" s="451" t="str">
        <f>IFERROR(VLOOKUP(E:E,'Item Data Support Sheet'!A:J,6,0),0)</f>
        <v>WMG3B</v>
      </c>
      <c r="Z370" s="428">
        <f>IFERROR(VLOOKUP(E:E,'Item Data Support Sheet'!A:O,4,0),0)</f>
        <v>33.130000000000003</v>
      </c>
      <c r="AA370" s="428">
        <f t="shared" si="111"/>
        <v>61.068350000000002</v>
      </c>
      <c r="AB370" s="429">
        <f t="shared" si="112"/>
        <v>0.91141155770542348</v>
      </c>
      <c r="AC370" s="424">
        <f t="shared" si="113"/>
        <v>2.3823358512492735E-2</v>
      </c>
      <c r="AD370" s="371">
        <f t="shared" si="114"/>
        <v>3.5464803868887694E-2</v>
      </c>
      <c r="AE370" s="748">
        <f t="shared" si="115"/>
        <v>0.97715877437325904</v>
      </c>
      <c r="AF370" s="417">
        <f t="shared" si="116"/>
        <v>3.8333333333333335</v>
      </c>
      <c r="AG370" s="416">
        <f t="shared" si="117"/>
        <v>4.1666666666666661</v>
      </c>
      <c r="AH370" s="372">
        <f t="shared" si="118"/>
        <v>0.52083333333333326</v>
      </c>
      <c r="AI370" s="373">
        <f t="shared" si="119"/>
        <v>210</v>
      </c>
      <c r="AJ370" s="418">
        <f>VLOOKUP(D370,'Standard Cycle time'!C:D,2,0)</f>
        <v>9</v>
      </c>
      <c r="AK370" s="418">
        <f t="shared" si="120"/>
        <v>8.928571428571427</v>
      </c>
      <c r="AL370" s="374">
        <f t="shared" si="121"/>
        <v>1.0080000000000002</v>
      </c>
      <c r="AM370" s="372">
        <f t="shared" si="122"/>
        <v>0.51300835654596111</v>
      </c>
      <c r="AN370" s="799">
        <v>2929</v>
      </c>
      <c r="AO370" s="448" t="s">
        <v>2851</v>
      </c>
      <c r="AP370" s="440">
        <v>0</v>
      </c>
      <c r="AQ370" s="440">
        <v>0</v>
      </c>
      <c r="AR370" s="440">
        <v>110</v>
      </c>
      <c r="AS370" s="440">
        <v>0</v>
      </c>
      <c r="AT370" s="440">
        <v>0</v>
      </c>
      <c r="AU370" s="440">
        <v>0</v>
      </c>
      <c r="AV370" s="440">
        <v>60</v>
      </c>
      <c r="AW370" s="440">
        <v>0</v>
      </c>
      <c r="AX370" s="440">
        <v>0</v>
      </c>
      <c r="AY370" s="440">
        <v>0</v>
      </c>
      <c r="AZ370" s="440">
        <v>60</v>
      </c>
      <c r="BA370" s="440">
        <v>0</v>
      </c>
      <c r="BB370" s="440">
        <v>0</v>
      </c>
      <c r="BC370" s="440">
        <v>0</v>
      </c>
      <c r="BD370" s="440">
        <v>0</v>
      </c>
      <c r="BE370" s="440">
        <v>0</v>
      </c>
      <c r="BF370" s="440">
        <v>0</v>
      </c>
      <c r="BG370" s="440">
        <v>0</v>
      </c>
      <c r="BH370" s="440">
        <v>0</v>
      </c>
      <c r="BI370" s="440">
        <v>0</v>
      </c>
      <c r="BJ370" s="440">
        <v>0</v>
      </c>
      <c r="BK370" s="440">
        <v>0</v>
      </c>
      <c r="BL370" s="440">
        <v>0</v>
      </c>
      <c r="BM370" s="440">
        <v>0</v>
      </c>
      <c r="BN370" s="440">
        <v>0</v>
      </c>
      <c r="BO370" s="440">
        <v>0</v>
      </c>
      <c r="BP370" s="440">
        <v>0</v>
      </c>
      <c r="BQ370" s="440">
        <v>0</v>
      </c>
      <c r="BR370" s="415">
        <v>3.8333333333333335</v>
      </c>
      <c r="BS370" s="415">
        <v>3.8972222222222226</v>
      </c>
      <c r="BT370" s="935"/>
      <c r="BU370" s="935"/>
      <c r="BV370" s="935"/>
      <c r="BW370" s="935"/>
      <c r="BX370" s="935"/>
      <c r="BY370" s="935"/>
      <c r="BZ370" s="935"/>
      <c r="CA370" s="935"/>
      <c r="CB370" s="935"/>
      <c r="CC370" s="935"/>
      <c r="CD370" s="935"/>
      <c r="CE370" s="935"/>
      <c r="CF370" s="935"/>
      <c r="CG370" s="935"/>
      <c r="CH370" s="935"/>
      <c r="CI370" s="935"/>
      <c r="CJ370" s="935"/>
      <c r="CK370" s="935"/>
      <c r="CL370" s="935"/>
      <c r="CM370" s="935"/>
      <c r="CN370" s="935"/>
      <c r="CO370" s="935"/>
      <c r="CP370" s="935"/>
      <c r="CQ370" s="935"/>
      <c r="CR370" s="935"/>
      <c r="CS370" s="935"/>
      <c r="CT370" s="935"/>
      <c r="CU370" s="935"/>
      <c r="CV370" s="935"/>
    </row>
    <row r="371" spans="1:100" s="441" customFormat="1">
      <c r="A371" s="375">
        <f t="shared" si="108"/>
        <v>9</v>
      </c>
      <c r="B371" s="862">
        <v>44441</v>
      </c>
      <c r="C371" s="493" t="s">
        <v>2053</v>
      </c>
      <c r="D371" s="376" t="str">
        <f>IFERROR(VLOOKUP(E:E,'Item Data Support Sheet'!A:O,7,0),"")</f>
        <v>HOOD MOLDED</v>
      </c>
      <c r="E371" s="447" t="s">
        <v>1987</v>
      </c>
      <c r="F371" s="500"/>
      <c r="G371" s="497" t="s">
        <v>2729</v>
      </c>
      <c r="H371" s="602" t="str">
        <f>IFERROR(VLOOKUP(E:E,'Item Data Support Sheet'!A:O,2,0),"")</f>
        <v>HOOD S TYPE MOLDED</v>
      </c>
      <c r="I371" s="501" t="s">
        <v>2852</v>
      </c>
      <c r="J371" s="501" t="s">
        <v>2826</v>
      </c>
      <c r="K371" s="438">
        <v>8</v>
      </c>
      <c r="L371" s="499">
        <v>4137</v>
      </c>
      <c r="M371" s="366">
        <f t="shared" si="124"/>
        <v>517.125</v>
      </c>
      <c r="N371" s="367">
        <f t="shared" si="107"/>
        <v>5619</v>
      </c>
      <c r="O371" s="61">
        <v>5600</v>
      </c>
      <c r="P371" s="368">
        <v>0</v>
      </c>
      <c r="Q371" s="368">
        <v>0</v>
      </c>
      <c r="R371" s="494">
        <v>0</v>
      </c>
      <c r="S371" s="493">
        <v>0</v>
      </c>
      <c r="T371" s="494">
        <v>11</v>
      </c>
      <c r="U371" s="493">
        <v>8</v>
      </c>
      <c r="V371" s="502">
        <v>1</v>
      </c>
      <c r="W371" s="453">
        <f t="shared" si="109"/>
        <v>5600</v>
      </c>
      <c r="X371" s="748">
        <f t="shared" si="110"/>
        <v>1.3536379018612521</v>
      </c>
      <c r="Y371" s="451" t="str">
        <f>IFERROR(VLOOKUP(E:E,'Item Data Support Sheet'!A:J,6,0),0)</f>
        <v>HMC</v>
      </c>
      <c r="Z371" s="428">
        <f>IFERROR(VLOOKUP(E:E,'Item Data Support Sheet'!A:O,4,0),0)</f>
        <v>8.6</v>
      </c>
      <c r="AA371" s="428">
        <f t="shared" si="111"/>
        <v>48.323399999999999</v>
      </c>
      <c r="AB371" s="429">
        <f t="shared" si="112"/>
        <v>0.99661861541199492</v>
      </c>
      <c r="AC371" s="424">
        <f t="shared" si="113"/>
        <v>1.9604348600962395E-3</v>
      </c>
      <c r="AD371" s="371">
        <f t="shared" si="114"/>
        <v>0</v>
      </c>
      <c r="AE371" s="748">
        <f t="shared" si="115"/>
        <v>0.99804235629115501</v>
      </c>
      <c r="AF371" s="417">
        <f t="shared" si="116"/>
        <v>0</v>
      </c>
      <c r="AG371" s="416">
        <f t="shared" si="117"/>
        <v>8</v>
      </c>
      <c r="AH371" s="372">
        <f t="shared" si="118"/>
        <v>1</v>
      </c>
      <c r="AI371" s="373">
        <f t="shared" si="119"/>
        <v>700</v>
      </c>
      <c r="AJ371" s="418">
        <f>VLOOKUP(D371,'Standard Cycle time'!C:D,2,0)</f>
        <v>6</v>
      </c>
      <c r="AK371" s="418">
        <f t="shared" si="120"/>
        <v>5.1428571428571432</v>
      </c>
      <c r="AL371" s="374">
        <f t="shared" si="121"/>
        <v>1.1666666666666665</v>
      </c>
      <c r="AM371" s="372">
        <f t="shared" si="122"/>
        <v>1.1643827490063474</v>
      </c>
      <c r="AN371" s="799">
        <v>2930</v>
      </c>
      <c r="AO371" s="448"/>
      <c r="AP371" s="440">
        <v>0</v>
      </c>
      <c r="AQ371" s="440">
        <v>0</v>
      </c>
      <c r="AR371" s="440">
        <v>0</v>
      </c>
      <c r="AS371" s="440">
        <v>0</v>
      </c>
      <c r="AT371" s="440">
        <v>0</v>
      </c>
      <c r="AU371" s="440">
        <v>0</v>
      </c>
      <c r="AV371" s="440">
        <v>0</v>
      </c>
      <c r="AW371" s="440">
        <v>0</v>
      </c>
      <c r="AX371" s="440">
        <v>0</v>
      </c>
      <c r="AY371" s="440">
        <v>0</v>
      </c>
      <c r="AZ371" s="440">
        <v>0</v>
      </c>
      <c r="BA371" s="440">
        <v>0</v>
      </c>
      <c r="BB371" s="440">
        <v>0</v>
      </c>
      <c r="BC371" s="440">
        <v>0</v>
      </c>
      <c r="BD371" s="440">
        <v>0</v>
      </c>
      <c r="BE371" s="440">
        <v>0</v>
      </c>
      <c r="BF371" s="440">
        <v>0</v>
      </c>
      <c r="BG371" s="440">
        <v>0</v>
      </c>
      <c r="BH371" s="440">
        <v>0</v>
      </c>
      <c r="BI371" s="440">
        <v>0</v>
      </c>
      <c r="BJ371" s="440">
        <v>0</v>
      </c>
      <c r="BK371" s="440">
        <v>0</v>
      </c>
      <c r="BL371" s="440">
        <v>0</v>
      </c>
      <c r="BM371" s="440">
        <v>0</v>
      </c>
      <c r="BN371" s="440">
        <v>0</v>
      </c>
      <c r="BO371" s="440">
        <v>0</v>
      </c>
      <c r="BP371" s="440">
        <v>0</v>
      </c>
      <c r="BQ371" s="440">
        <v>0</v>
      </c>
      <c r="BR371" s="415">
        <v>0</v>
      </c>
      <c r="BS371" s="415">
        <v>0</v>
      </c>
      <c r="BT371" s="935"/>
      <c r="BU371" s="935"/>
      <c r="BV371" s="935"/>
      <c r="BW371" s="935"/>
      <c r="BX371" s="935"/>
      <c r="BY371" s="935"/>
      <c r="BZ371" s="935"/>
      <c r="CA371" s="935"/>
      <c r="CB371" s="935"/>
      <c r="CC371" s="935"/>
      <c r="CD371" s="935"/>
      <c r="CE371" s="935"/>
      <c r="CF371" s="935"/>
      <c r="CG371" s="935"/>
      <c r="CH371" s="935"/>
      <c r="CI371" s="935"/>
      <c r="CJ371" s="935"/>
      <c r="CK371" s="935"/>
      <c r="CL371" s="935"/>
      <c r="CM371" s="935"/>
      <c r="CN371" s="935"/>
      <c r="CO371" s="935"/>
      <c r="CP371" s="935"/>
      <c r="CQ371" s="935"/>
      <c r="CR371" s="935"/>
      <c r="CS371" s="935"/>
      <c r="CT371" s="935"/>
      <c r="CU371" s="935"/>
      <c r="CV371" s="935"/>
    </row>
    <row r="372" spans="1:100" s="441" customFormat="1">
      <c r="A372" s="375">
        <f t="shared" si="108"/>
        <v>9</v>
      </c>
      <c r="B372" s="862">
        <v>44442</v>
      </c>
      <c r="C372" s="493" t="s">
        <v>1980</v>
      </c>
      <c r="D372" s="376" t="str">
        <f>IFERROR(VLOOKUP(E:E,'Item Data Support Sheet'!A:O,7,0),"")</f>
        <v>BOTTLE MOLDED</v>
      </c>
      <c r="E372" s="447" t="s">
        <v>138</v>
      </c>
      <c r="F372" s="500" t="s">
        <v>1664</v>
      </c>
      <c r="G372" s="497" t="s">
        <v>1888</v>
      </c>
      <c r="H372" s="602" t="str">
        <f>IFERROR(VLOOKUP(E:E,'Item Data Support Sheet'!A:O,2,0),"")</f>
        <v>RPP 240ML PINK BOTTLE MOLDED (WM3GB)</v>
      </c>
      <c r="I372" s="501" t="s">
        <v>2853</v>
      </c>
      <c r="J372" s="501" t="s">
        <v>2809</v>
      </c>
      <c r="K372" s="438">
        <v>8</v>
      </c>
      <c r="L372" s="499">
        <v>2574</v>
      </c>
      <c r="M372" s="366">
        <f t="shared" si="124"/>
        <v>321.75</v>
      </c>
      <c r="N372" s="367">
        <f t="shared" si="107"/>
        <v>2190</v>
      </c>
      <c r="O372" s="61">
        <v>2040</v>
      </c>
      <c r="P372" s="368">
        <v>1.2</v>
      </c>
      <c r="Q372" s="368">
        <v>76</v>
      </c>
      <c r="R372" s="494">
        <v>0</v>
      </c>
      <c r="S372" s="493">
        <v>0</v>
      </c>
      <c r="T372" s="494">
        <v>66</v>
      </c>
      <c r="U372" s="493">
        <v>8</v>
      </c>
      <c r="V372" s="502">
        <v>1</v>
      </c>
      <c r="W372" s="453">
        <f t="shared" si="109"/>
        <v>2040</v>
      </c>
      <c r="X372" s="748">
        <f t="shared" si="110"/>
        <v>0.79254079254079257</v>
      </c>
      <c r="Y372" s="451" t="str">
        <f>IFERROR(VLOOKUP(E:E,'Item Data Support Sheet'!A:J,6,0),0)</f>
        <v>WMG3B</v>
      </c>
      <c r="Z372" s="428">
        <f>IFERROR(VLOOKUP(E:E,'Item Data Support Sheet'!A:O,4,0),0)</f>
        <v>33.130000000000003</v>
      </c>
      <c r="AA372" s="428">
        <f t="shared" si="111"/>
        <v>73.7547</v>
      </c>
      <c r="AB372" s="429">
        <f t="shared" si="112"/>
        <v>0.9163510935574275</v>
      </c>
      <c r="AC372" s="424">
        <f t="shared" si="113"/>
        <v>3.1339031339031341E-2</v>
      </c>
      <c r="AD372" s="371">
        <f t="shared" si="114"/>
        <v>3.3539276257722857E-2</v>
      </c>
      <c r="AE372" s="748">
        <f t="shared" si="115"/>
        <v>0.96986301369863015</v>
      </c>
      <c r="AF372" s="417">
        <f t="shared" si="116"/>
        <v>2</v>
      </c>
      <c r="AG372" s="416">
        <f t="shared" si="117"/>
        <v>6</v>
      </c>
      <c r="AH372" s="372">
        <f t="shared" si="118"/>
        <v>0.75</v>
      </c>
      <c r="AI372" s="373">
        <f t="shared" si="119"/>
        <v>255</v>
      </c>
      <c r="AJ372" s="418">
        <f>VLOOKUP(D372,'Standard Cycle time'!C:D,2,0)</f>
        <v>9</v>
      </c>
      <c r="AK372" s="418">
        <f t="shared" si="120"/>
        <v>10.588235294117647</v>
      </c>
      <c r="AL372" s="374">
        <f t="shared" si="121"/>
        <v>0.85</v>
      </c>
      <c r="AM372" s="372">
        <f t="shared" si="122"/>
        <v>0.61828767123287676</v>
      </c>
      <c r="AN372" s="799">
        <v>3069</v>
      </c>
      <c r="AO372" s="448" t="s">
        <v>2854</v>
      </c>
      <c r="AP372" s="440">
        <v>0</v>
      </c>
      <c r="AQ372" s="440">
        <v>0</v>
      </c>
      <c r="AR372" s="440">
        <v>120</v>
      </c>
      <c r="AS372" s="440">
        <v>0</v>
      </c>
      <c r="AT372" s="440">
        <v>0</v>
      </c>
      <c r="AU372" s="440">
        <v>0</v>
      </c>
      <c r="AV372" s="440">
        <v>0</v>
      </c>
      <c r="AW372" s="440">
        <v>0</v>
      </c>
      <c r="AX372" s="440">
        <v>0</v>
      </c>
      <c r="AY372" s="440">
        <v>0</v>
      </c>
      <c r="AZ372" s="440">
        <v>0</v>
      </c>
      <c r="BA372" s="440">
        <v>0</v>
      </c>
      <c r="BB372" s="440">
        <v>0</v>
      </c>
      <c r="BC372" s="440">
        <v>0</v>
      </c>
      <c r="BD372" s="440">
        <v>0</v>
      </c>
      <c r="BE372" s="440">
        <v>0</v>
      </c>
      <c r="BF372" s="440">
        <v>0</v>
      </c>
      <c r="BG372" s="440">
        <v>0</v>
      </c>
      <c r="BH372" s="440">
        <v>0</v>
      </c>
      <c r="BI372" s="440">
        <v>0</v>
      </c>
      <c r="BJ372" s="440">
        <v>0</v>
      </c>
      <c r="BK372" s="440">
        <v>0</v>
      </c>
      <c r="BL372" s="440">
        <v>0</v>
      </c>
      <c r="BM372" s="440">
        <v>0</v>
      </c>
      <c r="BN372" s="440">
        <v>0</v>
      </c>
      <c r="BO372" s="440">
        <v>0</v>
      </c>
      <c r="BP372" s="440">
        <v>0</v>
      </c>
      <c r="BQ372" s="440">
        <v>0</v>
      </c>
      <c r="BR372" s="415">
        <v>2</v>
      </c>
      <c r="BS372" s="415">
        <v>2.0333333333333332</v>
      </c>
      <c r="BT372" s="935"/>
      <c r="BU372" s="935"/>
      <c r="BV372" s="935"/>
      <c r="BW372" s="935"/>
      <c r="BX372" s="935"/>
      <c r="BY372" s="935"/>
      <c r="BZ372" s="935"/>
      <c r="CA372" s="935"/>
      <c r="CB372" s="935"/>
      <c r="CC372" s="935"/>
      <c r="CD372" s="935"/>
      <c r="CE372" s="935"/>
      <c r="CF372" s="935"/>
      <c r="CG372" s="935"/>
      <c r="CH372" s="935"/>
      <c r="CI372" s="935"/>
      <c r="CJ372" s="935"/>
      <c r="CK372" s="935"/>
      <c r="CL372" s="935"/>
      <c r="CM372" s="935"/>
      <c r="CN372" s="935"/>
      <c r="CO372" s="935"/>
      <c r="CP372" s="935"/>
      <c r="CQ372" s="935"/>
      <c r="CR372" s="935"/>
      <c r="CS372" s="935"/>
      <c r="CT372" s="935"/>
      <c r="CU372" s="935"/>
      <c r="CV372" s="935"/>
    </row>
    <row r="373" spans="1:100" s="441" customFormat="1">
      <c r="A373" s="375">
        <f t="shared" si="108"/>
        <v>9</v>
      </c>
      <c r="B373" s="862">
        <v>44442</v>
      </c>
      <c r="C373" s="493" t="s">
        <v>1980</v>
      </c>
      <c r="D373" s="376" t="str">
        <f>IFERROR(VLOOKUP(E:E,'Item Data Support Sheet'!A:O,7,0),"")</f>
        <v>NIPPLE MOLDED</v>
      </c>
      <c r="E373" s="447" t="s">
        <v>73</v>
      </c>
      <c r="F373" s="500" t="s">
        <v>1678</v>
      </c>
      <c r="G373" s="497" t="s">
        <v>1690</v>
      </c>
      <c r="H373" s="602" t="str">
        <f>IFERROR(VLOOKUP(E:E,'Item Data Support Sheet'!A:O,2,0),"")</f>
        <v>NIPPLE S TYPE M SIZE INJECTION</v>
      </c>
      <c r="I373" s="501" t="s">
        <v>2855</v>
      </c>
      <c r="J373" s="501" t="s">
        <v>2809</v>
      </c>
      <c r="K373" s="438">
        <v>8</v>
      </c>
      <c r="L373" s="499">
        <v>4815</v>
      </c>
      <c r="M373" s="366">
        <f t="shared" si="124"/>
        <v>601.875</v>
      </c>
      <c r="N373" s="367">
        <f t="shared" si="107"/>
        <v>3358</v>
      </c>
      <c r="O373" s="61">
        <v>3200</v>
      </c>
      <c r="P373" s="368">
        <v>1</v>
      </c>
      <c r="Q373" s="368">
        <v>90</v>
      </c>
      <c r="R373" s="494">
        <v>0</v>
      </c>
      <c r="S373" s="493">
        <v>0</v>
      </c>
      <c r="T373" s="494">
        <v>60</v>
      </c>
      <c r="U373" s="493">
        <v>8</v>
      </c>
      <c r="V373" s="502">
        <v>1</v>
      </c>
      <c r="W373" s="453">
        <f t="shared" si="109"/>
        <v>3200</v>
      </c>
      <c r="X373" s="748">
        <f t="shared" si="110"/>
        <v>0.66458982346832818</v>
      </c>
      <c r="Y373" s="451" t="str">
        <f>IFERROR(VLOOKUP(E:E,'Item Data Support Sheet'!A:J,6,0),0)</f>
        <v>Silicon</v>
      </c>
      <c r="Z373" s="428">
        <f>IFERROR(VLOOKUP(E:E,'Item Data Support Sheet'!A:O,4,0),0)</f>
        <v>6.8</v>
      </c>
      <c r="AA373" s="428">
        <f t="shared" si="111"/>
        <v>23.834399999999999</v>
      </c>
      <c r="AB373" s="429">
        <f t="shared" si="112"/>
        <v>0.91296613298425799</v>
      </c>
      <c r="AC373" s="424">
        <f t="shared" si="113"/>
        <v>1.8404907975460124E-2</v>
      </c>
      <c r="AD373" s="371">
        <f t="shared" si="114"/>
        <v>2.6102088167053363E-2</v>
      </c>
      <c r="AE373" s="748">
        <f t="shared" si="115"/>
        <v>0.98213222156045266</v>
      </c>
      <c r="AF373" s="417">
        <f t="shared" si="116"/>
        <v>2.5</v>
      </c>
      <c r="AG373" s="416">
        <f t="shared" si="117"/>
        <v>5.5</v>
      </c>
      <c r="AH373" s="372">
        <f t="shared" si="118"/>
        <v>0.6875</v>
      </c>
      <c r="AI373" s="373">
        <f t="shared" si="119"/>
        <v>400</v>
      </c>
      <c r="AJ373" s="418">
        <f>VLOOKUP(D373,'Standard Cycle time'!C:D,2,0)</f>
        <v>5.25</v>
      </c>
      <c r="AK373" s="418">
        <f t="shared" si="120"/>
        <v>6.1875</v>
      </c>
      <c r="AL373" s="374">
        <f t="shared" si="121"/>
        <v>0.84848484848484851</v>
      </c>
      <c r="AM373" s="372">
        <f t="shared" si="122"/>
        <v>0.57291046257693068</v>
      </c>
      <c r="AN373" s="799" t="s">
        <v>2856</v>
      </c>
      <c r="AO373" s="448" t="s">
        <v>2822</v>
      </c>
      <c r="AP373" s="440">
        <v>0</v>
      </c>
      <c r="AQ373" s="440">
        <v>0</v>
      </c>
      <c r="AR373" s="440">
        <v>0</v>
      </c>
      <c r="AS373" s="440">
        <v>0</v>
      </c>
      <c r="AT373" s="440">
        <v>0</v>
      </c>
      <c r="AU373" s="440">
        <v>30</v>
      </c>
      <c r="AV373" s="440">
        <v>30</v>
      </c>
      <c r="AW373" s="440">
        <v>90</v>
      </c>
      <c r="AX373" s="440">
        <v>0</v>
      </c>
      <c r="AY373" s="440">
        <v>0</v>
      </c>
      <c r="AZ373" s="440">
        <v>0</v>
      </c>
      <c r="BA373" s="440">
        <v>0</v>
      </c>
      <c r="BB373" s="440">
        <v>0</v>
      </c>
      <c r="BC373" s="440">
        <v>0</v>
      </c>
      <c r="BD373" s="440">
        <v>0</v>
      </c>
      <c r="BE373" s="440">
        <v>0</v>
      </c>
      <c r="BF373" s="440">
        <v>0</v>
      </c>
      <c r="BG373" s="440">
        <v>0</v>
      </c>
      <c r="BH373" s="440">
        <v>0</v>
      </c>
      <c r="BI373" s="440">
        <v>0</v>
      </c>
      <c r="BJ373" s="440">
        <v>0</v>
      </c>
      <c r="BK373" s="440">
        <v>0</v>
      </c>
      <c r="BL373" s="440">
        <v>0</v>
      </c>
      <c r="BM373" s="440">
        <v>0</v>
      </c>
      <c r="BN373" s="440">
        <v>0</v>
      </c>
      <c r="BO373" s="440">
        <v>0</v>
      </c>
      <c r="BP373" s="440">
        <v>0</v>
      </c>
      <c r="BQ373" s="440">
        <v>0</v>
      </c>
      <c r="BR373" s="415">
        <v>2.5</v>
      </c>
      <c r="BS373" s="415">
        <v>2.5416666666666665</v>
      </c>
      <c r="BT373" s="935"/>
      <c r="BU373" s="935"/>
      <c r="BV373" s="935"/>
      <c r="BW373" s="935"/>
      <c r="BX373" s="935"/>
      <c r="BY373" s="935"/>
      <c r="BZ373" s="935"/>
      <c r="CA373" s="935"/>
      <c r="CB373" s="935"/>
      <c r="CC373" s="935"/>
      <c r="CD373" s="935"/>
      <c r="CE373" s="935"/>
      <c r="CF373" s="935"/>
      <c r="CG373" s="935"/>
      <c r="CH373" s="935"/>
      <c r="CI373" s="935"/>
      <c r="CJ373" s="935"/>
      <c r="CK373" s="935"/>
      <c r="CL373" s="935"/>
      <c r="CM373" s="935"/>
      <c r="CN373" s="935"/>
      <c r="CO373" s="935"/>
      <c r="CP373" s="935"/>
      <c r="CQ373" s="935"/>
      <c r="CR373" s="935"/>
      <c r="CS373" s="935"/>
      <c r="CT373" s="935"/>
      <c r="CU373" s="935"/>
      <c r="CV373" s="935"/>
    </row>
    <row r="374" spans="1:100" s="441" customFormat="1">
      <c r="A374" s="375">
        <f t="shared" si="108"/>
        <v>9</v>
      </c>
      <c r="B374" s="862">
        <v>44442</v>
      </c>
      <c r="C374" s="493" t="s">
        <v>1980</v>
      </c>
      <c r="D374" s="376" t="str">
        <f>IFERROR(VLOOKUP(E:E,'Item Data Support Sheet'!A:O,7,0),"")</f>
        <v>HOOD MOLDED</v>
      </c>
      <c r="E374" s="447" t="s">
        <v>1987</v>
      </c>
      <c r="F374" s="500"/>
      <c r="G374" s="497" t="s">
        <v>2729</v>
      </c>
      <c r="H374" s="602" t="str">
        <f>IFERROR(VLOOKUP(E:E,'Item Data Support Sheet'!A:O,2,0),"")</f>
        <v>HOOD S TYPE MOLDED</v>
      </c>
      <c r="I374" s="501" t="s">
        <v>2857</v>
      </c>
      <c r="J374" s="501" t="s">
        <v>2809</v>
      </c>
      <c r="K374" s="438">
        <v>8</v>
      </c>
      <c r="L374" s="499">
        <v>4137</v>
      </c>
      <c r="M374" s="366">
        <f t="shared" si="124"/>
        <v>517.125</v>
      </c>
      <c r="N374" s="367">
        <f t="shared" si="107"/>
        <v>5512</v>
      </c>
      <c r="O374" s="61">
        <v>5500</v>
      </c>
      <c r="P374" s="368">
        <v>0</v>
      </c>
      <c r="Q374" s="368">
        <v>0</v>
      </c>
      <c r="R374" s="494">
        <v>0</v>
      </c>
      <c r="S374" s="493">
        <v>0</v>
      </c>
      <c r="T374" s="494">
        <v>4</v>
      </c>
      <c r="U374" s="493">
        <v>8</v>
      </c>
      <c r="V374" s="502">
        <v>1</v>
      </c>
      <c r="W374" s="453">
        <f t="shared" si="109"/>
        <v>5500</v>
      </c>
      <c r="X374" s="748">
        <f t="shared" si="110"/>
        <v>1.3294657964708727</v>
      </c>
      <c r="Y374" s="451" t="str">
        <f>IFERROR(VLOOKUP(E:E,'Item Data Support Sheet'!A:J,6,0),0)</f>
        <v>HMC</v>
      </c>
      <c r="Z374" s="428">
        <f>IFERROR(VLOOKUP(E:E,'Item Data Support Sheet'!A:O,4,0),0)</f>
        <v>8.6</v>
      </c>
      <c r="AA374" s="428">
        <f t="shared" si="111"/>
        <v>47.403199999999998</v>
      </c>
      <c r="AB374" s="429">
        <f t="shared" si="112"/>
        <v>0.99782293178519588</v>
      </c>
      <c r="AC374" s="424">
        <f t="shared" si="113"/>
        <v>7.2674418604651162E-4</v>
      </c>
      <c r="AD374" s="371">
        <f t="shared" si="114"/>
        <v>0</v>
      </c>
      <c r="AE374" s="748">
        <f t="shared" si="115"/>
        <v>0.99927431059506533</v>
      </c>
      <c r="AF374" s="417">
        <f t="shared" si="116"/>
        <v>0</v>
      </c>
      <c r="AG374" s="416">
        <f t="shared" si="117"/>
        <v>8</v>
      </c>
      <c r="AH374" s="372">
        <f t="shared" si="118"/>
        <v>1</v>
      </c>
      <c r="AI374" s="373">
        <f t="shared" si="119"/>
        <v>687.5</v>
      </c>
      <c r="AJ374" s="418">
        <f>VLOOKUP(D374,'Standard Cycle time'!C:D,2,0)</f>
        <v>6</v>
      </c>
      <c r="AK374" s="418">
        <f t="shared" si="120"/>
        <v>5.2363636363636363</v>
      </c>
      <c r="AL374" s="374">
        <f t="shared" si="121"/>
        <v>1.1458333333333333</v>
      </c>
      <c r="AM374" s="372">
        <f t="shared" si="122"/>
        <v>1.1450018142235123</v>
      </c>
      <c r="AN374" s="799" t="s">
        <v>2858</v>
      </c>
      <c r="AO374" s="448"/>
      <c r="AP374" s="440">
        <v>0</v>
      </c>
      <c r="AQ374" s="440">
        <v>0</v>
      </c>
      <c r="AR374" s="440">
        <v>0</v>
      </c>
      <c r="AS374" s="440">
        <v>0</v>
      </c>
      <c r="AT374" s="440">
        <v>0</v>
      </c>
      <c r="AU374" s="440">
        <v>0</v>
      </c>
      <c r="AV374" s="440">
        <v>0</v>
      </c>
      <c r="AW374" s="440">
        <v>0</v>
      </c>
      <c r="AX374" s="440">
        <v>0</v>
      </c>
      <c r="AY374" s="440">
        <v>0</v>
      </c>
      <c r="AZ374" s="440">
        <v>0</v>
      </c>
      <c r="BA374" s="440">
        <v>0</v>
      </c>
      <c r="BB374" s="440">
        <v>0</v>
      </c>
      <c r="BC374" s="440">
        <v>0</v>
      </c>
      <c r="BD374" s="440">
        <v>0</v>
      </c>
      <c r="BE374" s="440">
        <v>0</v>
      </c>
      <c r="BF374" s="440">
        <v>0</v>
      </c>
      <c r="BG374" s="440">
        <v>0</v>
      </c>
      <c r="BH374" s="440">
        <v>0</v>
      </c>
      <c r="BI374" s="440">
        <v>0</v>
      </c>
      <c r="BJ374" s="440">
        <v>0</v>
      </c>
      <c r="BK374" s="440">
        <v>0</v>
      </c>
      <c r="BL374" s="440">
        <v>0</v>
      </c>
      <c r="BM374" s="440">
        <v>0</v>
      </c>
      <c r="BN374" s="440">
        <v>0</v>
      </c>
      <c r="BO374" s="440">
        <v>0</v>
      </c>
      <c r="BP374" s="440">
        <v>0</v>
      </c>
      <c r="BQ374" s="440">
        <v>0</v>
      </c>
      <c r="BR374" s="415">
        <v>0</v>
      </c>
      <c r="BS374" s="415">
        <v>0</v>
      </c>
      <c r="BT374" s="935"/>
      <c r="BU374" s="935"/>
      <c r="BV374" s="935"/>
      <c r="BW374" s="935"/>
      <c r="BX374" s="935"/>
      <c r="BY374" s="935"/>
      <c r="BZ374" s="935"/>
      <c r="CA374" s="935"/>
      <c r="CB374" s="935"/>
      <c r="CC374" s="935"/>
      <c r="CD374" s="935"/>
      <c r="CE374" s="935"/>
      <c r="CF374" s="935"/>
      <c r="CG374" s="935"/>
      <c r="CH374" s="935"/>
      <c r="CI374" s="935"/>
      <c r="CJ374" s="935"/>
      <c r="CK374" s="935"/>
      <c r="CL374" s="935"/>
      <c r="CM374" s="935"/>
      <c r="CN374" s="935"/>
      <c r="CO374" s="935"/>
      <c r="CP374" s="935"/>
      <c r="CQ374" s="935"/>
      <c r="CR374" s="935"/>
      <c r="CS374" s="935"/>
      <c r="CT374" s="935"/>
      <c r="CU374" s="935"/>
      <c r="CV374" s="935"/>
    </row>
    <row r="375" spans="1:100" s="441" customFormat="1">
      <c r="A375" s="375">
        <f t="shared" si="108"/>
        <v>9</v>
      </c>
      <c r="B375" s="862">
        <v>44442</v>
      </c>
      <c r="C375" s="493" t="s">
        <v>1980</v>
      </c>
      <c r="D375" s="376" t="str">
        <f>IFERROR(VLOOKUP(E:E,'Item Data Support Sheet'!A:O,7,0),"")</f>
        <v>NIPPLE LASER MARKING</v>
      </c>
      <c r="E375" s="447" t="s">
        <v>1816</v>
      </c>
      <c r="F375" s="500"/>
      <c r="G375" s="497" t="s">
        <v>1812</v>
      </c>
      <c r="H375" s="602" t="str">
        <f>IFERROR(VLOOKUP(E:E,'Item Data Support Sheet'!A:O,2,0),"")</f>
        <v>NIPPLE S TYPE L SIZE PUNCHED LASER MARKED</v>
      </c>
      <c r="I375" s="501" t="s">
        <v>2859</v>
      </c>
      <c r="J375" s="501" t="s">
        <v>2809</v>
      </c>
      <c r="K375" s="438">
        <v>8</v>
      </c>
      <c r="L375" s="499">
        <v>7000</v>
      </c>
      <c r="M375" s="366">
        <f t="shared" si="124"/>
        <v>875</v>
      </c>
      <c r="N375" s="367">
        <f t="shared" si="107"/>
        <v>6710</v>
      </c>
      <c r="O375" s="61">
        <v>6710</v>
      </c>
      <c r="P375" s="368">
        <v>0</v>
      </c>
      <c r="Q375" s="368">
        <v>0</v>
      </c>
      <c r="R375" s="494">
        <v>0</v>
      </c>
      <c r="S375" s="493">
        <v>0</v>
      </c>
      <c r="T375" s="494">
        <v>0</v>
      </c>
      <c r="U375" s="493">
        <v>0</v>
      </c>
      <c r="V375" s="502">
        <v>1</v>
      </c>
      <c r="W375" s="453">
        <f t="shared" si="109"/>
        <v>6710</v>
      </c>
      <c r="X375" s="748">
        <f t="shared" si="110"/>
        <v>0.95857142857142852</v>
      </c>
      <c r="Y375" s="451" t="str">
        <f>IFERROR(VLOOKUP(E:E,'Item Data Support Sheet'!A:J,6,0),0)</f>
        <v>FO021</v>
      </c>
      <c r="Z375" s="428">
        <f>IFERROR(VLOOKUP(E:E,'Item Data Support Sheet'!A:O,4,0),0)</f>
        <v>0</v>
      </c>
      <c r="AA375" s="428">
        <f t="shared" si="111"/>
        <v>0</v>
      </c>
      <c r="AB375" s="429" t="str">
        <f t="shared" si="112"/>
        <v xml:space="preserve"> </v>
      </c>
      <c r="AC375" s="424">
        <f t="shared" si="113"/>
        <v>0</v>
      </c>
      <c r="AD375" s="371">
        <f t="shared" si="114"/>
        <v>0</v>
      </c>
      <c r="AE375" s="748">
        <f t="shared" si="115"/>
        <v>1</v>
      </c>
      <c r="AF375" s="417">
        <f t="shared" si="116"/>
        <v>1.6666666666666667</v>
      </c>
      <c r="AG375" s="416">
        <f t="shared" si="117"/>
        <v>6.333333333333333</v>
      </c>
      <c r="AH375" s="372">
        <f t="shared" si="118"/>
        <v>0.79166666666666663</v>
      </c>
      <c r="AI375" s="373">
        <f t="shared" si="119"/>
        <v>838.75</v>
      </c>
      <c r="AJ375" s="418">
        <f>VLOOKUP(D375,'Standard Cycle time'!C:D,2,0)</f>
        <v>3.5</v>
      </c>
      <c r="AK375" s="418">
        <f t="shared" si="120"/>
        <v>3.3979135618479881</v>
      </c>
      <c r="AL375" s="374">
        <f t="shared" si="121"/>
        <v>1.0300438596491228</v>
      </c>
      <c r="AM375" s="372">
        <f t="shared" si="122"/>
        <v>0.81545138888888891</v>
      </c>
      <c r="AN375" s="799" t="s">
        <v>2860</v>
      </c>
      <c r="AO375" s="448"/>
      <c r="AP375" s="440">
        <v>40</v>
      </c>
      <c r="AQ375" s="440">
        <v>0</v>
      </c>
      <c r="AR375" s="440">
        <v>0</v>
      </c>
      <c r="AS375" s="440">
        <v>0</v>
      </c>
      <c r="AT375" s="440">
        <v>0</v>
      </c>
      <c r="AU375" s="440">
        <v>0</v>
      </c>
      <c r="AV375" s="440">
        <v>60</v>
      </c>
      <c r="AW375" s="440">
        <v>0</v>
      </c>
      <c r="AX375" s="440">
        <v>0</v>
      </c>
      <c r="AY375" s="440">
        <v>0</v>
      </c>
      <c r="AZ375" s="440">
        <v>0</v>
      </c>
      <c r="BA375" s="440">
        <v>0</v>
      </c>
      <c r="BB375" s="440">
        <v>0</v>
      </c>
      <c r="BC375" s="440">
        <v>0</v>
      </c>
      <c r="BD375" s="440">
        <v>0</v>
      </c>
      <c r="BE375" s="440">
        <v>0</v>
      </c>
      <c r="BF375" s="440">
        <v>0</v>
      </c>
      <c r="BG375" s="440">
        <v>0</v>
      </c>
      <c r="BH375" s="440">
        <v>0</v>
      </c>
      <c r="BI375" s="440">
        <v>0</v>
      </c>
      <c r="BJ375" s="440">
        <v>0</v>
      </c>
      <c r="BK375" s="440">
        <v>0</v>
      </c>
      <c r="BL375" s="440">
        <v>0</v>
      </c>
      <c r="BM375" s="440">
        <v>0</v>
      </c>
      <c r="BN375" s="440">
        <v>0</v>
      </c>
      <c r="BO375" s="440">
        <v>0</v>
      </c>
      <c r="BP375" s="440">
        <v>0</v>
      </c>
      <c r="BQ375" s="440">
        <v>0</v>
      </c>
      <c r="BR375" s="415">
        <v>1.6666666666666667</v>
      </c>
      <c r="BS375" s="415">
        <v>1.6944444444444444</v>
      </c>
      <c r="BT375" s="935"/>
      <c r="BU375" s="935"/>
      <c r="BV375" s="935"/>
      <c r="BW375" s="935"/>
      <c r="BX375" s="935"/>
      <c r="BY375" s="935"/>
      <c r="BZ375" s="935"/>
      <c r="CA375" s="935"/>
      <c r="CB375" s="935"/>
      <c r="CC375" s="935"/>
      <c r="CD375" s="935"/>
      <c r="CE375" s="935"/>
      <c r="CF375" s="935"/>
      <c r="CG375" s="935"/>
      <c r="CH375" s="935"/>
      <c r="CI375" s="935"/>
      <c r="CJ375" s="935"/>
      <c r="CK375" s="935"/>
      <c r="CL375" s="935"/>
      <c r="CM375" s="935"/>
      <c r="CN375" s="935"/>
      <c r="CO375" s="935"/>
      <c r="CP375" s="935"/>
      <c r="CQ375" s="935"/>
      <c r="CR375" s="935"/>
      <c r="CS375" s="935"/>
      <c r="CT375" s="935"/>
      <c r="CU375" s="935"/>
      <c r="CV375" s="935"/>
    </row>
    <row r="376" spans="1:100" s="441" customFormat="1">
      <c r="A376" s="375">
        <f t="shared" si="108"/>
        <v>9</v>
      </c>
      <c r="B376" s="862">
        <v>44442</v>
      </c>
      <c r="C376" s="493" t="s">
        <v>1980</v>
      </c>
      <c r="D376" s="376" t="str">
        <f>IFERROR(VLOOKUP(E:E,'Item Data Support Sheet'!A:O,7,0),"")</f>
        <v>NIPPLE PUNCH</v>
      </c>
      <c r="E376" s="447" t="s">
        <v>83</v>
      </c>
      <c r="F376" s="500"/>
      <c r="G376" s="497" t="s">
        <v>1692</v>
      </c>
      <c r="H376" s="602" t="str">
        <f>IFERROR(VLOOKUP(E:E,'Item Data Support Sheet'!A:O,2,0),"")</f>
        <v>NIPPLE S TYPE Y SIZE PUNCHED</v>
      </c>
      <c r="I376" s="501" t="s">
        <v>2861</v>
      </c>
      <c r="J376" s="501" t="s">
        <v>2809</v>
      </c>
      <c r="K376" s="438">
        <v>8</v>
      </c>
      <c r="L376" s="499">
        <v>7000</v>
      </c>
      <c r="M376" s="366">
        <f t="shared" si="124"/>
        <v>875</v>
      </c>
      <c r="N376" s="367">
        <f t="shared" si="107"/>
        <v>4210</v>
      </c>
      <c r="O376" s="61">
        <v>4210</v>
      </c>
      <c r="P376" s="368">
        <v>0</v>
      </c>
      <c r="Q376" s="368">
        <v>0</v>
      </c>
      <c r="R376" s="494">
        <v>0</v>
      </c>
      <c r="S376" s="493">
        <v>0</v>
      </c>
      <c r="T376" s="494">
        <v>0</v>
      </c>
      <c r="U376" s="493">
        <v>0</v>
      </c>
      <c r="V376" s="502">
        <v>1</v>
      </c>
      <c r="W376" s="453">
        <f t="shared" si="109"/>
        <v>4210</v>
      </c>
      <c r="X376" s="748">
        <f t="shared" si="110"/>
        <v>0.60142857142857142</v>
      </c>
      <c r="Y376" s="451" t="str">
        <f>IFERROR(VLOOKUP(E:E,'Item Data Support Sheet'!A:J,6,0),0)</f>
        <v>FO018</v>
      </c>
      <c r="Z376" s="428">
        <f>IFERROR(VLOOKUP(E:E,'Item Data Support Sheet'!A:O,4,0),0)</f>
        <v>0</v>
      </c>
      <c r="AA376" s="428">
        <f t="shared" si="111"/>
        <v>0</v>
      </c>
      <c r="AB376" s="429" t="str">
        <f t="shared" si="112"/>
        <v xml:space="preserve"> </v>
      </c>
      <c r="AC376" s="424">
        <f t="shared" si="113"/>
        <v>0</v>
      </c>
      <c r="AD376" s="371">
        <f t="shared" si="114"/>
        <v>0</v>
      </c>
      <c r="AE376" s="748">
        <f t="shared" si="115"/>
        <v>1</v>
      </c>
      <c r="AF376" s="417">
        <f t="shared" si="116"/>
        <v>3.6666666666666665</v>
      </c>
      <c r="AG376" s="416">
        <f t="shared" si="117"/>
        <v>4.3333333333333339</v>
      </c>
      <c r="AH376" s="372">
        <f t="shared" si="118"/>
        <v>0.54166666666666674</v>
      </c>
      <c r="AI376" s="373">
        <f t="shared" si="119"/>
        <v>526.25</v>
      </c>
      <c r="AJ376" s="418">
        <f>VLOOKUP(D376,'Standard Cycle time'!C:D,2,0)</f>
        <v>3.5</v>
      </c>
      <c r="AK376" s="418">
        <f t="shared" si="120"/>
        <v>3.7054631828978626</v>
      </c>
      <c r="AL376" s="374">
        <f t="shared" si="121"/>
        <v>0.94455128205128192</v>
      </c>
      <c r="AM376" s="372">
        <f t="shared" si="122"/>
        <v>0.51163194444444449</v>
      </c>
      <c r="AN376" s="799" t="s">
        <v>2862</v>
      </c>
      <c r="AO376" s="448"/>
      <c r="AP376" s="440">
        <v>40</v>
      </c>
      <c r="AQ376" s="440">
        <v>0</v>
      </c>
      <c r="AR376" s="440">
        <v>0</v>
      </c>
      <c r="AS376" s="440">
        <v>60</v>
      </c>
      <c r="AT376" s="440">
        <v>0</v>
      </c>
      <c r="AU376" s="440">
        <v>0</v>
      </c>
      <c r="AV376" s="440">
        <v>120</v>
      </c>
      <c r="AW376" s="440">
        <v>0</v>
      </c>
      <c r="AX376" s="440">
        <v>0</v>
      </c>
      <c r="AY376" s="440">
        <v>0</v>
      </c>
      <c r="AZ376" s="440">
        <v>0</v>
      </c>
      <c r="BA376" s="440">
        <v>0</v>
      </c>
      <c r="BB376" s="440">
        <v>0</v>
      </c>
      <c r="BC376" s="440">
        <v>0</v>
      </c>
      <c r="BD376" s="440">
        <v>0</v>
      </c>
      <c r="BE376" s="440">
        <v>0</v>
      </c>
      <c r="BF376" s="440">
        <v>0</v>
      </c>
      <c r="BG376" s="440">
        <v>0</v>
      </c>
      <c r="BH376" s="440">
        <v>0</v>
      </c>
      <c r="BI376" s="440">
        <v>0</v>
      </c>
      <c r="BJ376" s="440">
        <v>0</v>
      </c>
      <c r="BK376" s="440">
        <v>0</v>
      </c>
      <c r="BL376" s="440">
        <v>0</v>
      </c>
      <c r="BM376" s="440">
        <v>0</v>
      </c>
      <c r="BN376" s="440">
        <v>0</v>
      </c>
      <c r="BO376" s="440">
        <v>0</v>
      </c>
      <c r="BP376" s="440">
        <v>0</v>
      </c>
      <c r="BQ376" s="440">
        <v>0</v>
      </c>
      <c r="BR376" s="415">
        <v>3.6666666666666665</v>
      </c>
      <c r="BS376" s="415">
        <v>3.7277777777777774</v>
      </c>
      <c r="BT376" s="935"/>
      <c r="BU376" s="935"/>
      <c r="BV376" s="935"/>
      <c r="BW376" s="935"/>
      <c r="BX376" s="935"/>
      <c r="BY376" s="935"/>
      <c r="BZ376" s="935"/>
      <c r="CA376" s="935"/>
      <c r="CB376" s="935"/>
      <c r="CC376" s="935"/>
      <c r="CD376" s="935"/>
      <c r="CE376" s="935"/>
      <c r="CF376" s="935"/>
      <c r="CG376" s="935"/>
      <c r="CH376" s="935"/>
      <c r="CI376" s="935"/>
      <c r="CJ376" s="935"/>
      <c r="CK376" s="935"/>
      <c r="CL376" s="935"/>
      <c r="CM376" s="935"/>
      <c r="CN376" s="935"/>
      <c r="CO376" s="935"/>
      <c r="CP376" s="935"/>
      <c r="CQ376" s="935"/>
      <c r="CR376" s="935"/>
      <c r="CS376" s="935"/>
      <c r="CT376" s="935"/>
      <c r="CU376" s="935"/>
      <c r="CV376" s="935"/>
    </row>
    <row r="377" spans="1:100" s="441" customFormat="1">
      <c r="A377" s="375">
        <f t="shared" si="108"/>
        <v>9</v>
      </c>
      <c r="B377" s="862">
        <v>44442</v>
      </c>
      <c r="C377" s="493" t="s">
        <v>2000</v>
      </c>
      <c r="D377" s="376" t="str">
        <f>IFERROR(VLOOKUP(E:E,'Item Data Support Sheet'!A:O,7,0),"")</f>
        <v>NIPPLE PUNCH INSPECTED</v>
      </c>
      <c r="E377" s="447" t="s">
        <v>1820</v>
      </c>
      <c r="F377" s="500"/>
      <c r="G377" s="497"/>
      <c r="H377" s="602" t="str">
        <f>IFERROR(VLOOKUP(E:E,'Item Data Support Sheet'!A:O,2,0),"")</f>
        <v>NIPPLE S TYPE L SIZE PUNCHED INSPECTED</v>
      </c>
      <c r="I377" s="501" t="s">
        <v>2863</v>
      </c>
      <c r="J377" s="501" t="s">
        <v>2808</v>
      </c>
      <c r="K377" s="438">
        <v>8.5</v>
      </c>
      <c r="L377" s="499">
        <v>14000</v>
      </c>
      <c r="M377" s="366">
        <f t="shared" si="124"/>
        <v>1647.0588235294117</v>
      </c>
      <c r="N377" s="367">
        <f t="shared" si="107"/>
        <v>11710</v>
      </c>
      <c r="O377" s="61">
        <v>11650</v>
      </c>
      <c r="P377" s="368">
        <v>0</v>
      </c>
      <c r="Q377" s="368">
        <v>0</v>
      </c>
      <c r="R377" s="494">
        <v>0</v>
      </c>
      <c r="S377" s="493">
        <v>0</v>
      </c>
      <c r="T377" s="494">
        <v>60</v>
      </c>
      <c r="U377" s="493">
        <v>0</v>
      </c>
      <c r="V377" s="502">
        <v>1</v>
      </c>
      <c r="W377" s="453">
        <f t="shared" si="109"/>
        <v>11650</v>
      </c>
      <c r="X377" s="748">
        <f t="shared" si="110"/>
        <v>0.83214285714285718</v>
      </c>
      <c r="Y377" s="451" t="str">
        <f>IFERROR(VLOOKUP(E:E,'Item Data Support Sheet'!A:J,6,0),0)</f>
        <v>FO106</v>
      </c>
      <c r="Z377" s="428">
        <f>IFERROR(VLOOKUP(E:E,'Item Data Support Sheet'!A:O,4,0),0)</f>
        <v>0</v>
      </c>
      <c r="AA377" s="428">
        <f t="shared" si="111"/>
        <v>0</v>
      </c>
      <c r="AB377" s="429" t="str">
        <f t="shared" si="112"/>
        <v xml:space="preserve"> </v>
      </c>
      <c r="AC377" s="424">
        <f t="shared" si="113"/>
        <v>5.1238257899231428E-3</v>
      </c>
      <c r="AD377" s="371">
        <f t="shared" si="114"/>
        <v>0</v>
      </c>
      <c r="AE377" s="748">
        <f t="shared" si="115"/>
        <v>0.9948761742100769</v>
      </c>
      <c r="AF377" s="417">
        <f t="shared" si="116"/>
        <v>0.83333333333333337</v>
      </c>
      <c r="AG377" s="416">
        <f t="shared" si="117"/>
        <v>7.666666666666667</v>
      </c>
      <c r="AH377" s="372">
        <f t="shared" si="118"/>
        <v>0.90196078431372551</v>
      </c>
      <c r="AI377" s="373">
        <f t="shared" si="119"/>
        <v>1370.5882352941176</v>
      </c>
      <c r="AJ377" s="418">
        <f>VLOOKUP(D377,'Standard Cycle time'!C:D,2,0)</f>
        <v>4</v>
      </c>
      <c r="AK377" s="418">
        <f t="shared" si="120"/>
        <v>2.3690987124463518</v>
      </c>
      <c r="AL377" s="374">
        <f t="shared" si="121"/>
        <v>1.6884057971014494</v>
      </c>
      <c r="AM377" s="372">
        <f t="shared" si="122"/>
        <v>1.5150728666075028</v>
      </c>
      <c r="AN377" s="799" t="s">
        <v>2864</v>
      </c>
      <c r="AO377" s="448"/>
      <c r="AP377" s="440">
        <v>50</v>
      </c>
      <c r="AQ377" s="440">
        <v>0</v>
      </c>
      <c r="AR377" s="440">
        <v>0</v>
      </c>
      <c r="AS377" s="440">
        <v>0</v>
      </c>
      <c r="AT377" s="440">
        <v>0</v>
      </c>
      <c r="AU377" s="440">
        <v>0</v>
      </c>
      <c r="AV377" s="440">
        <v>0</v>
      </c>
      <c r="AW377" s="440">
        <v>0</v>
      </c>
      <c r="AX377" s="440">
        <v>0</v>
      </c>
      <c r="AY377" s="440">
        <v>0</v>
      </c>
      <c r="AZ377" s="440">
        <v>0</v>
      </c>
      <c r="BA377" s="440">
        <v>0</v>
      </c>
      <c r="BB377" s="440">
        <v>0</v>
      </c>
      <c r="BC377" s="440">
        <v>0</v>
      </c>
      <c r="BD377" s="440">
        <v>0</v>
      </c>
      <c r="BE377" s="440">
        <v>0</v>
      </c>
      <c r="BF377" s="440">
        <v>0</v>
      </c>
      <c r="BG377" s="440">
        <v>0</v>
      </c>
      <c r="BH377" s="440">
        <v>0</v>
      </c>
      <c r="BI377" s="440">
        <v>0</v>
      </c>
      <c r="BJ377" s="440">
        <v>0</v>
      </c>
      <c r="BK377" s="440">
        <v>0</v>
      </c>
      <c r="BL377" s="440">
        <v>0</v>
      </c>
      <c r="BM377" s="440">
        <v>0</v>
      </c>
      <c r="BN377" s="440">
        <v>0</v>
      </c>
      <c r="BO377" s="440">
        <v>0</v>
      </c>
      <c r="BP377" s="440">
        <v>0</v>
      </c>
      <c r="BQ377" s="440">
        <v>0</v>
      </c>
      <c r="BR377" s="415">
        <v>0.83333333333333337</v>
      </c>
      <c r="BS377" s="415">
        <v>0.84722222222222221</v>
      </c>
      <c r="BT377" s="935"/>
      <c r="BU377" s="935"/>
      <c r="BV377" s="935"/>
      <c r="BW377" s="935"/>
      <c r="BX377" s="935"/>
      <c r="BY377" s="935"/>
      <c r="BZ377" s="935"/>
      <c r="CA377" s="935"/>
      <c r="CB377" s="935"/>
      <c r="CC377" s="935"/>
      <c r="CD377" s="935"/>
      <c r="CE377" s="935"/>
      <c r="CF377" s="935"/>
      <c r="CG377" s="935"/>
      <c r="CH377" s="935"/>
      <c r="CI377" s="935"/>
      <c r="CJ377" s="935"/>
      <c r="CK377" s="935"/>
      <c r="CL377" s="935"/>
      <c r="CM377" s="935"/>
      <c r="CN377" s="935"/>
      <c r="CO377" s="935"/>
      <c r="CP377" s="935"/>
      <c r="CQ377" s="935"/>
      <c r="CR377" s="935"/>
      <c r="CS377" s="935"/>
      <c r="CT377" s="935"/>
      <c r="CU377" s="935"/>
      <c r="CV377" s="935"/>
    </row>
    <row r="378" spans="1:100" s="441" customFormat="1">
      <c r="A378" s="375">
        <f t="shared" si="108"/>
        <v>9</v>
      </c>
      <c r="B378" s="862">
        <v>44442</v>
      </c>
      <c r="C378" s="493" t="s">
        <v>2000</v>
      </c>
      <c r="D378" s="376" t="str">
        <f>IFERROR(VLOOKUP(E:E,'Item Data Support Sheet'!A:O,7,0),"")</f>
        <v>NIPPLE WRAP PRINTED</v>
      </c>
      <c r="E378" s="447" t="s">
        <v>108</v>
      </c>
      <c r="F378" s="500"/>
      <c r="G378" s="497" t="s">
        <v>1693</v>
      </c>
      <c r="H378" s="602" t="str">
        <f>IFERROR(VLOOKUP(E:E,'Item Data Support Sheet'!A:O,2,0),"")</f>
        <v>NIPPLE S TYPE S SIZE WITH PRINTED WRAP</v>
      </c>
      <c r="I378" s="501" t="s">
        <v>2865</v>
      </c>
      <c r="J378" s="501" t="s">
        <v>2808</v>
      </c>
      <c r="K378" s="438">
        <v>8.5</v>
      </c>
      <c r="L378" s="499">
        <v>16132</v>
      </c>
      <c r="M378" s="366">
        <f t="shared" si="124"/>
        <v>1897.8823529411766</v>
      </c>
      <c r="N378" s="367">
        <f t="shared" si="107"/>
        <v>16171</v>
      </c>
      <c r="O378" s="61">
        <v>16171</v>
      </c>
      <c r="P378" s="368">
        <v>0</v>
      </c>
      <c r="Q378" s="368">
        <v>0</v>
      </c>
      <c r="R378" s="494">
        <v>0</v>
      </c>
      <c r="S378" s="493">
        <v>0</v>
      </c>
      <c r="T378" s="494">
        <v>0</v>
      </c>
      <c r="U378" s="493">
        <v>0</v>
      </c>
      <c r="V378" s="502">
        <v>2</v>
      </c>
      <c r="W378" s="453">
        <f t="shared" si="109"/>
        <v>8085.5</v>
      </c>
      <c r="X378" s="748">
        <f t="shared" si="110"/>
        <v>1.0024175551698487</v>
      </c>
      <c r="Y378" s="451" t="str">
        <f>IFERROR(VLOOKUP(E:E,'Item Data Support Sheet'!A:J,6,0),0)</f>
        <v>FO108</v>
      </c>
      <c r="Z378" s="428">
        <f>IFERROR(VLOOKUP(E:E,'Item Data Support Sheet'!A:O,4,0),0)</f>
        <v>0</v>
      </c>
      <c r="AA378" s="428">
        <f t="shared" si="111"/>
        <v>0</v>
      </c>
      <c r="AB378" s="429" t="str">
        <f t="shared" si="112"/>
        <v xml:space="preserve"> </v>
      </c>
      <c r="AC378" s="424">
        <f t="shared" si="113"/>
        <v>0</v>
      </c>
      <c r="AD378" s="371">
        <f t="shared" si="114"/>
        <v>0</v>
      </c>
      <c r="AE378" s="748">
        <f t="shared" si="115"/>
        <v>1</v>
      </c>
      <c r="AF378" s="417">
        <f t="shared" si="116"/>
        <v>0.83333333333333337</v>
      </c>
      <c r="AG378" s="416">
        <f t="shared" si="117"/>
        <v>7.666666666666667</v>
      </c>
      <c r="AH378" s="372">
        <f t="shared" si="118"/>
        <v>0.90196078431372551</v>
      </c>
      <c r="AI378" s="373">
        <f t="shared" si="119"/>
        <v>1902.4705882352941</v>
      </c>
      <c r="AJ378" s="418">
        <f>VLOOKUP(D378,'Standard Cycle time'!C:D,2,0)</f>
        <v>2.5</v>
      </c>
      <c r="AK378" s="418">
        <f t="shared" si="120"/>
        <v>3.413518026096098</v>
      </c>
      <c r="AL378" s="374">
        <f t="shared" si="121"/>
        <v>0.7323822463768116</v>
      </c>
      <c r="AM378" s="372">
        <f t="shared" si="122"/>
        <v>0.66058006535947711</v>
      </c>
      <c r="AN378" s="799" t="s">
        <v>2866</v>
      </c>
      <c r="AO378" s="448"/>
      <c r="AP378" s="440">
        <v>50</v>
      </c>
      <c r="AQ378" s="440">
        <v>0</v>
      </c>
      <c r="AR378" s="440">
        <v>0</v>
      </c>
      <c r="AS378" s="440">
        <v>0</v>
      </c>
      <c r="AT378" s="440">
        <v>0</v>
      </c>
      <c r="AU378" s="440">
        <v>0</v>
      </c>
      <c r="AV378" s="440">
        <v>0</v>
      </c>
      <c r="AW378" s="440">
        <v>0</v>
      </c>
      <c r="AX378" s="440">
        <v>0</v>
      </c>
      <c r="AY378" s="440">
        <v>0</v>
      </c>
      <c r="AZ378" s="440">
        <v>0</v>
      </c>
      <c r="BA378" s="440">
        <v>0</v>
      </c>
      <c r="BB378" s="440">
        <v>0</v>
      </c>
      <c r="BC378" s="440">
        <v>0</v>
      </c>
      <c r="BD378" s="440">
        <v>0</v>
      </c>
      <c r="BE378" s="440">
        <v>0</v>
      </c>
      <c r="BF378" s="440">
        <v>0</v>
      </c>
      <c r="BG378" s="440">
        <v>0</v>
      </c>
      <c r="BH378" s="440">
        <v>0</v>
      </c>
      <c r="BI378" s="440">
        <v>0</v>
      </c>
      <c r="BJ378" s="440">
        <v>0</v>
      </c>
      <c r="BK378" s="440">
        <v>0</v>
      </c>
      <c r="BL378" s="440">
        <v>0</v>
      </c>
      <c r="BM378" s="440">
        <v>0</v>
      </c>
      <c r="BN378" s="440">
        <v>0</v>
      </c>
      <c r="BO378" s="440">
        <v>0</v>
      </c>
      <c r="BP378" s="440">
        <v>0</v>
      </c>
      <c r="BQ378" s="440">
        <v>0</v>
      </c>
      <c r="BR378" s="415">
        <v>0.83333333333333337</v>
      </c>
      <c r="BS378" s="415">
        <v>0.84722222222222221</v>
      </c>
      <c r="BT378" s="935"/>
      <c r="BU378" s="935"/>
      <c r="BV378" s="935"/>
      <c r="BW378" s="935"/>
      <c r="BX378" s="935"/>
      <c r="BY378" s="935"/>
      <c r="BZ378" s="935"/>
      <c r="CA378" s="935"/>
      <c r="CB378" s="935"/>
      <c r="CC378" s="935"/>
      <c r="CD378" s="935"/>
      <c r="CE378" s="935"/>
      <c r="CF378" s="935"/>
      <c r="CG378" s="935"/>
      <c r="CH378" s="935"/>
      <c r="CI378" s="935"/>
      <c r="CJ378" s="935"/>
      <c r="CK378" s="935"/>
      <c r="CL378" s="935"/>
      <c r="CM378" s="935"/>
      <c r="CN378" s="935"/>
      <c r="CO378" s="935"/>
      <c r="CP378" s="935"/>
      <c r="CQ378" s="935"/>
      <c r="CR378" s="935"/>
      <c r="CS378" s="935"/>
      <c r="CT378" s="935"/>
      <c r="CU378" s="935"/>
      <c r="CV378" s="935"/>
    </row>
    <row r="379" spans="1:100" s="441" customFormat="1">
      <c r="A379" s="375">
        <f t="shared" si="108"/>
        <v>9</v>
      </c>
      <c r="B379" s="862">
        <v>44442</v>
      </c>
      <c r="C379" s="493" t="s">
        <v>2000</v>
      </c>
      <c r="D379" s="376" t="str">
        <f>IFERROR(VLOOKUP(E:E,'Item Data Support Sheet'!A:O,7,0),"")</f>
        <v>BOTTLE PRINTED</v>
      </c>
      <c r="E379" s="447" t="s">
        <v>400</v>
      </c>
      <c r="F379" s="500"/>
      <c r="G379" s="497" t="s">
        <v>1698</v>
      </c>
      <c r="H379" s="602" t="str">
        <f>IFERROR(VLOOKUP(E:E,'Item Data Support Sheet'!A:O,2,0),"")</f>
        <v>KPP 120 BOTTLE PRINTED-WMG3B (OZ SCALE)</v>
      </c>
      <c r="I379" s="501" t="s">
        <v>2867</v>
      </c>
      <c r="J379" s="501" t="s">
        <v>2808</v>
      </c>
      <c r="K379" s="438">
        <v>3</v>
      </c>
      <c r="L379" s="499">
        <v>1800</v>
      </c>
      <c r="M379" s="366">
        <f t="shared" si="124"/>
        <v>600</v>
      </c>
      <c r="N379" s="367">
        <f t="shared" si="107"/>
        <v>1779</v>
      </c>
      <c r="O379" s="61">
        <v>1755</v>
      </c>
      <c r="P379" s="368">
        <v>0</v>
      </c>
      <c r="Q379" s="368">
        <v>0</v>
      </c>
      <c r="R379" s="494">
        <v>12</v>
      </c>
      <c r="S379" s="493">
        <v>0</v>
      </c>
      <c r="T379" s="494">
        <v>24</v>
      </c>
      <c r="U379" s="493">
        <v>0</v>
      </c>
      <c r="V379" s="502">
        <v>6</v>
      </c>
      <c r="W379" s="453">
        <f t="shared" si="109"/>
        <v>292.5</v>
      </c>
      <c r="X379" s="748">
        <f t="shared" si="110"/>
        <v>0.97499999999999998</v>
      </c>
      <c r="Y379" s="451" t="str">
        <f>IFERROR(VLOOKUP(E:E,'Item Data Support Sheet'!A:J,6,0),0)</f>
        <v>FO042</v>
      </c>
      <c r="Z379" s="428">
        <f>IFERROR(VLOOKUP(E:E,'Item Data Support Sheet'!A:O,4,0),0)</f>
        <v>0</v>
      </c>
      <c r="AA379" s="428">
        <f t="shared" si="111"/>
        <v>0</v>
      </c>
      <c r="AB379" s="429" t="str">
        <f t="shared" si="112"/>
        <v xml:space="preserve"> </v>
      </c>
      <c r="AC379" s="424">
        <f t="shared" si="113"/>
        <v>1.3490725126475547E-2</v>
      </c>
      <c r="AD379" s="371">
        <f t="shared" si="114"/>
        <v>0</v>
      </c>
      <c r="AE379" s="748">
        <f t="shared" si="115"/>
        <v>0.98650927487352447</v>
      </c>
      <c r="AF379" s="417">
        <f t="shared" si="116"/>
        <v>0</v>
      </c>
      <c r="AG379" s="416">
        <f t="shared" si="117"/>
        <v>3</v>
      </c>
      <c r="AH379" s="372">
        <f t="shared" si="118"/>
        <v>1</v>
      </c>
      <c r="AI379" s="373">
        <f t="shared" si="119"/>
        <v>585</v>
      </c>
      <c r="AJ379" s="418">
        <f>VLOOKUP(D379,'Standard Cycle time'!C:D,2,0)</f>
        <v>32.4</v>
      </c>
      <c r="AK379" s="418">
        <f t="shared" si="120"/>
        <v>36.92307692307692</v>
      </c>
      <c r="AL379" s="374">
        <f t="shared" si="121"/>
        <v>0.87750000000000006</v>
      </c>
      <c r="AM379" s="372">
        <f t="shared" si="122"/>
        <v>0.86566188870151772</v>
      </c>
      <c r="AN379" s="799">
        <v>2936</v>
      </c>
      <c r="AO379" s="448"/>
      <c r="AP379" s="440">
        <v>0</v>
      </c>
      <c r="AQ379" s="440">
        <v>0</v>
      </c>
      <c r="AR379" s="440">
        <v>0</v>
      </c>
      <c r="AS379" s="440">
        <v>0</v>
      </c>
      <c r="AT379" s="440">
        <v>0</v>
      </c>
      <c r="AU379" s="440">
        <v>0</v>
      </c>
      <c r="AV379" s="440">
        <v>0</v>
      </c>
      <c r="AW379" s="440">
        <v>0</v>
      </c>
      <c r="AX379" s="440">
        <v>0</v>
      </c>
      <c r="AY379" s="440">
        <v>0</v>
      </c>
      <c r="AZ379" s="440">
        <v>0</v>
      </c>
      <c r="BA379" s="440">
        <v>0</v>
      </c>
      <c r="BB379" s="440">
        <v>0</v>
      </c>
      <c r="BC379" s="440">
        <v>0</v>
      </c>
      <c r="BD379" s="440">
        <v>0</v>
      </c>
      <c r="BE379" s="440">
        <v>0</v>
      </c>
      <c r="BF379" s="440">
        <v>0</v>
      </c>
      <c r="BG379" s="440">
        <v>0</v>
      </c>
      <c r="BH379" s="440">
        <v>0</v>
      </c>
      <c r="BI379" s="440">
        <v>0</v>
      </c>
      <c r="BJ379" s="440">
        <v>0</v>
      </c>
      <c r="BK379" s="440">
        <v>0</v>
      </c>
      <c r="BL379" s="440">
        <v>0</v>
      </c>
      <c r="BM379" s="440">
        <v>0</v>
      </c>
      <c r="BN379" s="440">
        <v>0</v>
      </c>
      <c r="BO379" s="440">
        <v>0</v>
      </c>
      <c r="BP379" s="440">
        <v>0</v>
      </c>
      <c r="BQ379" s="440">
        <v>0</v>
      </c>
      <c r="BR379" s="415">
        <v>0</v>
      </c>
      <c r="BS379" s="415">
        <v>0</v>
      </c>
      <c r="BT379" s="935"/>
      <c r="BU379" s="935"/>
      <c r="BV379" s="935"/>
      <c r="BW379" s="935"/>
      <c r="BX379" s="935"/>
      <c r="BY379" s="935"/>
      <c r="BZ379" s="935"/>
      <c r="CA379" s="935"/>
      <c r="CB379" s="935"/>
      <c r="CC379" s="935"/>
      <c r="CD379" s="935"/>
      <c r="CE379" s="935"/>
      <c r="CF379" s="935"/>
      <c r="CG379" s="935"/>
      <c r="CH379" s="935"/>
      <c r="CI379" s="935"/>
      <c r="CJ379" s="935"/>
      <c r="CK379" s="935"/>
      <c r="CL379" s="935"/>
      <c r="CM379" s="935"/>
      <c r="CN379" s="935"/>
      <c r="CO379" s="935"/>
      <c r="CP379" s="935"/>
      <c r="CQ379" s="935"/>
      <c r="CR379" s="935"/>
      <c r="CS379" s="935"/>
      <c r="CT379" s="935"/>
      <c r="CU379" s="935"/>
      <c r="CV379" s="935"/>
    </row>
    <row r="380" spans="1:100" s="441" customFormat="1">
      <c r="A380" s="375">
        <f t="shared" si="108"/>
        <v>9</v>
      </c>
      <c r="B380" s="862">
        <v>44442</v>
      </c>
      <c r="C380" s="493" t="s">
        <v>2000</v>
      </c>
      <c r="D380" s="376" t="str">
        <f>IFERROR(VLOOKUP(E:E,'Item Data Support Sheet'!A:O,7,0),"")</f>
        <v>BOTTLE PRINTED</v>
      </c>
      <c r="E380" s="447" t="s">
        <v>229</v>
      </c>
      <c r="F380" s="500"/>
      <c r="G380" s="497" t="s">
        <v>1698</v>
      </c>
      <c r="H380" s="602" t="str">
        <f>IFERROR(VLOOKUP(E:E,'Item Data Support Sheet'!A:O,2,0),"")</f>
        <v>KPP 120 BOTTLE PRINTED (WMG3B) W/O OZ &amp; W/BIS LOGO</v>
      </c>
      <c r="I380" s="501" t="s">
        <v>2867</v>
      </c>
      <c r="J380" s="501" t="s">
        <v>2808</v>
      </c>
      <c r="K380" s="438">
        <v>0.7</v>
      </c>
      <c r="L380" s="499">
        <v>200</v>
      </c>
      <c r="M380" s="366">
        <f t="shared" si="124"/>
        <v>285.71428571428572</v>
      </c>
      <c r="N380" s="367">
        <f t="shared" si="107"/>
        <v>196</v>
      </c>
      <c r="O380" s="61">
        <v>196</v>
      </c>
      <c r="P380" s="368">
        <v>0</v>
      </c>
      <c r="Q380" s="368">
        <v>0</v>
      </c>
      <c r="R380" s="494">
        <v>0</v>
      </c>
      <c r="S380" s="493">
        <v>0</v>
      </c>
      <c r="T380" s="494">
        <v>0</v>
      </c>
      <c r="U380" s="493">
        <v>0</v>
      </c>
      <c r="V380" s="502">
        <v>6</v>
      </c>
      <c r="W380" s="453">
        <f t="shared" si="109"/>
        <v>32.666666666666664</v>
      </c>
      <c r="X380" s="748">
        <f t="shared" si="110"/>
        <v>0.98</v>
      </c>
      <c r="Y380" s="451" t="str">
        <f>IFERROR(VLOOKUP(E:E,'Item Data Support Sheet'!A:J,6,0),0)</f>
        <v>FO042</v>
      </c>
      <c r="Z380" s="428">
        <f>IFERROR(VLOOKUP(E:E,'Item Data Support Sheet'!A:O,4,0),0)</f>
        <v>0</v>
      </c>
      <c r="AA380" s="428">
        <f t="shared" si="111"/>
        <v>0</v>
      </c>
      <c r="AB380" s="429" t="str">
        <f t="shared" si="112"/>
        <v xml:space="preserve"> </v>
      </c>
      <c r="AC380" s="424">
        <f t="shared" si="113"/>
        <v>0</v>
      </c>
      <c r="AD380" s="371">
        <f t="shared" si="114"/>
        <v>0</v>
      </c>
      <c r="AE380" s="748">
        <f t="shared" si="115"/>
        <v>1</v>
      </c>
      <c r="AF380" s="417">
        <f t="shared" si="116"/>
        <v>0.41666666666666669</v>
      </c>
      <c r="AG380" s="416">
        <f t="shared" si="117"/>
        <v>0.28333333333333327</v>
      </c>
      <c r="AH380" s="372">
        <f t="shared" si="118"/>
        <v>0.40476190476190471</v>
      </c>
      <c r="AI380" s="373">
        <f t="shared" si="119"/>
        <v>280</v>
      </c>
      <c r="AJ380" s="418">
        <f>VLOOKUP(D380,'Standard Cycle time'!C:D,2,0)</f>
        <v>32.4</v>
      </c>
      <c r="AK380" s="418">
        <f t="shared" si="120"/>
        <v>31.224489795918362</v>
      </c>
      <c r="AL380" s="374">
        <f t="shared" si="121"/>
        <v>1.0376470588235296</v>
      </c>
      <c r="AM380" s="372">
        <f t="shared" si="122"/>
        <v>0.42000000000000004</v>
      </c>
      <c r="AN380" s="799">
        <v>2937</v>
      </c>
      <c r="AO380" s="448" t="s">
        <v>2868</v>
      </c>
      <c r="AP380" s="440">
        <v>0</v>
      </c>
      <c r="AQ380" s="440">
        <v>25</v>
      </c>
      <c r="AR380" s="440">
        <v>0</v>
      </c>
      <c r="AS380" s="440">
        <v>0</v>
      </c>
      <c r="AT380" s="440">
        <v>0</v>
      </c>
      <c r="AU380" s="440">
        <v>0</v>
      </c>
      <c r="AV380" s="440">
        <v>0</v>
      </c>
      <c r="AW380" s="440">
        <v>0</v>
      </c>
      <c r="AX380" s="440">
        <v>0</v>
      </c>
      <c r="AY380" s="440">
        <v>0</v>
      </c>
      <c r="AZ380" s="440">
        <v>0</v>
      </c>
      <c r="BA380" s="440">
        <v>0</v>
      </c>
      <c r="BB380" s="440">
        <v>0</v>
      </c>
      <c r="BC380" s="440">
        <v>0</v>
      </c>
      <c r="BD380" s="440">
        <v>0</v>
      </c>
      <c r="BE380" s="440">
        <v>0</v>
      </c>
      <c r="BF380" s="440">
        <v>0</v>
      </c>
      <c r="BG380" s="440">
        <v>0</v>
      </c>
      <c r="BH380" s="440">
        <v>0</v>
      </c>
      <c r="BI380" s="440">
        <v>0</v>
      </c>
      <c r="BJ380" s="440">
        <v>0</v>
      </c>
      <c r="BK380" s="440">
        <v>0</v>
      </c>
      <c r="BL380" s="440">
        <v>0</v>
      </c>
      <c r="BM380" s="440">
        <v>0</v>
      </c>
      <c r="BN380" s="440">
        <v>0</v>
      </c>
      <c r="BO380" s="440">
        <v>0</v>
      </c>
      <c r="BP380" s="440">
        <v>0</v>
      </c>
      <c r="BQ380" s="440">
        <v>0</v>
      </c>
      <c r="BR380" s="415">
        <v>0.41666666666666669</v>
      </c>
      <c r="BS380" s="415">
        <v>0.4236111111111111</v>
      </c>
      <c r="BT380" s="935"/>
      <c r="BU380" s="935"/>
      <c r="BV380" s="935"/>
      <c r="BW380" s="935"/>
      <c r="BX380" s="935"/>
      <c r="BY380" s="935"/>
      <c r="BZ380" s="935"/>
      <c r="CA380" s="935"/>
      <c r="CB380" s="935"/>
      <c r="CC380" s="935"/>
      <c r="CD380" s="935"/>
      <c r="CE380" s="935"/>
      <c r="CF380" s="935"/>
      <c r="CG380" s="935"/>
      <c r="CH380" s="935"/>
      <c r="CI380" s="935"/>
      <c r="CJ380" s="935"/>
      <c r="CK380" s="935"/>
      <c r="CL380" s="935"/>
      <c r="CM380" s="935"/>
      <c r="CN380" s="935"/>
      <c r="CO380" s="935"/>
      <c r="CP380" s="935"/>
      <c r="CQ380" s="935"/>
      <c r="CR380" s="935"/>
      <c r="CS380" s="935"/>
      <c r="CT380" s="935"/>
      <c r="CU380" s="935"/>
      <c r="CV380" s="935"/>
    </row>
    <row r="381" spans="1:100" s="441" customFormat="1">
      <c r="A381" s="375">
        <f t="shared" si="108"/>
        <v>9</v>
      </c>
      <c r="B381" s="862">
        <v>44442</v>
      </c>
      <c r="C381" s="493" t="s">
        <v>2000</v>
      </c>
      <c r="D381" s="376" t="str">
        <f>IFERROR(VLOOKUP(E:E,'Item Data Support Sheet'!A:O,7,0),"")</f>
        <v>BOTTLE PRINTED</v>
      </c>
      <c r="E381" s="447" t="s">
        <v>187</v>
      </c>
      <c r="F381" s="500"/>
      <c r="G381" s="497" t="s">
        <v>1698</v>
      </c>
      <c r="H381" s="602" t="str">
        <f>IFERROR(VLOOKUP(E:E,'Item Data Support Sheet'!A:O,2,0),"")</f>
        <v>KPP 240 BOTTLE PRINTED (WMG3B) W/O OZ &amp; W/BIS LOGO</v>
      </c>
      <c r="I381" s="501" t="s">
        <v>2869</v>
      </c>
      <c r="J381" s="501" t="s">
        <v>2808</v>
      </c>
      <c r="K381" s="438">
        <v>0.3</v>
      </c>
      <c r="L381" s="499">
        <v>5</v>
      </c>
      <c r="M381" s="366">
        <f t="shared" si="124"/>
        <v>16.666666666666668</v>
      </c>
      <c r="N381" s="367">
        <f t="shared" si="107"/>
        <v>5</v>
      </c>
      <c r="O381" s="61">
        <v>5</v>
      </c>
      <c r="P381" s="368">
        <v>0</v>
      </c>
      <c r="Q381" s="368">
        <v>0</v>
      </c>
      <c r="R381" s="494">
        <v>0</v>
      </c>
      <c r="S381" s="493">
        <v>0</v>
      </c>
      <c r="T381" s="494">
        <v>0</v>
      </c>
      <c r="U381" s="493">
        <v>0</v>
      </c>
      <c r="V381" s="502">
        <v>6</v>
      </c>
      <c r="W381" s="453">
        <f t="shared" si="109"/>
        <v>0.83333333333333337</v>
      </c>
      <c r="X381" s="748">
        <f t="shared" si="110"/>
        <v>1</v>
      </c>
      <c r="Y381" s="451" t="str">
        <f>IFERROR(VLOOKUP(E:E,'Item Data Support Sheet'!A:J,6,0),0)</f>
        <v>FO044</v>
      </c>
      <c r="Z381" s="428">
        <f>IFERROR(VLOOKUP(E:E,'Item Data Support Sheet'!A:O,4,0),0)</f>
        <v>0</v>
      </c>
      <c r="AA381" s="428">
        <f t="shared" si="111"/>
        <v>0</v>
      </c>
      <c r="AB381" s="429" t="str">
        <f t="shared" si="112"/>
        <v xml:space="preserve"> </v>
      </c>
      <c r="AC381" s="424">
        <f t="shared" si="113"/>
        <v>0</v>
      </c>
      <c r="AD381" s="371">
        <f t="shared" si="114"/>
        <v>0</v>
      </c>
      <c r="AE381" s="748">
        <f t="shared" si="115"/>
        <v>1</v>
      </c>
      <c r="AF381" s="417">
        <f t="shared" si="116"/>
        <v>0</v>
      </c>
      <c r="AG381" s="416">
        <f t="shared" si="117"/>
        <v>0.3</v>
      </c>
      <c r="AH381" s="372">
        <f t="shared" si="118"/>
        <v>1</v>
      </c>
      <c r="AI381" s="373">
        <f t="shared" si="119"/>
        <v>16.666666666666668</v>
      </c>
      <c r="AJ381" s="418">
        <f>VLOOKUP(D381,'Standard Cycle time'!C:D,2,0)</f>
        <v>32.4</v>
      </c>
      <c r="AK381" s="418">
        <f t="shared" si="120"/>
        <v>1295.9999999999998</v>
      </c>
      <c r="AL381" s="374">
        <f t="shared" si="121"/>
        <v>2.5000000000000005E-2</v>
      </c>
      <c r="AM381" s="372">
        <f t="shared" si="122"/>
        <v>2.5000000000000005E-2</v>
      </c>
      <c r="AN381" s="799">
        <v>2938</v>
      </c>
      <c r="AO381" s="448" t="s">
        <v>2870</v>
      </c>
      <c r="AP381" s="440">
        <v>0</v>
      </c>
      <c r="AQ381" s="440">
        <v>0</v>
      </c>
      <c r="AR381" s="440">
        <v>0</v>
      </c>
      <c r="AS381" s="440">
        <v>0</v>
      </c>
      <c r="AT381" s="440">
        <v>0</v>
      </c>
      <c r="AU381" s="440">
        <v>0</v>
      </c>
      <c r="AV381" s="440">
        <v>0</v>
      </c>
      <c r="AW381" s="440">
        <v>0</v>
      </c>
      <c r="AX381" s="440">
        <v>0</v>
      </c>
      <c r="AY381" s="440">
        <v>0</v>
      </c>
      <c r="AZ381" s="440">
        <v>0</v>
      </c>
      <c r="BA381" s="440">
        <v>0</v>
      </c>
      <c r="BB381" s="440">
        <v>0</v>
      </c>
      <c r="BC381" s="440">
        <v>0</v>
      </c>
      <c r="BD381" s="440">
        <v>0</v>
      </c>
      <c r="BE381" s="440">
        <v>0</v>
      </c>
      <c r="BF381" s="440">
        <v>0</v>
      </c>
      <c r="BG381" s="440">
        <v>0</v>
      </c>
      <c r="BH381" s="440">
        <v>0</v>
      </c>
      <c r="BI381" s="440">
        <v>0</v>
      </c>
      <c r="BJ381" s="440">
        <v>0</v>
      </c>
      <c r="BK381" s="440">
        <v>0</v>
      </c>
      <c r="BL381" s="440">
        <v>0</v>
      </c>
      <c r="BM381" s="440">
        <v>0</v>
      </c>
      <c r="BN381" s="440">
        <v>0</v>
      </c>
      <c r="BO381" s="440">
        <v>0</v>
      </c>
      <c r="BP381" s="440">
        <v>0</v>
      </c>
      <c r="BQ381" s="440">
        <v>0</v>
      </c>
      <c r="BR381" s="415">
        <v>0</v>
      </c>
      <c r="BS381" s="415">
        <v>0</v>
      </c>
      <c r="BT381" s="935"/>
      <c r="BU381" s="935"/>
      <c r="BV381" s="935"/>
      <c r="BW381" s="935"/>
      <c r="BX381" s="935"/>
      <c r="BY381" s="935"/>
      <c r="BZ381" s="935"/>
      <c r="CA381" s="935"/>
      <c r="CB381" s="935"/>
      <c r="CC381" s="935"/>
      <c r="CD381" s="935"/>
      <c r="CE381" s="935"/>
      <c r="CF381" s="935"/>
      <c r="CG381" s="935"/>
      <c r="CH381" s="935"/>
      <c r="CI381" s="935"/>
      <c r="CJ381" s="935"/>
      <c r="CK381" s="935"/>
      <c r="CL381" s="935"/>
      <c r="CM381" s="935"/>
      <c r="CN381" s="935"/>
      <c r="CO381" s="935"/>
      <c r="CP381" s="935"/>
      <c r="CQ381" s="935"/>
      <c r="CR381" s="935"/>
      <c r="CS381" s="935"/>
      <c r="CT381" s="935"/>
      <c r="CU381" s="935"/>
      <c r="CV381" s="935"/>
    </row>
    <row r="382" spans="1:100" s="441" customFormat="1">
      <c r="A382" s="375">
        <f t="shared" si="108"/>
        <v>9</v>
      </c>
      <c r="B382" s="862">
        <v>44442</v>
      </c>
      <c r="C382" s="493" t="s">
        <v>2000</v>
      </c>
      <c r="D382" s="376" t="str">
        <f>IFERROR(VLOOKUP(E:E,'Item Data Support Sheet'!A:O,7,0),"")</f>
        <v>BOTTLE PRINTED</v>
      </c>
      <c r="E382" s="447" t="s">
        <v>180</v>
      </c>
      <c r="F382" s="500"/>
      <c r="G382" s="497" t="s">
        <v>1698</v>
      </c>
      <c r="H382" s="602" t="str">
        <f>IFERROR(VLOOKUP(E:E,'Item Data Support Sheet'!A:O,2,0),"")</f>
        <v>RPP 240ML GIRL PINK BOTTLE PRINTED (WM3GB)</v>
      </c>
      <c r="I382" s="501" t="s">
        <v>2871</v>
      </c>
      <c r="J382" s="501" t="s">
        <v>2808</v>
      </c>
      <c r="K382" s="438">
        <v>2.5</v>
      </c>
      <c r="L382" s="499">
        <v>1200</v>
      </c>
      <c r="M382" s="366">
        <f t="shared" si="124"/>
        <v>480</v>
      </c>
      <c r="N382" s="367">
        <f t="shared" si="107"/>
        <v>1133</v>
      </c>
      <c r="O382" s="61">
        <v>1116</v>
      </c>
      <c r="P382" s="368">
        <v>0</v>
      </c>
      <c r="Q382" s="368">
        <v>0</v>
      </c>
      <c r="R382" s="494">
        <v>0</v>
      </c>
      <c r="S382" s="493">
        <v>0</v>
      </c>
      <c r="T382" s="494">
        <v>17</v>
      </c>
      <c r="U382" s="493">
        <v>0</v>
      </c>
      <c r="V382" s="502">
        <v>6</v>
      </c>
      <c r="W382" s="453">
        <f t="shared" si="109"/>
        <v>186</v>
      </c>
      <c r="X382" s="748">
        <f t="shared" si="110"/>
        <v>0.93</v>
      </c>
      <c r="Y382" s="451" t="str">
        <f>IFERROR(VLOOKUP(E:E,'Item Data Support Sheet'!A:J,6,0),0)</f>
        <v>FO053</v>
      </c>
      <c r="Z382" s="428">
        <f>IFERROR(VLOOKUP(E:E,'Item Data Support Sheet'!A:O,4,0),0)</f>
        <v>0</v>
      </c>
      <c r="AA382" s="428">
        <f t="shared" si="111"/>
        <v>0</v>
      </c>
      <c r="AB382" s="429" t="str">
        <f t="shared" si="112"/>
        <v xml:space="preserve"> </v>
      </c>
      <c r="AC382" s="424">
        <f t="shared" si="113"/>
        <v>1.500441306266549E-2</v>
      </c>
      <c r="AD382" s="371">
        <f t="shared" si="114"/>
        <v>0</v>
      </c>
      <c r="AE382" s="748">
        <f t="shared" si="115"/>
        <v>0.98499558693733447</v>
      </c>
      <c r="AF382" s="417">
        <f t="shared" si="116"/>
        <v>0.5</v>
      </c>
      <c r="AG382" s="416">
        <f t="shared" si="117"/>
        <v>2</v>
      </c>
      <c r="AH382" s="372">
        <f t="shared" si="118"/>
        <v>0.8</v>
      </c>
      <c r="AI382" s="373">
        <f t="shared" si="119"/>
        <v>446.4</v>
      </c>
      <c r="AJ382" s="418">
        <f>VLOOKUP(D382,'Standard Cycle time'!C:D,2,0)</f>
        <v>32.4</v>
      </c>
      <c r="AK382" s="418">
        <f t="shared" si="120"/>
        <v>38.70967741935484</v>
      </c>
      <c r="AL382" s="374">
        <f t="shared" si="121"/>
        <v>0.83699999999999997</v>
      </c>
      <c r="AM382" s="372">
        <f t="shared" si="122"/>
        <v>0.65955304501323919</v>
      </c>
      <c r="AN382" s="799" t="s">
        <v>2872</v>
      </c>
      <c r="AO382" s="448" t="s">
        <v>2873</v>
      </c>
      <c r="AP382" s="440">
        <v>0</v>
      </c>
      <c r="AQ382" s="440">
        <v>30</v>
      </c>
      <c r="AR382" s="440">
        <v>0</v>
      </c>
      <c r="AS382" s="440">
        <v>0</v>
      </c>
      <c r="AT382" s="440">
        <v>0</v>
      </c>
      <c r="AU382" s="440">
        <v>0</v>
      </c>
      <c r="AV382" s="440">
        <v>0</v>
      </c>
      <c r="AW382" s="440">
        <v>0</v>
      </c>
      <c r="AX382" s="440">
        <v>0</v>
      </c>
      <c r="AY382" s="440">
        <v>0</v>
      </c>
      <c r="AZ382" s="440">
        <v>0</v>
      </c>
      <c r="BA382" s="440">
        <v>0</v>
      </c>
      <c r="BB382" s="440">
        <v>0</v>
      </c>
      <c r="BC382" s="440">
        <v>0</v>
      </c>
      <c r="BD382" s="440">
        <v>0</v>
      </c>
      <c r="BE382" s="440">
        <v>0</v>
      </c>
      <c r="BF382" s="440">
        <v>0</v>
      </c>
      <c r="BG382" s="440">
        <v>0</v>
      </c>
      <c r="BH382" s="440">
        <v>0</v>
      </c>
      <c r="BI382" s="440">
        <v>0</v>
      </c>
      <c r="BJ382" s="440">
        <v>0</v>
      </c>
      <c r="BK382" s="440">
        <v>0</v>
      </c>
      <c r="BL382" s="440">
        <v>0</v>
      </c>
      <c r="BM382" s="440">
        <v>0</v>
      </c>
      <c r="BN382" s="440">
        <v>0</v>
      </c>
      <c r="BO382" s="440">
        <v>0</v>
      </c>
      <c r="BP382" s="440">
        <v>0</v>
      </c>
      <c r="BQ382" s="440">
        <v>0</v>
      </c>
      <c r="BR382" s="415">
        <v>0.5</v>
      </c>
      <c r="BS382" s="415">
        <v>0.5083333333333333</v>
      </c>
      <c r="BT382" s="935"/>
      <c r="BU382" s="935"/>
      <c r="BV382" s="935"/>
      <c r="BW382" s="935"/>
      <c r="BX382" s="935"/>
      <c r="BY382" s="935"/>
      <c r="BZ382" s="935"/>
      <c r="CA382" s="935"/>
      <c r="CB382" s="935"/>
      <c r="CC382" s="935"/>
      <c r="CD382" s="935"/>
      <c r="CE382" s="935"/>
      <c r="CF382" s="935"/>
      <c r="CG382" s="935"/>
      <c r="CH382" s="935"/>
      <c r="CI382" s="935"/>
      <c r="CJ382" s="935"/>
      <c r="CK382" s="935"/>
      <c r="CL382" s="935"/>
      <c r="CM382" s="935"/>
      <c r="CN382" s="935"/>
      <c r="CO382" s="935"/>
      <c r="CP382" s="935"/>
      <c r="CQ382" s="935"/>
      <c r="CR382" s="935"/>
      <c r="CS382" s="935"/>
      <c r="CT382" s="935"/>
      <c r="CU382" s="935"/>
      <c r="CV382" s="935"/>
    </row>
    <row r="383" spans="1:100" s="441" customFormat="1">
      <c r="A383" s="375">
        <f t="shared" si="108"/>
        <v>9</v>
      </c>
      <c r="B383" s="862">
        <v>44442</v>
      </c>
      <c r="C383" s="493" t="s">
        <v>2000</v>
      </c>
      <c r="D383" s="376" t="str">
        <f>IFERROR(VLOOKUP(E:E,'Item Data Support Sheet'!A:O,7,0),"")</f>
        <v>BOTTLE PRINTED</v>
      </c>
      <c r="E383" s="447" t="s">
        <v>355</v>
      </c>
      <c r="F383" s="500"/>
      <c r="G383" s="497" t="s">
        <v>1698</v>
      </c>
      <c r="H383" s="602" t="str">
        <f>IFERROR(VLOOKUP(E:E,'Item Data Support Sheet'!A:O,2,0),"")</f>
        <v>RPP 240ML GRL PNK BOTLE PNTD WM3GB W/BIS LOGO</v>
      </c>
      <c r="I383" s="501" t="s">
        <v>2871</v>
      </c>
      <c r="J383" s="501" t="s">
        <v>2808</v>
      </c>
      <c r="K383" s="438">
        <v>0.3</v>
      </c>
      <c r="L383" s="499">
        <v>57</v>
      </c>
      <c r="M383" s="366">
        <f t="shared" si="124"/>
        <v>190</v>
      </c>
      <c r="N383" s="367">
        <f t="shared" si="107"/>
        <v>57</v>
      </c>
      <c r="O383" s="61">
        <v>57</v>
      </c>
      <c r="P383" s="368">
        <v>0</v>
      </c>
      <c r="Q383" s="368">
        <v>0</v>
      </c>
      <c r="R383" s="494">
        <v>0</v>
      </c>
      <c r="S383" s="493">
        <v>0</v>
      </c>
      <c r="T383" s="494">
        <v>0</v>
      </c>
      <c r="U383" s="493">
        <v>0</v>
      </c>
      <c r="V383" s="502">
        <v>6</v>
      </c>
      <c r="W383" s="453">
        <f t="shared" si="109"/>
        <v>9.5</v>
      </c>
      <c r="X383" s="748">
        <f t="shared" si="110"/>
        <v>1</v>
      </c>
      <c r="Y383" s="451" t="str">
        <f>IFERROR(VLOOKUP(E:E,'Item Data Support Sheet'!A:J,6,0),0)</f>
        <v>FO057</v>
      </c>
      <c r="Z383" s="428">
        <f>IFERROR(VLOOKUP(E:E,'Item Data Support Sheet'!A:O,4,0),0)</f>
        <v>0</v>
      </c>
      <c r="AA383" s="428">
        <f t="shared" si="111"/>
        <v>0</v>
      </c>
      <c r="AB383" s="429" t="str">
        <f t="shared" si="112"/>
        <v xml:space="preserve"> </v>
      </c>
      <c r="AC383" s="424">
        <f t="shared" si="113"/>
        <v>0</v>
      </c>
      <c r="AD383" s="371">
        <f t="shared" si="114"/>
        <v>0</v>
      </c>
      <c r="AE383" s="748">
        <f t="shared" si="115"/>
        <v>1</v>
      </c>
      <c r="AF383" s="417">
        <f t="shared" si="116"/>
        <v>0.21666666666666667</v>
      </c>
      <c r="AG383" s="416">
        <f t="shared" si="117"/>
        <v>8.3333333333333315E-2</v>
      </c>
      <c r="AH383" s="372">
        <f t="shared" si="118"/>
        <v>0.27777777777777773</v>
      </c>
      <c r="AI383" s="373">
        <f t="shared" si="119"/>
        <v>190</v>
      </c>
      <c r="AJ383" s="418">
        <f>VLOOKUP(D383,'Standard Cycle time'!C:D,2,0)</f>
        <v>32.4</v>
      </c>
      <c r="AK383" s="418">
        <f t="shared" si="120"/>
        <v>31.578947368421044</v>
      </c>
      <c r="AL383" s="374">
        <f t="shared" si="121"/>
        <v>1.0260000000000002</v>
      </c>
      <c r="AM383" s="372">
        <f t="shared" si="122"/>
        <v>0.28500000000000003</v>
      </c>
      <c r="AN383" s="799" t="s">
        <v>2874</v>
      </c>
      <c r="AO383" s="448"/>
      <c r="AP383" s="440">
        <v>0</v>
      </c>
      <c r="AQ383" s="440">
        <v>13</v>
      </c>
      <c r="AR383" s="440">
        <v>0</v>
      </c>
      <c r="AS383" s="440">
        <v>0</v>
      </c>
      <c r="AT383" s="440">
        <v>0</v>
      </c>
      <c r="AU383" s="440">
        <v>0</v>
      </c>
      <c r="AV383" s="440">
        <v>0</v>
      </c>
      <c r="AW383" s="440">
        <v>0</v>
      </c>
      <c r="AX383" s="440">
        <v>0</v>
      </c>
      <c r="AY383" s="440">
        <v>0</v>
      </c>
      <c r="AZ383" s="440">
        <v>0</v>
      </c>
      <c r="BA383" s="440">
        <v>0</v>
      </c>
      <c r="BB383" s="440">
        <v>0</v>
      </c>
      <c r="BC383" s="440">
        <v>0</v>
      </c>
      <c r="BD383" s="440">
        <v>0</v>
      </c>
      <c r="BE383" s="440">
        <v>0</v>
      </c>
      <c r="BF383" s="440">
        <v>0</v>
      </c>
      <c r="BG383" s="440">
        <v>0</v>
      </c>
      <c r="BH383" s="440">
        <v>0</v>
      </c>
      <c r="BI383" s="440">
        <v>0</v>
      </c>
      <c r="BJ383" s="440">
        <v>0</v>
      </c>
      <c r="BK383" s="440">
        <v>0</v>
      </c>
      <c r="BL383" s="440">
        <v>0</v>
      </c>
      <c r="BM383" s="440">
        <v>0</v>
      </c>
      <c r="BN383" s="440">
        <v>0</v>
      </c>
      <c r="BO383" s="440">
        <v>0</v>
      </c>
      <c r="BP383" s="440">
        <v>0</v>
      </c>
      <c r="BQ383" s="440">
        <v>0</v>
      </c>
      <c r="BR383" s="415">
        <v>0.21666666666666667</v>
      </c>
      <c r="BS383" s="415">
        <v>0.22027777777777777</v>
      </c>
      <c r="BT383" s="935"/>
      <c r="BU383" s="935"/>
      <c r="BV383" s="935"/>
      <c r="BW383" s="935"/>
      <c r="BX383" s="935"/>
      <c r="BY383" s="935"/>
      <c r="BZ383" s="935"/>
      <c r="CA383" s="935"/>
      <c r="CB383" s="935"/>
      <c r="CC383" s="935"/>
      <c r="CD383" s="935"/>
      <c r="CE383" s="935"/>
      <c r="CF383" s="935"/>
      <c r="CG383" s="935"/>
      <c r="CH383" s="935"/>
      <c r="CI383" s="935"/>
      <c r="CJ383" s="935"/>
      <c r="CK383" s="935"/>
      <c r="CL383" s="935"/>
      <c r="CM383" s="935"/>
      <c r="CN383" s="935"/>
      <c r="CO383" s="935"/>
      <c r="CP383" s="935"/>
      <c r="CQ383" s="935"/>
      <c r="CR383" s="935"/>
      <c r="CS383" s="935"/>
      <c r="CT383" s="935"/>
      <c r="CU383" s="935"/>
      <c r="CV383" s="935"/>
    </row>
    <row r="384" spans="1:100" s="441" customFormat="1">
      <c r="A384" s="375">
        <f t="shared" si="108"/>
        <v>9</v>
      </c>
      <c r="B384" s="862">
        <v>44442</v>
      </c>
      <c r="C384" s="493" t="s">
        <v>2000</v>
      </c>
      <c r="D384" s="376" t="str">
        <f>IFERROR(VLOOKUP(E:E,'Item Data Support Sheet'!A:O,7,0),"")</f>
        <v>BOTTLE PRINTED</v>
      </c>
      <c r="E384" s="447" t="s">
        <v>179</v>
      </c>
      <c r="F384" s="500"/>
      <c r="G384" s="497" t="s">
        <v>1698</v>
      </c>
      <c r="H384" s="602" t="str">
        <f>IFERROR(VLOOKUP(E:E,'Item Data Support Sheet'!A:O,2,0),"")</f>
        <v>RPP 240ML BOY BLUE BOTTLE PRINTED (WM3GB)</v>
      </c>
      <c r="I384" s="501" t="s">
        <v>2875</v>
      </c>
      <c r="J384" s="501" t="s">
        <v>2808</v>
      </c>
      <c r="K384" s="438">
        <v>1.7</v>
      </c>
      <c r="L384" s="499">
        <v>600</v>
      </c>
      <c r="M384" s="366">
        <f t="shared" si="124"/>
        <v>352.94117647058823</v>
      </c>
      <c r="N384" s="367">
        <f t="shared" si="107"/>
        <v>605</v>
      </c>
      <c r="O384" s="61">
        <v>600</v>
      </c>
      <c r="P384" s="368">
        <v>0</v>
      </c>
      <c r="Q384" s="368">
        <v>0</v>
      </c>
      <c r="R384" s="494">
        <v>9</v>
      </c>
      <c r="S384" s="493">
        <v>0</v>
      </c>
      <c r="T384" s="494">
        <v>5</v>
      </c>
      <c r="U384" s="493">
        <v>0</v>
      </c>
      <c r="V384" s="502">
        <v>6</v>
      </c>
      <c r="W384" s="453">
        <f t="shared" si="109"/>
        <v>100</v>
      </c>
      <c r="X384" s="748">
        <f t="shared" si="110"/>
        <v>1</v>
      </c>
      <c r="Y384" s="451" t="str">
        <f>IFERROR(VLOOKUP(E:E,'Item Data Support Sheet'!A:J,6,0),0)</f>
        <v>FO055</v>
      </c>
      <c r="Z384" s="428">
        <f>IFERROR(VLOOKUP(E:E,'Item Data Support Sheet'!A:O,4,0),0)</f>
        <v>0</v>
      </c>
      <c r="AA384" s="428">
        <f t="shared" si="111"/>
        <v>0</v>
      </c>
      <c r="AB384" s="429" t="str">
        <f t="shared" si="112"/>
        <v xml:space="preserve"> </v>
      </c>
      <c r="AC384" s="424">
        <f t="shared" si="113"/>
        <v>8.2644628099173556E-3</v>
      </c>
      <c r="AD384" s="371">
        <f t="shared" si="114"/>
        <v>0</v>
      </c>
      <c r="AE384" s="748">
        <f t="shared" si="115"/>
        <v>0.99173553719008267</v>
      </c>
      <c r="AF384" s="417">
        <f t="shared" si="116"/>
        <v>0.75</v>
      </c>
      <c r="AG384" s="416">
        <f t="shared" si="117"/>
        <v>0.95</v>
      </c>
      <c r="AH384" s="372">
        <f t="shared" si="118"/>
        <v>0.55882352941176472</v>
      </c>
      <c r="AI384" s="373">
        <f t="shared" si="119"/>
        <v>352.94117647058823</v>
      </c>
      <c r="AJ384" s="418">
        <f>VLOOKUP(D384,'Standard Cycle time'!C:D,2,0)</f>
        <v>32.4</v>
      </c>
      <c r="AK384" s="418">
        <f t="shared" si="120"/>
        <v>34.199999999999996</v>
      </c>
      <c r="AL384" s="374">
        <f t="shared" si="121"/>
        <v>0.94736842105263164</v>
      </c>
      <c r="AM384" s="372">
        <f t="shared" si="122"/>
        <v>0.52503646086533795</v>
      </c>
      <c r="AN384" s="799" t="s">
        <v>2874</v>
      </c>
      <c r="AO384" s="448"/>
      <c r="AP384" s="440">
        <v>0</v>
      </c>
      <c r="AQ384" s="440">
        <v>45</v>
      </c>
      <c r="AR384" s="440">
        <v>0</v>
      </c>
      <c r="AS384" s="440">
        <v>0</v>
      </c>
      <c r="AT384" s="440">
        <v>0</v>
      </c>
      <c r="AU384" s="440">
        <v>0</v>
      </c>
      <c r="AV384" s="440">
        <v>0</v>
      </c>
      <c r="AW384" s="440">
        <v>0</v>
      </c>
      <c r="AX384" s="440">
        <v>0</v>
      </c>
      <c r="AY384" s="440">
        <v>0</v>
      </c>
      <c r="AZ384" s="440">
        <v>0</v>
      </c>
      <c r="BA384" s="440">
        <v>0</v>
      </c>
      <c r="BB384" s="440">
        <v>0</v>
      </c>
      <c r="BC384" s="440">
        <v>0</v>
      </c>
      <c r="BD384" s="440">
        <v>0</v>
      </c>
      <c r="BE384" s="440">
        <v>0</v>
      </c>
      <c r="BF384" s="440">
        <v>0</v>
      </c>
      <c r="BG384" s="440">
        <v>0</v>
      </c>
      <c r="BH384" s="440">
        <v>0</v>
      </c>
      <c r="BI384" s="440">
        <v>0</v>
      </c>
      <c r="BJ384" s="440">
        <v>0</v>
      </c>
      <c r="BK384" s="440">
        <v>0</v>
      </c>
      <c r="BL384" s="440">
        <v>0</v>
      </c>
      <c r="BM384" s="440">
        <v>0</v>
      </c>
      <c r="BN384" s="440">
        <v>0</v>
      </c>
      <c r="BO384" s="440">
        <v>0</v>
      </c>
      <c r="BP384" s="440">
        <v>0</v>
      </c>
      <c r="BQ384" s="440">
        <v>0</v>
      </c>
      <c r="BR384" s="415">
        <v>0.75</v>
      </c>
      <c r="BS384" s="415">
        <v>0.76249999999999996</v>
      </c>
      <c r="BT384" s="935"/>
      <c r="BU384" s="935"/>
      <c r="BV384" s="935"/>
      <c r="BW384" s="935"/>
      <c r="BX384" s="935"/>
      <c r="BY384" s="935"/>
      <c r="BZ384" s="935"/>
      <c r="CA384" s="935"/>
      <c r="CB384" s="935"/>
      <c r="CC384" s="935"/>
      <c r="CD384" s="935"/>
      <c r="CE384" s="935"/>
      <c r="CF384" s="935"/>
      <c r="CG384" s="935"/>
      <c r="CH384" s="935"/>
      <c r="CI384" s="935"/>
      <c r="CJ384" s="935"/>
      <c r="CK384" s="935"/>
      <c r="CL384" s="935"/>
      <c r="CM384" s="935"/>
      <c r="CN384" s="935"/>
      <c r="CO384" s="935"/>
      <c r="CP384" s="935"/>
      <c r="CQ384" s="935"/>
      <c r="CR384" s="935"/>
      <c r="CS384" s="935"/>
      <c r="CT384" s="935"/>
      <c r="CU384" s="935"/>
      <c r="CV384" s="935"/>
    </row>
    <row r="385" spans="1:100" s="441" customFormat="1">
      <c r="A385" s="375">
        <f t="shared" si="108"/>
        <v>9</v>
      </c>
      <c r="B385" s="862">
        <v>44442</v>
      </c>
      <c r="C385" s="493" t="s">
        <v>2001</v>
      </c>
      <c r="D385" s="376" t="str">
        <f>IFERROR(VLOOKUP(E:E,'Item Data Support Sheet'!A:O,7,0),"")</f>
        <v>NIPPLE POSTCURE</v>
      </c>
      <c r="E385" s="447" t="s">
        <v>77</v>
      </c>
      <c r="F385" s="500"/>
      <c r="G385" s="497" t="s">
        <v>1705</v>
      </c>
      <c r="H385" s="602" t="str">
        <f>IFERROR(VLOOKUP(E:E,'Item Data Support Sheet'!A:O,2,0),"")</f>
        <v>NIPPLE S TYPE M SIZE POSTCURED</v>
      </c>
      <c r="I385" s="501" t="s">
        <v>2876</v>
      </c>
      <c r="J385" s="501" t="s">
        <v>2808</v>
      </c>
      <c r="K385" s="438">
        <v>8</v>
      </c>
      <c r="L385" s="499">
        <v>7036</v>
      </c>
      <c r="M385" s="366">
        <f t="shared" si="124"/>
        <v>879.5</v>
      </c>
      <c r="N385" s="367">
        <f t="shared" si="107"/>
        <v>6200</v>
      </c>
      <c r="O385" s="61">
        <v>6200</v>
      </c>
      <c r="P385" s="368">
        <v>0</v>
      </c>
      <c r="Q385" s="368">
        <v>0</v>
      </c>
      <c r="R385" s="494">
        <v>0</v>
      </c>
      <c r="S385" s="493">
        <v>0</v>
      </c>
      <c r="T385" s="494">
        <v>0</v>
      </c>
      <c r="U385" s="493">
        <v>0</v>
      </c>
      <c r="V385" s="502">
        <v>1</v>
      </c>
      <c r="W385" s="453">
        <f t="shared" si="109"/>
        <v>6200</v>
      </c>
      <c r="X385" s="748">
        <f t="shared" si="110"/>
        <v>0.88118249005116545</v>
      </c>
      <c r="Y385" s="451" t="str">
        <f>IFERROR(VLOOKUP(E:E,'Item Data Support Sheet'!A:J,6,0),0)</f>
        <v>FO012</v>
      </c>
      <c r="Z385" s="428">
        <f>IFERROR(VLOOKUP(E:E,'Item Data Support Sheet'!A:O,4,0),0)</f>
        <v>0</v>
      </c>
      <c r="AA385" s="428">
        <f t="shared" si="111"/>
        <v>0</v>
      </c>
      <c r="AB385" s="429" t="str">
        <f t="shared" si="112"/>
        <v xml:space="preserve"> </v>
      </c>
      <c r="AC385" s="424">
        <f t="shared" si="113"/>
        <v>0</v>
      </c>
      <c r="AD385" s="371">
        <f t="shared" si="114"/>
        <v>0</v>
      </c>
      <c r="AE385" s="748">
        <f t="shared" si="115"/>
        <v>1</v>
      </c>
      <c r="AF385" s="417">
        <f t="shared" si="116"/>
        <v>2.5</v>
      </c>
      <c r="AG385" s="416">
        <f t="shared" si="117"/>
        <v>5.5</v>
      </c>
      <c r="AH385" s="372">
        <f t="shared" si="118"/>
        <v>0.6875</v>
      </c>
      <c r="AI385" s="373">
        <f t="shared" si="119"/>
        <v>775</v>
      </c>
      <c r="AJ385" s="418">
        <f>VLOOKUP(D385,'Standard Cycle time'!C:D,2,0)</f>
        <v>2.2999999999999998</v>
      </c>
      <c r="AK385" s="418">
        <f t="shared" si="120"/>
        <v>3.193548387096774</v>
      </c>
      <c r="AL385" s="374">
        <f t="shared" si="121"/>
        <v>0.72020202020202018</v>
      </c>
      <c r="AM385" s="372">
        <f t="shared" si="122"/>
        <v>0.49513888888888885</v>
      </c>
      <c r="AN385" s="799" t="s">
        <v>2877</v>
      </c>
      <c r="AO385" s="448" t="s">
        <v>2878</v>
      </c>
      <c r="AP385" s="440">
        <v>0</v>
      </c>
      <c r="AQ385" s="440">
        <v>0</v>
      </c>
      <c r="AR385" s="440">
        <v>0</v>
      </c>
      <c r="AS385" s="440">
        <v>150</v>
      </c>
      <c r="AT385" s="440">
        <v>0</v>
      </c>
      <c r="AU385" s="440">
        <v>0</v>
      </c>
      <c r="AV385" s="440">
        <v>0</v>
      </c>
      <c r="AW385" s="440">
        <v>0</v>
      </c>
      <c r="AX385" s="440">
        <v>0</v>
      </c>
      <c r="AY385" s="440">
        <v>0</v>
      </c>
      <c r="AZ385" s="440">
        <v>0</v>
      </c>
      <c r="BA385" s="440">
        <v>0</v>
      </c>
      <c r="BB385" s="440">
        <v>0</v>
      </c>
      <c r="BC385" s="440">
        <v>0</v>
      </c>
      <c r="BD385" s="440">
        <v>0</v>
      </c>
      <c r="BE385" s="440">
        <v>0</v>
      </c>
      <c r="BF385" s="440">
        <v>0</v>
      </c>
      <c r="BG385" s="440">
        <v>0</v>
      </c>
      <c r="BH385" s="440">
        <v>0</v>
      </c>
      <c r="BI385" s="440">
        <v>0</v>
      </c>
      <c r="BJ385" s="440">
        <v>0</v>
      </c>
      <c r="BK385" s="440">
        <v>0</v>
      </c>
      <c r="BL385" s="440">
        <v>0</v>
      </c>
      <c r="BM385" s="440">
        <v>0</v>
      </c>
      <c r="BN385" s="440">
        <v>0</v>
      </c>
      <c r="BO385" s="440">
        <v>0</v>
      </c>
      <c r="BP385" s="440">
        <v>0</v>
      </c>
      <c r="BQ385" s="440">
        <v>0</v>
      </c>
      <c r="BR385" s="415">
        <v>2.5</v>
      </c>
      <c r="BS385" s="415">
        <v>2.5416666666666665</v>
      </c>
      <c r="BT385" s="935"/>
      <c r="BU385" s="935"/>
      <c r="BV385" s="935"/>
      <c r="BW385" s="935"/>
      <c r="BX385" s="935"/>
      <c r="BY385" s="935"/>
      <c r="BZ385" s="935"/>
      <c r="CA385" s="935"/>
      <c r="CB385" s="935"/>
      <c r="CC385" s="935"/>
      <c r="CD385" s="935"/>
      <c r="CE385" s="935"/>
      <c r="CF385" s="935"/>
      <c r="CG385" s="935"/>
      <c r="CH385" s="935"/>
      <c r="CI385" s="935"/>
      <c r="CJ385" s="935"/>
      <c r="CK385" s="935"/>
      <c r="CL385" s="935"/>
      <c r="CM385" s="935"/>
      <c r="CN385" s="935"/>
      <c r="CO385" s="935"/>
      <c r="CP385" s="935"/>
      <c r="CQ385" s="935"/>
      <c r="CR385" s="935"/>
      <c r="CS385" s="935"/>
      <c r="CT385" s="935"/>
      <c r="CU385" s="935"/>
      <c r="CV385" s="935"/>
    </row>
    <row r="386" spans="1:100" s="441" customFormat="1">
      <c r="A386" s="375">
        <f t="shared" si="108"/>
        <v>9</v>
      </c>
      <c r="B386" s="862">
        <v>44442</v>
      </c>
      <c r="C386" s="493" t="s">
        <v>2001</v>
      </c>
      <c r="D386" s="376" t="str">
        <f>IFERROR(VLOOKUP(E:E,'Item Data Support Sheet'!A:O,7,0),"")</f>
        <v>NIPPLE PUNCH</v>
      </c>
      <c r="E386" s="447" t="s">
        <v>81</v>
      </c>
      <c r="F386" s="500"/>
      <c r="G386" s="497" t="s">
        <v>1692</v>
      </c>
      <c r="H386" s="602" t="str">
        <f>IFERROR(VLOOKUP(E:E,'Item Data Support Sheet'!A:O,2,0),"")</f>
        <v>NIPPLE S TYPE M SIZE PUNCHED</v>
      </c>
      <c r="I386" s="501" t="s">
        <v>2879</v>
      </c>
      <c r="J386" s="501" t="s">
        <v>2808</v>
      </c>
      <c r="K386" s="438">
        <v>8</v>
      </c>
      <c r="L386" s="499">
        <v>7036</v>
      </c>
      <c r="M386" s="366">
        <f t="shared" si="124"/>
        <v>879.5</v>
      </c>
      <c r="N386" s="367">
        <f t="shared" si="107"/>
        <v>3200</v>
      </c>
      <c r="O386" s="61">
        <v>3200</v>
      </c>
      <c r="P386" s="368">
        <v>0</v>
      </c>
      <c r="Q386" s="368">
        <v>0</v>
      </c>
      <c r="R386" s="494">
        <v>0</v>
      </c>
      <c r="S386" s="493">
        <v>0</v>
      </c>
      <c r="T386" s="494">
        <v>0</v>
      </c>
      <c r="U386" s="493">
        <v>0</v>
      </c>
      <c r="V386" s="502">
        <v>1</v>
      </c>
      <c r="W386" s="453">
        <f t="shared" si="109"/>
        <v>3200</v>
      </c>
      <c r="X386" s="748">
        <f t="shared" si="110"/>
        <v>0.45480386583285959</v>
      </c>
      <c r="Y386" s="451" t="str">
        <f>IFERROR(VLOOKUP(E:E,'Item Data Support Sheet'!A:J,6,0),0)</f>
        <v>FO016</v>
      </c>
      <c r="Z386" s="428">
        <f>IFERROR(VLOOKUP(E:E,'Item Data Support Sheet'!A:O,4,0),0)</f>
        <v>0</v>
      </c>
      <c r="AA386" s="428">
        <f t="shared" si="111"/>
        <v>0</v>
      </c>
      <c r="AB386" s="429" t="str">
        <f t="shared" si="112"/>
        <v xml:space="preserve"> </v>
      </c>
      <c r="AC386" s="424">
        <f t="shared" si="113"/>
        <v>0</v>
      </c>
      <c r="AD386" s="371">
        <f t="shared" si="114"/>
        <v>0</v>
      </c>
      <c r="AE386" s="748">
        <f t="shared" si="115"/>
        <v>1</v>
      </c>
      <c r="AF386" s="417">
        <f t="shared" si="116"/>
        <v>4.666666666666667</v>
      </c>
      <c r="AG386" s="416">
        <f t="shared" si="117"/>
        <v>3.333333333333333</v>
      </c>
      <c r="AH386" s="372">
        <f t="shared" si="118"/>
        <v>0.41666666666666663</v>
      </c>
      <c r="AI386" s="373">
        <f t="shared" si="119"/>
        <v>400</v>
      </c>
      <c r="AJ386" s="418">
        <f>VLOOKUP(D386,'Standard Cycle time'!C:D,2,0)</f>
        <v>3.5</v>
      </c>
      <c r="AK386" s="418">
        <f t="shared" si="120"/>
        <v>3.7499999999999996</v>
      </c>
      <c r="AL386" s="374">
        <f t="shared" si="121"/>
        <v>0.93333333333333346</v>
      </c>
      <c r="AM386" s="372">
        <f t="shared" si="122"/>
        <v>0.3888888888888889</v>
      </c>
      <c r="AN386" s="799" t="s">
        <v>2880</v>
      </c>
      <c r="AO386" s="448" t="s">
        <v>2878</v>
      </c>
      <c r="AP386" s="440">
        <v>0</v>
      </c>
      <c r="AQ386" s="440">
        <v>0</v>
      </c>
      <c r="AR386" s="440">
        <v>0</v>
      </c>
      <c r="AS386" s="440">
        <v>0</v>
      </c>
      <c r="AT386" s="440">
        <v>0</v>
      </c>
      <c r="AU386" s="440">
        <v>0</v>
      </c>
      <c r="AV386" s="440">
        <v>280</v>
      </c>
      <c r="AW386" s="440">
        <v>0</v>
      </c>
      <c r="AX386" s="440">
        <v>0</v>
      </c>
      <c r="AY386" s="440">
        <v>0</v>
      </c>
      <c r="AZ386" s="440">
        <v>0</v>
      </c>
      <c r="BA386" s="440">
        <v>0</v>
      </c>
      <c r="BB386" s="440">
        <v>0</v>
      </c>
      <c r="BC386" s="440">
        <v>0</v>
      </c>
      <c r="BD386" s="440">
        <v>0</v>
      </c>
      <c r="BE386" s="440">
        <v>0</v>
      </c>
      <c r="BF386" s="440">
        <v>0</v>
      </c>
      <c r="BG386" s="440">
        <v>0</v>
      </c>
      <c r="BH386" s="440">
        <v>0</v>
      </c>
      <c r="BI386" s="440">
        <v>0</v>
      </c>
      <c r="BJ386" s="440">
        <v>0</v>
      </c>
      <c r="BK386" s="440">
        <v>0</v>
      </c>
      <c r="BL386" s="440">
        <v>0</v>
      </c>
      <c r="BM386" s="440">
        <v>0</v>
      </c>
      <c r="BN386" s="440">
        <v>0</v>
      </c>
      <c r="BO386" s="440">
        <v>0</v>
      </c>
      <c r="BP386" s="440">
        <v>0</v>
      </c>
      <c r="BQ386" s="440">
        <v>0</v>
      </c>
      <c r="BR386" s="415">
        <v>4.666666666666667</v>
      </c>
      <c r="BS386" s="415">
        <v>4.7444444444444445</v>
      </c>
      <c r="BT386" s="935"/>
      <c r="BU386" s="935"/>
      <c r="BV386" s="935"/>
      <c r="BW386" s="935"/>
      <c r="BX386" s="935"/>
      <c r="BY386" s="935"/>
      <c r="BZ386" s="935"/>
      <c r="CA386" s="935"/>
      <c r="CB386" s="935"/>
      <c r="CC386" s="935"/>
      <c r="CD386" s="935"/>
      <c r="CE386" s="935"/>
      <c r="CF386" s="935"/>
      <c r="CG386" s="935"/>
      <c r="CH386" s="935"/>
      <c r="CI386" s="935"/>
      <c r="CJ386" s="935"/>
      <c r="CK386" s="935"/>
      <c r="CL386" s="935"/>
      <c r="CM386" s="935"/>
      <c r="CN386" s="935"/>
      <c r="CO386" s="935"/>
      <c r="CP386" s="935"/>
      <c r="CQ386" s="935"/>
      <c r="CR386" s="935"/>
      <c r="CS386" s="935"/>
      <c r="CT386" s="935"/>
      <c r="CU386" s="935"/>
      <c r="CV386" s="935"/>
    </row>
    <row r="387" spans="1:100" s="441" customFormat="1">
      <c r="A387" s="375">
        <f t="shared" si="108"/>
        <v>9</v>
      </c>
      <c r="B387" s="862">
        <v>44442</v>
      </c>
      <c r="C387" s="493" t="s">
        <v>2001</v>
      </c>
      <c r="D387" s="376" t="str">
        <f>IFERROR(VLOOKUP(E:E,'Item Data Support Sheet'!A:O,7,0),"")</f>
        <v>NIPPLE MOLDED</v>
      </c>
      <c r="E387" s="447" t="s">
        <v>73</v>
      </c>
      <c r="F387" s="500" t="s">
        <v>1678</v>
      </c>
      <c r="G387" s="497" t="s">
        <v>1690</v>
      </c>
      <c r="H387" s="602" t="str">
        <f>IFERROR(VLOOKUP(E:E,'Item Data Support Sheet'!A:O,2,0),"")</f>
        <v>NIPPLE S TYPE M SIZE INJECTION</v>
      </c>
      <c r="I387" s="501" t="s">
        <v>2881</v>
      </c>
      <c r="J387" s="501" t="s">
        <v>2808</v>
      </c>
      <c r="K387" s="438">
        <v>8</v>
      </c>
      <c r="L387" s="499">
        <v>4815</v>
      </c>
      <c r="M387" s="366">
        <f t="shared" si="124"/>
        <v>601.875</v>
      </c>
      <c r="N387" s="367">
        <f t="shared" si="107"/>
        <v>4520</v>
      </c>
      <c r="O387" s="61">
        <v>4400</v>
      </c>
      <c r="P387" s="368">
        <v>0</v>
      </c>
      <c r="Q387" s="368">
        <v>58</v>
      </c>
      <c r="R387" s="494">
        <v>0</v>
      </c>
      <c r="S387" s="493">
        <v>0</v>
      </c>
      <c r="T387" s="494">
        <v>62</v>
      </c>
      <c r="U387" s="493">
        <v>0</v>
      </c>
      <c r="V387" s="502">
        <v>1</v>
      </c>
      <c r="W387" s="453">
        <f t="shared" si="109"/>
        <v>4400</v>
      </c>
      <c r="X387" s="748">
        <f t="shared" si="110"/>
        <v>0.91381100726895115</v>
      </c>
      <c r="Y387" s="451" t="str">
        <f>IFERROR(VLOOKUP(E:E,'Item Data Support Sheet'!A:J,6,0),0)</f>
        <v>Silicon</v>
      </c>
      <c r="Z387" s="428">
        <f>IFERROR(VLOOKUP(E:E,'Item Data Support Sheet'!A:O,4,0),0)</f>
        <v>6.8</v>
      </c>
      <c r="AA387" s="428">
        <f t="shared" si="111"/>
        <v>30.735999999999997</v>
      </c>
      <c r="AB387" s="429">
        <f t="shared" si="112"/>
        <v>0.97345132743362839</v>
      </c>
      <c r="AC387" s="424">
        <f t="shared" si="113"/>
        <v>1.3895114298520844E-2</v>
      </c>
      <c r="AD387" s="371">
        <f t="shared" si="114"/>
        <v>1.2669287898645697E-2</v>
      </c>
      <c r="AE387" s="748">
        <f t="shared" si="115"/>
        <v>0.98628318584070795</v>
      </c>
      <c r="AF387" s="417">
        <f t="shared" si="116"/>
        <v>0</v>
      </c>
      <c r="AG387" s="416">
        <f t="shared" si="117"/>
        <v>8</v>
      </c>
      <c r="AH387" s="372">
        <f t="shared" si="118"/>
        <v>1</v>
      </c>
      <c r="AI387" s="373">
        <f t="shared" si="119"/>
        <v>550</v>
      </c>
      <c r="AJ387" s="418">
        <f>VLOOKUP(D387,'Standard Cycle time'!C:D,2,0)</f>
        <v>5.25</v>
      </c>
      <c r="AK387" s="418">
        <f t="shared" si="120"/>
        <v>6.5454545454545459</v>
      </c>
      <c r="AL387" s="374">
        <f t="shared" si="121"/>
        <v>0.80208333333333326</v>
      </c>
      <c r="AM387" s="372">
        <f t="shared" si="122"/>
        <v>0.79108130530973442</v>
      </c>
      <c r="AN387" s="799" t="s">
        <v>2882</v>
      </c>
      <c r="AO387" s="448" t="s">
        <v>2822</v>
      </c>
      <c r="AP387" s="440">
        <v>0</v>
      </c>
      <c r="AQ387" s="440">
        <v>0</v>
      </c>
      <c r="AR387" s="440">
        <v>0</v>
      </c>
      <c r="AS387" s="440">
        <v>0</v>
      </c>
      <c r="AT387" s="440">
        <v>0</v>
      </c>
      <c r="AU387" s="440">
        <v>0</v>
      </c>
      <c r="AV387" s="440">
        <v>0</v>
      </c>
      <c r="AW387" s="440">
        <v>0</v>
      </c>
      <c r="AX387" s="440">
        <v>0</v>
      </c>
      <c r="AY387" s="440">
        <v>0</v>
      </c>
      <c r="AZ387" s="440">
        <v>0</v>
      </c>
      <c r="BA387" s="440">
        <v>0</v>
      </c>
      <c r="BB387" s="440">
        <v>0</v>
      </c>
      <c r="BC387" s="440">
        <v>0</v>
      </c>
      <c r="BD387" s="440">
        <v>0</v>
      </c>
      <c r="BE387" s="440">
        <v>0</v>
      </c>
      <c r="BF387" s="440">
        <v>0</v>
      </c>
      <c r="BG387" s="440">
        <v>0</v>
      </c>
      <c r="BH387" s="440">
        <v>0</v>
      </c>
      <c r="BI387" s="440">
        <v>0</v>
      </c>
      <c r="BJ387" s="440">
        <v>0</v>
      </c>
      <c r="BK387" s="440">
        <v>0</v>
      </c>
      <c r="BL387" s="440">
        <v>0</v>
      </c>
      <c r="BM387" s="440">
        <v>0</v>
      </c>
      <c r="BN387" s="440">
        <v>0</v>
      </c>
      <c r="BO387" s="440">
        <v>0</v>
      </c>
      <c r="BP387" s="440">
        <v>0</v>
      </c>
      <c r="BQ387" s="440">
        <v>0</v>
      </c>
      <c r="BR387" s="415">
        <v>0</v>
      </c>
      <c r="BS387" s="415">
        <v>0</v>
      </c>
      <c r="BT387" s="935"/>
      <c r="BU387" s="935"/>
      <c r="BV387" s="935"/>
      <c r="BW387" s="935"/>
      <c r="BX387" s="935"/>
      <c r="BY387" s="935"/>
      <c r="BZ387" s="935"/>
      <c r="CA387" s="935"/>
      <c r="CB387" s="935"/>
      <c r="CC387" s="935"/>
      <c r="CD387" s="935"/>
      <c r="CE387" s="935"/>
      <c r="CF387" s="935"/>
      <c r="CG387" s="935"/>
      <c r="CH387" s="935"/>
      <c r="CI387" s="935"/>
      <c r="CJ387" s="935"/>
      <c r="CK387" s="935"/>
      <c r="CL387" s="935"/>
      <c r="CM387" s="935"/>
      <c r="CN387" s="935"/>
      <c r="CO387" s="935"/>
      <c r="CP387" s="935"/>
      <c r="CQ387" s="935"/>
      <c r="CR387" s="935"/>
      <c r="CS387" s="935"/>
      <c r="CT387" s="935"/>
      <c r="CU387" s="935"/>
      <c r="CV387" s="935"/>
    </row>
    <row r="388" spans="1:100" s="441" customFormat="1">
      <c r="A388" s="375">
        <f t="shared" si="108"/>
        <v>9</v>
      </c>
      <c r="B388" s="862">
        <v>44442</v>
      </c>
      <c r="C388" s="493" t="s">
        <v>2001</v>
      </c>
      <c r="D388" s="376" t="str">
        <f>IFERROR(VLOOKUP(E:E,'Item Data Support Sheet'!A:O,7,0),"")</f>
        <v>BOTTLE MOLDED</v>
      </c>
      <c r="E388" s="447" t="s">
        <v>140</v>
      </c>
      <c r="F388" s="500" t="s">
        <v>1664</v>
      </c>
      <c r="G388" s="497" t="s">
        <v>1888</v>
      </c>
      <c r="H388" s="602" t="str">
        <f>IFERROR(VLOOKUP(E:E,'Item Data Support Sheet'!A:O,2,0),"")</f>
        <v>RPP 240ML BLUE BOTTLE MOLDED (WM3GB)</v>
      </c>
      <c r="I388" s="501" t="s">
        <v>2883</v>
      </c>
      <c r="J388" s="501" t="s">
        <v>2808</v>
      </c>
      <c r="K388" s="438">
        <v>8</v>
      </c>
      <c r="L388" s="499">
        <v>2503</v>
      </c>
      <c r="M388" s="366">
        <f t="shared" si="124"/>
        <v>312.875</v>
      </c>
      <c r="N388" s="367">
        <f t="shared" ref="N388:N451" si="125">+O388+Q388+T388+U388</f>
        <v>2650</v>
      </c>
      <c r="O388" s="61">
        <v>2520</v>
      </c>
      <c r="P388" s="368">
        <v>0.92800000000000005</v>
      </c>
      <c r="Q388" s="368">
        <v>74</v>
      </c>
      <c r="R388" s="494">
        <v>0</v>
      </c>
      <c r="S388" s="493">
        <v>0</v>
      </c>
      <c r="T388" s="494">
        <v>56</v>
      </c>
      <c r="U388" s="493">
        <v>0</v>
      </c>
      <c r="V388" s="502">
        <v>1</v>
      </c>
      <c r="W388" s="453">
        <f t="shared" si="109"/>
        <v>2520</v>
      </c>
      <c r="X388" s="748">
        <f t="shared" si="110"/>
        <v>1.0067918497802637</v>
      </c>
      <c r="Y388" s="451" t="str">
        <f>IFERROR(VLOOKUP(E:E,'Item Data Support Sheet'!A:J,6,0),0)</f>
        <v>WMG3B</v>
      </c>
      <c r="Z388" s="428">
        <f>IFERROR(VLOOKUP(E:E,'Item Data Support Sheet'!A:O,4,0),0)</f>
        <v>33.130000000000003</v>
      </c>
      <c r="AA388" s="428">
        <f t="shared" si="111"/>
        <v>88.722499999999997</v>
      </c>
      <c r="AB388" s="429">
        <f t="shared" si="112"/>
        <v>0.94099692862577144</v>
      </c>
      <c r="AC388" s="424">
        <f t="shared" si="113"/>
        <v>2.1739130434782608E-2</v>
      </c>
      <c r="AD388" s="371">
        <f t="shared" si="114"/>
        <v>2.7165932452276064E-2</v>
      </c>
      <c r="AE388" s="748">
        <f t="shared" si="115"/>
        <v>0.97886792452830185</v>
      </c>
      <c r="AF388" s="417">
        <f t="shared" si="116"/>
        <v>1.1666666666666667</v>
      </c>
      <c r="AG388" s="416">
        <f t="shared" si="117"/>
        <v>6.833333333333333</v>
      </c>
      <c r="AH388" s="372">
        <f t="shared" si="118"/>
        <v>0.85416666666666663</v>
      </c>
      <c r="AI388" s="373">
        <f t="shared" si="119"/>
        <v>315</v>
      </c>
      <c r="AJ388" s="418">
        <f>VLOOKUP(D388,'Standard Cycle time'!C:D,2,0)</f>
        <v>9</v>
      </c>
      <c r="AK388" s="418">
        <f t="shared" si="120"/>
        <v>9.7619047619047628</v>
      </c>
      <c r="AL388" s="374">
        <f t="shared" si="121"/>
        <v>0.92195121951219505</v>
      </c>
      <c r="AM388" s="372">
        <f t="shared" si="122"/>
        <v>0.77085849056603761</v>
      </c>
      <c r="AN388" s="799">
        <v>2962</v>
      </c>
      <c r="AO388" s="448" t="s">
        <v>2884</v>
      </c>
      <c r="AP388" s="440">
        <v>0</v>
      </c>
      <c r="AQ388" s="440">
        <v>0</v>
      </c>
      <c r="AR388" s="440">
        <v>0</v>
      </c>
      <c r="AS388" s="440">
        <v>0</v>
      </c>
      <c r="AT388" s="440">
        <v>0</v>
      </c>
      <c r="AU388" s="440">
        <v>0</v>
      </c>
      <c r="AV388" s="440">
        <v>30</v>
      </c>
      <c r="AW388" s="440">
        <v>40</v>
      </c>
      <c r="AX388" s="440">
        <v>0</v>
      </c>
      <c r="AY388" s="440">
        <v>0</v>
      </c>
      <c r="AZ388" s="440">
        <v>0</v>
      </c>
      <c r="BA388" s="440">
        <v>0</v>
      </c>
      <c r="BB388" s="440">
        <v>0</v>
      </c>
      <c r="BC388" s="440">
        <v>0</v>
      </c>
      <c r="BD388" s="440">
        <v>0</v>
      </c>
      <c r="BE388" s="440">
        <v>0</v>
      </c>
      <c r="BF388" s="440">
        <v>0</v>
      </c>
      <c r="BG388" s="440">
        <v>0</v>
      </c>
      <c r="BH388" s="440">
        <v>0</v>
      </c>
      <c r="BI388" s="440">
        <v>0</v>
      </c>
      <c r="BJ388" s="440">
        <v>0</v>
      </c>
      <c r="BK388" s="440">
        <v>0</v>
      </c>
      <c r="BL388" s="440">
        <v>0</v>
      </c>
      <c r="BM388" s="440">
        <v>0</v>
      </c>
      <c r="BN388" s="440">
        <v>0</v>
      </c>
      <c r="BO388" s="440">
        <v>0</v>
      </c>
      <c r="BP388" s="440">
        <v>0</v>
      </c>
      <c r="BQ388" s="440">
        <v>0</v>
      </c>
      <c r="BR388" s="415">
        <v>1.1666666666666667</v>
      </c>
      <c r="BS388" s="415">
        <v>1.1861111111111111</v>
      </c>
      <c r="BT388" s="935"/>
      <c r="BU388" s="935"/>
      <c r="BV388" s="935"/>
      <c r="BW388" s="935"/>
      <c r="BX388" s="935"/>
      <c r="BY388" s="935"/>
      <c r="BZ388" s="935"/>
      <c r="CA388" s="935"/>
      <c r="CB388" s="935"/>
      <c r="CC388" s="935"/>
      <c r="CD388" s="935"/>
      <c r="CE388" s="935"/>
      <c r="CF388" s="935"/>
      <c r="CG388" s="935"/>
      <c r="CH388" s="935"/>
      <c r="CI388" s="935"/>
      <c r="CJ388" s="935"/>
      <c r="CK388" s="935"/>
      <c r="CL388" s="935"/>
      <c r="CM388" s="935"/>
      <c r="CN388" s="935"/>
      <c r="CO388" s="935"/>
      <c r="CP388" s="935"/>
      <c r="CQ388" s="935"/>
      <c r="CR388" s="935"/>
      <c r="CS388" s="935"/>
      <c r="CT388" s="935"/>
      <c r="CU388" s="935"/>
      <c r="CV388" s="935"/>
    </row>
    <row r="389" spans="1:100" s="441" customFormat="1">
      <c r="A389" s="375">
        <f t="shared" ref="A389:A452" si="126">MONTH(B389)</f>
        <v>9</v>
      </c>
      <c r="B389" s="862">
        <v>44442</v>
      </c>
      <c r="C389" s="493" t="s">
        <v>2001</v>
      </c>
      <c r="D389" s="376" t="str">
        <f>IFERROR(VLOOKUP(E:E,'Item Data Support Sheet'!A:O,7,0),"")</f>
        <v>HOOD MOLDED</v>
      </c>
      <c r="E389" s="447" t="s">
        <v>1987</v>
      </c>
      <c r="F389" s="500"/>
      <c r="G389" s="497" t="s">
        <v>2729</v>
      </c>
      <c r="H389" s="602" t="str">
        <f>IFERROR(VLOOKUP(E:E,'Item Data Support Sheet'!A:O,2,0),"")</f>
        <v>HOOD S TYPE MOLDED</v>
      </c>
      <c r="I389" s="501" t="s">
        <v>2885</v>
      </c>
      <c r="J389" s="501" t="s">
        <v>2808</v>
      </c>
      <c r="K389" s="438">
        <v>8</v>
      </c>
      <c r="L389" s="499">
        <v>4137</v>
      </c>
      <c r="M389" s="366">
        <f t="shared" si="124"/>
        <v>517.125</v>
      </c>
      <c r="N389" s="367">
        <f t="shared" si="125"/>
        <v>5322</v>
      </c>
      <c r="O389" s="61">
        <v>5300</v>
      </c>
      <c r="P389" s="368">
        <v>0</v>
      </c>
      <c r="Q389" s="368">
        <v>0</v>
      </c>
      <c r="R389" s="494">
        <v>0</v>
      </c>
      <c r="S389" s="493">
        <v>0</v>
      </c>
      <c r="T389" s="494">
        <v>22</v>
      </c>
      <c r="U389" s="493">
        <v>0</v>
      </c>
      <c r="V389" s="502">
        <v>1</v>
      </c>
      <c r="W389" s="453">
        <f t="shared" ref="W389:W452" si="127">IFERROR(O389/V389,0)</f>
        <v>5300</v>
      </c>
      <c r="X389" s="748">
        <f t="shared" ref="X389:X452" si="128">O389/L389</f>
        <v>1.2811215856901137</v>
      </c>
      <c r="Y389" s="451" t="str">
        <f>IFERROR(VLOOKUP(E:E,'Item Data Support Sheet'!A:J,6,0),0)</f>
        <v>HMC</v>
      </c>
      <c r="Z389" s="428">
        <f>IFERROR(VLOOKUP(E:E,'Item Data Support Sheet'!A:O,4,0),0)</f>
        <v>8.6</v>
      </c>
      <c r="AA389" s="428">
        <f t="shared" ref="AA389:AA452" si="129">IFERROR(((N389)*(Z389/1000))+P389,0)</f>
        <v>45.769199999999998</v>
      </c>
      <c r="AB389" s="429">
        <f t="shared" ref="AB389:AB452" si="130">IFERROR((O389*(Z389/1000)/(AA389))," ")</f>
        <v>0.9958662157083803</v>
      </c>
      <c r="AC389" s="424">
        <f t="shared" ref="AC389:AC452" si="131">IFERROR((T389)/((T389)+O389),0)</f>
        <v>4.1337842916196917E-3</v>
      </c>
      <c r="AD389" s="371">
        <f t="shared" ref="AD389:AD452" si="132">IFERROR(Q389/(Q389+N389),0)</f>
        <v>0</v>
      </c>
      <c r="AE389" s="748">
        <f t="shared" ref="AE389:AE452" si="133">(N389-T389)/N389</f>
        <v>0.9958662157083803</v>
      </c>
      <c r="AF389" s="417">
        <f t="shared" ref="AF389:AF452" si="134">BR389</f>
        <v>0</v>
      </c>
      <c r="AG389" s="416">
        <f t="shared" ref="AG389:AG452" si="135">K389-AF389</f>
        <v>8</v>
      </c>
      <c r="AH389" s="372">
        <f t="shared" ref="AH389:AH452" si="136">IFERROR(AG389/K389," ")</f>
        <v>1</v>
      </c>
      <c r="AI389" s="373">
        <f t="shared" ref="AI389:AI452" si="137">IFERROR(O389/K389,0)</f>
        <v>662.5</v>
      </c>
      <c r="AJ389" s="418">
        <f>VLOOKUP(D389,'Standard Cycle time'!C:D,2,0)</f>
        <v>6</v>
      </c>
      <c r="AK389" s="418">
        <f t="shared" ref="AK389:AK452" si="138">AG389*V389*3600/O389</f>
        <v>5.4339622641509431</v>
      </c>
      <c r="AL389" s="374">
        <f t="shared" ref="AL389:AL452" si="139">AJ389/AK389</f>
        <v>1.1041666666666667</v>
      </c>
      <c r="AM389" s="372">
        <f t="shared" ref="AM389:AM452" si="140">AE389*AL389*AH389</f>
        <v>1.0996022798446701</v>
      </c>
      <c r="AN389" s="799">
        <v>2959</v>
      </c>
      <c r="AO389" s="448"/>
      <c r="AP389" s="440">
        <v>0</v>
      </c>
      <c r="AQ389" s="440">
        <v>0</v>
      </c>
      <c r="AR389" s="440">
        <v>0</v>
      </c>
      <c r="AS389" s="440">
        <v>0</v>
      </c>
      <c r="AT389" s="440">
        <v>0</v>
      </c>
      <c r="AU389" s="440">
        <v>0</v>
      </c>
      <c r="AV389" s="440">
        <v>0</v>
      </c>
      <c r="AW389" s="440">
        <v>0</v>
      </c>
      <c r="AX389" s="440">
        <v>0</v>
      </c>
      <c r="AY389" s="440">
        <v>0</v>
      </c>
      <c r="AZ389" s="440">
        <v>0</v>
      </c>
      <c r="BA389" s="440">
        <v>0</v>
      </c>
      <c r="BB389" s="440">
        <v>0</v>
      </c>
      <c r="BC389" s="440">
        <v>0</v>
      </c>
      <c r="BD389" s="440">
        <v>0</v>
      </c>
      <c r="BE389" s="440">
        <v>0</v>
      </c>
      <c r="BF389" s="440">
        <v>0</v>
      </c>
      <c r="BG389" s="440">
        <v>0</v>
      </c>
      <c r="BH389" s="440">
        <v>0</v>
      </c>
      <c r="BI389" s="440">
        <v>0</v>
      </c>
      <c r="BJ389" s="440">
        <v>0</v>
      </c>
      <c r="BK389" s="440">
        <v>0</v>
      </c>
      <c r="BL389" s="440">
        <v>0</v>
      </c>
      <c r="BM389" s="440">
        <v>0</v>
      </c>
      <c r="BN389" s="440">
        <v>0</v>
      </c>
      <c r="BO389" s="440">
        <v>0</v>
      </c>
      <c r="BP389" s="440">
        <v>0</v>
      </c>
      <c r="BQ389" s="440">
        <v>0</v>
      </c>
      <c r="BR389" s="415">
        <v>0</v>
      </c>
      <c r="BS389" s="415">
        <v>0</v>
      </c>
      <c r="BT389" s="935"/>
      <c r="BU389" s="935"/>
      <c r="BV389" s="935"/>
      <c r="BW389" s="935"/>
      <c r="BX389" s="935"/>
      <c r="BY389" s="935"/>
      <c r="BZ389" s="935"/>
      <c r="CA389" s="935"/>
      <c r="CB389" s="935"/>
      <c r="CC389" s="935"/>
      <c r="CD389" s="935"/>
      <c r="CE389" s="935"/>
      <c r="CF389" s="935"/>
      <c r="CG389" s="935"/>
      <c r="CH389" s="935"/>
      <c r="CI389" s="935"/>
      <c r="CJ389" s="935"/>
      <c r="CK389" s="935"/>
      <c r="CL389" s="935"/>
      <c r="CM389" s="935"/>
      <c r="CN389" s="935"/>
      <c r="CO389" s="935"/>
      <c r="CP389" s="935"/>
      <c r="CQ389" s="935"/>
      <c r="CR389" s="935"/>
      <c r="CS389" s="935"/>
      <c r="CT389" s="935"/>
      <c r="CU389" s="935"/>
      <c r="CV389" s="935"/>
    </row>
    <row r="390" spans="1:100" s="441" customFormat="1">
      <c r="A390" s="375">
        <f t="shared" si="126"/>
        <v>9</v>
      </c>
      <c r="B390" s="862">
        <v>44442</v>
      </c>
      <c r="C390" s="493" t="s">
        <v>2001</v>
      </c>
      <c r="D390" s="376" t="str">
        <f>IFERROR(VLOOKUP(E:E,'Item Data Support Sheet'!A:O,7,0),"")</f>
        <v>NIPPLE LASER MARKING</v>
      </c>
      <c r="E390" s="447" t="s">
        <v>1816</v>
      </c>
      <c r="F390" s="500"/>
      <c r="G390" s="497" t="s">
        <v>1812</v>
      </c>
      <c r="H390" s="602" t="str">
        <f>IFERROR(VLOOKUP(E:E,'Item Data Support Sheet'!A:O,2,0),"")</f>
        <v>NIPPLE S TYPE L SIZE PUNCHED LASER MARKED</v>
      </c>
      <c r="I390" s="501" t="s">
        <v>2886</v>
      </c>
      <c r="J390" s="501" t="s">
        <v>2808</v>
      </c>
      <c r="K390" s="438">
        <v>7</v>
      </c>
      <c r="L390" s="499">
        <v>6036</v>
      </c>
      <c r="M390" s="366">
        <f t="shared" si="124"/>
        <v>862.28571428571433</v>
      </c>
      <c r="N390" s="367">
        <f t="shared" si="125"/>
        <v>6275</v>
      </c>
      <c r="O390" s="61">
        <v>6275</v>
      </c>
      <c r="P390" s="368">
        <v>0</v>
      </c>
      <c r="Q390" s="368">
        <v>0</v>
      </c>
      <c r="R390" s="494">
        <v>0</v>
      </c>
      <c r="S390" s="493">
        <v>0</v>
      </c>
      <c r="T390" s="494">
        <v>0</v>
      </c>
      <c r="U390" s="493">
        <v>0</v>
      </c>
      <c r="V390" s="502">
        <v>1</v>
      </c>
      <c r="W390" s="453">
        <f t="shared" si="127"/>
        <v>6275</v>
      </c>
      <c r="X390" s="748">
        <f t="shared" si="128"/>
        <v>1.0395957587806495</v>
      </c>
      <c r="Y390" s="451" t="str">
        <f>IFERROR(VLOOKUP(E:E,'Item Data Support Sheet'!A:J,6,0),0)</f>
        <v>FO021</v>
      </c>
      <c r="Z390" s="428">
        <f>IFERROR(VLOOKUP(E:E,'Item Data Support Sheet'!A:O,4,0),0)</f>
        <v>0</v>
      </c>
      <c r="AA390" s="428">
        <f t="shared" si="129"/>
        <v>0</v>
      </c>
      <c r="AB390" s="429" t="str">
        <f t="shared" si="130"/>
        <v xml:space="preserve"> </v>
      </c>
      <c r="AC390" s="424">
        <f t="shared" si="131"/>
        <v>0</v>
      </c>
      <c r="AD390" s="371">
        <f t="shared" si="132"/>
        <v>0</v>
      </c>
      <c r="AE390" s="748">
        <f t="shared" si="133"/>
        <v>1</v>
      </c>
      <c r="AF390" s="417">
        <f t="shared" si="134"/>
        <v>0</v>
      </c>
      <c r="AG390" s="416">
        <f t="shared" si="135"/>
        <v>7</v>
      </c>
      <c r="AH390" s="372">
        <f t="shared" si="136"/>
        <v>1</v>
      </c>
      <c r="AI390" s="373">
        <f t="shared" si="137"/>
        <v>896.42857142857144</v>
      </c>
      <c r="AJ390" s="418">
        <f>VLOOKUP(D390,'Standard Cycle time'!C:D,2,0)</f>
        <v>3.5</v>
      </c>
      <c r="AK390" s="418">
        <f t="shared" si="138"/>
        <v>4.0159362549800797</v>
      </c>
      <c r="AL390" s="374">
        <f t="shared" si="139"/>
        <v>0.87152777777777779</v>
      </c>
      <c r="AM390" s="372">
        <f t="shared" si="140"/>
        <v>0.87152777777777779</v>
      </c>
      <c r="AN390" s="799" t="s">
        <v>2887</v>
      </c>
      <c r="AO390" s="448"/>
      <c r="AP390" s="440">
        <v>0</v>
      </c>
      <c r="AQ390" s="440">
        <v>0</v>
      </c>
      <c r="AR390" s="440">
        <v>0</v>
      </c>
      <c r="AS390" s="440">
        <v>0</v>
      </c>
      <c r="AT390" s="440">
        <v>0</v>
      </c>
      <c r="AU390" s="440">
        <v>0</v>
      </c>
      <c r="AV390" s="440">
        <v>0</v>
      </c>
      <c r="AW390" s="440">
        <v>0</v>
      </c>
      <c r="AX390" s="440">
        <v>0</v>
      </c>
      <c r="AY390" s="440">
        <v>0</v>
      </c>
      <c r="AZ390" s="440">
        <v>0</v>
      </c>
      <c r="BA390" s="440">
        <v>0</v>
      </c>
      <c r="BB390" s="440">
        <v>0</v>
      </c>
      <c r="BC390" s="440">
        <v>0</v>
      </c>
      <c r="BD390" s="440">
        <v>0</v>
      </c>
      <c r="BE390" s="440">
        <v>0</v>
      </c>
      <c r="BF390" s="440">
        <v>0</v>
      </c>
      <c r="BG390" s="440">
        <v>0</v>
      </c>
      <c r="BH390" s="440">
        <v>0</v>
      </c>
      <c r="BI390" s="440">
        <v>0</v>
      </c>
      <c r="BJ390" s="440">
        <v>0</v>
      </c>
      <c r="BK390" s="440">
        <v>0</v>
      </c>
      <c r="BL390" s="440">
        <v>0</v>
      </c>
      <c r="BM390" s="440">
        <v>0</v>
      </c>
      <c r="BN390" s="440">
        <v>0</v>
      </c>
      <c r="BO390" s="440">
        <v>0</v>
      </c>
      <c r="BP390" s="440">
        <v>0</v>
      </c>
      <c r="BQ390" s="440">
        <v>0</v>
      </c>
      <c r="BR390" s="415">
        <v>0</v>
      </c>
      <c r="BS390" s="415">
        <v>0</v>
      </c>
      <c r="BT390" s="935"/>
      <c r="BU390" s="935"/>
      <c r="BV390" s="935"/>
      <c r="BW390" s="935"/>
      <c r="BX390" s="935"/>
      <c r="BY390" s="935"/>
      <c r="BZ390" s="935"/>
      <c r="CA390" s="935"/>
      <c r="CB390" s="935"/>
      <c r="CC390" s="935"/>
      <c r="CD390" s="935"/>
      <c r="CE390" s="935"/>
      <c r="CF390" s="935"/>
      <c r="CG390" s="935"/>
      <c r="CH390" s="935"/>
      <c r="CI390" s="935"/>
      <c r="CJ390" s="935"/>
      <c r="CK390" s="935"/>
      <c r="CL390" s="935"/>
      <c r="CM390" s="935"/>
      <c r="CN390" s="935"/>
      <c r="CO390" s="935"/>
      <c r="CP390" s="935"/>
      <c r="CQ390" s="935"/>
      <c r="CR390" s="935"/>
      <c r="CS390" s="935"/>
      <c r="CT390" s="935"/>
      <c r="CU390" s="935"/>
      <c r="CV390" s="935"/>
    </row>
    <row r="391" spans="1:100" s="441" customFormat="1">
      <c r="A391" s="375">
        <f t="shared" si="126"/>
        <v>9</v>
      </c>
      <c r="B391" s="862">
        <v>44442</v>
      </c>
      <c r="C391" s="493" t="s">
        <v>2001</v>
      </c>
      <c r="D391" s="376" t="str">
        <f>IFERROR(VLOOKUP(E:E,'Item Data Support Sheet'!A:O,7,0),"")</f>
        <v>NIPPLE LASER MARKING</v>
      </c>
      <c r="E391" s="447" t="s">
        <v>1817</v>
      </c>
      <c r="F391" s="500"/>
      <c r="G391" s="497" t="s">
        <v>1812</v>
      </c>
      <c r="H391" s="602" t="str">
        <f>IFERROR(VLOOKUP(E:E,'Item Data Support Sheet'!A:O,2,0),"")</f>
        <v>NIPPLE S TYPE Y SIZE PUNCHED LASER MARKED</v>
      </c>
      <c r="I391" s="501" t="s">
        <v>2888</v>
      </c>
      <c r="J391" s="501" t="s">
        <v>2808</v>
      </c>
      <c r="K391" s="438">
        <v>1</v>
      </c>
      <c r="L391" s="499">
        <v>1000</v>
      </c>
      <c r="M391" s="366">
        <f t="shared" si="124"/>
        <v>1000</v>
      </c>
      <c r="N391" s="367">
        <f t="shared" si="125"/>
        <v>1000</v>
      </c>
      <c r="O391" s="61">
        <v>1000</v>
      </c>
      <c r="P391" s="368">
        <v>0</v>
      </c>
      <c r="Q391" s="368">
        <v>0</v>
      </c>
      <c r="R391" s="494">
        <v>0</v>
      </c>
      <c r="S391" s="493">
        <v>0</v>
      </c>
      <c r="T391" s="494">
        <v>0</v>
      </c>
      <c r="U391" s="493">
        <v>0</v>
      </c>
      <c r="V391" s="502">
        <v>1</v>
      </c>
      <c r="W391" s="453">
        <f t="shared" si="127"/>
        <v>1000</v>
      </c>
      <c r="X391" s="748">
        <f t="shared" si="128"/>
        <v>1</v>
      </c>
      <c r="Y391" s="451" t="str">
        <f>IFERROR(VLOOKUP(E:E,'Item Data Support Sheet'!A:J,6,0),0)</f>
        <v>FO022</v>
      </c>
      <c r="Z391" s="428">
        <f>IFERROR(VLOOKUP(E:E,'Item Data Support Sheet'!A:O,4,0),0)</f>
        <v>0</v>
      </c>
      <c r="AA391" s="428">
        <f t="shared" si="129"/>
        <v>0</v>
      </c>
      <c r="AB391" s="429" t="str">
        <f t="shared" si="130"/>
        <v xml:space="preserve"> </v>
      </c>
      <c r="AC391" s="424">
        <f t="shared" si="131"/>
        <v>0</v>
      </c>
      <c r="AD391" s="371">
        <f t="shared" si="132"/>
        <v>0</v>
      </c>
      <c r="AE391" s="748">
        <f t="shared" si="133"/>
        <v>1</v>
      </c>
      <c r="AF391" s="417">
        <f t="shared" si="134"/>
        <v>0</v>
      </c>
      <c r="AG391" s="416">
        <f t="shared" si="135"/>
        <v>1</v>
      </c>
      <c r="AH391" s="372">
        <f t="shared" si="136"/>
        <v>1</v>
      </c>
      <c r="AI391" s="373">
        <f t="shared" si="137"/>
        <v>1000</v>
      </c>
      <c r="AJ391" s="418">
        <f>VLOOKUP(D391,'Standard Cycle time'!C:D,2,0)</f>
        <v>3.5</v>
      </c>
      <c r="AK391" s="418">
        <f t="shared" si="138"/>
        <v>3.6</v>
      </c>
      <c r="AL391" s="374">
        <f t="shared" si="139"/>
        <v>0.97222222222222221</v>
      </c>
      <c r="AM391" s="372">
        <f t="shared" si="140"/>
        <v>0.97222222222222221</v>
      </c>
      <c r="AN391" s="799">
        <v>2958</v>
      </c>
      <c r="AO391" s="448"/>
      <c r="AP391" s="440">
        <v>0</v>
      </c>
      <c r="AQ391" s="440">
        <v>0</v>
      </c>
      <c r="AR391" s="440">
        <v>0</v>
      </c>
      <c r="AS391" s="440">
        <v>0</v>
      </c>
      <c r="AT391" s="440">
        <v>0</v>
      </c>
      <c r="AU391" s="440">
        <v>0</v>
      </c>
      <c r="AV391" s="440">
        <v>0</v>
      </c>
      <c r="AW391" s="440">
        <v>0</v>
      </c>
      <c r="AX391" s="440">
        <v>0</v>
      </c>
      <c r="AY391" s="440">
        <v>0</v>
      </c>
      <c r="AZ391" s="440">
        <v>0</v>
      </c>
      <c r="BA391" s="440">
        <v>0</v>
      </c>
      <c r="BB391" s="440">
        <v>0</v>
      </c>
      <c r="BC391" s="440">
        <v>0</v>
      </c>
      <c r="BD391" s="440">
        <v>0</v>
      </c>
      <c r="BE391" s="440">
        <v>0</v>
      </c>
      <c r="BF391" s="440">
        <v>0</v>
      </c>
      <c r="BG391" s="440">
        <v>0</v>
      </c>
      <c r="BH391" s="440">
        <v>0</v>
      </c>
      <c r="BI391" s="440">
        <v>0</v>
      </c>
      <c r="BJ391" s="440">
        <v>0</v>
      </c>
      <c r="BK391" s="440">
        <v>0</v>
      </c>
      <c r="BL391" s="440">
        <v>0</v>
      </c>
      <c r="BM391" s="440">
        <v>0</v>
      </c>
      <c r="BN391" s="440">
        <v>0</v>
      </c>
      <c r="BO391" s="440">
        <v>0</v>
      </c>
      <c r="BP391" s="440">
        <v>0</v>
      </c>
      <c r="BQ391" s="440">
        <v>0</v>
      </c>
      <c r="BR391" s="415">
        <v>0</v>
      </c>
      <c r="BS391" s="415">
        <v>0</v>
      </c>
      <c r="BT391" s="935"/>
      <c r="BU391" s="935"/>
      <c r="BV391" s="935"/>
      <c r="BW391" s="935"/>
      <c r="BX391" s="935"/>
      <c r="BY391" s="935"/>
      <c r="BZ391" s="935"/>
      <c r="CA391" s="935"/>
      <c r="CB391" s="935"/>
      <c r="CC391" s="935"/>
      <c r="CD391" s="935"/>
      <c r="CE391" s="935"/>
      <c r="CF391" s="935"/>
      <c r="CG391" s="935"/>
      <c r="CH391" s="935"/>
      <c r="CI391" s="935"/>
      <c r="CJ391" s="935"/>
      <c r="CK391" s="935"/>
      <c r="CL391" s="935"/>
      <c r="CM391" s="935"/>
      <c r="CN391" s="935"/>
      <c r="CO391" s="935"/>
      <c r="CP391" s="935"/>
      <c r="CQ391" s="935"/>
      <c r="CR391" s="935"/>
      <c r="CS391" s="935"/>
      <c r="CT391" s="935"/>
      <c r="CU391" s="935"/>
      <c r="CV391" s="935"/>
    </row>
    <row r="392" spans="1:100" s="441" customFormat="1">
      <c r="A392" s="375">
        <f t="shared" si="126"/>
        <v>9</v>
      </c>
      <c r="B392" s="862">
        <v>44442</v>
      </c>
      <c r="C392" s="493" t="s">
        <v>2053</v>
      </c>
      <c r="D392" s="376" t="str">
        <f>IFERROR(VLOOKUP(E:E,'Item Data Support Sheet'!A:O,7,0),"")</f>
        <v>BOTTLE MOLDED</v>
      </c>
      <c r="E392" s="447" t="s">
        <v>140</v>
      </c>
      <c r="F392" s="500" t="s">
        <v>1664</v>
      </c>
      <c r="G392" s="497" t="s">
        <v>1888</v>
      </c>
      <c r="H392" s="602" t="str">
        <f>IFERROR(VLOOKUP(E:E,'Item Data Support Sheet'!A:O,2,0),"")</f>
        <v>RPP 240ML BLUE BOTTLE MOLDED (WM3GB)</v>
      </c>
      <c r="I392" s="501" t="s">
        <v>2889</v>
      </c>
      <c r="J392" s="501" t="s">
        <v>2826</v>
      </c>
      <c r="K392" s="438">
        <v>8</v>
      </c>
      <c r="L392" s="499">
        <v>2503</v>
      </c>
      <c r="M392" s="366">
        <f t="shared" si="124"/>
        <v>312.875</v>
      </c>
      <c r="N392" s="367">
        <f t="shared" si="125"/>
        <v>3143</v>
      </c>
      <c r="O392" s="61">
        <v>3000</v>
      </c>
      <c r="P392" s="368">
        <v>0.12</v>
      </c>
      <c r="Q392" s="368">
        <v>71</v>
      </c>
      <c r="R392" s="494">
        <v>0</v>
      </c>
      <c r="S392" s="493">
        <v>0</v>
      </c>
      <c r="T392" s="494">
        <v>64</v>
      </c>
      <c r="U392" s="493">
        <v>8</v>
      </c>
      <c r="V392" s="502">
        <v>1</v>
      </c>
      <c r="W392" s="453">
        <f t="shared" si="127"/>
        <v>3000</v>
      </c>
      <c r="X392" s="748">
        <f t="shared" si="128"/>
        <v>1.1985617259288854</v>
      </c>
      <c r="Y392" s="451" t="str">
        <f>IFERROR(VLOOKUP(E:E,'Item Data Support Sheet'!A:J,6,0),0)</f>
        <v>WMG3B</v>
      </c>
      <c r="Z392" s="428">
        <f>IFERROR(VLOOKUP(E:E,'Item Data Support Sheet'!A:O,4,0),0)</f>
        <v>33.130000000000003</v>
      </c>
      <c r="AA392" s="428">
        <f t="shared" si="129"/>
        <v>104.24759</v>
      </c>
      <c r="AB392" s="429">
        <f t="shared" si="130"/>
        <v>0.9534033352713478</v>
      </c>
      <c r="AC392" s="424">
        <f t="shared" si="131"/>
        <v>2.0887728459530026E-2</v>
      </c>
      <c r="AD392" s="371">
        <f t="shared" si="132"/>
        <v>2.2090852520224021E-2</v>
      </c>
      <c r="AE392" s="748">
        <f t="shared" si="133"/>
        <v>0.97963728921412663</v>
      </c>
      <c r="AF392" s="417">
        <f t="shared" si="134"/>
        <v>0</v>
      </c>
      <c r="AG392" s="416">
        <f t="shared" si="135"/>
        <v>8</v>
      </c>
      <c r="AH392" s="372">
        <f t="shared" si="136"/>
        <v>1</v>
      </c>
      <c r="AI392" s="373">
        <f t="shared" si="137"/>
        <v>375</v>
      </c>
      <c r="AJ392" s="418">
        <f>VLOOKUP(D392,'Standard Cycle time'!C:D,2,0)</f>
        <v>9</v>
      </c>
      <c r="AK392" s="418">
        <f t="shared" si="138"/>
        <v>9.6</v>
      </c>
      <c r="AL392" s="374">
        <f t="shared" si="139"/>
        <v>0.9375</v>
      </c>
      <c r="AM392" s="372">
        <f t="shared" si="140"/>
        <v>0.91840995863824371</v>
      </c>
      <c r="AN392" s="799" t="s">
        <v>2890</v>
      </c>
      <c r="AO392" s="448"/>
      <c r="AP392" s="440">
        <v>0</v>
      </c>
      <c r="AQ392" s="440">
        <v>0</v>
      </c>
      <c r="AR392" s="440">
        <v>0</v>
      </c>
      <c r="AS392" s="440">
        <v>0</v>
      </c>
      <c r="AT392" s="440">
        <v>0</v>
      </c>
      <c r="AU392" s="440">
        <v>0</v>
      </c>
      <c r="AV392" s="440">
        <v>0</v>
      </c>
      <c r="AW392" s="440">
        <v>0</v>
      </c>
      <c r="AX392" s="440">
        <v>0</v>
      </c>
      <c r="AY392" s="440">
        <v>0</v>
      </c>
      <c r="AZ392" s="440">
        <v>0</v>
      </c>
      <c r="BA392" s="440">
        <v>0</v>
      </c>
      <c r="BB392" s="440">
        <v>0</v>
      </c>
      <c r="BC392" s="440">
        <v>0</v>
      </c>
      <c r="BD392" s="440">
        <v>0</v>
      </c>
      <c r="BE392" s="440">
        <v>0</v>
      </c>
      <c r="BF392" s="440">
        <v>0</v>
      </c>
      <c r="BG392" s="440">
        <v>0</v>
      </c>
      <c r="BH392" s="440">
        <v>0</v>
      </c>
      <c r="BI392" s="440">
        <v>0</v>
      </c>
      <c r="BJ392" s="440">
        <v>0</v>
      </c>
      <c r="BK392" s="440">
        <v>0</v>
      </c>
      <c r="BL392" s="440">
        <v>0</v>
      </c>
      <c r="BM392" s="440">
        <v>0</v>
      </c>
      <c r="BN392" s="440">
        <v>0</v>
      </c>
      <c r="BO392" s="440">
        <v>0</v>
      </c>
      <c r="BP392" s="440">
        <v>0</v>
      </c>
      <c r="BQ392" s="440">
        <v>0</v>
      </c>
      <c r="BR392" s="415">
        <v>0</v>
      </c>
      <c r="BS392" s="415">
        <v>0</v>
      </c>
      <c r="BT392" s="935"/>
      <c r="BU392" s="935"/>
      <c r="BV392" s="935"/>
      <c r="BW392" s="935"/>
      <c r="BX392" s="935"/>
      <c r="BY392" s="935"/>
      <c r="BZ392" s="935"/>
      <c r="CA392" s="935"/>
      <c r="CB392" s="935"/>
      <c r="CC392" s="935"/>
      <c r="CD392" s="935"/>
      <c r="CE392" s="935"/>
      <c r="CF392" s="935"/>
      <c r="CG392" s="935"/>
      <c r="CH392" s="935"/>
      <c r="CI392" s="935"/>
      <c r="CJ392" s="935"/>
      <c r="CK392" s="935"/>
      <c r="CL392" s="935"/>
      <c r="CM392" s="935"/>
      <c r="CN392" s="935"/>
      <c r="CO392" s="935"/>
      <c r="CP392" s="935"/>
      <c r="CQ392" s="935"/>
      <c r="CR392" s="935"/>
      <c r="CS392" s="935"/>
      <c r="CT392" s="935"/>
      <c r="CU392" s="935"/>
      <c r="CV392" s="935"/>
    </row>
    <row r="393" spans="1:100" s="441" customFormat="1">
      <c r="A393" s="375">
        <f t="shared" si="126"/>
        <v>9</v>
      </c>
      <c r="B393" s="862">
        <v>44442</v>
      </c>
      <c r="C393" s="493" t="s">
        <v>2053</v>
      </c>
      <c r="D393" s="376" t="str">
        <f>IFERROR(VLOOKUP(E:E,'Item Data Support Sheet'!A:O,7,0),"")</f>
        <v>HOOD MOLDED</v>
      </c>
      <c r="E393" s="447" t="s">
        <v>1987</v>
      </c>
      <c r="F393" s="500"/>
      <c r="G393" s="497" t="s">
        <v>2729</v>
      </c>
      <c r="H393" s="602" t="str">
        <f>IFERROR(VLOOKUP(E:E,'Item Data Support Sheet'!A:O,2,0),"")</f>
        <v>HOOD S TYPE MOLDED</v>
      </c>
      <c r="I393" s="501" t="s">
        <v>2891</v>
      </c>
      <c r="J393" s="501" t="s">
        <v>2826</v>
      </c>
      <c r="K393" s="438">
        <v>8</v>
      </c>
      <c r="L393" s="499">
        <v>4137</v>
      </c>
      <c r="M393" s="366">
        <f t="shared" si="124"/>
        <v>517.125</v>
      </c>
      <c r="N393" s="367">
        <f t="shared" si="125"/>
        <v>5512</v>
      </c>
      <c r="O393" s="61">
        <v>5500</v>
      </c>
      <c r="P393" s="368">
        <v>0</v>
      </c>
      <c r="Q393" s="368">
        <v>0</v>
      </c>
      <c r="R393" s="494">
        <v>0</v>
      </c>
      <c r="S393" s="493">
        <v>0</v>
      </c>
      <c r="T393" s="494">
        <v>4</v>
      </c>
      <c r="U393" s="493">
        <v>8</v>
      </c>
      <c r="V393" s="502">
        <v>1</v>
      </c>
      <c r="W393" s="453">
        <f t="shared" si="127"/>
        <v>5500</v>
      </c>
      <c r="X393" s="748">
        <f t="shared" si="128"/>
        <v>1.3294657964708727</v>
      </c>
      <c r="Y393" s="451" t="str">
        <f>IFERROR(VLOOKUP(E:E,'Item Data Support Sheet'!A:J,6,0),0)</f>
        <v>HMC</v>
      </c>
      <c r="Z393" s="428">
        <f>IFERROR(VLOOKUP(E:E,'Item Data Support Sheet'!A:O,4,0),0)</f>
        <v>8.6</v>
      </c>
      <c r="AA393" s="428">
        <f t="shared" si="129"/>
        <v>47.403199999999998</v>
      </c>
      <c r="AB393" s="429">
        <f t="shared" si="130"/>
        <v>0.99782293178519588</v>
      </c>
      <c r="AC393" s="424">
        <f t="shared" si="131"/>
        <v>7.2674418604651162E-4</v>
      </c>
      <c r="AD393" s="371">
        <f t="shared" si="132"/>
        <v>0</v>
      </c>
      <c r="AE393" s="748">
        <f t="shared" si="133"/>
        <v>0.99927431059506533</v>
      </c>
      <c r="AF393" s="417">
        <f t="shared" si="134"/>
        <v>0</v>
      </c>
      <c r="AG393" s="416">
        <f t="shared" si="135"/>
        <v>8</v>
      </c>
      <c r="AH393" s="372">
        <f t="shared" si="136"/>
        <v>1</v>
      </c>
      <c r="AI393" s="373">
        <f t="shared" si="137"/>
        <v>687.5</v>
      </c>
      <c r="AJ393" s="418">
        <f>VLOOKUP(D393,'Standard Cycle time'!C:D,2,0)</f>
        <v>6</v>
      </c>
      <c r="AK393" s="418">
        <f t="shared" si="138"/>
        <v>5.2363636363636363</v>
      </c>
      <c r="AL393" s="374">
        <f t="shared" si="139"/>
        <v>1.1458333333333333</v>
      </c>
      <c r="AM393" s="372">
        <f t="shared" si="140"/>
        <v>1.1450018142235123</v>
      </c>
      <c r="AN393" s="799">
        <v>2964</v>
      </c>
      <c r="AO393" s="448"/>
      <c r="AP393" s="440">
        <v>0</v>
      </c>
      <c r="AQ393" s="440">
        <v>0</v>
      </c>
      <c r="AR393" s="440">
        <v>0</v>
      </c>
      <c r="AS393" s="440">
        <v>0</v>
      </c>
      <c r="AT393" s="440">
        <v>0</v>
      </c>
      <c r="AU393" s="440">
        <v>0</v>
      </c>
      <c r="AV393" s="440">
        <v>0</v>
      </c>
      <c r="AW393" s="440">
        <v>0</v>
      </c>
      <c r="AX393" s="440">
        <v>0</v>
      </c>
      <c r="AY393" s="440">
        <v>0</v>
      </c>
      <c r="AZ393" s="440">
        <v>0</v>
      </c>
      <c r="BA393" s="440">
        <v>0</v>
      </c>
      <c r="BB393" s="440">
        <v>0</v>
      </c>
      <c r="BC393" s="440">
        <v>0</v>
      </c>
      <c r="BD393" s="440">
        <v>0</v>
      </c>
      <c r="BE393" s="440">
        <v>0</v>
      </c>
      <c r="BF393" s="440">
        <v>0</v>
      </c>
      <c r="BG393" s="440">
        <v>0</v>
      </c>
      <c r="BH393" s="440">
        <v>0</v>
      </c>
      <c r="BI393" s="440">
        <v>0</v>
      </c>
      <c r="BJ393" s="440">
        <v>0</v>
      </c>
      <c r="BK393" s="440">
        <v>0</v>
      </c>
      <c r="BL393" s="440">
        <v>0</v>
      </c>
      <c r="BM393" s="440">
        <v>0</v>
      </c>
      <c r="BN393" s="440">
        <v>0</v>
      </c>
      <c r="BO393" s="440">
        <v>0</v>
      </c>
      <c r="BP393" s="440">
        <v>0</v>
      </c>
      <c r="BQ393" s="440">
        <v>0</v>
      </c>
      <c r="BR393" s="415">
        <v>0</v>
      </c>
      <c r="BS393" s="415">
        <v>0</v>
      </c>
      <c r="BT393" s="935"/>
      <c r="BU393" s="935"/>
      <c r="BV393" s="935"/>
      <c r="BW393" s="935"/>
      <c r="BX393" s="935"/>
      <c r="BY393" s="935"/>
      <c r="BZ393" s="935"/>
      <c r="CA393" s="935"/>
      <c r="CB393" s="935"/>
      <c r="CC393" s="935"/>
      <c r="CD393" s="935"/>
      <c r="CE393" s="935"/>
      <c r="CF393" s="935"/>
      <c r="CG393" s="935"/>
      <c r="CH393" s="935"/>
      <c r="CI393" s="935"/>
      <c r="CJ393" s="935"/>
      <c r="CK393" s="935"/>
      <c r="CL393" s="935"/>
      <c r="CM393" s="935"/>
      <c r="CN393" s="935"/>
      <c r="CO393" s="935"/>
      <c r="CP393" s="935"/>
      <c r="CQ393" s="935"/>
      <c r="CR393" s="935"/>
      <c r="CS393" s="935"/>
      <c r="CT393" s="935"/>
      <c r="CU393" s="935"/>
      <c r="CV393" s="935"/>
    </row>
    <row r="394" spans="1:100" s="441" customFormat="1">
      <c r="A394" s="375">
        <f t="shared" si="126"/>
        <v>9</v>
      </c>
      <c r="B394" s="862">
        <v>44442</v>
      </c>
      <c r="C394" s="493" t="s">
        <v>2053</v>
      </c>
      <c r="D394" s="376" t="str">
        <f>IFERROR(VLOOKUP(E:E,'Item Data Support Sheet'!A:O,7,0),"")</f>
        <v>NIPPLE MOLDED</v>
      </c>
      <c r="E394" s="447" t="s">
        <v>73</v>
      </c>
      <c r="F394" s="500" t="s">
        <v>1678</v>
      </c>
      <c r="G394" s="497" t="s">
        <v>1690</v>
      </c>
      <c r="H394" s="602" t="str">
        <f>IFERROR(VLOOKUP(E:E,'Item Data Support Sheet'!A:O,2,0),"")</f>
        <v>NIPPLE S TYPE M SIZE INJECTION</v>
      </c>
      <c r="I394" s="501" t="s">
        <v>2892</v>
      </c>
      <c r="J394" s="501" t="s">
        <v>2826</v>
      </c>
      <c r="K394" s="438">
        <v>8</v>
      </c>
      <c r="L394" s="499">
        <v>4815</v>
      </c>
      <c r="M394" s="366">
        <f t="shared" si="124"/>
        <v>601.875</v>
      </c>
      <c r="N394" s="367">
        <f t="shared" si="125"/>
        <v>5122</v>
      </c>
      <c r="O394" s="61">
        <v>5000</v>
      </c>
      <c r="P394" s="368">
        <v>0</v>
      </c>
      <c r="Q394" s="368">
        <v>48</v>
      </c>
      <c r="R394" s="494">
        <v>0</v>
      </c>
      <c r="S394" s="493">
        <v>0</v>
      </c>
      <c r="T394" s="494">
        <v>66</v>
      </c>
      <c r="U394" s="493">
        <v>8</v>
      </c>
      <c r="V394" s="502">
        <v>1</v>
      </c>
      <c r="W394" s="453">
        <f t="shared" si="127"/>
        <v>5000</v>
      </c>
      <c r="X394" s="748">
        <f t="shared" si="128"/>
        <v>1.0384215991692627</v>
      </c>
      <c r="Y394" s="451" t="str">
        <f>IFERROR(VLOOKUP(E:E,'Item Data Support Sheet'!A:J,6,0),0)</f>
        <v>Silicon</v>
      </c>
      <c r="Z394" s="428">
        <f>IFERROR(VLOOKUP(E:E,'Item Data Support Sheet'!A:O,4,0),0)</f>
        <v>6.8</v>
      </c>
      <c r="AA394" s="428">
        <f t="shared" si="129"/>
        <v>34.829599999999999</v>
      </c>
      <c r="AB394" s="429">
        <f t="shared" si="130"/>
        <v>0.97618117922686454</v>
      </c>
      <c r="AC394" s="424">
        <f t="shared" si="131"/>
        <v>1.3028030003947888E-2</v>
      </c>
      <c r="AD394" s="371">
        <f t="shared" si="132"/>
        <v>9.2843326885880071E-3</v>
      </c>
      <c r="AE394" s="748">
        <f t="shared" si="133"/>
        <v>0.98711440843420539</v>
      </c>
      <c r="AF394" s="417">
        <f t="shared" si="134"/>
        <v>0</v>
      </c>
      <c r="AG394" s="416">
        <f t="shared" si="135"/>
        <v>8</v>
      </c>
      <c r="AH394" s="372">
        <f t="shared" si="136"/>
        <v>1</v>
      </c>
      <c r="AI394" s="373">
        <f t="shared" si="137"/>
        <v>625</v>
      </c>
      <c r="AJ394" s="418">
        <f>VLOOKUP(D394,'Standard Cycle time'!C:D,2,0)</f>
        <v>5.25</v>
      </c>
      <c r="AK394" s="418">
        <f t="shared" si="138"/>
        <v>5.76</v>
      </c>
      <c r="AL394" s="374">
        <f t="shared" si="139"/>
        <v>0.91145833333333337</v>
      </c>
      <c r="AM394" s="372">
        <f t="shared" si="140"/>
        <v>0.89971365352076016</v>
      </c>
      <c r="AN394" s="799">
        <v>2965</v>
      </c>
      <c r="AO394" s="448" t="s">
        <v>2822</v>
      </c>
      <c r="AP394" s="440">
        <v>0</v>
      </c>
      <c r="AQ394" s="440">
        <v>0</v>
      </c>
      <c r="AR394" s="440">
        <v>0</v>
      </c>
      <c r="AS394" s="440">
        <v>0</v>
      </c>
      <c r="AT394" s="440">
        <v>0</v>
      </c>
      <c r="AU394" s="440">
        <v>0</v>
      </c>
      <c r="AV394" s="440">
        <v>0</v>
      </c>
      <c r="AW394" s="440">
        <v>0</v>
      </c>
      <c r="AX394" s="440">
        <v>0</v>
      </c>
      <c r="AY394" s="440">
        <v>0</v>
      </c>
      <c r="AZ394" s="440">
        <v>0</v>
      </c>
      <c r="BA394" s="440">
        <v>0</v>
      </c>
      <c r="BB394" s="440">
        <v>0</v>
      </c>
      <c r="BC394" s="440">
        <v>0</v>
      </c>
      <c r="BD394" s="440">
        <v>0</v>
      </c>
      <c r="BE394" s="440">
        <v>0</v>
      </c>
      <c r="BF394" s="440">
        <v>0</v>
      </c>
      <c r="BG394" s="440">
        <v>0</v>
      </c>
      <c r="BH394" s="440">
        <v>0</v>
      </c>
      <c r="BI394" s="440">
        <v>0</v>
      </c>
      <c r="BJ394" s="440">
        <v>0</v>
      </c>
      <c r="BK394" s="440">
        <v>0</v>
      </c>
      <c r="BL394" s="440">
        <v>0</v>
      </c>
      <c r="BM394" s="440">
        <v>0</v>
      </c>
      <c r="BN394" s="440">
        <v>0</v>
      </c>
      <c r="BO394" s="440">
        <v>0</v>
      </c>
      <c r="BP394" s="440">
        <v>0</v>
      </c>
      <c r="BQ394" s="440">
        <v>0</v>
      </c>
      <c r="BR394" s="415">
        <v>0</v>
      </c>
      <c r="BS394" s="415">
        <v>0</v>
      </c>
      <c r="BT394" s="935"/>
      <c r="BU394" s="935"/>
      <c r="BV394" s="935"/>
      <c r="BW394" s="935"/>
      <c r="BX394" s="935"/>
      <c r="BY394" s="935"/>
      <c r="BZ394" s="935"/>
      <c r="CA394" s="935"/>
      <c r="CB394" s="935"/>
      <c r="CC394" s="935"/>
      <c r="CD394" s="935"/>
      <c r="CE394" s="935"/>
      <c r="CF394" s="935"/>
      <c r="CG394" s="935"/>
      <c r="CH394" s="935"/>
      <c r="CI394" s="935"/>
      <c r="CJ394" s="935"/>
      <c r="CK394" s="935"/>
      <c r="CL394" s="935"/>
      <c r="CM394" s="935"/>
      <c r="CN394" s="935"/>
      <c r="CO394" s="935"/>
      <c r="CP394" s="935"/>
      <c r="CQ394" s="935"/>
      <c r="CR394" s="935"/>
      <c r="CS394" s="935"/>
      <c r="CT394" s="935"/>
      <c r="CU394" s="935"/>
      <c r="CV394" s="935"/>
    </row>
    <row r="395" spans="1:100" s="441" customFormat="1">
      <c r="A395" s="375">
        <f t="shared" si="126"/>
        <v>9</v>
      </c>
      <c r="B395" s="862">
        <v>44443</v>
      </c>
      <c r="C395" s="493" t="s">
        <v>1980</v>
      </c>
      <c r="D395" s="376" t="str">
        <f>IFERROR(VLOOKUP(E:E,'Item Data Support Sheet'!A:O,7,0),"")</f>
        <v>BOTTLE MOLDED</v>
      </c>
      <c r="E395" s="447" t="s">
        <v>140</v>
      </c>
      <c r="F395" s="500" t="s">
        <v>1664</v>
      </c>
      <c r="G395" s="497" t="s">
        <v>1888</v>
      </c>
      <c r="H395" s="602" t="str">
        <f>IFERROR(VLOOKUP(E:E,'Item Data Support Sheet'!A:O,2,0),"")</f>
        <v>RPP 240ML BLUE BOTTLE MOLDED (WM3GB)</v>
      </c>
      <c r="I395" s="501" t="s">
        <v>2893</v>
      </c>
      <c r="J395" s="501" t="s">
        <v>2809</v>
      </c>
      <c r="K395" s="438">
        <v>2</v>
      </c>
      <c r="L395" s="499">
        <v>626</v>
      </c>
      <c r="M395" s="366">
        <f t="shared" si="124"/>
        <v>313</v>
      </c>
      <c r="N395" s="367">
        <f t="shared" si="125"/>
        <v>628</v>
      </c>
      <c r="O395" s="61">
        <v>600</v>
      </c>
      <c r="P395" s="368">
        <v>0.1</v>
      </c>
      <c r="Q395" s="368">
        <v>14</v>
      </c>
      <c r="R395" s="494">
        <v>0</v>
      </c>
      <c r="S395" s="493">
        <v>0</v>
      </c>
      <c r="T395" s="494">
        <v>6</v>
      </c>
      <c r="U395" s="493">
        <v>8</v>
      </c>
      <c r="V395" s="502">
        <v>1</v>
      </c>
      <c r="W395" s="453">
        <f t="shared" si="127"/>
        <v>600</v>
      </c>
      <c r="X395" s="748">
        <f t="shared" si="128"/>
        <v>0.95846645367412142</v>
      </c>
      <c r="Y395" s="451" t="str">
        <f>IFERROR(VLOOKUP(E:E,'Item Data Support Sheet'!A:J,6,0),0)</f>
        <v>WMG3B</v>
      </c>
      <c r="Z395" s="428">
        <f>IFERROR(VLOOKUP(E:E,'Item Data Support Sheet'!A:O,4,0),0)</f>
        <v>33.130000000000003</v>
      </c>
      <c r="AA395" s="428">
        <f t="shared" si="129"/>
        <v>20.905640000000002</v>
      </c>
      <c r="AB395" s="429">
        <f t="shared" si="130"/>
        <v>0.9508438871041498</v>
      </c>
      <c r="AC395" s="424">
        <f t="shared" si="131"/>
        <v>9.9009900990099011E-3</v>
      </c>
      <c r="AD395" s="371">
        <f t="shared" si="132"/>
        <v>2.1806853582554516E-2</v>
      </c>
      <c r="AE395" s="748">
        <f t="shared" si="133"/>
        <v>0.99044585987261147</v>
      </c>
      <c r="AF395" s="417">
        <f t="shared" si="134"/>
        <v>0.66666666666666663</v>
      </c>
      <c r="AG395" s="416">
        <f t="shared" si="135"/>
        <v>1.3333333333333335</v>
      </c>
      <c r="AH395" s="372">
        <f t="shared" si="136"/>
        <v>0.66666666666666674</v>
      </c>
      <c r="AI395" s="373">
        <f t="shared" si="137"/>
        <v>300</v>
      </c>
      <c r="AJ395" s="418">
        <f>VLOOKUP(D395,'Standard Cycle time'!C:D,2,0)</f>
        <v>9</v>
      </c>
      <c r="AK395" s="418">
        <f t="shared" si="138"/>
        <v>8.0000000000000018</v>
      </c>
      <c r="AL395" s="374">
        <f t="shared" si="139"/>
        <v>1.1249999999999998</v>
      </c>
      <c r="AM395" s="372">
        <f t="shared" si="140"/>
        <v>0.74283439490445846</v>
      </c>
      <c r="AN395" s="799">
        <v>2968</v>
      </c>
      <c r="AO395" s="448" t="s">
        <v>2894</v>
      </c>
      <c r="AP395" s="440">
        <v>40</v>
      </c>
      <c r="AQ395" s="440">
        <v>0</v>
      </c>
      <c r="AR395" s="440">
        <v>0</v>
      </c>
      <c r="AS395" s="440">
        <v>0</v>
      </c>
      <c r="AT395" s="440">
        <v>0</v>
      </c>
      <c r="AU395" s="440">
        <v>0</v>
      </c>
      <c r="AV395" s="440">
        <v>0</v>
      </c>
      <c r="AW395" s="440">
        <v>0</v>
      </c>
      <c r="AX395" s="440">
        <v>0</v>
      </c>
      <c r="AY395" s="440">
        <v>0</v>
      </c>
      <c r="AZ395" s="440">
        <v>0</v>
      </c>
      <c r="BA395" s="440">
        <v>0</v>
      </c>
      <c r="BB395" s="440">
        <v>0</v>
      </c>
      <c r="BC395" s="440">
        <v>0</v>
      </c>
      <c r="BD395" s="440">
        <v>0</v>
      </c>
      <c r="BE395" s="440">
        <v>0</v>
      </c>
      <c r="BF395" s="440">
        <v>0</v>
      </c>
      <c r="BG395" s="440">
        <v>0</v>
      </c>
      <c r="BH395" s="440">
        <v>0</v>
      </c>
      <c r="BI395" s="440">
        <v>0</v>
      </c>
      <c r="BJ395" s="440">
        <v>0</v>
      </c>
      <c r="BK395" s="440">
        <v>0</v>
      </c>
      <c r="BL395" s="440">
        <v>0</v>
      </c>
      <c r="BM395" s="440">
        <v>0</v>
      </c>
      <c r="BN395" s="440">
        <v>0</v>
      </c>
      <c r="BO395" s="440">
        <v>0</v>
      </c>
      <c r="BP395" s="440">
        <v>0</v>
      </c>
      <c r="BQ395" s="440">
        <v>0</v>
      </c>
      <c r="BR395" s="415">
        <v>0.66666666666666663</v>
      </c>
      <c r="BS395" s="415">
        <v>0.6777777777777777</v>
      </c>
      <c r="BT395" s="935"/>
      <c r="BU395" s="935"/>
      <c r="BV395" s="935"/>
      <c r="BW395" s="935"/>
      <c r="BX395" s="935"/>
      <c r="BY395" s="935"/>
      <c r="BZ395" s="935"/>
      <c r="CA395" s="935"/>
      <c r="CB395" s="935"/>
      <c r="CC395" s="935"/>
      <c r="CD395" s="935"/>
      <c r="CE395" s="935"/>
      <c r="CF395" s="935"/>
      <c r="CG395" s="935"/>
      <c r="CH395" s="935"/>
      <c r="CI395" s="935"/>
      <c r="CJ395" s="935"/>
      <c r="CK395" s="935"/>
      <c r="CL395" s="935"/>
      <c r="CM395" s="935"/>
      <c r="CN395" s="935"/>
      <c r="CO395" s="935"/>
      <c r="CP395" s="935"/>
      <c r="CQ395" s="935"/>
      <c r="CR395" s="935"/>
      <c r="CS395" s="935"/>
      <c r="CT395" s="935"/>
      <c r="CU395" s="935"/>
      <c r="CV395" s="935"/>
    </row>
    <row r="396" spans="1:100" s="441" customFormat="1">
      <c r="A396" s="375">
        <f t="shared" si="126"/>
        <v>9</v>
      </c>
      <c r="B396" s="862">
        <v>44443</v>
      </c>
      <c r="C396" s="493" t="s">
        <v>1980</v>
      </c>
      <c r="D396" s="376" t="str">
        <f>IFERROR(VLOOKUP(E:E,'Item Data Support Sheet'!A:O,7,0),"")</f>
        <v>NIPPLE POSTCURE</v>
      </c>
      <c r="E396" s="447" t="s">
        <v>77</v>
      </c>
      <c r="F396" s="500"/>
      <c r="G396" s="497" t="s">
        <v>1705</v>
      </c>
      <c r="H396" s="602" t="str">
        <f>IFERROR(VLOOKUP(E:E,'Item Data Support Sheet'!A:O,2,0),"")</f>
        <v>NIPPLE S TYPE M SIZE POSTCURED</v>
      </c>
      <c r="I396" s="501" t="s">
        <v>2895</v>
      </c>
      <c r="J396" s="501" t="s">
        <v>2809</v>
      </c>
      <c r="K396" s="438">
        <v>8</v>
      </c>
      <c r="L396" s="499">
        <v>7036</v>
      </c>
      <c r="M396" s="366">
        <f t="shared" si="124"/>
        <v>879.5</v>
      </c>
      <c r="N396" s="367">
        <f t="shared" si="125"/>
        <v>6400</v>
      </c>
      <c r="O396" s="61">
        <v>6400</v>
      </c>
      <c r="P396" s="368">
        <v>0</v>
      </c>
      <c r="Q396" s="368">
        <v>0</v>
      </c>
      <c r="R396" s="494">
        <v>0</v>
      </c>
      <c r="S396" s="493">
        <v>0</v>
      </c>
      <c r="T396" s="494">
        <v>0</v>
      </c>
      <c r="U396" s="493">
        <v>0</v>
      </c>
      <c r="V396" s="502">
        <v>1</v>
      </c>
      <c r="W396" s="453">
        <f t="shared" si="127"/>
        <v>6400</v>
      </c>
      <c r="X396" s="748">
        <f t="shared" si="128"/>
        <v>0.90960773166571918</v>
      </c>
      <c r="Y396" s="451" t="str">
        <f>IFERROR(VLOOKUP(E:E,'Item Data Support Sheet'!A:J,6,0),0)</f>
        <v>FO012</v>
      </c>
      <c r="Z396" s="428">
        <f>IFERROR(VLOOKUP(E:E,'Item Data Support Sheet'!A:O,4,0),0)</f>
        <v>0</v>
      </c>
      <c r="AA396" s="428">
        <f t="shared" si="129"/>
        <v>0</v>
      </c>
      <c r="AB396" s="429" t="str">
        <f t="shared" si="130"/>
        <v xml:space="preserve"> </v>
      </c>
      <c r="AC396" s="424">
        <f t="shared" si="131"/>
        <v>0</v>
      </c>
      <c r="AD396" s="371">
        <f t="shared" si="132"/>
        <v>0</v>
      </c>
      <c r="AE396" s="748">
        <f t="shared" si="133"/>
        <v>1</v>
      </c>
      <c r="AF396" s="417">
        <f t="shared" si="134"/>
        <v>4</v>
      </c>
      <c r="AG396" s="416">
        <f t="shared" si="135"/>
        <v>4</v>
      </c>
      <c r="AH396" s="372">
        <f t="shared" si="136"/>
        <v>0.5</v>
      </c>
      <c r="AI396" s="373">
        <f t="shared" si="137"/>
        <v>800</v>
      </c>
      <c r="AJ396" s="418">
        <f>VLOOKUP(D396,'Standard Cycle time'!C:D,2,0)</f>
        <v>2.2999999999999998</v>
      </c>
      <c r="AK396" s="418">
        <f t="shared" si="138"/>
        <v>2.25</v>
      </c>
      <c r="AL396" s="374">
        <f t="shared" si="139"/>
        <v>1.0222222222222221</v>
      </c>
      <c r="AM396" s="372">
        <f t="shared" si="140"/>
        <v>0.51111111111111107</v>
      </c>
      <c r="AN396" s="799" t="s">
        <v>2896</v>
      </c>
      <c r="AO396" s="448"/>
      <c r="AP396" s="440">
        <v>0</v>
      </c>
      <c r="AQ396" s="440">
        <v>0</v>
      </c>
      <c r="AR396" s="440">
        <v>0</v>
      </c>
      <c r="AS396" s="440">
        <v>240</v>
      </c>
      <c r="AT396" s="440">
        <v>0</v>
      </c>
      <c r="AU396" s="440">
        <v>0</v>
      </c>
      <c r="AV396" s="440">
        <v>0</v>
      </c>
      <c r="AW396" s="440">
        <v>0</v>
      </c>
      <c r="AX396" s="440">
        <v>0</v>
      </c>
      <c r="AY396" s="440">
        <v>0</v>
      </c>
      <c r="AZ396" s="440">
        <v>0</v>
      </c>
      <c r="BA396" s="440">
        <v>0</v>
      </c>
      <c r="BB396" s="440">
        <v>0</v>
      </c>
      <c r="BC396" s="440">
        <v>0</v>
      </c>
      <c r="BD396" s="440">
        <v>0</v>
      </c>
      <c r="BE396" s="440">
        <v>0</v>
      </c>
      <c r="BF396" s="440">
        <v>0</v>
      </c>
      <c r="BG396" s="440">
        <v>0</v>
      </c>
      <c r="BH396" s="440">
        <v>0</v>
      </c>
      <c r="BI396" s="440">
        <v>0</v>
      </c>
      <c r="BJ396" s="440">
        <v>0</v>
      </c>
      <c r="BK396" s="440">
        <v>0</v>
      </c>
      <c r="BL396" s="440">
        <v>0</v>
      </c>
      <c r="BM396" s="440">
        <v>0</v>
      </c>
      <c r="BN396" s="440">
        <v>0</v>
      </c>
      <c r="BO396" s="440">
        <v>0</v>
      </c>
      <c r="BP396" s="440">
        <v>0</v>
      </c>
      <c r="BQ396" s="440">
        <v>0</v>
      </c>
      <c r="BR396" s="415">
        <v>4</v>
      </c>
      <c r="BS396" s="415">
        <v>4.0666666666666664</v>
      </c>
      <c r="BT396" s="935"/>
      <c r="BU396" s="935"/>
      <c r="BV396" s="935"/>
      <c r="BW396" s="935"/>
      <c r="BX396" s="935"/>
      <c r="BY396" s="935"/>
      <c r="BZ396" s="935"/>
      <c r="CA396" s="935"/>
      <c r="CB396" s="935"/>
      <c r="CC396" s="935"/>
      <c r="CD396" s="935"/>
      <c r="CE396" s="935"/>
      <c r="CF396" s="935"/>
      <c r="CG396" s="935"/>
      <c r="CH396" s="935"/>
      <c r="CI396" s="935"/>
      <c r="CJ396" s="935"/>
      <c r="CK396" s="935"/>
      <c r="CL396" s="935"/>
      <c r="CM396" s="935"/>
      <c r="CN396" s="935"/>
      <c r="CO396" s="935"/>
      <c r="CP396" s="935"/>
      <c r="CQ396" s="935"/>
      <c r="CR396" s="935"/>
      <c r="CS396" s="935"/>
      <c r="CT396" s="935"/>
      <c r="CU396" s="935"/>
      <c r="CV396" s="935"/>
    </row>
    <row r="397" spans="1:100" s="441" customFormat="1">
      <c r="A397" s="375">
        <f t="shared" si="126"/>
        <v>9</v>
      </c>
      <c r="B397" s="862">
        <v>44443</v>
      </c>
      <c r="C397" s="493" t="s">
        <v>1980</v>
      </c>
      <c r="D397" s="376" t="str">
        <f>IFERROR(VLOOKUP(E:E,'Item Data Support Sheet'!A:O,7,0),"")</f>
        <v>NIPPLE PUNCH</v>
      </c>
      <c r="E397" s="447" t="s">
        <v>81</v>
      </c>
      <c r="F397" s="500"/>
      <c r="G397" s="497"/>
      <c r="H397" s="602" t="str">
        <f>IFERROR(VLOOKUP(E:E,'Item Data Support Sheet'!A:O,2,0),"")</f>
        <v>NIPPLE S TYPE M SIZE PUNCHED</v>
      </c>
      <c r="I397" s="501" t="s">
        <v>2897</v>
      </c>
      <c r="J397" s="501" t="s">
        <v>2809</v>
      </c>
      <c r="K397" s="438">
        <v>8</v>
      </c>
      <c r="L397" s="499">
        <v>7036</v>
      </c>
      <c r="M397" s="366">
        <f t="shared" ref="M397:M460" si="141">IFERROR(L397/K397,0)</f>
        <v>879.5</v>
      </c>
      <c r="N397" s="367">
        <f t="shared" si="125"/>
        <v>4000</v>
      </c>
      <c r="O397" s="61">
        <v>4000</v>
      </c>
      <c r="P397" s="368">
        <v>0</v>
      </c>
      <c r="Q397" s="368">
        <v>0</v>
      </c>
      <c r="R397" s="494">
        <v>0</v>
      </c>
      <c r="S397" s="493">
        <v>0</v>
      </c>
      <c r="T397" s="494">
        <v>0</v>
      </c>
      <c r="U397" s="493">
        <v>0</v>
      </c>
      <c r="V397" s="502">
        <v>1</v>
      </c>
      <c r="W397" s="453">
        <f t="shared" si="127"/>
        <v>4000</v>
      </c>
      <c r="X397" s="748">
        <f t="shared" si="128"/>
        <v>0.56850483229107451</v>
      </c>
      <c r="Y397" s="451" t="str">
        <f>IFERROR(VLOOKUP(E:E,'Item Data Support Sheet'!A:J,6,0),0)</f>
        <v>FO016</v>
      </c>
      <c r="Z397" s="428">
        <f>IFERROR(VLOOKUP(E:E,'Item Data Support Sheet'!A:O,4,0),0)</f>
        <v>0</v>
      </c>
      <c r="AA397" s="428">
        <f t="shared" si="129"/>
        <v>0</v>
      </c>
      <c r="AB397" s="429" t="str">
        <f t="shared" si="130"/>
        <v xml:space="preserve"> </v>
      </c>
      <c r="AC397" s="424">
        <f t="shared" si="131"/>
        <v>0</v>
      </c>
      <c r="AD397" s="371">
        <f t="shared" si="132"/>
        <v>0</v>
      </c>
      <c r="AE397" s="748">
        <f t="shared" si="133"/>
        <v>1</v>
      </c>
      <c r="AF397" s="417">
        <f t="shared" si="134"/>
        <v>4</v>
      </c>
      <c r="AG397" s="416">
        <f t="shared" si="135"/>
        <v>4</v>
      </c>
      <c r="AH397" s="372">
        <f t="shared" si="136"/>
        <v>0.5</v>
      </c>
      <c r="AI397" s="373">
        <f t="shared" si="137"/>
        <v>500</v>
      </c>
      <c r="AJ397" s="418">
        <f>VLOOKUP(D397,'Standard Cycle time'!C:D,2,0)</f>
        <v>3.5</v>
      </c>
      <c r="AK397" s="418">
        <f t="shared" si="138"/>
        <v>3.6</v>
      </c>
      <c r="AL397" s="374">
        <f t="shared" si="139"/>
        <v>0.97222222222222221</v>
      </c>
      <c r="AM397" s="372">
        <f t="shared" si="140"/>
        <v>0.4861111111111111</v>
      </c>
      <c r="AN397" s="799">
        <v>2977</v>
      </c>
      <c r="AO397" s="448"/>
      <c r="AP397" s="440">
        <v>40</v>
      </c>
      <c r="AQ397" s="440">
        <v>0</v>
      </c>
      <c r="AR397" s="440">
        <v>0</v>
      </c>
      <c r="AS397" s="440">
        <v>0</v>
      </c>
      <c r="AT397" s="440">
        <v>0</v>
      </c>
      <c r="AU397" s="440">
        <v>0</v>
      </c>
      <c r="AV397" s="440">
        <v>200</v>
      </c>
      <c r="AW397" s="440">
        <v>0</v>
      </c>
      <c r="AX397" s="440">
        <v>0</v>
      </c>
      <c r="AY397" s="440">
        <v>0</v>
      </c>
      <c r="AZ397" s="440">
        <v>0</v>
      </c>
      <c r="BA397" s="440">
        <v>0</v>
      </c>
      <c r="BB397" s="440">
        <v>0</v>
      </c>
      <c r="BC397" s="440">
        <v>0</v>
      </c>
      <c r="BD397" s="440">
        <v>0</v>
      </c>
      <c r="BE397" s="440">
        <v>0</v>
      </c>
      <c r="BF397" s="440">
        <v>0</v>
      </c>
      <c r="BG397" s="440">
        <v>0</v>
      </c>
      <c r="BH397" s="440">
        <v>0</v>
      </c>
      <c r="BI397" s="440">
        <v>0</v>
      </c>
      <c r="BJ397" s="440">
        <v>0</v>
      </c>
      <c r="BK397" s="440">
        <v>0</v>
      </c>
      <c r="BL397" s="440">
        <v>0</v>
      </c>
      <c r="BM397" s="440">
        <v>0</v>
      </c>
      <c r="BN397" s="440">
        <v>0</v>
      </c>
      <c r="BO397" s="440">
        <v>0</v>
      </c>
      <c r="BP397" s="440">
        <v>0</v>
      </c>
      <c r="BQ397" s="440">
        <v>0</v>
      </c>
      <c r="BR397" s="415">
        <v>4</v>
      </c>
      <c r="BS397" s="415">
        <v>4.0666666666666664</v>
      </c>
      <c r="BT397" s="935"/>
      <c r="BU397" s="935"/>
      <c r="BV397" s="935"/>
      <c r="BW397" s="935"/>
      <c r="BX397" s="935"/>
      <c r="BY397" s="935"/>
      <c r="BZ397" s="935"/>
      <c r="CA397" s="935"/>
      <c r="CB397" s="935"/>
      <c r="CC397" s="935"/>
      <c r="CD397" s="935"/>
      <c r="CE397" s="935"/>
      <c r="CF397" s="935"/>
      <c r="CG397" s="935"/>
      <c r="CH397" s="935"/>
      <c r="CI397" s="935"/>
      <c r="CJ397" s="935"/>
      <c r="CK397" s="935"/>
      <c r="CL397" s="935"/>
      <c r="CM397" s="935"/>
      <c r="CN397" s="935"/>
      <c r="CO397" s="935"/>
      <c r="CP397" s="935"/>
      <c r="CQ397" s="935"/>
      <c r="CR397" s="935"/>
      <c r="CS397" s="935"/>
      <c r="CT397" s="935"/>
      <c r="CU397" s="935"/>
      <c r="CV397" s="935"/>
    </row>
    <row r="398" spans="1:100" s="441" customFormat="1">
      <c r="A398" s="375">
        <f t="shared" si="126"/>
        <v>9</v>
      </c>
      <c r="B398" s="862">
        <v>44443</v>
      </c>
      <c r="C398" s="493" t="s">
        <v>1980</v>
      </c>
      <c r="D398" s="376" t="str">
        <f>IFERROR(VLOOKUP(E:E,'Item Data Support Sheet'!A:O,7,0),"")</f>
        <v>NIPPLE LASER MARKING</v>
      </c>
      <c r="E398" s="447" t="s">
        <v>1817</v>
      </c>
      <c r="F398" s="500"/>
      <c r="G398" s="497"/>
      <c r="H398" s="602" t="str">
        <f>IFERROR(VLOOKUP(E:E,'Item Data Support Sheet'!A:O,2,0),"")</f>
        <v>NIPPLE S TYPE Y SIZE PUNCHED LASER MARKED</v>
      </c>
      <c r="I398" s="501" t="s">
        <v>2888</v>
      </c>
      <c r="J398" s="501" t="s">
        <v>2809</v>
      </c>
      <c r="K398" s="438">
        <v>8</v>
      </c>
      <c r="L398" s="499">
        <v>7036</v>
      </c>
      <c r="M398" s="366">
        <f t="shared" si="141"/>
        <v>879.5</v>
      </c>
      <c r="N398" s="367">
        <f t="shared" si="125"/>
        <v>4202</v>
      </c>
      <c r="O398" s="61">
        <v>4202</v>
      </c>
      <c r="P398" s="368">
        <v>0</v>
      </c>
      <c r="Q398" s="368">
        <v>0</v>
      </c>
      <c r="R398" s="494">
        <v>0</v>
      </c>
      <c r="S398" s="493">
        <v>0</v>
      </c>
      <c r="T398" s="494">
        <v>0</v>
      </c>
      <c r="U398" s="493">
        <v>0</v>
      </c>
      <c r="V398" s="502">
        <v>1</v>
      </c>
      <c r="W398" s="453">
        <f t="shared" si="127"/>
        <v>4202</v>
      </c>
      <c r="X398" s="748">
        <f t="shared" si="128"/>
        <v>0.59721432632177374</v>
      </c>
      <c r="Y398" s="451" t="str">
        <f>IFERROR(VLOOKUP(E:E,'Item Data Support Sheet'!A:J,6,0),0)</f>
        <v>FO022</v>
      </c>
      <c r="Z398" s="428">
        <f>IFERROR(VLOOKUP(E:E,'Item Data Support Sheet'!A:O,4,0),0)</f>
        <v>0</v>
      </c>
      <c r="AA398" s="428">
        <f t="shared" si="129"/>
        <v>0</v>
      </c>
      <c r="AB398" s="429" t="str">
        <f t="shared" si="130"/>
        <v xml:space="preserve"> </v>
      </c>
      <c r="AC398" s="424">
        <f t="shared" si="131"/>
        <v>0</v>
      </c>
      <c r="AD398" s="371">
        <f t="shared" si="132"/>
        <v>0</v>
      </c>
      <c r="AE398" s="748">
        <f t="shared" si="133"/>
        <v>1</v>
      </c>
      <c r="AF398" s="417">
        <f t="shared" si="134"/>
        <v>4</v>
      </c>
      <c r="AG398" s="416">
        <f t="shared" si="135"/>
        <v>4</v>
      </c>
      <c r="AH398" s="372">
        <f t="shared" si="136"/>
        <v>0.5</v>
      </c>
      <c r="AI398" s="373">
        <f t="shared" si="137"/>
        <v>525.25</v>
      </c>
      <c r="AJ398" s="418">
        <f>VLOOKUP(D398,'Standard Cycle time'!C:D,2,0)</f>
        <v>3.5</v>
      </c>
      <c r="AK398" s="418">
        <f t="shared" si="138"/>
        <v>3.426939552594003</v>
      </c>
      <c r="AL398" s="374">
        <f t="shared" si="139"/>
        <v>1.0213194444444444</v>
      </c>
      <c r="AM398" s="372">
        <f t="shared" si="140"/>
        <v>0.51065972222222222</v>
      </c>
      <c r="AN398" s="799" t="s">
        <v>2898</v>
      </c>
      <c r="AO398" s="448"/>
      <c r="AP398" s="440">
        <v>0</v>
      </c>
      <c r="AQ398" s="440">
        <v>0</v>
      </c>
      <c r="AR398" s="440">
        <v>0</v>
      </c>
      <c r="AS398" s="440">
        <v>0</v>
      </c>
      <c r="AT398" s="440">
        <v>0</v>
      </c>
      <c r="AU398" s="440">
        <v>0</v>
      </c>
      <c r="AV398" s="440">
        <v>240</v>
      </c>
      <c r="AW398" s="440">
        <v>0</v>
      </c>
      <c r="AX398" s="440">
        <v>0</v>
      </c>
      <c r="AY398" s="440">
        <v>0</v>
      </c>
      <c r="AZ398" s="440">
        <v>0</v>
      </c>
      <c r="BA398" s="440">
        <v>0</v>
      </c>
      <c r="BB398" s="440">
        <v>0</v>
      </c>
      <c r="BC398" s="440">
        <v>0</v>
      </c>
      <c r="BD398" s="440">
        <v>0</v>
      </c>
      <c r="BE398" s="440">
        <v>0</v>
      </c>
      <c r="BF398" s="440">
        <v>0</v>
      </c>
      <c r="BG398" s="440">
        <v>0</v>
      </c>
      <c r="BH398" s="440">
        <v>0</v>
      </c>
      <c r="BI398" s="440">
        <v>0</v>
      </c>
      <c r="BJ398" s="440">
        <v>0</v>
      </c>
      <c r="BK398" s="440">
        <v>0</v>
      </c>
      <c r="BL398" s="440">
        <v>0</v>
      </c>
      <c r="BM398" s="440">
        <v>0</v>
      </c>
      <c r="BN398" s="440">
        <v>0</v>
      </c>
      <c r="BO398" s="440">
        <v>0</v>
      </c>
      <c r="BP398" s="440">
        <v>0</v>
      </c>
      <c r="BQ398" s="440">
        <v>0</v>
      </c>
      <c r="BR398" s="415">
        <v>4</v>
      </c>
      <c r="BS398" s="415">
        <v>4.0666666666666664</v>
      </c>
      <c r="BT398" s="935"/>
      <c r="BU398" s="935"/>
      <c r="BV398" s="935"/>
      <c r="BW398" s="935"/>
      <c r="BX398" s="935"/>
      <c r="BY398" s="935"/>
      <c r="BZ398" s="935"/>
      <c r="CA398" s="935"/>
      <c r="CB398" s="935"/>
      <c r="CC398" s="935"/>
      <c r="CD398" s="935"/>
      <c r="CE398" s="935"/>
      <c r="CF398" s="935"/>
      <c r="CG398" s="935"/>
      <c r="CH398" s="935"/>
      <c r="CI398" s="935"/>
      <c r="CJ398" s="935"/>
      <c r="CK398" s="935"/>
      <c r="CL398" s="935"/>
      <c r="CM398" s="935"/>
      <c r="CN398" s="935"/>
      <c r="CO398" s="935"/>
      <c r="CP398" s="935"/>
      <c r="CQ398" s="935"/>
      <c r="CR398" s="935"/>
      <c r="CS398" s="935"/>
      <c r="CT398" s="935"/>
      <c r="CU398" s="935"/>
      <c r="CV398" s="935"/>
    </row>
    <row r="399" spans="1:100" s="441" customFormat="1">
      <c r="A399" s="375">
        <f t="shared" si="126"/>
        <v>9</v>
      </c>
      <c r="B399" s="862">
        <v>44443</v>
      </c>
      <c r="C399" s="493" t="s">
        <v>1980</v>
      </c>
      <c r="D399" s="376" t="str">
        <f>IFERROR(VLOOKUP(E:E,'Item Data Support Sheet'!A:O,7,0),"")</f>
        <v>NIPPLE MOLDED</v>
      </c>
      <c r="E399" s="447" t="s">
        <v>73</v>
      </c>
      <c r="F399" s="500" t="s">
        <v>1678</v>
      </c>
      <c r="G399" s="497" t="s">
        <v>1690</v>
      </c>
      <c r="H399" s="602" t="str">
        <f>IFERROR(VLOOKUP(E:E,'Item Data Support Sheet'!A:O,2,0),"")</f>
        <v>NIPPLE S TYPE M SIZE INJECTION</v>
      </c>
      <c r="I399" s="501" t="s">
        <v>2899</v>
      </c>
      <c r="J399" s="501" t="s">
        <v>2809</v>
      </c>
      <c r="K399" s="438">
        <v>8</v>
      </c>
      <c r="L399" s="499">
        <v>4815</v>
      </c>
      <c r="M399" s="366">
        <f t="shared" si="141"/>
        <v>601.875</v>
      </c>
      <c r="N399" s="367">
        <f t="shared" si="125"/>
        <v>5370</v>
      </c>
      <c r="O399" s="61">
        <v>5300</v>
      </c>
      <c r="P399" s="368">
        <v>0</v>
      </c>
      <c r="Q399" s="368">
        <v>20</v>
      </c>
      <c r="R399" s="494">
        <v>0</v>
      </c>
      <c r="S399" s="493">
        <v>0</v>
      </c>
      <c r="T399" s="494">
        <v>42</v>
      </c>
      <c r="U399" s="493">
        <v>8</v>
      </c>
      <c r="V399" s="502">
        <v>1</v>
      </c>
      <c r="W399" s="453">
        <f t="shared" si="127"/>
        <v>5300</v>
      </c>
      <c r="X399" s="748">
        <f t="shared" si="128"/>
        <v>1.1007268951194185</v>
      </c>
      <c r="Y399" s="451" t="str">
        <f>IFERROR(VLOOKUP(E:E,'Item Data Support Sheet'!A:J,6,0),0)</f>
        <v>Silicon</v>
      </c>
      <c r="Z399" s="428">
        <f>IFERROR(VLOOKUP(E:E,'Item Data Support Sheet'!A:O,4,0),0)</f>
        <v>6.8</v>
      </c>
      <c r="AA399" s="428">
        <f t="shared" si="129"/>
        <v>36.515999999999998</v>
      </c>
      <c r="AB399" s="429">
        <f t="shared" si="130"/>
        <v>0.98696461824953452</v>
      </c>
      <c r="AC399" s="424">
        <f t="shared" si="131"/>
        <v>7.8622238861849499E-3</v>
      </c>
      <c r="AD399" s="371">
        <f t="shared" si="132"/>
        <v>3.7105751391465678E-3</v>
      </c>
      <c r="AE399" s="748">
        <f t="shared" si="133"/>
        <v>0.99217877094972062</v>
      </c>
      <c r="AF399" s="417">
        <f t="shared" si="134"/>
        <v>0</v>
      </c>
      <c r="AG399" s="416">
        <f t="shared" si="135"/>
        <v>8</v>
      </c>
      <c r="AH399" s="372">
        <f t="shared" si="136"/>
        <v>1</v>
      </c>
      <c r="AI399" s="373">
        <f t="shared" si="137"/>
        <v>662.5</v>
      </c>
      <c r="AJ399" s="418">
        <f>VLOOKUP(D399,'Standard Cycle time'!C:D,2,0)</f>
        <v>5.25</v>
      </c>
      <c r="AK399" s="418">
        <f t="shared" si="138"/>
        <v>5.4339622641509431</v>
      </c>
      <c r="AL399" s="374">
        <f t="shared" si="139"/>
        <v>0.96614583333333337</v>
      </c>
      <c r="AM399" s="372">
        <f t="shared" si="140"/>
        <v>0.95858938547486028</v>
      </c>
      <c r="AN399" s="799">
        <v>2978</v>
      </c>
      <c r="AO399" s="448" t="s">
        <v>2822</v>
      </c>
      <c r="AP399" s="440">
        <v>0</v>
      </c>
      <c r="AQ399" s="440">
        <v>0</v>
      </c>
      <c r="AR399" s="440">
        <v>0</v>
      </c>
      <c r="AS399" s="440">
        <v>0</v>
      </c>
      <c r="AT399" s="440">
        <v>0</v>
      </c>
      <c r="AU399" s="440">
        <v>0</v>
      </c>
      <c r="AV399" s="440">
        <v>0</v>
      </c>
      <c r="AW399" s="440">
        <v>0</v>
      </c>
      <c r="AX399" s="440">
        <v>0</v>
      </c>
      <c r="AY399" s="440">
        <v>0</v>
      </c>
      <c r="AZ399" s="440">
        <v>0</v>
      </c>
      <c r="BA399" s="440">
        <v>0</v>
      </c>
      <c r="BB399" s="440">
        <v>0</v>
      </c>
      <c r="BC399" s="440">
        <v>0</v>
      </c>
      <c r="BD399" s="440">
        <v>0</v>
      </c>
      <c r="BE399" s="440">
        <v>0</v>
      </c>
      <c r="BF399" s="440">
        <v>0</v>
      </c>
      <c r="BG399" s="440">
        <v>0</v>
      </c>
      <c r="BH399" s="440">
        <v>0</v>
      </c>
      <c r="BI399" s="440">
        <v>0</v>
      </c>
      <c r="BJ399" s="440">
        <v>0</v>
      </c>
      <c r="BK399" s="440">
        <v>0</v>
      </c>
      <c r="BL399" s="440">
        <v>0</v>
      </c>
      <c r="BM399" s="440">
        <v>0</v>
      </c>
      <c r="BN399" s="440">
        <v>0</v>
      </c>
      <c r="BO399" s="440">
        <v>0</v>
      </c>
      <c r="BP399" s="440">
        <v>0</v>
      </c>
      <c r="BQ399" s="440">
        <v>0</v>
      </c>
      <c r="BR399" s="415">
        <v>0</v>
      </c>
      <c r="BS399" s="415">
        <v>0</v>
      </c>
      <c r="BT399" s="935"/>
      <c r="BU399" s="935"/>
      <c r="BV399" s="935"/>
      <c r="BW399" s="935"/>
      <c r="BX399" s="935"/>
      <c r="BY399" s="935"/>
      <c r="BZ399" s="935"/>
      <c r="CA399" s="935"/>
      <c r="CB399" s="935"/>
      <c r="CC399" s="935"/>
      <c r="CD399" s="935"/>
      <c r="CE399" s="935"/>
      <c r="CF399" s="935"/>
      <c r="CG399" s="935"/>
      <c r="CH399" s="935"/>
      <c r="CI399" s="935"/>
      <c r="CJ399" s="935"/>
      <c r="CK399" s="935"/>
      <c r="CL399" s="935"/>
      <c r="CM399" s="935"/>
      <c r="CN399" s="935"/>
      <c r="CO399" s="935"/>
      <c r="CP399" s="935"/>
      <c r="CQ399" s="935"/>
      <c r="CR399" s="935"/>
      <c r="CS399" s="935"/>
      <c r="CT399" s="935"/>
      <c r="CU399" s="935"/>
      <c r="CV399" s="935"/>
    </row>
    <row r="400" spans="1:100" s="441" customFormat="1">
      <c r="A400" s="375">
        <f t="shared" si="126"/>
        <v>9</v>
      </c>
      <c r="B400" s="862">
        <v>44443</v>
      </c>
      <c r="C400" s="493" t="s">
        <v>1980</v>
      </c>
      <c r="D400" s="376" t="str">
        <f>IFERROR(VLOOKUP(E:E,'Item Data Support Sheet'!A:O,7,0),"")</f>
        <v>HOOD MOLDED</v>
      </c>
      <c r="E400" s="447" t="s">
        <v>1987</v>
      </c>
      <c r="F400" s="500"/>
      <c r="G400" s="497"/>
      <c r="H400" s="602" t="str">
        <f>IFERROR(VLOOKUP(E:E,'Item Data Support Sheet'!A:O,2,0),"")</f>
        <v>HOOD S TYPE MOLDED</v>
      </c>
      <c r="I400" s="501" t="s">
        <v>2900</v>
      </c>
      <c r="J400" s="501" t="s">
        <v>2809</v>
      </c>
      <c r="K400" s="438">
        <v>8</v>
      </c>
      <c r="L400" s="499">
        <v>4137</v>
      </c>
      <c r="M400" s="366">
        <f t="shared" si="141"/>
        <v>517.125</v>
      </c>
      <c r="N400" s="367">
        <f t="shared" si="125"/>
        <v>5316</v>
      </c>
      <c r="O400" s="61">
        <v>5300</v>
      </c>
      <c r="P400" s="368">
        <v>0</v>
      </c>
      <c r="Q400" s="368">
        <v>8</v>
      </c>
      <c r="R400" s="494">
        <v>0</v>
      </c>
      <c r="S400" s="493">
        <v>0</v>
      </c>
      <c r="T400" s="494">
        <v>0</v>
      </c>
      <c r="U400" s="493">
        <v>8</v>
      </c>
      <c r="V400" s="502">
        <v>1</v>
      </c>
      <c r="W400" s="453">
        <f t="shared" si="127"/>
        <v>5300</v>
      </c>
      <c r="X400" s="748">
        <f t="shared" si="128"/>
        <v>1.2811215856901137</v>
      </c>
      <c r="Y400" s="451" t="str">
        <f>IFERROR(VLOOKUP(E:E,'Item Data Support Sheet'!A:J,6,0),0)</f>
        <v>HMC</v>
      </c>
      <c r="Z400" s="428">
        <f>IFERROR(VLOOKUP(E:E,'Item Data Support Sheet'!A:O,4,0),0)</f>
        <v>8.6</v>
      </c>
      <c r="AA400" s="428">
        <f t="shared" si="129"/>
        <v>45.717599999999997</v>
      </c>
      <c r="AB400" s="429">
        <f t="shared" si="130"/>
        <v>0.99699021820917988</v>
      </c>
      <c r="AC400" s="424">
        <f t="shared" si="131"/>
        <v>0</v>
      </c>
      <c r="AD400" s="371">
        <f t="shared" si="132"/>
        <v>1.5026296018031556E-3</v>
      </c>
      <c r="AE400" s="748">
        <f t="shared" si="133"/>
        <v>1</v>
      </c>
      <c r="AF400" s="417">
        <f t="shared" si="134"/>
        <v>0</v>
      </c>
      <c r="AG400" s="416">
        <f t="shared" si="135"/>
        <v>8</v>
      </c>
      <c r="AH400" s="372">
        <f t="shared" si="136"/>
        <v>1</v>
      </c>
      <c r="AI400" s="373">
        <f t="shared" si="137"/>
        <v>662.5</v>
      </c>
      <c r="AJ400" s="418">
        <f>VLOOKUP(D400,'Standard Cycle time'!C:D,2,0)</f>
        <v>6</v>
      </c>
      <c r="AK400" s="418">
        <f t="shared" si="138"/>
        <v>5.4339622641509431</v>
      </c>
      <c r="AL400" s="374">
        <f t="shared" si="139"/>
        <v>1.1041666666666667</v>
      </c>
      <c r="AM400" s="372">
        <f t="shared" si="140"/>
        <v>1.1041666666666667</v>
      </c>
      <c r="AN400" s="799">
        <v>2979</v>
      </c>
      <c r="AO400" s="448"/>
      <c r="AP400" s="440">
        <v>0</v>
      </c>
      <c r="AQ400" s="440">
        <v>0</v>
      </c>
      <c r="AR400" s="440">
        <v>0</v>
      </c>
      <c r="AS400" s="440">
        <v>0</v>
      </c>
      <c r="AT400" s="440">
        <v>0</v>
      </c>
      <c r="AU400" s="440">
        <v>0</v>
      </c>
      <c r="AV400" s="440">
        <v>0</v>
      </c>
      <c r="AW400" s="440">
        <v>0</v>
      </c>
      <c r="AX400" s="440">
        <v>0</v>
      </c>
      <c r="AY400" s="440">
        <v>0</v>
      </c>
      <c r="AZ400" s="440">
        <v>0</v>
      </c>
      <c r="BA400" s="440">
        <v>0</v>
      </c>
      <c r="BB400" s="440">
        <v>0</v>
      </c>
      <c r="BC400" s="440">
        <v>0</v>
      </c>
      <c r="BD400" s="440">
        <v>0</v>
      </c>
      <c r="BE400" s="440">
        <v>0</v>
      </c>
      <c r="BF400" s="440">
        <v>0</v>
      </c>
      <c r="BG400" s="440">
        <v>0</v>
      </c>
      <c r="BH400" s="440">
        <v>0</v>
      </c>
      <c r="BI400" s="440">
        <v>0</v>
      </c>
      <c r="BJ400" s="440">
        <v>0</v>
      </c>
      <c r="BK400" s="440">
        <v>0</v>
      </c>
      <c r="BL400" s="440">
        <v>0</v>
      </c>
      <c r="BM400" s="440">
        <v>0</v>
      </c>
      <c r="BN400" s="440">
        <v>0</v>
      </c>
      <c r="BO400" s="440">
        <v>0</v>
      </c>
      <c r="BP400" s="440">
        <v>0</v>
      </c>
      <c r="BQ400" s="440">
        <v>0</v>
      </c>
      <c r="BR400" s="415">
        <v>0</v>
      </c>
      <c r="BS400" s="415">
        <v>0</v>
      </c>
      <c r="BT400" s="935"/>
      <c r="BU400" s="935"/>
      <c r="BV400" s="935"/>
      <c r="BW400" s="935"/>
      <c r="BX400" s="935"/>
      <c r="BY400" s="935"/>
      <c r="BZ400" s="935"/>
      <c r="CA400" s="935"/>
      <c r="CB400" s="935"/>
      <c r="CC400" s="935"/>
      <c r="CD400" s="935"/>
      <c r="CE400" s="935"/>
      <c r="CF400" s="935"/>
      <c r="CG400" s="935"/>
      <c r="CH400" s="935"/>
      <c r="CI400" s="935"/>
      <c r="CJ400" s="935"/>
      <c r="CK400" s="935"/>
      <c r="CL400" s="935"/>
      <c r="CM400" s="935"/>
      <c r="CN400" s="935"/>
      <c r="CO400" s="935"/>
      <c r="CP400" s="935"/>
      <c r="CQ400" s="935"/>
      <c r="CR400" s="935"/>
      <c r="CS400" s="935"/>
      <c r="CT400" s="935"/>
      <c r="CU400" s="935"/>
      <c r="CV400" s="935"/>
    </row>
    <row r="401" spans="1:100" s="441" customFormat="1">
      <c r="A401" s="375">
        <f t="shared" si="126"/>
        <v>9</v>
      </c>
      <c r="B401" s="862">
        <v>44443</v>
      </c>
      <c r="C401" s="493" t="s">
        <v>1980</v>
      </c>
      <c r="D401" s="376" t="str">
        <f>IFERROR(VLOOKUP(E:E,'Item Data Support Sheet'!A:O,7,0),"")</f>
        <v>NIPPLE PUNCH INSPECTED</v>
      </c>
      <c r="E401" s="447" t="s">
        <v>1820</v>
      </c>
      <c r="F401" s="500"/>
      <c r="G401" s="497"/>
      <c r="H401" s="602" t="str">
        <f>IFERROR(VLOOKUP(E:E,'Item Data Support Sheet'!A:O,2,0),"")</f>
        <v>NIPPLE S TYPE L SIZE PUNCHED INSPECTED</v>
      </c>
      <c r="I401" s="501" t="s">
        <v>2859</v>
      </c>
      <c r="J401" s="501" t="s">
        <v>2809</v>
      </c>
      <c r="K401" s="438">
        <v>7</v>
      </c>
      <c r="L401" s="499">
        <v>13000</v>
      </c>
      <c r="M401" s="366">
        <f t="shared" si="141"/>
        <v>1857.1428571428571</v>
      </c>
      <c r="N401" s="367">
        <f t="shared" si="125"/>
        <v>6275</v>
      </c>
      <c r="O401" s="61">
        <v>6225</v>
      </c>
      <c r="P401" s="368">
        <v>0</v>
      </c>
      <c r="Q401" s="368">
        <v>0</v>
      </c>
      <c r="R401" s="494">
        <v>0</v>
      </c>
      <c r="S401" s="493">
        <v>0</v>
      </c>
      <c r="T401" s="494">
        <v>50</v>
      </c>
      <c r="U401" s="493">
        <v>0</v>
      </c>
      <c r="V401" s="502">
        <v>1</v>
      </c>
      <c r="W401" s="453">
        <f t="shared" si="127"/>
        <v>6225</v>
      </c>
      <c r="X401" s="748">
        <f t="shared" si="128"/>
        <v>0.47884615384615387</v>
      </c>
      <c r="Y401" s="451" t="str">
        <f>IFERROR(VLOOKUP(E:E,'Item Data Support Sheet'!A:J,6,0),0)</f>
        <v>FO106</v>
      </c>
      <c r="Z401" s="428">
        <f>IFERROR(VLOOKUP(E:E,'Item Data Support Sheet'!A:O,4,0),0)</f>
        <v>0</v>
      </c>
      <c r="AA401" s="428">
        <f t="shared" si="129"/>
        <v>0</v>
      </c>
      <c r="AB401" s="429" t="str">
        <f t="shared" si="130"/>
        <v xml:space="preserve"> </v>
      </c>
      <c r="AC401" s="424">
        <f t="shared" si="131"/>
        <v>7.9681274900398405E-3</v>
      </c>
      <c r="AD401" s="371">
        <f t="shared" si="132"/>
        <v>0</v>
      </c>
      <c r="AE401" s="748">
        <f t="shared" si="133"/>
        <v>0.99203187250996017</v>
      </c>
      <c r="AF401" s="417">
        <f t="shared" si="134"/>
        <v>0.83333333333333337</v>
      </c>
      <c r="AG401" s="416">
        <f t="shared" si="135"/>
        <v>6.166666666666667</v>
      </c>
      <c r="AH401" s="372">
        <f t="shared" si="136"/>
        <v>0.88095238095238104</v>
      </c>
      <c r="AI401" s="373">
        <f t="shared" si="137"/>
        <v>889.28571428571433</v>
      </c>
      <c r="AJ401" s="418">
        <f>VLOOKUP(D401,'Standard Cycle time'!C:D,2,0)</f>
        <v>4</v>
      </c>
      <c r="AK401" s="418">
        <f t="shared" si="138"/>
        <v>3.5662650602409638</v>
      </c>
      <c r="AL401" s="374">
        <f t="shared" si="139"/>
        <v>1.1216216216216217</v>
      </c>
      <c r="AM401" s="372">
        <f t="shared" si="140"/>
        <v>0.98022196926579419</v>
      </c>
      <c r="AN401" s="799" t="s">
        <v>2901</v>
      </c>
      <c r="AO401" s="448" t="s">
        <v>2902</v>
      </c>
      <c r="AP401" s="440">
        <v>50</v>
      </c>
      <c r="AQ401" s="440">
        <v>0</v>
      </c>
      <c r="AR401" s="440">
        <v>0</v>
      </c>
      <c r="AS401" s="440">
        <v>0</v>
      </c>
      <c r="AT401" s="440">
        <v>0</v>
      </c>
      <c r="AU401" s="440">
        <v>0</v>
      </c>
      <c r="AV401" s="440">
        <v>0</v>
      </c>
      <c r="AW401" s="440">
        <v>0</v>
      </c>
      <c r="AX401" s="440">
        <v>0</v>
      </c>
      <c r="AY401" s="440">
        <v>0</v>
      </c>
      <c r="AZ401" s="440">
        <v>0</v>
      </c>
      <c r="BA401" s="440">
        <v>0</v>
      </c>
      <c r="BB401" s="440">
        <v>0</v>
      </c>
      <c r="BC401" s="440">
        <v>0</v>
      </c>
      <c r="BD401" s="440">
        <v>0</v>
      </c>
      <c r="BE401" s="440">
        <v>0</v>
      </c>
      <c r="BF401" s="440">
        <v>0</v>
      </c>
      <c r="BG401" s="440">
        <v>0</v>
      </c>
      <c r="BH401" s="440">
        <v>0</v>
      </c>
      <c r="BI401" s="440">
        <v>0</v>
      </c>
      <c r="BJ401" s="440">
        <v>0</v>
      </c>
      <c r="BK401" s="440">
        <v>0</v>
      </c>
      <c r="BL401" s="440">
        <v>0</v>
      </c>
      <c r="BM401" s="440">
        <v>0</v>
      </c>
      <c r="BN401" s="440">
        <v>0</v>
      </c>
      <c r="BO401" s="440">
        <v>0</v>
      </c>
      <c r="BP401" s="440">
        <v>0</v>
      </c>
      <c r="BQ401" s="440">
        <v>0</v>
      </c>
      <c r="BR401" s="415">
        <v>0.83333333333333337</v>
      </c>
      <c r="BS401" s="415">
        <v>0.84722222222222221</v>
      </c>
      <c r="BT401" s="935"/>
      <c r="BU401" s="935"/>
      <c r="BV401" s="935"/>
      <c r="BW401" s="935"/>
      <c r="BX401" s="935"/>
      <c r="BY401" s="935"/>
      <c r="BZ401" s="935"/>
      <c r="CA401" s="935"/>
      <c r="CB401" s="935"/>
      <c r="CC401" s="935"/>
      <c r="CD401" s="935"/>
      <c r="CE401" s="935"/>
      <c r="CF401" s="935"/>
      <c r="CG401" s="935"/>
      <c r="CH401" s="935"/>
      <c r="CI401" s="935"/>
      <c r="CJ401" s="935"/>
      <c r="CK401" s="935"/>
      <c r="CL401" s="935"/>
      <c r="CM401" s="935"/>
      <c r="CN401" s="935"/>
      <c r="CO401" s="935"/>
      <c r="CP401" s="935"/>
      <c r="CQ401" s="935"/>
      <c r="CR401" s="935"/>
      <c r="CS401" s="935"/>
      <c r="CT401" s="935"/>
      <c r="CU401" s="935"/>
      <c r="CV401" s="935"/>
    </row>
    <row r="402" spans="1:100" s="441" customFormat="1">
      <c r="A402" s="375">
        <f t="shared" si="126"/>
        <v>9</v>
      </c>
      <c r="B402" s="862">
        <v>44443</v>
      </c>
      <c r="C402" s="493" t="s">
        <v>2000</v>
      </c>
      <c r="D402" s="376" t="str">
        <f>IFERROR(VLOOKUP(E:E,'Item Data Support Sheet'!A:O,7,0),"")</f>
        <v>NIPPLE PUNCH INSPECTED</v>
      </c>
      <c r="E402" s="447" t="s">
        <v>1821</v>
      </c>
      <c r="F402" s="500"/>
      <c r="G402" s="497"/>
      <c r="H402" s="602" t="str">
        <f>IFERROR(VLOOKUP(E:E,'Item Data Support Sheet'!A:O,2,0),"")</f>
        <v>NIPPLE S TYPE Y SIZE PUNCHED INSPECTED</v>
      </c>
      <c r="I402" s="501" t="s">
        <v>2888</v>
      </c>
      <c r="J402" s="501" t="s">
        <v>2808</v>
      </c>
      <c r="K402" s="438">
        <v>1</v>
      </c>
      <c r="L402" s="499">
        <v>1000</v>
      </c>
      <c r="M402" s="366">
        <f t="shared" si="141"/>
        <v>1000</v>
      </c>
      <c r="N402" s="367">
        <f t="shared" si="125"/>
        <v>1000</v>
      </c>
      <c r="O402" s="61">
        <v>997</v>
      </c>
      <c r="P402" s="368">
        <v>0</v>
      </c>
      <c r="Q402" s="368">
        <v>0</v>
      </c>
      <c r="R402" s="494">
        <v>0</v>
      </c>
      <c r="S402" s="493">
        <v>0</v>
      </c>
      <c r="T402" s="494">
        <v>3</v>
      </c>
      <c r="U402" s="493">
        <v>0</v>
      </c>
      <c r="V402" s="502">
        <v>1</v>
      </c>
      <c r="W402" s="453">
        <f t="shared" si="127"/>
        <v>997</v>
      </c>
      <c r="X402" s="748">
        <f t="shared" si="128"/>
        <v>0.997</v>
      </c>
      <c r="Y402" s="451" t="str">
        <f>IFERROR(VLOOKUP(E:E,'Item Data Support Sheet'!A:J,6,0),0)</f>
        <v>FO107</v>
      </c>
      <c r="Z402" s="428">
        <f>IFERROR(VLOOKUP(E:E,'Item Data Support Sheet'!A:O,4,0),0)</f>
        <v>0</v>
      </c>
      <c r="AA402" s="428">
        <f t="shared" si="129"/>
        <v>0</v>
      </c>
      <c r="AB402" s="429" t="str">
        <f t="shared" si="130"/>
        <v xml:space="preserve"> </v>
      </c>
      <c r="AC402" s="424">
        <f t="shared" si="131"/>
        <v>3.0000000000000001E-3</v>
      </c>
      <c r="AD402" s="371">
        <f t="shared" si="132"/>
        <v>0</v>
      </c>
      <c r="AE402" s="748">
        <f t="shared" si="133"/>
        <v>0.997</v>
      </c>
      <c r="AF402" s="417">
        <f t="shared" si="134"/>
        <v>0</v>
      </c>
      <c r="AG402" s="416">
        <f t="shared" si="135"/>
        <v>1</v>
      </c>
      <c r="AH402" s="372">
        <f t="shared" si="136"/>
        <v>1</v>
      </c>
      <c r="AI402" s="373">
        <f t="shared" si="137"/>
        <v>997</v>
      </c>
      <c r="AJ402" s="418">
        <f>VLOOKUP(D402,'Standard Cycle time'!C:D,2,0)</f>
        <v>4</v>
      </c>
      <c r="AK402" s="418">
        <f t="shared" si="138"/>
        <v>3.6108324974924773</v>
      </c>
      <c r="AL402" s="374">
        <f t="shared" si="139"/>
        <v>1.1077777777777778</v>
      </c>
      <c r="AM402" s="372">
        <f t="shared" si="140"/>
        <v>1.1044544444444444</v>
      </c>
      <c r="AN402" s="799">
        <v>2984</v>
      </c>
      <c r="AO402" s="448"/>
      <c r="AP402" s="440">
        <v>0</v>
      </c>
      <c r="AQ402" s="440">
        <v>0</v>
      </c>
      <c r="AR402" s="440">
        <v>0</v>
      </c>
      <c r="AS402" s="440">
        <v>0</v>
      </c>
      <c r="AT402" s="440">
        <v>0</v>
      </c>
      <c r="AU402" s="440">
        <v>0</v>
      </c>
      <c r="AV402" s="440">
        <v>0</v>
      </c>
      <c r="AW402" s="440">
        <v>0</v>
      </c>
      <c r="AX402" s="440">
        <v>0</v>
      </c>
      <c r="AY402" s="440">
        <v>0</v>
      </c>
      <c r="AZ402" s="440">
        <v>0</v>
      </c>
      <c r="BA402" s="440">
        <v>0</v>
      </c>
      <c r="BB402" s="440">
        <v>0</v>
      </c>
      <c r="BC402" s="440">
        <v>0</v>
      </c>
      <c r="BD402" s="440">
        <v>0</v>
      </c>
      <c r="BE402" s="440">
        <v>0</v>
      </c>
      <c r="BF402" s="440">
        <v>0</v>
      </c>
      <c r="BG402" s="440">
        <v>0</v>
      </c>
      <c r="BH402" s="440">
        <v>0</v>
      </c>
      <c r="BI402" s="440">
        <v>0</v>
      </c>
      <c r="BJ402" s="440">
        <v>0</v>
      </c>
      <c r="BK402" s="440">
        <v>0</v>
      </c>
      <c r="BL402" s="440">
        <v>0</v>
      </c>
      <c r="BM402" s="440">
        <v>0</v>
      </c>
      <c r="BN402" s="440">
        <v>0</v>
      </c>
      <c r="BO402" s="440">
        <v>0</v>
      </c>
      <c r="BP402" s="440">
        <v>0</v>
      </c>
      <c r="BQ402" s="440">
        <v>0</v>
      </c>
      <c r="BR402" s="415">
        <v>0</v>
      </c>
      <c r="BS402" s="415">
        <v>0</v>
      </c>
      <c r="BT402" s="935"/>
      <c r="BU402" s="935"/>
      <c r="BV402" s="935"/>
      <c r="BW402" s="935"/>
      <c r="BX402" s="935"/>
      <c r="BY402" s="935"/>
      <c r="BZ402" s="935"/>
      <c r="CA402" s="935"/>
      <c r="CB402" s="935"/>
      <c r="CC402" s="935"/>
      <c r="CD402" s="935"/>
      <c r="CE402" s="935"/>
      <c r="CF402" s="935"/>
      <c r="CG402" s="935"/>
      <c r="CH402" s="935"/>
      <c r="CI402" s="935"/>
      <c r="CJ402" s="935"/>
      <c r="CK402" s="935"/>
      <c r="CL402" s="935"/>
      <c r="CM402" s="935"/>
      <c r="CN402" s="935"/>
      <c r="CO402" s="935"/>
      <c r="CP402" s="935"/>
      <c r="CQ402" s="935"/>
      <c r="CR402" s="935"/>
      <c r="CS402" s="935"/>
      <c r="CT402" s="935"/>
      <c r="CU402" s="935"/>
      <c r="CV402" s="935"/>
    </row>
    <row r="403" spans="1:100" s="441" customFormat="1">
      <c r="A403" s="375">
        <f t="shared" si="126"/>
        <v>9</v>
      </c>
      <c r="B403" s="862">
        <v>44443</v>
      </c>
      <c r="C403" s="493" t="s">
        <v>2000</v>
      </c>
      <c r="D403" s="376" t="str">
        <f>IFERROR(VLOOKUP(E:E,'Item Data Support Sheet'!A:O,7,0),"")</f>
        <v>BOTTLE PRINTED</v>
      </c>
      <c r="E403" s="447" t="s">
        <v>179</v>
      </c>
      <c r="F403" s="500"/>
      <c r="G403" s="497" t="s">
        <v>1698</v>
      </c>
      <c r="H403" s="602" t="str">
        <f>IFERROR(VLOOKUP(E:E,'Item Data Support Sheet'!A:O,2,0),"")</f>
        <v>RPP 240ML BOY BLUE BOTTLE PRINTED (WM3GB)</v>
      </c>
      <c r="I403" s="501" t="s">
        <v>2903</v>
      </c>
      <c r="J403" s="501" t="s">
        <v>2808</v>
      </c>
      <c r="K403" s="438">
        <v>3</v>
      </c>
      <c r="L403" s="499">
        <v>1200</v>
      </c>
      <c r="M403" s="366">
        <f t="shared" si="141"/>
        <v>400</v>
      </c>
      <c r="N403" s="367">
        <f t="shared" si="125"/>
        <v>925</v>
      </c>
      <c r="O403" s="61">
        <v>911</v>
      </c>
      <c r="P403" s="368">
        <v>0</v>
      </c>
      <c r="Q403" s="368">
        <v>0</v>
      </c>
      <c r="R403" s="494">
        <v>8</v>
      </c>
      <c r="S403" s="493">
        <v>0</v>
      </c>
      <c r="T403" s="494">
        <v>14</v>
      </c>
      <c r="U403" s="493">
        <v>0</v>
      </c>
      <c r="V403" s="502">
        <v>6</v>
      </c>
      <c r="W403" s="453">
        <f t="shared" si="127"/>
        <v>151.83333333333334</v>
      </c>
      <c r="X403" s="748">
        <f t="shared" si="128"/>
        <v>0.75916666666666666</v>
      </c>
      <c r="Y403" s="451" t="str">
        <f>IFERROR(VLOOKUP(E:E,'Item Data Support Sheet'!A:J,6,0),0)</f>
        <v>FO055</v>
      </c>
      <c r="Z403" s="428">
        <f>IFERROR(VLOOKUP(E:E,'Item Data Support Sheet'!A:O,4,0),0)</f>
        <v>0</v>
      </c>
      <c r="AA403" s="428">
        <f t="shared" si="129"/>
        <v>0</v>
      </c>
      <c r="AB403" s="429" t="str">
        <f t="shared" si="130"/>
        <v xml:space="preserve"> </v>
      </c>
      <c r="AC403" s="424">
        <f t="shared" si="131"/>
        <v>1.5135135135135135E-2</v>
      </c>
      <c r="AD403" s="371">
        <f t="shared" si="132"/>
        <v>0</v>
      </c>
      <c r="AE403" s="748">
        <f t="shared" si="133"/>
        <v>0.98486486486486491</v>
      </c>
      <c r="AF403" s="417">
        <f t="shared" si="134"/>
        <v>1.5</v>
      </c>
      <c r="AG403" s="416">
        <f t="shared" si="135"/>
        <v>1.5</v>
      </c>
      <c r="AH403" s="372">
        <f t="shared" si="136"/>
        <v>0.5</v>
      </c>
      <c r="AI403" s="373">
        <f t="shared" si="137"/>
        <v>303.66666666666669</v>
      </c>
      <c r="AJ403" s="418">
        <f>VLOOKUP(D403,'Standard Cycle time'!C:D,2,0)</f>
        <v>32.4</v>
      </c>
      <c r="AK403" s="418">
        <f t="shared" si="138"/>
        <v>35.565312843029638</v>
      </c>
      <c r="AL403" s="374">
        <f t="shared" si="139"/>
        <v>0.91099999999999992</v>
      </c>
      <c r="AM403" s="372">
        <f t="shared" si="140"/>
        <v>0.44860594594594594</v>
      </c>
      <c r="AN403" s="799" t="s">
        <v>2874</v>
      </c>
      <c r="AO403" s="448" t="s">
        <v>2904</v>
      </c>
      <c r="AP403" s="440">
        <v>50</v>
      </c>
      <c r="AQ403" s="440">
        <v>40</v>
      </c>
      <c r="AR403" s="440">
        <v>0</v>
      </c>
      <c r="AS403" s="440">
        <v>0</v>
      </c>
      <c r="AT403" s="440">
        <v>0</v>
      </c>
      <c r="AU403" s="440">
        <v>0</v>
      </c>
      <c r="AV403" s="440">
        <v>0</v>
      </c>
      <c r="AW403" s="440">
        <v>0</v>
      </c>
      <c r="AX403" s="440">
        <v>0</v>
      </c>
      <c r="AY403" s="440">
        <v>0</v>
      </c>
      <c r="AZ403" s="440">
        <v>0</v>
      </c>
      <c r="BA403" s="440">
        <v>0</v>
      </c>
      <c r="BB403" s="440">
        <v>0</v>
      </c>
      <c r="BC403" s="440">
        <v>0</v>
      </c>
      <c r="BD403" s="440">
        <v>0</v>
      </c>
      <c r="BE403" s="440">
        <v>0</v>
      </c>
      <c r="BF403" s="440">
        <v>0</v>
      </c>
      <c r="BG403" s="440">
        <v>0</v>
      </c>
      <c r="BH403" s="440">
        <v>0</v>
      </c>
      <c r="BI403" s="440">
        <v>0</v>
      </c>
      <c r="BJ403" s="440">
        <v>0</v>
      </c>
      <c r="BK403" s="440">
        <v>0</v>
      </c>
      <c r="BL403" s="440">
        <v>0</v>
      </c>
      <c r="BM403" s="440">
        <v>0</v>
      </c>
      <c r="BN403" s="440">
        <v>0</v>
      </c>
      <c r="BO403" s="440">
        <v>0</v>
      </c>
      <c r="BP403" s="440">
        <v>0</v>
      </c>
      <c r="BQ403" s="440">
        <v>0</v>
      </c>
      <c r="BR403" s="415">
        <v>1.5</v>
      </c>
      <c r="BS403" s="415">
        <v>1.5249999999999999</v>
      </c>
      <c r="BT403" s="935"/>
      <c r="BU403" s="935"/>
      <c r="BV403" s="935"/>
      <c r="BW403" s="935"/>
      <c r="BX403" s="935"/>
      <c r="BY403" s="935"/>
      <c r="BZ403" s="935"/>
      <c r="CA403" s="935"/>
      <c r="CB403" s="935"/>
      <c r="CC403" s="935"/>
      <c r="CD403" s="935"/>
      <c r="CE403" s="935"/>
      <c r="CF403" s="935"/>
      <c r="CG403" s="935"/>
      <c r="CH403" s="935"/>
      <c r="CI403" s="935"/>
      <c r="CJ403" s="935"/>
      <c r="CK403" s="935"/>
      <c r="CL403" s="935"/>
      <c r="CM403" s="935"/>
      <c r="CN403" s="935"/>
      <c r="CO403" s="935"/>
      <c r="CP403" s="935"/>
      <c r="CQ403" s="935"/>
      <c r="CR403" s="935"/>
      <c r="CS403" s="935"/>
      <c r="CT403" s="935"/>
      <c r="CU403" s="935"/>
      <c r="CV403" s="935"/>
    </row>
    <row r="404" spans="1:100" s="441" customFormat="1">
      <c r="A404" s="375">
        <f t="shared" si="126"/>
        <v>9</v>
      </c>
      <c r="B404" s="862">
        <v>44443</v>
      </c>
      <c r="C404" s="493" t="s">
        <v>2000</v>
      </c>
      <c r="D404" s="376" t="str">
        <f>IFERROR(VLOOKUP(E:E,'Item Data Support Sheet'!A:O,7,0),"")</f>
        <v>BOTTLE PRINTED</v>
      </c>
      <c r="E404" s="447" t="s">
        <v>64</v>
      </c>
      <c r="F404" s="500"/>
      <c r="G404" s="497" t="s">
        <v>1698</v>
      </c>
      <c r="H404" s="602" t="str">
        <f>IFERROR(VLOOKUP(E:E,'Item Data Support Sheet'!A:O,2,0),"")</f>
        <v>KPP 240 ML BOTTLE PRINTED</v>
      </c>
      <c r="I404" s="501" t="s">
        <v>2905</v>
      </c>
      <c r="J404" s="501" t="s">
        <v>2808</v>
      </c>
      <c r="K404" s="438">
        <v>5.5</v>
      </c>
      <c r="L404" s="499">
        <v>2400</v>
      </c>
      <c r="M404" s="366">
        <f t="shared" si="141"/>
        <v>436.36363636363637</v>
      </c>
      <c r="N404" s="367">
        <f t="shared" si="125"/>
        <v>2174</v>
      </c>
      <c r="O404" s="61">
        <v>2160</v>
      </c>
      <c r="P404" s="368">
        <v>0</v>
      </c>
      <c r="Q404" s="368">
        <v>0</v>
      </c>
      <c r="R404" s="494">
        <v>8</v>
      </c>
      <c r="S404" s="493">
        <v>0</v>
      </c>
      <c r="T404" s="494">
        <v>14</v>
      </c>
      <c r="U404" s="493">
        <v>0</v>
      </c>
      <c r="V404" s="502">
        <v>6</v>
      </c>
      <c r="W404" s="453">
        <f t="shared" si="127"/>
        <v>360</v>
      </c>
      <c r="X404" s="748">
        <f t="shared" si="128"/>
        <v>0.9</v>
      </c>
      <c r="Y404" s="451" t="str">
        <f>IFERROR(VLOOKUP(E:E,'Item Data Support Sheet'!A:J,6,0),0)</f>
        <v>FO003</v>
      </c>
      <c r="Z404" s="428">
        <f>IFERROR(VLOOKUP(E:E,'Item Data Support Sheet'!A:O,4,0),0)</f>
        <v>0</v>
      </c>
      <c r="AA404" s="428">
        <f t="shared" si="129"/>
        <v>0</v>
      </c>
      <c r="AB404" s="429" t="str">
        <f t="shared" si="130"/>
        <v xml:space="preserve"> </v>
      </c>
      <c r="AC404" s="424">
        <f t="shared" si="131"/>
        <v>6.439742410303588E-3</v>
      </c>
      <c r="AD404" s="371">
        <f t="shared" si="132"/>
        <v>0</v>
      </c>
      <c r="AE404" s="748">
        <f t="shared" si="133"/>
        <v>0.99356025758969646</v>
      </c>
      <c r="AF404" s="417">
        <f t="shared" si="134"/>
        <v>2</v>
      </c>
      <c r="AG404" s="416">
        <f t="shared" si="135"/>
        <v>3.5</v>
      </c>
      <c r="AH404" s="372">
        <f t="shared" si="136"/>
        <v>0.63636363636363635</v>
      </c>
      <c r="AI404" s="373">
        <f t="shared" si="137"/>
        <v>392.72727272727275</v>
      </c>
      <c r="AJ404" s="418">
        <f>VLOOKUP(D404,'Standard Cycle time'!C:D,2,0)</f>
        <v>32.4</v>
      </c>
      <c r="AK404" s="418">
        <f t="shared" si="138"/>
        <v>35</v>
      </c>
      <c r="AL404" s="374">
        <f t="shared" si="139"/>
        <v>0.92571428571428571</v>
      </c>
      <c r="AM404" s="372">
        <f t="shared" si="140"/>
        <v>0.58529731538011209</v>
      </c>
      <c r="AN404" s="799" t="s">
        <v>2874</v>
      </c>
      <c r="AO404" s="448" t="s">
        <v>2906</v>
      </c>
      <c r="AP404" s="440">
        <v>0</v>
      </c>
      <c r="AQ404" s="440">
        <v>0</v>
      </c>
      <c r="AR404" s="440">
        <v>0</v>
      </c>
      <c r="AS404" s="440">
        <v>0</v>
      </c>
      <c r="AT404" s="440">
        <v>0</v>
      </c>
      <c r="AU404" s="440">
        <v>0</v>
      </c>
      <c r="AV404" s="440">
        <v>0</v>
      </c>
      <c r="AW404" s="440">
        <v>0</v>
      </c>
      <c r="AX404" s="440">
        <v>0</v>
      </c>
      <c r="AY404" s="440">
        <v>0</v>
      </c>
      <c r="AZ404" s="440">
        <v>0</v>
      </c>
      <c r="BA404" s="440">
        <v>0</v>
      </c>
      <c r="BB404" s="440">
        <v>0</v>
      </c>
      <c r="BC404" s="440">
        <v>0</v>
      </c>
      <c r="BD404" s="440">
        <v>0</v>
      </c>
      <c r="BE404" s="440">
        <v>120</v>
      </c>
      <c r="BF404" s="440">
        <v>0</v>
      </c>
      <c r="BG404" s="440">
        <v>0</v>
      </c>
      <c r="BH404" s="440">
        <v>0</v>
      </c>
      <c r="BI404" s="440">
        <v>0</v>
      </c>
      <c r="BJ404" s="440">
        <v>0</v>
      </c>
      <c r="BK404" s="440">
        <v>0</v>
      </c>
      <c r="BL404" s="440">
        <v>0</v>
      </c>
      <c r="BM404" s="440">
        <v>0</v>
      </c>
      <c r="BN404" s="440">
        <v>0</v>
      </c>
      <c r="BO404" s="440">
        <v>0</v>
      </c>
      <c r="BP404" s="440">
        <v>0</v>
      </c>
      <c r="BQ404" s="440">
        <v>0</v>
      </c>
      <c r="BR404" s="415">
        <v>2</v>
      </c>
      <c r="BS404" s="415">
        <v>2.0333333333333332</v>
      </c>
      <c r="BT404" s="935"/>
      <c r="BU404" s="935"/>
      <c r="BV404" s="935"/>
      <c r="BW404" s="935"/>
      <c r="BX404" s="935"/>
      <c r="BY404" s="935"/>
      <c r="BZ404" s="935"/>
      <c r="CA404" s="935"/>
      <c r="CB404" s="935"/>
      <c r="CC404" s="935"/>
      <c r="CD404" s="935"/>
      <c r="CE404" s="935"/>
      <c r="CF404" s="935"/>
      <c r="CG404" s="935"/>
      <c r="CH404" s="935"/>
      <c r="CI404" s="935"/>
      <c r="CJ404" s="935"/>
      <c r="CK404" s="935"/>
      <c r="CL404" s="935"/>
      <c r="CM404" s="935"/>
      <c r="CN404" s="935"/>
      <c r="CO404" s="935"/>
      <c r="CP404" s="935"/>
      <c r="CQ404" s="935"/>
      <c r="CR404" s="935"/>
      <c r="CS404" s="935"/>
      <c r="CT404" s="935"/>
      <c r="CU404" s="935"/>
      <c r="CV404" s="935"/>
    </row>
    <row r="405" spans="1:100" s="441" customFormat="1">
      <c r="A405" s="375">
        <f t="shared" si="126"/>
        <v>9</v>
      </c>
      <c r="B405" s="862">
        <v>44443</v>
      </c>
      <c r="C405" s="493" t="s">
        <v>2001</v>
      </c>
      <c r="D405" s="376" t="str">
        <f>IFERROR(VLOOKUP(E:E,'Item Data Support Sheet'!A:O,7,0),"")</f>
        <v>NIPPLE MOLDED</v>
      </c>
      <c r="E405" s="447" t="s">
        <v>73</v>
      </c>
      <c r="F405" s="500" t="s">
        <v>1678</v>
      </c>
      <c r="G405" s="497" t="s">
        <v>1690</v>
      </c>
      <c r="H405" s="602" t="str">
        <f>IFERROR(VLOOKUP(E:E,'Item Data Support Sheet'!A:O,2,0),"")</f>
        <v>NIPPLE S TYPE M SIZE INJECTION</v>
      </c>
      <c r="I405" s="501" t="s">
        <v>2907</v>
      </c>
      <c r="J405" s="501" t="s">
        <v>2808</v>
      </c>
      <c r="K405" s="438">
        <v>8</v>
      </c>
      <c r="L405" s="499">
        <v>4815</v>
      </c>
      <c r="M405" s="366">
        <f t="shared" si="141"/>
        <v>601.875</v>
      </c>
      <c r="N405" s="367">
        <f t="shared" si="125"/>
        <v>5206</v>
      </c>
      <c r="O405" s="61">
        <v>5100</v>
      </c>
      <c r="P405" s="368">
        <v>0</v>
      </c>
      <c r="Q405" s="368">
        <v>45</v>
      </c>
      <c r="R405" s="494">
        <v>0</v>
      </c>
      <c r="S405" s="493">
        <v>0</v>
      </c>
      <c r="T405" s="494">
        <v>61</v>
      </c>
      <c r="U405" s="493">
        <v>0</v>
      </c>
      <c r="V405" s="502">
        <v>1</v>
      </c>
      <c r="W405" s="453">
        <f t="shared" si="127"/>
        <v>5100</v>
      </c>
      <c r="X405" s="748">
        <f t="shared" si="128"/>
        <v>1.0591900311526479</v>
      </c>
      <c r="Y405" s="451" t="str">
        <f>IFERROR(VLOOKUP(E:E,'Item Data Support Sheet'!A:J,6,0),0)</f>
        <v>Silicon</v>
      </c>
      <c r="Z405" s="428">
        <f>IFERROR(VLOOKUP(E:E,'Item Data Support Sheet'!A:O,4,0),0)</f>
        <v>6.8</v>
      </c>
      <c r="AA405" s="428">
        <f t="shared" si="129"/>
        <v>35.400799999999997</v>
      </c>
      <c r="AB405" s="429">
        <f t="shared" si="130"/>
        <v>0.97963887821744144</v>
      </c>
      <c r="AC405" s="424">
        <f t="shared" si="131"/>
        <v>1.1819414842084867E-2</v>
      </c>
      <c r="AD405" s="371">
        <f t="shared" si="132"/>
        <v>8.5697962292896595E-3</v>
      </c>
      <c r="AE405" s="748">
        <f t="shared" si="133"/>
        <v>0.9882827506723012</v>
      </c>
      <c r="AF405" s="417">
        <f t="shared" si="134"/>
        <v>0</v>
      </c>
      <c r="AG405" s="416">
        <f t="shared" si="135"/>
        <v>8</v>
      </c>
      <c r="AH405" s="372">
        <f t="shared" si="136"/>
        <v>1</v>
      </c>
      <c r="AI405" s="373">
        <f t="shared" si="137"/>
        <v>637.5</v>
      </c>
      <c r="AJ405" s="418">
        <f>VLOOKUP(D405,'Standard Cycle time'!C:D,2,0)</f>
        <v>5.25</v>
      </c>
      <c r="AK405" s="418">
        <f t="shared" si="138"/>
        <v>5.6470588235294121</v>
      </c>
      <c r="AL405" s="374">
        <f t="shared" si="139"/>
        <v>0.92968749999999989</v>
      </c>
      <c r="AM405" s="372">
        <f t="shared" si="140"/>
        <v>0.91879411976565495</v>
      </c>
      <c r="AN405" s="799" t="s">
        <v>2908</v>
      </c>
      <c r="AO405" s="448" t="s">
        <v>2822</v>
      </c>
      <c r="AP405" s="440">
        <v>0</v>
      </c>
      <c r="AQ405" s="440">
        <v>0</v>
      </c>
      <c r="AR405" s="440">
        <v>0</v>
      </c>
      <c r="AS405" s="440">
        <v>0</v>
      </c>
      <c r="AT405" s="440">
        <v>0</v>
      </c>
      <c r="AU405" s="440">
        <v>0</v>
      </c>
      <c r="AV405" s="440">
        <v>0</v>
      </c>
      <c r="AW405" s="440">
        <v>0</v>
      </c>
      <c r="AX405" s="440">
        <v>0</v>
      </c>
      <c r="AY405" s="440">
        <v>0</v>
      </c>
      <c r="AZ405" s="440">
        <v>0</v>
      </c>
      <c r="BA405" s="440">
        <v>0</v>
      </c>
      <c r="BB405" s="440">
        <v>0</v>
      </c>
      <c r="BC405" s="440">
        <v>0</v>
      </c>
      <c r="BD405" s="440">
        <v>0</v>
      </c>
      <c r="BE405" s="440">
        <v>0</v>
      </c>
      <c r="BF405" s="440">
        <v>0</v>
      </c>
      <c r="BG405" s="440">
        <v>0</v>
      </c>
      <c r="BH405" s="440">
        <v>0</v>
      </c>
      <c r="BI405" s="440">
        <v>0</v>
      </c>
      <c r="BJ405" s="440">
        <v>0</v>
      </c>
      <c r="BK405" s="440">
        <v>0</v>
      </c>
      <c r="BL405" s="440">
        <v>0</v>
      </c>
      <c r="BM405" s="440">
        <v>0</v>
      </c>
      <c r="BN405" s="440">
        <v>0</v>
      </c>
      <c r="BO405" s="440">
        <v>0</v>
      </c>
      <c r="BP405" s="440">
        <v>0</v>
      </c>
      <c r="BQ405" s="440">
        <v>0</v>
      </c>
      <c r="BR405" s="415">
        <v>0</v>
      </c>
      <c r="BS405" s="415">
        <v>0</v>
      </c>
      <c r="BT405" s="935"/>
      <c r="BU405" s="935"/>
      <c r="BV405" s="935"/>
      <c r="BW405" s="935"/>
      <c r="BX405" s="935"/>
      <c r="BY405" s="935"/>
      <c r="BZ405" s="935"/>
      <c r="CA405" s="935"/>
      <c r="CB405" s="935"/>
      <c r="CC405" s="935"/>
      <c r="CD405" s="935"/>
      <c r="CE405" s="935"/>
      <c r="CF405" s="935"/>
      <c r="CG405" s="935"/>
      <c r="CH405" s="935"/>
      <c r="CI405" s="935"/>
      <c r="CJ405" s="935"/>
      <c r="CK405" s="935"/>
      <c r="CL405" s="935"/>
      <c r="CM405" s="935"/>
      <c r="CN405" s="935"/>
      <c r="CO405" s="935"/>
      <c r="CP405" s="935"/>
      <c r="CQ405" s="935"/>
      <c r="CR405" s="935"/>
      <c r="CS405" s="935"/>
      <c r="CT405" s="935"/>
      <c r="CU405" s="935"/>
      <c r="CV405" s="935"/>
    </row>
    <row r="406" spans="1:100" s="441" customFormat="1">
      <c r="A406" s="375">
        <f t="shared" si="126"/>
        <v>9</v>
      </c>
      <c r="B406" s="862">
        <v>44443</v>
      </c>
      <c r="C406" s="493" t="s">
        <v>2001</v>
      </c>
      <c r="D406" s="376" t="str">
        <f>IFERROR(VLOOKUP(E:E,'Item Data Support Sheet'!A:O,7,0),"")</f>
        <v>NIPPLE POSTCURE</v>
      </c>
      <c r="E406" s="447" t="s">
        <v>77</v>
      </c>
      <c r="F406" s="500"/>
      <c r="G406" s="497" t="s">
        <v>1705</v>
      </c>
      <c r="H406" s="602" t="str">
        <f>IFERROR(VLOOKUP(E:E,'Item Data Support Sheet'!A:O,2,0),"")</f>
        <v>NIPPLE S TYPE M SIZE POSTCURED</v>
      </c>
      <c r="I406" s="501" t="s">
        <v>2909</v>
      </c>
      <c r="J406" s="501" t="s">
        <v>2808</v>
      </c>
      <c r="K406" s="438">
        <v>8</v>
      </c>
      <c r="L406" s="499">
        <v>7000</v>
      </c>
      <c r="M406" s="366">
        <f t="shared" si="141"/>
        <v>875</v>
      </c>
      <c r="N406" s="367">
        <f t="shared" si="125"/>
        <v>7900</v>
      </c>
      <c r="O406" s="61">
        <v>7900</v>
      </c>
      <c r="P406" s="368">
        <v>0</v>
      </c>
      <c r="Q406" s="368">
        <v>0</v>
      </c>
      <c r="R406" s="494">
        <v>0</v>
      </c>
      <c r="S406" s="493">
        <v>0</v>
      </c>
      <c r="T406" s="494">
        <v>0</v>
      </c>
      <c r="U406" s="493">
        <v>0</v>
      </c>
      <c r="V406" s="502">
        <v>1</v>
      </c>
      <c r="W406" s="453">
        <f t="shared" si="127"/>
        <v>7900</v>
      </c>
      <c r="X406" s="748">
        <f t="shared" si="128"/>
        <v>1.1285714285714286</v>
      </c>
      <c r="Y406" s="451" t="str">
        <f>IFERROR(VLOOKUP(E:E,'Item Data Support Sheet'!A:J,6,0),0)</f>
        <v>FO012</v>
      </c>
      <c r="Z406" s="428">
        <f>IFERROR(VLOOKUP(E:E,'Item Data Support Sheet'!A:O,4,0),0)</f>
        <v>0</v>
      </c>
      <c r="AA406" s="428">
        <f t="shared" si="129"/>
        <v>0</v>
      </c>
      <c r="AB406" s="429" t="str">
        <f t="shared" si="130"/>
        <v xml:space="preserve"> </v>
      </c>
      <c r="AC406" s="424">
        <f t="shared" si="131"/>
        <v>0</v>
      </c>
      <c r="AD406" s="371">
        <f t="shared" si="132"/>
        <v>0</v>
      </c>
      <c r="AE406" s="748">
        <f t="shared" si="133"/>
        <v>1</v>
      </c>
      <c r="AF406" s="417">
        <f t="shared" si="134"/>
        <v>2.6666666666666665</v>
      </c>
      <c r="AG406" s="416">
        <f t="shared" si="135"/>
        <v>5.3333333333333339</v>
      </c>
      <c r="AH406" s="372">
        <f t="shared" si="136"/>
        <v>0.66666666666666674</v>
      </c>
      <c r="AI406" s="373">
        <f t="shared" si="137"/>
        <v>987.5</v>
      </c>
      <c r="AJ406" s="418">
        <f>VLOOKUP(D406,'Standard Cycle time'!C:D,2,0)</f>
        <v>2.2999999999999998</v>
      </c>
      <c r="AK406" s="418">
        <f t="shared" si="138"/>
        <v>2.4303797468354436</v>
      </c>
      <c r="AL406" s="374">
        <f t="shared" si="139"/>
        <v>0.94635416666666639</v>
      </c>
      <c r="AM406" s="372">
        <f t="shared" si="140"/>
        <v>0.6309027777777777</v>
      </c>
      <c r="AN406" s="799" t="s">
        <v>2910</v>
      </c>
      <c r="AO406" s="448" t="s">
        <v>2902</v>
      </c>
      <c r="AP406" s="440">
        <v>40</v>
      </c>
      <c r="AQ406" s="440">
        <v>0</v>
      </c>
      <c r="AR406" s="440">
        <v>0</v>
      </c>
      <c r="AS406" s="440">
        <v>120</v>
      </c>
      <c r="AT406" s="440">
        <v>0</v>
      </c>
      <c r="AU406" s="440">
        <v>0</v>
      </c>
      <c r="AV406" s="440">
        <v>0</v>
      </c>
      <c r="AW406" s="440">
        <v>0</v>
      </c>
      <c r="AX406" s="440">
        <v>0</v>
      </c>
      <c r="AY406" s="440">
        <v>0</v>
      </c>
      <c r="AZ406" s="440">
        <v>0</v>
      </c>
      <c r="BA406" s="440">
        <v>0</v>
      </c>
      <c r="BB406" s="440">
        <v>0</v>
      </c>
      <c r="BC406" s="440">
        <v>0</v>
      </c>
      <c r="BD406" s="440">
        <v>0</v>
      </c>
      <c r="BE406" s="440">
        <v>0</v>
      </c>
      <c r="BF406" s="440">
        <v>0</v>
      </c>
      <c r="BG406" s="440">
        <v>0</v>
      </c>
      <c r="BH406" s="440">
        <v>0</v>
      </c>
      <c r="BI406" s="440">
        <v>0</v>
      </c>
      <c r="BJ406" s="440">
        <v>0</v>
      </c>
      <c r="BK406" s="440">
        <v>0</v>
      </c>
      <c r="BL406" s="440">
        <v>0</v>
      </c>
      <c r="BM406" s="440">
        <v>0</v>
      </c>
      <c r="BN406" s="440">
        <v>0</v>
      </c>
      <c r="BO406" s="440">
        <v>0</v>
      </c>
      <c r="BP406" s="440">
        <v>0</v>
      </c>
      <c r="BQ406" s="440">
        <v>0</v>
      </c>
      <c r="BR406" s="415">
        <v>2.6666666666666665</v>
      </c>
      <c r="BS406" s="415">
        <v>2.7111111111111108</v>
      </c>
      <c r="BT406" s="935"/>
      <c r="BU406" s="935"/>
      <c r="BV406" s="935"/>
      <c r="BW406" s="935"/>
      <c r="BX406" s="935"/>
      <c r="BY406" s="935"/>
      <c r="BZ406" s="935"/>
      <c r="CA406" s="935"/>
      <c r="CB406" s="935"/>
      <c r="CC406" s="935"/>
      <c r="CD406" s="935"/>
      <c r="CE406" s="935"/>
      <c r="CF406" s="935"/>
      <c r="CG406" s="935"/>
      <c r="CH406" s="935"/>
      <c r="CI406" s="935"/>
      <c r="CJ406" s="935"/>
      <c r="CK406" s="935"/>
      <c r="CL406" s="935"/>
      <c r="CM406" s="935"/>
      <c r="CN406" s="935"/>
      <c r="CO406" s="935"/>
      <c r="CP406" s="935"/>
      <c r="CQ406" s="935"/>
      <c r="CR406" s="935"/>
      <c r="CS406" s="935"/>
      <c r="CT406" s="935"/>
      <c r="CU406" s="935"/>
      <c r="CV406" s="935"/>
    </row>
    <row r="407" spans="1:100" s="441" customFormat="1">
      <c r="A407" s="375">
        <f t="shared" si="126"/>
        <v>9</v>
      </c>
      <c r="B407" s="862">
        <v>44443</v>
      </c>
      <c r="C407" s="493" t="s">
        <v>2001</v>
      </c>
      <c r="D407" s="376" t="str">
        <f>IFERROR(VLOOKUP(E:E,'Item Data Support Sheet'!A:O,7,0),"")</f>
        <v>NIPPLE PUNCH</v>
      </c>
      <c r="E407" s="447" t="s">
        <v>81</v>
      </c>
      <c r="F407" s="500"/>
      <c r="G407" s="497" t="s">
        <v>1692</v>
      </c>
      <c r="H407" s="602" t="str">
        <f>IFERROR(VLOOKUP(E:E,'Item Data Support Sheet'!A:O,2,0),"")</f>
        <v>NIPPLE S TYPE M SIZE PUNCHED</v>
      </c>
      <c r="I407" s="501" t="s">
        <v>2911</v>
      </c>
      <c r="J407" s="501" t="s">
        <v>2808</v>
      </c>
      <c r="K407" s="438">
        <v>8</v>
      </c>
      <c r="L407" s="499">
        <v>7036</v>
      </c>
      <c r="M407" s="366">
        <f t="shared" si="141"/>
        <v>879.5</v>
      </c>
      <c r="N407" s="367">
        <f t="shared" si="125"/>
        <v>4400</v>
      </c>
      <c r="O407" s="61">
        <v>4392</v>
      </c>
      <c r="P407" s="368">
        <v>0</v>
      </c>
      <c r="Q407" s="368">
        <v>0</v>
      </c>
      <c r="R407" s="494">
        <v>0</v>
      </c>
      <c r="S407" s="493">
        <v>0</v>
      </c>
      <c r="T407" s="494">
        <v>8</v>
      </c>
      <c r="U407" s="493">
        <v>0</v>
      </c>
      <c r="V407" s="502">
        <v>1</v>
      </c>
      <c r="W407" s="453">
        <f t="shared" si="127"/>
        <v>4392</v>
      </c>
      <c r="X407" s="748">
        <f t="shared" si="128"/>
        <v>0.62421830585559979</v>
      </c>
      <c r="Y407" s="451" t="str">
        <f>IFERROR(VLOOKUP(E:E,'Item Data Support Sheet'!A:J,6,0),0)</f>
        <v>FO016</v>
      </c>
      <c r="Z407" s="428">
        <f>IFERROR(VLOOKUP(E:E,'Item Data Support Sheet'!A:O,4,0),0)</f>
        <v>0</v>
      </c>
      <c r="AA407" s="428">
        <f t="shared" si="129"/>
        <v>0</v>
      </c>
      <c r="AB407" s="429" t="str">
        <f t="shared" si="130"/>
        <v xml:space="preserve"> </v>
      </c>
      <c r="AC407" s="424">
        <f t="shared" si="131"/>
        <v>1.8181818181818182E-3</v>
      </c>
      <c r="AD407" s="371">
        <f t="shared" si="132"/>
        <v>0</v>
      </c>
      <c r="AE407" s="748">
        <f t="shared" si="133"/>
        <v>0.99818181818181817</v>
      </c>
      <c r="AF407" s="417">
        <f t="shared" si="134"/>
        <v>2.6666666666666665</v>
      </c>
      <c r="AG407" s="416">
        <f t="shared" si="135"/>
        <v>5.3333333333333339</v>
      </c>
      <c r="AH407" s="372">
        <f t="shared" si="136"/>
        <v>0.66666666666666674</v>
      </c>
      <c r="AI407" s="373">
        <f t="shared" si="137"/>
        <v>549</v>
      </c>
      <c r="AJ407" s="418">
        <f>VLOOKUP(D407,'Standard Cycle time'!C:D,2,0)</f>
        <v>3.5</v>
      </c>
      <c r="AK407" s="418">
        <f t="shared" si="138"/>
        <v>4.3715846994535523</v>
      </c>
      <c r="AL407" s="374">
        <f t="shared" si="139"/>
        <v>0.80062499999999992</v>
      </c>
      <c r="AM407" s="372">
        <f t="shared" si="140"/>
        <v>0.53277954545454553</v>
      </c>
      <c r="AN407" s="799" t="s">
        <v>2912</v>
      </c>
      <c r="AO407" s="448" t="s">
        <v>2902</v>
      </c>
      <c r="AP407" s="440">
        <v>40</v>
      </c>
      <c r="AQ407" s="440">
        <v>0</v>
      </c>
      <c r="AR407" s="440">
        <v>0</v>
      </c>
      <c r="AS407" s="440">
        <v>0</v>
      </c>
      <c r="AT407" s="440">
        <v>0</v>
      </c>
      <c r="AU407" s="440">
        <v>0</v>
      </c>
      <c r="AV407" s="440">
        <v>0</v>
      </c>
      <c r="AW407" s="440">
        <v>0</v>
      </c>
      <c r="AX407" s="440">
        <v>0</v>
      </c>
      <c r="AY407" s="440">
        <v>0</v>
      </c>
      <c r="AZ407" s="440">
        <v>0</v>
      </c>
      <c r="BA407" s="440">
        <v>0</v>
      </c>
      <c r="BB407" s="440">
        <v>0</v>
      </c>
      <c r="BC407" s="440">
        <v>0</v>
      </c>
      <c r="BD407" s="440">
        <v>0</v>
      </c>
      <c r="BE407" s="440">
        <v>120</v>
      </c>
      <c r="BF407" s="440">
        <v>0</v>
      </c>
      <c r="BG407" s="440">
        <v>0</v>
      </c>
      <c r="BH407" s="440">
        <v>0</v>
      </c>
      <c r="BI407" s="440">
        <v>0</v>
      </c>
      <c r="BJ407" s="440">
        <v>0</v>
      </c>
      <c r="BK407" s="440">
        <v>0</v>
      </c>
      <c r="BL407" s="440">
        <v>0</v>
      </c>
      <c r="BM407" s="440">
        <v>0</v>
      </c>
      <c r="BN407" s="440">
        <v>0</v>
      </c>
      <c r="BO407" s="440">
        <v>0</v>
      </c>
      <c r="BP407" s="440">
        <v>0</v>
      </c>
      <c r="BQ407" s="440">
        <v>0</v>
      </c>
      <c r="BR407" s="415">
        <v>2.6666666666666665</v>
      </c>
      <c r="BS407" s="415">
        <v>2.7111111111111108</v>
      </c>
      <c r="BT407" s="935"/>
      <c r="BU407" s="935"/>
      <c r="BV407" s="935"/>
      <c r="BW407" s="935"/>
      <c r="BX407" s="935"/>
      <c r="BY407" s="935"/>
      <c r="BZ407" s="935"/>
      <c r="CA407" s="935"/>
      <c r="CB407" s="935"/>
      <c r="CC407" s="935"/>
      <c r="CD407" s="935"/>
      <c r="CE407" s="935"/>
      <c r="CF407" s="935"/>
      <c r="CG407" s="935"/>
      <c r="CH407" s="935"/>
      <c r="CI407" s="935"/>
      <c r="CJ407" s="935"/>
      <c r="CK407" s="935"/>
      <c r="CL407" s="935"/>
      <c r="CM407" s="935"/>
      <c r="CN407" s="935"/>
      <c r="CO407" s="935"/>
      <c r="CP407" s="935"/>
      <c r="CQ407" s="935"/>
      <c r="CR407" s="935"/>
      <c r="CS407" s="935"/>
      <c r="CT407" s="935"/>
      <c r="CU407" s="935"/>
      <c r="CV407" s="935"/>
    </row>
    <row r="408" spans="1:100" s="441" customFormat="1">
      <c r="A408" s="375">
        <f t="shared" si="126"/>
        <v>9</v>
      </c>
      <c r="B408" s="862">
        <v>44443</v>
      </c>
      <c r="C408" s="493" t="s">
        <v>2001</v>
      </c>
      <c r="D408" s="376" t="str">
        <f>IFERROR(VLOOKUP(E:E,'Item Data Support Sheet'!A:O,7,0),"")</f>
        <v>HOOD MOLDED</v>
      </c>
      <c r="E408" s="447" t="s">
        <v>1987</v>
      </c>
      <c r="F408" s="500"/>
      <c r="G408" s="497" t="s">
        <v>2729</v>
      </c>
      <c r="H408" s="602" t="str">
        <f>IFERROR(VLOOKUP(E:E,'Item Data Support Sheet'!A:O,2,0),"")</f>
        <v>HOOD S TYPE MOLDED</v>
      </c>
      <c r="I408" s="501" t="s">
        <v>2913</v>
      </c>
      <c r="J408" s="501" t="s">
        <v>2808</v>
      </c>
      <c r="K408" s="438">
        <v>8</v>
      </c>
      <c r="L408" s="499">
        <v>4137</v>
      </c>
      <c r="M408" s="366">
        <f t="shared" si="141"/>
        <v>517.125</v>
      </c>
      <c r="N408" s="367">
        <f t="shared" si="125"/>
        <v>5321</v>
      </c>
      <c r="O408" s="61">
        <v>5300</v>
      </c>
      <c r="P408" s="368">
        <v>0</v>
      </c>
      <c r="Q408" s="368">
        <v>0</v>
      </c>
      <c r="R408" s="494">
        <v>0</v>
      </c>
      <c r="S408" s="493">
        <v>0</v>
      </c>
      <c r="T408" s="494">
        <v>21</v>
      </c>
      <c r="U408" s="493">
        <v>0</v>
      </c>
      <c r="V408" s="502">
        <v>1</v>
      </c>
      <c r="W408" s="453">
        <f t="shared" si="127"/>
        <v>5300</v>
      </c>
      <c r="X408" s="748">
        <f t="shared" si="128"/>
        <v>1.2811215856901137</v>
      </c>
      <c r="Y408" s="451" t="str">
        <f>IFERROR(VLOOKUP(E:E,'Item Data Support Sheet'!A:J,6,0),0)</f>
        <v>HMC</v>
      </c>
      <c r="Z408" s="428">
        <f>IFERROR(VLOOKUP(E:E,'Item Data Support Sheet'!A:O,4,0),0)</f>
        <v>8.6</v>
      </c>
      <c r="AA408" s="428">
        <f t="shared" si="129"/>
        <v>45.760599999999997</v>
      </c>
      <c r="AB408" s="429">
        <f t="shared" si="130"/>
        <v>0.99605337342604772</v>
      </c>
      <c r="AC408" s="424">
        <f t="shared" si="131"/>
        <v>3.946626573952265E-3</v>
      </c>
      <c r="AD408" s="371">
        <f t="shared" si="132"/>
        <v>0</v>
      </c>
      <c r="AE408" s="748">
        <f t="shared" si="133"/>
        <v>0.99605337342604772</v>
      </c>
      <c r="AF408" s="417">
        <f t="shared" si="134"/>
        <v>0</v>
      </c>
      <c r="AG408" s="416">
        <f t="shared" si="135"/>
        <v>8</v>
      </c>
      <c r="AH408" s="372">
        <f t="shared" si="136"/>
        <v>1</v>
      </c>
      <c r="AI408" s="373">
        <f t="shared" si="137"/>
        <v>662.5</v>
      </c>
      <c r="AJ408" s="418">
        <f>VLOOKUP(D408,'Standard Cycle time'!C:D,2,0)</f>
        <v>6</v>
      </c>
      <c r="AK408" s="418">
        <f t="shared" si="138"/>
        <v>5.4339622641509431</v>
      </c>
      <c r="AL408" s="374">
        <f t="shared" si="139"/>
        <v>1.1041666666666667</v>
      </c>
      <c r="AM408" s="372">
        <f t="shared" si="140"/>
        <v>1.0998089331579277</v>
      </c>
      <c r="AN408" s="799">
        <v>2988</v>
      </c>
      <c r="AO408" s="448" t="s">
        <v>2914</v>
      </c>
      <c r="AP408" s="440">
        <v>0</v>
      </c>
      <c r="AQ408" s="440">
        <v>0</v>
      </c>
      <c r="AR408" s="440">
        <v>0</v>
      </c>
      <c r="AS408" s="440">
        <v>0</v>
      </c>
      <c r="AT408" s="440">
        <v>0</v>
      </c>
      <c r="AU408" s="440">
        <v>0</v>
      </c>
      <c r="AV408" s="440">
        <v>0</v>
      </c>
      <c r="AW408" s="440">
        <v>0</v>
      </c>
      <c r="AX408" s="440">
        <v>0</v>
      </c>
      <c r="AY408" s="440">
        <v>0</v>
      </c>
      <c r="AZ408" s="440">
        <v>0</v>
      </c>
      <c r="BA408" s="440">
        <v>0</v>
      </c>
      <c r="BB408" s="440">
        <v>0</v>
      </c>
      <c r="BC408" s="440">
        <v>0</v>
      </c>
      <c r="BD408" s="440">
        <v>0</v>
      </c>
      <c r="BE408" s="440">
        <v>0</v>
      </c>
      <c r="BF408" s="440">
        <v>0</v>
      </c>
      <c r="BG408" s="440">
        <v>0</v>
      </c>
      <c r="BH408" s="440">
        <v>0</v>
      </c>
      <c r="BI408" s="440">
        <v>0</v>
      </c>
      <c r="BJ408" s="440">
        <v>0</v>
      </c>
      <c r="BK408" s="440">
        <v>0</v>
      </c>
      <c r="BL408" s="440">
        <v>0</v>
      </c>
      <c r="BM408" s="440">
        <v>0</v>
      </c>
      <c r="BN408" s="440">
        <v>0</v>
      </c>
      <c r="BO408" s="440">
        <v>0</v>
      </c>
      <c r="BP408" s="440">
        <v>0</v>
      </c>
      <c r="BQ408" s="440">
        <v>0</v>
      </c>
      <c r="BR408" s="415">
        <v>0</v>
      </c>
      <c r="BS408" s="415">
        <v>0</v>
      </c>
      <c r="BT408" s="935"/>
      <c r="BU408" s="935"/>
      <c r="BV408" s="935"/>
      <c r="BW408" s="935"/>
      <c r="BX408" s="935"/>
      <c r="BY408" s="935"/>
      <c r="BZ408" s="935"/>
      <c r="CA408" s="935"/>
      <c r="CB408" s="935"/>
      <c r="CC408" s="935"/>
      <c r="CD408" s="935"/>
      <c r="CE408" s="935"/>
      <c r="CF408" s="935"/>
      <c r="CG408" s="935"/>
      <c r="CH408" s="935"/>
      <c r="CI408" s="935"/>
      <c r="CJ408" s="935"/>
      <c r="CK408" s="935"/>
      <c r="CL408" s="935"/>
      <c r="CM408" s="935"/>
      <c r="CN408" s="935"/>
      <c r="CO408" s="935"/>
      <c r="CP408" s="935"/>
      <c r="CQ408" s="935"/>
      <c r="CR408" s="935"/>
      <c r="CS408" s="935"/>
      <c r="CT408" s="935"/>
      <c r="CU408" s="935"/>
      <c r="CV408" s="935"/>
    </row>
    <row r="409" spans="1:100" s="441" customFormat="1">
      <c r="A409" s="375">
        <f t="shared" si="126"/>
        <v>9</v>
      </c>
      <c r="B409" s="862">
        <v>44443</v>
      </c>
      <c r="C409" s="493" t="s">
        <v>2001</v>
      </c>
      <c r="D409" s="376" t="str">
        <f>IFERROR(VLOOKUP(E:E,'Item Data Support Sheet'!A:O,7,0),"")</f>
        <v>BOTTLE MOLDED</v>
      </c>
      <c r="E409" s="447" t="s">
        <v>113</v>
      </c>
      <c r="F409" s="500" t="s">
        <v>1680</v>
      </c>
      <c r="G409" s="497" t="s">
        <v>1665</v>
      </c>
      <c r="H409" s="602" t="str">
        <f>IFERROR(VLOOKUP(E:E,'Item Data Support Sheet'!A:O,2,0),"")</f>
        <v>KPP BOTTLE 200 ML MOULDED-WMG3B</v>
      </c>
      <c r="I409" s="501" t="s">
        <v>2915</v>
      </c>
      <c r="J409" s="501" t="s">
        <v>2808</v>
      </c>
      <c r="K409" s="438">
        <v>8</v>
      </c>
      <c r="L409" s="499">
        <v>2503</v>
      </c>
      <c r="M409" s="366">
        <f t="shared" si="141"/>
        <v>312.875</v>
      </c>
      <c r="N409" s="367">
        <f t="shared" si="125"/>
        <v>1306</v>
      </c>
      <c r="O409" s="61">
        <v>1188</v>
      </c>
      <c r="P409" s="368">
        <v>0.45</v>
      </c>
      <c r="Q409" s="368">
        <v>74</v>
      </c>
      <c r="R409" s="494">
        <v>0</v>
      </c>
      <c r="S409" s="493">
        <v>0</v>
      </c>
      <c r="T409" s="494">
        <v>36</v>
      </c>
      <c r="U409" s="493">
        <v>8</v>
      </c>
      <c r="V409" s="502">
        <v>1</v>
      </c>
      <c r="W409" s="453">
        <f t="shared" si="127"/>
        <v>1188</v>
      </c>
      <c r="X409" s="748">
        <f t="shared" si="128"/>
        <v>0.47463044346783861</v>
      </c>
      <c r="Y409" s="451" t="str">
        <f>IFERROR(VLOOKUP(E:E,'Item Data Support Sheet'!A:J,6,0),0)</f>
        <v>WMG3B</v>
      </c>
      <c r="Z409" s="428">
        <f>IFERROR(VLOOKUP(E:E,'Item Data Support Sheet'!A:O,4,0),0)</f>
        <v>28.6</v>
      </c>
      <c r="AA409" s="428">
        <f t="shared" si="129"/>
        <v>37.801600000000001</v>
      </c>
      <c r="AB409" s="429">
        <f t="shared" si="130"/>
        <v>0.89881909760433409</v>
      </c>
      <c r="AC409" s="424">
        <f t="shared" si="131"/>
        <v>2.9411764705882353E-2</v>
      </c>
      <c r="AD409" s="371">
        <f t="shared" si="132"/>
        <v>5.3623188405797099E-2</v>
      </c>
      <c r="AE409" s="748">
        <f t="shared" si="133"/>
        <v>0.97243491577335373</v>
      </c>
      <c r="AF409" s="417">
        <f t="shared" si="134"/>
        <v>4.5</v>
      </c>
      <c r="AG409" s="416">
        <f t="shared" si="135"/>
        <v>3.5</v>
      </c>
      <c r="AH409" s="372">
        <f t="shared" si="136"/>
        <v>0.4375</v>
      </c>
      <c r="AI409" s="373">
        <f t="shared" si="137"/>
        <v>148.5</v>
      </c>
      <c r="AJ409" s="418">
        <f>VLOOKUP(D409,'Standard Cycle time'!C:D,2,0)</f>
        <v>9</v>
      </c>
      <c r="AK409" s="418">
        <f t="shared" si="138"/>
        <v>10.606060606060606</v>
      </c>
      <c r="AL409" s="374">
        <f t="shared" si="139"/>
        <v>0.84857142857142864</v>
      </c>
      <c r="AM409" s="372">
        <f t="shared" si="140"/>
        <v>0.36101646248085761</v>
      </c>
      <c r="AN409" s="799">
        <v>2992</v>
      </c>
      <c r="AO409" s="448" t="s">
        <v>2916</v>
      </c>
      <c r="AP409" s="440">
        <v>0</v>
      </c>
      <c r="AQ409" s="440">
        <v>170</v>
      </c>
      <c r="AR409" s="440">
        <v>70</v>
      </c>
      <c r="AS409" s="440">
        <v>0</v>
      </c>
      <c r="AT409" s="440">
        <v>0</v>
      </c>
      <c r="AU409" s="440">
        <v>0</v>
      </c>
      <c r="AV409" s="440">
        <v>30</v>
      </c>
      <c r="AW409" s="440">
        <v>0</v>
      </c>
      <c r="AX409" s="440">
        <v>0</v>
      </c>
      <c r="AY409" s="440">
        <v>0</v>
      </c>
      <c r="AZ409" s="440">
        <v>0</v>
      </c>
      <c r="BA409" s="440">
        <v>0</v>
      </c>
      <c r="BB409" s="440">
        <v>0</v>
      </c>
      <c r="BC409" s="440">
        <v>0</v>
      </c>
      <c r="BD409" s="440">
        <v>0</v>
      </c>
      <c r="BE409" s="440">
        <v>0</v>
      </c>
      <c r="BF409" s="440">
        <v>0</v>
      </c>
      <c r="BG409" s="440">
        <v>0</v>
      </c>
      <c r="BH409" s="440">
        <v>0</v>
      </c>
      <c r="BI409" s="440">
        <v>0</v>
      </c>
      <c r="BJ409" s="440">
        <v>0</v>
      </c>
      <c r="BK409" s="440">
        <v>0</v>
      </c>
      <c r="BL409" s="440">
        <v>0</v>
      </c>
      <c r="BM409" s="440">
        <v>0</v>
      </c>
      <c r="BN409" s="440">
        <v>0</v>
      </c>
      <c r="BO409" s="440">
        <v>0</v>
      </c>
      <c r="BP409" s="440">
        <v>0</v>
      </c>
      <c r="BQ409" s="440">
        <v>0</v>
      </c>
      <c r="BR409" s="415">
        <v>4.5</v>
      </c>
      <c r="BS409" s="415">
        <v>4.5750000000000002</v>
      </c>
      <c r="BT409" s="935"/>
      <c r="BU409" s="935"/>
      <c r="BV409" s="935"/>
      <c r="BW409" s="935"/>
      <c r="BX409" s="935"/>
      <c r="BY409" s="935"/>
      <c r="BZ409" s="935"/>
      <c r="CA409" s="935"/>
      <c r="CB409" s="935"/>
      <c r="CC409" s="935"/>
      <c r="CD409" s="935"/>
      <c r="CE409" s="935"/>
      <c r="CF409" s="935"/>
      <c r="CG409" s="935"/>
      <c r="CH409" s="935"/>
      <c r="CI409" s="935"/>
      <c r="CJ409" s="935"/>
      <c r="CK409" s="935"/>
      <c r="CL409" s="935"/>
      <c r="CM409" s="935"/>
      <c r="CN409" s="935"/>
      <c r="CO409" s="935"/>
      <c r="CP409" s="935"/>
      <c r="CQ409" s="935"/>
      <c r="CR409" s="935"/>
      <c r="CS409" s="935"/>
      <c r="CT409" s="935"/>
      <c r="CU409" s="935"/>
      <c r="CV409" s="935"/>
    </row>
    <row r="410" spans="1:100" s="441" customFormat="1">
      <c r="A410" s="375">
        <f t="shared" si="126"/>
        <v>9</v>
      </c>
      <c r="B410" s="862">
        <v>44443</v>
      </c>
      <c r="C410" s="493" t="s">
        <v>2053</v>
      </c>
      <c r="D410" s="376" t="str">
        <f>IFERROR(VLOOKUP(E:E,'Item Data Support Sheet'!A:O,7,0),"")</f>
        <v>BOTTLE MOLDED</v>
      </c>
      <c r="E410" s="447" t="s">
        <v>113</v>
      </c>
      <c r="F410" s="500" t="s">
        <v>1680</v>
      </c>
      <c r="G410" s="497" t="s">
        <v>1665</v>
      </c>
      <c r="H410" s="602" t="str">
        <f>IFERROR(VLOOKUP(E:E,'Item Data Support Sheet'!A:O,2,0),"")</f>
        <v>KPP BOTTLE 200 ML MOULDED-WMG3B</v>
      </c>
      <c r="I410" s="501" t="s">
        <v>2917</v>
      </c>
      <c r="J410" s="501" t="s">
        <v>2826</v>
      </c>
      <c r="K410" s="438">
        <v>8</v>
      </c>
      <c r="L410" s="499">
        <v>2503</v>
      </c>
      <c r="M410" s="366">
        <f t="shared" si="141"/>
        <v>312.875</v>
      </c>
      <c r="N410" s="367">
        <f t="shared" si="125"/>
        <v>2854</v>
      </c>
      <c r="O410" s="61">
        <v>2700</v>
      </c>
      <c r="P410" s="368">
        <v>0.2</v>
      </c>
      <c r="Q410" s="368">
        <v>80</v>
      </c>
      <c r="R410" s="494">
        <v>0</v>
      </c>
      <c r="S410" s="493">
        <v>0</v>
      </c>
      <c r="T410" s="494">
        <v>66</v>
      </c>
      <c r="U410" s="493">
        <v>8</v>
      </c>
      <c r="V410" s="502">
        <v>1</v>
      </c>
      <c r="W410" s="453">
        <f t="shared" si="127"/>
        <v>2700</v>
      </c>
      <c r="X410" s="748">
        <f t="shared" si="128"/>
        <v>1.0787055533359968</v>
      </c>
      <c r="Y410" s="451" t="str">
        <f>IFERROR(VLOOKUP(E:E,'Item Data Support Sheet'!A:J,6,0),0)</f>
        <v>WMG3B</v>
      </c>
      <c r="Z410" s="428">
        <f>IFERROR(VLOOKUP(E:E,'Item Data Support Sheet'!A:O,4,0),0)</f>
        <v>28.6</v>
      </c>
      <c r="AA410" s="428">
        <f t="shared" si="129"/>
        <v>81.824399999999997</v>
      </c>
      <c r="AB410" s="429">
        <f t="shared" si="130"/>
        <v>0.94372827665097458</v>
      </c>
      <c r="AC410" s="424">
        <f t="shared" si="131"/>
        <v>2.3861171366594359E-2</v>
      </c>
      <c r="AD410" s="371">
        <f t="shared" si="132"/>
        <v>2.7266530334014997E-2</v>
      </c>
      <c r="AE410" s="748">
        <f t="shared" si="133"/>
        <v>0.97687456201822009</v>
      </c>
      <c r="AF410" s="417">
        <f t="shared" si="134"/>
        <v>0</v>
      </c>
      <c r="AG410" s="416">
        <f t="shared" si="135"/>
        <v>8</v>
      </c>
      <c r="AH410" s="372">
        <f t="shared" si="136"/>
        <v>1</v>
      </c>
      <c r="AI410" s="373">
        <f t="shared" si="137"/>
        <v>337.5</v>
      </c>
      <c r="AJ410" s="418">
        <f>VLOOKUP(D410,'Standard Cycle time'!C:D,2,0)</f>
        <v>9</v>
      </c>
      <c r="AK410" s="418">
        <f t="shared" si="138"/>
        <v>10.666666666666666</v>
      </c>
      <c r="AL410" s="374">
        <f t="shared" si="139"/>
        <v>0.84375</v>
      </c>
      <c r="AM410" s="372">
        <f t="shared" si="140"/>
        <v>0.82423791170287319</v>
      </c>
      <c r="AN410" s="799">
        <v>2994</v>
      </c>
      <c r="AO410" s="448" t="s">
        <v>2918</v>
      </c>
      <c r="AP410" s="440">
        <v>0</v>
      </c>
      <c r="AQ410" s="440">
        <v>0</v>
      </c>
      <c r="AR410" s="440">
        <v>0</v>
      </c>
      <c r="AS410" s="440">
        <v>0</v>
      </c>
      <c r="AT410" s="440">
        <v>0</v>
      </c>
      <c r="AU410" s="440">
        <v>0</v>
      </c>
      <c r="AV410" s="440">
        <v>0</v>
      </c>
      <c r="AW410" s="440">
        <v>0</v>
      </c>
      <c r="AX410" s="440">
        <v>0</v>
      </c>
      <c r="AY410" s="440">
        <v>0</v>
      </c>
      <c r="AZ410" s="440">
        <v>0</v>
      </c>
      <c r="BA410" s="440">
        <v>0</v>
      </c>
      <c r="BB410" s="440">
        <v>0</v>
      </c>
      <c r="BC410" s="440">
        <v>0</v>
      </c>
      <c r="BD410" s="440">
        <v>0</v>
      </c>
      <c r="BE410" s="440">
        <v>0</v>
      </c>
      <c r="BF410" s="440">
        <v>0</v>
      </c>
      <c r="BG410" s="440">
        <v>0</v>
      </c>
      <c r="BH410" s="440">
        <v>0</v>
      </c>
      <c r="BI410" s="440">
        <v>0</v>
      </c>
      <c r="BJ410" s="440">
        <v>0</v>
      </c>
      <c r="BK410" s="440">
        <v>0</v>
      </c>
      <c r="BL410" s="440">
        <v>0</v>
      </c>
      <c r="BM410" s="440">
        <v>0</v>
      </c>
      <c r="BN410" s="440">
        <v>0</v>
      </c>
      <c r="BO410" s="440">
        <v>0</v>
      </c>
      <c r="BP410" s="440">
        <v>0</v>
      </c>
      <c r="BQ410" s="440">
        <v>0</v>
      </c>
      <c r="BR410" s="415">
        <v>0</v>
      </c>
      <c r="BS410" s="415">
        <v>0</v>
      </c>
      <c r="BT410" s="935"/>
      <c r="BU410" s="935"/>
      <c r="BV410" s="935"/>
      <c r="BW410" s="935"/>
      <c r="BX410" s="935"/>
      <c r="BY410" s="935"/>
      <c r="BZ410" s="935"/>
      <c r="CA410" s="935"/>
      <c r="CB410" s="935"/>
      <c r="CC410" s="935"/>
      <c r="CD410" s="935"/>
      <c r="CE410" s="935"/>
      <c r="CF410" s="935"/>
      <c r="CG410" s="935"/>
      <c r="CH410" s="935"/>
      <c r="CI410" s="935"/>
      <c r="CJ410" s="935"/>
      <c r="CK410" s="935"/>
      <c r="CL410" s="935"/>
      <c r="CM410" s="935"/>
      <c r="CN410" s="935"/>
      <c r="CO410" s="935"/>
      <c r="CP410" s="935"/>
      <c r="CQ410" s="935"/>
      <c r="CR410" s="935"/>
      <c r="CS410" s="935"/>
      <c r="CT410" s="935"/>
      <c r="CU410" s="935"/>
      <c r="CV410" s="935"/>
    </row>
    <row r="411" spans="1:100" s="441" customFormat="1">
      <c r="A411" s="375">
        <f t="shared" si="126"/>
        <v>9</v>
      </c>
      <c r="B411" s="862">
        <v>44443</v>
      </c>
      <c r="C411" s="493" t="s">
        <v>2053</v>
      </c>
      <c r="D411" s="376" t="str">
        <f>IFERROR(VLOOKUP(E:E,'Item Data Support Sheet'!A:O,7,0),"")</f>
        <v>HOOD MOLDED</v>
      </c>
      <c r="E411" s="447" t="s">
        <v>1987</v>
      </c>
      <c r="F411" s="500"/>
      <c r="G411" s="497" t="s">
        <v>2729</v>
      </c>
      <c r="H411" s="602" t="str">
        <f>IFERROR(VLOOKUP(E:E,'Item Data Support Sheet'!A:O,2,0),"")</f>
        <v>HOOD S TYPE MOLDED</v>
      </c>
      <c r="I411" s="501" t="s">
        <v>2919</v>
      </c>
      <c r="J411" s="501" t="s">
        <v>2826</v>
      </c>
      <c r="K411" s="438">
        <v>8</v>
      </c>
      <c r="L411" s="499">
        <v>4137</v>
      </c>
      <c r="M411" s="366">
        <f t="shared" si="141"/>
        <v>517.125</v>
      </c>
      <c r="N411" s="367">
        <f t="shared" si="125"/>
        <v>5216</v>
      </c>
      <c r="O411" s="61">
        <v>5200</v>
      </c>
      <c r="P411" s="368">
        <v>0</v>
      </c>
      <c r="Q411" s="368">
        <v>0</v>
      </c>
      <c r="R411" s="494">
        <v>0</v>
      </c>
      <c r="S411" s="493">
        <v>0</v>
      </c>
      <c r="T411" s="494">
        <v>8</v>
      </c>
      <c r="U411" s="493">
        <v>8</v>
      </c>
      <c r="V411" s="502">
        <v>1</v>
      </c>
      <c r="W411" s="453">
        <f t="shared" si="127"/>
        <v>5200</v>
      </c>
      <c r="X411" s="748">
        <f t="shared" si="128"/>
        <v>1.2569494802997341</v>
      </c>
      <c r="Y411" s="451" t="str">
        <f>IFERROR(VLOOKUP(E:E,'Item Data Support Sheet'!A:J,6,0),0)</f>
        <v>HMC</v>
      </c>
      <c r="Z411" s="428">
        <f>IFERROR(VLOOKUP(E:E,'Item Data Support Sheet'!A:O,4,0),0)</f>
        <v>8.6</v>
      </c>
      <c r="AA411" s="428">
        <f t="shared" si="129"/>
        <v>44.857599999999998</v>
      </c>
      <c r="AB411" s="429">
        <f t="shared" si="130"/>
        <v>0.99693251533742333</v>
      </c>
      <c r="AC411" s="424">
        <f t="shared" si="131"/>
        <v>1.5360983102918587E-3</v>
      </c>
      <c r="AD411" s="371">
        <f t="shared" si="132"/>
        <v>0</v>
      </c>
      <c r="AE411" s="748">
        <f t="shared" si="133"/>
        <v>0.99846625766871167</v>
      </c>
      <c r="AF411" s="417">
        <f t="shared" si="134"/>
        <v>0</v>
      </c>
      <c r="AG411" s="416">
        <f t="shared" si="135"/>
        <v>8</v>
      </c>
      <c r="AH411" s="372">
        <f t="shared" si="136"/>
        <v>1</v>
      </c>
      <c r="AI411" s="373">
        <f t="shared" si="137"/>
        <v>650</v>
      </c>
      <c r="AJ411" s="418">
        <f>VLOOKUP(D411,'Standard Cycle time'!C:D,2,0)</f>
        <v>6</v>
      </c>
      <c r="AK411" s="418">
        <f t="shared" si="138"/>
        <v>5.5384615384615383</v>
      </c>
      <c r="AL411" s="374">
        <f t="shared" si="139"/>
        <v>1.0833333333333333</v>
      </c>
      <c r="AM411" s="372">
        <f t="shared" si="140"/>
        <v>1.0816717791411041</v>
      </c>
      <c r="AN411" s="799">
        <v>3025</v>
      </c>
      <c r="AO411" s="448" t="s">
        <v>2920</v>
      </c>
      <c r="AP411" s="440">
        <v>0</v>
      </c>
      <c r="AQ411" s="440">
        <v>0</v>
      </c>
      <c r="AR411" s="440">
        <v>0</v>
      </c>
      <c r="AS411" s="440">
        <v>0</v>
      </c>
      <c r="AT411" s="440">
        <v>0</v>
      </c>
      <c r="AU411" s="440">
        <v>0</v>
      </c>
      <c r="AV411" s="440">
        <v>0</v>
      </c>
      <c r="AW411" s="440">
        <v>0</v>
      </c>
      <c r="AX411" s="440">
        <v>0</v>
      </c>
      <c r="AY411" s="440">
        <v>0</v>
      </c>
      <c r="AZ411" s="440">
        <v>0</v>
      </c>
      <c r="BA411" s="440">
        <v>0</v>
      </c>
      <c r="BB411" s="440">
        <v>0</v>
      </c>
      <c r="BC411" s="440">
        <v>0</v>
      </c>
      <c r="BD411" s="440">
        <v>0</v>
      </c>
      <c r="BE411" s="440">
        <v>0</v>
      </c>
      <c r="BF411" s="440">
        <v>0</v>
      </c>
      <c r="BG411" s="440">
        <v>0</v>
      </c>
      <c r="BH411" s="440">
        <v>0</v>
      </c>
      <c r="BI411" s="440">
        <v>0</v>
      </c>
      <c r="BJ411" s="440">
        <v>0</v>
      </c>
      <c r="BK411" s="440">
        <v>0</v>
      </c>
      <c r="BL411" s="440">
        <v>0</v>
      </c>
      <c r="BM411" s="440">
        <v>0</v>
      </c>
      <c r="BN411" s="440">
        <v>0</v>
      </c>
      <c r="BO411" s="440">
        <v>0</v>
      </c>
      <c r="BP411" s="440">
        <v>0</v>
      </c>
      <c r="BQ411" s="440">
        <v>0</v>
      </c>
      <c r="BR411" s="415">
        <v>0</v>
      </c>
      <c r="BS411" s="415">
        <v>0</v>
      </c>
      <c r="BT411" s="935"/>
      <c r="BU411" s="935"/>
      <c r="BV411" s="935"/>
      <c r="BW411" s="935"/>
      <c r="BX411" s="935"/>
      <c r="BY411" s="935"/>
      <c r="BZ411" s="935"/>
      <c r="CA411" s="935"/>
      <c r="CB411" s="935"/>
      <c r="CC411" s="935"/>
      <c r="CD411" s="935"/>
      <c r="CE411" s="935"/>
      <c r="CF411" s="935"/>
      <c r="CG411" s="935"/>
      <c r="CH411" s="935"/>
      <c r="CI411" s="935"/>
      <c r="CJ411" s="935"/>
      <c r="CK411" s="935"/>
      <c r="CL411" s="935"/>
      <c r="CM411" s="935"/>
      <c r="CN411" s="935"/>
      <c r="CO411" s="935"/>
      <c r="CP411" s="935"/>
      <c r="CQ411" s="935"/>
      <c r="CR411" s="935"/>
      <c r="CS411" s="935"/>
      <c r="CT411" s="935"/>
      <c r="CU411" s="935"/>
      <c r="CV411" s="935"/>
    </row>
    <row r="412" spans="1:100" s="441" customFormat="1">
      <c r="A412" s="375">
        <f t="shared" si="126"/>
        <v>9</v>
      </c>
      <c r="B412" s="862">
        <v>44443</v>
      </c>
      <c r="C412" s="493" t="s">
        <v>2053</v>
      </c>
      <c r="D412" s="376" t="str">
        <f>IFERROR(VLOOKUP(E:E,'Item Data Support Sheet'!A:O,7,0),"")</f>
        <v>NIPPLE MOLDED</v>
      </c>
      <c r="E412" s="447" t="s">
        <v>73</v>
      </c>
      <c r="F412" s="500" t="s">
        <v>1678</v>
      </c>
      <c r="G412" s="497" t="s">
        <v>1690</v>
      </c>
      <c r="H412" s="602" t="str">
        <f>IFERROR(VLOOKUP(E:E,'Item Data Support Sheet'!A:O,2,0),"")</f>
        <v>NIPPLE S TYPE M SIZE INJECTION</v>
      </c>
      <c r="I412" s="501" t="s">
        <v>2921</v>
      </c>
      <c r="J412" s="501" t="s">
        <v>2826</v>
      </c>
      <c r="K412" s="438">
        <v>8</v>
      </c>
      <c r="L412" s="499">
        <v>4815</v>
      </c>
      <c r="M412" s="366">
        <f t="shared" si="141"/>
        <v>601.875</v>
      </c>
      <c r="N412" s="367">
        <f t="shared" si="125"/>
        <v>4294</v>
      </c>
      <c r="O412" s="61">
        <v>4200</v>
      </c>
      <c r="P412" s="368">
        <v>0.4</v>
      </c>
      <c r="Q412" s="368">
        <v>35</v>
      </c>
      <c r="R412" s="494">
        <v>0</v>
      </c>
      <c r="S412" s="493">
        <v>0</v>
      </c>
      <c r="T412" s="494">
        <v>51</v>
      </c>
      <c r="U412" s="493">
        <v>8</v>
      </c>
      <c r="V412" s="502">
        <v>1</v>
      </c>
      <c r="W412" s="453">
        <f t="shared" si="127"/>
        <v>4200</v>
      </c>
      <c r="X412" s="748">
        <f t="shared" si="128"/>
        <v>0.87227414330218067</v>
      </c>
      <c r="Y412" s="451" t="str">
        <f>IFERROR(VLOOKUP(E:E,'Item Data Support Sheet'!A:J,6,0),0)</f>
        <v>Silicon</v>
      </c>
      <c r="Z412" s="428">
        <f>IFERROR(VLOOKUP(E:E,'Item Data Support Sheet'!A:O,4,0),0)</f>
        <v>6.8</v>
      </c>
      <c r="AA412" s="428">
        <f t="shared" si="129"/>
        <v>29.599199999999996</v>
      </c>
      <c r="AB412" s="429">
        <f t="shared" si="130"/>
        <v>0.96489094299845946</v>
      </c>
      <c r="AC412" s="424">
        <f t="shared" si="131"/>
        <v>1.1997177134791814E-2</v>
      </c>
      <c r="AD412" s="371">
        <f t="shared" si="132"/>
        <v>8.0850080850080851E-3</v>
      </c>
      <c r="AE412" s="748">
        <f t="shared" si="133"/>
        <v>0.98812296227293894</v>
      </c>
      <c r="AF412" s="417">
        <f t="shared" si="134"/>
        <v>0</v>
      </c>
      <c r="AG412" s="416">
        <f t="shared" si="135"/>
        <v>8</v>
      </c>
      <c r="AH412" s="372">
        <f t="shared" si="136"/>
        <v>1</v>
      </c>
      <c r="AI412" s="373">
        <f t="shared" si="137"/>
        <v>525</v>
      </c>
      <c r="AJ412" s="418">
        <f>VLOOKUP(D412,'Standard Cycle time'!C:D,2,0)</f>
        <v>5.25</v>
      </c>
      <c r="AK412" s="418">
        <f t="shared" si="138"/>
        <v>6.8571428571428568</v>
      </c>
      <c r="AL412" s="374">
        <f t="shared" si="139"/>
        <v>0.765625</v>
      </c>
      <c r="AM412" s="372">
        <f t="shared" si="140"/>
        <v>0.75653164299021891</v>
      </c>
      <c r="AN412" s="799">
        <v>2993</v>
      </c>
      <c r="AO412" s="448" t="s">
        <v>2822</v>
      </c>
      <c r="AP412" s="440">
        <v>0</v>
      </c>
      <c r="AQ412" s="440">
        <v>0</v>
      </c>
      <c r="AR412" s="440">
        <v>0</v>
      </c>
      <c r="AS412" s="440">
        <v>0</v>
      </c>
      <c r="AT412" s="440">
        <v>0</v>
      </c>
      <c r="AU412" s="440">
        <v>0</v>
      </c>
      <c r="AV412" s="440">
        <v>0</v>
      </c>
      <c r="AW412" s="440">
        <v>0</v>
      </c>
      <c r="AX412" s="440">
        <v>0</v>
      </c>
      <c r="AY412" s="440">
        <v>0</v>
      </c>
      <c r="AZ412" s="440">
        <v>0</v>
      </c>
      <c r="BA412" s="440">
        <v>0</v>
      </c>
      <c r="BB412" s="440">
        <v>0</v>
      </c>
      <c r="BC412" s="440">
        <v>0</v>
      </c>
      <c r="BD412" s="440">
        <v>0</v>
      </c>
      <c r="BE412" s="440">
        <v>0</v>
      </c>
      <c r="BF412" s="440">
        <v>0</v>
      </c>
      <c r="BG412" s="440">
        <v>0</v>
      </c>
      <c r="BH412" s="440">
        <v>0</v>
      </c>
      <c r="BI412" s="440">
        <v>0</v>
      </c>
      <c r="BJ412" s="440">
        <v>0</v>
      </c>
      <c r="BK412" s="440">
        <v>0</v>
      </c>
      <c r="BL412" s="440">
        <v>0</v>
      </c>
      <c r="BM412" s="440">
        <v>0</v>
      </c>
      <c r="BN412" s="440">
        <v>0</v>
      </c>
      <c r="BO412" s="440">
        <v>0</v>
      </c>
      <c r="BP412" s="440">
        <v>0</v>
      </c>
      <c r="BQ412" s="440">
        <v>0</v>
      </c>
      <c r="BR412" s="415">
        <v>0</v>
      </c>
      <c r="BS412" s="415">
        <v>0</v>
      </c>
      <c r="BT412" s="935"/>
      <c r="BU412" s="935"/>
      <c r="BV412" s="935"/>
      <c r="BW412" s="935"/>
      <c r="BX412" s="935"/>
      <c r="BY412" s="935"/>
      <c r="BZ412" s="935"/>
      <c r="CA412" s="935"/>
      <c r="CB412" s="935"/>
      <c r="CC412" s="935"/>
      <c r="CD412" s="935"/>
      <c r="CE412" s="935"/>
      <c r="CF412" s="935"/>
      <c r="CG412" s="935"/>
      <c r="CH412" s="935"/>
      <c r="CI412" s="935"/>
      <c r="CJ412" s="935"/>
      <c r="CK412" s="935"/>
      <c r="CL412" s="935"/>
      <c r="CM412" s="935"/>
      <c r="CN412" s="935"/>
      <c r="CO412" s="935"/>
      <c r="CP412" s="935"/>
      <c r="CQ412" s="935"/>
      <c r="CR412" s="935"/>
      <c r="CS412" s="935"/>
      <c r="CT412" s="935"/>
      <c r="CU412" s="935"/>
      <c r="CV412" s="935"/>
    </row>
    <row r="413" spans="1:100" s="441" customFormat="1">
      <c r="A413" s="375">
        <f t="shared" si="126"/>
        <v>9</v>
      </c>
      <c r="B413" s="862">
        <v>44445</v>
      </c>
      <c r="C413" s="493" t="s">
        <v>1980</v>
      </c>
      <c r="D413" s="376" t="str">
        <f>IFERROR(VLOOKUP(E:E,'Item Data Support Sheet'!A:O,7,0),"")</f>
        <v>BOTTLE MOLDED</v>
      </c>
      <c r="E413" s="447" t="s">
        <v>113</v>
      </c>
      <c r="F413" s="500" t="s">
        <v>1680</v>
      </c>
      <c r="G413" s="497" t="s">
        <v>1665</v>
      </c>
      <c r="H413" s="602" t="str">
        <f>IFERROR(VLOOKUP(E:E,'Item Data Support Sheet'!A:O,2,0),"")</f>
        <v>KPP BOTTLE 200 ML MOULDED-WMG3B</v>
      </c>
      <c r="I413" s="501" t="s">
        <v>2922</v>
      </c>
      <c r="J413" s="501" t="s">
        <v>2809</v>
      </c>
      <c r="K413" s="438">
        <v>8</v>
      </c>
      <c r="L413" s="499">
        <v>2503</v>
      </c>
      <c r="M413" s="366">
        <f t="shared" si="141"/>
        <v>312.875</v>
      </c>
      <c r="N413" s="367">
        <f t="shared" si="125"/>
        <v>1705</v>
      </c>
      <c r="O413" s="61">
        <v>1620</v>
      </c>
      <c r="P413" s="368">
        <v>0.12</v>
      </c>
      <c r="Q413" s="368">
        <v>40</v>
      </c>
      <c r="R413" s="494">
        <v>0</v>
      </c>
      <c r="S413" s="493">
        <v>0</v>
      </c>
      <c r="T413" s="494">
        <v>37</v>
      </c>
      <c r="U413" s="493">
        <v>8</v>
      </c>
      <c r="V413" s="502">
        <v>1</v>
      </c>
      <c r="W413" s="453">
        <f t="shared" si="127"/>
        <v>1620</v>
      </c>
      <c r="X413" s="748">
        <f t="shared" si="128"/>
        <v>0.6472233320015981</v>
      </c>
      <c r="Y413" s="451" t="str">
        <f>IFERROR(VLOOKUP(E:E,'Item Data Support Sheet'!A:J,6,0),0)</f>
        <v>WMG3B</v>
      </c>
      <c r="Z413" s="428">
        <f>IFERROR(VLOOKUP(E:E,'Item Data Support Sheet'!A:O,4,0),0)</f>
        <v>28.6</v>
      </c>
      <c r="AA413" s="428">
        <f t="shared" si="129"/>
        <v>48.882999999999996</v>
      </c>
      <c r="AB413" s="429">
        <f t="shared" si="130"/>
        <v>0.94781416852484512</v>
      </c>
      <c r="AC413" s="424">
        <f t="shared" si="131"/>
        <v>2.2329511164755584E-2</v>
      </c>
      <c r="AD413" s="371">
        <f t="shared" si="132"/>
        <v>2.2922636103151862E-2</v>
      </c>
      <c r="AE413" s="748">
        <f t="shared" si="133"/>
        <v>0.97829912023460408</v>
      </c>
      <c r="AF413" s="417">
        <f t="shared" si="134"/>
        <v>3.5</v>
      </c>
      <c r="AG413" s="416">
        <f t="shared" si="135"/>
        <v>4.5</v>
      </c>
      <c r="AH413" s="372">
        <f t="shared" si="136"/>
        <v>0.5625</v>
      </c>
      <c r="AI413" s="373">
        <f t="shared" si="137"/>
        <v>202.5</v>
      </c>
      <c r="AJ413" s="418">
        <f>VLOOKUP(D413,'Standard Cycle time'!C:D,2,0)</f>
        <v>9</v>
      </c>
      <c r="AK413" s="418">
        <f t="shared" si="138"/>
        <v>10</v>
      </c>
      <c r="AL413" s="374">
        <f t="shared" si="139"/>
        <v>0.9</v>
      </c>
      <c r="AM413" s="372">
        <f t="shared" si="140"/>
        <v>0.49526392961876836</v>
      </c>
      <c r="AN413" s="799" t="s">
        <v>2923</v>
      </c>
      <c r="AO413" s="448" t="s">
        <v>2924</v>
      </c>
      <c r="AP413" s="440">
        <v>0</v>
      </c>
      <c r="AQ413" s="440">
        <v>0</v>
      </c>
      <c r="AR413" s="440">
        <v>150</v>
      </c>
      <c r="AS413" s="440">
        <v>0</v>
      </c>
      <c r="AT413" s="440">
        <v>0</v>
      </c>
      <c r="AU413" s="440">
        <v>0</v>
      </c>
      <c r="AV413" s="440">
        <v>60</v>
      </c>
      <c r="AW413" s="440">
        <v>0</v>
      </c>
      <c r="AX413" s="440">
        <v>0</v>
      </c>
      <c r="AY413" s="440">
        <v>0</v>
      </c>
      <c r="AZ413" s="440">
        <v>0</v>
      </c>
      <c r="BA413" s="440">
        <v>0</v>
      </c>
      <c r="BB413" s="440">
        <v>0</v>
      </c>
      <c r="BC413" s="440">
        <v>0</v>
      </c>
      <c r="BD413" s="440">
        <v>0</v>
      </c>
      <c r="BE413" s="440">
        <v>0</v>
      </c>
      <c r="BF413" s="440">
        <v>0</v>
      </c>
      <c r="BG413" s="440">
        <v>0</v>
      </c>
      <c r="BH413" s="440">
        <v>0</v>
      </c>
      <c r="BI413" s="440">
        <v>0</v>
      </c>
      <c r="BJ413" s="440">
        <v>0</v>
      </c>
      <c r="BK413" s="440">
        <v>0</v>
      </c>
      <c r="BL413" s="440">
        <v>0</v>
      </c>
      <c r="BM413" s="440">
        <v>0</v>
      </c>
      <c r="BN413" s="440">
        <v>0</v>
      </c>
      <c r="BO413" s="440">
        <v>0</v>
      </c>
      <c r="BP413" s="440">
        <v>0</v>
      </c>
      <c r="BQ413" s="440">
        <v>0</v>
      </c>
      <c r="BR413" s="415">
        <v>3.5</v>
      </c>
      <c r="BS413" s="415">
        <v>3.5583333333333331</v>
      </c>
      <c r="BT413" s="935"/>
      <c r="BU413" s="935"/>
      <c r="BV413" s="935"/>
      <c r="BW413" s="935"/>
      <c r="BX413" s="935"/>
      <c r="BY413" s="935"/>
      <c r="BZ413" s="935"/>
      <c r="CA413" s="935"/>
      <c r="CB413" s="935"/>
      <c r="CC413" s="935"/>
      <c r="CD413" s="935"/>
      <c r="CE413" s="935"/>
      <c r="CF413" s="935"/>
      <c r="CG413" s="935"/>
      <c r="CH413" s="935"/>
      <c r="CI413" s="935"/>
      <c r="CJ413" s="935"/>
      <c r="CK413" s="935"/>
      <c r="CL413" s="935"/>
      <c r="CM413" s="935"/>
      <c r="CN413" s="935"/>
      <c r="CO413" s="935"/>
      <c r="CP413" s="935"/>
      <c r="CQ413" s="935"/>
      <c r="CR413" s="935"/>
      <c r="CS413" s="935"/>
      <c r="CT413" s="935"/>
      <c r="CU413" s="935"/>
      <c r="CV413" s="935"/>
    </row>
    <row r="414" spans="1:100" s="441" customFormat="1">
      <c r="A414" s="375">
        <f t="shared" si="126"/>
        <v>9</v>
      </c>
      <c r="B414" s="862">
        <v>44445</v>
      </c>
      <c r="C414" s="493" t="s">
        <v>1980</v>
      </c>
      <c r="D414" s="376" t="str">
        <f>IFERROR(VLOOKUP(E:E,'Item Data Support Sheet'!A:O,7,0),"")</f>
        <v>NIPPLE MOLDED</v>
      </c>
      <c r="E414" s="447" t="s">
        <v>73</v>
      </c>
      <c r="F414" s="500" t="s">
        <v>1678</v>
      </c>
      <c r="G414" s="497" t="s">
        <v>1690</v>
      </c>
      <c r="H414" s="602" t="str">
        <f>IFERROR(VLOOKUP(E:E,'Item Data Support Sheet'!A:O,2,0),"")</f>
        <v>NIPPLE S TYPE M SIZE INJECTION</v>
      </c>
      <c r="I414" s="501" t="s">
        <v>2925</v>
      </c>
      <c r="J414" s="501" t="s">
        <v>2809</v>
      </c>
      <c r="K414" s="438">
        <v>6.5</v>
      </c>
      <c r="L414" s="499">
        <v>3600</v>
      </c>
      <c r="M414" s="366">
        <f t="shared" si="141"/>
        <v>553.84615384615381</v>
      </c>
      <c r="N414" s="367">
        <f t="shared" si="125"/>
        <v>4155</v>
      </c>
      <c r="O414" s="61">
        <v>4000</v>
      </c>
      <c r="P414" s="368">
        <v>0.63</v>
      </c>
      <c r="Q414" s="368">
        <v>95</v>
      </c>
      <c r="R414" s="494">
        <v>0</v>
      </c>
      <c r="S414" s="493">
        <v>0</v>
      </c>
      <c r="T414" s="494">
        <v>52</v>
      </c>
      <c r="U414" s="493">
        <v>8</v>
      </c>
      <c r="V414" s="502">
        <v>1</v>
      </c>
      <c r="W414" s="453">
        <f t="shared" si="127"/>
        <v>4000</v>
      </c>
      <c r="X414" s="748">
        <f t="shared" si="128"/>
        <v>1.1111111111111112</v>
      </c>
      <c r="Y414" s="451" t="str">
        <f>IFERROR(VLOOKUP(E:E,'Item Data Support Sheet'!A:J,6,0),0)</f>
        <v>Silicon</v>
      </c>
      <c r="Z414" s="428">
        <f>IFERROR(VLOOKUP(E:E,'Item Data Support Sheet'!A:O,4,0),0)</f>
        <v>6.8</v>
      </c>
      <c r="AA414" s="428">
        <f t="shared" si="129"/>
        <v>28.883999999999997</v>
      </c>
      <c r="AB414" s="429">
        <f t="shared" si="130"/>
        <v>0.94169782578590233</v>
      </c>
      <c r="AC414" s="424">
        <f t="shared" si="131"/>
        <v>1.2833168805528134E-2</v>
      </c>
      <c r="AD414" s="371">
        <f t="shared" si="132"/>
        <v>2.2352941176470589E-2</v>
      </c>
      <c r="AE414" s="748">
        <f t="shared" si="133"/>
        <v>0.9874849578820698</v>
      </c>
      <c r="AF414" s="417">
        <f t="shared" si="134"/>
        <v>0</v>
      </c>
      <c r="AG414" s="416">
        <f t="shared" si="135"/>
        <v>6.5</v>
      </c>
      <c r="AH414" s="372">
        <f t="shared" si="136"/>
        <v>1</v>
      </c>
      <c r="AI414" s="373">
        <f t="shared" si="137"/>
        <v>615.38461538461536</v>
      </c>
      <c r="AJ414" s="418">
        <f>VLOOKUP(D414,'Standard Cycle time'!C:D,2,0)</f>
        <v>5.25</v>
      </c>
      <c r="AK414" s="418">
        <f t="shared" si="138"/>
        <v>5.85</v>
      </c>
      <c r="AL414" s="374">
        <f t="shared" si="139"/>
        <v>0.89743589743589747</v>
      </c>
      <c r="AM414" s="372">
        <f t="shared" si="140"/>
        <v>0.88620444938134468</v>
      </c>
      <c r="AN414" s="799">
        <v>2996</v>
      </c>
      <c r="AO414" s="448" t="s">
        <v>2926</v>
      </c>
      <c r="AP414" s="440">
        <v>0</v>
      </c>
      <c r="AQ414" s="440">
        <v>0</v>
      </c>
      <c r="AR414" s="440">
        <v>0</v>
      </c>
      <c r="AS414" s="440">
        <v>0</v>
      </c>
      <c r="AT414" s="440">
        <v>0</v>
      </c>
      <c r="AU414" s="440">
        <v>0</v>
      </c>
      <c r="AV414" s="440">
        <v>0</v>
      </c>
      <c r="AW414" s="440">
        <v>0</v>
      </c>
      <c r="AX414" s="440">
        <v>0</v>
      </c>
      <c r="AY414" s="440">
        <v>0</v>
      </c>
      <c r="AZ414" s="440">
        <v>0</v>
      </c>
      <c r="BA414" s="440">
        <v>0</v>
      </c>
      <c r="BB414" s="440">
        <v>0</v>
      </c>
      <c r="BC414" s="440">
        <v>0</v>
      </c>
      <c r="BD414" s="440">
        <v>0</v>
      </c>
      <c r="BE414" s="440">
        <v>0</v>
      </c>
      <c r="BF414" s="440">
        <v>0</v>
      </c>
      <c r="BG414" s="440">
        <v>0</v>
      </c>
      <c r="BH414" s="440">
        <v>0</v>
      </c>
      <c r="BI414" s="440">
        <v>0</v>
      </c>
      <c r="BJ414" s="440">
        <v>0</v>
      </c>
      <c r="BK414" s="440">
        <v>0</v>
      </c>
      <c r="BL414" s="440">
        <v>0</v>
      </c>
      <c r="BM414" s="440">
        <v>0</v>
      </c>
      <c r="BN414" s="440">
        <v>0</v>
      </c>
      <c r="BO414" s="440">
        <v>0</v>
      </c>
      <c r="BP414" s="440">
        <v>0</v>
      </c>
      <c r="BQ414" s="440">
        <v>0</v>
      </c>
      <c r="BR414" s="415">
        <v>0</v>
      </c>
      <c r="BS414" s="415">
        <v>0</v>
      </c>
      <c r="BT414" s="935"/>
      <c r="BU414" s="935"/>
      <c r="BV414" s="935"/>
      <c r="BW414" s="935"/>
      <c r="BX414" s="935"/>
      <c r="BY414" s="935"/>
      <c r="BZ414" s="935"/>
      <c r="CA414" s="935"/>
      <c r="CB414" s="935"/>
      <c r="CC414" s="935"/>
      <c r="CD414" s="935"/>
      <c r="CE414" s="935"/>
      <c r="CF414" s="935"/>
      <c r="CG414" s="935"/>
      <c r="CH414" s="935"/>
      <c r="CI414" s="935"/>
      <c r="CJ414" s="935"/>
      <c r="CK414" s="935"/>
      <c r="CL414" s="935"/>
      <c r="CM414" s="935"/>
      <c r="CN414" s="935"/>
      <c r="CO414" s="935"/>
      <c r="CP414" s="935"/>
      <c r="CQ414" s="935"/>
      <c r="CR414" s="935"/>
      <c r="CS414" s="935"/>
      <c r="CT414" s="935"/>
      <c r="CU414" s="935"/>
      <c r="CV414" s="935"/>
    </row>
    <row r="415" spans="1:100" s="441" customFormat="1">
      <c r="A415" s="375">
        <f t="shared" si="126"/>
        <v>9</v>
      </c>
      <c r="B415" s="862">
        <v>44445</v>
      </c>
      <c r="C415" s="493" t="s">
        <v>1980</v>
      </c>
      <c r="D415" s="376" t="str">
        <f>IFERROR(VLOOKUP(E:E,'Item Data Support Sheet'!A:O,7,0),"")</f>
        <v>HOOD MOLDED</v>
      </c>
      <c r="E415" s="447" t="s">
        <v>1987</v>
      </c>
      <c r="F415" s="500"/>
      <c r="G415" s="497" t="s">
        <v>2729</v>
      </c>
      <c r="H415" s="602" t="str">
        <f>IFERROR(VLOOKUP(E:E,'Item Data Support Sheet'!A:O,2,0),"")</f>
        <v>HOOD S TYPE MOLDED</v>
      </c>
      <c r="I415" s="501" t="s">
        <v>2927</v>
      </c>
      <c r="J415" s="501" t="s">
        <v>2809</v>
      </c>
      <c r="K415" s="438">
        <v>8</v>
      </c>
      <c r="L415" s="499">
        <v>4137</v>
      </c>
      <c r="M415" s="366">
        <f t="shared" si="141"/>
        <v>517.125</v>
      </c>
      <c r="N415" s="367">
        <f t="shared" si="125"/>
        <v>4522</v>
      </c>
      <c r="O415" s="61">
        <v>4500</v>
      </c>
      <c r="P415" s="368">
        <v>0.15</v>
      </c>
      <c r="Q415" s="368">
        <v>12</v>
      </c>
      <c r="R415" s="494">
        <v>0</v>
      </c>
      <c r="S415" s="493">
        <v>0</v>
      </c>
      <c r="T415" s="494">
        <v>2</v>
      </c>
      <c r="U415" s="493">
        <v>8</v>
      </c>
      <c r="V415" s="502">
        <v>1</v>
      </c>
      <c r="W415" s="453">
        <f t="shared" si="127"/>
        <v>4500</v>
      </c>
      <c r="X415" s="748">
        <f t="shared" si="128"/>
        <v>1.0877447425670776</v>
      </c>
      <c r="Y415" s="451" t="str">
        <f>IFERROR(VLOOKUP(E:E,'Item Data Support Sheet'!A:J,6,0),0)</f>
        <v>HMC</v>
      </c>
      <c r="Z415" s="428">
        <f>IFERROR(VLOOKUP(E:E,'Item Data Support Sheet'!A:O,4,0),0)</f>
        <v>8.6</v>
      </c>
      <c r="AA415" s="428">
        <f t="shared" si="129"/>
        <v>39.039200000000001</v>
      </c>
      <c r="AB415" s="429">
        <f t="shared" si="130"/>
        <v>0.99131129736265089</v>
      </c>
      <c r="AC415" s="424">
        <f t="shared" si="131"/>
        <v>4.4424700133274098E-4</v>
      </c>
      <c r="AD415" s="371">
        <f t="shared" si="132"/>
        <v>2.6466696074106751E-3</v>
      </c>
      <c r="AE415" s="748">
        <f t="shared" si="133"/>
        <v>0.99955771782397174</v>
      </c>
      <c r="AF415" s="417">
        <f t="shared" si="134"/>
        <v>0</v>
      </c>
      <c r="AG415" s="416">
        <f t="shared" si="135"/>
        <v>8</v>
      </c>
      <c r="AH415" s="372">
        <f t="shared" si="136"/>
        <v>1</v>
      </c>
      <c r="AI415" s="373">
        <f t="shared" si="137"/>
        <v>562.5</v>
      </c>
      <c r="AJ415" s="418">
        <f>VLOOKUP(D415,'Standard Cycle time'!C:D,2,0)</f>
        <v>6</v>
      </c>
      <c r="AK415" s="418">
        <f t="shared" si="138"/>
        <v>6.4</v>
      </c>
      <c r="AL415" s="374">
        <f t="shared" si="139"/>
        <v>0.9375</v>
      </c>
      <c r="AM415" s="372">
        <f t="shared" si="140"/>
        <v>0.93708536045997348</v>
      </c>
      <c r="AN415" s="799" t="s">
        <v>2928</v>
      </c>
      <c r="AO415" s="448"/>
      <c r="AP415" s="440">
        <v>0</v>
      </c>
      <c r="AQ415" s="440">
        <v>0</v>
      </c>
      <c r="AR415" s="440">
        <v>0</v>
      </c>
      <c r="AS415" s="440">
        <v>0</v>
      </c>
      <c r="AT415" s="440">
        <v>0</v>
      </c>
      <c r="AU415" s="440">
        <v>0</v>
      </c>
      <c r="AV415" s="440">
        <v>0</v>
      </c>
      <c r="AW415" s="440">
        <v>0</v>
      </c>
      <c r="AX415" s="440">
        <v>0</v>
      </c>
      <c r="AY415" s="440">
        <v>0</v>
      </c>
      <c r="AZ415" s="440">
        <v>0</v>
      </c>
      <c r="BA415" s="440">
        <v>0</v>
      </c>
      <c r="BB415" s="440">
        <v>0</v>
      </c>
      <c r="BC415" s="440">
        <v>0</v>
      </c>
      <c r="BD415" s="440">
        <v>0</v>
      </c>
      <c r="BE415" s="440">
        <v>0</v>
      </c>
      <c r="BF415" s="440">
        <v>0</v>
      </c>
      <c r="BG415" s="440">
        <v>0</v>
      </c>
      <c r="BH415" s="440">
        <v>0</v>
      </c>
      <c r="BI415" s="440">
        <v>0</v>
      </c>
      <c r="BJ415" s="440">
        <v>0</v>
      </c>
      <c r="BK415" s="440">
        <v>0</v>
      </c>
      <c r="BL415" s="440">
        <v>0</v>
      </c>
      <c r="BM415" s="440">
        <v>0</v>
      </c>
      <c r="BN415" s="440">
        <v>0</v>
      </c>
      <c r="BO415" s="440">
        <v>0</v>
      </c>
      <c r="BP415" s="440">
        <v>0</v>
      </c>
      <c r="BQ415" s="440">
        <v>0</v>
      </c>
      <c r="BR415" s="415">
        <v>0</v>
      </c>
      <c r="BS415" s="415">
        <v>0</v>
      </c>
      <c r="BT415" s="935"/>
      <c r="BU415" s="935"/>
      <c r="BV415" s="935"/>
      <c r="BW415" s="935"/>
      <c r="BX415" s="935"/>
      <c r="BY415" s="935"/>
      <c r="BZ415" s="935"/>
      <c r="CA415" s="935"/>
      <c r="CB415" s="935"/>
      <c r="CC415" s="935"/>
      <c r="CD415" s="935"/>
      <c r="CE415" s="935"/>
      <c r="CF415" s="935"/>
      <c r="CG415" s="935"/>
      <c r="CH415" s="935"/>
      <c r="CI415" s="935"/>
      <c r="CJ415" s="935"/>
      <c r="CK415" s="935"/>
      <c r="CL415" s="935"/>
      <c r="CM415" s="935"/>
      <c r="CN415" s="935"/>
      <c r="CO415" s="935"/>
      <c r="CP415" s="935"/>
      <c r="CQ415" s="935"/>
      <c r="CR415" s="935"/>
      <c r="CS415" s="935"/>
      <c r="CT415" s="935"/>
      <c r="CU415" s="935"/>
      <c r="CV415" s="935"/>
    </row>
    <row r="416" spans="1:100" s="441" customFormat="1">
      <c r="A416" s="375">
        <f t="shared" si="126"/>
        <v>9</v>
      </c>
      <c r="B416" s="862">
        <v>44445</v>
      </c>
      <c r="C416" s="493" t="s">
        <v>1980</v>
      </c>
      <c r="D416" s="376" t="str">
        <f>IFERROR(VLOOKUP(E:E,'Item Data Support Sheet'!A:O,7,0),"")</f>
        <v>NIPPLE POSTCURE</v>
      </c>
      <c r="E416" s="447" t="s">
        <v>77</v>
      </c>
      <c r="F416" s="500"/>
      <c r="G416" s="497"/>
      <c r="H416" s="602" t="str">
        <f>IFERROR(VLOOKUP(E:E,'Item Data Support Sheet'!A:O,2,0),"")</f>
        <v>NIPPLE S TYPE M SIZE POSTCURED</v>
      </c>
      <c r="I416" s="501" t="s">
        <v>2929</v>
      </c>
      <c r="J416" s="501" t="s">
        <v>2809</v>
      </c>
      <c r="K416" s="438">
        <v>6</v>
      </c>
      <c r="L416" s="499">
        <v>7500</v>
      </c>
      <c r="M416" s="366">
        <f t="shared" si="141"/>
        <v>1250</v>
      </c>
      <c r="N416" s="367">
        <f t="shared" si="125"/>
        <v>7700</v>
      </c>
      <c r="O416" s="61">
        <v>7700</v>
      </c>
      <c r="P416" s="368">
        <v>0</v>
      </c>
      <c r="Q416" s="368">
        <v>0</v>
      </c>
      <c r="R416" s="494">
        <v>0</v>
      </c>
      <c r="S416" s="493">
        <v>0</v>
      </c>
      <c r="T416" s="494">
        <v>0</v>
      </c>
      <c r="U416" s="493">
        <v>0</v>
      </c>
      <c r="V416" s="502">
        <v>1</v>
      </c>
      <c r="W416" s="453">
        <f t="shared" si="127"/>
        <v>7700</v>
      </c>
      <c r="X416" s="748">
        <f t="shared" si="128"/>
        <v>1.0266666666666666</v>
      </c>
      <c r="Y416" s="451" t="str">
        <f>IFERROR(VLOOKUP(E:E,'Item Data Support Sheet'!A:J,6,0),0)</f>
        <v>FO012</v>
      </c>
      <c r="Z416" s="428">
        <f>IFERROR(VLOOKUP(E:E,'Item Data Support Sheet'!A:O,4,0),0)</f>
        <v>0</v>
      </c>
      <c r="AA416" s="428">
        <f t="shared" si="129"/>
        <v>0</v>
      </c>
      <c r="AB416" s="429" t="str">
        <f t="shared" si="130"/>
        <v xml:space="preserve"> </v>
      </c>
      <c r="AC416" s="424">
        <f t="shared" si="131"/>
        <v>0</v>
      </c>
      <c r="AD416" s="371">
        <f t="shared" si="132"/>
        <v>0</v>
      </c>
      <c r="AE416" s="748">
        <f t="shared" si="133"/>
        <v>1</v>
      </c>
      <c r="AF416" s="417">
        <f t="shared" si="134"/>
        <v>1</v>
      </c>
      <c r="AG416" s="416">
        <f t="shared" si="135"/>
        <v>5</v>
      </c>
      <c r="AH416" s="372">
        <f t="shared" si="136"/>
        <v>0.83333333333333337</v>
      </c>
      <c r="AI416" s="373">
        <f t="shared" si="137"/>
        <v>1283.3333333333333</v>
      </c>
      <c r="AJ416" s="418">
        <f>VLOOKUP(D416,'Standard Cycle time'!C:D,2,0)</f>
        <v>2.2999999999999998</v>
      </c>
      <c r="AK416" s="418">
        <f t="shared" si="138"/>
        <v>2.3376623376623376</v>
      </c>
      <c r="AL416" s="374">
        <f t="shared" si="139"/>
        <v>0.98388888888888881</v>
      </c>
      <c r="AM416" s="372">
        <f t="shared" si="140"/>
        <v>0.81990740740740742</v>
      </c>
      <c r="AN416" s="799" t="s">
        <v>2930</v>
      </c>
      <c r="AO416" s="448"/>
      <c r="AP416" s="440">
        <v>0</v>
      </c>
      <c r="AQ416" s="440">
        <v>0</v>
      </c>
      <c r="AR416" s="440">
        <v>0</v>
      </c>
      <c r="AS416" s="440">
        <v>60</v>
      </c>
      <c r="AT416" s="440">
        <v>0</v>
      </c>
      <c r="AU416" s="440">
        <v>0</v>
      </c>
      <c r="AV416" s="440">
        <v>0</v>
      </c>
      <c r="AW416" s="440">
        <v>0</v>
      </c>
      <c r="AX416" s="440">
        <v>0</v>
      </c>
      <c r="AY416" s="440">
        <v>0</v>
      </c>
      <c r="AZ416" s="440">
        <v>0</v>
      </c>
      <c r="BA416" s="440">
        <v>0</v>
      </c>
      <c r="BB416" s="440">
        <v>0</v>
      </c>
      <c r="BC416" s="440">
        <v>0</v>
      </c>
      <c r="BD416" s="440">
        <v>0</v>
      </c>
      <c r="BE416" s="440">
        <v>0</v>
      </c>
      <c r="BF416" s="440">
        <v>0</v>
      </c>
      <c r="BG416" s="440">
        <v>0</v>
      </c>
      <c r="BH416" s="440">
        <v>0</v>
      </c>
      <c r="BI416" s="440">
        <v>0</v>
      </c>
      <c r="BJ416" s="440">
        <v>0</v>
      </c>
      <c r="BK416" s="440">
        <v>0</v>
      </c>
      <c r="BL416" s="440">
        <v>0</v>
      </c>
      <c r="BM416" s="440">
        <v>0</v>
      </c>
      <c r="BN416" s="440">
        <v>0</v>
      </c>
      <c r="BO416" s="440">
        <v>0</v>
      </c>
      <c r="BP416" s="440">
        <v>0</v>
      </c>
      <c r="BQ416" s="440">
        <v>0</v>
      </c>
      <c r="BR416" s="415">
        <v>1</v>
      </c>
      <c r="BS416" s="415">
        <v>1.0166666666666666</v>
      </c>
      <c r="BT416" s="935"/>
      <c r="BU416" s="935"/>
      <c r="BV416" s="935"/>
      <c r="BW416" s="935"/>
      <c r="BX416" s="935"/>
      <c r="BY416" s="935"/>
      <c r="BZ416" s="935"/>
      <c r="CA416" s="935"/>
      <c r="CB416" s="935"/>
      <c r="CC416" s="935"/>
      <c r="CD416" s="935"/>
      <c r="CE416" s="935"/>
      <c r="CF416" s="935"/>
      <c r="CG416" s="935"/>
      <c r="CH416" s="935"/>
      <c r="CI416" s="935"/>
      <c r="CJ416" s="935"/>
      <c r="CK416" s="935"/>
      <c r="CL416" s="935"/>
      <c r="CM416" s="935"/>
      <c r="CN416" s="935"/>
      <c r="CO416" s="935"/>
      <c r="CP416" s="935"/>
      <c r="CQ416" s="935"/>
      <c r="CR416" s="935"/>
      <c r="CS416" s="935"/>
      <c r="CT416" s="935"/>
      <c r="CU416" s="935"/>
      <c r="CV416" s="935"/>
    </row>
    <row r="417" spans="1:100" s="441" customFormat="1">
      <c r="A417" s="375">
        <f t="shared" si="126"/>
        <v>9</v>
      </c>
      <c r="B417" s="862">
        <v>44445</v>
      </c>
      <c r="C417" s="493" t="s">
        <v>1980</v>
      </c>
      <c r="D417" s="376" t="str">
        <f>IFERROR(VLOOKUP(E:E,'Item Data Support Sheet'!A:O,7,0),"")</f>
        <v>NIPPLE PUNCH</v>
      </c>
      <c r="E417" s="447" t="s">
        <v>81</v>
      </c>
      <c r="F417" s="500"/>
      <c r="G417" s="497" t="s">
        <v>1692</v>
      </c>
      <c r="H417" s="602" t="str">
        <f>IFERROR(VLOOKUP(E:E,'Item Data Support Sheet'!A:O,2,0),"")</f>
        <v>NIPPLE S TYPE M SIZE PUNCHED</v>
      </c>
      <c r="I417" s="501" t="s">
        <v>2931</v>
      </c>
      <c r="J417" s="501" t="s">
        <v>2809</v>
      </c>
      <c r="K417" s="438">
        <v>8</v>
      </c>
      <c r="L417" s="499">
        <v>7000</v>
      </c>
      <c r="M417" s="366">
        <f t="shared" si="141"/>
        <v>875</v>
      </c>
      <c r="N417" s="367">
        <f t="shared" si="125"/>
        <v>7300</v>
      </c>
      <c r="O417" s="61">
        <v>7300</v>
      </c>
      <c r="P417" s="368">
        <v>0</v>
      </c>
      <c r="Q417" s="368">
        <v>0</v>
      </c>
      <c r="R417" s="494">
        <v>0</v>
      </c>
      <c r="S417" s="493">
        <v>0</v>
      </c>
      <c r="T417" s="494">
        <v>0</v>
      </c>
      <c r="U417" s="493">
        <v>0</v>
      </c>
      <c r="V417" s="502">
        <v>1</v>
      </c>
      <c r="W417" s="453">
        <f t="shared" si="127"/>
        <v>7300</v>
      </c>
      <c r="X417" s="748">
        <f t="shared" si="128"/>
        <v>1.0428571428571429</v>
      </c>
      <c r="Y417" s="451" t="str">
        <f>IFERROR(VLOOKUP(E:E,'Item Data Support Sheet'!A:J,6,0),0)</f>
        <v>FO016</v>
      </c>
      <c r="Z417" s="428">
        <f>IFERROR(VLOOKUP(E:E,'Item Data Support Sheet'!A:O,4,0),0)</f>
        <v>0</v>
      </c>
      <c r="AA417" s="428">
        <f t="shared" si="129"/>
        <v>0</v>
      </c>
      <c r="AB417" s="429" t="str">
        <f t="shared" si="130"/>
        <v xml:space="preserve"> </v>
      </c>
      <c r="AC417" s="424">
        <f t="shared" si="131"/>
        <v>0</v>
      </c>
      <c r="AD417" s="371">
        <f t="shared" si="132"/>
        <v>0</v>
      </c>
      <c r="AE417" s="748">
        <f t="shared" si="133"/>
        <v>1</v>
      </c>
      <c r="AF417" s="417">
        <f t="shared" si="134"/>
        <v>0</v>
      </c>
      <c r="AG417" s="416">
        <f t="shared" si="135"/>
        <v>8</v>
      </c>
      <c r="AH417" s="372">
        <f t="shared" si="136"/>
        <v>1</v>
      </c>
      <c r="AI417" s="373">
        <f t="shared" si="137"/>
        <v>912.5</v>
      </c>
      <c r="AJ417" s="418">
        <f>VLOOKUP(D417,'Standard Cycle time'!C:D,2,0)</f>
        <v>3.5</v>
      </c>
      <c r="AK417" s="418">
        <f t="shared" si="138"/>
        <v>3.9452054794520546</v>
      </c>
      <c r="AL417" s="374">
        <f t="shared" si="139"/>
        <v>0.88715277777777779</v>
      </c>
      <c r="AM417" s="372">
        <f t="shared" si="140"/>
        <v>0.88715277777777779</v>
      </c>
      <c r="AN417" s="799" t="s">
        <v>2932</v>
      </c>
      <c r="AO417" s="448"/>
      <c r="AP417" s="440">
        <v>0</v>
      </c>
      <c r="AQ417" s="440">
        <v>0</v>
      </c>
      <c r="AR417" s="440">
        <v>0</v>
      </c>
      <c r="AS417" s="440">
        <v>0</v>
      </c>
      <c r="AT417" s="440">
        <v>0</v>
      </c>
      <c r="AU417" s="440">
        <v>0</v>
      </c>
      <c r="AV417" s="440">
        <v>0</v>
      </c>
      <c r="AW417" s="440">
        <v>0</v>
      </c>
      <c r="AX417" s="440">
        <v>0</v>
      </c>
      <c r="AY417" s="440">
        <v>0</v>
      </c>
      <c r="AZ417" s="440">
        <v>0</v>
      </c>
      <c r="BA417" s="440">
        <v>0</v>
      </c>
      <c r="BB417" s="440">
        <v>0</v>
      </c>
      <c r="BC417" s="440">
        <v>0</v>
      </c>
      <c r="BD417" s="440">
        <v>0</v>
      </c>
      <c r="BE417" s="440">
        <v>0</v>
      </c>
      <c r="BF417" s="440">
        <v>0</v>
      </c>
      <c r="BG417" s="440">
        <v>0</v>
      </c>
      <c r="BH417" s="440">
        <v>0</v>
      </c>
      <c r="BI417" s="440">
        <v>0</v>
      </c>
      <c r="BJ417" s="440">
        <v>0</v>
      </c>
      <c r="BK417" s="440">
        <v>0</v>
      </c>
      <c r="BL417" s="440">
        <v>0</v>
      </c>
      <c r="BM417" s="440">
        <v>0</v>
      </c>
      <c r="BN417" s="440">
        <v>0</v>
      </c>
      <c r="BO417" s="440">
        <v>0</v>
      </c>
      <c r="BP417" s="440">
        <v>0</v>
      </c>
      <c r="BQ417" s="440">
        <v>0</v>
      </c>
      <c r="BR417" s="415">
        <v>0</v>
      </c>
      <c r="BS417" s="415">
        <v>0</v>
      </c>
      <c r="BT417" s="935"/>
      <c r="BU417" s="935"/>
      <c r="BV417" s="935"/>
      <c r="BW417" s="935"/>
      <c r="BX417" s="935"/>
      <c r="BY417" s="935"/>
      <c r="BZ417" s="935"/>
      <c r="CA417" s="935"/>
      <c r="CB417" s="935"/>
      <c r="CC417" s="935"/>
      <c r="CD417" s="935"/>
      <c r="CE417" s="935"/>
      <c r="CF417" s="935"/>
      <c r="CG417" s="935"/>
      <c r="CH417" s="935"/>
      <c r="CI417" s="935"/>
      <c r="CJ417" s="935"/>
      <c r="CK417" s="935"/>
      <c r="CL417" s="935"/>
      <c r="CM417" s="935"/>
      <c r="CN417" s="935"/>
      <c r="CO417" s="935"/>
      <c r="CP417" s="935"/>
      <c r="CQ417" s="935"/>
      <c r="CR417" s="935"/>
      <c r="CS417" s="935"/>
      <c r="CT417" s="935"/>
      <c r="CU417" s="935"/>
      <c r="CV417" s="935"/>
    </row>
    <row r="418" spans="1:100" s="441" customFormat="1">
      <c r="A418" s="375">
        <f t="shared" si="126"/>
        <v>9</v>
      </c>
      <c r="B418" s="862">
        <v>44445</v>
      </c>
      <c r="C418" s="493" t="s">
        <v>1980</v>
      </c>
      <c r="D418" s="376" t="str">
        <f>IFERROR(VLOOKUP(E:E,'Item Data Support Sheet'!A:O,7,0),"")</f>
        <v>NIPPLE LASER MARKING</v>
      </c>
      <c r="E418" s="447" t="s">
        <v>1815</v>
      </c>
      <c r="F418" s="500"/>
      <c r="G418" s="497" t="s">
        <v>1812</v>
      </c>
      <c r="H418" s="602" t="str">
        <f>IFERROR(VLOOKUP(E:E,'Item Data Support Sheet'!A:O,2,0),"")</f>
        <v>NIPPLE S TYPE M SIZE PUNCHED LASER MARKED</v>
      </c>
      <c r="I418" s="501" t="s">
        <v>2933</v>
      </c>
      <c r="J418" s="501" t="s">
        <v>2809</v>
      </c>
      <c r="K418" s="438">
        <v>1</v>
      </c>
      <c r="L418" s="499">
        <v>1000</v>
      </c>
      <c r="M418" s="366">
        <f t="shared" si="141"/>
        <v>1000</v>
      </c>
      <c r="N418" s="367">
        <f t="shared" si="125"/>
        <v>1000</v>
      </c>
      <c r="O418" s="61">
        <v>1000</v>
      </c>
      <c r="P418" s="368">
        <v>0</v>
      </c>
      <c r="Q418" s="368">
        <v>0</v>
      </c>
      <c r="R418" s="494">
        <v>0</v>
      </c>
      <c r="S418" s="493">
        <v>0</v>
      </c>
      <c r="T418" s="494">
        <v>0</v>
      </c>
      <c r="U418" s="493">
        <v>0</v>
      </c>
      <c r="V418" s="502">
        <v>1</v>
      </c>
      <c r="W418" s="453">
        <f t="shared" si="127"/>
        <v>1000</v>
      </c>
      <c r="X418" s="748">
        <f t="shared" si="128"/>
        <v>1</v>
      </c>
      <c r="Y418" s="451" t="str">
        <f>IFERROR(VLOOKUP(E:E,'Item Data Support Sheet'!A:J,6,0),0)</f>
        <v>FO020</v>
      </c>
      <c r="Z418" s="428">
        <f>IFERROR(VLOOKUP(E:E,'Item Data Support Sheet'!A:O,4,0),0)</f>
        <v>0</v>
      </c>
      <c r="AA418" s="428">
        <f t="shared" si="129"/>
        <v>0</v>
      </c>
      <c r="AB418" s="429" t="str">
        <f t="shared" si="130"/>
        <v xml:space="preserve"> </v>
      </c>
      <c r="AC418" s="424">
        <f t="shared" si="131"/>
        <v>0</v>
      </c>
      <c r="AD418" s="371">
        <f t="shared" si="132"/>
        <v>0</v>
      </c>
      <c r="AE418" s="748">
        <f t="shared" si="133"/>
        <v>1</v>
      </c>
      <c r="AF418" s="417">
        <f t="shared" si="134"/>
        <v>0</v>
      </c>
      <c r="AG418" s="416">
        <f t="shared" si="135"/>
        <v>1</v>
      </c>
      <c r="AH418" s="372">
        <f t="shared" si="136"/>
        <v>1</v>
      </c>
      <c r="AI418" s="373">
        <f t="shared" si="137"/>
        <v>1000</v>
      </c>
      <c r="AJ418" s="418">
        <f>VLOOKUP(D418,'Standard Cycle time'!C:D,2,0)</f>
        <v>3.5</v>
      </c>
      <c r="AK418" s="418">
        <f t="shared" si="138"/>
        <v>3.6</v>
      </c>
      <c r="AL418" s="374">
        <f t="shared" si="139"/>
        <v>0.97222222222222221</v>
      </c>
      <c r="AM418" s="372">
        <f t="shared" si="140"/>
        <v>0.97222222222222221</v>
      </c>
      <c r="AN418" s="799" t="s">
        <v>2934</v>
      </c>
      <c r="AO418" s="448" t="s">
        <v>2935</v>
      </c>
      <c r="AP418" s="440">
        <v>0</v>
      </c>
      <c r="AQ418" s="440">
        <v>0</v>
      </c>
      <c r="AR418" s="440">
        <v>0</v>
      </c>
      <c r="AS418" s="440">
        <v>0</v>
      </c>
      <c r="AT418" s="440">
        <v>0</v>
      </c>
      <c r="AU418" s="440">
        <v>0</v>
      </c>
      <c r="AV418" s="440">
        <v>0</v>
      </c>
      <c r="AW418" s="440">
        <v>0</v>
      </c>
      <c r="AX418" s="440">
        <v>0</v>
      </c>
      <c r="AY418" s="440">
        <v>0</v>
      </c>
      <c r="AZ418" s="440">
        <v>0</v>
      </c>
      <c r="BA418" s="440">
        <v>0</v>
      </c>
      <c r="BB418" s="440">
        <v>0</v>
      </c>
      <c r="BC418" s="440">
        <v>0</v>
      </c>
      <c r="BD418" s="440">
        <v>0</v>
      </c>
      <c r="BE418" s="440">
        <v>0</v>
      </c>
      <c r="BF418" s="440">
        <v>0</v>
      </c>
      <c r="BG418" s="440">
        <v>0</v>
      </c>
      <c r="BH418" s="440">
        <v>0</v>
      </c>
      <c r="BI418" s="440">
        <v>0</v>
      </c>
      <c r="BJ418" s="440">
        <v>0</v>
      </c>
      <c r="BK418" s="440">
        <v>0</v>
      </c>
      <c r="BL418" s="440">
        <v>0</v>
      </c>
      <c r="BM418" s="440">
        <v>0</v>
      </c>
      <c r="BN418" s="440">
        <v>0</v>
      </c>
      <c r="BO418" s="440">
        <v>0</v>
      </c>
      <c r="BP418" s="440">
        <v>0</v>
      </c>
      <c r="BQ418" s="440">
        <v>0</v>
      </c>
      <c r="BR418" s="415">
        <v>0</v>
      </c>
      <c r="BS418" s="415">
        <v>0</v>
      </c>
      <c r="BT418" s="935"/>
      <c r="BU418" s="935"/>
      <c r="BV418" s="935"/>
      <c r="BW418" s="935"/>
      <c r="BX418" s="935"/>
      <c r="BY418" s="935"/>
      <c r="BZ418" s="935"/>
      <c r="CA418" s="935"/>
      <c r="CB418" s="935"/>
      <c r="CC418" s="935"/>
      <c r="CD418" s="935"/>
      <c r="CE418" s="935"/>
      <c r="CF418" s="935"/>
      <c r="CG418" s="935"/>
      <c r="CH418" s="935"/>
      <c r="CI418" s="935"/>
      <c r="CJ418" s="935"/>
      <c r="CK418" s="935"/>
      <c r="CL418" s="935"/>
      <c r="CM418" s="935"/>
      <c r="CN418" s="935"/>
      <c r="CO418" s="935"/>
      <c r="CP418" s="935"/>
      <c r="CQ418" s="935"/>
      <c r="CR418" s="935"/>
      <c r="CS418" s="935"/>
      <c r="CT418" s="935"/>
      <c r="CU418" s="935"/>
      <c r="CV418" s="935"/>
    </row>
    <row r="419" spans="1:100" s="441" customFormat="1">
      <c r="A419" s="375">
        <f t="shared" si="126"/>
        <v>9</v>
      </c>
      <c r="B419" s="862">
        <v>44445</v>
      </c>
      <c r="C419" s="493" t="s">
        <v>1980</v>
      </c>
      <c r="D419" s="376" t="str">
        <f>IFERROR(VLOOKUP(E:E,'Item Data Support Sheet'!A:O,7,0),"")</f>
        <v>NIPPLE LASER MARKING</v>
      </c>
      <c r="E419" s="447" t="s">
        <v>1817</v>
      </c>
      <c r="F419" s="500"/>
      <c r="G419" s="497" t="s">
        <v>1812</v>
      </c>
      <c r="H419" s="602" t="str">
        <f>IFERROR(VLOOKUP(E:E,'Item Data Support Sheet'!A:O,2,0),"")</f>
        <v>NIPPLE S TYPE Y SIZE PUNCHED LASER MARKED</v>
      </c>
      <c r="I419" s="501" t="s">
        <v>2936</v>
      </c>
      <c r="J419" s="501" t="s">
        <v>2809</v>
      </c>
      <c r="K419" s="438">
        <v>1</v>
      </c>
      <c r="L419" s="499">
        <v>1000</v>
      </c>
      <c r="M419" s="366">
        <f t="shared" si="141"/>
        <v>1000</v>
      </c>
      <c r="N419" s="367">
        <f t="shared" si="125"/>
        <v>1000</v>
      </c>
      <c r="O419" s="61">
        <v>1000</v>
      </c>
      <c r="P419" s="368">
        <v>0</v>
      </c>
      <c r="Q419" s="368">
        <v>0</v>
      </c>
      <c r="R419" s="494">
        <v>0</v>
      </c>
      <c r="S419" s="493">
        <v>0</v>
      </c>
      <c r="T419" s="494">
        <v>0</v>
      </c>
      <c r="U419" s="493">
        <v>0</v>
      </c>
      <c r="V419" s="502">
        <v>1</v>
      </c>
      <c r="W419" s="453">
        <f t="shared" si="127"/>
        <v>1000</v>
      </c>
      <c r="X419" s="748">
        <f t="shared" si="128"/>
        <v>1</v>
      </c>
      <c r="Y419" s="451" t="str">
        <f>IFERROR(VLOOKUP(E:E,'Item Data Support Sheet'!A:J,6,0),0)</f>
        <v>FO022</v>
      </c>
      <c r="Z419" s="428">
        <f>IFERROR(VLOOKUP(E:E,'Item Data Support Sheet'!A:O,4,0),0)</f>
        <v>0</v>
      </c>
      <c r="AA419" s="428">
        <f t="shared" si="129"/>
        <v>0</v>
      </c>
      <c r="AB419" s="429" t="str">
        <f t="shared" si="130"/>
        <v xml:space="preserve"> </v>
      </c>
      <c r="AC419" s="424">
        <f t="shared" si="131"/>
        <v>0</v>
      </c>
      <c r="AD419" s="371">
        <f t="shared" si="132"/>
        <v>0</v>
      </c>
      <c r="AE419" s="748">
        <f t="shared" si="133"/>
        <v>1</v>
      </c>
      <c r="AF419" s="417">
        <f t="shared" si="134"/>
        <v>0</v>
      </c>
      <c r="AG419" s="416">
        <f t="shared" si="135"/>
        <v>1</v>
      </c>
      <c r="AH419" s="372">
        <f t="shared" si="136"/>
        <v>1</v>
      </c>
      <c r="AI419" s="373">
        <f t="shared" si="137"/>
        <v>1000</v>
      </c>
      <c r="AJ419" s="418">
        <f>VLOOKUP(D419,'Standard Cycle time'!C:D,2,0)</f>
        <v>3.5</v>
      </c>
      <c r="AK419" s="418">
        <f t="shared" si="138"/>
        <v>3.6</v>
      </c>
      <c r="AL419" s="374">
        <f t="shared" si="139"/>
        <v>0.97222222222222221</v>
      </c>
      <c r="AM419" s="372">
        <f t="shared" si="140"/>
        <v>0.97222222222222221</v>
      </c>
      <c r="AN419" s="799">
        <v>3005</v>
      </c>
      <c r="AO419" s="448" t="s">
        <v>2935</v>
      </c>
      <c r="AP419" s="440">
        <v>0</v>
      </c>
      <c r="AQ419" s="440">
        <v>0</v>
      </c>
      <c r="AR419" s="440">
        <v>0</v>
      </c>
      <c r="AS419" s="440">
        <v>0</v>
      </c>
      <c r="AT419" s="440">
        <v>0</v>
      </c>
      <c r="AU419" s="440">
        <v>0</v>
      </c>
      <c r="AV419" s="440">
        <v>0</v>
      </c>
      <c r="AW419" s="440">
        <v>0</v>
      </c>
      <c r="AX419" s="440">
        <v>0</v>
      </c>
      <c r="AY419" s="440">
        <v>0</v>
      </c>
      <c r="AZ419" s="440">
        <v>0</v>
      </c>
      <c r="BA419" s="440">
        <v>0</v>
      </c>
      <c r="BB419" s="440">
        <v>0</v>
      </c>
      <c r="BC419" s="440">
        <v>0</v>
      </c>
      <c r="BD419" s="440">
        <v>0</v>
      </c>
      <c r="BE419" s="440">
        <v>0</v>
      </c>
      <c r="BF419" s="440">
        <v>0</v>
      </c>
      <c r="BG419" s="440">
        <v>0</v>
      </c>
      <c r="BH419" s="440">
        <v>0</v>
      </c>
      <c r="BI419" s="440">
        <v>0</v>
      </c>
      <c r="BJ419" s="440">
        <v>0</v>
      </c>
      <c r="BK419" s="440">
        <v>0</v>
      </c>
      <c r="BL419" s="440">
        <v>0</v>
      </c>
      <c r="BM419" s="440">
        <v>0</v>
      </c>
      <c r="BN419" s="440">
        <v>0</v>
      </c>
      <c r="BO419" s="440">
        <v>0</v>
      </c>
      <c r="BP419" s="440">
        <v>0</v>
      </c>
      <c r="BQ419" s="440">
        <v>0</v>
      </c>
      <c r="BR419" s="415">
        <v>0</v>
      </c>
      <c r="BS419" s="415">
        <v>0</v>
      </c>
      <c r="BT419" s="935"/>
      <c r="BU419" s="935"/>
      <c r="BV419" s="935"/>
      <c r="BW419" s="935"/>
      <c r="BX419" s="935"/>
      <c r="BY419" s="935"/>
      <c r="BZ419" s="935"/>
      <c r="CA419" s="935"/>
      <c r="CB419" s="935"/>
      <c r="CC419" s="935"/>
      <c r="CD419" s="935"/>
      <c r="CE419" s="935"/>
      <c r="CF419" s="935"/>
      <c r="CG419" s="935"/>
      <c r="CH419" s="935"/>
      <c r="CI419" s="935"/>
      <c r="CJ419" s="935"/>
      <c r="CK419" s="935"/>
      <c r="CL419" s="935"/>
      <c r="CM419" s="935"/>
      <c r="CN419" s="935"/>
      <c r="CO419" s="935"/>
      <c r="CP419" s="935"/>
      <c r="CQ419" s="935"/>
      <c r="CR419" s="935"/>
      <c r="CS419" s="935"/>
      <c r="CT419" s="935"/>
      <c r="CU419" s="935"/>
      <c r="CV419" s="935"/>
    </row>
    <row r="420" spans="1:100" s="441" customFormat="1">
      <c r="A420" s="375">
        <f t="shared" si="126"/>
        <v>9</v>
      </c>
      <c r="B420" s="862">
        <v>44445</v>
      </c>
      <c r="C420" s="493" t="s">
        <v>2000</v>
      </c>
      <c r="D420" s="376" t="str">
        <f>IFERROR(VLOOKUP(E:E,'Item Data Support Sheet'!A:O,7,0),"")</f>
        <v>NIPPLE WRAP PRINTED</v>
      </c>
      <c r="E420" s="447" t="s">
        <v>111</v>
      </c>
      <c r="F420" s="500"/>
      <c r="G420" s="497" t="s">
        <v>1693</v>
      </c>
      <c r="H420" s="602" t="str">
        <f>IFERROR(VLOOKUP(E:E,'Item Data Support Sheet'!A:O,2,0),"")</f>
        <v>NIPPLE S TYPE Y SIZE WITH PRINTED WRAP</v>
      </c>
      <c r="I420" s="501" t="s">
        <v>2888</v>
      </c>
      <c r="J420" s="501" t="s">
        <v>2808</v>
      </c>
      <c r="K420" s="438">
        <v>1</v>
      </c>
      <c r="L420" s="499">
        <v>1000</v>
      </c>
      <c r="M420" s="366">
        <f t="shared" si="141"/>
        <v>1000</v>
      </c>
      <c r="N420" s="367">
        <f t="shared" si="125"/>
        <v>997</v>
      </c>
      <c r="O420" s="61">
        <v>997</v>
      </c>
      <c r="P420" s="368">
        <v>0</v>
      </c>
      <c r="Q420" s="368">
        <v>0</v>
      </c>
      <c r="R420" s="494">
        <v>0</v>
      </c>
      <c r="S420" s="493">
        <v>0</v>
      </c>
      <c r="T420" s="494">
        <v>0</v>
      </c>
      <c r="U420" s="493">
        <v>0</v>
      </c>
      <c r="V420" s="502">
        <v>2</v>
      </c>
      <c r="W420" s="453">
        <f t="shared" si="127"/>
        <v>498.5</v>
      </c>
      <c r="X420" s="748">
        <f t="shared" si="128"/>
        <v>0.997</v>
      </c>
      <c r="Y420" s="451" t="str">
        <f>IFERROR(VLOOKUP(E:E,'Item Data Support Sheet'!A:J,6,0),0)</f>
        <v>FO022</v>
      </c>
      <c r="Z420" s="428">
        <f>IFERROR(VLOOKUP(E:E,'Item Data Support Sheet'!A:O,4,0),0)</f>
        <v>0</v>
      </c>
      <c r="AA420" s="428">
        <f t="shared" si="129"/>
        <v>0</v>
      </c>
      <c r="AB420" s="429" t="str">
        <f t="shared" si="130"/>
        <v xml:space="preserve"> </v>
      </c>
      <c r="AC420" s="424">
        <f t="shared" si="131"/>
        <v>0</v>
      </c>
      <c r="AD420" s="371">
        <f t="shared" si="132"/>
        <v>0</v>
      </c>
      <c r="AE420" s="748">
        <f t="shared" si="133"/>
        <v>1</v>
      </c>
      <c r="AF420" s="417">
        <f t="shared" si="134"/>
        <v>0.5</v>
      </c>
      <c r="AG420" s="416">
        <f t="shared" si="135"/>
        <v>0.5</v>
      </c>
      <c r="AH420" s="372">
        <f t="shared" si="136"/>
        <v>0.5</v>
      </c>
      <c r="AI420" s="373">
        <f t="shared" si="137"/>
        <v>997</v>
      </c>
      <c r="AJ420" s="418">
        <f>VLOOKUP(D420,'Standard Cycle time'!C:D,2,0)</f>
        <v>2.5</v>
      </c>
      <c r="AK420" s="418">
        <f t="shared" si="138"/>
        <v>3.6108324974924773</v>
      </c>
      <c r="AL420" s="374">
        <f t="shared" si="139"/>
        <v>0.69236111111111109</v>
      </c>
      <c r="AM420" s="372">
        <f t="shared" si="140"/>
        <v>0.34618055555555555</v>
      </c>
      <c r="AN420" s="799">
        <v>3015</v>
      </c>
      <c r="AO420" s="448" t="s">
        <v>2937</v>
      </c>
      <c r="AP420" s="440">
        <v>0</v>
      </c>
      <c r="AQ420" s="440">
        <v>0</v>
      </c>
      <c r="AR420" s="440">
        <v>0</v>
      </c>
      <c r="AS420" s="440">
        <v>0</v>
      </c>
      <c r="AT420" s="440">
        <v>0</v>
      </c>
      <c r="AU420" s="440">
        <v>0</v>
      </c>
      <c r="AV420" s="440">
        <v>30</v>
      </c>
      <c r="AW420" s="440">
        <v>0</v>
      </c>
      <c r="AX420" s="440">
        <v>0</v>
      </c>
      <c r="AY420" s="440">
        <v>0</v>
      </c>
      <c r="AZ420" s="440">
        <v>0</v>
      </c>
      <c r="BA420" s="440">
        <v>0</v>
      </c>
      <c r="BB420" s="440">
        <v>0</v>
      </c>
      <c r="BC420" s="440">
        <v>0</v>
      </c>
      <c r="BD420" s="440">
        <v>0</v>
      </c>
      <c r="BE420" s="440">
        <v>0</v>
      </c>
      <c r="BF420" s="440">
        <v>0</v>
      </c>
      <c r="BG420" s="440">
        <v>0</v>
      </c>
      <c r="BH420" s="440">
        <v>0</v>
      </c>
      <c r="BI420" s="440">
        <v>0</v>
      </c>
      <c r="BJ420" s="440">
        <v>0</v>
      </c>
      <c r="BK420" s="440">
        <v>0</v>
      </c>
      <c r="BL420" s="440">
        <v>0</v>
      </c>
      <c r="BM420" s="440">
        <v>0</v>
      </c>
      <c r="BN420" s="440">
        <v>0</v>
      </c>
      <c r="BO420" s="440">
        <v>0</v>
      </c>
      <c r="BP420" s="440">
        <v>0</v>
      </c>
      <c r="BQ420" s="440">
        <v>0</v>
      </c>
      <c r="BR420" s="415">
        <v>0.5</v>
      </c>
      <c r="BS420" s="415">
        <v>0.5083333333333333</v>
      </c>
      <c r="BT420" s="935"/>
      <c r="BU420" s="935"/>
      <c r="BV420" s="935"/>
      <c r="BW420" s="935"/>
      <c r="BX420" s="935"/>
      <c r="BY420" s="935"/>
      <c r="BZ420" s="935"/>
      <c r="CA420" s="935"/>
      <c r="CB420" s="935"/>
      <c r="CC420" s="935"/>
      <c r="CD420" s="935"/>
      <c r="CE420" s="935"/>
      <c r="CF420" s="935"/>
      <c r="CG420" s="935"/>
      <c r="CH420" s="935"/>
      <c r="CI420" s="935"/>
      <c r="CJ420" s="935"/>
      <c r="CK420" s="935"/>
      <c r="CL420" s="935"/>
      <c r="CM420" s="935"/>
      <c r="CN420" s="935"/>
      <c r="CO420" s="935"/>
      <c r="CP420" s="935"/>
      <c r="CQ420" s="935"/>
      <c r="CR420" s="935"/>
      <c r="CS420" s="935"/>
      <c r="CT420" s="935"/>
      <c r="CU420" s="935"/>
      <c r="CV420" s="935"/>
    </row>
    <row r="421" spans="1:100" s="441" customFormat="1">
      <c r="A421" s="375">
        <f t="shared" si="126"/>
        <v>9</v>
      </c>
      <c r="B421" s="862">
        <v>44445</v>
      </c>
      <c r="C421" s="493" t="s">
        <v>2000</v>
      </c>
      <c r="D421" s="376" t="str">
        <f>IFERROR(VLOOKUP(E:E,'Item Data Support Sheet'!A:O,7,0),"")</f>
        <v>NIPPLE PUNCH INSPECTED</v>
      </c>
      <c r="E421" s="447" t="s">
        <v>1819</v>
      </c>
      <c r="F421" s="500"/>
      <c r="G421" s="497"/>
      <c r="H421" s="602" t="str">
        <f>IFERROR(VLOOKUP(E:E,'Item Data Support Sheet'!A:O,2,0),"")</f>
        <v>NIPPLE S TYPE M SIZE PUNCHED INSPECTED</v>
      </c>
      <c r="I421" s="501" t="s">
        <v>2938</v>
      </c>
      <c r="J421" s="501" t="s">
        <v>2808</v>
      </c>
      <c r="K421" s="438">
        <v>3.5</v>
      </c>
      <c r="L421" s="499">
        <v>7000</v>
      </c>
      <c r="M421" s="366">
        <f t="shared" si="141"/>
        <v>2000</v>
      </c>
      <c r="N421" s="367">
        <f t="shared" si="125"/>
        <v>3200</v>
      </c>
      <c r="O421" s="61">
        <v>3200</v>
      </c>
      <c r="P421" s="368">
        <v>0</v>
      </c>
      <c r="Q421" s="368">
        <v>0</v>
      </c>
      <c r="R421" s="494">
        <v>0</v>
      </c>
      <c r="S421" s="493">
        <v>0</v>
      </c>
      <c r="T421" s="494">
        <v>0</v>
      </c>
      <c r="U421" s="493">
        <v>0</v>
      </c>
      <c r="V421" s="502">
        <v>2</v>
      </c>
      <c r="W421" s="453">
        <f t="shared" si="127"/>
        <v>1600</v>
      </c>
      <c r="X421" s="748">
        <f t="shared" si="128"/>
        <v>0.45714285714285713</v>
      </c>
      <c r="Y421" s="451" t="str">
        <f>IFERROR(VLOOKUP(E:E,'Item Data Support Sheet'!A:J,6,0),0)</f>
        <v>FO105</v>
      </c>
      <c r="Z421" s="428">
        <f>IFERROR(VLOOKUP(E:E,'Item Data Support Sheet'!A:O,4,0),0)</f>
        <v>0</v>
      </c>
      <c r="AA421" s="428">
        <f t="shared" si="129"/>
        <v>0</v>
      </c>
      <c r="AB421" s="429" t="str">
        <f t="shared" si="130"/>
        <v xml:space="preserve"> </v>
      </c>
      <c r="AC421" s="424">
        <f t="shared" si="131"/>
        <v>0</v>
      </c>
      <c r="AD421" s="371">
        <f t="shared" si="132"/>
        <v>0</v>
      </c>
      <c r="AE421" s="748">
        <f t="shared" si="133"/>
        <v>1</v>
      </c>
      <c r="AF421" s="417">
        <f t="shared" si="134"/>
        <v>1.8333333333333333</v>
      </c>
      <c r="AG421" s="416">
        <f t="shared" si="135"/>
        <v>1.6666666666666667</v>
      </c>
      <c r="AH421" s="372">
        <f t="shared" si="136"/>
        <v>0.47619047619047622</v>
      </c>
      <c r="AI421" s="373">
        <f t="shared" si="137"/>
        <v>914.28571428571433</v>
      </c>
      <c r="AJ421" s="418">
        <f>VLOOKUP(D421,'Standard Cycle time'!C:D,2,0)</f>
        <v>4</v>
      </c>
      <c r="AK421" s="418">
        <f t="shared" si="138"/>
        <v>3.75</v>
      </c>
      <c r="AL421" s="374">
        <f t="shared" si="139"/>
        <v>1.0666666666666667</v>
      </c>
      <c r="AM421" s="372">
        <f t="shared" si="140"/>
        <v>0.50793650793650791</v>
      </c>
      <c r="AN421" s="799">
        <v>3016</v>
      </c>
      <c r="AO421" s="448"/>
      <c r="AP421" s="440">
        <v>50</v>
      </c>
      <c r="AQ421" s="440">
        <v>0</v>
      </c>
      <c r="AR421" s="440">
        <v>0</v>
      </c>
      <c r="AS421" s="440">
        <v>60</v>
      </c>
      <c r="AT421" s="440">
        <v>0</v>
      </c>
      <c r="AU421" s="440">
        <v>0</v>
      </c>
      <c r="AV421" s="440">
        <v>0</v>
      </c>
      <c r="AW421" s="440">
        <v>0</v>
      </c>
      <c r="AX421" s="440">
        <v>0</v>
      </c>
      <c r="AY421" s="440">
        <v>0</v>
      </c>
      <c r="AZ421" s="440">
        <v>0</v>
      </c>
      <c r="BA421" s="440">
        <v>0</v>
      </c>
      <c r="BB421" s="440">
        <v>0</v>
      </c>
      <c r="BC421" s="440">
        <v>0</v>
      </c>
      <c r="BD421" s="440">
        <v>0</v>
      </c>
      <c r="BE421" s="440">
        <v>0</v>
      </c>
      <c r="BF421" s="440">
        <v>0</v>
      </c>
      <c r="BG421" s="440">
        <v>0</v>
      </c>
      <c r="BH421" s="440">
        <v>0</v>
      </c>
      <c r="BI421" s="440">
        <v>0</v>
      </c>
      <c r="BJ421" s="440">
        <v>0</v>
      </c>
      <c r="BK421" s="440">
        <v>0</v>
      </c>
      <c r="BL421" s="440">
        <v>0</v>
      </c>
      <c r="BM421" s="440">
        <v>0</v>
      </c>
      <c r="BN421" s="440">
        <v>0</v>
      </c>
      <c r="BO421" s="440">
        <v>0</v>
      </c>
      <c r="BP421" s="440">
        <v>0</v>
      </c>
      <c r="BQ421" s="440">
        <v>0</v>
      </c>
      <c r="BR421" s="415">
        <v>1.8333333333333333</v>
      </c>
      <c r="BS421" s="415">
        <v>1.8638888888888887</v>
      </c>
      <c r="BT421" s="935"/>
      <c r="BU421" s="935"/>
      <c r="BV421" s="935"/>
      <c r="BW421" s="935"/>
      <c r="BX421" s="935"/>
      <c r="BY421" s="935"/>
      <c r="BZ421" s="935"/>
      <c r="CA421" s="935"/>
      <c r="CB421" s="935"/>
      <c r="CC421" s="935"/>
      <c r="CD421" s="935"/>
      <c r="CE421" s="935"/>
      <c r="CF421" s="935"/>
      <c r="CG421" s="935"/>
      <c r="CH421" s="935"/>
      <c r="CI421" s="935"/>
      <c r="CJ421" s="935"/>
      <c r="CK421" s="935"/>
      <c r="CL421" s="935"/>
      <c r="CM421" s="935"/>
      <c r="CN421" s="935"/>
      <c r="CO421" s="935"/>
      <c r="CP421" s="935"/>
      <c r="CQ421" s="935"/>
      <c r="CR421" s="935"/>
      <c r="CS421" s="935"/>
      <c r="CT421" s="935"/>
      <c r="CU421" s="935"/>
      <c r="CV421" s="935"/>
    </row>
    <row r="422" spans="1:100" s="441" customFormat="1">
      <c r="A422" s="375">
        <f t="shared" si="126"/>
        <v>9</v>
      </c>
      <c r="B422" s="862">
        <v>44445</v>
      </c>
      <c r="C422" s="493" t="s">
        <v>2000</v>
      </c>
      <c r="D422" s="376" t="str">
        <f>IFERROR(VLOOKUP(E:E,'Item Data Support Sheet'!A:O,7,0),"")</f>
        <v>NIPPLE PUNCH INSPECTED</v>
      </c>
      <c r="E422" s="447" t="s">
        <v>1821</v>
      </c>
      <c r="F422" s="500"/>
      <c r="G422" s="497"/>
      <c r="H422" s="602" t="str">
        <f>IFERROR(VLOOKUP(E:E,'Item Data Support Sheet'!A:O,2,0),"")</f>
        <v>NIPPLE S TYPE Y SIZE PUNCHED INSPECTED</v>
      </c>
      <c r="I422" s="501" t="s">
        <v>2888</v>
      </c>
      <c r="J422" s="501" t="s">
        <v>2808</v>
      </c>
      <c r="K422" s="438">
        <v>5</v>
      </c>
      <c r="L422" s="499">
        <v>7000</v>
      </c>
      <c r="M422" s="366">
        <f t="shared" si="141"/>
        <v>1400</v>
      </c>
      <c r="N422" s="367">
        <f t="shared" si="125"/>
        <v>5202</v>
      </c>
      <c r="O422" s="61">
        <v>5181</v>
      </c>
      <c r="P422" s="368">
        <v>0</v>
      </c>
      <c r="Q422" s="368">
        <v>0</v>
      </c>
      <c r="R422" s="494">
        <v>0</v>
      </c>
      <c r="S422" s="493">
        <v>0</v>
      </c>
      <c r="T422" s="494">
        <v>21</v>
      </c>
      <c r="U422" s="493">
        <v>0</v>
      </c>
      <c r="V422" s="502">
        <v>2</v>
      </c>
      <c r="W422" s="453">
        <f t="shared" si="127"/>
        <v>2590.5</v>
      </c>
      <c r="X422" s="748">
        <f t="shared" si="128"/>
        <v>0.7401428571428571</v>
      </c>
      <c r="Y422" s="451" t="str">
        <f>IFERROR(VLOOKUP(E:E,'Item Data Support Sheet'!A:J,6,0),0)</f>
        <v>FO107</v>
      </c>
      <c r="Z422" s="428">
        <f>IFERROR(VLOOKUP(E:E,'Item Data Support Sheet'!A:O,4,0),0)</f>
        <v>0</v>
      </c>
      <c r="AA422" s="428">
        <f t="shared" si="129"/>
        <v>0</v>
      </c>
      <c r="AB422" s="429" t="str">
        <f t="shared" si="130"/>
        <v xml:space="preserve"> </v>
      </c>
      <c r="AC422" s="424">
        <f t="shared" si="131"/>
        <v>4.0369088811995383E-3</v>
      </c>
      <c r="AD422" s="371">
        <f t="shared" si="132"/>
        <v>0</v>
      </c>
      <c r="AE422" s="748">
        <f t="shared" si="133"/>
        <v>0.99596309111880044</v>
      </c>
      <c r="AF422" s="417">
        <f t="shared" si="134"/>
        <v>1.8333333333333333</v>
      </c>
      <c r="AG422" s="416">
        <f t="shared" si="135"/>
        <v>3.166666666666667</v>
      </c>
      <c r="AH422" s="372">
        <f t="shared" si="136"/>
        <v>0.63333333333333341</v>
      </c>
      <c r="AI422" s="373">
        <f t="shared" si="137"/>
        <v>1036.2</v>
      </c>
      <c r="AJ422" s="418">
        <f>VLOOKUP(D422,'Standard Cycle time'!C:D,2,0)</f>
        <v>4</v>
      </c>
      <c r="AK422" s="418">
        <f t="shared" si="138"/>
        <v>4.4006948465547202</v>
      </c>
      <c r="AL422" s="374">
        <f t="shared" si="139"/>
        <v>0.90894736842105239</v>
      </c>
      <c r="AM422" s="372">
        <f t="shared" si="140"/>
        <v>0.57334275278738933</v>
      </c>
      <c r="AN422" s="799" t="s">
        <v>2939</v>
      </c>
      <c r="AO422" s="448"/>
      <c r="AP422" s="440">
        <v>50</v>
      </c>
      <c r="AQ422" s="440">
        <v>0</v>
      </c>
      <c r="AR422" s="440">
        <v>0</v>
      </c>
      <c r="AS422" s="440">
        <v>60</v>
      </c>
      <c r="AT422" s="440">
        <v>0</v>
      </c>
      <c r="AU422" s="440">
        <v>0</v>
      </c>
      <c r="AV422" s="440">
        <v>0</v>
      </c>
      <c r="AW422" s="440">
        <v>0</v>
      </c>
      <c r="AX422" s="440">
        <v>0</v>
      </c>
      <c r="AY422" s="440">
        <v>0</v>
      </c>
      <c r="AZ422" s="440">
        <v>0</v>
      </c>
      <c r="BA422" s="440">
        <v>0</v>
      </c>
      <c r="BB422" s="440">
        <v>0</v>
      </c>
      <c r="BC422" s="440">
        <v>0</v>
      </c>
      <c r="BD422" s="440">
        <v>0</v>
      </c>
      <c r="BE422" s="440">
        <v>0</v>
      </c>
      <c r="BF422" s="440">
        <v>0</v>
      </c>
      <c r="BG422" s="440">
        <v>0</v>
      </c>
      <c r="BH422" s="440">
        <v>0</v>
      </c>
      <c r="BI422" s="440">
        <v>0</v>
      </c>
      <c r="BJ422" s="440">
        <v>0</v>
      </c>
      <c r="BK422" s="440">
        <v>0</v>
      </c>
      <c r="BL422" s="440">
        <v>0</v>
      </c>
      <c r="BM422" s="440">
        <v>0</v>
      </c>
      <c r="BN422" s="440">
        <v>0</v>
      </c>
      <c r="BO422" s="440">
        <v>0</v>
      </c>
      <c r="BP422" s="440">
        <v>0</v>
      </c>
      <c r="BQ422" s="440">
        <v>0</v>
      </c>
      <c r="BR422" s="415">
        <v>1.8333333333333333</v>
      </c>
      <c r="BS422" s="415">
        <v>1.8638888888888887</v>
      </c>
      <c r="BT422" s="935"/>
      <c r="BU422" s="935"/>
      <c r="BV422" s="935"/>
      <c r="BW422" s="935"/>
      <c r="BX422" s="935"/>
      <c r="BY422" s="935"/>
      <c r="BZ422" s="935"/>
      <c r="CA422" s="935"/>
      <c r="CB422" s="935"/>
      <c r="CC422" s="935"/>
      <c r="CD422" s="935"/>
      <c r="CE422" s="935"/>
      <c r="CF422" s="935"/>
      <c r="CG422" s="935"/>
      <c r="CH422" s="935"/>
      <c r="CI422" s="935"/>
      <c r="CJ422" s="935"/>
      <c r="CK422" s="935"/>
      <c r="CL422" s="935"/>
      <c r="CM422" s="935"/>
      <c r="CN422" s="935"/>
      <c r="CO422" s="935"/>
      <c r="CP422" s="935"/>
      <c r="CQ422" s="935"/>
      <c r="CR422" s="935"/>
      <c r="CS422" s="935"/>
      <c r="CT422" s="935"/>
      <c r="CU422" s="935"/>
      <c r="CV422" s="935"/>
    </row>
    <row r="423" spans="1:100" s="441" customFormat="1">
      <c r="A423" s="375">
        <f t="shared" si="126"/>
        <v>9</v>
      </c>
      <c r="B423" s="862">
        <v>44445</v>
      </c>
      <c r="C423" s="493" t="s">
        <v>2000</v>
      </c>
      <c r="D423" s="376" t="str">
        <f>IFERROR(VLOOKUP(E:E,'Item Data Support Sheet'!A:O,7,0),"")</f>
        <v>BOTTLE PRINTED</v>
      </c>
      <c r="E423" s="447" t="s">
        <v>64</v>
      </c>
      <c r="F423" s="500"/>
      <c r="G423" s="497" t="s">
        <v>1698</v>
      </c>
      <c r="H423" s="602" t="str">
        <f>IFERROR(VLOOKUP(E:E,'Item Data Support Sheet'!A:O,2,0),"")</f>
        <v>KPP 240 ML BOTTLE PRINTED</v>
      </c>
      <c r="I423" s="501" t="s">
        <v>2940</v>
      </c>
      <c r="J423" s="501" t="s">
        <v>2808</v>
      </c>
      <c r="K423" s="438">
        <v>5.5</v>
      </c>
      <c r="L423" s="499">
        <v>3226</v>
      </c>
      <c r="M423" s="366">
        <f t="shared" si="141"/>
        <v>586.5454545454545</v>
      </c>
      <c r="N423" s="367">
        <f t="shared" si="125"/>
        <v>3226</v>
      </c>
      <c r="O423" s="61">
        <v>3210</v>
      </c>
      <c r="P423" s="368">
        <v>0</v>
      </c>
      <c r="Q423" s="368">
        <v>0</v>
      </c>
      <c r="R423" s="494">
        <v>23</v>
      </c>
      <c r="S423" s="493">
        <v>0</v>
      </c>
      <c r="T423" s="494">
        <v>16</v>
      </c>
      <c r="U423" s="493">
        <v>0</v>
      </c>
      <c r="V423" s="502">
        <v>6</v>
      </c>
      <c r="W423" s="453">
        <f t="shared" si="127"/>
        <v>535</v>
      </c>
      <c r="X423" s="748">
        <f t="shared" si="128"/>
        <v>0.99504029758214507</v>
      </c>
      <c r="Y423" s="451" t="str">
        <f>IFERROR(VLOOKUP(E:E,'Item Data Support Sheet'!A:J,6,0),0)</f>
        <v>FO003</v>
      </c>
      <c r="Z423" s="428">
        <f>IFERROR(VLOOKUP(E:E,'Item Data Support Sheet'!A:O,4,0),0)</f>
        <v>0</v>
      </c>
      <c r="AA423" s="428">
        <f t="shared" si="129"/>
        <v>0</v>
      </c>
      <c r="AB423" s="429" t="str">
        <f t="shared" si="130"/>
        <v xml:space="preserve"> </v>
      </c>
      <c r="AC423" s="424">
        <f t="shared" si="131"/>
        <v>4.9597024178549285E-3</v>
      </c>
      <c r="AD423" s="371">
        <f t="shared" si="132"/>
        <v>0</v>
      </c>
      <c r="AE423" s="748">
        <f t="shared" si="133"/>
        <v>0.99504029758214507</v>
      </c>
      <c r="AF423" s="417">
        <f t="shared" si="134"/>
        <v>0.83333333333333337</v>
      </c>
      <c r="AG423" s="416">
        <f t="shared" si="135"/>
        <v>4.666666666666667</v>
      </c>
      <c r="AH423" s="372">
        <f t="shared" si="136"/>
        <v>0.84848484848484851</v>
      </c>
      <c r="AI423" s="373">
        <f t="shared" si="137"/>
        <v>583.63636363636363</v>
      </c>
      <c r="AJ423" s="418">
        <f>VLOOKUP(D423,'Standard Cycle time'!C:D,2,0)</f>
        <v>32.4</v>
      </c>
      <c r="AK423" s="418">
        <f t="shared" si="138"/>
        <v>31.401869158878505</v>
      </c>
      <c r="AL423" s="374">
        <f t="shared" si="139"/>
        <v>1.0317857142857143</v>
      </c>
      <c r="AM423" s="372">
        <f t="shared" si="140"/>
        <v>0.87111255142873245</v>
      </c>
      <c r="AN423" s="799" t="s">
        <v>2941</v>
      </c>
      <c r="AO423" s="448"/>
      <c r="AP423" s="440">
        <v>50</v>
      </c>
      <c r="AQ423" s="440">
        <v>0</v>
      </c>
      <c r="AR423" s="440">
        <v>0</v>
      </c>
      <c r="AS423" s="440">
        <v>0</v>
      </c>
      <c r="AT423" s="440">
        <v>0</v>
      </c>
      <c r="AU423" s="440">
        <v>0</v>
      </c>
      <c r="AV423" s="440">
        <v>0</v>
      </c>
      <c r="AW423" s="440">
        <v>0</v>
      </c>
      <c r="AX423" s="440">
        <v>0</v>
      </c>
      <c r="AY423" s="440">
        <v>0</v>
      </c>
      <c r="AZ423" s="440">
        <v>0</v>
      </c>
      <c r="BA423" s="440">
        <v>0</v>
      </c>
      <c r="BB423" s="440">
        <v>0</v>
      </c>
      <c r="BC423" s="440">
        <v>0</v>
      </c>
      <c r="BD423" s="440">
        <v>0</v>
      </c>
      <c r="BE423" s="440">
        <v>0</v>
      </c>
      <c r="BF423" s="440">
        <v>0</v>
      </c>
      <c r="BG423" s="440">
        <v>0</v>
      </c>
      <c r="BH423" s="440">
        <v>0</v>
      </c>
      <c r="BI423" s="440">
        <v>0</v>
      </c>
      <c r="BJ423" s="440">
        <v>0</v>
      </c>
      <c r="BK423" s="440">
        <v>0</v>
      </c>
      <c r="BL423" s="440">
        <v>0</v>
      </c>
      <c r="BM423" s="440">
        <v>0</v>
      </c>
      <c r="BN423" s="440">
        <v>0</v>
      </c>
      <c r="BO423" s="440">
        <v>0</v>
      </c>
      <c r="BP423" s="440">
        <v>0</v>
      </c>
      <c r="BQ423" s="440">
        <v>0</v>
      </c>
      <c r="BR423" s="415">
        <v>0.83333333333333337</v>
      </c>
      <c r="BS423" s="415">
        <v>0.84722222222222221</v>
      </c>
      <c r="BT423" s="935"/>
      <c r="BU423" s="935"/>
      <c r="BV423" s="935"/>
      <c r="BW423" s="935"/>
      <c r="BX423" s="935"/>
      <c r="BY423" s="935"/>
      <c r="BZ423" s="935"/>
      <c r="CA423" s="935"/>
      <c r="CB423" s="935"/>
      <c r="CC423" s="935"/>
      <c r="CD423" s="935"/>
      <c r="CE423" s="935"/>
      <c r="CF423" s="935"/>
      <c r="CG423" s="935"/>
      <c r="CH423" s="935"/>
      <c r="CI423" s="935"/>
      <c r="CJ423" s="935"/>
      <c r="CK423" s="935"/>
      <c r="CL423" s="935"/>
      <c r="CM423" s="935"/>
      <c r="CN423" s="935"/>
      <c r="CO423" s="935"/>
      <c r="CP423" s="935"/>
      <c r="CQ423" s="935"/>
      <c r="CR423" s="935"/>
      <c r="CS423" s="935"/>
      <c r="CT423" s="935"/>
      <c r="CU423" s="935"/>
      <c r="CV423" s="935"/>
    </row>
    <row r="424" spans="1:100" s="441" customFormat="1">
      <c r="A424" s="375">
        <f t="shared" si="126"/>
        <v>9</v>
      </c>
      <c r="B424" s="862">
        <v>44445</v>
      </c>
      <c r="C424" s="493" t="s">
        <v>2000</v>
      </c>
      <c r="D424" s="376" t="str">
        <f>IFERROR(VLOOKUP(E:E,'Item Data Support Sheet'!A:O,7,0),"")</f>
        <v>BOTTLE PRINTED</v>
      </c>
      <c r="E424" s="447" t="s">
        <v>114</v>
      </c>
      <c r="F424" s="500"/>
      <c r="G424" s="497" t="s">
        <v>1698</v>
      </c>
      <c r="H424" s="602" t="str">
        <f>IFERROR(VLOOKUP(E:E,'Item Data Support Sheet'!A:O,2,0),"")</f>
        <v>KPP BOTTLE 200 ML PRINTED-WMG3B</v>
      </c>
      <c r="I424" s="501" t="s">
        <v>2942</v>
      </c>
      <c r="J424" s="501" t="s">
        <v>2808</v>
      </c>
      <c r="K424" s="438">
        <v>3</v>
      </c>
      <c r="L424" s="499">
        <v>1200</v>
      </c>
      <c r="M424" s="366">
        <f t="shared" si="141"/>
        <v>400</v>
      </c>
      <c r="N424" s="367">
        <f t="shared" si="125"/>
        <v>1312</v>
      </c>
      <c r="O424" s="61">
        <v>1296</v>
      </c>
      <c r="P424" s="368">
        <v>0</v>
      </c>
      <c r="Q424" s="368">
        <v>0</v>
      </c>
      <c r="R424" s="494">
        <v>14</v>
      </c>
      <c r="S424" s="493">
        <v>0</v>
      </c>
      <c r="T424" s="494">
        <v>16</v>
      </c>
      <c r="U424" s="493">
        <v>0</v>
      </c>
      <c r="V424" s="502">
        <v>6</v>
      </c>
      <c r="W424" s="453">
        <f t="shared" si="127"/>
        <v>216</v>
      </c>
      <c r="X424" s="748">
        <f t="shared" si="128"/>
        <v>1.08</v>
      </c>
      <c r="Y424" s="451" t="str">
        <f>IFERROR(VLOOKUP(E:E,'Item Data Support Sheet'!A:J,6,0),0)</f>
        <v>FO043</v>
      </c>
      <c r="Z424" s="428">
        <f>IFERROR(VLOOKUP(E:E,'Item Data Support Sheet'!A:O,4,0),0)</f>
        <v>0</v>
      </c>
      <c r="AA424" s="428">
        <f t="shared" si="129"/>
        <v>0</v>
      </c>
      <c r="AB424" s="429" t="str">
        <f t="shared" si="130"/>
        <v xml:space="preserve"> </v>
      </c>
      <c r="AC424" s="424">
        <f t="shared" si="131"/>
        <v>1.2195121951219513E-2</v>
      </c>
      <c r="AD424" s="371">
        <f t="shared" si="132"/>
        <v>0</v>
      </c>
      <c r="AE424" s="748">
        <f t="shared" si="133"/>
        <v>0.98780487804878048</v>
      </c>
      <c r="AF424" s="417">
        <f t="shared" si="134"/>
        <v>1.1666666666666667</v>
      </c>
      <c r="AG424" s="416">
        <f t="shared" si="135"/>
        <v>1.8333333333333333</v>
      </c>
      <c r="AH424" s="372">
        <f t="shared" si="136"/>
        <v>0.61111111111111105</v>
      </c>
      <c r="AI424" s="373">
        <f t="shared" si="137"/>
        <v>432</v>
      </c>
      <c r="AJ424" s="418">
        <f>VLOOKUP(D424,'Standard Cycle time'!C:D,2,0)</f>
        <v>32.4</v>
      </c>
      <c r="AK424" s="418">
        <f t="shared" si="138"/>
        <v>30.555555555555557</v>
      </c>
      <c r="AL424" s="374">
        <f t="shared" si="139"/>
        <v>1.0603636363636362</v>
      </c>
      <c r="AM424" s="372">
        <f t="shared" si="140"/>
        <v>0.64009756097560955</v>
      </c>
      <c r="AN424" s="799" t="s">
        <v>2943</v>
      </c>
      <c r="AO424" s="448" t="s">
        <v>2944</v>
      </c>
      <c r="AP424" s="440">
        <v>0</v>
      </c>
      <c r="AQ424" s="440">
        <v>70</v>
      </c>
      <c r="AR424" s="440">
        <v>0</v>
      </c>
      <c r="AS424" s="440">
        <v>0</v>
      </c>
      <c r="AT424" s="440">
        <v>0</v>
      </c>
      <c r="AU424" s="440">
        <v>0</v>
      </c>
      <c r="AV424" s="440">
        <v>0</v>
      </c>
      <c r="AW424" s="440">
        <v>0</v>
      </c>
      <c r="AX424" s="440">
        <v>0</v>
      </c>
      <c r="AY424" s="440">
        <v>0</v>
      </c>
      <c r="AZ424" s="440">
        <v>0</v>
      </c>
      <c r="BA424" s="440">
        <v>0</v>
      </c>
      <c r="BB424" s="440">
        <v>0</v>
      </c>
      <c r="BC424" s="440">
        <v>0</v>
      </c>
      <c r="BD424" s="440">
        <v>0</v>
      </c>
      <c r="BE424" s="440">
        <v>0</v>
      </c>
      <c r="BF424" s="440">
        <v>0</v>
      </c>
      <c r="BG424" s="440">
        <v>0</v>
      </c>
      <c r="BH424" s="440">
        <v>0</v>
      </c>
      <c r="BI424" s="440">
        <v>0</v>
      </c>
      <c r="BJ424" s="440">
        <v>0</v>
      </c>
      <c r="BK424" s="440">
        <v>0</v>
      </c>
      <c r="BL424" s="440">
        <v>0</v>
      </c>
      <c r="BM424" s="440">
        <v>0</v>
      </c>
      <c r="BN424" s="440">
        <v>0</v>
      </c>
      <c r="BO424" s="440">
        <v>0</v>
      </c>
      <c r="BP424" s="440">
        <v>0</v>
      </c>
      <c r="BQ424" s="440">
        <v>0</v>
      </c>
      <c r="BR424" s="415">
        <v>1.1666666666666667</v>
      </c>
      <c r="BS424" s="415">
        <v>1.1861111111111111</v>
      </c>
      <c r="BT424" s="935"/>
      <c r="BU424" s="935"/>
      <c r="BV424" s="935"/>
      <c r="BW424" s="935"/>
      <c r="BX424" s="935"/>
      <c r="BY424" s="935"/>
      <c r="BZ424" s="935"/>
      <c r="CA424" s="935"/>
      <c r="CB424" s="935"/>
      <c r="CC424" s="935"/>
      <c r="CD424" s="935"/>
      <c r="CE424" s="935"/>
      <c r="CF424" s="935"/>
      <c r="CG424" s="935"/>
      <c r="CH424" s="935"/>
      <c r="CI424" s="935"/>
      <c r="CJ424" s="935"/>
      <c r="CK424" s="935"/>
      <c r="CL424" s="935"/>
      <c r="CM424" s="935"/>
      <c r="CN424" s="935"/>
      <c r="CO424" s="935"/>
      <c r="CP424" s="935"/>
      <c r="CQ424" s="935"/>
      <c r="CR424" s="935"/>
      <c r="CS424" s="935"/>
      <c r="CT424" s="935"/>
      <c r="CU424" s="935"/>
      <c r="CV424" s="935"/>
    </row>
    <row r="425" spans="1:100" s="441" customFormat="1">
      <c r="A425" s="375">
        <f t="shared" si="126"/>
        <v>9</v>
      </c>
      <c r="B425" s="862">
        <v>44445</v>
      </c>
      <c r="C425" s="493" t="s">
        <v>2001</v>
      </c>
      <c r="D425" s="376" t="str">
        <f>IFERROR(VLOOKUP(E:E,'Item Data Support Sheet'!A:O,7,0),"")</f>
        <v>NIPPLE LASER MARKING</v>
      </c>
      <c r="E425" s="447" t="s">
        <v>1815</v>
      </c>
      <c r="F425" s="500"/>
      <c r="G425" s="497" t="s">
        <v>1812</v>
      </c>
      <c r="H425" s="602" t="str">
        <f>IFERROR(VLOOKUP(E:E,'Item Data Support Sheet'!A:O,2,0),"")</f>
        <v>NIPPLE S TYPE M SIZE PUNCHED LASER MARKED</v>
      </c>
      <c r="I425" s="501" t="s">
        <v>2938</v>
      </c>
      <c r="J425" s="501" t="s">
        <v>2808</v>
      </c>
      <c r="K425" s="438">
        <v>8</v>
      </c>
      <c r="L425" s="499">
        <v>7000</v>
      </c>
      <c r="M425" s="366">
        <f t="shared" si="141"/>
        <v>875</v>
      </c>
      <c r="N425" s="367">
        <f t="shared" si="125"/>
        <v>6592</v>
      </c>
      <c r="O425" s="61">
        <v>6592</v>
      </c>
      <c r="P425" s="368">
        <v>0</v>
      </c>
      <c r="Q425" s="368">
        <v>0</v>
      </c>
      <c r="R425" s="494">
        <v>0</v>
      </c>
      <c r="S425" s="493">
        <v>0</v>
      </c>
      <c r="T425" s="494">
        <v>0</v>
      </c>
      <c r="U425" s="493">
        <v>0</v>
      </c>
      <c r="V425" s="502">
        <v>1</v>
      </c>
      <c r="W425" s="453">
        <f t="shared" si="127"/>
        <v>6592</v>
      </c>
      <c r="X425" s="748">
        <f t="shared" si="128"/>
        <v>0.94171428571428573</v>
      </c>
      <c r="Y425" s="451" t="str">
        <f>IFERROR(VLOOKUP(E:E,'Item Data Support Sheet'!A:J,6,0),0)</f>
        <v>FO020</v>
      </c>
      <c r="Z425" s="428">
        <f>IFERROR(VLOOKUP(E:E,'Item Data Support Sheet'!A:O,4,0),0)</f>
        <v>0</v>
      </c>
      <c r="AA425" s="428">
        <f t="shared" si="129"/>
        <v>0</v>
      </c>
      <c r="AB425" s="429" t="str">
        <f t="shared" si="130"/>
        <v xml:space="preserve"> </v>
      </c>
      <c r="AC425" s="424">
        <f t="shared" si="131"/>
        <v>0</v>
      </c>
      <c r="AD425" s="371">
        <f t="shared" si="132"/>
        <v>0</v>
      </c>
      <c r="AE425" s="748">
        <f t="shared" si="133"/>
        <v>1</v>
      </c>
      <c r="AF425" s="417">
        <f t="shared" si="134"/>
        <v>0.66666666666666663</v>
      </c>
      <c r="AG425" s="416">
        <f t="shared" si="135"/>
        <v>7.333333333333333</v>
      </c>
      <c r="AH425" s="372">
        <f t="shared" si="136"/>
        <v>0.91666666666666663</v>
      </c>
      <c r="AI425" s="373">
        <f t="shared" si="137"/>
        <v>824</v>
      </c>
      <c r="AJ425" s="418">
        <f>VLOOKUP(D425,'Standard Cycle time'!C:D,2,0)</f>
        <v>3.5</v>
      </c>
      <c r="AK425" s="418">
        <f t="shared" si="138"/>
        <v>4.0048543689320386</v>
      </c>
      <c r="AL425" s="374">
        <f t="shared" si="139"/>
        <v>0.87393939393939402</v>
      </c>
      <c r="AM425" s="372">
        <f t="shared" si="140"/>
        <v>0.80111111111111111</v>
      </c>
      <c r="AN425" s="799" t="s">
        <v>2945</v>
      </c>
      <c r="AO425" s="448" t="s">
        <v>2745</v>
      </c>
      <c r="AP425" s="440">
        <v>40</v>
      </c>
      <c r="AQ425" s="440">
        <v>0</v>
      </c>
      <c r="AR425" s="440">
        <v>0</v>
      </c>
      <c r="AS425" s="440">
        <v>0</v>
      </c>
      <c r="AT425" s="440">
        <v>0</v>
      </c>
      <c r="AU425" s="440">
        <v>0</v>
      </c>
      <c r="AV425" s="440">
        <v>0</v>
      </c>
      <c r="AW425" s="440">
        <v>0</v>
      </c>
      <c r="AX425" s="440">
        <v>0</v>
      </c>
      <c r="AY425" s="440">
        <v>0</v>
      </c>
      <c r="AZ425" s="440">
        <v>0</v>
      </c>
      <c r="BA425" s="440">
        <v>0</v>
      </c>
      <c r="BB425" s="440">
        <v>0</v>
      </c>
      <c r="BC425" s="440">
        <v>0</v>
      </c>
      <c r="BD425" s="440">
        <v>0</v>
      </c>
      <c r="BE425" s="440">
        <v>0</v>
      </c>
      <c r="BF425" s="440">
        <v>0</v>
      </c>
      <c r="BG425" s="440">
        <v>0</v>
      </c>
      <c r="BH425" s="440">
        <v>0</v>
      </c>
      <c r="BI425" s="440">
        <v>0</v>
      </c>
      <c r="BJ425" s="440">
        <v>0</v>
      </c>
      <c r="BK425" s="440">
        <v>0</v>
      </c>
      <c r="BL425" s="440">
        <v>0</v>
      </c>
      <c r="BM425" s="440">
        <v>0</v>
      </c>
      <c r="BN425" s="440">
        <v>0</v>
      </c>
      <c r="BO425" s="440">
        <v>0</v>
      </c>
      <c r="BP425" s="440">
        <v>0</v>
      </c>
      <c r="BQ425" s="440">
        <v>0</v>
      </c>
      <c r="BR425" s="415">
        <v>0.66666666666666663</v>
      </c>
      <c r="BS425" s="415">
        <v>0.6777777777777777</v>
      </c>
      <c r="BT425" s="935"/>
      <c r="BU425" s="935"/>
      <c r="BV425" s="935"/>
      <c r="BW425" s="935"/>
      <c r="BX425" s="935"/>
      <c r="BY425" s="935"/>
      <c r="BZ425" s="935"/>
      <c r="CA425" s="935"/>
      <c r="CB425" s="935"/>
      <c r="CC425" s="935"/>
      <c r="CD425" s="935"/>
      <c r="CE425" s="935"/>
      <c r="CF425" s="935"/>
      <c r="CG425" s="935"/>
      <c r="CH425" s="935"/>
      <c r="CI425" s="935"/>
      <c r="CJ425" s="935"/>
      <c r="CK425" s="935"/>
      <c r="CL425" s="935"/>
      <c r="CM425" s="935"/>
      <c r="CN425" s="935"/>
      <c r="CO425" s="935"/>
      <c r="CP425" s="935"/>
      <c r="CQ425" s="935"/>
      <c r="CR425" s="935"/>
      <c r="CS425" s="935"/>
      <c r="CT425" s="935"/>
      <c r="CU425" s="935"/>
      <c r="CV425" s="935"/>
    </row>
    <row r="426" spans="1:100" s="441" customFormat="1">
      <c r="A426" s="375">
        <f t="shared" si="126"/>
        <v>9</v>
      </c>
      <c r="B426" s="862">
        <v>44445</v>
      </c>
      <c r="C426" s="493" t="s">
        <v>2001</v>
      </c>
      <c r="D426" s="376" t="str">
        <f>IFERROR(VLOOKUP(E:E,'Item Data Support Sheet'!A:O,7,0),"")</f>
        <v>NIPPLE PUNCH</v>
      </c>
      <c r="E426" s="447" t="s">
        <v>81</v>
      </c>
      <c r="F426" s="500"/>
      <c r="G426" s="497" t="s">
        <v>1692</v>
      </c>
      <c r="H426" s="602" t="str">
        <f>IFERROR(VLOOKUP(E:E,'Item Data Support Sheet'!A:O,2,0),"")</f>
        <v>NIPPLE S TYPE M SIZE PUNCHED</v>
      </c>
      <c r="I426" s="501" t="s">
        <v>2946</v>
      </c>
      <c r="J426" s="501" t="s">
        <v>2808</v>
      </c>
      <c r="K426" s="438">
        <v>8</v>
      </c>
      <c r="L426" s="499">
        <v>7000</v>
      </c>
      <c r="M426" s="366">
        <f t="shared" si="141"/>
        <v>875</v>
      </c>
      <c r="N426" s="367">
        <f t="shared" si="125"/>
        <v>6300</v>
      </c>
      <c r="O426" s="61">
        <v>6300</v>
      </c>
      <c r="P426" s="368">
        <v>0</v>
      </c>
      <c r="Q426" s="368">
        <v>0</v>
      </c>
      <c r="R426" s="494">
        <v>0</v>
      </c>
      <c r="S426" s="493">
        <v>0</v>
      </c>
      <c r="T426" s="494">
        <v>0</v>
      </c>
      <c r="U426" s="493">
        <v>0</v>
      </c>
      <c r="V426" s="502">
        <v>1</v>
      </c>
      <c r="W426" s="453">
        <f t="shared" si="127"/>
        <v>6300</v>
      </c>
      <c r="X426" s="748">
        <f t="shared" si="128"/>
        <v>0.9</v>
      </c>
      <c r="Y426" s="451" t="str">
        <f>IFERROR(VLOOKUP(E:E,'Item Data Support Sheet'!A:J,6,0),0)</f>
        <v>FO016</v>
      </c>
      <c r="Z426" s="428">
        <f>IFERROR(VLOOKUP(E:E,'Item Data Support Sheet'!A:O,4,0),0)</f>
        <v>0</v>
      </c>
      <c r="AA426" s="428">
        <f t="shared" si="129"/>
        <v>0</v>
      </c>
      <c r="AB426" s="429" t="str">
        <f t="shared" si="130"/>
        <v xml:space="preserve"> </v>
      </c>
      <c r="AC426" s="424">
        <f t="shared" si="131"/>
        <v>0</v>
      </c>
      <c r="AD426" s="371">
        <f t="shared" si="132"/>
        <v>0</v>
      </c>
      <c r="AE426" s="748">
        <f t="shared" si="133"/>
        <v>1</v>
      </c>
      <c r="AF426" s="417">
        <f t="shared" si="134"/>
        <v>0.66666666666666663</v>
      </c>
      <c r="AG426" s="416">
        <f t="shared" si="135"/>
        <v>7.333333333333333</v>
      </c>
      <c r="AH426" s="372">
        <f t="shared" si="136"/>
        <v>0.91666666666666663</v>
      </c>
      <c r="AI426" s="373">
        <f t="shared" si="137"/>
        <v>787.5</v>
      </c>
      <c r="AJ426" s="418">
        <f>VLOOKUP(D426,'Standard Cycle time'!C:D,2,0)</f>
        <v>3.5</v>
      </c>
      <c r="AK426" s="418">
        <f t="shared" si="138"/>
        <v>4.1904761904761907</v>
      </c>
      <c r="AL426" s="374">
        <f t="shared" si="139"/>
        <v>0.83522727272727271</v>
      </c>
      <c r="AM426" s="372">
        <f t="shared" si="140"/>
        <v>0.765625</v>
      </c>
      <c r="AN426" s="799" t="s">
        <v>2947</v>
      </c>
      <c r="AO426" s="448" t="s">
        <v>2948</v>
      </c>
      <c r="AP426" s="440">
        <v>40</v>
      </c>
      <c r="AQ426" s="440">
        <v>0</v>
      </c>
      <c r="AR426" s="440">
        <v>0</v>
      </c>
      <c r="AS426" s="440">
        <v>0</v>
      </c>
      <c r="AT426" s="440">
        <v>0</v>
      </c>
      <c r="AU426" s="440">
        <v>0</v>
      </c>
      <c r="AV426" s="440">
        <v>0</v>
      </c>
      <c r="AW426" s="440">
        <v>0</v>
      </c>
      <c r="AX426" s="440">
        <v>0</v>
      </c>
      <c r="AY426" s="440">
        <v>0</v>
      </c>
      <c r="AZ426" s="440">
        <v>0</v>
      </c>
      <c r="BA426" s="440">
        <v>0</v>
      </c>
      <c r="BB426" s="440">
        <v>0</v>
      </c>
      <c r="BC426" s="440">
        <v>0</v>
      </c>
      <c r="BD426" s="440">
        <v>0</v>
      </c>
      <c r="BE426" s="440">
        <v>0</v>
      </c>
      <c r="BF426" s="440">
        <v>0</v>
      </c>
      <c r="BG426" s="440">
        <v>0</v>
      </c>
      <c r="BH426" s="440">
        <v>0</v>
      </c>
      <c r="BI426" s="440">
        <v>0</v>
      </c>
      <c r="BJ426" s="440">
        <v>0</v>
      </c>
      <c r="BK426" s="440">
        <v>0</v>
      </c>
      <c r="BL426" s="440">
        <v>0</v>
      </c>
      <c r="BM426" s="440">
        <v>0</v>
      </c>
      <c r="BN426" s="440">
        <v>0</v>
      </c>
      <c r="BO426" s="440">
        <v>0</v>
      </c>
      <c r="BP426" s="440">
        <v>0</v>
      </c>
      <c r="BQ426" s="440">
        <v>0</v>
      </c>
      <c r="BR426" s="415">
        <v>0.66666666666666663</v>
      </c>
      <c r="BS426" s="415">
        <v>0.6777777777777777</v>
      </c>
      <c r="BT426" s="935"/>
      <c r="BU426" s="935"/>
      <c r="BV426" s="935"/>
      <c r="BW426" s="935"/>
      <c r="BX426" s="935"/>
      <c r="BY426" s="935"/>
      <c r="BZ426" s="935"/>
      <c r="CA426" s="935"/>
      <c r="CB426" s="935"/>
      <c r="CC426" s="935"/>
      <c r="CD426" s="935"/>
      <c r="CE426" s="935"/>
      <c r="CF426" s="935"/>
      <c r="CG426" s="935"/>
      <c r="CH426" s="935"/>
      <c r="CI426" s="935"/>
      <c r="CJ426" s="935"/>
      <c r="CK426" s="935"/>
      <c r="CL426" s="935"/>
      <c r="CM426" s="935"/>
      <c r="CN426" s="935"/>
      <c r="CO426" s="935"/>
      <c r="CP426" s="935"/>
      <c r="CQ426" s="935"/>
      <c r="CR426" s="935"/>
      <c r="CS426" s="935"/>
      <c r="CT426" s="935"/>
      <c r="CU426" s="935"/>
      <c r="CV426" s="935"/>
    </row>
    <row r="427" spans="1:100" s="441" customFormat="1">
      <c r="A427" s="375">
        <f t="shared" si="126"/>
        <v>9</v>
      </c>
      <c r="B427" s="862">
        <v>44445</v>
      </c>
      <c r="C427" s="493" t="s">
        <v>2001</v>
      </c>
      <c r="D427" s="376" t="str">
        <f>IFERROR(VLOOKUP(E:E,'Item Data Support Sheet'!A:O,7,0),"")</f>
        <v>BOTTLE MOLDED</v>
      </c>
      <c r="E427" s="447" t="s">
        <v>113</v>
      </c>
      <c r="F427" s="500" t="s">
        <v>1680</v>
      </c>
      <c r="G427" s="497" t="s">
        <v>1665</v>
      </c>
      <c r="H427" s="602" t="str">
        <f>IFERROR(VLOOKUP(E:E,'Item Data Support Sheet'!A:O,2,0),"")</f>
        <v>KPP BOTTLE 200 ML MOULDED-WMG3B</v>
      </c>
      <c r="I427" s="501" t="s">
        <v>2949</v>
      </c>
      <c r="J427" s="501" t="s">
        <v>2808</v>
      </c>
      <c r="K427" s="438">
        <v>4</v>
      </c>
      <c r="L427" s="499">
        <v>1200</v>
      </c>
      <c r="M427" s="366">
        <f t="shared" si="141"/>
        <v>300</v>
      </c>
      <c r="N427" s="367">
        <f t="shared" si="125"/>
        <v>1150</v>
      </c>
      <c r="O427" s="61">
        <v>1104</v>
      </c>
      <c r="P427" s="368">
        <v>0.2</v>
      </c>
      <c r="Q427" s="368">
        <v>26</v>
      </c>
      <c r="R427" s="494">
        <v>0</v>
      </c>
      <c r="S427" s="493">
        <v>0</v>
      </c>
      <c r="T427" s="494">
        <v>20</v>
      </c>
      <c r="U427" s="493">
        <v>0</v>
      </c>
      <c r="V427" s="502">
        <v>1</v>
      </c>
      <c r="W427" s="453">
        <f t="shared" si="127"/>
        <v>1104</v>
      </c>
      <c r="X427" s="748">
        <f t="shared" si="128"/>
        <v>0.92</v>
      </c>
      <c r="Y427" s="451" t="str">
        <f>IFERROR(VLOOKUP(E:E,'Item Data Support Sheet'!A:J,6,0),0)</f>
        <v>WMG3B</v>
      </c>
      <c r="Z427" s="428">
        <f>IFERROR(VLOOKUP(E:E,'Item Data Support Sheet'!A:O,4,0),0)</f>
        <v>28.6</v>
      </c>
      <c r="AA427" s="428">
        <f t="shared" si="129"/>
        <v>33.090000000000003</v>
      </c>
      <c r="AB427" s="429">
        <f t="shared" si="130"/>
        <v>0.95419764279238428</v>
      </c>
      <c r="AC427" s="424">
        <f t="shared" si="131"/>
        <v>1.7793594306049824E-2</v>
      </c>
      <c r="AD427" s="371">
        <f t="shared" si="132"/>
        <v>2.2108843537414966E-2</v>
      </c>
      <c r="AE427" s="748">
        <f t="shared" si="133"/>
        <v>0.9826086956521739</v>
      </c>
      <c r="AF427" s="417">
        <f t="shared" si="134"/>
        <v>1.3333333333333333</v>
      </c>
      <c r="AG427" s="416">
        <f t="shared" si="135"/>
        <v>2.666666666666667</v>
      </c>
      <c r="AH427" s="372">
        <f t="shared" si="136"/>
        <v>0.66666666666666674</v>
      </c>
      <c r="AI427" s="373">
        <f t="shared" si="137"/>
        <v>276</v>
      </c>
      <c r="AJ427" s="418">
        <f>VLOOKUP(D427,'Standard Cycle time'!C:D,2,0)</f>
        <v>9</v>
      </c>
      <c r="AK427" s="418">
        <f t="shared" si="138"/>
        <v>8.6956521739130448</v>
      </c>
      <c r="AL427" s="374">
        <f t="shared" si="139"/>
        <v>1.0349999999999999</v>
      </c>
      <c r="AM427" s="372">
        <f t="shared" si="140"/>
        <v>0.67800000000000005</v>
      </c>
      <c r="AN427" s="799">
        <v>3012</v>
      </c>
      <c r="AO427" s="448"/>
      <c r="AP427" s="440">
        <v>0</v>
      </c>
      <c r="AQ427" s="440">
        <v>0</v>
      </c>
      <c r="AR427" s="440">
        <v>0</v>
      </c>
      <c r="AS427" s="440">
        <v>0</v>
      </c>
      <c r="AT427" s="440">
        <v>0</v>
      </c>
      <c r="AU427" s="440">
        <v>0</v>
      </c>
      <c r="AV427" s="440">
        <v>50</v>
      </c>
      <c r="AW427" s="440">
        <v>0</v>
      </c>
      <c r="AX427" s="440">
        <v>0</v>
      </c>
      <c r="AY427" s="440">
        <v>0</v>
      </c>
      <c r="AZ427" s="440">
        <v>30</v>
      </c>
      <c r="BA427" s="440">
        <v>0</v>
      </c>
      <c r="BB427" s="440">
        <v>0</v>
      </c>
      <c r="BC427" s="440">
        <v>0</v>
      </c>
      <c r="BD427" s="440">
        <v>0</v>
      </c>
      <c r="BE427" s="440">
        <v>0</v>
      </c>
      <c r="BF427" s="440">
        <v>0</v>
      </c>
      <c r="BG427" s="440">
        <v>0</v>
      </c>
      <c r="BH427" s="440">
        <v>0</v>
      </c>
      <c r="BI427" s="440">
        <v>0</v>
      </c>
      <c r="BJ427" s="440">
        <v>0</v>
      </c>
      <c r="BK427" s="440">
        <v>0</v>
      </c>
      <c r="BL427" s="440">
        <v>0</v>
      </c>
      <c r="BM427" s="440">
        <v>0</v>
      </c>
      <c r="BN427" s="440">
        <v>0</v>
      </c>
      <c r="BO427" s="440">
        <v>0</v>
      </c>
      <c r="BP427" s="440">
        <v>0</v>
      </c>
      <c r="BQ427" s="440">
        <v>0</v>
      </c>
      <c r="BR427" s="415">
        <v>1.3333333333333333</v>
      </c>
      <c r="BS427" s="415">
        <v>1.3555555555555554</v>
      </c>
      <c r="BT427" s="935"/>
      <c r="BU427" s="935"/>
      <c r="BV427" s="935"/>
      <c r="BW427" s="935"/>
      <c r="BX427" s="935"/>
      <c r="BY427" s="935"/>
      <c r="BZ427" s="935"/>
      <c r="CA427" s="935"/>
      <c r="CB427" s="935"/>
      <c r="CC427" s="935"/>
      <c r="CD427" s="935"/>
      <c r="CE427" s="935"/>
      <c r="CF427" s="935"/>
      <c r="CG427" s="935"/>
      <c r="CH427" s="935"/>
      <c r="CI427" s="935"/>
      <c r="CJ427" s="935"/>
      <c r="CK427" s="935"/>
      <c r="CL427" s="935"/>
      <c r="CM427" s="935"/>
      <c r="CN427" s="935"/>
      <c r="CO427" s="935"/>
      <c r="CP427" s="935"/>
      <c r="CQ427" s="935"/>
      <c r="CR427" s="935"/>
      <c r="CS427" s="935"/>
      <c r="CT427" s="935"/>
      <c r="CU427" s="935"/>
      <c r="CV427" s="935"/>
    </row>
    <row r="428" spans="1:100" s="441" customFormat="1">
      <c r="A428" s="375">
        <f t="shared" si="126"/>
        <v>9</v>
      </c>
      <c r="B428" s="862">
        <v>44445</v>
      </c>
      <c r="C428" s="493" t="s">
        <v>2001</v>
      </c>
      <c r="D428" s="376" t="str">
        <f>IFERROR(VLOOKUP(E:E,'Item Data Support Sheet'!A:O,7,0),"")</f>
        <v>BOTTLE MOLDED</v>
      </c>
      <c r="E428" s="447" t="s">
        <v>115</v>
      </c>
      <c r="F428" s="500" t="s">
        <v>1681</v>
      </c>
      <c r="G428" s="497" t="s">
        <v>1888</v>
      </c>
      <c r="H428" s="602" t="str">
        <f>IFERROR(VLOOKUP(E:E,'Item Data Support Sheet'!A:O,2,0),"")</f>
        <v>KPP BOTTLE 240 ML MOULDED-WMG3B</v>
      </c>
      <c r="I428" s="501" t="s">
        <v>2949</v>
      </c>
      <c r="J428" s="501" t="s">
        <v>2808</v>
      </c>
      <c r="K428" s="438">
        <v>4</v>
      </c>
      <c r="L428" s="499">
        <v>1303</v>
      </c>
      <c r="M428" s="366">
        <f t="shared" si="141"/>
        <v>325.75</v>
      </c>
      <c r="N428" s="367">
        <f t="shared" si="125"/>
        <v>1940</v>
      </c>
      <c r="O428" s="61">
        <v>1836</v>
      </c>
      <c r="P428" s="368">
        <v>0.43</v>
      </c>
      <c r="Q428" s="368">
        <v>44</v>
      </c>
      <c r="R428" s="494">
        <v>0</v>
      </c>
      <c r="S428" s="493">
        <v>0</v>
      </c>
      <c r="T428" s="494">
        <v>52</v>
      </c>
      <c r="U428" s="493">
        <v>8</v>
      </c>
      <c r="V428" s="502">
        <v>1</v>
      </c>
      <c r="W428" s="453">
        <f t="shared" si="127"/>
        <v>1836</v>
      </c>
      <c r="X428" s="748">
        <f t="shared" si="128"/>
        <v>1.4090560245587107</v>
      </c>
      <c r="Y428" s="451" t="str">
        <f>IFERROR(VLOOKUP(E:E,'Item Data Support Sheet'!A:J,6,0),0)</f>
        <v>WMG3B</v>
      </c>
      <c r="Z428" s="428">
        <f>IFERROR(VLOOKUP(E:E,'Item Data Support Sheet'!A:O,4,0),0)</f>
        <v>33.1</v>
      </c>
      <c r="AA428" s="428">
        <f t="shared" si="129"/>
        <v>64.64400000000002</v>
      </c>
      <c r="AB428" s="429">
        <f t="shared" si="130"/>
        <v>0.9400965286801557</v>
      </c>
      <c r="AC428" s="424">
        <f t="shared" si="131"/>
        <v>2.7542372881355932E-2</v>
      </c>
      <c r="AD428" s="371">
        <f t="shared" si="132"/>
        <v>2.2177419354838711E-2</v>
      </c>
      <c r="AE428" s="748">
        <f t="shared" si="133"/>
        <v>0.97319587628865978</v>
      </c>
      <c r="AF428" s="417">
        <f t="shared" si="134"/>
        <v>0</v>
      </c>
      <c r="AG428" s="416">
        <f t="shared" si="135"/>
        <v>4</v>
      </c>
      <c r="AH428" s="372">
        <f t="shared" si="136"/>
        <v>1</v>
      </c>
      <c r="AI428" s="373">
        <f t="shared" si="137"/>
        <v>459</v>
      </c>
      <c r="AJ428" s="418">
        <f>VLOOKUP(D428,'Standard Cycle time'!C:D,2,0)</f>
        <v>9</v>
      </c>
      <c r="AK428" s="418">
        <f t="shared" si="138"/>
        <v>7.8431372549019605</v>
      </c>
      <c r="AL428" s="374">
        <f t="shared" si="139"/>
        <v>1.1475</v>
      </c>
      <c r="AM428" s="372">
        <f t="shared" si="140"/>
        <v>1.1167422680412371</v>
      </c>
      <c r="AN428" s="799">
        <v>3023</v>
      </c>
      <c r="AO428" s="448" t="s">
        <v>2950</v>
      </c>
      <c r="AP428" s="440">
        <v>0</v>
      </c>
      <c r="AQ428" s="440">
        <v>0</v>
      </c>
      <c r="AR428" s="440">
        <v>0</v>
      </c>
      <c r="AS428" s="440">
        <v>0</v>
      </c>
      <c r="AT428" s="440">
        <v>0</v>
      </c>
      <c r="AU428" s="440">
        <v>0</v>
      </c>
      <c r="AV428" s="440">
        <v>0</v>
      </c>
      <c r="AW428" s="440">
        <v>0</v>
      </c>
      <c r="AX428" s="440">
        <v>0</v>
      </c>
      <c r="AY428" s="440">
        <v>0</v>
      </c>
      <c r="AZ428" s="440">
        <v>0</v>
      </c>
      <c r="BA428" s="440">
        <v>0</v>
      </c>
      <c r="BB428" s="440">
        <v>0</v>
      </c>
      <c r="BC428" s="440">
        <v>0</v>
      </c>
      <c r="BD428" s="440">
        <v>0</v>
      </c>
      <c r="BE428" s="440">
        <v>0</v>
      </c>
      <c r="BF428" s="440">
        <v>0</v>
      </c>
      <c r="BG428" s="440">
        <v>0</v>
      </c>
      <c r="BH428" s="440">
        <v>0</v>
      </c>
      <c r="BI428" s="440">
        <v>0</v>
      </c>
      <c r="BJ428" s="440">
        <v>0</v>
      </c>
      <c r="BK428" s="440">
        <v>0</v>
      </c>
      <c r="BL428" s="440">
        <v>0</v>
      </c>
      <c r="BM428" s="440">
        <v>0</v>
      </c>
      <c r="BN428" s="440">
        <v>0</v>
      </c>
      <c r="BO428" s="440">
        <v>0</v>
      </c>
      <c r="BP428" s="440">
        <v>0</v>
      </c>
      <c r="BQ428" s="440">
        <v>0</v>
      </c>
      <c r="BR428" s="415">
        <v>0</v>
      </c>
      <c r="BS428" s="415">
        <v>0</v>
      </c>
      <c r="BT428" s="935"/>
      <c r="BU428" s="935"/>
      <c r="BV428" s="935"/>
      <c r="BW428" s="935"/>
      <c r="BX428" s="935"/>
      <c r="BY428" s="935"/>
      <c r="BZ428" s="935"/>
      <c r="CA428" s="935"/>
      <c r="CB428" s="935"/>
      <c r="CC428" s="935"/>
      <c r="CD428" s="935"/>
      <c r="CE428" s="935"/>
      <c r="CF428" s="935"/>
      <c r="CG428" s="935"/>
      <c r="CH428" s="935"/>
      <c r="CI428" s="935"/>
      <c r="CJ428" s="935"/>
      <c r="CK428" s="935"/>
      <c r="CL428" s="935"/>
      <c r="CM428" s="935"/>
      <c r="CN428" s="935"/>
      <c r="CO428" s="935"/>
      <c r="CP428" s="935"/>
      <c r="CQ428" s="935"/>
      <c r="CR428" s="935"/>
      <c r="CS428" s="935"/>
      <c r="CT428" s="935"/>
      <c r="CU428" s="935"/>
      <c r="CV428" s="935"/>
    </row>
    <row r="429" spans="1:100" s="441" customFormat="1">
      <c r="A429" s="375">
        <f t="shared" si="126"/>
        <v>9</v>
      </c>
      <c r="B429" s="862">
        <v>44445</v>
      </c>
      <c r="C429" s="493" t="s">
        <v>2001</v>
      </c>
      <c r="D429" s="376" t="str">
        <f>IFERROR(VLOOKUP(E:E,'Item Data Support Sheet'!A:O,7,0),"")</f>
        <v>NIPPLE MOLDED</v>
      </c>
      <c r="E429" s="447" t="s">
        <v>73</v>
      </c>
      <c r="F429" s="500" t="s">
        <v>1678</v>
      </c>
      <c r="G429" s="497" t="s">
        <v>1690</v>
      </c>
      <c r="H429" s="602" t="str">
        <f>IFERROR(VLOOKUP(E:E,'Item Data Support Sheet'!A:O,2,0),"")</f>
        <v>NIPPLE S TYPE M SIZE INJECTION</v>
      </c>
      <c r="I429" s="501" t="s">
        <v>2951</v>
      </c>
      <c r="J429" s="501" t="s">
        <v>2808</v>
      </c>
      <c r="K429" s="438">
        <v>8</v>
      </c>
      <c r="L429" s="499">
        <v>4814</v>
      </c>
      <c r="M429" s="366">
        <f t="shared" si="141"/>
        <v>601.75</v>
      </c>
      <c r="N429" s="367">
        <f t="shared" si="125"/>
        <v>5100</v>
      </c>
      <c r="O429" s="61">
        <v>5000</v>
      </c>
      <c r="P429" s="368">
        <v>0</v>
      </c>
      <c r="Q429" s="368">
        <v>40</v>
      </c>
      <c r="R429" s="494">
        <v>0</v>
      </c>
      <c r="S429" s="493">
        <v>0</v>
      </c>
      <c r="T429" s="494">
        <v>60</v>
      </c>
      <c r="U429" s="493">
        <v>0</v>
      </c>
      <c r="V429" s="502">
        <v>1</v>
      </c>
      <c r="W429" s="453">
        <f t="shared" si="127"/>
        <v>5000</v>
      </c>
      <c r="X429" s="748">
        <f t="shared" si="128"/>
        <v>1.0386373078520981</v>
      </c>
      <c r="Y429" s="451" t="str">
        <f>IFERROR(VLOOKUP(E:E,'Item Data Support Sheet'!A:J,6,0),0)</f>
        <v>Silicon</v>
      </c>
      <c r="Z429" s="428">
        <f>IFERROR(VLOOKUP(E:E,'Item Data Support Sheet'!A:O,4,0),0)</f>
        <v>6.8</v>
      </c>
      <c r="AA429" s="428">
        <f t="shared" si="129"/>
        <v>34.68</v>
      </c>
      <c r="AB429" s="429">
        <f t="shared" si="130"/>
        <v>0.98039215686274506</v>
      </c>
      <c r="AC429" s="424">
        <f t="shared" si="131"/>
        <v>1.1857707509881422E-2</v>
      </c>
      <c r="AD429" s="371">
        <f t="shared" si="132"/>
        <v>7.7821011673151752E-3</v>
      </c>
      <c r="AE429" s="748">
        <f t="shared" si="133"/>
        <v>0.9882352941176471</v>
      </c>
      <c r="AF429" s="417">
        <f t="shared" si="134"/>
        <v>0.5</v>
      </c>
      <c r="AG429" s="416">
        <f t="shared" si="135"/>
        <v>7.5</v>
      </c>
      <c r="AH429" s="372">
        <f t="shared" si="136"/>
        <v>0.9375</v>
      </c>
      <c r="AI429" s="373">
        <f t="shared" si="137"/>
        <v>625</v>
      </c>
      <c r="AJ429" s="418">
        <f>VLOOKUP(D429,'Standard Cycle time'!C:D,2,0)</f>
        <v>5.25</v>
      </c>
      <c r="AK429" s="418">
        <f t="shared" si="138"/>
        <v>5.4</v>
      </c>
      <c r="AL429" s="374">
        <f t="shared" si="139"/>
        <v>0.97222222222222221</v>
      </c>
      <c r="AM429" s="372">
        <f t="shared" si="140"/>
        <v>0.90073529411764708</v>
      </c>
      <c r="AN429" s="799">
        <v>3022</v>
      </c>
      <c r="AO429" s="448" t="s">
        <v>2822</v>
      </c>
      <c r="AP429" s="440">
        <v>0</v>
      </c>
      <c r="AQ429" s="440">
        <v>0</v>
      </c>
      <c r="AR429" s="440">
        <v>0</v>
      </c>
      <c r="AS429" s="440">
        <v>0</v>
      </c>
      <c r="AT429" s="440">
        <v>0</v>
      </c>
      <c r="AU429" s="440">
        <v>30</v>
      </c>
      <c r="AV429" s="440">
        <v>0</v>
      </c>
      <c r="AW429" s="440">
        <v>0</v>
      </c>
      <c r="AX429" s="440">
        <v>0</v>
      </c>
      <c r="AY429" s="440">
        <v>0</v>
      </c>
      <c r="AZ429" s="440">
        <v>0</v>
      </c>
      <c r="BA429" s="440">
        <v>0</v>
      </c>
      <c r="BB429" s="440">
        <v>0</v>
      </c>
      <c r="BC429" s="440">
        <v>0</v>
      </c>
      <c r="BD429" s="440">
        <v>0</v>
      </c>
      <c r="BE429" s="440">
        <v>0</v>
      </c>
      <c r="BF429" s="440">
        <v>0</v>
      </c>
      <c r="BG429" s="440">
        <v>0</v>
      </c>
      <c r="BH429" s="440">
        <v>0</v>
      </c>
      <c r="BI429" s="440">
        <v>0</v>
      </c>
      <c r="BJ429" s="440">
        <v>0</v>
      </c>
      <c r="BK429" s="440">
        <v>0</v>
      </c>
      <c r="BL429" s="440">
        <v>0</v>
      </c>
      <c r="BM429" s="440">
        <v>0</v>
      </c>
      <c r="BN429" s="440">
        <v>0</v>
      </c>
      <c r="BO429" s="440">
        <v>0</v>
      </c>
      <c r="BP429" s="440">
        <v>0</v>
      </c>
      <c r="BQ429" s="440">
        <v>0</v>
      </c>
      <c r="BR429" s="415">
        <v>0.5</v>
      </c>
      <c r="BS429" s="415">
        <v>0.5083333333333333</v>
      </c>
      <c r="BT429" s="935"/>
      <c r="BU429" s="935"/>
      <c r="BV429" s="935"/>
      <c r="BW429" s="935"/>
      <c r="BX429" s="935"/>
      <c r="BY429" s="935"/>
      <c r="BZ429" s="935"/>
      <c r="CA429" s="935"/>
      <c r="CB429" s="935"/>
      <c r="CC429" s="935"/>
      <c r="CD429" s="935"/>
      <c r="CE429" s="935"/>
      <c r="CF429" s="935"/>
      <c r="CG429" s="935"/>
      <c r="CH429" s="935"/>
      <c r="CI429" s="935"/>
      <c r="CJ429" s="935"/>
      <c r="CK429" s="935"/>
      <c r="CL429" s="935"/>
      <c r="CM429" s="935"/>
      <c r="CN429" s="935"/>
      <c r="CO429" s="935"/>
      <c r="CP429" s="935"/>
      <c r="CQ429" s="935"/>
      <c r="CR429" s="935"/>
      <c r="CS429" s="935"/>
      <c r="CT429" s="935"/>
      <c r="CU429" s="935"/>
      <c r="CV429" s="935"/>
    </row>
    <row r="430" spans="1:100" s="441" customFormat="1">
      <c r="A430" s="375">
        <f t="shared" si="126"/>
        <v>9</v>
      </c>
      <c r="B430" s="862">
        <v>44445</v>
      </c>
      <c r="C430" s="493" t="s">
        <v>2001</v>
      </c>
      <c r="D430" s="376" t="str">
        <f>IFERROR(VLOOKUP(E:E,'Item Data Support Sheet'!A:O,7,0),"")</f>
        <v>NIPPLE POSTCURE</v>
      </c>
      <c r="E430" s="447" t="s">
        <v>77</v>
      </c>
      <c r="F430" s="500"/>
      <c r="G430" s="497" t="s">
        <v>1705</v>
      </c>
      <c r="H430" s="602" t="str">
        <f>IFERROR(VLOOKUP(E:E,'Item Data Support Sheet'!A:O,2,0),"")</f>
        <v>NIPPLE S TYPE M SIZE POSTCURED</v>
      </c>
      <c r="I430" s="501" t="s">
        <v>2952</v>
      </c>
      <c r="J430" s="501" t="s">
        <v>2808</v>
      </c>
      <c r="K430" s="438">
        <v>8</v>
      </c>
      <c r="L430" s="499">
        <v>7000</v>
      </c>
      <c r="M430" s="366">
        <f t="shared" si="141"/>
        <v>875</v>
      </c>
      <c r="N430" s="367">
        <f t="shared" si="125"/>
        <v>7000</v>
      </c>
      <c r="O430" s="61">
        <v>7000</v>
      </c>
      <c r="P430" s="368">
        <v>0</v>
      </c>
      <c r="Q430" s="368">
        <v>0</v>
      </c>
      <c r="R430" s="494">
        <v>0</v>
      </c>
      <c r="S430" s="493">
        <v>0</v>
      </c>
      <c r="T430" s="494">
        <v>0</v>
      </c>
      <c r="U430" s="493">
        <v>0</v>
      </c>
      <c r="V430" s="502">
        <v>1</v>
      </c>
      <c r="W430" s="453">
        <f t="shared" si="127"/>
        <v>7000</v>
      </c>
      <c r="X430" s="748">
        <f t="shared" si="128"/>
        <v>1</v>
      </c>
      <c r="Y430" s="451" t="str">
        <f>IFERROR(VLOOKUP(E:E,'Item Data Support Sheet'!A:J,6,0),0)</f>
        <v>FO012</v>
      </c>
      <c r="Z430" s="428">
        <f>IFERROR(VLOOKUP(E:E,'Item Data Support Sheet'!A:O,4,0),0)</f>
        <v>0</v>
      </c>
      <c r="AA430" s="428">
        <f t="shared" si="129"/>
        <v>0</v>
      </c>
      <c r="AB430" s="429" t="str">
        <f t="shared" si="130"/>
        <v xml:space="preserve"> </v>
      </c>
      <c r="AC430" s="424">
        <f t="shared" si="131"/>
        <v>0</v>
      </c>
      <c r="AD430" s="371">
        <f t="shared" si="132"/>
        <v>0</v>
      </c>
      <c r="AE430" s="748">
        <f t="shared" si="133"/>
        <v>1</v>
      </c>
      <c r="AF430" s="417">
        <f t="shared" si="134"/>
        <v>3.1666666666666665</v>
      </c>
      <c r="AG430" s="416">
        <f t="shared" si="135"/>
        <v>4.8333333333333339</v>
      </c>
      <c r="AH430" s="372">
        <f t="shared" si="136"/>
        <v>0.60416666666666674</v>
      </c>
      <c r="AI430" s="373">
        <f t="shared" si="137"/>
        <v>875</v>
      </c>
      <c r="AJ430" s="418">
        <f>VLOOKUP(D430,'Standard Cycle time'!C:D,2,0)</f>
        <v>2.2999999999999998</v>
      </c>
      <c r="AK430" s="418">
        <f t="shared" si="138"/>
        <v>2.4857142857142862</v>
      </c>
      <c r="AL430" s="374">
        <f t="shared" si="139"/>
        <v>0.92528735632183878</v>
      </c>
      <c r="AM430" s="372">
        <f t="shared" si="140"/>
        <v>0.55902777777777768</v>
      </c>
      <c r="AN430" s="799" t="s">
        <v>2953</v>
      </c>
      <c r="AO430" s="448" t="s">
        <v>2454</v>
      </c>
      <c r="AP430" s="440">
        <v>40</v>
      </c>
      <c r="AQ430" s="440">
        <v>0</v>
      </c>
      <c r="AR430" s="440">
        <v>0</v>
      </c>
      <c r="AS430" s="440">
        <v>150</v>
      </c>
      <c r="AT430" s="440">
        <v>0</v>
      </c>
      <c r="AU430" s="440">
        <v>0</v>
      </c>
      <c r="AV430" s="440">
        <v>0</v>
      </c>
      <c r="AW430" s="440">
        <v>0</v>
      </c>
      <c r="AX430" s="440">
        <v>0</v>
      </c>
      <c r="AY430" s="440">
        <v>0</v>
      </c>
      <c r="AZ430" s="440">
        <v>0</v>
      </c>
      <c r="BA430" s="440">
        <v>0</v>
      </c>
      <c r="BB430" s="440">
        <v>0</v>
      </c>
      <c r="BC430" s="440">
        <v>0</v>
      </c>
      <c r="BD430" s="440">
        <v>0</v>
      </c>
      <c r="BE430" s="440">
        <v>0</v>
      </c>
      <c r="BF430" s="440">
        <v>0</v>
      </c>
      <c r="BG430" s="440">
        <v>0</v>
      </c>
      <c r="BH430" s="440">
        <v>0</v>
      </c>
      <c r="BI430" s="440">
        <v>0</v>
      </c>
      <c r="BJ430" s="440">
        <v>0</v>
      </c>
      <c r="BK430" s="440">
        <v>0</v>
      </c>
      <c r="BL430" s="440">
        <v>0</v>
      </c>
      <c r="BM430" s="440">
        <v>0</v>
      </c>
      <c r="BN430" s="440">
        <v>0</v>
      </c>
      <c r="BO430" s="440">
        <v>0</v>
      </c>
      <c r="BP430" s="440">
        <v>0</v>
      </c>
      <c r="BQ430" s="440">
        <v>0</v>
      </c>
      <c r="BR430" s="415">
        <v>3.1666666666666665</v>
      </c>
      <c r="BS430" s="415">
        <v>3.2194444444444441</v>
      </c>
      <c r="BT430" s="935"/>
      <c r="BU430" s="935"/>
      <c r="BV430" s="935"/>
      <c r="BW430" s="935"/>
      <c r="BX430" s="935"/>
      <c r="BY430" s="935"/>
      <c r="BZ430" s="935"/>
      <c r="CA430" s="935"/>
      <c r="CB430" s="935"/>
      <c r="CC430" s="935"/>
      <c r="CD430" s="935"/>
      <c r="CE430" s="935"/>
      <c r="CF430" s="935"/>
      <c r="CG430" s="935"/>
      <c r="CH430" s="935"/>
      <c r="CI430" s="935"/>
      <c r="CJ430" s="935"/>
      <c r="CK430" s="935"/>
      <c r="CL430" s="935"/>
      <c r="CM430" s="935"/>
      <c r="CN430" s="935"/>
      <c r="CO430" s="935"/>
      <c r="CP430" s="935"/>
      <c r="CQ430" s="935"/>
      <c r="CR430" s="935"/>
      <c r="CS430" s="935"/>
      <c r="CT430" s="935"/>
      <c r="CU430" s="935"/>
      <c r="CV430" s="935"/>
    </row>
    <row r="431" spans="1:100" s="441" customFormat="1">
      <c r="A431" s="375">
        <f t="shared" si="126"/>
        <v>9</v>
      </c>
      <c r="B431" s="862">
        <v>44445</v>
      </c>
      <c r="C431" s="493" t="s">
        <v>2001</v>
      </c>
      <c r="D431" s="376" t="str">
        <f>IFERROR(VLOOKUP(E:E,'Item Data Support Sheet'!A:O,7,0),"")</f>
        <v>HOOD MOLDED</v>
      </c>
      <c r="E431" s="447" t="s">
        <v>1987</v>
      </c>
      <c r="F431" s="500"/>
      <c r="G431" s="497" t="s">
        <v>2729</v>
      </c>
      <c r="H431" s="602" t="str">
        <f>IFERROR(VLOOKUP(E:E,'Item Data Support Sheet'!A:O,2,0),"")</f>
        <v>HOOD S TYPE MOLDED</v>
      </c>
      <c r="I431" s="501" t="s">
        <v>2954</v>
      </c>
      <c r="J431" s="501" t="s">
        <v>2808</v>
      </c>
      <c r="K431" s="438">
        <v>8</v>
      </c>
      <c r="L431" s="499">
        <v>4137</v>
      </c>
      <c r="M431" s="366">
        <f t="shared" si="141"/>
        <v>517.125</v>
      </c>
      <c r="N431" s="367">
        <f t="shared" si="125"/>
        <v>5047</v>
      </c>
      <c r="O431" s="61">
        <v>5000</v>
      </c>
      <c r="P431" s="368">
        <v>0.1</v>
      </c>
      <c r="Q431" s="368">
        <v>27</v>
      </c>
      <c r="R431" s="494">
        <v>0</v>
      </c>
      <c r="S431" s="493">
        <v>0</v>
      </c>
      <c r="T431" s="494">
        <v>20</v>
      </c>
      <c r="U431" s="493">
        <v>0</v>
      </c>
      <c r="V431" s="502">
        <v>1</v>
      </c>
      <c r="W431" s="453">
        <f t="shared" si="127"/>
        <v>5000</v>
      </c>
      <c r="X431" s="748">
        <f t="shared" si="128"/>
        <v>1.2086052695189751</v>
      </c>
      <c r="Y431" s="451" t="str">
        <f>IFERROR(VLOOKUP(E:E,'Item Data Support Sheet'!A:J,6,0),0)</f>
        <v>HMC</v>
      </c>
      <c r="Z431" s="428">
        <f>IFERROR(VLOOKUP(E:E,'Item Data Support Sheet'!A:O,4,0),0)</f>
        <v>8.6</v>
      </c>
      <c r="AA431" s="428">
        <f t="shared" si="129"/>
        <v>43.504200000000004</v>
      </c>
      <c r="AB431" s="429">
        <f t="shared" si="130"/>
        <v>0.98841031440642502</v>
      </c>
      <c r="AC431" s="424">
        <f t="shared" si="131"/>
        <v>3.9840637450199202E-3</v>
      </c>
      <c r="AD431" s="371">
        <f t="shared" si="132"/>
        <v>5.3212455656286954E-3</v>
      </c>
      <c r="AE431" s="748">
        <f t="shared" si="133"/>
        <v>0.99603724985139686</v>
      </c>
      <c r="AF431" s="417">
        <f t="shared" si="134"/>
        <v>0</v>
      </c>
      <c r="AG431" s="416">
        <f t="shared" si="135"/>
        <v>8</v>
      </c>
      <c r="AH431" s="372">
        <f t="shared" si="136"/>
        <v>1</v>
      </c>
      <c r="AI431" s="373">
        <f t="shared" si="137"/>
        <v>625</v>
      </c>
      <c r="AJ431" s="418">
        <f>VLOOKUP(D431,'Standard Cycle time'!C:D,2,0)</f>
        <v>6</v>
      </c>
      <c r="AK431" s="418">
        <f t="shared" si="138"/>
        <v>5.76</v>
      </c>
      <c r="AL431" s="374">
        <f t="shared" si="139"/>
        <v>1.0416666666666667</v>
      </c>
      <c r="AM431" s="372">
        <f t="shared" si="140"/>
        <v>1.0375388019285385</v>
      </c>
      <c r="AN431" s="799">
        <v>3021</v>
      </c>
      <c r="AO431" s="448" t="s">
        <v>2955</v>
      </c>
      <c r="AP431" s="440">
        <v>0</v>
      </c>
      <c r="AQ431" s="440">
        <v>0</v>
      </c>
      <c r="AR431" s="440">
        <v>0</v>
      </c>
      <c r="AS431" s="440">
        <v>0</v>
      </c>
      <c r="AT431" s="440">
        <v>0</v>
      </c>
      <c r="AU431" s="440">
        <v>0</v>
      </c>
      <c r="AV431" s="440">
        <v>0</v>
      </c>
      <c r="AW431" s="440">
        <v>0</v>
      </c>
      <c r="AX431" s="440">
        <v>0</v>
      </c>
      <c r="AY431" s="440">
        <v>0</v>
      </c>
      <c r="AZ431" s="440">
        <v>0</v>
      </c>
      <c r="BA431" s="440">
        <v>0</v>
      </c>
      <c r="BB431" s="440">
        <v>0</v>
      </c>
      <c r="BC431" s="440">
        <v>0</v>
      </c>
      <c r="BD431" s="440">
        <v>0</v>
      </c>
      <c r="BE431" s="440">
        <v>0</v>
      </c>
      <c r="BF431" s="440">
        <v>0</v>
      </c>
      <c r="BG431" s="440">
        <v>0</v>
      </c>
      <c r="BH431" s="440">
        <v>0</v>
      </c>
      <c r="BI431" s="440">
        <v>0</v>
      </c>
      <c r="BJ431" s="440">
        <v>0</v>
      </c>
      <c r="BK431" s="440">
        <v>0</v>
      </c>
      <c r="BL431" s="440">
        <v>0</v>
      </c>
      <c r="BM431" s="440">
        <v>0</v>
      </c>
      <c r="BN431" s="440">
        <v>0</v>
      </c>
      <c r="BO431" s="440">
        <v>0</v>
      </c>
      <c r="BP431" s="440">
        <v>0</v>
      </c>
      <c r="BQ431" s="440">
        <v>0</v>
      </c>
      <c r="BR431" s="415">
        <v>0</v>
      </c>
      <c r="BS431" s="415">
        <v>0</v>
      </c>
      <c r="BT431" s="935"/>
      <c r="BU431" s="935"/>
      <c r="BV431" s="935"/>
      <c r="BW431" s="935"/>
      <c r="BX431" s="935"/>
      <c r="BY431" s="935"/>
      <c r="BZ431" s="935"/>
      <c r="CA431" s="935"/>
      <c r="CB431" s="935"/>
      <c r="CC431" s="935"/>
      <c r="CD431" s="935"/>
      <c r="CE431" s="935"/>
      <c r="CF431" s="935"/>
      <c r="CG431" s="935"/>
      <c r="CH431" s="935"/>
      <c r="CI431" s="935"/>
      <c r="CJ431" s="935"/>
      <c r="CK431" s="935"/>
      <c r="CL431" s="935"/>
      <c r="CM431" s="935"/>
      <c r="CN431" s="935"/>
      <c r="CO431" s="935"/>
      <c r="CP431" s="935"/>
      <c r="CQ431" s="935"/>
      <c r="CR431" s="935"/>
      <c r="CS431" s="935"/>
      <c r="CT431" s="935"/>
      <c r="CU431" s="935"/>
      <c r="CV431" s="935"/>
    </row>
    <row r="432" spans="1:100" s="441" customFormat="1">
      <c r="A432" s="375">
        <f t="shared" si="126"/>
        <v>9</v>
      </c>
      <c r="B432" s="862">
        <v>44445</v>
      </c>
      <c r="C432" s="493" t="s">
        <v>2053</v>
      </c>
      <c r="D432" s="376" t="str">
        <f>IFERROR(VLOOKUP(E:E,'Item Data Support Sheet'!A:O,7,0),"")</f>
        <v>BOTTLE MOLDED</v>
      </c>
      <c r="E432" s="447" t="s">
        <v>115</v>
      </c>
      <c r="F432" s="500" t="s">
        <v>1681</v>
      </c>
      <c r="G432" s="497" t="s">
        <v>1888</v>
      </c>
      <c r="H432" s="602" t="str">
        <f>IFERROR(VLOOKUP(E:E,'Item Data Support Sheet'!A:O,2,0),"")</f>
        <v>KPP BOTTLE 240 ML MOULDED-WMG3B</v>
      </c>
      <c r="I432" s="501" t="s">
        <v>2956</v>
      </c>
      <c r="J432" s="501" t="s">
        <v>2826</v>
      </c>
      <c r="K432" s="438">
        <v>8</v>
      </c>
      <c r="L432" s="499">
        <v>2503</v>
      </c>
      <c r="M432" s="366">
        <f t="shared" si="141"/>
        <v>312.875</v>
      </c>
      <c r="N432" s="367">
        <f t="shared" si="125"/>
        <v>2946</v>
      </c>
      <c r="O432" s="61">
        <v>2808</v>
      </c>
      <c r="P432" s="368">
        <v>0.18</v>
      </c>
      <c r="Q432" s="368">
        <v>63</v>
      </c>
      <c r="R432" s="494">
        <v>0</v>
      </c>
      <c r="S432" s="493">
        <v>0</v>
      </c>
      <c r="T432" s="494">
        <v>67</v>
      </c>
      <c r="U432" s="493">
        <v>8</v>
      </c>
      <c r="V432" s="502">
        <v>1</v>
      </c>
      <c r="W432" s="453">
        <f t="shared" si="127"/>
        <v>2808</v>
      </c>
      <c r="X432" s="748">
        <f t="shared" si="128"/>
        <v>1.1218537754694367</v>
      </c>
      <c r="Y432" s="451" t="str">
        <f>IFERROR(VLOOKUP(E:E,'Item Data Support Sheet'!A:J,6,0),0)</f>
        <v>WMG3B</v>
      </c>
      <c r="Z432" s="428">
        <f>IFERROR(VLOOKUP(E:E,'Item Data Support Sheet'!A:O,4,0),0)</f>
        <v>33.1</v>
      </c>
      <c r="AA432" s="428">
        <f t="shared" si="129"/>
        <v>97.692600000000013</v>
      </c>
      <c r="AB432" s="429">
        <f t="shared" si="130"/>
        <v>0.95140061785641905</v>
      </c>
      <c r="AC432" s="424">
        <f t="shared" si="131"/>
        <v>2.3304347826086955E-2</v>
      </c>
      <c r="AD432" s="371">
        <f t="shared" si="132"/>
        <v>2.0937188434695914E-2</v>
      </c>
      <c r="AE432" s="748">
        <f t="shared" si="133"/>
        <v>0.97725729803122874</v>
      </c>
      <c r="AF432" s="417">
        <f t="shared" si="134"/>
        <v>0</v>
      </c>
      <c r="AG432" s="416">
        <f t="shared" si="135"/>
        <v>8</v>
      </c>
      <c r="AH432" s="372">
        <f t="shared" si="136"/>
        <v>1</v>
      </c>
      <c r="AI432" s="373">
        <f t="shared" si="137"/>
        <v>351</v>
      </c>
      <c r="AJ432" s="418">
        <f>VLOOKUP(D432,'Standard Cycle time'!C:D,2,0)</f>
        <v>9</v>
      </c>
      <c r="AK432" s="418">
        <f t="shared" si="138"/>
        <v>10.256410256410257</v>
      </c>
      <c r="AL432" s="374">
        <f t="shared" si="139"/>
        <v>0.87749999999999995</v>
      </c>
      <c r="AM432" s="372">
        <f t="shared" si="140"/>
        <v>0.85754327902240313</v>
      </c>
      <c r="AN432" s="799">
        <v>3027</v>
      </c>
      <c r="AO432" s="448"/>
      <c r="AP432" s="440">
        <v>0</v>
      </c>
      <c r="AQ432" s="440">
        <v>0</v>
      </c>
      <c r="AR432" s="440">
        <v>0</v>
      </c>
      <c r="AS432" s="440">
        <v>0</v>
      </c>
      <c r="AT432" s="440">
        <v>0</v>
      </c>
      <c r="AU432" s="440">
        <v>0</v>
      </c>
      <c r="AV432" s="440">
        <v>0</v>
      </c>
      <c r="AW432" s="440">
        <v>0</v>
      </c>
      <c r="AX432" s="440">
        <v>0</v>
      </c>
      <c r="AY432" s="440">
        <v>0</v>
      </c>
      <c r="AZ432" s="440">
        <v>0</v>
      </c>
      <c r="BA432" s="440">
        <v>0</v>
      </c>
      <c r="BB432" s="440">
        <v>0</v>
      </c>
      <c r="BC432" s="440">
        <v>0</v>
      </c>
      <c r="BD432" s="440">
        <v>0</v>
      </c>
      <c r="BE432" s="440">
        <v>0</v>
      </c>
      <c r="BF432" s="440">
        <v>0</v>
      </c>
      <c r="BG432" s="440">
        <v>0</v>
      </c>
      <c r="BH432" s="440">
        <v>0</v>
      </c>
      <c r="BI432" s="440">
        <v>0</v>
      </c>
      <c r="BJ432" s="440">
        <v>0</v>
      </c>
      <c r="BK432" s="440">
        <v>0</v>
      </c>
      <c r="BL432" s="440">
        <v>0</v>
      </c>
      <c r="BM432" s="440">
        <v>0</v>
      </c>
      <c r="BN432" s="440">
        <v>0</v>
      </c>
      <c r="BO432" s="440">
        <v>0</v>
      </c>
      <c r="BP432" s="440">
        <v>0</v>
      </c>
      <c r="BQ432" s="440">
        <v>0</v>
      </c>
      <c r="BR432" s="415">
        <v>0</v>
      </c>
      <c r="BS432" s="415">
        <v>0</v>
      </c>
      <c r="BT432" s="935"/>
      <c r="BU432" s="935"/>
      <c r="BV432" s="935"/>
      <c r="BW432" s="935"/>
      <c r="BX432" s="935"/>
      <c r="BY432" s="935"/>
      <c r="BZ432" s="935"/>
      <c r="CA432" s="935"/>
      <c r="CB432" s="935"/>
      <c r="CC432" s="935"/>
      <c r="CD432" s="935"/>
      <c r="CE432" s="935"/>
      <c r="CF432" s="935"/>
      <c r="CG432" s="935"/>
      <c r="CH432" s="935"/>
      <c r="CI432" s="935"/>
      <c r="CJ432" s="935"/>
      <c r="CK432" s="935"/>
      <c r="CL432" s="935"/>
      <c r="CM432" s="935"/>
      <c r="CN432" s="935"/>
      <c r="CO432" s="935"/>
      <c r="CP432" s="935"/>
      <c r="CQ432" s="935"/>
      <c r="CR432" s="935"/>
      <c r="CS432" s="935"/>
      <c r="CT432" s="935"/>
      <c r="CU432" s="935"/>
      <c r="CV432" s="935"/>
    </row>
    <row r="433" spans="1:100" s="441" customFormat="1">
      <c r="A433" s="375">
        <f t="shared" si="126"/>
        <v>9</v>
      </c>
      <c r="B433" s="862">
        <v>44445</v>
      </c>
      <c r="C433" s="493" t="s">
        <v>2053</v>
      </c>
      <c r="D433" s="376" t="str">
        <f>IFERROR(VLOOKUP(E:E,'Item Data Support Sheet'!A:O,7,0),"")</f>
        <v>NIPPLE MOLDED</v>
      </c>
      <c r="E433" s="447" t="s">
        <v>73</v>
      </c>
      <c r="F433" s="500" t="s">
        <v>1678</v>
      </c>
      <c r="G433" s="497" t="s">
        <v>1690</v>
      </c>
      <c r="H433" s="602" t="str">
        <f>IFERROR(VLOOKUP(E:E,'Item Data Support Sheet'!A:O,2,0),"")</f>
        <v>NIPPLE S TYPE M SIZE INJECTION</v>
      </c>
      <c r="I433" s="501" t="s">
        <v>2957</v>
      </c>
      <c r="J433" s="501" t="s">
        <v>2826</v>
      </c>
      <c r="K433" s="438">
        <v>8</v>
      </c>
      <c r="L433" s="499">
        <v>4815</v>
      </c>
      <c r="M433" s="366">
        <f t="shared" si="141"/>
        <v>601.875</v>
      </c>
      <c r="N433" s="367">
        <f t="shared" si="125"/>
        <v>4963</v>
      </c>
      <c r="O433" s="61">
        <v>4840</v>
      </c>
      <c r="P433" s="368">
        <v>0</v>
      </c>
      <c r="Q433" s="368">
        <v>47</v>
      </c>
      <c r="R433" s="494">
        <v>0</v>
      </c>
      <c r="S433" s="493">
        <v>0</v>
      </c>
      <c r="T433" s="494">
        <v>76</v>
      </c>
      <c r="U433" s="493">
        <v>0</v>
      </c>
      <c r="V433" s="502">
        <v>1</v>
      </c>
      <c r="W433" s="453">
        <f t="shared" si="127"/>
        <v>4840</v>
      </c>
      <c r="X433" s="748">
        <f t="shared" si="128"/>
        <v>1.0051921079958464</v>
      </c>
      <c r="Y433" s="451" t="str">
        <f>IFERROR(VLOOKUP(E:E,'Item Data Support Sheet'!A:J,6,0),0)</f>
        <v>Silicon</v>
      </c>
      <c r="Z433" s="428">
        <f>IFERROR(VLOOKUP(E:E,'Item Data Support Sheet'!A:O,4,0),0)</f>
        <v>6.8</v>
      </c>
      <c r="AA433" s="428">
        <f t="shared" si="129"/>
        <v>33.748399999999997</v>
      </c>
      <c r="AB433" s="429">
        <f t="shared" si="130"/>
        <v>0.97521660286117273</v>
      </c>
      <c r="AC433" s="424">
        <f t="shared" si="131"/>
        <v>1.5459723352318959E-2</v>
      </c>
      <c r="AD433" s="371">
        <f t="shared" si="132"/>
        <v>9.3812375249500996E-3</v>
      </c>
      <c r="AE433" s="748">
        <f t="shared" si="133"/>
        <v>0.98468668144267579</v>
      </c>
      <c r="AF433" s="417">
        <f t="shared" si="134"/>
        <v>0</v>
      </c>
      <c r="AG433" s="416">
        <f t="shared" si="135"/>
        <v>8</v>
      </c>
      <c r="AH433" s="372">
        <f t="shared" si="136"/>
        <v>1</v>
      </c>
      <c r="AI433" s="373">
        <f t="shared" si="137"/>
        <v>605</v>
      </c>
      <c r="AJ433" s="418">
        <f>VLOOKUP(D433,'Standard Cycle time'!C:D,2,0)</f>
        <v>5.25</v>
      </c>
      <c r="AK433" s="418">
        <f t="shared" si="138"/>
        <v>5.9504132231404956</v>
      </c>
      <c r="AL433" s="374">
        <f t="shared" si="139"/>
        <v>0.8822916666666667</v>
      </c>
      <c r="AM433" s="372">
        <f t="shared" si="140"/>
        <v>0.86878085331452748</v>
      </c>
      <c r="AN433" s="799">
        <v>3066</v>
      </c>
      <c r="AO433" s="448" t="s">
        <v>2822</v>
      </c>
      <c r="AP433" s="440">
        <v>0</v>
      </c>
      <c r="AQ433" s="440">
        <v>0</v>
      </c>
      <c r="AR433" s="440">
        <v>0</v>
      </c>
      <c r="AS433" s="440">
        <v>0</v>
      </c>
      <c r="AT433" s="440">
        <v>0</v>
      </c>
      <c r="AU433" s="440">
        <v>0</v>
      </c>
      <c r="AV433" s="440">
        <v>0</v>
      </c>
      <c r="AW433" s="440">
        <v>0</v>
      </c>
      <c r="AX433" s="440">
        <v>0</v>
      </c>
      <c r="AY433" s="440">
        <v>0</v>
      </c>
      <c r="AZ433" s="440">
        <v>0</v>
      </c>
      <c r="BA433" s="440">
        <v>0</v>
      </c>
      <c r="BB433" s="440">
        <v>0</v>
      </c>
      <c r="BC433" s="440">
        <v>0</v>
      </c>
      <c r="BD433" s="440">
        <v>0</v>
      </c>
      <c r="BE433" s="440">
        <v>0</v>
      </c>
      <c r="BF433" s="440">
        <v>0</v>
      </c>
      <c r="BG433" s="440">
        <v>0</v>
      </c>
      <c r="BH433" s="440">
        <v>0</v>
      </c>
      <c r="BI433" s="440">
        <v>0</v>
      </c>
      <c r="BJ433" s="440">
        <v>0</v>
      </c>
      <c r="BK433" s="440">
        <v>0</v>
      </c>
      <c r="BL433" s="440">
        <v>0</v>
      </c>
      <c r="BM433" s="440">
        <v>0</v>
      </c>
      <c r="BN433" s="440">
        <v>0</v>
      </c>
      <c r="BO433" s="440">
        <v>0</v>
      </c>
      <c r="BP433" s="440">
        <v>0</v>
      </c>
      <c r="BQ433" s="440">
        <v>0</v>
      </c>
      <c r="BR433" s="415">
        <v>0</v>
      </c>
      <c r="BS433" s="415">
        <v>0</v>
      </c>
      <c r="BT433" s="935"/>
      <c r="BU433" s="935"/>
      <c r="BV433" s="935"/>
      <c r="BW433" s="935"/>
      <c r="BX433" s="935"/>
      <c r="BY433" s="935"/>
      <c r="BZ433" s="935"/>
      <c r="CA433" s="935"/>
      <c r="CB433" s="935"/>
      <c r="CC433" s="935"/>
      <c r="CD433" s="935"/>
      <c r="CE433" s="935"/>
      <c r="CF433" s="935"/>
      <c r="CG433" s="935"/>
      <c r="CH433" s="935"/>
      <c r="CI433" s="935"/>
      <c r="CJ433" s="935"/>
      <c r="CK433" s="935"/>
      <c r="CL433" s="935"/>
      <c r="CM433" s="935"/>
      <c r="CN433" s="935"/>
      <c r="CO433" s="935"/>
      <c r="CP433" s="935"/>
      <c r="CQ433" s="935"/>
      <c r="CR433" s="935"/>
      <c r="CS433" s="935"/>
      <c r="CT433" s="935"/>
      <c r="CU433" s="935"/>
      <c r="CV433" s="935"/>
    </row>
    <row r="434" spans="1:100" s="441" customFormat="1">
      <c r="A434" s="375">
        <f t="shared" si="126"/>
        <v>9</v>
      </c>
      <c r="B434" s="862">
        <v>44445</v>
      </c>
      <c r="C434" s="493" t="s">
        <v>2053</v>
      </c>
      <c r="D434" s="376" t="str">
        <f>IFERROR(VLOOKUP(E:E,'Item Data Support Sheet'!A:O,7,0),"")</f>
        <v>HOOD MOLDED</v>
      </c>
      <c r="E434" s="447" t="s">
        <v>1987</v>
      </c>
      <c r="F434" s="500"/>
      <c r="G434" s="497" t="s">
        <v>2729</v>
      </c>
      <c r="H434" s="602" t="str">
        <f>IFERROR(VLOOKUP(E:E,'Item Data Support Sheet'!A:O,2,0),"")</f>
        <v>HOOD S TYPE MOLDED</v>
      </c>
      <c r="I434" s="501" t="s">
        <v>2958</v>
      </c>
      <c r="J434" s="501" t="s">
        <v>2826</v>
      </c>
      <c r="K434" s="438">
        <v>8</v>
      </c>
      <c r="L434" s="499">
        <v>4137</v>
      </c>
      <c r="M434" s="366">
        <f t="shared" si="141"/>
        <v>517.125</v>
      </c>
      <c r="N434" s="367">
        <f t="shared" si="125"/>
        <v>5523</v>
      </c>
      <c r="O434" s="61">
        <v>5500</v>
      </c>
      <c r="P434" s="368">
        <v>0</v>
      </c>
      <c r="Q434" s="368">
        <v>0</v>
      </c>
      <c r="R434" s="494">
        <v>0</v>
      </c>
      <c r="S434" s="493">
        <v>0</v>
      </c>
      <c r="T434" s="494">
        <v>15</v>
      </c>
      <c r="U434" s="493">
        <v>8</v>
      </c>
      <c r="V434" s="502">
        <v>1</v>
      </c>
      <c r="W434" s="453">
        <f t="shared" si="127"/>
        <v>5500</v>
      </c>
      <c r="X434" s="748">
        <f t="shared" si="128"/>
        <v>1.3294657964708727</v>
      </c>
      <c r="Y434" s="451" t="str">
        <f>IFERROR(VLOOKUP(E:E,'Item Data Support Sheet'!A:J,6,0),0)</f>
        <v>HMC</v>
      </c>
      <c r="Z434" s="428">
        <f>IFERROR(VLOOKUP(E:E,'Item Data Support Sheet'!A:O,4,0),0)</f>
        <v>8.6</v>
      </c>
      <c r="AA434" s="428">
        <f t="shared" si="129"/>
        <v>47.497799999999998</v>
      </c>
      <c r="AB434" s="429">
        <f t="shared" si="130"/>
        <v>0.99583559659605281</v>
      </c>
      <c r="AC434" s="424">
        <f t="shared" si="131"/>
        <v>2.7198549410698096E-3</v>
      </c>
      <c r="AD434" s="371">
        <f t="shared" si="132"/>
        <v>0</v>
      </c>
      <c r="AE434" s="748">
        <f t="shared" si="133"/>
        <v>0.99728408473655616</v>
      </c>
      <c r="AF434" s="417">
        <f t="shared" si="134"/>
        <v>0</v>
      </c>
      <c r="AG434" s="416">
        <f t="shared" si="135"/>
        <v>8</v>
      </c>
      <c r="AH434" s="372">
        <f t="shared" si="136"/>
        <v>1</v>
      </c>
      <c r="AI434" s="373">
        <f t="shared" si="137"/>
        <v>687.5</v>
      </c>
      <c r="AJ434" s="418">
        <f>VLOOKUP(D434,'Standard Cycle time'!C:D,2,0)</f>
        <v>6</v>
      </c>
      <c r="AK434" s="418">
        <f t="shared" si="138"/>
        <v>5.2363636363636363</v>
      </c>
      <c r="AL434" s="374">
        <f t="shared" si="139"/>
        <v>1.1458333333333333</v>
      </c>
      <c r="AM434" s="372">
        <f t="shared" si="140"/>
        <v>1.1427213470939706</v>
      </c>
      <c r="AN434" s="799">
        <v>3026</v>
      </c>
      <c r="AO434" s="448" t="s">
        <v>2959</v>
      </c>
      <c r="AP434" s="440">
        <v>0</v>
      </c>
      <c r="AQ434" s="440">
        <v>0</v>
      </c>
      <c r="AR434" s="440">
        <v>0</v>
      </c>
      <c r="AS434" s="440">
        <v>0</v>
      </c>
      <c r="AT434" s="440">
        <v>0</v>
      </c>
      <c r="AU434" s="440">
        <v>0</v>
      </c>
      <c r="AV434" s="440">
        <v>0</v>
      </c>
      <c r="AW434" s="440">
        <v>0</v>
      </c>
      <c r="AX434" s="440">
        <v>0</v>
      </c>
      <c r="AY434" s="440">
        <v>0</v>
      </c>
      <c r="AZ434" s="440">
        <v>0</v>
      </c>
      <c r="BA434" s="440">
        <v>0</v>
      </c>
      <c r="BB434" s="440">
        <v>0</v>
      </c>
      <c r="BC434" s="440">
        <v>0</v>
      </c>
      <c r="BD434" s="440">
        <v>0</v>
      </c>
      <c r="BE434" s="440">
        <v>0</v>
      </c>
      <c r="BF434" s="440">
        <v>0</v>
      </c>
      <c r="BG434" s="440">
        <v>0</v>
      </c>
      <c r="BH434" s="440">
        <v>0</v>
      </c>
      <c r="BI434" s="440">
        <v>0</v>
      </c>
      <c r="BJ434" s="440">
        <v>0</v>
      </c>
      <c r="BK434" s="440">
        <v>0</v>
      </c>
      <c r="BL434" s="440">
        <v>0</v>
      </c>
      <c r="BM434" s="440">
        <v>0</v>
      </c>
      <c r="BN434" s="440">
        <v>0</v>
      </c>
      <c r="BO434" s="440">
        <v>0</v>
      </c>
      <c r="BP434" s="440">
        <v>0</v>
      </c>
      <c r="BQ434" s="440">
        <v>0</v>
      </c>
      <c r="BR434" s="415">
        <v>0</v>
      </c>
      <c r="BS434" s="415">
        <v>0</v>
      </c>
      <c r="BT434" s="935"/>
      <c r="BU434" s="935"/>
      <c r="BV434" s="935"/>
      <c r="BW434" s="935"/>
      <c r="BX434" s="935"/>
      <c r="BY434" s="935"/>
      <c r="BZ434" s="935"/>
      <c r="CA434" s="935"/>
      <c r="CB434" s="935"/>
      <c r="CC434" s="935"/>
      <c r="CD434" s="935"/>
      <c r="CE434" s="935"/>
      <c r="CF434" s="935"/>
      <c r="CG434" s="935"/>
      <c r="CH434" s="935"/>
      <c r="CI434" s="935"/>
      <c r="CJ434" s="935"/>
      <c r="CK434" s="935"/>
      <c r="CL434" s="935"/>
      <c r="CM434" s="935"/>
      <c r="CN434" s="935"/>
      <c r="CO434" s="935"/>
      <c r="CP434" s="935"/>
      <c r="CQ434" s="935"/>
      <c r="CR434" s="935"/>
      <c r="CS434" s="935"/>
      <c r="CT434" s="935"/>
      <c r="CU434" s="935"/>
      <c r="CV434" s="935"/>
    </row>
    <row r="435" spans="1:100" s="441" customFormat="1">
      <c r="A435" s="375">
        <f t="shared" si="126"/>
        <v>9</v>
      </c>
      <c r="B435" s="862">
        <v>44445</v>
      </c>
      <c r="C435" s="493" t="s">
        <v>2053</v>
      </c>
      <c r="D435" s="376" t="str">
        <f>IFERROR(VLOOKUP(E:E,'Item Data Support Sheet'!A:O,7,0),"")</f>
        <v>NIPPLE POSTCURE</v>
      </c>
      <c r="E435" s="447" t="s">
        <v>77</v>
      </c>
      <c r="F435" s="500"/>
      <c r="G435" s="497" t="s">
        <v>1705</v>
      </c>
      <c r="H435" s="602" t="str">
        <f>IFERROR(VLOOKUP(E:E,'Item Data Support Sheet'!A:O,2,0),"")</f>
        <v>NIPPLE S TYPE M SIZE POSTCURED</v>
      </c>
      <c r="I435" s="501" t="s">
        <v>2960</v>
      </c>
      <c r="J435" s="501" t="s">
        <v>2826</v>
      </c>
      <c r="K435" s="438">
        <v>8</v>
      </c>
      <c r="L435" s="499">
        <v>7036</v>
      </c>
      <c r="M435" s="366">
        <f t="shared" si="141"/>
        <v>879.5</v>
      </c>
      <c r="N435" s="367">
        <f t="shared" si="125"/>
        <v>4000</v>
      </c>
      <c r="O435" s="61">
        <v>4000</v>
      </c>
      <c r="P435" s="368">
        <v>0</v>
      </c>
      <c r="Q435" s="368">
        <v>0</v>
      </c>
      <c r="R435" s="494">
        <v>0</v>
      </c>
      <c r="S435" s="493">
        <v>0</v>
      </c>
      <c r="T435" s="494">
        <v>0</v>
      </c>
      <c r="U435" s="493">
        <v>0</v>
      </c>
      <c r="V435" s="502">
        <v>1</v>
      </c>
      <c r="W435" s="453">
        <f t="shared" si="127"/>
        <v>4000</v>
      </c>
      <c r="X435" s="748">
        <f t="shared" si="128"/>
        <v>0.56850483229107451</v>
      </c>
      <c r="Y435" s="451" t="str">
        <f>IFERROR(VLOOKUP(E:E,'Item Data Support Sheet'!A:J,6,0),0)</f>
        <v>FO012</v>
      </c>
      <c r="Z435" s="428">
        <f>IFERROR(VLOOKUP(E:E,'Item Data Support Sheet'!A:O,4,0),0)</f>
        <v>0</v>
      </c>
      <c r="AA435" s="428">
        <f t="shared" si="129"/>
        <v>0</v>
      </c>
      <c r="AB435" s="429" t="str">
        <f t="shared" si="130"/>
        <v xml:space="preserve"> </v>
      </c>
      <c r="AC435" s="424">
        <f t="shared" si="131"/>
        <v>0</v>
      </c>
      <c r="AD435" s="371">
        <f t="shared" si="132"/>
        <v>0</v>
      </c>
      <c r="AE435" s="748">
        <f t="shared" si="133"/>
        <v>1</v>
      </c>
      <c r="AF435" s="417">
        <f t="shared" si="134"/>
        <v>5.5</v>
      </c>
      <c r="AG435" s="416">
        <f t="shared" si="135"/>
        <v>2.5</v>
      </c>
      <c r="AH435" s="372">
        <f t="shared" si="136"/>
        <v>0.3125</v>
      </c>
      <c r="AI435" s="373">
        <f t="shared" si="137"/>
        <v>500</v>
      </c>
      <c r="AJ435" s="418">
        <f>VLOOKUP(D435,'Standard Cycle time'!C:D,2,0)</f>
        <v>2.2999999999999998</v>
      </c>
      <c r="AK435" s="418">
        <f t="shared" si="138"/>
        <v>2.25</v>
      </c>
      <c r="AL435" s="374">
        <f t="shared" si="139"/>
        <v>1.0222222222222221</v>
      </c>
      <c r="AM435" s="372">
        <f t="shared" si="140"/>
        <v>0.31944444444444442</v>
      </c>
      <c r="AN435" s="799">
        <v>3067</v>
      </c>
      <c r="AO435" s="448" t="s">
        <v>2878</v>
      </c>
      <c r="AP435" s="440">
        <v>50</v>
      </c>
      <c r="AQ435" s="440">
        <v>0</v>
      </c>
      <c r="AR435" s="440">
        <v>0</v>
      </c>
      <c r="AS435" s="440">
        <v>280</v>
      </c>
      <c r="AT435" s="440">
        <v>0</v>
      </c>
      <c r="AU435" s="440">
        <v>0</v>
      </c>
      <c r="AV435" s="440">
        <v>0</v>
      </c>
      <c r="AW435" s="440">
        <v>0</v>
      </c>
      <c r="AX435" s="440">
        <v>0</v>
      </c>
      <c r="AY435" s="440">
        <v>0</v>
      </c>
      <c r="AZ435" s="440">
        <v>0</v>
      </c>
      <c r="BA435" s="440">
        <v>0</v>
      </c>
      <c r="BB435" s="440">
        <v>0</v>
      </c>
      <c r="BC435" s="440">
        <v>0</v>
      </c>
      <c r="BD435" s="440">
        <v>0</v>
      </c>
      <c r="BE435" s="440">
        <v>0</v>
      </c>
      <c r="BF435" s="440">
        <v>0</v>
      </c>
      <c r="BG435" s="440">
        <v>0</v>
      </c>
      <c r="BH435" s="440">
        <v>0</v>
      </c>
      <c r="BI435" s="440">
        <v>0</v>
      </c>
      <c r="BJ435" s="440">
        <v>0</v>
      </c>
      <c r="BK435" s="440">
        <v>0</v>
      </c>
      <c r="BL435" s="440">
        <v>0</v>
      </c>
      <c r="BM435" s="440">
        <v>0</v>
      </c>
      <c r="BN435" s="440">
        <v>0</v>
      </c>
      <c r="BO435" s="440">
        <v>0</v>
      </c>
      <c r="BP435" s="440">
        <v>0</v>
      </c>
      <c r="BQ435" s="440">
        <v>0</v>
      </c>
      <c r="BR435" s="415">
        <v>5.5</v>
      </c>
      <c r="BS435" s="415">
        <v>5.5916666666666668</v>
      </c>
      <c r="BT435" s="935"/>
      <c r="BU435" s="935"/>
      <c r="BV435" s="935"/>
      <c r="BW435" s="935"/>
      <c r="BX435" s="935"/>
      <c r="BY435" s="935"/>
      <c r="BZ435" s="935"/>
      <c r="CA435" s="935"/>
      <c r="CB435" s="935"/>
      <c r="CC435" s="935"/>
      <c r="CD435" s="935"/>
      <c r="CE435" s="935"/>
      <c r="CF435" s="935"/>
      <c r="CG435" s="935"/>
      <c r="CH435" s="935"/>
      <c r="CI435" s="935"/>
      <c r="CJ435" s="935"/>
      <c r="CK435" s="935"/>
      <c r="CL435" s="935"/>
      <c r="CM435" s="935"/>
      <c r="CN435" s="935"/>
      <c r="CO435" s="935"/>
      <c r="CP435" s="935"/>
      <c r="CQ435" s="935"/>
      <c r="CR435" s="935"/>
      <c r="CS435" s="935"/>
      <c r="CT435" s="935"/>
      <c r="CU435" s="935"/>
      <c r="CV435" s="935"/>
    </row>
    <row r="436" spans="1:100" s="441" customFormat="1">
      <c r="A436" s="375">
        <f t="shared" si="126"/>
        <v>9</v>
      </c>
      <c r="B436" s="862">
        <v>44446</v>
      </c>
      <c r="C436" s="493" t="s">
        <v>1980</v>
      </c>
      <c r="D436" s="376" t="str">
        <f>IFERROR(VLOOKUP(E:E,'Item Data Support Sheet'!A:O,7,0),"")</f>
        <v>BOTTLE MOLDED</v>
      </c>
      <c r="E436" s="447" t="s">
        <v>115</v>
      </c>
      <c r="F436" s="500" t="s">
        <v>1681</v>
      </c>
      <c r="G436" s="497" t="s">
        <v>1888</v>
      </c>
      <c r="H436" s="602" t="str">
        <f>IFERROR(VLOOKUP(E:E,'Item Data Support Sheet'!A:O,2,0),"")</f>
        <v>KPP BOTTLE 240 ML MOULDED-WMG3B</v>
      </c>
      <c r="I436" s="501" t="s">
        <v>2961</v>
      </c>
      <c r="J436" s="501" t="s">
        <v>2809</v>
      </c>
      <c r="K436" s="438">
        <v>3</v>
      </c>
      <c r="L436" s="499">
        <v>1439</v>
      </c>
      <c r="M436" s="366">
        <f t="shared" si="141"/>
        <v>479.66666666666669</v>
      </c>
      <c r="N436" s="367">
        <f t="shared" si="125"/>
        <v>1507</v>
      </c>
      <c r="O436" s="61">
        <v>1439</v>
      </c>
      <c r="P436" s="368">
        <v>0.26</v>
      </c>
      <c r="Q436" s="368">
        <v>40</v>
      </c>
      <c r="R436" s="494">
        <v>0</v>
      </c>
      <c r="S436" s="493">
        <v>0</v>
      </c>
      <c r="T436" s="494">
        <v>20</v>
      </c>
      <c r="U436" s="493">
        <v>8</v>
      </c>
      <c r="V436" s="502">
        <v>1</v>
      </c>
      <c r="W436" s="453">
        <f t="shared" si="127"/>
        <v>1439</v>
      </c>
      <c r="X436" s="748">
        <f t="shared" si="128"/>
        <v>1</v>
      </c>
      <c r="Y436" s="451" t="str">
        <f>IFERROR(VLOOKUP(E:E,'Item Data Support Sheet'!A:J,6,0),0)</f>
        <v>WMG3B</v>
      </c>
      <c r="Z436" s="428">
        <f>IFERROR(VLOOKUP(E:E,'Item Data Support Sheet'!A:O,4,0),0)</f>
        <v>33.1</v>
      </c>
      <c r="AA436" s="428">
        <f t="shared" si="129"/>
        <v>50.141700000000007</v>
      </c>
      <c r="AB436" s="429">
        <f t="shared" si="130"/>
        <v>0.94992590997114168</v>
      </c>
      <c r="AC436" s="424">
        <f t="shared" si="131"/>
        <v>1.3708019191226868E-2</v>
      </c>
      <c r="AD436" s="371">
        <f t="shared" si="132"/>
        <v>2.5856496444731737E-2</v>
      </c>
      <c r="AE436" s="748">
        <f t="shared" si="133"/>
        <v>0.986728599867286</v>
      </c>
      <c r="AF436" s="417">
        <f t="shared" si="134"/>
        <v>0</v>
      </c>
      <c r="AG436" s="416">
        <f t="shared" si="135"/>
        <v>3</v>
      </c>
      <c r="AH436" s="372">
        <f t="shared" si="136"/>
        <v>1</v>
      </c>
      <c r="AI436" s="373">
        <f t="shared" si="137"/>
        <v>479.66666666666669</v>
      </c>
      <c r="AJ436" s="418">
        <f>VLOOKUP(D436,'Standard Cycle time'!C:D,2,0)</f>
        <v>9</v>
      </c>
      <c r="AK436" s="418">
        <f t="shared" si="138"/>
        <v>7.5052119527449621</v>
      </c>
      <c r="AL436" s="374">
        <f t="shared" si="139"/>
        <v>1.1991666666666667</v>
      </c>
      <c r="AM436" s="372">
        <f t="shared" si="140"/>
        <v>1.1832520460075204</v>
      </c>
      <c r="AN436" s="799" t="s">
        <v>2962</v>
      </c>
      <c r="AO436" s="448"/>
      <c r="AP436" s="440">
        <v>0</v>
      </c>
      <c r="AQ436" s="440">
        <v>0</v>
      </c>
      <c r="AR436" s="440">
        <v>0</v>
      </c>
      <c r="AS436" s="440">
        <v>0</v>
      </c>
      <c r="AT436" s="440">
        <v>0</v>
      </c>
      <c r="AU436" s="440">
        <v>0</v>
      </c>
      <c r="AV436" s="440">
        <v>0</v>
      </c>
      <c r="AW436" s="440">
        <v>0</v>
      </c>
      <c r="AX436" s="440">
        <v>0</v>
      </c>
      <c r="AY436" s="440">
        <v>0</v>
      </c>
      <c r="AZ436" s="440">
        <v>0</v>
      </c>
      <c r="BA436" s="440">
        <v>0</v>
      </c>
      <c r="BB436" s="440">
        <v>0</v>
      </c>
      <c r="BC436" s="440">
        <v>0</v>
      </c>
      <c r="BD436" s="440">
        <v>0</v>
      </c>
      <c r="BE436" s="440">
        <v>0</v>
      </c>
      <c r="BF436" s="440">
        <v>0</v>
      </c>
      <c r="BG436" s="440">
        <v>0</v>
      </c>
      <c r="BH436" s="440">
        <v>0</v>
      </c>
      <c r="BI436" s="440">
        <v>0</v>
      </c>
      <c r="BJ436" s="440">
        <v>0</v>
      </c>
      <c r="BK436" s="440">
        <v>0</v>
      </c>
      <c r="BL436" s="440">
        <v>0</v>
      </c>
      <c r="BM436" s="440">
        <v>0</v>
      </c>
      <c r="BN436" s="440">
        <v>0</v>
      </c>
      <c r="BO436" s="440">
        <v>0</v>
      </c>
      <c r="BP436" s="440">
        <v>0</v>
      </c>
      <c r="BQ436" s="440">
        <v>0</v>
      </c>
      <c r="BR436" s="415">
        <v>0</v>
      </c>
      <c r="BS436" s="415">
        <v>0</v>
      </c>
      <c r="BT436" s="935"/>
      <c r="BU436" s="935"/>
      <c r="BV436" s="935"/>
      <c r="BW436" s="935"/>
      <c r="BX436" s="935"/>
      <c r="BY436" s="935"/>
      <c r="BZ436" s="935"/>
      <c r="CA436" s="935"/>
      <c r="CB436" s="935"/>
      <c r="CC436" s="935"/>
      <c r="CD436" s="935"/>
      <c r="CE436" s="935"/>
      <c r="CF436" s="935"/>
      <c r="CG436" s="935"/>
      <c r="CH436" s="935"/>
      <c r="CI436" s="935"/>
      <c r="CJ436" s="935"/>
      <c r="CK436" s="935"/>
      <c r="CL436" s="935"/>
      <c r="CM436" s="935"/>
      <c r="CN436" s="935"/>
      <c r="CO436" s="935"/>
      <c r="CP436" s="935"/>
      <c r="CQ436" s="935"/>
      <c r="CR436" s="935"/>
      <c r="CS436" s="935"/>
      <c r="CT436" s="935"/>
      <c r="CU436" s="935"/>
      <c r="CV436" s="935"/>
    </row>
    <row r="437" spans="1:100" s="441" customFormat="1">
      <c r="A437" s="375">
        <f t="shared" si="126"/>
        <v>9</v>
      </c>
      <c r="B437" s="862">
        <v>44446</v>
      </c>
      <c r="C437" s="493" t="s">
        <v>1980</v>
      </c>
      <c r="D437" s="376" t="str">
        <f>IFERROR(VLOOKUP(E:E,'Item Data Support Sheet'!A:O,7,0),"")</f>
        <v>NIPPLE LASER MARKING</v>
      </c>
      <c r="E437" s="447" t="s">
        <v>1815</v>
      </c>
      <c r="F437" s="500"/>
      <c r="G437" s="497" t="s">
        <v>1812</v>
      </c>
      <c r="H437" s="602" t="str">
        <f>IFERROR(VLOOKUP(E:E,'Item Data Support Sheet'!A:O,2,0),"")</f>
        <v>NIPPLE S TYPE M SIZE PUNCHED LASER MARKED</v>
      </c>
      <c r="I437" s="501" t="s">
        <v>2938</v>
      </c>
      <c r="J437" s="501" t="s">
        <v>2809</v>
      </c>
      <c r="K437" s="438">
        <v>8</v>
      </c>
      <c r="L437" s="499">
        <v>7000</v>
      </c>
      <c r="M437" s="366">
        <f t="shared" si="141"/>
        <v>875</v>
      </c>
      <c r="N437" s="367">
        <f t="shared" si="125"/>
        <v>7000</v>
      </c>
      <c r="O437" s="61">
        <v>7000</v>
      </c>
      <c r="P437" s="368">
        <v>0</v>
      </c>
      <c r="Q437" s="368">
        <v>0</v>
      </c>
      <c r="R437" s="494">
        <v>0</v>
      </c>
      <c r="S437" s="493">
        <v>0</v>
      </c>
      <c r="T437" s="494">
        <v>0</v>
      </c>
      <c r="U437" s="493">
        <v>0</v>
      </c>
      <c r="V437" s="502">
        <v>1</v>
      </c>
      <c r="W437" s="453">
        <f t="shared" si="127"/>
        <v>7000</v>
      </c>
      <c r="X437" s="748">
        <f t="shared" si="128"/>
        <v>1</v>
      </c>
      <c r="Y437" s="451" t="str">
        <f>IFERROR(VLOOKUP(E:E,'Item Data Support Sheet'!A:J,6,0),0)</f>
        <v>FO020</v>
      </c>
      <c r="Z437" s="428">
        <f>IFERROR(VLOOKUP(E:E,'Item Data Support Sheet'!A:O,4,0),0)</f>
        <v>0</v>
      </c>
      <c r="AA437" s="428">
        <f t="shared" si="129"/>
        <v>0</v>
      </c>
      <c r="AB437" s="429" t="str">
        <f t="shared" si="130"/>
        <v xml:space="preserve"> </v>
      </c>
      <c r="AC437" s="424">
        <f t="shared" si="131"/>
        <v>0</v>
      </c>
      <c r="AD437" s="371">
        <f t="shared" si="132"/>
        <v>0</v>
      </c>
      <c r="AE437" s="748">
        <f t="shared" si="133"/>
        <v>1</v>
      </c>
      <c r="AF437" s="417">
        <f t="shared" si="134"/>
        <v>1</v>
      </c>
      <c r="AG437" s="416">
        <f t="shared" si="135"/>
        <v>7</v>
      </c>
      <c r="AH437" s="372">
        <f t="shared" si="136"/>
        <v>0.875</v>
      </c>
      <c r="AI437" s="373">
        <f t="shared" si="137"/>
        <v>875</v>
      </c>
      <c r="AJ437" s="418">
        <f>VLOOKUP(D437,'Standard Cycle time'!C:D,2,0)</f>
        <v>3.5</v>
      </c>
      <c r="AK437" s="418">
        <f t="shared" si="138"/>
        <v>3.6</v>
      </c>
      <c r="AL437" s="374">
        <f t="shared" si="139"/>
        <v>0.97222222222222221</v>
      </c>
      <c r="AM437" s="372">
        <f t="shared" si="140"/>
        <v>0.85069444444444442</v>
      </c>
      <c r="AN437" s="799" t="s">
        <v>2963</v>
      </c>
      <c r="AO437" s="448"/>
      <c r="AP437" s="440">
        <v>0</v>
      </c>
      <c r="AQ437" s="440">
        <v>0</v>
      </c>
      <c r="AR437" s="440">
        <v>0</v>
      </c>
      <c r="AS437" s="440">
        <v>0</v>
      </c>
      <c r="AT437" s="440">
        <v>0</v>
      </c>
      <c r="AU437" s="440">
        <v>0</v>
      </c>
      <c r="AV437" s="440">
        <v>60</v>
      </c>
      <c r="AW437" s="440">
        <v>0</v>
      </c>
      <c r="AX437" s="440">
        <v>0</v>
      </c>
      <c r="AY437" s="440">
        <v>0</v>
      </c>
      <c r="AZ437" s="440">
        <v>0</v>
      </c>
      <c r="BA437" s="440">
        <v>0</v>
      </c>
      <c r="BB437" s="440">
        <v>0</v>
      </c>
      <c r="BC437" s="440">
        <v>0</v>
      </c>
      <c r="BD437" s="440">
        <v>0</v>
      </c>
      <c r="BE437" s="440">
        <v>0</v>
      </c>
      <c r="BF437" s="440">
        <v>0</v>
      </c>
      <c r="BG437" s="440">
        <v>0</v>
      </c>
      <c r="BH437" s="440">
        <v>0</v>
      </c>
      <c r="BI437" s="440">
        <v>0</v>
      </c>
      <c r="BJ437" s="440">
        <v>0</v>
      </c>
      <c r="BK437" s="440">
        <v>0</v>
      </c>
      <c r="BL437" s="440">
        <v>0</v>
      </c>
      <c r="BM437" s="440">
        <v>0</v>
      </c>
      <c r="BN437" s="440">
        <v>0</v>
      </c>
      <c r="BO437" s="440">
        <v>0</v>
      </c>
      <c r="BP437" s="440">
        <v>0</v>
      </c>
      <c r="BQ437" s="440">
        <v>0</v>
      </c>
      <c r="BR437" s="415">
        <v>1</v>
      </c>
      <c r="BS437" s="415">
        <v>1.0166666666666666</v>
      </c>
      <c r="BT437" s="935"/>
      <c r="BU437" s="935"/>
      <c r="BV437" s="935"/>
      <c r="BW437" s="935"/>
      <c r="BX437" s="935"/>
      <c r="BY437" s="935"/>
      <c r="BZ437" s="935"/>
      <c r="CA437" s="935"/>
      <c r="CB437" s="935"/>
      <c r="CC437" s="935"/>
      <c r="CD437" s="935"/>
      <c r="CE437" s="935"/>
      <c r="CF437" s="935"/>
      <c r="CG437" s="935"/>
      <c r="CH437" s="935"/>
      <c r="CI437" s="935"/>
      <c r="CJ437" s="935"/>
      <c r="CK437" s="935"/>
      <c r="CL437" s="935"/>
      <c r="CM437" s="935"/>
      <c r="CN437" s="935"/>
      <c r="CO437" s="935"/>
      <c r="CP437" s="935"/>
      <c r="CQ437" s="935"/>
      <c r="CR437" s="935"/>
      <c r="CS437" s="935"/>
      <c r="CT437" s="935"/>
      <c r="CU437" s="935"/>
      <c r="CV437" s="935"/>
    </row>
    <row r="438" spans="1:100" s="441" customFormat="1">
      <c r="A438" s="375">
        <f t="shared" si="126"/>
        <v>9</v>
      </c>
      <c r="B438" s="862">
        <v>44446</v>
      </c>
      <c r="C438" s="493" t="s">
        <v>1980</v>
      </c>
      <c r="D438" s="376" t="str">
        <f>IFERROR(VLOOKUP(E:E,'Item Data Support Sheet'!A:O,7,0),"")</f>
        <v>NIPPLE PUNCH</v>
      </c>
      <c r="E438" s="447" t="s">
        <v>81</v>
      </c>
      <c r="F438" s="500"/>
      <c r="G438" s="497" t="s">
        <v>1692</v>
      </c>
      <c r="H438" s="602" t="str">
        <f>IFERROR(VLOOKUP(E:E,'Item Data Support Sheet'!A:O,2,0),"")</f>
        <v>NIPPLE S TYPE M SIZE PUNCHED</v>
      </c>
      <c r="I438" s="501" t="s">
        <v>2964</v>
      </c>
      <c r="J438" s="501" t="s">
        <v>2809</v>
      </c>
      <c r="K438" s="438">
        <v>8</v>
      </c>
      <c r="L438" s="499">
        <v>7000</v>
      </c>
      <c r="M438" s="366">
        <f t="shared" si="141"/>
        <v>875</v>
      </c>
      <c r="N438" s="367">
        <f t="shared" si="125"/>
        <v>7000</v>
      </c>
      <c r="O438" s="61">
        <v>7000</v>
      </c>
      <c r="P438" s="368">
        <v>0</v>
      </c>
      <c r="Q438" s="368">
        <v>0</v>
      </c>
      <c r="R438" s="494">
        <v>0</v>
      </c>
      <c r="S438" s="493">
        <v>0</v>
      </c>
      <c r="T438" s="494">
        <v>0</v>
      </c>
      <c r="U438" s="493">
        <v>0</v>
      </c>
      <c r="V438" s="502">
        <v>1</v>
      </c>
      <c r="W438" s="453">
        <f t="shared" si="127"/>
        <v>7000</v>
      </c>
      <c r="X438" s="748">
        <f t="shared" si="128"/>
        <v>1</v>
      </c>
      <c r="Y438" s="451" t="str">
        <f>IFERROR(VLOOKUP(E:E,'Item Data Support Sheet'!A:J,6,0),0)</f>
        <v>FO016</v>
      </c>
      <c r="Z438" s="428">
        <f>IFERROR(VLOOKUP(E:E,'Item Data Support Sheet'!A:O,4,0),0)</f>
        <v>0</v>
      </c>
      <c r="AA438" s="428">
        <f t="shared" si="129"/>
        <v>0</v>
      </c>
      <c r="AB438" s="429" t="str">
        <f t="shared" si="130"/>
        <v xml:space="preserve"> </v>
      </c>
      <c r="AC438" s="424">
        <f t="shared" si="131"/>
        <v>0</v>
      </c>
      <c r="AD438" s="371">
        <f t="shared" si="132"/>
        <v>0</v>
      </c>
      <c r="AE438" s="748">
        <f t="shared" si="133"/>
        <v>1</v>
      </c>
      <c r="AF438" s="417">
        <f t="shared" si="134"/>
        <v>0</v>
      </c>
      <c r="AG438" s="416">
        <f t="shared" si="135"/>
        <v>8</v>
      </c>
      <c r="AH438" s="372">
        <f t="shared" si="136"/>
        <v>1</v>
      </c>
      <c r="AI438" s="373">
        <f t="shared" si="137"/>
        <v>875</v>
      </c>
      <c r="AJ438" s="418">
        <f>VLOOKUP(D438,'Standard Cycle time'!C:D,2,0)</f>
        <v>3.5</v>
      </c>
      <c r="AK438" s="418">
        <f t="shared" si="138"/>
        <v>4.1142857142857139</v>
      </c>
      <c r="AL438" s="374">
        <f t="shared" si="139"/>
        <v>0.85069444444444453</v>
      </c>
      <c r="AM438" s="372">
        <f t="shared" si="140"/>
        <v>0.85069444444444453</v>
      </c>
      <c r="AN438" s="799" t="s">
        <v>2965</v>
      </c>
      <c r="AO438" s="448"/>
      <c r="AP438" s="440">
        <v>0</v>
      </c>
      <c r="AQ438" s="440">
        <v>0</v>
      </c>
      <c r="AR438" s="440">
        <v>0</v>
      </c>
      <c r="AS438" s="440">
        <v>0</v>
      </c>
      <c r="AT438" s="440">
        <v>0</v>
      </c>
      <c r="AU438" s="440">
        <v>0</v>
      </c>
      <c r="AV438" s="440">
        <v>0</v>
      </c>
      <c r="AW438" s="440">
        <v>0</v>
      </c>
      <c r="AX438" s="440">
        <v>0</v>
      </c>
      <c r="AY438" s="440">
        <v>0</v>
      </c>
      <c r="AZ438" s="440">
        <v>0</v>
      </c>
      <c r="BA438" s="440">
        <v>0</v>
      </c>
      <c r="BB438" s="440">
        <v>0</v>
      </c>
      <c r="BC438" s="440">
        <v>0</v>
      </c>
      <c r="BD438" s="440">
        <v>0</v>
      </c>
      <c r="BE438" s="440">
        <v>0</v>
      </c>
      <c r="BF438" s="440">
        <v>0</v>
      </c>
      <c r="BG438" s="440">
        <v>0</v>
      </c>
      <c r="BH438" s="440">
        <v>0</v>
      </c>
      <c r="BI438" s="440">
        <v>0</v>
      </c>
      <c r="BJ438" s="440">
        <v>0</v>
      </c>
      <c r="BK438" s="440">
        <v>0</v>
      </c>
      <c r="BL438" s="440">
        <v>0</v>
      </c>
      <c r="BM438" s="440">
        <v>0</v>
      </c>
      <c r="BN438" s="440">
        <v>0</v>
      </c>
      <c r="BO438" s="440">
        <v>0</v>
      </c>
      <c r="BP438" s="440">
        <v>0</v>
      </c>
      <c r="BQ438" s="440">
        <v>0</v>
      </c>
      <c r="BR438" s="415">
        <v>0</v>
      </c>
      <c r="BS438" s="415">
        <v>0</v>
      </c>
      <c r="BT438" s="935"/>
      <c r="BU438" s="935"/>
      <c r="BV438" s="935"/>
      <c r="BW438" s="935"/>
      <c r="BX438" s="935"/>
      <c r="BY438" s="935"/>
      <c r="BZ438" s="935"/>
      <c r="CA438" s="935"/>
      <c r="CB438" s="935"/>
      <c r="CC438" s="935"/>
      <c r="CD438" s="935"/>
      <c r="CE438" s="935"/>
      <c r="CF438" s="935"/>
      <c r="CG438" s="935"/>
      <c r="CH438" s="935"/>
      <c r="CI438" s="935"/>
      <c r="CJ438" s="935"/>
      <c r="CK438" s="935"/>
      <c r="CL438" s="935"/>
      <c r="CM438" s="935"/>
      <c r="CN438" s="935"/>
      <c r="CO438" s="935"/>
      <c r="CP438" s="935"/>
      <c r="CQ438" s="935"/>
      <c r="CR438" s="935"/>
      <c r="CS438" s="935"/>
      <c r="CT438" s="935"/>
      <c r="CU438" s="935"/>
      <c r="CV438" s="935"/>
    </row>
    <row r="439" spans="1:100" s="441" customFormat="1">
      <c r="A439" s="375">
        <f t="shared" si="126"/>
        <v>9</v>
      </c>
      <c r="B439" s="862">
        <v>44446</v>
      </c>
      <c r="C439" s="493" t="s">
        <v>1980</v>
      </c>
      <c r="D439" s="376" t="str">
        <f>IFERROR(VLOOKUP(E:E,'Item Data Support Sheet'!A:O,7,0),"")</f>
        <v>HOOD MOLDED</v>
      </c>
      <c r="E439" s="447" t="s">
        <v>1987</v>
      </c>
      <c r="F439" s="500"/>
      <c r="G439" s="497" t="s">
        <v>2729</v>
      </c>
      <c r="H439" s="602" t="str">
        <f>IFERROR(VLOOKUP(E:E,'Item Data Support Sheet'!A:O,2,0),"")</f>
        <v>HOOD S TYPE MOLDED</v>
      </c>
      <c r="I439" s="501" t="s">
        <v>2966</v>
      </c>
      <c r="J439" s="501" t="s">
        <v>2809</v>
      </c>
      <c r="K439" s="438">
        <v>8</v>
      </c>
      <c r="L439" s="499">
        <v>4137</v>
      </c>
      <c r="M439" s="366">
        <f t="shared" si="141"/>
        <v>517.125</v>
      </c>
      <c r="N439" s="367">
        <f t="shared" si="125"/>
        <v>5512</v>
      </c>
      <c r="O439" s="61">
        <v>5500</v>
      </c>
      <c r="P439" s="368">
        <v>0</v>
      </c>
      <c r="Q439" s="368">
        <v>0</v>
      </c>
      <c r="R439" s="494">
        <v>0</v>
      </c>
      <c r="S439" s="493">
        <v>0</v>
      </c>
      <c r="T439" s="494">
        <v>4</v>
      </c>
      <c r="U439" s="493">
        <v>8</v>
      </c>
      <c r="V439" s="502">
        <v>1</v>
      </c>
      <c r="W439" s="453">
        <f t="shared" si="127"/>
        <v>5500</v>
      </c>
      <c r="X439" s="748">
        <f t="shared" si="128"/>
        <v>1.3294657964708727</v>
      </c>
      <c r="Y439" s="451" t="str">
        <f>IFERROR(VLOOKUP(E:E,'Item Data Support Sheet'!A:J,6,0),0)</f>
        <v>HMC</v>
      </c>
      <c r="Z439" s="428">
        <f>IFERROR(VLOOKUP(E:E,'Item Data Support Sheet'!A:O,4,0),0)</f>
        <v>8.6</v>
      </c>
      <c r="AA439" s="428">
        <f t="shared" si="129"/>
        <v>47.403199999999998</v>
      </c>
      <c r="AB439" s="429">
        <f t="shared" si="130"/>
        <v>0.99782293178519588</v>
      </c>
      <c r="AC439" s="424">
        <f t="shared" si="131"/>
        <v>7.2674418604651162E-4</v>
      </c>
      <c r="AD439" s="371">
        <f t="shared" si="132"/>
        <v>0</v>
      </c>
      <c r="AE439" s="748">
        <f t="shared" si="133"/>
        <v>0.99927431059506533</v>
      </c>
      <c r="AF439" s="417">
        <f t="shared" si="134"/>
        <v>0</v>
      </c>
      <c r="AG439" s="416">
        <f t="shared" si="135"/>
        <v>8</v>
      </c>
      <c r="AH439" s="372">
        <f t="shared" si="136"/>
        <v>1</v>
      </c>
      <c r="AI439" s="373">
        <f t="shared" si="137"/>
        <v>687.5</v>
      </c>
      <c r="AJ439" s="418">
        <f>VLOOKUP(D439,'Standard Cycle time'!C:D,2,0)</f>
        <v>6</v>
      </c>
      <c r="AK439" s="418">
        <f t="shared" si="138"/>
        <v>5.2363636363636363</v>
      </c>
      <c r="AL439" s="374">
        <f t="shared" si="139"/>
        <v>1.1458333333333333</v>
      </c>
      <c r="AM439" s="372">
        <f t="shared" si="140"/>
        <v>1.1450018142235123</v>
      </c>
      <c r="AN439" s="799">
        <v>3036</v>
      </c>
      <c r="AO439" s="448"/>
      <c r="AP439" s="440">
        <v>0</v>
      </c>
      <c r="AQ439" s="440">
        <v>0</v>
      </c>
      <c r="AR439" s="440">
        <v>0</v>
      </c>
      <c r="AS439" s="440">
        <v>0</v>
      </c>
      <c r="AT439" s="440">
        <v>0</v>
      </c>
      <c r="AU439" s="440">
        <v>0</v>
      </c>
      <c r="AV439" s="440">
        <v>0</v>
      </c>
      <c r="AW439" s="440">
        <v>0</v>
      </c>
      <c r="AX439" s="440">
        <v>0</v>
      </c>
      <c r="AY439" s="440">
        <v>0</v>
      </c>
      <c r="AZ439" s="440">
        <v>0</v>
      </c>
      <c r="BA439" s="440">
        <v>0</v>
      </c>
      <c r="BB439" s="440">
        <v>0</v>
      </c>
      <c r="BC439" s="440">
        <v>0</v>
      </c>
      <c r="BD439" s="440">
        <v>0</v>
      </c>
      <c r="BE439" s="440">
        <v>0</v>
      </c>
      <c r="BF439" s="440">
        <v>0</v>
      </c>
      <c r="BG439" s="440">
        <v>0</v>
      </c>
      <c r="BH439" s="440">
        <v>0</v>
      </c>
      <c r="BI439" s="440">
        <v>0</v>
      </c>
      <c r="BJ439" s="440">
        <v>0</v>
      </c>
      <c r="BK439" s="440">
        <v>0</v>
      </c>
      <c r="BL439" s="440">
        <v>0</v>
      </c>
      <c r="BM439" s="440">
        <v>0</v>
      </c>
      <c r="BN439" s="440">
        <v>0</v>
      </c>
      <c r="BO439" s="440">
        <v>0</v>
      </c>
      <c r="BP439" s="440">
        <v>0</v>
      </c>
      <c r="BQ439" s="440">
        <v>0</v>
      </c>
      <c r="BR439" s="415">
        <v>0</v>
      </c>
      <c r="BS439" s="415">
        <v>0</v>
      </c>
      <c r="BT439" s="935"/>
      <c r="BU439" s="935"/>
      <c r="BV439" s="935"/>
      <c r="BW439" s="935"/>
      <c r="BX439" s="935"/>
      <c r="BY439" s="935"/>
      <c r="BZ439" s="935"/>
      <c r="CA439" s="935"/>
      <c r="CB439" s="935"/>
      <c r="CC439" s="935"/>
      <c r="CD439" s="935"/>
      <c r="CE439" s="935"/>
      <c r="CF439" s="935"/>
      <c r="CG439" s="935"/>
      <c r="CH439" s="935"/>
      <c r="CI439" s="935"/>
      <c r="CJ439" s="935"/>
      <c r="CK439" s="935"/>
      <c r="CL439" s="935"/>
      <c r="CM439" s="935"/>
      <c r="CN439" s="935"/>
      <c r="CO439" s="935"/>
      <c r="CP439" s="935"/>
      <c r="CQ439" s="935"/>
      <c r="CR439" s="935"/>
      <c r="CS439" s="935"/>
      <c r="CT439" s="935"/>
      <c r="CU439" s="935"/>
      <c r="CV439" s="935"/>
    </row>
    <row r="440" spans="1:100" s="441" customFormat="1">
      <c r="A440" s="375">
        <f t="shared" si="126"/>
        <v>9</v>
      </c>
      <c r="B440" s="862">
        <v>44446</v>
      </c>
      <c r="C440" s="493" t="s">
        <v>1980</v>
      </c>
      <c r="D440" s="376" t="str">
        <f>IFERROR(VLOOKUP(E:E,'Item Data Support Sheet'!A:O,7,0),"")</f>
        <v>BOTTLE PRINTED</v>
      </c>
      <c r="E440" s="447" t="s">
        <v>114</v>
      </c>
      <c r="F440" s="500"/>
      <c r="G440" s="497" t="s">
        <v>1698</v>
      </c>
      <c r="H440" s="602" t="str">
        <f>IFERROR(VLOOKUP(E:E,'Item Data Support Sheet'!A:O,2,0),"")</f>
        <v>KPP BOTTLE 200 ML PRINTED-WMG3B</v>
      </c>
      <c r="I440" s="501" t="s">
        <v>2967</v>
      </c>
      <c r="J440" s="501" t="s">
        <v>2808</v>
      </c>
      <c r="K440" s="438">
        <v>8</v>
      </c>
      <c r="L440" s="499">
        <v>5100</v>
      </c>
      <c r="M440" s="366">
        <f t="shared" si="141"/>
        <v>637.5</v>
      </c>
      <c r="N440" s="367">
        <f t="shared" si="125"/>
        <v>1556</v>
      </c>
      <c r="O440" s="61">
        <v>1545</v>
      </c>
      <c r="P440" s="368">
        <v>0</v>
      </c>
      <c r="Q440" s="368">
        <v>0</v>
      </c>
      <c r="R440" s="494">
        <v>20</v>
      </c>
      <c r="S440" s="493">
        <v>0</v>
      </c>
      <c r="T440" s="494">
        <v>11</v>
      </c>
      <c r="U440" s="493">
        <v>0</v>
      </c>
      <c r="V440" s="502">
        <v>6</v>
      </c>
      <c r="W440" s="453">
        <f t="shared" si="127"/>
        <v>257.5</v>
      </c>
      <c r="X440" s="748">
        <f t="shared" si="128"/>
        <v>0.30294117647058821</v>
      </c>
      <c r="Y440" s="451" t="str">
        <f>IFERROR(VLOOKUP(E:E,'Item Data Support Sheet'!A:J,6,0),0)</f>
        <v>FO043</v>
      </c>
      <c r="Z440" s="428">
        <f>IFERROR(VLOOKUP(E:E,'Item Data Support Sheet'!A:O,4,0),0)</f>
        <v>0</v>
      </c>
      <c r="AA440" s="428">
        <f t="shared" si="129"/>
        <v>0</v>
      </c>
      <c r="AB440" s="429" t="str">
        <f t="shared" si="130"/>
        <v xml:space="preserve"> </v>
      </c>
      <c r="AC440" s="424">
        <f t="shared" si="131"/>
        <v>7.0694087403598968E-3</v>
      </c>
      <c r="AD440" s="371">
        <f t="shared" si="132"/>
        <v>0</v>
      </c>
      <c r="AE440" s="748">
        <f t="shared" si="133"/>
        <v>0.99293059125964012</v>
      </c>
      <c r="AF440" s="417">
        <f t="shared" si="134"/>
        <v>5.666666666666667</v>
      </c>
      <c r="AG440" s="416">
        <f t="shared" si="135"/>
        <v>2.333333333333333</v>
      </c>
      <c r="AH440" s="372">
        <f t="shared" si="136"/>
        <v>0.29166666666666663</v>
      </c>
      <c r="AI440" s="373">
        <f t="shared" si="137"/>
        <v>193.125</v>
      </c>
      <c r="AJ440" s="418">
        <f>VLOOKUP(D440,'Standard Cycle time'!C:D,2,0)</f>
        <v>32.4</v>
      </c>
      <c r="AK440" s="418">
        <f t="shared" si="138"/>
        <v>32.621359223300963</v>
      </c>
      <c r="AL440" s="374">
        <f t="shared" si="139"/>
        <v>0.99321428571428594</v>
      </c>
      <c r="AM440" s="372">
        <f t="shared" si="140"/>
        <v>0.28763958065552703</v>
      </c>
      <c r="AN440" s="799">
        <v>3037</v>
      </c>
      <c r="AO440" s="448"/>
      <c r="AP440" s="440">
        <v>40</v>
      </c>
      <c r="AQ440" s="440">
        <v>90</v>
      </c>
      <c r="AR440" s="440">
        <v>0</v>
      </c>
      <c r="AS440" s="440">
        <v>0</v>
      </c>
      <c r="AT440" s="440">
        <v>0</v>
      </c>
      <c r="AU440" s="440">
        <v>0</v>
      </c>
      <c r="AV440" s="440">
        <v>0</v>
      </c>
      <c r="AW440" s="440">
        <v>180</v>
      </c>
      <c r="AX440" s="440">
        <v>0</v>
      </c>
      <c r="AY440" s="440">
        <v>0</v>
      </c>
      <c r="AZ440" s="440">
        <v>0</v>
      </c>
      <c r="BA440" s="440">
        <v>0</v>
      </c>
      <c r="BB440" s="440">
        <v>0</v>
      </c>
      <c r="BC440" s="440">
        <v>0</v>
      </c>
      <c r="BD440" s="440">
        <v>0</v>
      </c>
      <c r="BE440" s="440">
        <v>0</v>
      </c>
      <c r="BF440" s="440">
        <v>0</v>
      </c>
      <c r="BG440" s="440">
        <v>0</v>
      </c>
      <c r="BH440" s="440">
        <v>0</v>
      </c>
      <c r="BI440" s="440">
        <v>0</v>
      </c>
      <c r="BJ440" s="440">
        <v>0</v>
      </c>
      <c r="BK440" s="440">
        <v>30</v>
      </c>
      <c r="BL440" s="440">
        <v>0</v>
      </c>
      <c r="BM440" s="440">
        <v>0</v>
      </c>
      <c r="BN440" s="440">
        <v>0</v>
      </c>
      <c r="BO440" s="440">
        <v>0</v>
      </c>
      <c r="BP440" s="440">
        <v>0</v>
      </c>
      <c r="BQ440" s="440">
        <v>0</v>
      </c>
      <c r="BR440" s="415">
        <v>5.666666666666667</v>
      </c>
      <c r="BS440" s="415">
        <v>5.7611111111111111</v>
      </c>
      <c r="BT440" s="935"/>
      <c r="BU440" s="935"/>
      <c r="BV440" s="935"/>
      <c r="BW440" s="935"/>
      <c r="BX440" s="935"/>
      <c r="BY440" s="935"/>
      <c r="BZ440" s="935"/>
      <c r="CA440" s="935"/>
      <c r="CB440" s="935"/>
      <c r="CC440" s="935"/>
      <c r="CD440" s="935"/>
      <c r="CE440" s="935"/>
      <c r="CF440" s="935"/>
      <c r="CG440" s="935"/>
      <c r="CH440" s="935"/>
      <c r="CI440" s="935"/>
      <c r="CJ440" s="935"/>
      <c r="CK440" s="935"/>
      <c r="CL440" s="935"/>
      <c r="CM440" s="935"/>
      <c r="CN440" s="935"/>
      <c r="CO440" s="935"/>
      <c r="CP440" s="935"/>
      <c r="CQ440" s="935"/>
      <c r="CR440" s="935"/>
      <c r="CS440" s="935"/>
      <c r="CT440" s="935"/>
      <c r="CU440" s="935"/>
      <c r="CV440" s="935"/>
    </row>
    <row r="441" spans="1:100" s="441" customFormat="1">
      <c r="A441" s="375">
        <f t="shared" si="126"/>
        <v>9</v>
      </c>
      <c r="B441" s="862">
        <v>44446</v>
      </c>
      <c r="C441" s="493" t="s">
        <v>2000</v>
      </c>
      <c r="D441" s="376" t="str">
        <f>IFERROR(VLOOKUP(E:E,'Item Data Support Sheet'!A:O,7,0),"")</f>
        <v>NIPPLE PUNCH INSPECTED</v>
      </c>
      <c r="E441" s="447" t="s">
        <v>1819</v>
      </c>
      <c r="F441" s="500"/>
      <c r="G441" s="497"/>
      <c r="H441" s="602" t="str">
        <f>IFERROR(VLOOKUP(E:E,'Item Data Support Sheet'!A:O,2,0),"")</f>
        <v>NIPPLE S TYPE M SIZE PUNCHED INSPECTED</v>
      </c>
      <c r="I441" s="501" t="s">
        <v>2968</v>
      </c>
      <c r="J441" s="501" t="s">
        <v>2808</v>
      </c>
      <c r="K441" s="438">
        <v>8.5</v>
      </c>
      <c r="L441" s="499">
        <v>14000</v>
      </c>
      <c r="M441" s="366">
        <f t="shared" si="141"/>
        <v>1647.0588235294117</v>
      </c>
      <c r="N441" s="367">
        <f t="shared" si="125"/>
        <v>13390</v>
      </c>
      <c r="O441" s="61">
        <v>13390</v>
      </c>
      <c r="P441" s="368">
        <v>0</v>
      </c>
      <c r="Q441" s="368">
        <v>0</v>
      </c>
      <c r="R441" s="494">
        <v>0</v>
      </c>
      <c r="S441" s="493">
        <v>0</v>
      </c>
      <c r="T441" s="494">
        <v>0</v>
      </c>
      <c r="U441" s="493">
        <v>0</v>
      </c>
      <c r="V441" s="502">
        <v>2</v>
      </c>
      <c r="W441" s="453">
        <f t="shared" si="127"/>
        <v>6695</v>
      </c>
      <c r="X441" s="748">
        <f t="shared" si="128"/>
        <v>0.95642857142857141</v>
      </c>
      <c r="Y441" s="451" t="str">
        <f>IFERROR(VLOOKUP(E:E,'Item Data Support Sheet'!A:J,6,0),0)</f>
        <v>FO105</v>
      </c>
      <c r="Z441" s="428">
        <f>IFERROR(VLOOKUP(E:E,'Item Data Support Sheet'!A:O,4,0),0)</f>
        <v>0</v>
      </c>
      <c r="AA441" s="428">
        <f t="shared" si="129"/>
        <v>0</v>
      </c>
      <c r="AB441" s="429" t="str">
        <f t="shared" si="130"/>
        <v xml:space="preserve"> </v>
      </c>
      <c r="AC441" s="424">
        <f t="shared" si="131"/>
        <v>0</v>
      </c>
      <c r="AD441" s="371">
        <f t="shared" si="132"/>
        <v>0</v>
      </c>
      <c r="AE441" s="748">
        <f t="shared" si="133"/>
        <v>1</v>
      </c>
      <c r="AF441" s="417">
        <f t="shared" si="134"/>
        <v>0.83333333333333337</v>
      </c>
      <c r="AG441" s="416">
        <f t="shared" si="135"/>
        <v>7.666666666666667</v>
      </c>
      <c r="AH441" s="372">
        <f t="shared" si="136"/>
        <v>0.90196078431372551</v>
      </c>
      <c r="AI441" s="373">
        <f t="shared" si="137"/>
        <v>1575.2941176470588</v>
      </c>
      <c r="AJ441" s="418">
        <f>VLOOKUP(D441,'Standard Cycle time'!C:D,2,0)</f>
        <v>4</v>
      </c>
      <c r="AK441" s="418">
        <f t="shared" si="138"/>
        <v>4.1224794622852876</v>
      </c>
      <c r="AL441" s="374">
        <f t="shared" si="139"/>
        <v>0.97028985507246379</v>
      </c>
      <c r="AM441" s="372">
        <f t="shared" si="140"/>
        <v>0.87516339869281046</v>
      </c>
      <c r="AN441" s="799" t="s">
        <v>2969</v>
      </c>
      <c r="AO441" s="448"/>
      <c r="AP441" s="440">
        <v>50</v>
      </c>
      <c r="AQ441" s="440">
        <v>0</v>
      </c>
      <c r="AR441" s="440">
        <v>0</v>
      </c>
      <c r="AS441" s="440">
        <v>0</v>
      </c>
      <c r="AT441" s="440">
        <v>0</v>
      </c>
      <c r="AU441" s="440">
        <v>0</v>
      </c>
      <c r="AV441" s="440">
        <v>0</v>
      </c>
      <c r="AW441" s="440">
        <v>0</v>
      </c>
      <c r="AX441" s="440">
        <v>0</v>
      </c>
      <c r="AY441" s="440">
        <v>0</v>
      </c>
      <c r="AZ441" s="440">
        <v>0</v>
      </c>
      <c r="BA441" s="440">
        <v>0</v>
      </c>
      <c r="BB441" s="440">
        <v>0</v>
      </c>
      <c r="BC441" s="440">
        <v>0</v>
      </c>
      <c r="BD441" s="440">
        <v>0</v>
      </c>
      <c r="BE441" s="440">
        <v>0</v>
      </c>
      <c r="BF441" s="440">
        <v>0</v>
      </c>
      <c r="BG441" s="440">
        <v>0</v>
      </c>
      <c r="BH441" s="440">
        <v>0</v>
      </c>
      <c r="BI441" s="440">
        <v>0</v>
      </c>
      <c r="BJ441" s="440">
        <v>0</v>
      </c>
      <c r="BK441" s="440">
        <v>0</v>
      </c>
      <c r="BL441" s="440">
        <v>0</v>
      </c>
      <c r="BM441" s="440">
        <v>0</v>
      </c>
      <c r="BN441" s="440">
        <v>0</v>
      </c>
      <c r="BO441" s="440">
        <v>0</v>
      </c>
      <c r="BP441" s="440">
        <v>0</v>
      </c>
      <c r="BQ441" s="440">
        <v>0</v>
      </c>
      <c r="BR441" s="415">
        <v>0.83333333333333337</v>
      </c>
      <c r="BS441" s="415">
        <v>0.84722222222222221</v>
      </c>
      <c r="BT441" s="935"/>
      <c r="BU441" s="935"/>
      <c r="BV441" s="935"/>
      <c r="BW441" s="935"/>
      <c r="BX441" s="935"/>
      <c r="BY441" s="935"/>
      <c r="BZ441" s="935"/>
      <c r="CA441" s="935"/>
      <c r="CB441" s="935"/>
      <c r="CC441" s="935"/>
      <c r="CD441" s="935"/>
      <c r="CE441" s="935"/>
      <c r="CF441" s="935"/>
      <c r="CG441" s="935"/>
      <c r="CH441" s="935"/>
      <c r="CI441" s="935"/>
      <c r="CJ441" s="935"/>
      <c r="CK441" s="935"/>
      <c r="CL441" s="935"/>
      <c r="CM441" s="935"/>
      <c r="CN441" s="935"/>
      <c r="CO441" s="935"/>
      <c r="CP441" s="935"/>
      <c r="CQ441" s="935"/>
      <c r="CR441" s="935"/>
      <c r="CS441" s="935"/>
      <c r="CT441" s="935"/>
      <c r="CU441" s="935"/>
      <c r="CV441" s="935"/>
    </row>
    <row r="442" spans="1:100" s="441" customFormat="1">
      <c r="A442" s="375">
        <f t="shared" si="126"/>
        <v>9</v>
      </c>
      <c r="B442" s="862">
        <v>44446</v>
      </c>
      <c r="C442" s="493" t="s">
        <v>2001</v>
      </c>
      <c r="D442" s="376" t="str">
        <f>IFERROR(VLOOKUP(E:E,'Item Data Support Sheet'!A:O,7,0),"")</f>
        <v>BOTTLE MOLDED</v>
      </c>
      <c r="E442" s="447" t="s">
        <v>14</v>
      </c>
      <c r="F442" s="500" t="s">
        <v>1681</v>
      </c>
      <c r="G442" s="497" t="s">
        <v>1888</v>
      </c>
      <c r="H442" s="602" t="str">
        <f>IFERROR(VLOOKUP(E:E,'Item Data Support Sheet'!A:O,2,0),"")</f>
        <v>KPP 240 ML BOTTLE MOLDED</v>
      </c>
      <c r="I442" s="501" t="s">
        <v>2970</v>
      </c>
      <c r="J442" s="501" t="s">
        <v>2808</v>
      </c>
      <c r="K442" s="438">
        <v>8</v>
      </c>
      <c r="L442" s="499">
        <v>2574</v>
      </c>
      <c r="M442" s="366">
        <f t="shared" si="141"/>
        <v>321.75</v>
      </c>
      <c r="N442" s="367">
        <f t="shared" si="125"/>
        <v>2808</v>
      </c>
      <c r="O442" s="61">
        <v>2808</v>
      </c>
      <c r="P442" s="368">
        <v>0</v>
      </c>
      <c r="Q442" s="368">
        <v>0</v>
      </c>
      <c r="R442" s="494">
        <v>0</v>
      </c>
      <c r="S442" s="493">
        <v>0</v>
      </c>
      <c r="T442" s="494">
        <v>0</v>
      </c>
      <c r="U442" s="493">
        <v>0</v>
      </c>
      <c r="V442" s="502">
        <v>1</v>
      </c>
      <c r="W442" s="453">
        <f t="shared" si="127"/>
        <v>2808</v>
      </c>
      <c r="X442" s="748">
        <f t="shared" si="128"/>
        <v>1.0909090909090908</v>
      </c>
      <c r="Y442" s="451" t="str">
        <f>IFERROR(VLOOKUP(E:E,'Item Data Support Sheet'!A:J,6,0),0)</f>
        <v>HMC</v>
      </c>
      <c r="Z442" s="428">
        <f>IFERROR(VLOOKUP(E:E,'Item Data Support Sheet'!A:O,4,0),0)</f>
        <v>32.1</v>
      </c>
      <c r="AA442" s="428">
        <f t="shared" si="129"/>
        <v>90.136800000000008</v>
      </c>
      <c r="AB442" s="429">
        <f t="shared" si="130"/>
        <v>1</v>
      </c>
      <c r="AC442" s="424">
        <f t="shared" si="131"/>
        <v>0</v>
      </c>
      <c r="AD442" s="371">
        <f t="shared" si="132"/>
        <v>0</v>
      </c>
      <c r="AE442" s="748">
        <f t="shared" si="133"/>
        <v>1</v>
      </c>
      <c r="AF442" s="417">
        <f t="shared" si="134"/>
        <v>1</v>
      </c>
      <c r="AG442" s="416">
        <f t="shared" si="135"/>
        <v>7</v>
      </c>
      <c r="AH442" s="372">
        <f t="shared" si="136"/>
        <v>0.875</v>
      </c>
      <c r="AI442" s="373">
        <f t="shared" si="137"/>
        <v>351</v>
      </c>
      <c r="AJ442" s="418">
        <f>VLOOKUP(D442,'Standard Cycle time'!C:D,2,0)</f>
        <v>9</v>
      </c>
      <c r="AK442" s="418">
        <f t="shared" si="138"/>
        <v>8.9743589743589745</v>
      </c>
      <c r="AL442" s="374">
        <f t="shared" si="139"/>
        <v>1.0028571428571429</v>
      </c>
      <c r="AM442" s="372">
        <f t="shared" si="140"/>
        <v>0.87750000000000006</v>
      </c>
      <c r="AN442" s="799">
        <v>2572</v>
      </c>
      <c r="AO442" s="448"/>
      <c r="AP442" s="440">
        <v>0</v>
      </c>
      <c r="AQ442" s="440">
        <v>0</v>
      </c>
      <c r="AR442" s="440">
        <v>60</v>
      </c>
      <c r="AS442" s="440">
        <v>0</v>
      </c>
      <c r="AT442" s="440">
        <v>0</v>
      </c>
      <c r="AU442" s="440">
        <v>0</v>
      </c>
      <c r="AV442" s="440">
        <v>0</v>
      </c>
      <c r="AW442" s="440">
        <v>0</v>
      </c>
      <c r="AX442" s="440">
        <v>0</v>
      </c>
      <c r="AY442" s="440">
        <v>0</v>
      </c>
      <c r="AZ442" s="440">
        <v>0</v>
      </c>
      <c r="BA442" s="440">
        <v>0</v>
      </c>
      <c r="BB442" s="440">
        <v>0</v>
      </c>
      <c r="BC442" s="440">
        <v>0</v>
      </c>
      <c r="BD442" s="440">
        <v>0</v>
      </c>
      <c r="BE442" s="440">
        <v>0</v>
      </c>
      <c r="BF442" s="440">
        <v>0</v>
      </c>
      <c r="BG442" s="440">
        <v>0</v>
      </c>
      <c r="BH442" s="440">
        <v>0</v>
      </c>
      <c r="BI442" s="440">
        <v>0</v>
      </c>
      <c r="BJ442" s="440">
        <v>0</v>
      </c>
      <c r="BK442" s="440">
        <v>0</v>
      </c>
      <c r="BL442" s="440">
        <v>0</v>
      </c>
      <c r="BM442" s="440">
        <v>0</v>
      </c>
      <c r="BN442" s="440">
        <v>0</v>
      </c>
      <c r="BO442" s="440">
        <v>0</v>
      </c>
      <c r="BP442" s="440">
        <v>0</v>
      </c>
      <c r="BQ442" s="440">
        <v>0</v>
      </c>
      <c r="BR442" s="415">
        <v>1</v>
      </c>
      <c r="BS442" s="415">
        <v>1.0166666666666666</v>
      </c>
      <c r="BT442" s="935"/>
      <c r="BU442" s="935"/>
      <c r="BV442" s="935"/>
      <c r="BW442" s="935"/>
      <c r="BX442" s="935"/>
      <c r="BY442" s="935"/>
      <c r="BZ442" s="935"/>
      <c r="CA442" s="935"/>
      <c r="CB442" s="935"/>
      <c r="CC442" s="935"/>
      <c r="CD442" s="935"/>
      <c r="CE442" s="935"/>
      <c r="CF442" s="935"/>
      <c r="CG442" s="935"/>
      <c r="CH442" s="935"/>
      <c r="CI442" s="935"/>
      <c r="CJ442" s="935"/>
      <c r="CK442" s="935"/>
      <c r="CL442" s="935"/>
      <c r="CM442" s="935"/>
      <c r="CN442" s="935"/>
      <c r="CO442" s="935"/>
      <c r="CP442" s="935"/>
      <c r="CQ442" s="935"/>
      <c r="CR442" s="935"/>
      <c r="CS442" s="935"/>
      <c r="CT442" s="935"/>
      <c r="CU442" s="935"/>
      <c r="CV442" s="935"/>
    </row>
    <row r="443" spans="1:100" s="441" customFormat="1">
      <c r="A443" s="375">
        <f t="shared" si="126"/>
        <v>9</v>
      </c>
      <c r="B443" s="862">
        <v>44446</v>
      </c>
      <c r="C443" s="493" t="s">
        <v>2001</v>
      </c>
      <c r="D443" s="376" t="str">
        <f>IFERROR(VLOOKUP(E:E,'Item Data Support Sheet'!A:O,7,0),"")</f>
        <v>NIPPLE PUNCH</v>
      </c>
      <c r="E443" s="447" t="s">
        <v>81</v>
      </c>
      <c r="F443" s="500"/>
      <c r="G443" s="497" t="s">
        <v>1692</v>
      </c>
      <c r="H443" s="602" t="str">
        <f>IFERROR(VLOOKUP(E:E,'Item Data Support Sheet'!A:O,2,0),"")</f>
        <v>NIPPLE S TYPE M SIZE PUNCHED</v>
      </c>
      <c r="I443" s="501" t="s">
        <v>2971</v>
      </c>
      <c r="J443" s="501" t="s">
        <v>2808</v>
      </c>
      <c r="K443" s="438">
        <v>8</v>
      </c>
      <c r="L443" s="499">
        <v>7000</v>
      </c>
      <c r="M443" s="366">
        <f t="shared" si="141"/>
        <v>875</v>
      </c>
      <c r="N443" s="367">
        <f t="shared" si="125"/>
        <v>7000</v>
      </c>
      <c r="O443" s="61">
        <v>7000</v>
      </c>
      <c r="P443" s="368">
        <v>0</v>
      </c>
      <c r="Q443" s="368">
        <v>0</v>
      </c>
      <c r="R443" s="494">
        <v>0</v>
      </c>
      <c r="S443" s="493">
        <v>0</v>
      </c>
      <c r="T443" s="494">
        <v>0</v>
      </c>
      <c r="U443" s="493">
        <v>0</v>
      </c>
      <c r="V443" s="502">
        <v>1</v>
      </c>
      <c r="W443" s="453">
        <f t="shared" si="127"/>
        <v>7000</v>
      </c>
      <c r="X443" s="748">
        <f t="shared" si="128"/>
        <v>1</v>
      </c>
      <c r="Y443" s="451" t="str">
        <f>IFERROR(VLOOKUP(E:E,'Item Data Support Sheet'!A:J,6,0),0)</f>
        <v>FO016</v>
      </c>
      <c r="Z443" s="428">
        <f>IFERROR(VLOOKUP(E:E,'Item Data Support Sheet'!A:O,4,0),0)</f>
        <v>0</v>
      </c>
      <c r="AA443" s="428">
        <f t="shared" si="129"/>
        <v>0</v>
      </c>
      <c r="AB443" s="429" t="str">
        <f t="shared" si="130"/>
        <v xml:space="preserve"> </v>
      </c>
      <c r="AC443" s="424">
        <f t="shared" si="131"/>
        <v>0</v>
      </c>
      <c r="AD443" s="371">
        <f t="shared" si="132"/>
        <v>0</v>
      </c>
      <c r="AE443" s="748">
        <f t="shared" si="133"/>
        <v>1</v>
      </c>
      <c r="AF443" s="417">
        <f t="shared" si="134"/>
        <v>0</v>
      </c>
      <c r="AG443" s="416">
        <f t="shared" si="135"/>
        <v>8</v>
      </c>
      <c r="AH443" s="372">
        <f t="shared" si="136"/>
        <v>1</v>
      </c>
      <c r="AI443" s="373">
        <f t="shared" si="137"/>
        <v>875</v>
      </c>
      <c r="AJ443" s="418">
        <f>VLOOKUP(D443,'Standard Cycle time'!C:D,2,0)</f>
        <v>3.5</v>
      </c>
      <c r="AK443" s="418">
        <f t="shared" si="138"/>
        <v>4.1142857142857139</v>
      </c>
      <c r="AL443" s="374">
        <f t="shared" si="139"/>
        <v>0.85069444444444453</v>
      </c>
      <c r="AM443" s="372">
        <f t="shared" si="140"/>
        <v>0.85069444444444453</v>
      </c>
      <c r="AN443" s="799">
        <v>3068</v>
      </c>
      <c r="AO443" s="448" t="s">
        <v>2972</v>
      </c>
      <c r="AP443" s="440">
        <v>0</v>
      </c>
      <c r="AQ443" s="440">
        <v>0</v>
      </c>
      <c r="AR443" s="440">
        <v>0</v>
      </c>
      <c r="AS443" s="440">
        <v>0</v>
      </c>
      <c r="AT443" s="440">
        <v>0</v>
      </c>
      <c r="AU443" s="440">
        <v>0</v>
      </c>
      <c r="AV443" s="440">
        <v>0</v>
      </c>
      <c r="AW443" s="440">
        <v>0</v>
      </c>
      <c r="AX443" s="440">
        <v>0</v>
      </c>
      <c r="AY443" s="440">
        <v>0</v>
      </c>
      <c r="AZ443" s="440">
        <v>0</v>
      </c>
      <c r="BA443" s="440">
        <v>0</v>
      </c>
      <c r="BB443" s="440">
        <v>0</v>
      </c>
      <c r="BC443" s="440">
        <v>0</v>
      </c>
      <c r="BD443" s="440">
        <v>0</v>
      </c>
      <c r="BE443" s="440">
        <v>0</v>
      </c>
      <c r="BF443" s="440">
        <v>0</v>
      </c>
      <c r="BG443" s="440">
        <v>0</v>
      </c>
      <c r="BH443" s="440">
        <v>0</v>
      </c>
      <c r="BI443" s="440">
        <v>0</v>
      </c>
      <c r="BJ443" s="440">
        <v>0</v>
      </c>
      <c r="BK443" s="440">
        <v>0</v>
      </c>
      <c r="BL443" s="440">
        <v>0</v>
      </c>
      <c r="BM443" s="440">
        <v>0</v>
      </c>
      <c r="BN443" s="440">
        <v>0</v>
      </c>
      <c r="BO443" s="440">
        <v>0</v>
      </c>
      <c r="BP443" s="440">
        <v>0</v>
      </c>
      <c r="BQ443" s="440">
        <v>0</v>
      </c>
      <c r="BR443" s="415">
        <v>0</v>
      </c>
      <c r="BS443" s="415">
        <v>0</v>
      </c>
      <c r="BT443" s="935"/>
      <c r="BU443" s="935"/>
      <c r="BV443" s="935"/>
      <c r="BW443" s="935"/>
      <c r="BX443" s="935"/>
      <c r="BY443" s="935"/>
      <c r="BZ443" s="935"/>
      <c r="CA443" s="935"/>
      <c r="CB443" s="935"/>
      <c r="CC443" s="935"/>
      <c r="CD443" s="935"/>
      <c r="CE443" s="935"/>
      <c r="CF443" s="935"/>
      <c r="CG443" s="935"/>
      <c r="CH443" s="935"/>
      <c r="CI443" s="935"/>
      <c r="CJ443" s="935"/>
      <c r="CK443" s="935"/>
      <c r="CL443" s="935"/>
      <c r="CM443" s="935"/>
      <c r="CN443" s="935"/>
      <c r="CO443" s="935"/>
      <c r="CP443" s="935"/>
      <c r="CQ443" s="935"/>
      <c r="CR443" s="935"/>
      <c r="CS443" s="935"/>
      <c r="CT443" s="935"/>
      <c r="CU443" s="935"/>
      <c r="CV443" s="935"/>
    </row>
    <row r="444" spans="1:100" s="441" customFormat="1">
      <c r="A444" s="375">
        <f t="shared" si="126"/>
        <v>9</v>
      </c>
      <c r="B444" s="862">
        <v>44446</v>
      </c>
      <c r="C444" s="493" t="s">
        <v>2001</v>
      </c>
      <c r="D444" s="376" t="str">
        <f>IFERROR(VLOOKUP(E:E,'Item Data Support Sheet'!A:O,7,0),"")</f>
        <v>NIPPLE LASER MARKING</v>
      </c>
      <c r="E444" s="447" t="s">
        <v>1815</v>
      </c>
      <c r="F444" s="500"/>
      <c r="G444" s="497" t="s">
        <v>1812</v>
      </c>
      <c r="H444" s="602" t="str">
        <f>IFERROR(VLOOKUP(E:E,'Item Data Support Sheet'!A:O,2,0),"")</f>
        <v>NIPPLE S TYPE M SIZE PUNCHED LASER MARKED</v>
      </c>
      <c r="I444" s="501" t="s">
        <v>2973</v>
      </c>
      <c r="J444" s="501" t="s">
        <v>2808</v>
      </c>
      <c r="K444" s="438">
        <v>8</v>
      </c>
      <c r="L444" s="499">
        <v>7000</v>
      </c>
      <c r="M444" s="366">
        <f t="shared" si="141"/>
        <v>875</v>
      </c>
      <c r="N444" s="367">
        <f t="shared" si="125"/>
        <v>6900</v>
      </c>
      <c r="O444" s="61">
        <v>6900</v>
      </c>
      <c r="P444" s="368">
        <v>0</v>
      </c>
      <c r="Q444" s="368">
        <v>0</v>
      </c>
      <c r="R444" s="494">
        <v>0</v>
      </c>
      <c r="S444" s="493">
        <v>0</v>
      </c>
      <c r="T444" s="494">
        <v>0</v>
      </c>
      <c r="U444" s="493">
        <v>0</v>
      </c>
      <c r="V444" s="502">
        <v>1</v>
      </c>
      <c r="W444" s="453">
        <f t="shared" si="127"/>
        <v>6900</v>
      </c>
      <c r="X444" s="748">
        <f t="shared" si="128"/>
        <v>0.98571428571428577</v>
      </c>
      <c r="Y444" s="451" t="str">
        <f>IFERROR(VLOOKUP(E:E,'Item Data Support Sheet'!A:J,6,0),0)</f>
        <v>FO020</v>
      </c>
      <c r="Z444" s="428">
        <f>IFERROR(VLOOKUP(E:E,'Item Data Support Sheet'!A:O,4,0),0)</f>
        <v>0</v>
      </c>
      <c r="AA444" s="428">
        <f t="shared" si="129"/>
        <v>0</v>
      </c>
      <c r="AB444" s="429" t="str">
        <f t="shared" si="130"/>
        <v xml:space="preserve"> </v>
      </c>
      <c r="AC444" s="424">
        <f t="shared" si="131"/>
        <v>0</v>
      </c>
      <c r="AD444" s="371">
        <f t="shared" si="132"/>
        <v>0</v>
      </c>
      <c r="AE444" s="748">
        <f t="shared" si="133"/>
        <v>1</v>
      </c>
      <c r="AF444" s="417">
        <f t="shared" si="134"/>
        <v>0.66666666666666663</v>
      </c>
      <c r="AG444" s="416">
        <f t="shared" si="135"/>
        <v>7.333333333333333</v>
      </c>
      <c r="AH444" s="372">
        <f t="shared" si="136"/>
        <v>0.91666666666666663</v>
      </c>
      <c r="AI444" s="373">
        <f t="shared" si="137"/>
        <v>862.5</v>
      </c>
      <c r="AJ444" s="418">
        <f>VLOOKUP(D444,'Standard Cycle time'!C:D,2,0)</f>
        <v>3.5</v>
      </c>
      <c r="AK444" s="418">
        <f t="shared" si="138"/>
        <v>3.8260869565217392</v>
      </c>
      <c r="AL444" s="374">
        <f t="shared" si="139"/>
        <v>0.91477272727272729</v>
      </c>
      <c r="AM444" s="372">
        <f t="shared" si="140"/>
        <v>0.83854166666666663</v>
      </c>
      <c r="AN444" s="799" t="s">
        <v>2974</v>
      </c>
      <c r="AO444" s="448"/>
      <c r="AP444" s="440">
        <v>40</v>
      </c>
      <c r="AQ444" s="440">
        <v>0</v>
      </c>
      <c r="AR444" s="440">
        <v>0</v>
      </c>
      <c r="AS444" s="440">
        <v>0</v>
      </c>
      <c r="AT444" s="440">
        <v>0</v>
      </c>
      <c r="AU444" s="440">
        <v>0</v>
      </c>
      <c r="AV444" s="440">
        <v>0</v>
      </c>
      <c r="AW444" s="440">
        <v>0</v>
      </c>
      <c r="AX444" s="440">
        <v>0</v>
      </c>
      <c r="AY444" s="440">
        <v>0</v>
      </c>
      <c r="AZ444" s="440">
        <v>0</v>
      </c>
      <c r="BA444" s="440">
        <v>0</v>
      </c>
      <c r="BB444" s="440">
        <v>0</v>
      </c>
      <c r="BC444" s="440">
        <v>0</v>
      </c>
      <c r="BD444" s="440">
        <v>0</v>
      </c>
      <c r="BE444" s="440">
        <v>0</v>
      </c>
      <c r="BF444" s="440">
        <v>0</v>
      </c>
      <c r="BG444" s="440">
        <v>0</v>
      </c>
      <c r="BH444" s="440">
        <v>0</v>
      </c>
      <c r="BI444" s="440">
        <v>0</v>
      </c>
      <c r="BJ444" s="440">
        <v>0</v>
      </c>
      <c r="BK444" s="440">
        <v>0</v>
      </c>
      <c r="BL444" s="440">
        <v>0</v>
      </c>
      <c r="BM444" s="440">
        <v>0</v>
      </c>
      <c r="BN444" s="440">
        <v>0</v>
      </c>
      <c r="BO444" s="440">
        <v>0</v>
      </c>
      <c r="BP444" s="440">
        <v>0</v>
      </c>
      <c r="BQ444" s="440">
        <v>0</v>
      </c>
      <c r="BR444" s="415">
        <v>0.66666666666666663</v>
      </c>
      <c r="BS444" s="415">
        <v>0.6777777777777777</v>
      </c>
      <c r="BT444" s="935"/>
      <c r="BU444" s="935"/>
      <c r="BV444" s="935"/>
      <c r="BW444" s="935"/>
      <c r="BX444" s="935"/>
      <c r="BY444" s="935"/>
      <c r="BZ444" s="935"/>
      <c r="CA444" s="935"/>
      <c r="CB444" s="935"/>
      <c r="CC444" s="935"/>
      <c r="CD444" s="935"/>
      <c r="CE444" s="935"/>
      <c r="CF444" s="935"/>
      <c r="CG444" s="935"/>
      <c r="CH444" s="935"/>
      <c r="CI444" s="935"/>
      <c r="CJ444" s="935"/>
      <c r="CK444" s="935"/>
      <c r="CL444" s="935"/>
      <c r="CM444" s="935"/>
      <c r="CN444" s="935"/>
      <c r="CO444" s="935"/>
      <c r="CP444" s="935"/>
      <c r="CQ444" s="935"/>
      <c r="CR444" s="935"/>
      <c r="CS444" s="935"/>
      <c r="CT444" s="935"/>
      <c r="CU444" s="935"/>
      <c r="CV444" s="935"/>
    </row>
    <row r="445" spans="1:100" s="441" customFormat="1">
      <c r="A445" s="375">
        <f t="shared" si="126"/>
        <v>9</v>
      </c>
      <c r="B445" s="862">
        <v>44446</v>
      </c>
      <c r="C445" s="493" t="s">
        <v>2001</v>
      </c>
      <c r="D445" s="376" t="str">
        <f>IFERROR(VLOOKUP(E:E,'Item Data Support Sheet'!A:O,7,0),"")</f>
        <v>NIPPLE MOLDED</v>
      </c>
      <c r="E445" s="447" t="s">
        <v>73</v>
      </c>
      <c r="F445" s="500" t="s">
        <v>1678</v>
      </c>
      <c r="G445" s="497" t="s">
        <v>1690</v>
      </c>
      <c r="H445" s="602" t="str">
        <f>IFERROR(VLOOKUP(E:E,'Item Data Support Sheet'!A:O,2,0),"")</f>
        <v>NIPPLE S TYPE M SIZE INJECTION</v>
      </c>
      <c r="I445" s="501" t="s">
        <v>2975</v>
      </c>
      <c r="J445" s="501" t="s">
        <v>2808</v>
      </c>
      <c r="K445" s="438">
        <v>8</v>
      </c>
      <c r="L445" s="499">
        <v>4815</v>
      </c>
      <c r="M445" s="366">
        <f t="shared" si="141"/>
        <v>601.875</v>
      </c>
      <c r="N445" s="367">
        <f t="shared" si="125"/>
        <v>4878</v>
      </c>
      <c r="O445" s="61">
        <v>4500</v>
      </c>
      <c r="P445" s="368">
        <v>3.2</v>
      </c>
      <c r="Q445" s="368">
        <v>292</v>
      </c>
      <c r="R445" s="494">
        <v>0</v>
      </c>
      <c r="S445" s="493">
        <v>0</v>
      </c>
      <c r="T445" s="494">
        <v>78</v>
      </c>
      <c r="U445" s="493">
        <v>8</v>
      </c>
      <c r="V445" s="502">
        <v>1</v>
      </c>
      <c r="W445" s="453">
        <f t="shared" si="127"/>
        <v>4500</v>
      </c>
      <c r="X445" s="748">
        <f t="shared" si="128"/>
        <v>0.93457943925233644</v>
      </c>
      <c r="Y445" s="451" t="str">
        <f>IFERROR(VLOOKUP(E:E,'Item Data Support Sheet'!A:J,6,0),0)</f>
        <v>Silicon</v>
      </c>
      <c r="Z445" s="428">
        <f>IFERROR(VLOOKUP(E:E,'Item Data Support Sheet'!A:O,4,0),0)</f>
        <v>6.8</v>
      </c>
      <c r="AA445" s="428">
        <f t="shared" si="129"/>
        <v>36.370400000000004</v>
      </c>
      <c r="AB445" s="429">
        <f t="shared" si="130"/>
        <v>0.84134351010711994</v>
      </c>
      <c r="AC445" s="424">
        <f t="shared" si="131"/>
        <v>1.7038007863695939E-2</v>
      </c>
      <c r="AD445" s="371">
        <f t="shared" si="132"/>
        <v>5.6479690522243713E-2</v>
      </c>
      <c r="AE445" s="748">
        <f t="shared" si="133"/>
        <v>0.98400984009840098</v>
      </c>
      <c r="AF445" s="417">
        <f t="shared" si="134"/>
        <v>1</v>
      </c>
      <c r="AG445" s="416">
        <f t="shared" si="135"/>
        <v>7</v>
      </c>
      <c r="AH445" s="372">
        <f t="shared" si="136"/>
        <v>0.875</v>
      </c>
      <c r="AI445" s="373">
        <f t="shared" si="137"/>
        <v>562.5</v>
      </c>
      <c r="AJ445" s="418">
        <f>VLOOKUP(D445,'Standard Cycle time'!C:D,2,0)</f>
        <v>5.25</v>
      </c>
      <c r="AK445" s="418">
        <f t="shared" si="138"/>
        <v>5.6</v>
      </c>
      <c r="AL445" s="374">
        <f t="shared" si="139"/>
        <v>0.93750000000000011</v>
      </c>
      <c r="AM445" s="372">
        <f t="shared" si="140"/>
        <v>0.80719557195571956</v>
      </c>
      <c r="AN445" s="799">
        <v>3079</v>
      </c>
      <c r="AO445" s="448" t="s">
        <v>2976</v>
      </c>
      <c r="AP445" s="440">
        <v>0</v>
      </c>
      <c r="AQ445" s="440">
        <v>0</v>
      </c>
      <c r="AR445" s="440">
        <v>0</v>
      </c>
      <c r="AS445" s="440">
        <v>0</v>
      </c>
      <c r="AT445" s="440">
        <v>30</v>
      </c>
      <c r="AU445" s="440">
        <v>0</v>
      </c>
      <c r="AV445" s="440">
        <v>0</v>
      </c>
      <c r="AW445" s="440">
        <v>30</v>
      </c>
      <c r="AX445" s="440">
        <v>0</v>
      </c>
      <c r="AY445" s="440">
        <v>0</v>
      </c>
      <c r="AZ445" s="440">
        <v>0</v>
      </c>
      <c r="BA445" s="440">
        <v>0</v>
      </c>
      <c r="BB445" s="440">
        <v>0</v>
      </c>
      <c r="BC445" s="440">
        <v>0</v>
      </c>
      <c r="BD445" s="440">
        <v>0</v>
      </c>
      <c r="BE445" s="440">
        <v>0</v>
      </c>
      <c r="BF445" s="440">
        <v>0</v>
      </c>
      <c r="BG445" s="440">
        <v>0</v>
      </c>
      <c r="BH445" s="440">
        <v>0</v>
      </c>
      <c r="BI445" s="440">
        <v>0</v>
      </c>
      <c r="BJ445" s="440">
        <v>0</v>
      </c>
      <c r="BK445" s="440">
        <v>0</v>
      </c>
      <c r="BL445" s="440">
        <v>0</v>
      </c>
      <c r="BM445" s="440">
        <v>0</v>
      </c>
      <c r="BN445" s="440">
        <v>0</v>
      </c>
      <c r="BO445" s="440">
        <v>0</v>
      </c>
      <c r="BP445" s="440">
        <v>0</v>
      </c>
      <c r="BQ445" s="440">
        <v>0</v>
      </c>
      <c r="BR445" s="415">
        <v>1</v>
      </c>
      <c r="BS445" s="415">
        <v>1.0166666666666666</v>
      </c>
      <c r="BT445" s="935"/>
      <c r="BU445" s="935"/>
      <c r="BV445" s="935"/>
      <c r="BW445" s="935"/>
      <c r="BX445" s="935"/>
      <c r="BY445" s="935"/>
      <c r="BZ445" s="935"/>
      <c r="CA445" s="935"/>
      <c r="CB445" s="935"/>
      <c r="CC445" s="935"/>
      <c r="CD445" s="935"/>
      <c r="CE445" s="935"/>
      <c r="CF445" s="935"/>
      <c r="CG445" s="935"/>
      <c r="CH445" s="935"/>
      <c r="CI445" s="935"/>
      <c r="CJ445" s="935"/>
      <c r="CK445" s="935"/>
      <c r="CL445" s="935"/>
      <c r="CM445" s="935"/>
      <c r="CN445" s="935"/>
      <c r="CO445" s="935"/>
      <c r="CP445" s="935"/>
      <c r="CQ445" s="935"/>
      <c r="CR445" s="935"/>
      <c r="CS445" s="935"/>
      <c r="CT445" s="935"/>
      <c r="CU445" s="935"/>
      <c r="CV445" s="935"/>
    </row>
    <row r="446" spans="1:100" s="441" customFormat="1">
      <c r="A446" s="375">
        <f t="shared" si="126"/>
        <v>9</v>
      </c>
      <c r="B446" s="862">
        <v>44446</v>
      </c>
      <c r="C446" s="493" t="s">
        <v>2001</v>
      </c>
      <c r="D446" s="376" t="str">
        <f>IFERROR(VLOOKUP(E:E,'Item Data Support Sheet'!A:O,7,0),"")</f>
        <v>NIPPLE POSTCURE</v>
      </c>
      <c r="E446" s="447" t="s">
        <v>77</v>
      </c>
      <c r="F446" s="500"/>
      <c r="G446" s="497" t="s">
        <v>1705</v>
      </c>
      <c r="H446" s="602" t="str">
        <f>IFERROR(VLOOKUP(E:E,'Item Data Support Sheet'!A:O,2,0),"")</f>
        <v>NIPPLE S TYPE M SIZE POSTCURED</v>
      </c>
      <c r="I446" s="501" t="s">
        <v>2977</v>
      </c>
      <c r="J446" s="501" t="s">
        <v>2808</v>
      </c>
      <c r="K446" s="438">
        <v>2</v>
      </c>
      <c r="L446" s="499">
        <v>2000</v>
      </c>
      <c r="M446" s="366">
        <f t="shared" si="141"/>
        <v>1000</v>
      </c>
      <c r="N446" s="367">
        <f t="shared" si="125"/>
        <v>1840</v>
      </c>
      <c r="O446" s="61">
        <v>1840</v>
      </c>
      <c r="P446" s="368">
        <v>0</v>
      </c>
      <c r="Q446" s="368">
        <v>0</v>
      </c>
      <c r="R446" s="494">
        <v>0</v>
      </c>
      <c r="S446" s="493">
        <v>0</v>
      </c>
      <c r="T446" s="494">
        <v>0</v>
      </c>
      <c r="U446" s="493">
        <v>0</v>
      </c>
      <c r="V446" s="502">
        <v>1</v>
      </c>
      <c r="W446" s="453">
        <f t="shared" si="127"/>
        <v>1840</v>
      </c>
      <c r="X446" s="748">
        <f t="shared" si="128"/>
        <v>0.92</v>
      </c>
      <c r="Y446" s="451" t="str">
        <f>IFERROR(VLOOKUP(E:E,'Item Data Support Sheet'!A:J,6,0),0)</f>
        <v>FO012</v>
      </c>
      <c r="Z446" s="428">
        <f>IFERROR(VLOOKUP(E:E,'Item Data Support Sheet'!A:O,4,0),0)</f>
        <v>0</v>
      </c>
      <c r="AA446" s="428">
        <f t="shared" si="129"/>
        <v>0</v>
      </c>
      <c r="AB446" s="429" t="str">
        <f t="shared" si="130"/>
        <v xml:space="preserve"> </v>
      </c>
      <c r="AC446" s="424">
        <f t="shared" si="131"/>
        <v>0</v>
      </c>
      <c r="AD446" s="371">
        <f t="shared" si="132"/>
        <v>0</v>
      </c>
      <c r="AE446" s="748">
        <f t="shared" si="133"/>
        <v>1</v>
      </c>
      <c r="AF446" s="417">
        <f t="shared" si="134"/>
        <v>0.83333333333333337</v>
      </c>
      <c r="AG446" s="416">
        <f t="shared" si="135"/>
        <v>1.1666666666666665</v>
      </c>
      <c r="AH446" s="372">
        <f t="shared" si="136"/>
        <v>0.58333333333333326</v>
      </c>
      <c r="AI446" s="373">
        <f t="shared" si="137"/>
        <v>920</v>
      </c>
      <c r="AJ446" s="418">
        <f>VLOOKUP(D446,'Standard Cycle time'!C:D,2,0)</f>
        <v>2.2999999999999998</v>
      </c>
      <c r="AK446" s="418">
        <f t="shared" si="138"/>
        <v>2.2826086956521734</v>
      </c>
      <c r="AL446" s="374">
        <f t="shared" si="139"/>
        <v>1.0076190476190479</v>
      </c>
      <c r="AM446" s="372">
        <f t="shared" si="140"/>
        <v>0.58777777777777784</v>
      </c>
      <c r="AN446" s="799">
        <v>3067</v>
      </c>
      <c r="AO446" s="448"/>
      <c r="AP446" s="440">
        <v>50</v>
      </c>
      <c r="AQ446" s="440">
        <v>0</v>
      </c>
      <c r="AR446" s="440">
        <v>0</v>
      </c>
      <c r="AS446" s="440">
        <v>0</v>
      </c>
      <c r="AT446" s="440">
        <v>0</v>
      </c>
      <c r="AU446" s="440">
        <v>0</v>
      </c>
      <c r="AV446" s="440">
        <v>0</v>
      </c>
      <c r="AW446" s="440">
        <v>0</v>
      </c>
      <c r="AX446" s="440">
        <v>0</v>
      </c>
      <c r="AY446" s="440">
        <v>0</v>
      </c>
      <c r="AZ446" s="440">
        <v>0</v>
      </c>
      <c r="BA446" s="440">
        <v>0</v>
      </c>
      <c r="BB446" s="440">
        <v>0</v>
      </c>
      <c r="BC446" s="440">
        <v>0</v>
      </c>
      <c r="BD446" s="440">
        <v>0</v>
      </c>
      <c r="BE446" s="440">
        <v>0</v>
      </c>
      <c r="BF446" s="440">
        <v>0</v>
      </c>
      <c r="BG446" s="440">
        <v>0</v>
      </c>
      <c r="BH446" s="440">
        <v>0</v>
      </c>
      <c r="BI446" s="440">
        <v>0</v>
      </c>
      <c r="BJ446" s="440">
        <v>0</v>
      </c>
      <c r="BK446" s="440">
        <v>0</v>
      </c>
      <c r="BL446" s="440">
        <v>0</v>
      </c>
      <c r="BM446" s="440">
        <v>0</v>
      </c>
      <c r="BN446" s="440">
        <v>0</v>
      </c>
      <c r="BO446" s="440">
        <v>0</v>
      </c>
      <c r="BP446" s="440">
        <v>0</v>
      </c>
      <c r="BQ446" s="440">
        <v>0</v>
      </c>
      <c r="BR446" s="415">
        <v>0.83333333333333337</v>
      </c>
      <c r="BS446" s="415">
        <v>0.84722222222222221</v>
      </c>
      <c r="BT446" s="935"/>
      <c r="BU446" s="935"/>
      <c r="BV446" s="935"/>
      <c r="BW446" s="935"/>
      <c r="BX446" s="935"/>
      <c r="BY446" s="935"/>
      <c r="BZ446" s="935"/>
      <c r="CA446" s="935"/>
      <c r="CB446" s="935"/>
      <c r="CC446" s="935"/>
      <c r="CD446" s="935"/>
      <c r="CE446" s="935"/>
      <c r="CF446" s="935"/>
      <c r="CG446" s="935"/>
      <c r="CH446" s="935"/>
      <c r="CI446" s="935"/>
      <c r="CJ446" s="935"/>
      <c r="CK446" s="935"/>
      <c r="CL446" s="935"/>
      <c r="CM446" s="935"/>
      <c r="CN446" s="935"/>
      <c r="CO446" s="935"/>
      <c r="CP446" s="935"/>
      <c r="CQ446" s="935"/>
      <c r="CR446" s="935"/>
      <c r="CS446" s="935"/>
      <c r="CT446" s="935"/>
      <c r="CU446" s="935"/>
      <c r="CV446" s="935"/>
    </row>
    <row r="447" spans="1:100" s="441" customFormat="1">
      <c r="A447" s="375">
        <f t="shared" si="126"/>
        <v>9</v>
      </c>
      <c r="B447" s="862">
        <v>44446</v>
      </c>
      <c r="C447" s="493" t="s">
        <v>2001</v>
      </c>
      <c r="D447" s="376" t="str">
        <f>IFERROR(VLOOKUP(E:E,'Item Data Support Sheet'!A:O,7,0),"")</f>
        <v>HOOD MOLDED</v>
      </c>
      <c r="E447" s="447" t="s">
        <v>1987</v>
      </c>
      <c r="F447" s="500"/>
      <c r="G447" s="497" t="s">
        <v>2729</v>
      </c>
      <c r="H447" s="602" t="str">
        <f>IFERROR(VLOOKUP(E:E,'Item Data Support Sheet'!A:O,2,0),"")</f>
        <v>HOOD S TYPE MOLDED</v>
      </c>
      <c r="I447" s="501" t="s">
        <v>2978</v>
      </c>
      <c r="J447" s="501" t="s">
        <v>2808</v>
      </c>
      <c r="K447" s="438">
        <v>8</v>
      </c>
      <c r="L447" s="499">
        <v>4137</v>
      </c>
      <c r="M447" s="366">
        <f t="shared" si="141"/>
        <v>517.125</v>
      </c>
      <c r="N447" s="367">
        <f t="shared" si="125"/>
        <v>5315</v>
      </c>
      <c r="O447" s="61">
        <v>5300</v>
      </c>
      <c r="P447" s="368">
        <v>0</v>
      </c>
      <c r="Q447" s="368">
        <v>0</v>
      </c>
      <c r="R447" s="494">
        <v>0</v>
      </c>
      <c r="S447" s="493">
        <v>0</v>
      </c>
      <c r="T447" s="494">
        <v>15</v>
      </c>
      <c r="U447" s="493">
        <v>0</v>
      </c>
      <c r="V447" s="502">
        <v>1</v>
      </c>
      <c r="W447" s="453">
        <f t="shared" si="127"/>
        <v>5300</v>
      </c>
      <c r="X447" s="748">
        <f t="shared" si="128"/>
        <v>1.2811215856901137</v>
      </c>
      <c r="Y447" s="451" t="str">
        <f>IFERROR(VLOOKUP(E:E,'Item Data Support Sheet'!A:J,6,0),0)</f>
        <v>HMC</v>
      </c>
      <c r="Z447" s="428">
        <f>IFERROR(VLOOKUP(E:E,'Item Data Support Sheet'!A:O,4,0),0)</f>
        <v>8.6</v>
      </c>
      <c r="AA447" s="428">
        <f t="shared" si="129"/>
        <v>45.709000000000003</v>
      </c>
      <c r="AB447" s="429">
        <f t="shared" si="130"/>
        <v>0.99717779868297263</v>
      </c>
      <c r="AC447" s="424">
        <f t="shared" si="131"/>
        <v>2.8222013170272815E-3</v>
      </c>
      <c r="AD447" s="371">
        <f t="shared" si="132"/>
        <v>0</v>
      </c>
      <c r="AE447" s="748">
        <f t="shared" si="133"/>
        <v>0.99717779868297274</v>
      </c>
      <c r="AF447" s="417">
        <f t="shared" si="134"/>
        <v>0</v>
      </c>
      <c r="AG447" s="416">
        <f t="shared" si="135"/>
        <v>8</v>
      </c>
      <c r="AH447" s="372">
        <f t="shared" si="136"/>
        <v>1</v>
      </c>
      <c r="AI447" s="373">
        <f t="shared" si="137"/>
        <v>662.5</v>
      </c>
      <c r="AJ447" s="418">
        <f>VLOOKUP(D447,'Standard Cycle time'!C:D,2,0)</f>
        <v>6</v>
      </c>
      <c r="AK447" s="418">
        <f t="shared" si="138"/>
        <v>5.4339622641509431</v>
      </c>
      <c r="AL447" s="374">
        <f t="shared" si="139"/>
        <v>1.1041666666666667</v>
      </c>
      <c r="AM447" s="372">
        <f t="shared" si="140"/>
        <v>1.1010504860457824</v>
      </c>
      <c r="AN447" s="799">
        <v>3051</v>
      </c>
      <c r="AO447" s="448"/>
      <c r="AP447" s="440">
        <v>0</v>
      </c>
      <c r="AQ447" s="440">
        <v>0</v>
      </c>
      <c r="AR447" s="440">
        <v>0</v>
      </c>
      <c r="AS447" s="440">
        <v>0</v>
      </c>
      <c r="AT447" s="440">
        <v>0</v>
      </c>
      <c r="AU447" s="440">
        <v>0</v>
      </c>
      <c r="AV447" s="440">
        <v>0</v>
      </c>
      <c r="AW447" s="440">
        <v>0</v>
      </c>
      <c r="AX447" s="440">
        <v>0</v>
      </c>
      <c r="AY447" s="440">
        <v>0</v>
      </c>
      <c r="AZ447" s="440">
        <v>0</v>
      </c>
      <c r="BA447" s="440">
        <v>0</v>
      </c>
      <c r="BB447" s="440">
        <v>0</v>
      </c>
      <c r="BC447" s="440">
        <v>0</v>
      </c>
      <c r="BD447" s="440">
        <v>0</v>
      </c>
      <c r="BE447" s="440">
        <v>0</v>
      </c>
      <c r="BF447" s="440">
        <v>0</v>
      </c>
      <c r="BG447" s="440">
        <v>0</v>
      </c>
      <c r="BH447" s="440">
        <v>0</v>
      </c>
      <c r="BI447" s="440">
        <v>0</v>
      </c>
      <c r="BJ447" s="440">
        <v>0</v>
      </c>
      <c r="BK447" s="440">
        <v>0</v>
      </c>
      <c r="BL447" s="440">
        <v>0</v>
      </c>
      <c r="BM447" s="440">
        <v>0</v>
      </c>
      <c r="BN447" s="440">
        <v>0</v>
      </c>
      <c r="BO447" s="440">
        <v>0</v>
      </c>
      <c r="BP447" s="440">
        <v>0</v>
      </c>
      <c r="BQ447" s="440">
        <v>0</v>
      </c>
      <c r="BR447" s="415">
        <v>0</v>
      </c>
      <c r="BS447" s="415">
        <v>0</v>
      </c>
      <c r="BT447" s="935"/>
      <c r="BU447" s="935"/>
      <c r="BV447" s="935"/>
      <c r="BW447" s="935"/>
      <c r="BX447" s="935"/>
      <c r="BY447" s="935"/>
      <c r="BZ447" s="935"/>
      <c r="CA447" s="935"/>
      <c r="CB447" s="935"/>
      <c r="CC447" s="935"/>
      <c r="CD447" s="935"/>
      <c r="CE447" s="935"/>
      <c r="CF447" s="935"/>
      <c r="CG447" s="935"/>
      <c r="CH447" s="935"/>
      <c r="CI447" s="935"/>
      <c r="CJ447" s="935"/>
      <c r="CK447" s="935"/>
      <c r="CL447" s="935"/>
      <c r="CM447" s="935"/>
      <c r="CN447" s="935"/>
      <c r="CO447" s="935"/>
      <c r="CP447" s="935"/>
      <c r="CQ447" s="935"/>
      <c r="CR447" s="935"/>
      <c r="CS447" s="935"/>
      <c r="CT447" s="935"/>
      <c r="CU447" s="935"/>
      <c r="CV447" s="935"/>
    </row>
    <row r="448" spans="1:100" s="441" customFormat="1">
      <c r="A448" s="375">
        <f t="shared" si="126"/>
        <v>9</v>
      </c>
      <c r="B448" s="862">
        <v>44446</v>
      </c>
      <c r="C448" s="493" t="s">
        <v>2001</v>
      </c>
      <c r="D448" s="376" t="str">
        <f>IFERROR(VLOOKUP(E:E,'Item Data Support Sheet'!A:O,7,0),"")</f>
        <v>BOTTLE PRINTED</v>
      </c>
      <c r="E448" s="447" t="s">
        <v>116</v>
      </c>
      <c r="F448" s="500"/>
      <c r="G448" s="497" t="s">
        <v>1698</v>
      </c>
      <c r="H448" s="602" t="str">
        <f>IFERROR(VLOOKUP(E:E,'Item Data Support Sheet'!A:O,2,0),"")</f>
        <v>KPP BOTTLE 240 ML PRINTED-WMG3B</v>
      </c>
      <c r="I448" s="501" t="s">
        <v>2979</v>
      </c>
      <c r="J448" s="501" t="s">
        <v>2808</v>
      </c>
      <c r="K448" s="438">
        <v>8</v>
      </c>
      <c r="L448" s="499">
        <v>5100</v>
      </c>
      <c r="M448" s="366">
        <f t="shared" si="141"/>
        <v>637.5</v>
      </c>
      <c r="N448" s="367">
        <f t="shared" si="125"/>
        <v>3694</v>
      </c>
      <c r="O448" s="61">
        <v>3639</v>
      </c>
      <c r="P448" s="368">
        <v>0</v>
      </c>
      <c r="Q448" s="368">
        <v>0</v>
      </c>
      <c r="R448" s="494">
        <v>35</v>
      </c>
      <c r="S448" s="493">
        <v>0</v>
      </c>
      <c r="T448" s="494">
        <v>55</v>
      </c>
      <c r="U448" s="493">
        <v>0</v>
      </c>
      <c r="V448" s="502">
        <v>5</v>
      </c>
      <c r="W448" s="453">
        <f t="shared" si="127"/>
        <v>727.8</v>
      </c>
      <c r="X448" s="748">
        <f t="shared" si="128"/>
        <v>0.71352941176470586</v>
      </c>
      <c r="Y448" s="451" t="str">
        <f>IFERROR(VLOOKUP(E:E,'Item Data Support Sheet'!A:J,6,0),0)</f>
        <v>FO044</v>
      </c>
      <c r="Z448" s="428">
        <f>IFERROR(VLOOKUP(E:E,'Item Data Support Sheet'!A:O,4,0),0)</f>
        <v>0</v>
      </c>
      <c r="AA448" s="428">
        <f t="shared" si="129"/>
        <v>0</v>
      </c>
      <c r="AB448" s="429" t="str">
        <f t="shared" si="130"/>
        <v xml:space="preserve"> </v>
      </c>
      <c r="AC448" s="424">
        <f t="shared" si="131"/>
        <v>1.4889009204114781E-2</v>
      </c>
      <c r="AD448" s="371">
        <f t="shared" si="132"/>
        <v>0</v>
      </c>
      <c r="AE448" s="748">
        <f t="shared" si="133"/>
        <v>0.98511099079588527</v>
      </c>
      <c r="AF448" s="417">
        <f t="shared" si="134"/>
        <v>1.6666666666666667</v>
      </c>
      <c r="AG448" s="416">
        <f t="shared" si="135"/>
        <v>6.333333333333333</v>
      </c>
      <c r="AH448" s="372">
        <f t="shared" si="136"/>
        <v>0.79166666666666663</v>
      </c>
      <c r="AI448" s="373">
        <f t="shared" si="137"/>
        <v>454.875</v>
      </c>
      <c r="AJ448" s="418">
        <f>VLOOKUP(D448,'Standard Cycle time'!C:D,2,0)</f>
        <v>32.4</v>
      </c>
      <c r="AK448" s="418">
        <f t="shared" si="138"/>
        <v>31.327287716405603</v>
      </c>
      <c r="AL448" s="374">
        <f t="shared" si="139"/>
        <v>1.0342421052631579</v>
      </c>
      <c r="AM448" s="372">
        <f t="shared" si="140"/>
        <v>0.80658425148890089</v>
      </c>
      <c r="AN448" s="799" t="s">
        <v>2980</v>
      </c>
      <c r="AO448" s="448" t="s">
        <v>2981</v>
      </c>
      <c r="AP448" s="440">
        <v>40</v>
      </c>
      <c r="AQ448" s="440">
        <v>0</v>
      </c>
      <c r="AR448" s="440">
        <v>0</v>
      </c>
      <c r="AS448" s="440">
        <v>0</v>
      </c>
      <c r="AT448" s="440">
        <v>60</v>
      </c>
      <c r="AU448" s="440">
        <v>0</v>
      </c>
      <c r="AV448" s="440">
        <v>0</v>
      </c>
      <c r="AW448" s="440">
        <v>0</v>
      </c>
      <c r="AX448" s="440">
        <v>0</v>
      </c>
      <c r="AY448" s="440">
        <v>0</v>
      </c>
      <c r="AZ448" s="440">
        <v>0</v>
      </c>
      <c r="BA448" s="440">
        <v>0</v>
      </c>
      <c r="BB448" s="440">
        <v>0</v>
      </c>
      <c r="BC448" s="440">
        <v>0</v>
      </c>
      <c r="BD448" s="440">
        <v>0</v>
      </c>
      <c r="BE448" s="440">
        <v>0</v>
      </c>
      <c r="BF448" s="440">
        <v>0</v>
      </c>
      <c r="BG448" s="440">
        <v>0</v>
      </c>
      <c r="BH448" s="440">
        <v>0</v>
      </c>
      <c r="BI448" s="440">
        <v>0</v>
      </c>
      <c r="BJ448" s="440">
        <v>0</v>
      </c>
      <c r="BK448" s="440">
        <v>0</v>
      </c>
      <c r="BL448" s="440">
        <v>0</v>
      </c>
      <c r="BM448" s="440">
        <v>0</v>
      </c>
      <c r="BN448" s="440">
        <v>0</v>
      </c>
      <c r="BO448" s="440">
        <v>0</v>
      </c>
      <c r="BP448" s="440">
        <v>0</v>
      </c>
      <c r="BQ448" s="440">
        <v>0</v>
      </c>
      <c r="BR448" s="415">
        <v>1.6666666666666667</v>
      </c>
      <c r="BS448" s="415">
        <v>1.6944444444444444</v>
      </c>
      <c r="BT448" s="935"/>
      <c r="BU448" s="935"/>
      <c r="BV448" s="935"/>
      <c r="BW448" s="935"/>
      <c r="BX448" s="935"/>
      <c r="BY448" s="935"/>
      <c r="BZ448" s="935"/>
      <c r="CA448" s="935"/>
      <c r="CB448" s="935"/>
      <c r="CC448" s="935"/>
      <c r="CD448" s="935"/>
      <c r="CE448" s="935"/>
      <c r="CF448" s="935"/>
      <c r="CG448" s="935"/>
      <c r="CH448" s="935"/>
      <c r="CI448" s="935"/>
      <c r="CJ448" s="935"/>
      <c r="CK448" s="935"/>
      <c r="CL448" s="935"/>
      <c r="CM448" s="935"/>
      <c r="CN448" s="935"/>
      <c r="CO448" s="935"/>
      <c r="CP448" s="935"/>
      <c r="CQ448" s="935"/>
      <c r="CR448" s="935"/>
      <c r="CS448" s="935"/>
      <c r="CT448" s="935"/>
      <c r="CU448" s="935"/>
      <c r="CV448" s="935"/>
    </row>
    <row r="449" spans="1:100" s="441" customFormat="1">
      <c r="A449" s="375">
        <f t="shared" si="126"/>
        <v>9</v>
      </c>
      <c r="B449" s="862">
        <v>44446</v>
      </c>
      <c r="C449" s="493" t="s">
        <v>2053</v>
      </c>
      <c r="D449" s="376" t="str">
        <f>IFERROR(VLOOKUP(E:E,'Item Data Support Sheet'!A:O,7,0),"")</f>
        <v>NIPPLE MOLDED</v>
      </c>
      <c r="E449" s="447" t="s">
        <v>73</v>
      </c>
      <c r="F449" s="500" t="s">
        <v>1678</v>
      </c>
      <c r="G449" s="497" t="s">
        <v>1690</v>
      </c>
      <c r="H449" s="602" t="str">
        <f>IFERROR(VLOOKUP(E:E,'Item Data Support Sheet'!A:O,2,0),"")</f>
        <v>NIPPLE S TYPE M SIZE INJECTION</v>
      </c>
      <c r="I449" s="501" t="s">
        <v>2982</v>
      </c>
      <c r="J449" s="501" t="s">
        <v>2826</v>
      </c>
      <c r="K449" s="438">
        <v>8</v>
      </c>
      <c r="L449" s="499">
        <v>4815</v>
      </c>
      <c r="M449" s="366">
        <f t="shared" si="141"/>
        <v>601.875</v>
      </c>
      <c r="N449" s="367">
        <f t="shared" si="125"/>
        <v>5322</v>
      </c>
      <c r="O449" s="61">
        <v>5200</v>
      </c>
      <c r="P449" s="368">
        <v>0</v>
      </c>
      <c r="Q449" s="368">
        <v>38</v>
      </c>
      <c r="R449" s="494">
        <v>0</v>
      </c>
      <c r="S449" s="493">
        <v>0</v>
      </c>
      <c r="T449" s="494">
        <v>76</v>
      </c>
      <c r="U449" s="493">
        <v>8</v>
      </c>
      <c r="V449" s="502">
        <v>1</v>
      </c>
      <c r="W449" s="453">
        <f t="shared" si="127"/>
        <v>5200</v>
      </c>
      <c r="X449" s="748">
        <f t="shared" si="128"/>
        <v>1.0799584631360333</v>
      </c>
      <c r="Y449" s="451" t="str">
        <f>IFERROR(VLOOKUP(E:E,'Item Data Support Sheet'!A:J,6,0),0)</f>
        <v>Silicon</v>
      </c>
      <c r="Z449" s="428">
        <f>IFERROR(VLOOKUP(E:E,'Item Data Support Sheet'!A:O,4,0),0)</f>
        <v>6.8</v>
      </c>
      <c r="AA449" s="428">
        <f t="shared" si="129"/>
        <v>36.189599999999999</v>
      </c>
      <c r="AB449" s="429">
        <f t="shared" si="130"/>
        <v>0.97707628711010897</v>
      </c>
      <c r="AC449" s="424">
        <f t="shared" si="131"/>
        <v>1.4404852160727824E-2</v>
      </c>
      <c r="AD449" s="371">
        <f t="shared" si="132"/>
        <v>7.0895522388059705E-3</v>
      </c>
      <c r="AE449" s="748">
        <f t="shared" si="133"/>
        <v>0.98571965426531383</v>
      </c>
      <c r="AF449" s="417">
        <f t="shared" si="134"/>
        <v>0</v>
      </c>
      <c r="AG449" s="416">
        <f t="shared" si="135"/>
        <v>8</v>
      </c>
      <c r="AH449" s="372">
        <f t="shared" si="136"/>
        <v>1</v>
      </c>
      <c r="AI449" s="373">
        <f t="shared" si="137"/>
        <v>650</v>
      </c>
      <c r="AJ449" s="418">
        <f>VLOOKUP(D449,'Standard Cycle time'!C:D,2,0)</f>
        <v>5.25</v>
      </c>
      <c r="AK449" s="418">
        <f t="shared" si="138"/>
        <v>5.5384615384615383</v>
      </c>
      <c r="AL449" s="374">
        <f t="shared" si="139"/>
        <v>0.94791666666666674</v>
      </c>
      <c r="AM449" s="372">
        <f t="shared" si="140"/>
        <v>0.93438008893899549</v>
      </c>
      <c r="AN449" s="799">
        <v>3080</v>
      </c>
      <c r="AO449" s="448"/>
      <c r="AP449" s="440">
        <v>0</v>
      </c>
      <c r="AQ449" s="440">
        <v>0</v>
      </c>
      <c r="AR449" s="440">
        <v>0</v>
      </c>
      <c r="AS449" s="440">
        <v>0</v>
      </c>
      <c r="AT449" s="440">
        <v>0</v>
      </c>
      <c r="AU449" s="440">
        <v>0</v>
      </c>
      <c r="AV449" s="440">
        <v>0</v>
      </c>
      <c r="AW449" s="440">
        <v>0</v>
      </c>
      <c r="AX449" s="440">
        <v>0</v>
      </c>
      <c r="AY449" s="440">
        <v>0</v>
      </c>
      <c r="AZ449" s="440">
        <v>0</v>
      </c>
      <c r="BA449" s="440">
        <v>0</v>
      </c>
      <c r="BB449" s="440">
        <v>0</v>
      </c>
      <c r="BC449" s="440">
        <v>0</v>
      </c>
      <c r="BD449" s="440">
        <v>0</v>
      </c>
      <c r="BE449" s="440">
        <v>0</v>
      </c>
      <c r="BF449" s="440">
        <v>0</v>
      </c>
      <c r="BG449" s="440">
        <v>0</v>
      </c>
      <c r="BH449" s="440">
        <v>0</v>
      </c>
      <c r="BI449" s="440">
        <v>0</v>
      </c>
      <c r="BJ449" s="440">
        <v>0</v>
      </c>
      <c r="BK449" s="440">
        <v>0</v>
      </c>
      <c r="BL449" s="440">
        <v>0</v>
      </c>
      <c r="BM449" s="440">
        <v>0</v>
      </c>
      <c r="BN449" s="440">
        <v>0</v>
      </c>
      <c r="BO449" s="440">
        <v>0</v>
      </c>
      <c r="BP449" s="440">
        <v>0</v>
      </c>
      <c r="BQ449" s="440">
        <v>0</v>
      </c>
      <c r="BR449" s="415">
        <v>0</v>
      </c>
      <c r="BS449" s="415">
        <v>0</v>
      </c>
      <c r="BT449" s="935"/>
      <c r="BU449" s="935"/>
      <c r="BV449" s="935"/>
      <c r="BW449" s="935"/>
      <c r="BX449" s="935"/>
      <c r="BY449" s="935"/>
      <c r="BZ449" s="935"/>
      <c r="CA449" s="935"/>
      <c r="CB449" s="935"/>
      <c r="CC449" s="935"/>
      <c r="CD449" s="935"/>
      <c r="CE449" s="935"/>
      <c r="CF449" s="935"/>
      <c r="CG449" s="935"/>
      <c r="CH449" s="935"/>
      <c r="CI449" s="935"/>
      <c r="CJ449" s="935"/>
      <c r="CK449" s="935"/>
      <c r="CL449" s="935"/>
      <c r="CM449" s="935"/>
      <c r="CN449" s="935"/>
      <c r="CO449" s="935"/>
      <c r="CP449" s="935"/>
      <c r="CQ449" s="935"/>
      <c r="CR449" s="935"/>
      <c r="CS449" s="935"/>
      <c r="CT449" s="935"/>
      <c r="CU449" s="935"/>
      <c r="CV449" s="935"/>
    </row>
    <row r="450" spans="1:100" s="441" customFormat="1">
      <c r="A450" s="375">
        <f t="shared" si="126"/>
        <v>9</v>
      </c>
      <c r="B450" s="862">
        <v>44446</v>
      </c>
      <c r="C450" s="493" t="s">
        <v>2053</v>
      </c>
      <c r="D450" s="376" t="str">
        <f>IFERROR(VLOOKUP(E:E,'Item Data Support Sheet'!A:O,7,0),"")</f>
        <v>HOOD MOLDED</v>
      </c>
      <c r="E450" s="447" t="s">
        <v>1987</v>
      </c>
      <c r="F450" s="500"/>
      <c r="G450" s="497" t="s">
        <v>2729</v>
      </c>
      <c r="H450" s="602" t="str">
        <f>IFERROR(VLOOKUP(E:E,'Item Data Support Sheet'!A:O,2,0),"")</f>
        <v>HOOD S TYPE MOLDED</v>
      </c>
      <c r="I450" s="501" t="s">
        <v>2983</v>
      </c>
      <c r="J450" s="501" t="s">
        <v>2826</v>
      </c>
      <c r="K450" s="438">
        <v>8</v>
      </c>
      <c r="L450" s="499">
        <v>4137</v>
      </c>
      <c r="M450" s="366">
        <f t="shared" si="141"/>
        <v>517.125</v>
      </c>
      <c r="N450" s="367">
        <f t="shared" si="125"/>
        <v>5512</v>
      </c>
      <c r="O450" s="61">
        <v>5500</v>
      </c>
      <c r="P450" s="368">
        <v>0</v>
      </c>
      <c r="Q450" s="368">
        <v>0</v>
      </c>
      <c r="R450" s="494">
        <v>0</v>
      </c>
      <c r="S450" s="493">
        <v>0</v>
      </c>
      <c r="T450" s="494">
        <v>4</v>
      </c>
      <c r="U450" s="493">
        <v>8</v>
      </c>
      <c r="V450" s="502">
        <v>1</v>
      </c>
      <c r="W450" s="453">
        <f t="shared" si="127"/>
        <v>5500</v>
      </c>
      <c r="X450" s="748">
        <f t="shared" si="128"/>
        <v>1.3294657964708727</v>
      </c>
      <c r="Y450" s="451" t="str">
        <f>IFERROR(VLOOKUP(E:E,'Item Data Support Sheet'!A:J,6,0),0)</f>
        <v>HMC</v>
      </c>
      <c r="Z450" s="428">
        <f>IFERROR(VLOOKUP(E:E,'Item Data Support Sheet'!A:O,4,0),0)</f>
        <v>8.6</v>
      </c>
      <c r="AA450" s="428">
        <f t="shared" si="129"/>
        <v>47.403199999999998</v>
      </c>
      <c r="AB450" s="429">
        <f t="shared" si="130"/>
        <v>0.99782293178519588</v>
      </c>
      <c r="AC450" s="424">
        <f t="shared" si="131"/>
        <v>7.2674418604651162E-4</v>
      </c>
      <c r="AD450" s="371">
        <f t="shared" si="132"/>
        <v>0</v>
      </c>
      <c r="AE450" s="748">
        <f t="shared" si="133"/>
        <v>0.99927431059506533</v>
      </c>
      <c r="AF450" s="417">
        <f t="shared" si="134"/>
        <v>0</v>
      </c>
      <c r="AG450" s="416">
        <f t="shared" si="135"/>
        <v>8</v>
      </c>
      <c r="AH450" s="372">
        <f t="shared" si="136"/>
        <v>1</v>
      </c>
      <c r="AI450" s="373">
        <f t="shared" si="137"/>
        <v>687.5</v>
      </c>
      <c r="AJ450" s="418">
        <f>VLOOKUP(D450,'Standard Cycle time'!C:D,2,0)</f>
        <v>6</v>
      </c>
      <c r="AK450" s="418">
        <f t="shared" si="138"/>
        <v>5.2363636363636363</v>
      </c>
      <c r="AL450" s="374">
        <f t="shared" si="139"/>
        <v>1.1458333333333333</v>
      </c>
      <c r="AM450" s="372">
        <f t="shared" si="140"/>
        <v>1.1450018142235123</v>
      </c>
      <c r="AN450" s="799">
        <v>3052</v>
      </c>
      <c r="AO450" s="448"/>
      <c r="AP450" s="440">
        <v>0</v>
      </c>
      <c r="AQ450" s="440">
        <v>0</v>
      </c>
      <c r="AR450" s="440">
        <v>0</v>
      </c>
      <c r="AS450" s="440">
        <v>0</v>
      </c>
      <c r="AT450" s="440">
        <v>0</v>
      </c>
      <c r="AU450" s="440">
        <v>0</v>
      </c>
      <c r="AV450" s="440">
        <v>0</v>
      </c>
      <c r="AW450" s="440">
        <v>0</v>
      </c>
      <c r="AX450" s="440">
        <v>0</v>
      </c>
      <c r="AY450" s="440">
        <v>0</v>
      </c>
      <c r="AZ450" s="440">
        <v>0</v>
      </c>
      <c r="BA450" s="440">
        <v>0</v>
      </c>
      <c r="BB450" s="440">
        <v>0</v>
      </c>
      <c r="BC450" s="440">
        <v>0</v>
      </c>
      <c r="BD450" s="440">
        <v>0</v>
      </c>
      <c r="BE450" s="440">
        <v>0</v>
      </c>
      <c r="BF450" s="440">
        <v>0</v>
      </c>
      <c r="BG450" s="440">
        <v>0</v>
      </c>
      <c r="BH450" s="440">
        <v>0</v>
      </c>
      <c r="BI450" s="440">
        <v>0</v>
      </c>
      <c r="BJ450" s="440">
        <v>0</v>
      </c>
      <c r="BK450" s="440">
        <v>0</v>
      </c>
      <c r="BL450" s="440">
        <v>0</v>
      </c>
      <c r="BM450" s="440">
        <v>0</v>
      </c>
      <c r="BN450" s="440">
        <v>0</v>
      </c>
      <c r="BO450" s="440">
        <v>0</v>
      </c>
      <c r="BP450" s="440">
        <v>0</v>
      </c>
      <c r="BQ450" s="440">
        <v>0</v>
      </c>
      <c r="BR450" s="415">
        <v>0</v>
      </c>
      <c r="BS450" s="415">
        <v>0</v>
      </c>
      <c r="BT450" s="935"/>
      <c r="BU450" s="935"/>
      <c r="BV450" s="935"/>
      <c r="BW450" s="935"/>
      <c r="BX450" s="935"/>
      <c r="BY450" s="935"/>
      <c r="BZ450" s="935"/>
      <c r="CA450" s="935"/>
      <c r="CB450" s="935"/>
      <c r="CC450" s="935"/>
      <c r="CD450" s="935"/>
      <c r="CE450" s="935"/>
      <c r="CF450" s="935"/>
      <c r="CG450" s="935"/>
      <c r="CH450" s="935"/>
      <c r="CI450" s="935"/>
      <c r="CJ450" s="935"/>
      <c r="CK450" s="935"/>
      <c r="CL450" s="935"/>
      <c r="CM450" s="935"/>
      <c r="CN450" s="935"/>
      <c r="CO450" s="935"/>
      <c r="CP450" s="935"/>
      <c r="CQ450" s="935"/>
      <c r="CR450" s="935"/>
      <c r="CS450" s="935"/>
      <c r="CT450" s="935"/>
      <c r="CU450" s="935"/>
      <c r="CV450" s="935"/>
    </row>
    <row r="451" spans="1:100" s="441" customFormat="1">
      <c r="A451" s="375">
        <f t="shared" si="126"/>
        <v>9</v>
      </c>
      <c r="B451" s="862">
        <v>44447</v>
      </c>
      <c r="C451" s="493" t="s">
        <v>1980</v>
      </c>
      <c r="D451" s="376" t="str">
        <f>IFERROR(VLOOKUP(E:E,'Item Data Support Sheet'!A:O,7,0),"")</f>
        <v>HOOD MOLDED</v>
      </c>
      <c r="E451" s="447" t="s">
        <v>1987</v>
      </c>
      <c r="F451" s="500"/>
      <c r="G451" s="497" t="s">
        <v>2729</v>
      </c>
      <c r="H451" s="602" t="str">
        <f>IFERROR(VLOOKUP(E:E,'Item Data Support Sheet'!A:O,2,0),"")</f>
        <v>HOOD S TYPE MOLDED</v>
      </c>
      <c r="I451" s="501" t="s">
        <v>2984</v>
      </c>
      <c r="J451" s="501" t="s">
        <v>2809</v>
      </c>
      <c r="K451" s="438">
        <v>8</v>
      </c>
      <c r="L451" s="499">
        <v>2574</v>
      </c>
      <c r="M451" s="366">
        <f t="shared" si="141"/>
        <v>321.75</v>
      </c>
      <c r="N451" s="367">
        <f t="shared" si="125"/>
        <v>5514</v>
      </c>
      <c r="O451" s="61">
        <v>5500</v>
      </c>
      <c r="P451" s="368">
        <v>0</v>
      </c>
      <c r="Q451" s="368">
        <v>4</v>
      </c>
      <c r="R451" s="494">
        <v>0</v>
      </c>
      <c r="S451" s="493">
        <v>0</v>
      </c>
      <c r="T451" s="494">
        <v>2</v>
      </c>
      <c r="U451" s="493">
        <v>8</v>
      </c>
      <c r="V451" s="502">
        <v>1</v>
      </c>
      <c r="W451" s="453">
        <f t="shared" si="127"/>
        <v>5500</v>
      </c>
      <c r="X451" s="748">
        <f t="shared" si="128"/>
        <v>2.1367521367521367</v>
      </c>
      <c r="Y451" s="451" t="str">
        <f>IFERROR(VLOOKUP(E:E,'Item Data Support Sheet'!A:J,6,0),0)</f>
        <v>HMC</v>
      </c>
      <c r="Z451" s="428">
        <f>IFERROR(VLOOKUP(E:E,'Item Data Support Sheet'!A:O,4,0),0)</f>
        <v>8.6</v>
      </c>
      <c r="AA451" s="428">
        <f t="shared" si="129"/>
        <v>47.420400000000001</v>
      </c>
      <c r="AB451" s="429">
        <f t="shared" si="130"/>
        <v>0.99746100834240103</v>
      </c>
      <c r="AC451" s="424">
        <f t="shared" si="131"/>
        <v>3.6350418029807341E-4</v>
      </c>
      <c r="AD451" s="371">
        <f t="shared" si="132"/>
        <v>7.2490032620514677E-4</v>
      </c>
      <c r="AE451" s="748">
        <f t="shared" si="133"/>
        <v>0.99963728690605735</v>
      </c>
      <c r="AF451" s="417">
        <f t="shared" si="134"/>
        <v>0.66666666666666663</v>
      </c>
      <c r="AG451" s="416">
        <f t="shared" si="135"/>
        <v>7.333333333333333</v>
      </c>
      <c r="AH451" s="372">
        <f t="shared" si="136"/>
        <v>0.91666666666666663</v>
      </c>
      <c r="AI451" s="373">
        <f t="shared" si="137"/>
        <v>687.5</v>
      </c>
      <c r="AJ451" s="418">
        <f>VLOOKUP(D451,'Standard Cycle time'!C:D,2,0)</f>
        <v>6</v>
      </c>
      <c r="AK451" s="418">
        <f t="shared" si="138"/>
        <v>4.8</v>
      </c>
      <c r="AL451" s="374">
        <f t="shared" si="139"/>
        <v>1.25</v>
      </c>
      <c r="AM451" s="372">
        <f t="shared" si="140"/>
        <v>1.1454177245798574</v>
      </c>
      <c r="AN451" s="799">
        <v>3059</v>
      </c>
      <c r="AO451" s="448"/>
      <c r="AP451" s="440">
        <v>40</v>
      </c>
      <c r="AQ451" s="440">
        <v>0</v>
      </c>
      <c r="AR451" s="440">
        <v>0</v>
      </c>
      <c r="AS451" s="440">
        <v>0</v>
      </c>
      <c r="AT451" s="440">
        <v>0</v>
      </c>
      <c r="AU451" s="440">
        <v>0</v>
      </c>
      <c r="AV451" s="440">
        <v>0</v>
      </c>
      <c r="AW451" s="440">
        <v>0</v>
      </c>
      <c r="AX451" s="440">
        <v>0</v>
      </c>
      <c r="AY451" s="440">
        <v>0</v>
      </c>
      <c r="AZ451" s="440">
        <v>0</v>
      </c>
      <c r="BA451" s="440">
        <v>0</v>
      </c>
      <c r="BB451" s="440">
        <v>0</v>
      </c>
      <c r="BC451" s="440">
        <v>0</v>
      </c>
      <c r="BD451" s="440">
        <v>0</v>
      </c>
      <c r="BE451" s="440">
        <v>0</v>
      </c>
      <c r="BF451" s="440">
        <v>0</v>
      </c>
      <c r="BG451" s="440">
        <v>0</v>
      </c>
      <c r="BH451" s="440">
        <v>0</v>
      </c>
      <c r="BI451" s="440">
        <v>0</v>
      </c>
      <c r="BJ451" s="440">
        <v>0</v>
      </c>
      <c r="BK451" s="440">
        <v>0</v>
      </c>
      <c r="BL451" s="440">
        <v>0</v>
      </c>
      <c r="BM451" s="440">
        <v>0</v>
      </c>
      <c r="BN451" s="440">
        <v>0</v>
      </c>
      <c r="BO451" s="440">
        <v>0</v>
      </c>
      <c r="BP451" s="440">
        <v>0</v>
      </c>
      <c r="BQ451" s="440">
        <v>0</v>
      </c>
      <c r="BR451" s="415">
        <v>0.66666666666666663</v>
      </c>
      <c r="BS451" s="415">
        <v>0.6777777777777777</v>
      </c>
      <c r="BT451" s="935"/>
      <c r="BU451" s="935"/>
      <c r="BV451" s="935"/>
      <c r="BW451" s="935"/>
      <c r="BX451" s="935"/>
      <c r="BY451" s="935"/>
      <c r="BZ451" s="935"/>
      <c r="CA451" s="935"/>
      <c r="CB451" s="935"/>
      <c r="CC451" s="935"/>
      <c r="CD451" s="935"/>
      <c r="CE451" s="935"/>
      <c r="CF451" s="935"/>
      <c r="CG451" s="935"/>
      <c r="CH451" s="935"/>
      <c r="CI451" s="935"/>
      <c r="CJ451" s="935"/>
      <c r="CK451" s="935"/>
      <c r="CL451" s="935"/>
      <c r="CM451" s="935"/>
      <c r="CN451" s="935"/>
      <c r="CO451" s="935"/>
      <c r="CP451" s="935"/>
      <c r="CQ451" s="935"/>
      <c r="CR451" s="935"/>
      <c r="CS451" s="935"/>
      <c r="CT451" s="935"/>
      <c r="CU451" s="935"/>
      <c r="CV451" s="935"/>
    </row>
    <row r="452" spans="1:100" s="441" customFormat="1">
      <c r="A452" s="375">
        <f t="shared" si="126"/>
        <v>9</v>
      </c>
      <c r="B452" s="862">
        <v>44447</v>
      </c>
      <c r="C452" s="493" t="s">
        <v>1980</v>
      </c>
      <c r="D452" s="376" t="str">
        <f>IFERROR(VLOOKUP(E:E,'Item Data Support Sheet'!A:O,7,0),"")</f>
        <v>NIPPLE MOLDED</v>
      </c>
      <c r="E452" s="447" t="s">
        <v>73</v>
      </c>
      <c r="F452" s="500" t="s">
        <v>1678</v>
      </c>
      <c r="G452" s="497" t="s">
        <v>1690</v>
      </c>
      <c r="H452" s="602" t="str">
        <f>IFERROR(VLOOKUP(E:E,'Item Data Support Sheet'!A:O,2,0),"")</f>
        <v>NIPPLE S TYPE M SIZE INJECTION</v>
      </c>
      <c r="I452" s="501" t="s">
        <v>2985</v>
      </c>
      <c r="J452" s="501" t="s">
        <v>2809</v>
      </c>
      <c r="K452" s="438">
        <v>8</v>
      </c>
      <c r="L452" s="499">
        <v>4815</v>
      </c>
      <c r="M452" s="366">
        <f t="shared" si="141"/>
        <v>601.875</v>
      </c>
      <c r="N452" s="367">
        <f t="shared" ref="N452:N515" si="142">+O452+Q452+T452+U452</f>
        <v>5370</v>
      </c>
      <c r="O452" s="61">
        <v>5200</v>
      </c>
      <c r="P452" s="368">
        <v>0.36</v>
      </c>
      <c r="Q452" s="368">
        <v>90</v>
      </c>
      <c r="R452" s="494">
        <v>0</v>
      </c>
      <c r="S452" s="493">
        <v>0</v>
      </c>
      <c r="T452" s="494">
        <v>72</v>
      </c>
      <c r="U452" s="493">
        <v>8</v>
      </c>
      <c r="V452" s="502">
        <v>1</v>
      </c>
      <c r="W452" s="453">
        <f t="shared" si="127"/>
        <v>5200</v>
      </c>
      <c r="X452" s="748">
        <f t="shared" si="128"/>
        <v>1.0799584631360333</v>
      </c>
      <c r="Y452" s="451" t="str">
        <f>IFERROR(VLOOKUP(E:E,'Item Data Support Sheet'!A:J,6,0),0)</f>
        <v>Silicon</v>
      </c>
      <c r="Z452" s="428">
        <f>IFERROR(VLOOKUP(E:E,'Item Data Support Sheet'!A:O,4,0),0)</f>
        <v>6.8</v>
      </c>
      <c r="AA452" s="428">
        <f t="shared" si="129"/>
        <v>36.875999999999998</v>
      </c>
      <c r="AB452" s="429">
        <f t="shared" si="130"/>
        <v>0.95888925046100448</v>
      </c>
      <c r="AC452" s="424">
        <f t="shared" si="131"/>
        <v>1.3657056145675266E-2</v>
      </c>
      <c r="AD452" s="371">
        <f t="shared" si="132"/>
        <v>1.6483516483516484E-2</v>
      </c>
      <c r="AE452" s="748">
        <f t="shared" si="133"/>
        <v>0.98659217877094973</v>
      </c>
      <c r="AF452" s="417">
        <f t="shared" si="134"/>
        <v>0</v>
      </c>
      <c r="AG452" s="416">
        <f t="shared" si="135"/>
        <v>8</v>
      </c>
      <c r="AH452" s="372">
        <f t="shared" si="136"/>
        <v>1</v>
      </c>
      <c r="AI452" s="373">
        <f t="shared" si="137"/>
        <v>650</v>
      </c>
      <c r="AJ452" s="418">
        <f>VLOOKUP(D452,'Standard Cycle time'!C:D,2,0)</f>
        <v>5.25</v>
      </c>
      <c r="AK452" s="418">
        <f t="shared" si="138"/>
        <v>5.5384615384615383</v>
      </c>
      <c r="AL452" s="374">
        <f t="shared" si="139"/>
        <v>0.94791666666666674</v>
      </c>
      <c r="AM452" s="372">
        <f t="shared" si="140"/>
        <v>0.93520716945996285</v>
      </c>
      <c r="AN452" s="799">
        <v>3081</v>
      </c>
      <c r="AO452" s="448"/>
      <c r="AP452" s="440">
        <v>0</v>
      </c>
      <c r="AQ452" s="440">
        <v>0</v>
      </c>
      <c r="AR452" s="440">
        <v>0</v>
      </c>
      <c r="AS452" s="440">
        <v>0</v>
      </c>
      <c r="AT452" s="440">
        <v>0</v>
      </c>
      <c r="AU452" s="440">
        <v>0</v>
      </c>
      <c r="AV452" s="440">
        <v>0</v>
      </c>
      <c r="AW452" s="440">
        <v>0</v>
      </c>
      <c r="AX452" s="440">
        <v>0</v>
      </c>
      <c r="AY452" s="440">
        <v>0</v>
      </c>
      <c r="AZ452" s="440">
        <v>0</v>
      </c>
      <c r="BA452" s="440">
        <v>0</v>
      </c>
      <c r="BB452" s="440">
        <v>0</v>
      </c>
      <c r="BC452" s="440">
        <v>0</v>
      </c>
      <c r="BD452" s="440">
        <v>0</v>
      </c>
      <c r="BE452" s="440">
        <v>0</v>
      </c>
      <c r="BF452" s="440">
        <v>0</v>
      </c>
      <c r="BG452" s="440">
        <v>0</v>
      </c>
      <c r="BH452" s="440">
        <v>0</v>
      </c>
      <c r="BI452" s="440">
        <v>0</v>
      </c>
      <c r="BJ452" s="440">
        <v>0</v>
      </c>
      <c r="BK452" s="440">
        <v>0</v>
      </c>
      <c r="BL452" s="440">
        <v>0</v>
      </c>
      <c r="BM452" s="440">
        <v>0</v>
      </c>
      <c r="BN452" s="440">
        <v>0</v>
      </c>
      <c r="BO452" s="440">
        <v>0</v>
      </c>
      <c r="BP452" s="440">
        <v>0</v>
      </c>
      <c r="BQ452" s="440">
        <v>0</v>
      </c>
      <c r="BR452" s="415">
        <v>0</v>
      </c>
      <c r="BS452" s="415">
        <v>0</v>
      </c>
      <c r="BT452" s="935"/>
      <c r="BU452" s="935"/>
      <c r="BV452" s="935"/>
      <c r="BW452" s="935"/>
      <c r="BX452" s="935"/>
      <c r="BY452" s="935"/>
      <c r="BZ452" s="935"/>
      <c r="CA452" s="935"/>
      <c r="CB452" s="935"/>
      <c r="CC452" s="935"/>
      <c r="CD452" s="935"/>
      <c r="CE452" s="935"/>
      <c r="CF452" s="935"/>
      <c r="CG452" s="935"/>
      <c r="CH452" s="935"/>
      <c r="CI452" s="935"/>
      <c r="CJ452" s="935"/>
      <c r="CK452" s="935"/>
      <c r="CL452" s="935"/>
      <c r="CM452" s="935"/>
      <c r="CN452" s="935"/>
      <c r="CO452" s="935"/>
      <c r="CP452" s="935"/>
      <c r="CQ452" s="935"/>
      <c r="CR452" s="935"/>
      <c r="CS452" s="935"/>
      <c r="CT452" s="935"/>
      <c r="CU452" s="935"/>
      <c r="CV452" s="935"/>
    </row>
    <row r="453" spans="1:100" s="441" customFormat="1">
      <c r="A453" s="375">
        <f t="shared" ref="A453:A516" si="143">MONTH(B453)</f>
        <v>9</v>
      </c>
      <c r="B453" s="862">
        <v>44447</v>
      </c>
      <c r="C453" s="493" t="s">
        <v>1980</v>
      </c>
      <c r="D453" s="376" t="str">
        <f>IFERROR(VLOOKUP(E:E,'Item Data Support Sheet'!A:O,7,0),"")</f>
        <v>NIPPLE PUNCH</v>
      </c>
      <c r="E453" s="447" t="s">
        <v>81</v>
      </c>
      <c r="F453" s="500"/>
      <c r="G453" s="497"/>
      <c r="H453" s="602" t="str">
        <f>IFERROR(VLOOKUP(E:E,'Item Data Support Sheet'!A:O,2,0),"")</f>
        <v>NIPPLE S TYPE M SIZE PUNCHED</v>
      </c>
      <c r="I453" s="501" t="s">
        <v>2986</v>
      </c>
      <c r="J453" s="501" t="s">
        <v>2809</v>
      </c>
      <c r="K453" s="438">
        <v>2</v>
      </c>
      <c r="L453" s="499">
        <v>1840</v>
      </c>
      <c r="M453" s="366">
        <f t="shared" si="141"/>
        <v>920</v>
      </c>
      <c r="N453" s="367">
        <f t="shared" si="142"/>
        <v>1840</v>
      </c>
      <c r="O453" s="61">
        <v>1840</v>
      </c>
      <c r="P453" s="368">
        <v>0</v>
      </c>
      <c r="Q453" s="368">
        <v>0</v>
      </c>
      <c r="R453" s="494">
        <v>0</v>
      </c>
      <c r="S453" s="493">
        <v>0</v>
      </c>
      <c r="T453" s="494">
        <v>0</v>
      </c>
      <c r="U453" s="493">
        <v>0</v>
      </c>
      <c r="V453" s="502">
        <v>1</v>
      </c>
      <c r="W453" s="453">
        <f t="shared" ref="W453:W516" si="144">IFERROR(O453/V453,0)</f>
        <v>1840</v>
      </c>
      <c r="X453" s="748">
        <f t="shared" ref="X453:X516" si="145">O453/L453</f>
        <v>1</v>
      </c>
      <c r="Y453" s="451" t="str">
        <f>IFERROR(VLOOKUP(E:E,'Item Data Support Sheet'!A:J,6,0),0)</f>
        <v>FO016</v>
      </c>
      <c r="Z453" s="428">
        <f>IFERROR(VLOOKUP(E:E,'Item Data Support Sheet'!A:O,4,0),0)</f>
        <v>0</v>
      </c>
      <c r="AA453" s="428">
        <f t="shared" ref="AA453:AA516" si="146">IFERROR(((N453)*(Z453/1000))+P453,0)</f>
        <v>0</v>
      </c>
      <c r="AB453" s="429" t="str">
        <f t="shared" ref="AB453:AB516" si="147">IFERROR((O453*(Z453/1000)/(AA453))," ")</f>
        <v xml:space="preserve"> </v>
      </c>
      <c r="AC453" s="424">
        <f t="shared" ref="AC453:AC516" si="148">IFERROR((T453)/((T453)+O453),0)</f>
        <v>0</v>
      </c>
      <c r="AD453" s="371">
        <f t="shared" ref="AD453:AD516" si="149">IFERROR(Q453/(Q453+N453),0)</f>
        <v>0</v>
      </c>
      <c r="AE453" s="748">
        <f t="shared" ref="AE453:AE516" si="150">(N453-T453)/N453</f>
        <v>1</v>
      </c>
      <c r="AF453" s="417">
        <f t="shared" ref="AF453:AF516" si="151">BR453</f>
        <v>0.66666666666666663</v>
      </c>
      <c r="AG453" s="416">
        <f t="shared" ref="AG453:AG516" si="152">K453-AF453</f>
        <v>1.3333333333333335</v>
      </c>
      <c r="AH453" s="372">
        <f t="shared" ref="AH453:AH516" si="153">IFERROR(AG453/K453," ")</f>
        <v>0.66666666666666674</v>
      </c>
      <c r="AI453" s="373">
        <f t="shared" ref="AI453:AI516" si="154">IFERROR(O453/K453,0)</f>
        <v>920</v>
      </c>
      <c r="AJ453" s="418">
        <f>VLOOKUP(D453,'Standard Cycle time'!C:D,2,0)</f>
        <v>3.5</v>
      </c>
      <c r="AK453" s="418">
        <f t="shared" ref="AK453:AK516" si="155">AG453*V453*3600/O453</f>
        <v>2.6086956521739135</v>
      </c>
      <c r="AL453" s="374">
        <f t="shared" ref="AL453:AL516" si="156">AJ453/AK453</f>
        <v>1.3416666666666663</v>
      </c>
      <c r="AM453" s="372">
        <f t="shared" ref="AM453:AM516" si="157">AE453*AL453*AH453</f>
        <v>0.89444444444444438</v>
      </c>
      <c r="AN453" s="799">
        <v>3068</v>
      </c>
      <c r="AO453" s="448"/>
      <c r="AP453" s="440">
        <v>40</v>
      </c>
      <c r="AQ453" s="440">
        <v>0</v>
      </c>
      <c r="AR453" s="440">
        <v>0</v>
      </c>
      <c r="AS453" s="440">
        <v>0</v>
      </c>
      <c r="AT453" s="440">
        <v>0</v>
      </c>
      <c r="AU453" s="440">
        <v>0</v>
      </c>
      <c r="AV453" s="440">
        <v>0</v>
      </c>
      <c r="AW453" s="440">
        <v>0</v>
      </c>
      <c r="AX453" s="440">
        <v>0</v>
      </c>
      <c r="AY453" s="440">
        <v>0</v>
      </c>
      <c r="AZ453" s="440">
        <v>0</v>
      </c>
      <c r="BA453" s="440">
        <v>0</v>
      </c>
      <c r="BB453" s="440">
        <v>0</v>
      </c>
      <c r="BC453" s="440">
        <v>0</v>
      </c>
      <c r="BD453" s="440">
        <v>0</v>
      </c>
      <c r="BE453" s="440">
        <v>0</v>
      </c>
      <c r="BF453" s="440">
        <v>0</v>
      </c>
      <c r="BG453" s="440">
        <v>0</v>
      </c>
      <c r="BH453" s="440">
        <v>0</v>
      </c>
      <c r="BI453" s="440">
        <v>0</v>
      </c>
      <c r="BJ453" s="440">
        <v>0</v>
      </c>
      <c r="BK453" s="440">
        <v>0</v>
      </c>
      <c r="BL453" s="440">
        <v>0</v>
      </c>
      <c r="BM453" s="440">
        <v>0</v>
      </c>
      <c r="BN453" s="440">
        <v>0</v>
      </c>
      <c r="BO453" s="440">
        <v>0</v>
      </c>
      <c r="BP453" s="440">
        <v>0</v>
      </c>
      <c r="BQ453" s="440">
        <v>0</v>
      </c>
      <c r="BR453" s="415">
        <v>0.66666666666666663</v>
      </c>
      <c r="BS453" s="415">
        <v>0.6777777777777777</v>
      </c>
      <c r="BT453" s="935"/>
      <c r="BU453" s="935"/>
      <c r="BV453" s="935"/>
      <c r="BW453" s="935"/>
      <c r="BX453" s="935"/>
      <c r="BY453" s="935"/>
      <c r="BZ453" s="935"/>
      <c r="CA453" s="935"/>
      <c r="CB453" s="935"/>
      <c r="CC453" s="935"/>
      <c r="CD453" s="935"/>
      <c r="CE453" s="935"/>
      <c r="CF453" s="935"/>
      <c r="CG453" s="935"/>
      <c r="CH453" s="935"/>
      <c r="CI453" s="935"/>
      <c r="CJ453" s="935"/>
      <c r="CK453" s="935"/>
      <c r="CL453" s="935"/>
      <c r="CM453" s="935"/>
      <c r="CN453" s="935"/>
      <c r="CO453" s="935"/>
      <c r="CP453" s="935"/>
      <c r="CQ453" s="935"/>
      <c r="CR453" s="935"/>
      <c r="CS453" s="935"/>
      <c r="CT453" s="935"/>
      <c r="CU453" s="935"/>
      <c r="CV453" s="935"/>
    </row>
    <row r="454" spans="1:100" s="441" customFormat="1">
      <c r="A454" s="375">
        <f t="shared" si="143"/>
        <v>9</v>
      </c>
      <c r="B454" s="862">
        <v>44447</v>
      </c>
      <c r="C454" s="493" t="s">
        <v>1980</v>
      </c>
      <c r="D454" s="376" t="str">
        <f>IFERROR(VLOOKUP(E:E,'Item Data Support Sheet'!A:O,7,0),"")</f>
        <v>NIPPLE LASER MARKING</v>
      </c>
      <c r="E454" s="447" t="s">
        <v>1815</v>
      </c>
      <c r="F454" s="500"/>
      <c r="G454" s="497"/>
      <c r="H454" s="602" t="str">
        <f>IFERROR(VLOOKUP(E:E,'Item Data Support Sheet'!A:O,2,0),"")</f>
        <v>NIPPLE S TYPE M SIZE PUNCHED LASER MARKED</v>
      </c>
      <c r="I454" s="501" t="s">
        <v>2987</v>
      </c>
      <c r="J454" s="501" t="s">
        <v>2809</v>
      </c>
      <c r="K454" s="438">
        <v>8</v>
      </c>
      <c r="L454" s="499">
        <v>7036</v>
      </c>
      <c r="M454" s="366">
        <f t="shared" si="141"/>
        <v>879.5</v>
      </c>
      <c r="N454" s="367">
        <f t="shared" si="142"/>
        <v>5700</v>
      </c>
      <c r="O454" s="61">
        <v>5700</v>
      </c>
      <c r="P454" s="368">
        <v>0</v>
      </c>
      <c r="Q454" s="368">
        <v>0</v>
      </c>
      <c r="R454" s="494">
        <v>0</v>
      </c>
      <c r="S454" s="493">
        <v>0</v>
      </c>
      <c r="T454" s="494">
        <v>0</v>
      </c>
      <c r="U454" s="493">
        <v>0</v>
      </c>
      <c r="V454" s="502">
        <v>1</v>
      </c>
      <c r="W454" s="453">
        <f t="shared" si="144"/>
        <v>5700</v>
      </c>
      <c r="X454" s="748">
        <f t="shared" si="145"/>
        <v>0.81011938601478117</v>
      </c>
      <c r="Y454" s="451" t="str">
        <f>IFERROR(VLOOKUP(E:E,'Item Data Support Sheet'!A:J,6,0),0)</f>
        <v>FO020</v>
      </c>
      <c r="Z454" s="428">
        <f>IFERROR(VLOOKUP(E:E,'Item Data Support Sheet'!A:O,4,0),0)</f>
        <v>0</v>
      </c>
      <c r="AA454" s="428">
        <f t="shared" si="146"/>
        <v>0</v>
      </c>
      <c r="AB454" s="429" t="str">
        <f t="shared" si="147"/>
        <v xml:space="preserve"> </v>
      </c>
      <c r="AC454" s="424">
        <f t="shared" si="148"/>
        <v>0</v>
      </c>
      <c r="AD454" s="371">
        <f t="shared" si="149"/>
        <v>0</v>
      </c>
      <c r="AE454" s="748">
        <f t="shared" si="150"/>
        <v>1</v>
      </c>
      <c r="AF454" s="417">
        <f t="shared" si="151"/>
        <v>2</v>
      </c>
      <c r="AG454" s="416">
        <f t="shared" si="152"/>
        <v>6</v>
      </c>
      <c r="AH454" s="372">
        <f t="shared" si="153"/>
        <v>0.75</v>
      </c>
      <c r="AI454" s="373">
        <f t="shared" si="154"/>
        <v>712.5</v>
      </c>
      <c r="AJ454" s="418">
        <f>VLOOKUP(D454,'Standard Cycle time'!C:D,2,0)</f>
        <v>3.5</v>
      </c>
      <c r="AK454" s="418">
        <f t="shared" si="155"/>
        <v>3.7894736842105261</v>
      </c>
      <c r="AL454" s="374">
        <f t="shared" si="156"/>
        <v>0.92361111111111116</v>
      </c>
      <c r="AM454" s="372">
        <f t="shared" si="157"/>
        <v>0.69270833333333337</v>
      </c>
      <c r="AN454" s="799" t="s">
        <v>2988</v>
      </c>
      <c r="AO454" s="448"/>
      <c r="AP454" s="440">
        <v>0</v>
      </c>
      <c r="AQ454" s="440">
        <v>0</v>
      </c>
      <c r="AR454" s="440">
        <v>0</v>
      </c>
      <c r="AS454" s="440">
        <v>0</v>
      </c>
      <c r="AT454" s="440">
        <v>0</v>
      </c>
      <c r="AU454" s="440">
        <v>0</v>
      </c>
      <c r="AV454" s="440">
        <v>120</v>
      </c>
      <c r="AW454" s="440">
        <v>0</v>
      </c>
      <c r="AX454" s="440">
        <v>0</v>
      </c>
      <c r="AY454" s="440">
        <v>0</v>
      </c>
      <c r="AZ454" s="440">
        <v>0</v>
      </c>
      <c r="BA454" s="440">
        <v>0</v>
      </c>
      <c r="BB454" s="440">
        <v>0</v>
      </c>
      <c r="BC454" s="440">
        <v>0</v>
      </c>
      <c r="BD454" s="440">
        <v>0</v>
      </c>
      <c r="BE454" s="440">
        <v>0</v>
      </c>
      <c r="BF454" s="440">
        <v>0</v>
      </c>
      <c r="BG454" s="440">
        <v>0</v>
      </c>
      <c r="BH454" s="440">
        <v>0</v>
      </c>
      <c r="BI454" s="440">
        <v>0</v>
      </c>
      <c r="BJ454" s="440">
        <v>0</v>
      </c>
      <c r="BK454" s="440">
        <v>0</v>
      </c>
      <c r="BL454" s="440">
        <v>0</v>
      </c>
      <c r="BM454" s="440">
        <v>0</v>
      </c>
      <c r="BN454" s="440">
        <v>0</v>
      </c>
      <c r="BO454" s="440">
        <v>0</v>
      </c>
      <c r="BP454" s="440">
        <v>0</v>
      </c>
      <c r="BQ454" s="440">
        <v>0</v>
      </c>
      <c r="BR454" s="415">
        <v>2</v>
      </c>
      <c r="BS454" s="415">
        <v>2.0333333333333332</v>
      </c>
      <c r="BT454" s="935"/>
      <c r="BU454" s="935"/>
      <c r="BV454" s="935"/>
      <c r="BW454" s="935"/>
      <c r="BX454" s="935"/>
      <c r="BY454" s="935"/>
      <c r="BZ454" s="935"/>
      <c r="CA454" s="935"/>
      <c r="CB454" s="935"/>
      <c r="CC454" s="935"/>
      <c r="CD454" s="935"/>
      <c r="CE454" s="935"/>
      <c r="CF454" s="935"/>
      <c r="CG454" s="935"/>
      <c r="CH454" s="935"/>
      <c r="CI454" s="935"/>
      <c r="CJ454" s="935"/>
      <c r="CK454" s="935"/>
      <c r="CL454" s="935"/>
      <c r="CM454" s="935"/>
      <c r="CN454" s="935"/>
      <c r="CO454" s="935"/>
      <c r="CP454" s="935"/>
      <c r="CQ454" s="935"/>
      <c r="CR454" s="935"/>
      <c r="CS454" s="935"/>
      <c r="CT454" s="935"/>
      <c r="CU454" s="935"/>
      <c r="CV454" s="935"/>
    </row>
    <row r="455" spans="1:100" s="441" customFormat="1">
      <c r="A455" s="375">
        <f t="shared" si="143"/>
        <v>9</v>
      </c>
      <c r="B455" s="862">
        <v>44447</v>
      </c>
      <c r="C455" s="493" t="s">
        <v>1980</v>
      </c>
      <c r="D455" s="376" t="str">
        <f>IFERROR(VLOOKUP(E:E,'Item Data Support Sheet'!A:O,7,0),"")</f>
        <v>NIPPLE PUNCH</v>
      </c>
      <c r="E455" s="447" t="s">
        <v>81</v>
      </c>
      <c r="F455" s="500"/>
      <c r="G455" s="497"/>
      <c r="H455" s="602" t="str">
        <f>IFERROR(VLOOKUP(E:E,'Item Data Support Sheet'!A:O,2,0),"")</f>
        <v>NIPPLE S TYPE M SIZE PUNCHED</v>
      </c>
      <c r="I455" s="501" t="s">
        <v>2989</v>
      </c>
      <c r="J455" s="501" t="s">
        <v>2809</v>
      </c>
      <c r="K455" s="438">
        <v>6</v>
      </c>
      <c r="L455" s="499">
        <v>5000</v>
      </c>
      <c r="M455" s="366">
        <f t="shared" si="141"/>
        <v>833.33333333333337</v>
      </c>
      <c r="N455" s="367">
        <f t="shared" si="142"/>
        <v>3500</v>
      </c>
      <c r="O455" s="61">
        <v>3500</v>
      </c>
      <c r="P455" s="368">
        <v>0</v>
      </c>
      <c r="Q455" s="368">
        <v>0</v>
      </c>
      <c r="R455" s="494">
        <v>0</v>
      </c>
      <c r="S455" s="493">
        <v>0</v>
      </c>
      <c r="T455" s="494">
        <v>0</v>
      </c>
      <c r="U455" s="493">
        <v>0</v>
      </c>
      <c r="V455" s="502">
        <v>1</v>
      </c>
      <c r="W455" s="453">
        <f t="shared" si="144"/>
        <v>3500</v>
      </c>
      <c r="X455" s="748">
        <f t="shared" si="145"/>
        <v>0.7</v>
      </c>
      <c r="Y455" s="451" t="str">
        <f>IFERROR(VLOOKUP(E:E,'Item Data Support Sheet'!A:J,6,0),0)</f>
        <v>FO016</v>
      </c>
      <c r="Z455" s="428">
        <f>IFERROR(VLOOKUP(E:E,'Item Data Support Sheet'!A:O,4,0),0)</f>
        <v>0</v>
      </c>
      <c r="AA455" s="428">
        <f t="shared" si="146"/>
        <v>0</v>
      </c>
      <c r="AB455" s="429" t="str">
        <f t="shared" si="147"/>
        <v xml:space="preserve"> </v>
      </c>
      <c r="AC455" s="424">
        <f t="shared" si="148"/>
        <v>0</v>
      </c>
      <c r="AD455" s="371">
        <f t="shared" si="149"/>
        <v>0</v>
      </c>
      <c r="AE455" s="748">
        <f t="shared" si="150"/>
        <v>1</v>
      </c>
      <c r="AF455" s="417">
        <f t="shared" si="151"/>
        <v>2.5</v>
      </c>
      <c r="AG455" s="416">
        <f t="shared" si="152"/>
        <v>3.5</v>
      </c>
      <c r="AH455" s="372">
        <f t="shared" si="153"/>
        <v>0.58333333333333337</v>
      </c>
      <c r="AI455" s="373">
        <f t="shared" si="154"/>
        <v>583.33333333333337</v>
      </c>
      <c r="AJ455" s="418">
        <f>VLOOKUP(D455,'Standard Cycle time'!C:D,2,0)</f>
        <v>3.5</v>
      </c>
      <c r="AK455" s="418">
        <f t="shared" si="155"/>
        <v>3.6</v>
      </c>
      <c r="AL455" s="374">
        <f t="shared" si="156"/>
        <v>0.97222222222222221</v>
      </c>
      <c r="AM455" s="372">
        <f t="shared" si="157"/>
        <v>0.56712962962962965</v>
      </c>
      <c r="AN455" s="799">
        <v>3082</v>
      </c>
      <c r="AO455" s="448"/>
      <c r="AP455" s="440">
        <v>0</v>
      </c>
      <c r="AQ455" s="440">
        <v>0</v>
      </c>
      <c r="AR455" s="440">
        <v>0</v>
      </c>
      <c r="AS455" s="440">
        <v>0</v>
      </c>
      <c r="AT455" s="440">
        <v>0</v>
      </c>
      <c r="AU455" s="440">
        <v>0</v>
      </c>
      <c r="AV455" s="440">
        <v>150</v>
      </c>
      <c r="AW455" s="440">
        <v>0</v>
      </c>
      <c r="AX455" s="440">
        <v>0</v>
      </c>
      <c r="AY455" s="440">
        <v>0</v>
      </c>
      <c r="AZ455" s="440">
        <v>0</v>
      </c>
      <c r="BA455" s="440">
        <v>0</v>
      </c>
      <c r="BB455" s="440">
        <v>0</v>
      </c>
      <c r="BC455" s="440">
        <v>0</v>
      </c>
      <c r="BD455" s="440">
        <v>0</v>
      </c>
      <c r="BE455" s="440">
        <v>0</v>
      </c>
      <c r="BF455" s="440">
        <v>0</v>
      </c>
      <c r="BG455" s="440">
        <v>0</v>
      </c>
      <c r="BH455" s="440">
        <v>0</v>
      </c>
      <c r="BI455" s="440">
        <v>0</v>
      </c>
      <c r="BJ455" s="440">
        <v>0</v>
      </c>
      <c r="BK455" s="440">
        <v>0</v>
      </c>
      <c r="BL455" s="440">
        <v>0</v>
      </c>
      <c r="BM455" s="440">
        <v>0</v>
      </c>
      <c r="BN455" s="440">
        <v>0</v>
      </c>
      <c r="BO455" s="440">
        <v>0</v>
      </c>
      <c r="BP455" s="440">
        <v>0</v>
      </c>
      <c r="BQ455" s="440">
        <v>0</v>
      </c>
      <c r="BR455" s="415">
        <v>2.5</v>
      </c>
      <c r="BS455" s="415">
        <v>2.5416666666666665</v>
      </c>
      <c r="BT455" s="935"/>
      <c r="BU455" s="935"/>
      <c r="BV455" s="935"/>
      <c r="BW455" s="935"/>
      <c r="BX455" s="935"/>
      <c r="BY455" s="935"/>
      <c r="BZ455" s="935"/>
      <c r="CA455" s="935"/>
      <c r="CB455" s="935"/>
      <c r="CC455" s="935"/>
      <c r="CD455" s="935"/>
      <c r="CE455" s="935"/>
      <c r="CF455" s="935"/>
      <c r="CG455" s="935"/>
      <c r="CH455" s="935"/>
      <c r="CI455" s="935"/>
      <c r="CJ455" s="935"/>
      <c r="CK455" s="935"/>
      <c r="CL455" s="935"/>
      <c r="CM455" s="935"/>
      <c r="CN455" s="935"/>
      <c r="CO455" s="935"/>
      <c r="CP455" s="935"/>
      <c r="CQ455" s="935"/>
      <c r="CR455" s="935"/>
      <c r="CS455" s="935"/>
      <c r="CT455" s="935"/>
      <c r="CU455" s="935"/>
      <c r="CV455" s="935"/>
    </row>
    <row r="456" spans="1:100" s="441" customFormat="1">
      <c r="A456" s="375">
        <f t="shared" si="143"/>
        <v>9</v>
      </c>
      <c r="B456" s="862">
        <v>44447</v>
      </c>
      <c r="C456" s="493" t="s">
        <v>1980</v>
      </c>
      <c r="D456" s="376" t="str">
        <f>IFERROR(VLOOKUP(E:E,'Item Data Support Sheet'!A:O,7,0),"")</f>
        <v>BOTTLE PRINTED</v>
      </c>
      <c r="E456" s="447" t="s">
        <v>187</v>
      </c>
      <c r="F456" s="500"/>
      <c r="G456" s="497" t="s">
        <v>1698</v>
      </c>
      <c r="H456" s="602" t="str">
        <f>IFERROR(VLOOKUP(E:E,'Item Data Support Sheet'!A:O,2,0),"")</f>
        <v>KPP 240 BOTTLE PRINTED (WMG3B) W/O OZ &amp; W/BIS LOGO</v>
      </c>
      <c r="I456" s="501" t="s">
        <v>2990</v>
      </c>
      <c r="J456" s="501" t="s">
        <v>2808</v>
      </c>
      <c r="K456" s="438">
        <v>4</v>
      </c>
      <c r="L456" s="499">
        <v>2000</v>
      </c>
      <c r="M456" s="366">
        <f t="shared" si="141"/>
        <v>500</v>
      </c>
      <c r="N456" s="367">
        <f t="shared" si="142"/>
        <v>864</v>
      </c>
      <c r="O456" s="61">
        <v>836</v>
      </c>
      <c r="P456" s="368">
        <v>0</v>
      </c>
      <c r="Q456" s="368">
        <v>0</v>
      </c>
      <c r="R456" s="494">
        <v>9</v>
      </c>
      <c r="S456" s="493">
        <v>9</v>
      </c>
      <c r="T456" s="494">
        <v>28</v>
      </c>
      <c r="U456" s="493">
        <v>0</v>
      </c>
      <c r="V456" s="502">
        <v>5</v>
      </c>
      <c r="W456" s="453">
        <f t="shared" si="144"/>
        <v>167.2</v>
      </c>
      <c r="X456" s="748">
        <f t="shared" si="145"/>
        <v>0.41799999999999998</v>
      </c>
      <c r="Y456" s="451" t="str">
        <f>IFERROR(VLOOKUP(E:E,'Item Data Support Sheet'!A:J,6,0),0)</f>
        <v>FO044</v>
      </c>
      <c r="Z456" s="428">
        <f>IFERROR(VLOOKUP(E:E,'Item Data Support Sheet'!A:O,4,0),0)</f>
        <v>0</v>
      </c>
      <c r="AA456" s="428">
        <f t="shared" si="146"/>
        <v>0</v>
      </c>
      <c r="AB456" s="429" t="str">
        <f t="shared" si="147"/>
        <v xml:space="preserve"> </v>
      </c>
      <c r="AC456" s="424">
        <f t="shared" si="148"/>
        <v>3.2407407407407406E-2</v>
      </c>
      <c r="AD456" s="371">
        <f t="shared" si="149"/>
        <v>0</v>
      </c>
      <c r="AE456" s="748">
        <f t="shared" si="150"/>
        <v>0.96759259259259256</v>
      </c>
      <c r="AF456" s="417">
        <f t="shared" si="151"/>
        <v>2.6666666666666665</v>
      </c>
      <c r="AG456" s="416">
        <f t="shared" si="152"/>
        <v>1.3333333333333335</v>
      </c>
      <c r="AH456" s="372">
        <f t="shared" si="153"/>
        <v>0.33333333333333337</v>
      </c>
      <c r="AI456" s="373">
        <f t="shared" si="154"/>
        <v>209</v>
      </c>
      <c r="AJ456" s="418">
        <f>VLOOKUP(D456,'Standard Cycle time'!C:D,2,0)</f>
        <v>32.4</v>
      </c>
      <c r="AK456" s="418">
        <f t="shared" si="155"/>
        <v>28.708133971291872</v>
      </c>
      <c r="AL456" s="374">
        <f t="shared" si="156"/>
        <v>1.1285999999999998</v>
      </c>
      <c r="AM456" s="372">
        <f t="shared" si="157"/>
        <v>0.36400833333333332</v>
      </c>
      <c r="AN456" s="799" t="s">
        <v>2874</v>
      </c>
      <c r="AO456" s="448" t="s">
        <v>2991</v>
      </c>
      <c r="AP456" s="440">
        <v>40</v>
      </c>
      <c r="AQ456" s="440">
        <v>90</v>
      </c>
      <c r="AR456" s="440">
        <v>0</v>
      </c>
      <c r="AS456" s="440">
        <v>0</v>
      </c>
      <c r="AT456" s="440">
        <v>0</v>
      </c>
      <c r="AU456" s="440">
        <v>0</v>
      </c>
      <c r="AV456" s="440">
        <v>0</v>
      </c>
      <c r="AW456" s="440">
        <v>30</v>
      </c>
      <c r="AX456" s="440">
        <v>0</v>
      </c>
      <c r="AY456" s="440">
        <v>0</v>
      </c>
      <c r="AZ456" s="440">
        <v>0</v>
      </c>
      <c r="BA456" s="440">
        <v>0</v>
      </c>
      <c r="BB456" s="440">
        <v>0</v>
      </c>
      <c r="BC456" s="440">
        <v>0</v>
      </c>
      <c r="BD456" s="440">
        <v>0</v>
      </c>
      <c r="BE456" s="440">
        <v>0</v>
      </c>
      <c r="BF456" s="440">
        <v>0</v>
      </c>
      <c r="BG456" s="440">
        <v>0</v>
      </c>
      <c r="BH456" s="440">
        <v>0</v>
      </c>
      <c r="BI456" s="440">
        <v>0</v>
      </c>
      <c r="BJ456" s="440">
        <v>0</v>
      </c>
      <c r="BK456" s="440">
        <v>0</v>
      </c>
      <c r="BL456" s="440">
        <v>0</v>
      </c>
      <c r="BM456" s="440">
        <v>0</v>
      </c>
      <c r="BN456" s="440">
        <v>0</v>
      </c>
      <c r="BO456" s="440">
        <v>0</v>
      </c>
      <c r="BP456" s="440">
        <v>0</v>
      </c>
      <c r="BQ456" s="440">
        <v>0</v>
      </c>
      <c r="BR456" s="415">
        <v>2.6666666666666665</v>
      </c>
      <c r="BS456" s="415">
        <v>2.7111111111111108</v>
      </c>
      <c r="BT456" s="935"/>
      <c r="BU456" s="935"/>
      <c r="BV456" s="935"/>
      <c r="BW456" s="935"/>
      <c r="BX456" s="935"/>
      <c r="BY456" s="935"/>
      <c r="BZ456" s="935"/>
      <c r="CA456" s="935"/>
      <c r="CB456" s="935"/>
      <c r="CC456" s="935"/>
      <c r="CD456" s="935"/>
      <c r="CE456" s="935"/>
      <c r="CF456" s="935"/>
      <c r="CG456" s="935"/>
      <c r="CH456" s="935"/>
      <c r="CI456" s="935"/>
      <c r="CJ456" s="935"/>
      <c r="CK456" s="935"/>
      <c r="CL456" s="935"/>
      <c r="CM456" s="935"/>
      <c r="CN456" s="935"/>
      <c r="CO456" s="935"/>
      <c r="CP456" s="935"/>
      <c r="CQ456" s="935"/>
      <c r="CR456" s="935"/>
      <c r="CS456" s="935"/>
      <c r="CT456" s="935"/>
      <c r="CU456" s="935"/>
      <c r="CV456" s="935"/>
    </row>
    <row r="457" spans="1:100" s="441" customFormat="1">
      <c r="A457" s="375">
        <f t="shared" si="143"/>
        <v>9</v>
      </c>
      <c r="B457" s="862">
        <v>44447</v>
      </c>
      <c r="C457" s="493" t="s">
        <v>1980</v>
      </c>
      <c r="D457" s="376" t="str">
        <f>IFERROR(VLOOKUP(E:E,'Item Data Support Sheet'!A:O,7,0),"")</f>
        <v>BOTTLE PRINTED</v>
      </c>
      <c r="E457" s="447" t="s">
        <v>116</v>
      </c>
      <c r="F457" s="500"/>
      <c r="G457" s="497" t="s">
        <v>1698</v>
      </c>
      <c r="H457" s="602" t="str">
        <f>IFERROR(VLOOKUP(E:E,'Item Data Support Sheet'!A:O,2,0),"")</f>
        <v>KPP BOTTLE 240 ML PRINTED-WMG3B</v>
      </c>
      <c r="I457" s="501" t="s">
        <v>2990</v>
      </c>
      <c r="J457" s="501" t="s">
        <v>2808</v>
      </c>
      <c r="K457" s="438">
        <v>4</v>
      </c>
      <c r="L457" s="499">
        <v>2000</v>
      </c>
      <c r="M457" s="366">
        <f t="shared" si="141"/>
        <v>500</v>
      </c>
      <c r="N457" s="367">
        <f t="shared" si="142"/>
        <v>426</v>
      </c>
      <c r="O457" s="61">
        <v>420</v>
      </c>
      <c r="P457" s="368">
        <v>0</v>
      </c>
      <c r="Q457" s="368">
        <v>0</v>
      </c>
      <c r="R457" s="494">
        <v>12</v>
      </c>
      <c r="S457" s="493">
        <v>0</v>
      </c>
      <c r="T457" s="494">
        <v>6</v>
      </c>
      <c r="U457" s="493">
        <v>0</v>
      </c>
      <c r="V457" s="502">
        <v>5</v>
      </c>
      <c r="W457" s="453">
        <f t="shared" si="144"/>
        <v>84</v>
      </c>
      <c r="X457" s="748">
        <f t="shared" si="145"/>
        <v>0.21</v>
      </c>
      <c r="Y457" s="451" t="str">
        <f>IFERROR(VLOOKUP(E:E,'Item Data Support Sheet'!A:J,6,0),0)</f>
        <v>FO044</v>
      </c>
      <c r="Z457" s="428">
        <f>IFERROR(VLOOKUP(E:E,'Item Data Support Sheet'!A:O,4,0),0)</f>
        <v>0</v>
      </c>
      <c r="AA457" s="428">
        <f t="shared" si="146"/>
        <v>0</v>
      </c>
      <c r="AB457" s="429" t="str">
        <f t="shared" si="147"/>
        <v xml:space="preserve"> </v>
      </c>
      <c r="AC457" s="424">
        <f t="shared" si="148"/>
        <v>1.4084507042253521E-2</v>
      </c>
      <c r="AD457" s="371">
        <f t="shared" si="149"/>
        <v>0</v>
      </c>
      <c r="AE457" s="748">
        <f t="shared" si="150"/>
        <v>0.9859154929577465</v>
      </c>
      <c r="AF457" s="417">
        <f t="shared" si="151"/>
        <v>3.1666666666666665</v>
      </c>
      <c r="AG457" s="416">
        <f t="shared" si="152"/>
        <v>0.83333333333333348</v>
      </c>
      <c r="AH457" s="372">
        <f t="shared" si="153"/>
        <v>0.20833333333333337</v>
      </c>
      <c r="AI457" s="373">
        <f t="shared" si="154"/>
        <v>105</v>
      </c>
      <c r="AJ457" s="418">
        <f>VLOOKUP(D457,'Standard Cycle time'!C:D,2,0)</f>
        <v>32.4</v>
      </c>
      <c r="AK457" s="418">
        <f t="shared" si="155"/>
        <v>35.714285714285722</v>
      </c>
      <c r="AL457" s="374">
        <f t="shared" si="156"/>
        <v>0.90719999999999978</v>
      </c>
      <c r="AM457" s="372">
        <f t="shared" si="157"/>
        <v>0.18633802816901407</v>
      </c>
      <c r="AN457" s="799">
        <v>3057</v>
      </c>
      <c r="AO457" s="448"/>
      <c r="AP457" s="440">
        <v>40</v>
      </c>
      <c r="AQ457" s="440">
        <v>30</v>
      </c>
      <c r="AR457" s="440">
        <v>0</v>
      </c>
      <c r="AS457" s="440">
        <v>0</v>
      </c>
      <c r="AT457" s="440">
        <v>0</v>
      </c>
      <c r="AU457" s="440">
        <v>0</v>
      </c>
      <c r="AV457" s="440">
        <v>0</v>
      </c>
      <c r="AW457" s="440">
        <v>0</v>
      </c>
      <c r="AX457" s="440">
        <v>0</v>
      </c>
      <c r="AY457" s="440">
        <v>0</v>
      </c>
      <c r="AZ457" s="440">
        <v>0</v>
      </c>
      <c r="BA457" s="440">
        <v>120</v>
      </c>
      <c r="BB457" s="440">
        <v>0</v>
      </c>
      <c r="BC457" s="440">
        <v>0</v>
      </c>
      <c r="BD457" s="440">
        <v>0</v>
      </c>
      <c r="BE457" s="440">
        <v>0</v>
      </c>
      <c r="BF457" s="440">
        <v>0</v>
      </c>
      <c r="BG457" s="440">
        <v>0</v>
      </c>
      <c r="BH457" s="440">
        <v>0</v>
      </c>
      <c r="BI457" s="440">
        <v>0</v>
      </c>
      <c r="BJ457" s="440">
        <v>0</v>
      </c>
      <c r="BK457" s="440">
        <v>0</v>
      </c>
      <c r="BL457" s="440">
        <v>0</v>
      </c>
      <c r="BM457" s="440">
        <v>0</v>
      </c>
      <c r="BN457" s="440">
        <v>0</v>
      </c>
      <c r="BO457" s="440">
        <v>0</v>
      </c>
      <c r="BP457" s="440">
        <v>0</v>
      </c>
      <c r="BQ457" s="440">
        <v>0</v>
      </c>
      <c r="BR457" s="415">
        <v>3.1666666666666665</v>
      </c>
      <c r="BS457" s="415">
        <v>3.2194444444444441</v>
      </c>
      <c r="BT457" s="935"/>
      <c r="BU457" s="935"/>
      <c r="BV457" s="935"/>
      <c r="BW457" s="935"/>
      <c r="BX457" s="935"/>
      <c r="BY457" s="935"/>
      <c r="BZ457" s="935"/>
      <c r="CA457" s="935"/>
      <c r="CB457" s="935"/>
      <c r="CC457" s="935"/>
      <c r="CD457" s="935"/>
      <c r="CE457" s="935"/>
      <c r="CF457" s="935"/>
      <c r="CG457" s="935"/>
      <c r="CH457" s="935"/>
      <c r="CI457" s="935"/>
      <c r="CJ457" s="935"/>
      <c r="CK457" s="935"/>
      <c r="CL457" s="935"/>
      <c r="CM457" s="935"/>
      <c r="CN457" s="935"/>
      <c r="CO457" s="935"/>
      <c r="CP457" s="935"/>
      <c r="CQ457" s="935"/>
      <c r="CR457" s="935"/>
      <c r="CS457" s="935"/>
      <c r="CT457" s="935"/>
      <c r="CU457" s="935"/>
      <c r="CV457" s="935"/>
    </row>
    <row r="458" spans="1:100" s="441" customFormat="1">
      <c r="A458" s="375">
        <f t="shared" si="143"/>
        <v>9</v>
      </c>
      <c r="B458" s="862">
        <v>44447</v>
      </c>
      <c r="C458" s="493" t="s">
        <v>2000</v>
      </c>
      <c r="D458" s="376" t="str">
        <f>IFERROR(VLOOKUP(E:E,'Item Data Support Sheet'!A:O,7,0),"")</f>
        <v>NIPPLE WRAP PRINTED</v>
      </c>
      <c r="E458" s="447" t="s">
        <v>109</v>
      </c>
      <c r="F458" s="500"/>
      <c r="G458" s="497" t="s">
        <v>1693</v>
      </c>
      <c r="H458" s="602" t="str">
        <f>IFERROR(VLOOKUP(E:E,'Item Data Support Sheet'!A:O,2,0),"")</f>
        <v>NIPPLE S TYPE M SIZE WITH PRINTED WRAP</v>
      </c>
      <c r="I458" s="501" t="s">
        <v>2992</v>
      </c>
      <c r="J458" s="501" t="s">
        <v>2808</v>
      </c>
      <c r="K458" s="438">
        <v>8</v>
      </c>
      <c r="L458" s="499">
        <v>16132</v>
      </c>
      <c r="M458" s="366">
        <f t="shared" si="141"/>
        <v>2016.5</v>
      </c>
      <c r="N458" s="367">
        <f t="shared" si="142"/>
        <v>10851</v>
      </c>
      <c r="O458" s="61">
        <v>10849</v>
      </c>
      <c r="P458" s="368">
        <v>0</v>
      </c>
      <c r="Q458" s="368">
        <v>0</v>
      </c>
      <c r="R458" s="494">
        <v>0</v>
      </c>
      <c r="S458" s="493">
        <v>0</v>
      </c>
      <c r="T458" s="494">
        <v>2</v>
      </c>
      <c r="U458" s="493">
        <v>0</v>
      </c>
      <c r="V458" s="502">
        <v>2</v>
      </c>
      <c r="W458" s="453">
        <f t="shared" si="144"/>
        <v>5424.5</v>
      </c>
      <c r="X458" s="748">
        <f t="shared" si="145"/>
        <v>0.67251425737664272</v>
      </c>
      <c r="Y458" s="451" t="str">
        <f>IFERROR(VLOOKUP(E:E,'Item Data Support Sheet'!A:J,6,0),0)</f>
        <v>FO020</v>
      </c>
      <c r="Z458" s="428">
        <f>IFERROR(VLOOKUP(E:E,'Item Data Support Sheet'!A:O,4,0),0)</f>
        <v>0</v>
      </c>
      <c r="AA458" s="428">
        <f t="shared" si="146"/>
        <v>0</v>
      </c>
      <c r="AB458" s="429" t="str">
        <f t="shared" si="147"/>
        <v xml:space="preserve"> </v>
      </c>
      <c r="AC458" s="424">
        <f t="shared" si="148"/>
        <v>1.8431480969495899E-4</v>
      </c>
      <c r="AD458" s="371">
        <f t="shared" si="149"/>
        <v>0</v>
      </c>
      <c r="AE458" s="748">
        <f t="shared" si="150"/>
        <v>0.99981568519030506</v>
      </c>
      <c r="AF458" s="417">
        <f t="shared" si="151"/>
        <v>2.8333333333333335</v>
      </c>
      <c r="AG458" s="416">
        <f t="shared" si="152"/>
        <v>5.1666666666666661</v>
      </c>
      <c r="AH458" s="372">
        <f t="shared" si="153"/>
        <v>0.64583333333333326</v>
      </c>
      <c r="AI458" s="373">
        <f t="shared" si="154"/>
        <v>1356.125</v>
      </c>
      <c r="AJ458" s="418">
        <f>VLOOKUP(D458,'Standard Cycle time'!C:D,2,0)</f>
        <v>2.5</v>
      </c>
      <c r="AK458" s="418">
        <f t="shared" si="155"/>
        <v>3.4288874550649822</v>
      </c>
      <c r="AL458" s="374">
        <f t="shared" si="156"/>
        <v>0.72909946236559153</v>
      </c>
      <c r="AM458" s="372">
        <f t="shared" si="157"/>
        <v>0.47078994655510503</v>
      </c>
      <c r="AN458" s="799" t="s">
        <v>2993</v>
      </c>
      <c r="AO458" s="448" t="s">
        <v>2994</v>
      </c>
      <c r="AP458" s="440">
        <v>50</v>
      </c>
      <c r="AQ458" s="440">
        <v>0</v>
      </c>
      <c r="AR458" s="440">
        <v>0</v>
      </c>
      <c r="AS458" s="440">
        <v>0</v>
      </c>
      <c r="AT458" s="440">
        <v>120</v>
      </c>
      <c r="AU458" s="440">
        <v>0</v>
      </c>
      <c r="AV458" s="440">
        <v>0</v>
      </c>
      <c r="AW458" s="440">
        <v>0</v>
      </c>
      <c r="AX458" s="440">
        <v>0</v>
      </c>
      <c r="AY458" s="440">
        <v>0</v>
      </c>
      <c r="AZ458" s="440">
        <v>0</v>
      </c>
      <c r="BA458" s="440">
        <v>0</v>
      </c>
      <c r="BB458" s="440">
        <v>0</v>
      </c>
      <c r="BC458" s="440">
        <v>0</v>
      </c>
      <c r="BD458" s="440">
        <v>0</v>
      </c>
      <c r="BE458" s="440">
        <v>0</v>
      </c>
      <c r="BF458" s="440">
        <v>0</v>
      </c>
      <c r="BG458" s="440">
        <v>0</v>
      </c>
      <c r="BH458" s="440">
        <v>0</v>
      </c>
      <c r="BI458" s="440">
        <v>0</v>
      </c>
      <c r="BJ458" s="440">
        <v>0</v>
      </c>
      <c r="BK458" s="440">
        <v>0</v>
      </c>
      <c r="BL458" s="440">
        <v>0</v>
      </c>
      <c r="BM458" s="440">
        <v>0</v>
      </c>
      <c r="BN458" s="440">
        <v>0</v>
      </c>
      <c r="BO458" s="440">
        <v>0</v>
      </c>
      <c r="BP458" s="440">
        <v>0</v>
      </c>
      <c r="BQ458" s="440">
        <v>0</v>
      </c>
      <c r="BR458" s="415">
        <v>2.8333333333333335</v>
      </c>
      <c r="BS458" s="415">
        <v>2.8805555555555555</v>
      </c>
      <c r="BT458" s="935"/>
      <c r="BU458" s="935"/>
      <c r="BV458" s="935"/>
      <c r="BW458" s="935"/>
      <c r="BX458" s="935"/>
      <c r="BY458" s="935"/>
      <c r="BZ458" s="935"/>
      <c r="CA458" s="935"/>
      <c r="CB458" s="935"/>
      <c r="CC458" s="935"/>
      <c r="CD458" s="935"/>
      <c r="CE458" s="935"/>
      <c r="CF458" s="935"/>
      <c r="CG458" s="935"/>
      <c r="CH458" s="935"/>
      <c r="CI458" s="935"/>
      <c r="CJ458" s="935"/>
      <c r="CK458" s="935"/>
      <c r="CL458" s="935"/>
      <c r="CM458" s="935"/>
      <c r="CN458" s="935"/>
      <c r="CO458" s="935"/>
      <c r="CP458" s="935"/>
      <c r="CQ458" s="935"/>
      <c r="CR458" s="935"/>
      <c r="CS458" s="935"/>
      <c r="CT458" s="935"/>
      <c r="CU458" s="935"/>
      <c r="CV458" s="935"/>
    </row>
    <row r="459" spans="1:100" s="441" customFormat="1">
      <c r="A459" s="375">
        <f t="shared" si="143"/>
        <v>9</v>
      </c>
      <c r="B459" s="862">
        <v>44447</v>
      </c>
      <c r="C459" s="493" t="s">
        <v>2000</v>
      </c>
      <c r="D459" s="376" t="str">
        <f>IFERROR(VLOOKUP(E:E,'Item Data Support Sheet'!A:O,7,0),"")</f>
        <v>NIPPLE PUNCH INSPECTED</v>
      </c>
      <c r="E459" s="447" t="s">
        <v>1819</v>
      </c>
      <c r="F459" s="500"/>
      <c r="G459" s="497"/>
      <c r="H459" s="602" t="str">
        <f>IFERROR(VLOOKUP(E:E,'Item Data Support Sheet'!A:O,2,0),"")</f>
        <v>NIPPLE S TYPE M SIZE PUNCHED INSPECTED</v>
      </c>
      <c r="I459" s="501" t="s">
        <v>2973</v>
      </c>
      <c r="J459" s="501" t="s">
        <v>2808</v>
      </c>
      <c r="K459" s="438">
        <v>8</v>
      </c>
      <c r="L459" s="499">
        <v>14000</v>
      </c>
      <c r="M459" s="366">
        <f t="shared" si="141"/>
        <v>1750</v>
      </c>
      <c r="N459" s="367">
        <f t="shared" si="142"/>
        <v>12600</v>
      </c>
      <c r="O459" s="61">
        <v>12543</v>
      </c>
      <c r="P459" s="368">
        <v>0</v>
      </c>
      <c r="Q459" s="368">
        <v>0</v>
      </c>
      <c r="R459" s="494">
        <v>0</v>
      </c>
      <c r="S459" s="493">
        <v>0</v>
      </c>
      <c r="T459" s="494">
        <v>57</v>
      </c>
      <c r="U459" s="493">
        <v>0</v>
      </c>
      <c r="V459" s="502">
        <v>2</v>
      </c>
      <c r="W459" s="453">
        <f t="shared" si="144"/>
        <v>6271.5</v>
      </c>
      <c r="X459" s="748">
        <f t="shared" si="145"/>
        <v>0.89592857142857141</v>
      </c>
      <c r="Y459" s="451" t="str">
        <f>IFERROR(VLOOKUP(E:E,'Item Data Support Sheet'!A:J,6,0),0)</f>
        <v>FO105</v>
      </c>
      <c r="Z459" s="428">
        <f>IFERROR(VLOOKUP(E:E,'Item Data Support Sheet'!A:O,4,0),0)</f>
        <v>0</v>
      </c>
      <c r="AA459" s="428">
        <f t="shared" si="146"/>
        <v>0</v>
      </c>
      <c r="AB459" s="429" t="str">
        <f t="shared" si="147"/>
        <v xml:space="preserve"> </v>
      </c>
      <c r="AC459" s="424">
        <f t="shared" si="148"/>
        <v>4.5238095238095237E-3</v>
      </c>
      <c r="AD459" s="371">
        <f t="shared" si="149"/>
        <v>0</v>
      </c>
      <c r="AE459" s="748">
        <f t="shared" si="150"/>
        <v>0.99547619047619051</v>
      </c>
      <c r="AF459" s="417">
        <f t="shared" si="151"/>
        <v>0.83333333333333337</v>
      </c>
      <c r="AG459" s="416">
        <f t="shared" si="152"/>
        <v>7.166666666666667</v>
      </c>
      <c r="AH459" s="372">
        <f t="shared" si="153"/>
        <v>0.89583333333333337</v>
      </c>
      <c r="AI459" s="373">
        <f t="shared" si="154"/>
        <v>1567.875</v>
      </c>
      <c r="AJ459" s="418">
        <f>VLOOKUP(D459,'Standard Cycle time'!C:D,2,0)</f>
        <v>4</v>
      </c>
      <c r="AK459" s="418">
        <f t="shared" si="155"/>
        <v>4.1138483616359727</v>
      </c>
      <c r="AL459" s="374">
        <f t="shared" si="156"/>
        <v>0.97232558139534875</v>
      </c>
      <c r="AM459" s="372">
        <f t="shared" si="157"/>
        <v>0.86710124007936507</v>
      </c>
      <c r="AN459" s="799" t="s">
        <v>2995</v>
      </c>
      <c r="AO459" s="448" t="s">
        <v>2835</v>
      </c>
      <c r="AP459" s="440">
        <v>50</v>
      </c>
      <c r="AQ459" s="440">
        <v>0</v>
      </c>
      <c r="AR459" s="440">
        <v>0</v>
      </c>
      <c r="AS459" s="440">
        <v>0</v>
      </c>
      <c r="AT459" s="440">
        <v>0</v>
      </c>
      <c r="AU459" s="440">
        <v>0</v>
      </c>
      <c r="AV459" s="440">
        <v>0</v>
      </c>
      <c r="AW459" s="440">
        <v>0</v>
      </c>
      <c r="AX459" s="440">
        <v>0</v>
      </c>
      <c r="AY459" s="440">
        <v>0</v>
      </c>
      <c r="AZ459" s="440">
        <v>0</v>
      </c>
      <c r="BA459" s="440">
        <v>0</v>
      </c>
      <c r="BB459" s="440">
        <v>0</v>
      </c>
      <c r="BC459" s="440">
        <v>0</v>
      </c>
      <c r="BD459" s="440">
        <v>0</v>
      </c>
      <c r="BE459" s="440">
        <v>0</v>
      </c>
      <c r="BF459" s="440">
        <v>0</v>
      </c>
      <c r="BG459" s="440">
        <v>0</v>
      </c>
      <c r="BH459" s="440">
        <v>0</v>
      </c>
      <c r="BI459" s="440">
        <v>0</v>
      </c>
      <c r="BJ459" s="440">
        <v>0</v>
      </c>
      <c r="BK459" s="440">
        <v>0</v>
      </c>
      <c r="BL459" s="440">
        <v>0</v>
      </c>
      <c r="BM459" s="440">
        <v>0</v>
      </c>
      <c r="BN459" s="440">
        <v>0</v>
      </c>
      <c r="BO459" s="440">
        <v>0</v>
      </c>
      <c r="BP459" s="440">
        <v>0</v>
      </c>
      <c r="BQ459" s="440">
        <v>0</v>
      </c>
      <c r="BR459" s="415">
        <v>0.83333333333333337</v>
      </c>
      <c r="BS459" s="415">
        <v>0.84722222222222221</v>
      </c>
      <c r="BT459" s="935"/>
      <c r="BU459" s="935"/>
      <c r="BV459" s="935"/>
      <c r="BW459" s="935"/>
      <c r="BX459" s="935"/>
      <c r="BY459" s="935"/>
      <c r="BZ459" s="935"/>
      <c r="CA459" s="935"/>
      <c r="CB459" s="935"/>
      <c r="CC459" s="935"/>
      <c r="CD459" s="935"/>
      <c r="CE459" s="935"/>
      <c r="CF459" s="935"/>
      <c r="CG459" s="935"/>
      <c r="CH459" s="935"/>
      <c r="CI459" s="935"/>
      <c r="CJ459" s="935"/>
      <c r="CK459" s="935"/>
      <c r="CL459" s="935"/>
      <c r="CM459" s="935"/>
      <c r="CN459" s="935"/>
      <c r="CO459" s="935"/>
      <c r="CP459" s="935"/>
      <c r="CQ459" s="935"/>
      <c r="CR459" s="935"/>
      <c r="CS459" s="935"/>
      <c r="CT459" s="935"/>
      <c r="CU459" s="935"/>
      <c r="CV459" s="935"/>
    </row>
    <row r="460" spans="1:100" s="441" customFormat="1">
      <c r="A460" s="375">
        <f t="shared" si="143"/>
        <v>9</v>
      </c>
      <c r="B460" s="862">
        <v>44447</v>
      </c>
      <c r="C460" s="493" t="s">
        <v>2001</v>
      </c>
      <c r="D460" s="376" t="str">
        <f>IFERROR(VLOOKUP(E:E,'Item Data Support Sheet'!A:O,7,0),"")</f>
        <v>NIPPLE LASER MARKING</v>
      </c>
      <c r="E460" s="447" t="s">
        <v>1815</v>
      </c>
      <c r="F460" s="500"/>
      <c r="G460" s="497" t="s">
        <v>1812</v>
      </c>
      <c r="H460" s="602" t="str">
        <f>IFERROR(VLOOKUP(E:E,'Item Data Support Sheet'!A:O,2,0),"")</f>
        <v>NIPPLE S TYPE M SIZE PUNCHED LASER MARKED</v>
      </c>
      <c r="I460" s="501" t="s">
        <v>2996</v>
      </c>
      <c r="J460" s="501" t="s">
        <v>2808</v>
      </c>
      <c r="K460" s="438">
        <v>8</v>
      </c>
      <c r="L460" s="499">
        <v>7000</v>
      </c>
      <c r="M460" s="366">
        <f t="shared" si="141"/>
        <v>875</v>
      </c>
      <c r="N460" s="367">
        <f t="shared" si="142"/>
        <v>6000</v>
      </c>
      <c r="O460" s="61">
        <v>6000</v>
      </c>
      <c r="P460" s="368">
        <v>0</v>
      </c>
      <c r="Q460" s="368">
        <v>0</v>
      </c>
      <c r="R460" s="494">
        <v>0</v>
      </c>
      <c r="S460" s="493">
        <v>0</v>
      </c>
      <c r="T460" s="494">
        <v>0</v>
      </c>
      <c r="U460" s="493">
        <v>0</v>
      </c>
      <c r="V460" s="502">
        <v>1</v>
      </c>
      <c r="W460" s="453">
        <f t="shared" si="144"/>
        <v>6000</v>
      </c>
      <c r="X460" s="748">
        <f t="shared" si="145"/>
        <v>0.8571428571428571</v>
      </c>
      <c r="Y460" s="451" t="str">
        <f>IFERROR(VLOOKUP(E:E,'Item Data Support Sheet'!A:J,6,0),0)</f>
        <v>FO020</v>
      </c>
      <c r="Z460" s="428">
        <f>IFERROR(VLOOKUP(E:E,'Item Data Support Sheet'!A:O,4,0),0)</f>
        <v>0</v>
      </c>
      <c r="AA460" s="428">
        <f t="shared" si="146"/>
        <v>0</v>
      </c>
      <c r="AB460" s="429" t="str">
        <f t="shared" si="147"/>
        <v xml:space="preserve"> </v>
      </c>
      <c r="AC460" s="424">
        <f t="shared" si="148"/>
        <v>0</v>
      </c>
      <c r="AD460" s="371">
        <f t="shared" si="149"/>
        <v>0</v>
      </c>
      <c r="AE460" s="748">
        <f t="shared" si="150"/>
        <v>1</v>
      </c>
      <c r="AF460" s="417">
        <f t="shared" si="151"/>
        <v>0.66666666666666663</v>
      </c>
      <c r="AG460" s="416">
        <f t="shared" si="152"/>
        <v>7.333333333333333</v>
      </c>
      <c r="AH460" s="372">
        <f t="shared" si="153"/>
        <v>0.91666666666666663</v>
      </c>
      <c r="AI460" s="373">
        <f t="shared" si="154"/>
        <v>750</v>
      </c>
      <c r="AJ460" s="418">
        <f>VLOOKUP(D460,'Standard Cycle time'!C:D,2,0)</f>
        <v>3.5</v>
      </c>
      <c r="AK460" s="418">
        <f t="shared" si="155"/>
        <v>4.4000000000000004</v>
      </c>
      <c r="AL460" s="374">
        <f t="shared" si="156"/>
        <v>0.79545454545454541</v>
      </c>
      <c r="AM460" s="372">
        <f t="shared" si="157"/>
        <v>0.72916666666666663</v>
      </c>
      <c r="AN460" s="799" t="s">
        <v>2997</v>
      </c>
      <c r="AO460" s="448" t="s">
        <v>2745</v>
      </c>
      <c r="AP460" s="440">
        <v>40</v>
      </c>
      <c r="AQ460" s="440">
        <v>0</v>
      </c>
      <c r="AR460" s="440">
        <v>0</v>
      </c>
      <c r="AS460" s="440">
        <v>0</v>
      </c>
      <c r="AT460" s="440">
        <v>0</v>
      </c>
      <c r="AU460" s="440">
        <v>0</v>
      </c>
      <c r="AV460" s="440">
        <v>0</v>
      </c>
      <c r="AW460" s="440">
        <v>0</v>
      </c>
      <c r="AX460" s="440">
        <v>0</v>
      </c>
      <c r="AY460" s="440">
        <v>0</v>
      </c>
      <c r="AZ460" s="440">
        <v>0</v>
      </c>
      <c r="BA460" s="440">
        <v>0</v>
      </c>
      <c r="BB460" s="440">
        <v>0</v>
      </c>
      <c r="BC460" s="440">
        <v>0</v>
      </c>
      <c r="BD460" s="440">
        <v>0</v>
      </c>
      <c r="BE460" s="440">
        <v>0</v>
      </c>
      <c r="BF460" s="440">
        <v>0</v>
      </c>
      <c r="BG460" s="440">
        <v>0</v>
      </c>
      <c r="BH460" s="440">
        <v>0</v>
      </c>
      <c r="BI460" s="440">
        <v>0</v>
      </c>
      <c r="BJ460" s="440">
        <v>0</v>
      </c>
      <c r="BK460" s="440">
        <v>0</v>
      </c>
      <c r="BL460" s="440">
        <v>0</v>
      </c>
      <c r="BM460" s="440">
        <v>0</v>
      </c>
      <c r="BN460" s="440">
        <v>0</v>
      </c>
      <c r="BO460" s="440">
        <v>0</v>
      </c>
      <c r="BP460" s="440">
        <v>0</v>
      </c>
      <c r="BQ460" s="440">
        <v>0</v>
      </c>
      <c r="BR460" s="415">
        <v>0.66666666666666663</v>
      </c>
      <c r="BS460" s="415">
        <v>0.6777777777777777</v>
      </c>
      <c r="BT460" s="935"/>
      <c r="BU460" s="935"/>
      <c r="BV460" s="935"/>
      <c r="BW460" s="935"/>
      <c r="BX460" s="935"/>
      <c r="BY460" s="935"/>
      <c r="BZ460" s="935"/>
      <c r="CA460" s="935"/>
      <c r="CB460" s="935"/>
      <c r="CC460" s="935"/>
      <c r="CD460" s="935"/>
      <c r="CE460" s="935"/>
      <c r="CF460" s="935"/>
      <c r="CG460" s="935"/>
      <c r="CH460" s="935"/>
      <c r="CI460" s="935"/>
      <c r="CJ460" s="935"/>
      <c r="CK460" s="935"/>
      <c r="CL460" s="935"/>
      <c r="CM460" s="935"/>
      <c r="CN460" s="935"/>
      <c r="CO460" s="935"/>
      <c r="CP460" s="935"/>
      <c r="CQ460" s="935"/>
      <c r="CR460" s="935"/>
      <c r="CS460" s="935"/>
      <c r="CT460" s="935"/>
      <c r="CU460" s="935"/>
      <c r="CV460" s="935"/>
    </row>
    <row r="461" spans="1:100" s="441" customFormat="1">
      <c r="A461" s="375">
        <f t="shared" si="143"/>
        <v>9</v>
      </c>
      <c r="B461" s="862">
        <v>44447</v>
      </c>
      <c r="C461" s="493" t="s">
        <v>2001</v>
      </c>
      <c r="D461" s="376" t="str">
        <f>IFERROR(VLOOKUP(E:E,'Item Data Support Sheet'!A:O,7,0),"")</f>
        <v>NIPPLE PUNCH</v>
      </c>
      <c r="E461" s="447" t="s">
        <v>81</v>
      </c>
      <c r="F461" s="500"/>
      <c r="G461" s="497" t="s">
        <v>1692</v>
      </c>
      <c r="H461" s="602" t="str">
        <f>IFERROR(VLOOKUP(E:E,'Item Data Support Sheet'!A:O,2,0),"")</f>
        <v>NIPPLE S TYPE M SIZE PUNCHED</v>
      </c>
      <c r="I461" s="501" t="s">
        <v>2998</v>
      </c>
      <c r="J461" s="501" t="s">
        <v>2808</v>
      </c>
      <c r="K461" s="438">
        <v>8</v>
      </c>
      <c r="L461" s="499">
        <v>7000</v>
      </c>
      <c r="M461" s="366">
        <f t="shared" ref="M461:M524" si="158">IFERROR(L461/K461,0)</f>
        <v>875</v>
      </c>
      <c r="N461" s="367">
        <f t="shared" si="142"/>
        <v>7200</v>
      </c>
      <c r="O461" s="61">
        <v>7200</v>
      </c>
      <c r="P461" s="368">
        <v>0</v>
      </c>
      <c r="Q461" s="368">
        <v>0</v>
      </c>
      <c r="R461" s="494">
        <v>0</v>
      </c>
      <c r="S461" s="493">
        <v>0</v>
      </c>
      <c r="T461" s="494">
        <v>0</v>
      </c>
      <c r="U461" s="493">
        <v>0</v>
      </c>
      <c r="V461" s="502">
        <v>1</v>
      </c>
      <c r="W461" s="453">
        <f t="shared" si="144"/>
        <v>7200</v>
      </c>
      <c r="X461" s="748">
        <f t="shared" si="145"/>
        <v>1.0285714285714285</v>
      </c>
      <c r="Y461" s="451" t="str">
        <f>IFERROR(VLOOKUP(E:E,'Item Data Support Sheet'!A:J,6,0),0)</f>
        <v>FO016</v>
      </c>
      <c r="Z461" s="428">
        <f>IFERROR(VLOOKUP(E:E,'Item Data Support Sheet'!A:O,4,0),0)</f>
        <v>0</v>
      </c>
      <c r="AA461" s="428">
        <f t="shared" si="146"/>
        <v>0</v>
      </c>
      <c r="AB461" s="429" t="str">
        <f t="shared" si="147"/>
        <v xml:space="preserve"> </v>
      </c>
      <c r="AC461" s="424">
        <f t="shared" si="148"/>
        <v>0</v>
      </c>
      <c r="AD461" s="371">
        <f t="shared" si="149"/>
        <v>0</v>
      </c>
      <c r="AE461" s="748">
        <f t="shared" si="150"/>
        <v>1</v>
      </c>
      <c r="AF461" s="417">
        <f t="shared" si="151"/>
        <v>0.66666666666666663</v>
      </c>
      <c r="AG461" s="416">
        <f t="shared" si="152"/>
        <v>7.333333333333333</v>
      </c>
      <c r="AH461" s="372">
        <f t="shared" si="153"/>
        <v>0.91666666666666663</v>
      </c>
      <c r="AI461" s="373">
        <f t="shared" si="154"/>
        <v>900</v>
      </c>
      <c r="AJ461" s="418">
        <f>VLOOKUP(D461,'Standard Cycle time'!C:D,2,0)</f>
        <v>3.5</v>
      </c>
      <c r="AK461" s="418">
        <f t="shared" si="155"/>
        <v>3.6666666666666665</v>
      </c>
      <c r="AL461" s="374">
        <f t="shared" si="156"/>
        <v>0.95454545454545459</v>
      </c>
      <c r="AM461" s="372">
        <f t="shared" si="157"/>
        <v>0.875</v>
      </c>
      <c r="AN461" s="799" t="s">
        <v>2999</v>
      </c>
      <c r="AO461" s="448" t="s">
        <v>2454</v>
      </c>
      <c r="AP461" s="440">
        <v>40</v>
      </c>
      <c r="AQ461" s="440">
        <v>0</v>
      </c>
      <c r="AR461" s="440">
        <v>0</v>
      </c>
      <c r="AS461" s="440">
        <v>0</v>
      </c>
      <c r="AT461" s="440">
        <v>0</v>
      </c>
      <c r="AU461" s="440">
        <v>0</v>
      </c>
      <c r="AV461" s="440">
        <v>0</v>
      </c>
      <c r="AW461" s="440">
        <v>0</v>
      </c>
      <c r="AX461" s="440">
        <v>0</v>
      </c>
      <c r="AY461" s="440">
        <v>0</v>
      </c>
      <c r="AZ461" s="440">
        <v>0</v>
      </c>
      <c r="BA461" s="440">
        <v>0</v>
      </c>
      <c r="BB461" s="440">
        <v>0</v>
      </c>
      <c r="BC461" s="440">
        <v>0</v>
      </c>
      <c r="BD461" s="440">
        <v>0</v>
      </c>
      <c r="BE461" s="440">
        <v>0</v>
      </c>
      <c r="BF461" s="440">
        <v>0</v>
      </c>
      <c r="BG461" s="440">
        <v>0</v>
      </c>
      <c r="BH461" s="440">
        <v>0</v>
      </c>
      <c r="BI461" s="440">
        <v>0</v>
      </c>
      <c r="BJ461" s="440">
        <v>0</v>
      </c>
      <c r="BK461" s="440">
        <v>0</v>
      </c>
      <c r="BL461" s="440">
        <v>0</v>
      </c>
      <c r="BM461" s="440">
        <v>0</v>
      </c>
      <c r="BN461" s="440">
        <v>0</v>
      </c>
      <c r="BO461" s="440">
        <v>0</v>
      </c>
      <c r="BP461" s="440">
        <v>0</v>
      </c>
      <c r="BQ461" s="440">
        <v>0</v>
      </c>
      <c r="BR461" s="415">
        <v>0.66666666666666663</v>
      </c>
      <c r="BS461" s="415">
        <v>0.6777777777777777</v>
      </c>
      <c r="BT461" s="935"/>
      <c r="BU461" s="935"/>
      <c r="BV461" s="935"/>
      <c r="BW461" s="935"/>
      <c r="BX461" s="935"/>
      <c r="BY461" s="935"/>
      <c r="BZ461" s="935"/>
      <c r="CA461" s="935"/>
      <c r="CB461" s="935"/>
      <c r="CC461" s="935"/>
      <c r="CD461" s="935"/>
      <c r="CE461" s="935"/>
      <c r="CF461" s="935"/>
      <c r="CG461" s="935"/>
      <c r="CH461" s="935"/>
      <c r="CI461" s="935"/>
      <c r="CJ461" s="935"/>
      <c r="CK461" s="935"/>
      <c r="CL461" s="935"/>
      <c r="CM461" s="935"/>
      <c r="CN461" s="935"/>
      <c r="CO461" s="935"/>
      <c r="CP461" s="935"/>
      <c r="CQ461" s="935"/>
      <c r="CR461" s="935"/>
      <c r="CS461" s="935"/>
      <c r="CT461" s="935"/>
      <c r="CU461" s="935"/>
      <c r="CV461" s="935"/>
    </row>
    <row r="462" spans="1:100" s="441" customFormat="1">
      <c r="A462" s="375">
        <f t="shared" si="143"/>
        <v>9</v>
      </c>
      <c r="B462" s="862">
        <v>44447</v>
      </c>
      <c r="C462" s="493" t="s">
        <v>2001</v>
      </c>
      <c r="D462" s="376" t="str">
        <f>IFERROR(VLOOKUP(E:E,'Item Data Support Sheet'!A:O,7,0),"")</f>
        <v>HOOD MOLDED</v>
      </c>
      <c r="E462" s="447" t="s">
        <v>1987</v>
      </c>
      <c r="F462" s="500"/>
      <c r="G462" s="497" t="s">
        <v>2729</v>
      </c>
      <c r="H462" s="602" t="str">
        <f>IFERROR(VLOOKUP(E:E,'Item Data Support Sheet'!A:O,2,0),"")</f>
        <v>HOOD S TYPE MOLDED</v>
      </c>
      <c r="I462" s="501" t="s">
        <v>3000</v>
      </c>
      <c r="J462" s="501" t="s">
        <v>2808</v>
      </c>
      <c r="K462" s="438">
        <v>8</v>
      </c>
      <c r="L462" s="499">
        <v>4137</v>
      </c>
      <c r="M462" s="366">
        <f t="shared" si="158"/>
        <v>517.125</v>
      </c>
      <c r="N462" s="367">
        <f t="shared" si="142"/>
        <v>5218</v>
      </c>
      <c r="O462" s="61">
        <v>5200</v>
      </c>
      <c r="P462" s="368">
        <v>0</v>
      </c>
      <c r="Q462" s="368">
        <v>0</v>
      </c>
      <c r="R462" s="494">
        <v>0</v>
      </c>
      <c r="S462" s="493">
        <v>0</v>
      </c>
      <c r="T462" s="494">
        <v>18</v>
      </c>
      <c r="U462" s="493">
        <v>0</v>
      </c>
      <c r="V462" s="502">
        <v>1</v>
      </c>
      <c r="W462" s="453">
        <f t="shared" si="144"/>
        <v>5200</v>
      </c>
      <c r="X462" s="748">
        <f t="shared" si="145"/>
        <v>1.2569494802997341</v>
      </c>
      <c r="Y462" s="451" t="str">
        <f>IFERROR(VLOOKUP(E:E,'Item Data Support Sheet'!A:J,6,0),0)</f>
        <v>HMC</v>
      </c>
      <c r="Z462" s="428">
        <f>IFERROR(VLOOKUP(E:E,'Item Data Support Sheet'!A:O,4,0),0)</f>
        <v>8.6</v>
      </c>
      <c r="AA462" s="428">
        <f t="shared" si="146"/>
        <v>44.8748</v>
      </c>
      <c r="AB462" s="429">
        <f t="shared" si="147"/>
        <v>0.99655040245304716</v>
      </c>
      <c r="AC462" s="424">
        <f t="shared" si="148"/>
        <v>3.4495975469528554E-3</v>
      </c>
      <c r="AD462" s="371">
        <f t="shared" si="149"/>
        <v>0</v>
      </c>
      <c r="AE462" s="748">
        <f t="shared" si="150"/>
        <v>0.99655040245304716</v>
      </c>
      <c r="AF462" s="417">
        <f t="shared" si="151"/>
        <v>0</v>
      </c>
      <c r="AG462" s="416">
        <f t="shared" si="152"/>
        <v>8</v>
      </c>
      <c r="AH462" s="372">
        <f t="shared" si="153"/>
        <v>1</v>
      </c>
      <c r="AI462" s="373">
        <f t="shared" si="154"/>
        <v>650</v>
      </c>
      <c r="AJ462" s="418">
        <f>VLOOKUP(D462,'Standard Cycle time'!C:D,2,0)</f>
        <v>6</v>
      </c>
      <c r="AK462" s="418">
        <f t="shared" si="155"/>
        <v>5.5384615384615383</v>
      </c>
      <c r="AL462" s="374">
        <f t="shared" si="156"/>
        <v>1.0833333333333333</v>
      </c>
      <c r="AM462" s="372">
        <f t="shared" si="157"/>
        <v>1.0795962693241343</v>
      </c>
      <c r="AN462" s="799">
        <v>3088</v>
      </c>
      <c r="AO462" s="448" t="s">
        <v>2454</v>
      </c>
      <c r="AP462" s="440">
        <v>0</v>
      </c>
      <c r="AQ462" s="440">
        <v>0</v>
      </c>
      <c r="AR462" s="440">
        <v>0</v>
      </c>
      <c r="AS462" s="440">
        <v>0</v>
      </c>
      <c r="AT462" s="440">
        <v>0</v>
      </c>
      <c r="AU462" s="440">
        <v>0</v>
      </c>
      <c r="AV462" s="440">
        <v>0</v>
      </c>
      <c r="AW462" s="440">
        <v>0</v>
      </c>
      <c r="AX462" s="440">
        <v>0</v>
      </c>
      <c r="AY462" s="440">
        <v>0</v>
      </c>
      <c r="AZ462" s="440">
        <v>0</v>
      </c>
      <c r="BA462" s="440">
        <v>0</v>
      </c>
      <c r="BB462" s="440">
        <v>0</v>
      </c>
      <c r="BC462" s="440">
        <v>0</v>
      </c>
      <c r="BD462" s="440">
        <v>0</v>
      </c>
      <c r="BE462" s="440">
        <v>0</v>
      </c>
      <c r="BF462" s="440">
        <v>0</v>
      </c>
      <c r="BG462" s="440">
        <v>0</v>
      </c>
      <c r="BH462" s="440">
        <v>0</v>
      </c>
      <c r="BI462" s="440">
        <v>0</v>
      </c>
      <c r="BJ462" s="440">
        <v>0</v>
      </c>
      <c r="BK462" s="440">
        <v>0</v>
      </c>
      <c r="BL462" s="440">
        <v>0</v>
      </c>
      <c r="BM462" s="440">
        <v>0</v>
      </c>
      <c r="BN462" s="440">
        <v>0</v>
      </c>
      <c r="BO462" s="440">
        <v>0</v>
      </c>
      <c r="BP462" s="440">
        <v>0</v>
      </c>
      <c r="BQ462" s="440">
        <v>0</v>
      </c>
      <c r="BR462" s="415">
        <v>0</v>
      </c>
      <c r="BS462" s="415">
        <v>0</v>
      </c>
      <c r="BT462" s="935"/>
      <c r="BU462" s="935"/>
      <c r="BV462" s="935"/>
      <c r="BW462" s="935"/>
      <c r="BX462" s="935"/>
      <c r="BY462" s="935"/>
      <c r="BZ462" s="935"/>
      <c r="CA462" s="935"/>
      <c r="CB462" s="935"/>
      <c r="CC462" s="935"/>
      <c r="CD462" s="935"/>
      <c r="CE462" s="935"/>
      <c r="CF462" s="935"/>
      <c r="CG462" s="935"/>
      <c r="CH462" s="935"/>
      <c r="CI462" s="935"/>
      <c r="CJ462" s="935"/>
      <c r="CK462" s="935"/>
      <c r="CL462" s="935"/>
      <c r="CM462" s="935"/>
      <c r="CN462" s="935"/>
      <c r="CO462" s="935"/>
      <c r="CP462" s="935"/>
      <c r="CQ462" s="935"/>
      <c r="CR462" s="935"/>
      <c r="CS462" s="935"/>
      <c r="CT462" s="935"/>
      <c r="CU462" s="935"/>
      <c r="CV462" s="935"/>
    </row>
    <row r="463" spans="1:100" s="441" customFormat="1">
      <c r="A463" s="375">
        <f t="shared" si="143"/>
        <v>9</v>
      </c>
      <c r="B463" s="862">
        <v>44447</v>
      </c>
      <c r="C463" s="493" t="s">
        <v>2001</v>
      </c>
      <c r="D463" s="376" t="str">
        <f>IFERROR(VLOOKUP(E:E,'Item Data Support Sheet'!A:O,7,0),"")</f>
        <v>BOTTLE PRINTED</v>
      </c>
      <c r="E463" s="447" t="s">
        <v>64</v>
      </c>
      <c r="F463" s="500"/>
      <c r="G463" s="497" t="s">
        <v>1698</v>
      </c>
      <c r="H463" s="602" t="str">
        <f>IFERROR(VLOOKUP(E:E,'Item Data Support Sheet'!A:O,2,0),"")</f>
        <v>KPP 240 ML BOTTLE PRINTED</v>
      </c>
      <c r="I463" s="501" t="s">
        <v>3001</v>
      </c>
      <c r="J463" s="501" t="s">
        <v>2808</v>
      </c>
      <c r="K463" s="438">
        <v>8</v>
      </c>
      <c r="L463" s="499">
        <v>5100</v>
      </c>
      <c r="M463" s="366">
        <f t="shared" si="158"/>
        <v>637.5</v>
      </c>
      <c r="N463" s="367">
        <f t="shared" si="142"/>
        <v>2174</v>
      </c>
      <c r="O463" s="61">
        <v>2160</v>
      </c>
      <c r="P463" s="368">
        <v>0</v>
      </c>
      <c r="Q463" s="368">
        <v>0</v>
      </c>
      <c r="R463" s="494">
        <v>31</v>
      </c>
      <c r="S463" s="493">
        <v>0</v>
      </c>
      <c r="T463" s="494">
        <v>14</v>
      </c>
      <c r="U463" s="493">
        <v>0</v>
      </c>
      <c r="V463" s="502">
        <v>6</v>
      </c>
      <c r="W463" s="453">
        <f t="shared" si="144"/>
        <v>360</v>
      </c>
      <c r="X463" s="748">
        <f t="shared" si="145"/>
        <v>0.42352941176470588</v>
      </c>
      <c r="Y463" s="451" t="str">
        <f>IFERROR(VLOOKUP(E:E,'Item Data Support Sheet'!A:J,6,0),0)</f>
        <v>FO003</v>
      </c>
      <c r="Z463" s="428">
        <f>IFERROR(VLOOKUP(E:E,'Item Data Support Sheet'!A:O,4,0),0)</f>
        <v>0</v>
      </c>
      <c r="AA463" s="428">
        <f t="shared" si="146"/>
        <v>0</v>
      </c>
      <c r="AB463" s="429" t="str">
        <f t="shared" si="147"/>
        <v xml:space="preserve"> </v>
      </c>
      <c r="AC463" s="424">
        <f t="shared" si="148"/>
        <v>6.439742410303588E-3</v>
      </c>
      <c r="AD463" s="371">
        <f t="shared" si="149"/>
        <v>0</v>
      </c>
      <c r="AE463" s="748">
        <f t="shared" si="150"/>
        <v>0.99356025758969646</v>
      </c>
      <c r="AF463" s="417">
        <f t="shared" si="151"/>
        <v>4.666666666666667</v>
      </c>
      <c r="AG463" s="416">
        <f t="shared" si="152"/>
        <v>3.333333333333333</v>
      </c>
      <c r="AH463" s="372">
        <f t="shared" si="153"/>
        <v>0.41666666666666663</v>
      </c>
      <c r="AI463" s="373">
        <f t="shared" si="154"/>
        <v>270</v>
      </c>
      <c r="AJ463" s="418">
        <f>VLOOKUP(D463,'Standard Cycle time'!C:D,2,0)</f>
        <v>32.4</v>
      </c>
      <c r="AK463" s="418">
        <f t="shared" si="155"/>
        <v>33.333333333333336</v>
      </c>
      <c r="AL463" s="374">
        <f t="shared" si="156"/>
        <v>0.97199999999999986</v>
      </c>
      <c r="AM463" s="372">
        <f t="shared" si="157"/>
        <v>0.40239190432382699</v>
      </c>
      <c r="AN463" s="799" t="s">
        <v>2874</v>
      </c>
      <c r="AO463" s="448" t="s">
        <v>3002</v>
      </c>
      <c r="AP463" s="440">
        <v>40</v>
      </c>
      <c r="AQ463" s="440">
        <v>60</v>
      </c>
      <c r="AR463" s="440">
        <v>0</v>
      </c>
      <c r="AS463" s="440">
        <v>0</v>
      </c>
      <c r="AT463" s="440">
        <v>0</v>
      </c>
      <c r="AU463" s="440">
        <v>0</v>
      </c>
      <c r="AV463" s="440">
        <v>80</v>
      </c>
      <c r="AW463" s="440">
        <v>0</v>
      </c>
      <c r="AX463" s="440">
        <v>0</v>
      </c>
      <c r="AY463" s="440">
        <v>0</v>
      </c>
      <c r="AZ463" s="440">
        <v>0</v>
      </c>
      <c r="BA463" s="440">
        <v>0</v>
      </c>
      <c r="BB463" s="440">
        <v>0</v>
      </c>
      <c r="BC463" s="440">
        <v>0</v>
      </c>
      <c r="BD463" s="440">
        <v>0</v>
      </c>
      <c r="BE463" s="440">
        <v>0</v>
      </c>
      <c r="BF463" s="440">
        <v>0</v>
      </c>
      <c r="BG463" s="440">
        <v>0</v>
      </c>
      <c r="BH463" s="440">
        <v>0</v>
      </c>
      <c r="BI463" s="440">
        <v>0</v>
      </c>
      <c r="BJ463" s="440">
        <v>0</v>
      </c>
      <c r="BK463" s="440">
        <v>100</v>
      </c>
      <c r="BL463" s="440">
        <v>0</v>
      </c>
      <c r="BM463" s="440">
        <v>0</v>
      </c>
      <c r="BN463" s="440">
        <v>0</v>
      </c>
      <c r="BO463" s="440">
        <v>0</v>
      </c>
      <c r="BP463" s="440">
        <v>0</v>
      </c>
      <c r="BQ463" s="440">
        <v>0</v>
      </c>
      <c r="BR463" s="415">
        <v>4.666666666666667</v>
      </c>
      <c r="BS463" s="415">
        <v>4.7444444444444445</v>
      </c>
      <c r="BT463" s="935"/>
      <c r="BU463" s="935"/>
      <c r="BV463" s="935"/>
      <c r="BW463" s="935"/>
      <c r="BX463" s="935"/>
      <c r="BY463" s="935"/>
      <c r="BZ463" s="935"/>
      <c r="CA463" s="935"/>
      <c r="CB463" s="935"/>
      <c r="CC463" s="935"/>
      <c r="CD463" s="935"/>
      <c r="CE463" s="935"/>
      <c r="CF463" s="935"/>
      <c r="CG463" s="935"/>
      <c r="CH463" s="935"/>
      <c r="CI463" s="935"/>
      <c r="CJ463" s="935"/>
      <c r="CK463" s="935"/>
      <c r="CL463" s="935"/>
      <c r="CM463" s="935"/>
      <c r="CN463" s="935"/>
      <c r="CO463" s="935"/>
      <c r="CP463" s="935"/>
      <c r="CQ463" s="935"/>
      <c r="CR463" s="935"/>
      <c r="CS463" s="935"/>
      <c r="CT463" s="935"/>
      <c r="CU463" s="935"/>
      <c r="CV463" s="935"/>
    </row>
    <row r="464" spans="1:100" s="441" customFormat="1">
      <c r="A464" s="375">
        <f t="shared" si="143"/>
        <v>9</v>
      </c>
      <c r="B464" s="862">
        <v>44447</v>
      </c>
      <c r="C464" s="493" t="s">
        <v>2001</v>
      </c>
      <c r="D464" s="376" t="str">
        <f>IFERROR(VLOOKUP(E:E,'Item Data Support Sheet'!A:O,7,0),"")</f>
        <v>NIPPLE MOLDED</v>
      </c>
      <c r="E464" s="447" t="s">
        <v>73</v>
      </c>
      <c r="F464" s="500" t="s">
        <v>1678</v>
      </c>
      <c r="G464" s="497" t="s">
        <v>1690</v>
      </c>
      <c r="H464" s="602" t="str">
        <f>IFERROR(VLOOKUP(E:E,'Item Data Support Sheet'!A:O,2,0),"")</f>
        <v>NIPPLE S TYPE M SIZE INJECTION</v>
      </c>
      <c r="I464" s="501" t="s">
        <v>3003</v>
      </c>
      <c r="J464" s="501" t="s">
        <v>2808</v>
      </c>
      <c r="K464" s="438">
        <v>8</v>
      </c>
      <c r="L464" s="499">
        <v>4815</v>
      </c>
      <c r="M464" s="366">
        <f t="shared" si="158"/>
        <v>601.875</v>
      </c>
      <c r="N464" s="367">
        <f t="shared" si="142"/>
        <v>5360</v>
      </c>
      <c r="O464" s="61">
        <v>5300</v>
      </c>
      <c r="P464" s="368">
        <v>0</v>
      </c>
      <c r="Q464" s="368">
        <v>0</v>
      </c>
      <c r="R464" s="494">
        <v>0</v>
      </c>
      <c r="S464" s="493">
        <v>0</v>
      </c>
      <c r="T464" s="494">
        <v>60</v>
      </c>
      <c r="U464" s="493">
        <v>0</v>
      </c>
      <c r="V464" s="502">
        <v>1</v>
      </c>
      <c r="W464" s="453">
        <f t="shared" si="144"/>
        <v>5300</v>
      </c>
      <c r="X464" s="748">
        <f t="shared" si="145"/>
        <v>1.1007268951194185</v>
      </c>
      <c r="Y464" s="451" t="str">
        <f>IFERROR(VLOOKUP(E:E,'Item Data Support Sheet'!A:J,6,0),0)</f>
        <v>Silicon</v>
      </c>
      <c r="Z464" s="428">
        <f>IFERROR(VLOOKUP(E:E,'Item Data Support Sheet'!A:O,4,0),0)</f>
        <v>6.8</v>
      </c>
      <c r="AA464" s="428">
        <f t="shared" si="146"/>
        <v>36.448</v>
      </c>
      <c r="AB464" s="429">
        <f t="shared" si="147"/>
        <v>0.98880597014925364</v>
      </c>
      <c r="AC464" s="424">
        <f t="shared" si="148"/>
        <v>1.1194029850746268E-2</v>
      </c>
      <c r="AD464" s="371">
        <f t="shared" si="149"/>
        <v>0</v>
      </c>
      <c r="AE464" s="748">
        <f t="shared" si="150"/>
        <v>0.98880597014925375</v>
      </c>
      <c r="AF464" s="417">
        <f t="shared" si="151"/>
        <v>0</v>
      </c>
      <c r="AG464" s="416">
        <f t="shared" si="152"/>
        <v>8</v>
      </c>
      <c r="AH464" s="372">
        <f t="shared" si="153"/>
        <v>1</v>
      </c>
      <c r="AI464" s="373">
        <f t="shared" si="154"/>
        <v>662.5</v>
      </c>
      <c r="AJ464" s="418">
        <f>VLOOKUP(D464,'Standard Cycle time'!C:D,2,0)</f>
        <v>5.25</v>
      </c>
      <c r="AK464" s="418">
        <f t="shared" si="155"/>
        <v>5.4339622641509431</v>
      </c>
      <c r="AL464" s="374">
        <f t="shared" si="156"/>
        <v>0.96614583333333337</v>
      </c>
      <c r="AM464" s="372">
        <f t="shared" si="157"/>
        <v>0.95533076803482597</v>
      </c>
      <c r="AN464" s="799">
        <v>3089</v>
      </c>
      <c r="AO464" s="448" t="s">
        <v>2454</v>
      </c>
      <c r="AP464" s="440">
        <v>0</v>
      </c>
      <c r="AQ464" s="440">
        <v>0</v>
      </c>
      <c r="AR464" s="440">
        <v>0</v>
      </c>
      <c r="AS464" s="440">
        <v>0</v>
      </c>
      <c r="AT464" s="440">
        <v>0</v>
      </c>
      <c r="AU464" s="440">
        <v>0</v>
      </c>
      <c r="AV464" s="440">
        <v>0</v>
      </c>
      <c r="AW464" s="440">
        <v>0</v>
      </c>
      <c r="AX464" s="440">
        <v>0</v>
      </c>
      <c r="AY464" s="440">
        <v>0</v>
      </c>
      <c r="AZ464" s="440">
        <v>0</v>
      </c>
      <c r="BA464" s="440">
        <v>0</v>
      </c>
      <c r="BB464" s="440">
        <v>0</v>
      </c>
      <c r="BC464" s="440">
        <v>0</v>
      </c>
      <c r="BD464" s="440">
        <v>0</v>
      </c>
      <c r="BE464" s="440">
        <v>0</v>
      </c>
      <c r="BF464" s="440">
        <v>0</v>
      </c>
      <c r="BG464" s="440">
        <v>0</v>
      </c>
      <c r="BH464" s="440">
        <v>0</v>
      </c>
      <c r="BI464" s="440">
        <v>0</v>
      </c>
      <c r="BJ464" s="440">
        <v>0</v>
      </c>
      <c r="BK464" s="440">
        <v>0</v>
      </c>
      <c r="BL464" s="440">
        <v>0</v>
      </c>
      <c r="BM464" s="440">
        <v>0</v>
      </c>
      <c r="BN464" s="440">
        <v>0</v>
      </c>
      <c r="BO464" s="440">
        <v>0</v>
      </c>
      <c r="BP464" s="440">
        <v>0</v>
      </c>
      <c r="BQ464" s="440">
        <v>0</v>
      </c>
      <c r="BR464" s="415">
        <v>0</v>
      </c>
      <c r="BS464" s="415">
        <v>0</v>
      </c>
      <c r="BT464" s="935"/>
      <c r="BU464" s="935"/>
      <c r="BV464" s="935"/>
      <c r="BW464" s="935"/>
      <c r="BX464" s="935"/>
      <c r="BY464" s="935"/>
      <c r="BZ464" s="935"/>
      <c r="CA464" s="935"/>
      <c r="CB464" s="935"/>
      <c r="CC464" s="935"/>
      <c r="CD464" s="935"/>
      <c r="CE464" s="935"/>
      <c r="CF464" s="935"/>
      <c r="CG464" s="935"/>
      <c r="CH464" s="935"/>
      <c r="CI464" s="935"/>
      <c r="CJ464" s="935"/>
      <c r="CK464" s="935"/>
      <c r="CL464" s="935"/>
      <c r="CM464" s="935"/>
      <c r="CN464" s="935"/>
      <c r="CO464" s="935"/>
      <c r="CP464" s="935"/>
      <c r="CQ464" s="935"/>
      <c r="CR464" s="935"/>
      <c r="CS464" s="935"/>
      <c r="CT464" s="935"/>
      <c r="CU464" s="935"/>
      <c r="CV464" s="935"/>
    </row>
    <row r="465" spans="1:100" s="441" customFormat="1">
      <c r="A465" s="375">
        <f t="shared" si="143"/>
        <v>9</v>
      </c>
      <c r="B465" s="862">
        <v>44447</v>
      </c>
      <c r="C465" s="493" t="s">
        <v>2053</v>
      </c>
      <c r="D465" s="376" t="str">
        <f>IFERROR(VLOOKUP(E:E,'Item Data Support Sheet'!A:O,7,0),"")</f>
        <v>NIPPLE MOLDED</v>
      </c>
      <c r="E465" s="447" t="s">
        <v>73</v>
      </c>
      <c r="F465" s="500" t="s">
        <v>1678</v>
      </c>
      <c r="G465" s="497" t="s">
        <v>1690</v>
      </c>
      <c r="H465" s="602" t="str">
        <f>IFERROR(VLOOKUP(E:E,'Item Data Support Sheet'!A:O,2,0),"")</f>
        <v>NIPPLE S TYPE M SIZE INJECTION</v>
      </c>
      <c r="I465" s="501" t="s">
        <v>3004</v>
      </c>
      <c r="J465" s="501" t="s">
        <v>2826</v>
      </c>
      <c r="K465" s="438">
        <v>8</v>
      </c>
      <c r="L465" s="499">
        <v>4815</v>
      </c>
      <c r="M465" s="366">
        <f t="shared" si="158"/>
        <v>601.875</v>
      </c>
      <c r="N465" s="367">
        <f t="shared" si="142"/>
        <v>5686</v>
      </c>
      <c r="O465" s="61">
        <v>5600</v>
      </c>
      <c r="P465" s="368">
        <v>0</v>
      </c>
      <c r="Q465" s="368">
        <v>24</v>
      </c>
      <c r="R465" s="494">
        <v>0</v>
      </c>
      <c r="S465" s="493">
        <v>0</v>
      </c>
      <c r="T465" s="494">
        <v>54</v>
      </c>
      <c r="U465" s="493">
        <v>8</v>
      </c>
      <c r="V465" s="502">
        <v>1</v>
      </c>
      <c r="W465" s="453">
        <f t="shared" si="144"/>
        <v>5600</v>
      </c>
      <c r="X465" s="748">
        <f t="shared" si="145"/>
        <v>1.1630321910695742</v>
      </c>
      <c r="Y465" s="451" t="str">
        <f>IFERROR(VLOOKUP(E:E,'Item Data Support Sheet'!A:J,6,0),0)</f>
        <v>Silicon</v>
      </c>
      <c r="Z465" s="428">
        <f>IFERROR(VLOOKUP(E:E,'Item Data Support Sheet'!A:O,4,0),0)</f>
        <v>6.8</v>
      </c>
      <c r="AA465" s="428">
        <f t="shared" si="146"/>
        <v>38.6648</v>
      </c>
      <c r="AB465" s="429">
        <f t="shared" si="147"/>
        <v>0.98487513190291942</v>
      </c>
      <c r="AC465" s="424">
        <f t="shared" si="148"/>
        <v>9.5507605235231694E-3</v>
      </c>
      <c r="AD465" s="371">
        <f t="shared" si="149"/>
        <v>4.2031523642732053E-3</v>
      </c>
      <c r="AE465" s="748">
        <f t="shared" si="150"/>
        <v>0.99050298979950757</v>
      </c>
      <c r="AF465" s="417">
        <f t="shared" si="151"/>
        <v>0</v>
      </c>
      <c r="AG465" s="416">
        <f t="shared" si="152"/>
        <v>8</v>
      </c>
      <c r="AH465" s="372">
        <f t="shared" si="153"/>
        <v>1</v>
      </c>
      <c r="AI465" s="373">
        <f t="shared" si="154"/>
        <v>700</v>
      </c>
      <c r="AJ465" s="418">
        <f>VLOOKUP(D465,'Standard Cycle time'!C:D,2,0)</f>
        <v>5.25</v>
      </c>
      <c r="AK465" s="418">
        <f t="shared" si="155"/>
        <v>5.1428571428571432</v>
      </c>
      <c r="AL465" s="374">
        <f t="shared" si="156"/>
        <v>1.0208333333333333</v>
      </c>
      <c r="AM465" s="372">
        <f t="shared" si="157"/>
        <v>1.011138468753664</v>
      </c>
      <c r="AN465" s="799">
        <v>3090</v>
      </c>
      <c r="AO465" s="448"/>
      <c r="AP465" s="440">
        <v>0</v>
      </c>
      <c r="AQ465" s="440">
        <v>0</v>
      </c>
      <c r="AR465" s="440">
        <v>0</v>
      </c>
      <c r="AS465" s="440">
        <v>0</v>
      </c>
      <c r="AT465" s="440">
        <v>0</v>
      </c>
      <c r="AU465" s="440">
        <v>0</v>
      </c>
      <c r="AV465" s="440">
        <v>0</v>
      </c>
      <c r="AW465" s="440">
        <v>0</v>
      </c>
      <c r="AX465" s="440">
        <v>0</v>
      </c>
      <c r="AY465" s="440">
        <v>0</v>
      </c>
      <c r="AZ465" s="440">
        <v>0</v>
      </c>
      <c r="BA465" s="440">
        <v>0</v>
      </c>
      <c r="BB465" s="440">
        <v>0</v>
      </c>
      <c r="BC465" s="440">
        <v>0</v>
      </c>
      <c r="BD465" s="440">
        <v>0</v>
      </c>
      <c r="BE465" s="440">
        <v>0</v>
      </c>
      <c r="BF465" s="440">
        <v>0</v>
      </c>
      <c r="BG465" s="440">
        <v>0</v>
      </c>
      <c r="BH465" s="440">
        <v>0</v>
      </c>
      <c r="BI465" s="440">
        <v>0</v>
      </c>
      <c r="BJ465" s="440">
        <v>0</v>
      </c>
      <c r="BK465" s="440">
        <v>0</v>
      </c>
      <c r="BL465" s="440">
        <v>0</v>
      </c>
      <c r="BM465" s="440">
        <v>0</v>
      </c>
      <c r="BN465" s="440">
        <v>0</v>
      </c>
      <c r="BO465" s="440">
        <v>0</v>
      </c>
      <c r="BP465" s="440">
        <v>0</v>
      </c>
      <c r="BQ465" s="440">
        <v>0</v>
      </c>
      <c r="BR465" s="415">
        <v>0</v>
      </c>
      <c r="BS465" s="415">
        <v>0</v>
      </c>
      <c r="BT465" s="935"/>
      <c r="BU465" s="935"/>
      <c r="BV465" s="935"/>
      <c r="BW465" s="935"/>
      <c r="BX465" s="935"/>
      <c r="BY465" s="935"/>
      <c r="BZ465" s="935"/>
      <c r="CA465" s="935"/>
      <c r="CB465" s="935"/>
      <c r="CC465" s="935"/>
      <c r="CD465" s="935"/>
      <c r="CE465" s="935"/>
      <c r="CF465" s="935"/>
      <c r="CG465" s="935"/>
      <c r="CH465" s="935"/>
      <c r="CI465" s="935"/>
      <c r="CJ465" s="935"/>
      <c r="CK465" s="935"/>
      <c r="CL465" s="935"/>
      <c r="CM465" s="935"/>
      <c r="CN465" s="935"/>
      <c r="CO465" s="935"/>
      <c r="CP465" s="935"/>
      <c r="CQ465" s="935"/>
      <c r="CR465" s="935"/>
      <c r="CS465" s="935"/>
      <c r="CT465" s="935"/>
      <c r="CU465" s="935"/>
      <c r="CV465" s="935"/>
    </row>
    <row r="466" spans="1:100" s="441" customFormat="1">
      <c r="A466" s="375">
        <f t="shared" si="143"/>
        <v>9</v>
      </c>
      <c r="B466" s="862">
        <v>44447</v>
      </c>
      <c r="C466" s="493" t="s">
        <v>2053</v>
      </c>
      <c r="D466" s="376" t="str">
        <f>IFERROR(VLOOKUP(E:E,'Item Data Support Sheet'!A:O,7,0),"")</f>
        <v>HOOD MOLDED</v>
      </c>
      <c r="E466" s="447" t="s">
        <v>1987</v>
      </c>
      <c r="F466" s="500"/>
      <c r="G466" s="497" t="s">
        <v>2729</v>
      </c>
      <c r="H466" s="602" t="str">
        <f>IFERROR(VLOOKUP(E:E,'Item Data Support Sheet'!A:O,2,0),"")</f>
        <v>HOOD S TYPE MOLDED</v>
      </c>
      <c r="I466" s="501" t="s">
        <v>3005</v>
      </c>
      <c r="J466" s="501" t="s">
        <v>2826</v>
      </c>
      <c r="K466" s="438">
        <v>8</v>
      </c>
      <c r="L466" s="499">
        <v>4137</v>
      </c>
      <c r="M466" s="366">
        <f t="shared" si="158"/>
        <v>517.125</v>
      </c>
      <c r="N466" s="367">
        <f t="shared" si="142"/>
        <v>5512</v>
      </c>
      <c r="O466" s="61">
        <v>5500</v>
      </c>
      <c r="P466" s="368">
        <v>0</v>
      </c>
      <c r="Q466" s="368">
        <v>0</v>
      </c>
      <c r="R466" s="494">
        <v>0</v>
      </c>
      <c r="S466" s="493">
        <v>0</v>
      </c>
      <c r="T466" s="494">
        <v>4</v>
      </c>
      <c r="U466" s="493">
        <v>8</v>
      </c>
      <c r="V466" s="502">
        <v>1</v>
      </c>
      <c r="W466" s="453">
        <f t="shared" si="144"/>
        <v>5500</v>
      </c>
      <c r="X466" s="748">
        <f t="shared" si="145"/>
        <v>1.3294657964708727</v>
      </c>
      <c r="Y466" s="451" t="str">
        <f>IFERROR(VLOOKUP(E:E,'Item Data Support Sheet'!A:J,6,0),0)</f>
        <v>HMC</v>
      </c>
      <c r="Z466" s="428">
        <f>IFERROR(VLOOKUP(E:E,'Item Data Support Sheet'!A:O,4,0),0)</f>
        <v>8.6</v>
      </c>
      <c r="AA466" s="428">
        <f t="shared" si="146"/>
        <v>47.403199999999998</v>
      </c>
      <c r="AB466" s="429">
        <f t="shared" si="147"/>
        <v>0.99782293178519588</v>
      </c>
      <c r="AC466" s="424">
        <f t="shared" si="148"/>
        <v>7.2674418604651162E-4</v>
      </c>
      <c r="AD466" s="371">
        <f t="shared" si="149"/>
        <v>0</v>
      </c>
      <c r="AE466" s="748">
        <f t="shared" si="150"/>
        <v>0.99927431059506533</v>
      </c>
      <c r="AF466" s="417">
        <f t="shared" si="151"/>
        <v>0</v>
      </c>
      <c r="AG466" s="416">
        <f t="shared" si="152"/>
        <v>8</v>
      </c>
      <c r="AH466" s="372">
        <f t="shared" si="153"/>
        <v>1</v>
      </c>
      <c r="AI466" s="373">
        <f t="shared" si="154"/>
        <v>687.5</v>
      </c>
      <c r="AJ466" s="418">
        <f>VLOOKUP(D466,'Standard Cycle time'!C:D,2,0)</f>
        <v>6</v>
      </c>
      <c r="AK466" s="418">
        <f t="shared" si="155"/>
        <v>5.2363636363636363</v>
      </c>
      <c r="AL466" s="374">
        <f t="shared" si="156"/>
        <v>1.1458333333333333</v>
      </c>
      <c r="AM466" s="372">
        <f t="shared" si="157"/>
        <v>1.1450018142235123</v>
      </c>
      <c r="AN466" s="799">
        <v>3091</v>
      </c>
      <c r="AO466" s="448"/>
      <c r="AP466" s="440">
        <v>0</v>
      </c>
      <c r="AQ466" s="440">
        <v>0</v>
      </c>
      <c r="AR466" s="440">
        <v>0</v>
      </c>
      <c r="AS466" s="440">
        <v>0</v>
      </c>
      <c r="AT466" s="440">
        <v>0</v>
      </c>
      <c r="AU466" s="440">
        <v>0</v>
      </c>
      <c r="AV466" s="440">
        <v>0</v>
      </c>
      <c r="AW466" s="440">
        <v>0</v>
      </c>
      <c r="AX466" s="440">
        <v>0</v>
      </c>
      <c r="AY466" s="440">
        <v>0</v>
      </c>
      <c r="AZ466" s="440">
        <v>0</v>
      </c>
      <c r="BA466" s="440">
        <v>0</v>
      </c>
      <c r="BB466" s="440">
        <v>0</v>
      </c>
      <c r="BC466" s="440">
        <v>0</v>
      </c>
      <c r="BD466" s="440">
        <v>0</v>
      </c>
      <c r="BE466" s="440">
        <v>0</v>
      </c>
      <c r="BF466" s="440">
        <v>0</v>
      </c>
      <c r="BG466" s="440">
        <v>0</v>
      </c>
      <c r="BH466" s="440">
        <v>0</v>
      </c>
      <c r="BI466" s="440">
        <v>0</v>
      </c>
      <c r="BJ466" s="440">
        <v>0</v>
      </c>
      <c r="BK466" s="440">
        <v>0</v>
      </c>
      <c r="BL466" s="440">
        <v>0</v>
      </c>
      <c r="BM466" s="440">
        <v>0</v>
      </c>
      <c r="BN466" s="440">
        <v>0</v>
      </c>
      <c r="BO466" s="440">
        <v>0</v>
      </c>
      <c r="BP466" s="440">
        <v>0</v>
      </c>
      <c r="BQ466" s="440">
        <v>0</v>
      </c>
      <c r="BR466" s="415">
        <v>0</v>
      </c>
      <c r="BS466" s="415">
        <v>0</v>
      </c>
      <c r="BT466" s="935"/>
      <c r="BU466" s="935"/>
      <c r="BV466" s="935"/>
      <c r="BW466" s="935"/>
      <c r="BX466" s="935"/>
      <c r="BY466" s="935"/>
      <c r="BZ466" s="935"/>
      <c r="CA466" s="935"/>
      <c r="CB466" s="935"/>
      <c r="CC466" s="935"/>
      <c r="CD466" s="935"/>
      <c r="CE466" s="935"/>
      <c r="CF466" s="935"/>
      <c r="CG466" s="935"/>
      <c r="CH466" s="935"/>
      <c r="CI466" s="935"/>
      <c r="CJ466" s="935"/>
      <c r="CK466" s="935"/>
      <c r="CL466" s="935"/>
      <c r="CM466" s="935"/>
      <c r="CN466" s="935"/>
      <c r="CO466" s="935"/>
      <c r="CP466" s="935"/>
      <c r="CQ466" s="935"/>
      <c r="CR466" s="935"/>
      <c r="CS466" s="935"/>
      <c r="CT466" s="935"/>
      <c r="CU466" s="935"/>
      <c r="CV466" s="935"/>
    </row>
    <row r="467" spans="1:100" s="441" customFormat="1">
      <c r="A467" s="375">
        <f t="shared" si="143"/>
        <v>9</v>
      </c>
      <c r="B467" s="862">
        <v>44448</v>
      </c>
      <c r="C467" s="493" t="s">
        <v>1980</v>
      </c>
      <c r="D467" s="376" t="str">
        <f>IFERROR(VLOOKUP(E:E,'Item Data Support Sheet'!A:O,7,0),"")</f>
        <v>NIPPLE MOLDED</v>
      </c>
      <c r="E467" s="447" t="s">
        <v>73</v>
      </c>
      <c r="F467" s="500" t="s">
        <v>1678</v>
      </c>
      <c r="G467" s="497" t="s">
        <v>1690</v>
      </c>
      <c r="H467" s="602" t="str">
        <f>IFERROR(VLOOKUP(E:E,'Item Data Support Sheet'!A:O,2,0),"")</f>
        <v>NIPPLE S TYPE M SIZE INJECTION</v>
      </c>
      <c r="I467" s="501" t="s">
        <v>3006</v>
      </c>
      <c r="J467" s="501" t="s">
        <v>2808</v>
      </c>
      <c r="K467" s="438">
        <v>8</v>
      </c>
      <c r="L467" s="499">
        <v>4815</v>
      </c>
      <c r="M467" s="366">
        <f t="shared" si="158"/>
        <v>601.875</v>
      </c>
      <c r="N467" s="367">
        <f t="shared" si="142"/>
        <v>5748</v>
      </c>
      <c r="O467" s="61">
        <v>5700</v>
      </c>
      <c r="P467" s="368">
        <v>0</v>
      </c>
      <c r="Q467" s="368">
        <v>16</v>
      </c>
      <c r="R467" s="494">
        <v>0</v>
      </c>
      <c r="S467" s="493">
        <v>0</v>
      </c>
      <c r="T467" s="494">
        <v>24</v>
      </c>
      <c r="U467" s="493">
        <v>8</v>
      </c>
      <c r="V467" s="502">
        <v>1</v>
      </c>
      <c r="W467" s="453">
        <f t="shared" si="144"/>
        <v>5700</v>
      </c>
      <c r="X467" s="748">
        <f t="shared" si="145"/>
        <v>1.1838006230529594</v>
      </c>
      <c r="Y467" s="451" t="str">
        <f>IFERROR(VLOOKUP(E:E,'Item Data Support Sheet'!A:J,6,0),0)</f>
        <v>Silicon</v>
      </c>
      <c r="Z467" s="428">
        <f>IFERROR(VLOOKUP(E:E,'Item Data Support Sheet'!A:O,4,0),0)</f>
        <v>6.8</v>
      </c>
      <c r="AA467" s="428">
        <f t="shared" si="146"/>
        <v>39.086399999999998</v>
      </c>
      <c r="AB467" s="429">
        <f t="shared" si="147"/>
        <v>0.99164926931106467</v>
      </c>
      <c r="AC467" s="424">
        <f t="shared" si="148"/>
        <v>4.1928721174004195E-3</v>
      </c>
      <c r="AD467" s="371">
        <f t="shared" si="149"/>
        <v>2.7758501040943788E-3</v>
      </c>
      <c r="AE467" s="748">
        <f t="shared" si="150"/>
        <v>0.99582463465553239</v>
      </c>
      <c r="AF467" s="417">
        <f t="shared" si="151"/>
        <v>0</v>
      </c>
      <c r="AG467" s="416">
        <f t="shared" si="152"/>
        <v>8</v>
      </c>
      <c r="AH467" s="372">
        <f t="shared" si="153"/>
        <v>1</v>
      </c>
      <c r="AI467" s="373">
        <f t="shared" si="154"/>
        <v>712.5</v>
      </c>
      <c r="AJ467" s="418">
        <f>VLOOKUP(D467,'Standard Cycle time'!C:D,2,0)</f>
        <v>5.25</v>
      </c>
      <c r="AK467" s="418">
        <f t="shared" si="155"/>
        <v>5.0526315789473681</v>
      </c>
      <c r="AL467" s="374">
        <f t="shared" si="156"/>
        <v>1.0390625</v>
      </c>
      <c r="AM467" s="372">
        <f t="shared" si="157"/>
        <v>1.0347240344467641</v>
      </c>
      <c r="AN467" s="799">
        <v>3097</v>
      </c>
      <c r="AO467" s="448" t="s">
        <v>2454</v>
      </c>
      <c r="AP467" s="440">
        <v>0</v>
      </c>
      <c r="AQ467" s="440">
        <v>0</v>
      </c>
      <c r="AR467" s="440">
        <v>0</v>
      </c>
      <c r="AS467" s="440">
        <v>0</v>
      </c>
      <c r="AT467" s="440">
        <v>0</v>
      </c>
      <c r="AU467" s="440">
        <v>0</v>
      </c>
      <c r="AV467" s="440">
        <v>0</v>
      </c>
      <c r="AW467" s="440">
        <v>0</v>
      </c>
      <c r="AX467" s="440">
        <v>0</v>
      </c>
      <c r="AY467" s="440">
        <v>0</v>
      </c>
      <c r="AZ467" s="440">
        <v>0</v>
      </c>
      <c r="BA467" s="440">
        <v>0</v>
      </c>
      <c r="BB467" s="440">
        <v>0</v>
      </c>
      <c r="BC467" s="440">
        <v>0</v>
      </c>
      <c r="BD467" s="440">
        <v>0</v>
      </c>
      <c r="BE467" s="440">
        <v>0</v>
      </c>
      <c r="BF467" s="440">
        <v>0</v>
      </c>
      <c r="BG467" s="440">
        <v>0</v>
      </c>
      <c r="BH467" s="440">
        <v>0</v>
      </c>
      <c r="BI467" s="440">
        <v>0</v>
      </c>
      <c r="BJ467" s="440">
        <v>0</v>
      </c>
      <c r="BK467" s="440">
        <v>0</v>
      </c>
      <c r="BL467" s="440">
        <v>0</v>
      </c>
      <c r="BM467" s="440">
        <v>0</v>
      </c>
      <c r="BN467" s="440">
        <v>0</v>
      </c>
      <c r="BO467" s="440">
        <v>0</v>
      </c>
      <c r="BP467" s="440">
        <v>0</v>
      </c>
      <c r="BQ467" s="440">
        <v>0</v>
      </c>
      <c r="BR467" s="415">
        <v>0</v>
      </c>
      <c r="BS467" s="415">
        <v>0</v>
      </c>
      <c r="BT467" s="935"/>
      <c r="BU467" s="935"/>
      <c r="BV467" s="935"/>
      <c r="BW467" s="935"/>
      <c r="BX467" s="935"/>
      <c r="BY467" s="935"/>
      <c r="BZ467" s="935"/>
      <c r="CA467" s="935"/>
      <c r="CB467" s="935"/>
      <c r="CC467" s="935"/>
      <c r="CD467" s="935"/>
      <c r="CE467" s="935"/>
      <c r="CF467" s="935"/>
      <c r="CG467" s="935"/>
      <c r="CH467" s="935"/>
      <c r="CI467" s="935"/>
      <c r="CJ467" s="935"/>
      <c r="CK467" s="935"/>
      <c r="CL467" s="935"/>
      <c r="CM467" s="935"/>
      <c r="CN467" s="935"/>
      <c r="CO467" s="935"/>
      <c r="CP467" s="935"/>
      <c r="CQ467" s="935"/>
      <c r="CR467" s="935"/>
      <c r="CS467" s="935"/>
      <c r="CT467" s="935"/>
      <c r="CU467" s="935"/>
      <c r="CV467" s="935"/>
    </row>
    <row r="468" spans="1:100" s="441" customFormat="1">
      <c r="A468" s="375">
        <f t="shared" si="143"/>
        <v>9</v>
      </c>
      <c r="B468" s="862">
        <v>44448</v>
      </c>
      <c r="C468" s="493" t="s">
        <v>1980</v>
      </c>
      <c r="D468" s="376" t="str">
        <f>IFERROR(VLOOKUP(E:E,'Item Data Support Sheet'!A:O,7,0),"")</f>
        <v>NIPPLE PUNCH</v>
      </c>
      <c r="E468" s="447" t="s">
        <v>81</v>
      </c>
      <c r="F468" s="500"/>
      <c r="G468" s="497" t="s">
        <v>1692</v>
      </c>
      <c r="H468" s="602" t="str">
        <f>IFERROR(VLOOKUP(E:E,'Item Data Support Sheet'!A:O,2,0),"")</f>
        <v>NIPPLE S TYPE M SIZE PUNCHED</v>
      </c>
      <c r="I468" s="501" t="s">
        <v>3007</v>
      </c>
      <c r="J468" s="501" t="s">
        <v>2808</v>
      </c>
      <c r="K468" s="438">
        <v>8</v>
      </c>
      <c r="L468" s="499">
        <v>7000</v>
      </c>
      <c r="M468" s="366">
        <f t="shared" si="158"/>
        <v>875</v>
      </c>
      <c r="N468" s="367">
        <f t="shared" si="142"/>
        <v>6500</v>
      </c>
      <c r="O468" s="61">
        <v>6500</v>
      </c>
      <c r="P468" s="368">
        <v>0</v>
      </c>
      <c r="Q468" s="368">
        <v>0</v>
      </c>
      <c r="R468" s="494">
        <v>0</v>
      </c>
      <c r="S468" s="493">
        <v>0</v>
      </c>
      <c r="T468" s="494">
        <v>0</v>
      </c>
      <c r="U468" s="493">
        <v>0</v>
      </c>
      <c r="V468" s="502">
        <v>1</v>
      </c>
      <c r="W468" s="453">
        <f t="shared" si="144"/>
        <v>6500</v>
      </c>
      <c r="X468" s="748">
        <f t="shared" si="145"/>
        <v>0.9285714285714286</v>
      </c>
      <c r="Y468" s="451" t="str">
        <f>IFERROR(VLOOKUP(E:E,'Item Data Support Sheet'!A:J,6,0),0)</f>
        <v>FO016</v>
      </c>
      <c r="Z468" s="428">
        <f>IFERROR(VLOOKUP(E:E,'Item Data Support Sheet'!A:O,4,0),0)</f>
        <v>0</v>
      </c>
      <c r="AA468" s="428">
        <f t="shared" si="146"/>
        <v>0</v>
      </c>
      <c r="AB468" s="429" t="str">
        <f t="shared" si="147"/>
        <v xml:space="preserve"> </v>
      </c>
      <c r="AC468" s="424">
        <f t="shared" si="148"/>
        <v>0</v>
      </c>
      <c r="AD468" s="371">
        <f t="shared" si="149"/>
        <v>0</v>
      </c>
      <c r="AE468" s="748">
        <f t="shared" si="150"/>
        <v>1</v>
      </c>
      <c r="AF468" s="417">
        <f t="shared" si="151"/>
        <v>1.1666666666666667</v>
      </c>
      <c r="AG468" s="416">
        <f t="shared" si="152"/>
        <v>6.833333333333333</v>
      </c>
      <c r="AH468" s="372">
        <f t="shared" si="153"/>
        <v>0.85416666666666663</v>
      </c>
      <c r="AI468" s="373">
        <f t="shared" si="154"/>
        <v>812.5</v>
      </c>
      <c r="AJ468" s="418">
        <f>VLOOKUP(D468,'Standard Cycle time'!C:D,2,0)</f>
        <v>3.5</v>
      </c>
      <c r="AK468" s="418">
        <f t="shared" si="155"/>
        <v>3.7846153846153845</v>
      </c>
      <c r="AL468" s="374">
        <f t="shared" si="156"/>
        <v>0.92479674796747968</v>
      </c>
      <c r="AM468" s="372">
        <f t="shared" si="157"/>
        <v>0.78993055555555558</v>
      </c>
      <c r="AN468" s="799" t="s">
        <v>3008</v>
      </c>
      <c r="AO468" s="448" t="s">
        <v>3009</v>
      </c>
      <c r="AP468" s="440">
        <v>40</v>
      </c>
      <c r="AQ468" s="440">
        <v>0</v>
      </c>
      <c r="AR468" s="440">
        <v>0</v>
      </c>
      <c r="AS468" s="440">
        <v>0</v>
      </c>
      <c r="AT468" s="440">
        <v>0</v>
      </c>
      <c r="AU468" s="440">
        <v>0</v>
      </c>
      <c r="AV468" s="440">
        <v>0</v>
      </c>
      <c r="AW468" s="440">
        <v>0</v>
      </c>
      <c r="AX468" s="440">
        <v>0</v>
      </c>
      <c r="AY468" s="440">
        <v>0</v>
      </c>
      <c r="AZ468" s="440">
        <v>0</v>
      </c>
      <c r="BA468" s="440">
        <v>30</v>
      </c>
      <c r="BB468" s="440">
        <v>0</v>
      </c>
      <c r="BC468" s="440">
        <v>0</v>
      </c>
      <c r="BD468" s="440">
        <v>0</v>
      </c>
      <c r="BE468" s="440">
        <v>0</v>
      </c>
      <c r="BF468" s="440">
        <v>0</v>
      </c>
      <c r="BG468" s="440">
        <v>0</v>
      </c>
      <c r="BH468" s="440">
        <v>0</v>
      </c>
      <c r="BI468" s="440">
        <v>0</v>
      </c>
      <c r="BJ468" s="440">
        <v>0</v>
      </c>
      <c r="BK468" s="440">
        <v>0</v>
      </c>
      <c r="BL468" s="440">
        <v>0</v>
      </c>
      <c r="BM468" s="440">
        <v>0</v>
      </c>
      <c r="BN468" s="440">
        <v>0</v>
      </c>
      <c r="BO468" s="440">
        <v>0</v>
      </c>
      <c r="BP468" s="440">
        <v>0</v>
      </c>
      <c r="BQ468" s="440">
        <v>0</v>
      </c>
      <c r="BR468" s="415">
        <v>1.1666666666666667</v>
      </c>
      <c r="BS468" s="415">
        <v>1.1861111111111111</v>
      </c>
      <c r="BT468" s="935"/>
      <c r="BU468" s="935"/>
      <c r="BV468" s="935"/>
      <c r="BW468" s="935"/>
      <c r="BX468" s="935"/>
      <c r="BY468" s="935"/>
      <c r="BZ468" s="935"/>
      <c r="CA468" s="935"/>
      <c r="CB468" s="935"/>
      <c r="CC468" s="935"/>
      <c r="CD468" s="935"/>
      <c r="CE468" s="935"/>
      <c r="CF468" s="935"/>
      <c r="CG468" s="935"/>
      <c r="CH468" s="935"/>
      <c r="CI468" s="935"/>
      <c r="CJ468" s="935"/>
      <c r="CK468" s="935"/>
      <c r="CL468" s="935"/>
      <c r="CM468" s="935"/>
      <c r="CN468" s="935"/>
      <c r="CO468" s="935"/>
      <c r="CP468" s="935"/>
      <c r="CQ468" s="935"/>
      <c r="CR468" s="935"/>
      <c r="CS468" s="935"/>
      <c r="CT468" s="935"/>
      <c r="CU468" s="935"/>
      <c r="CV468" s="935"/>
    </row>
    <row r="469" spans="1:100" s="441" customFormat="1">
      <c r="A469" s="375">
        <f t="shared" si="143"/>
        <v>9</v>
      </c>
      <c r="B469" s="862">
        <v>44448</v>
      </c>
      <c r="C469" s="493" t="s">
        <v>1980</v>
      </c>
      <c r="D469" s="376" t="str">
        <f>IFERROR(VLOOKUP(E:E,'Item Data Support Sheet'!A:O,7,0),"")</f>
        <v>NIPPLE LASER MARKING</v>
      </c>
      <c r="E469" s="447" t="s">
        <v>1815</v>
      </c>
      <c r="F469" s="500"/>
      <c r="G469" s="497" t="s">
        <v>1812</v>
      </c>
      <c r="H469" s="602" t="str">
        <f>IFERROR(VLOOKUP(E:E,'Item Data Support Sheet'!A:O,2,0),"")</f>
        <v>NIPPLE S TYPE M SIZE PUNCHED LASER MARKED</v>
      </c>
      <c r="I469" s="501" t="s">
        <v>3010</v>
      </c>
      <c r="J469" s="501" t="s">
        <v>2808</v>
      </c>
      <c r="K469" s="438">
        <v>8</v>
      </c>
      <c r="L469" s="499">
        <v>7000</v>
      </c>
      <c r="M469" s="366">
        <f t="shared" si="158"/>
        <v>875</v>
      </c>
      <c r="N469" s="367">
        <f t="shared" si="142"/>
        <v>7000</v>
      </c>
      <c r="O469" s="61">
        <v>7000</v>
      </c>
      <c r="P469" s="368">
        <v>0</v>
      </c>
      <c r="Q469" s="368">
        <v>0</v>
      </c>
      <c r="R469" s="494">
        <v>0</v>
      </c>
      <c r="S469" s="493">
        <v>0</v>
      </c>
      <c r="T469" s="494">
        <v>0</v>
      </c>
      <c r="U469" s="493">
        <v>0</v>
      </c>
      <c r="V469" s="502">
        <v>1</v>
      </c>
      <c r="W469" s="453">
        <f t="shared" si="144"/>
        <v>7000</v>
      </c>
      <c r="X469" s="748">
        <f t="shared" si="145"/>
        <v>1</v>
      </c>
      <c r="Y469" s="451" t="str">
        <f>IFERROR(VLOOKUP(E:E,'Item Data Support Sheet'!A:J,6,0),0)</f>
        <v>FO020</v>
      </c>
      <c r="Z469" s="428">
        <f>IFERROR(VLOOKUP(E:E,'Item Data Support Sheet'!A:O,4,0),0)</f>
        <v>0</v>
      </c>
      <c r="AA469" s="428">
        <f t="shared" si="146"/>
        <v>0</v>
      </c>
      <c r="AB469" s="429" t="str">
        <f t="shared" si="147"/>
        <v xml:space="preserve"> </v>
      </c>
      <c r="AC469" s="424">
        <f t="shared" si="148"/>
        <v>0</v>
      </c>
      <c r="AD469" s="371">
        <f t="shared" si="149"/>
        <v>0</v>
      </c>
      <c r="AE469" s="748">
        <f t="shared" si="150"/>
        <v>1</v>
      </c>
      <c r="AF469" s="417">
        <f t="shared" si="151"/>
        <v>0.66666666666666663</v>
      </c>
      <c r="AG469" s="416">
        <f t="shared" si="152"/>
        <v>7.333333333333333</v>
      </c>
      <c r="AH469" s="372">
        <f t="shared" si="153"/>
        <v>0.91666666666666663</v>
      </c>
      <c r="AI469" s="373">
        <f t="shared" si="154"/>
        <v>875</v>
      </c>
      <c r="AJ469" s="418">
        <f>VLOOKUP(D469,'Standard Cycle time'!C:D,2,0)</f>
        <v>3.5</v>
      </c>
      <c r="AK469" s="418">
        <f t="shared" si="155"/>
        <v>3.7714285714285714</v>
      </c>
      <c r="AL469" s="374">
        <f t="shared" si="156"/>
        <v>0.92803030303030309</v>
      </c>
      <c r="AM469" s="372">
        <f t="shared" si="157"/>
        <v>0.85069444444444442</v>
      </c>
      <c r="AN469" s="799" t="s">
        <v>3011</v>
      </c>
      <c r="AO469" s="448" t="s">
        <v>2454</v>
      </c>
      <c r="AP469" s="440">
        <v>40</v>
      </c>
      <c r="AQ469" s="440">
        <v>0</v>
      </c>
      <c r="AR469" s="440">
        <v>0</v>
      </c>
      <c r="AS469" s="440">
        <v>0</v>
      </c>
      <c r="AT469" s="440">
        <v>0</v>
      </c>
      <c r="AU469" s="440">
        <v>0</v>
      </c>
      <c r="AV469" s="440">
        <v>0</v>
      </c>
      <c r="AW469" s="440">
        <v>0</v>
      </c>
      <c r="AX469" s="440">
        <v>0</v>
      </c>
      <c r="AY469" s="440">
        <v>0</v>
      </c>
      <c r="AZ469" s="440">
        <v>0</v>
      </c>
      <c r="BA469" s="440">
        <v>0</v>
      </c>
      <c r="BB469" s="440">
        <v>0</v>
      </c>
      <c r="BC469" s="440">
        <v>0</v>
      </c>
      <c r="BD469" s="440">
        <v>0</v>
      </c>
      <c r="BE469" s="440">
        <v>0</v>
      </c>
      <c r="BF469" s="440">
        <v>0</v>
      </c>
      <c r="BG469" s="440">
        <v>0</v>
      </c>
      <c r="BH469" s="440">
        <v>0</v>
      </c>
      <c r="BI469" s="440">
        <v>0</v>
      </c>
      <c r="BJ469" s="440">
        <v>0</v>
      </c>
      <c r="BK469" s="440">
        <v>0</v>
      </c>
      <c r="BL469" s="440">
        <v>0</v>
      </c>
      <c r="BM469" s="440">
        <v>0</v>
      </c>
      <c r="BN469" s="440">
        <v>0</v>
      </c>
      <c r="BO469" s="440">
        <v>0</v>
      </c>
      <c r="BP469" s="440">
        <v>0</v>
      </c>
      <c r="BQ469" s="440">
        <v>0</v>
      </c>
      <c r="BR469" s="415">
        <v>0.66666666666666663</v>
      </c>
      <c r="BS469" s="415">
        <v>0.6777777777777777</v>
      </c>
      <c r="BT469" s="935"/>
      <c r="BU469" s="935"/>
      <c r="BV469" s="935"/>
      <c r="BW469" s="935"/>
      <c r="BX469" s="935"/>
      <c r="BY469" s="935"/>
      <c r="BZ469" s="935"/>
      <c r="CA469" s="935"/>
      <c r="CB469" s="935"/>
      <c r="CC469" s="935"/>
      <c r="CD469" s="935"/>
      <c r="CE469" s="935"/>
      <c r="CF469" s="935"/>
      <c r="CG469" s="935"/>
      <c r="CH469" s="935"/>
      <c r="CI469" s="935"/>
      <c r="CJ469" s="935"/>
      <c r="CK469" s="935"/>
      <c r="CL469" s="935"/>
      <c r="CM469" s="935"/>
      <c r="CN469" s="935"/>
      <c r="CO469" s="935"/>
      <c r="CP469" s="935"/>
      <c r="CQ469" s="935"/>
      <c r="CR469" s="935"/>
      <c r="CS469" s="935"/>
      <c r="CT469" s="935"/>
      <c r="CU469" s="935"/>
      <c r="CV469" s="935"/>
    </row>
    <row r="470" spans="1:100" s="441" customFormat="1">
      <c r="A470" s="375">
        <f t="shared" si="143"/>
        <v>9</v>
      </c>
      <c r="B470" s="862">
        <v>44448</v>
      </c>
      <c r="C470" s="493" t="s">
        <v>1980</v>
      </c>
      <c r="D470" s="376" t="str">
        <f>IFERROR(VLOOKUP(E:E,'Item Data Support Sheet'!A:O,7,0),"")</f>
        <v>BOTTLE PRINTED</v>
      </c>
      <c r="E470" s="447" t="s">
        <v>64</v>
      </c>
      <c r="F470" s="500"/>
      <c r="G470" s="497" t="s">
        <v>1698</v>
      </c>
      <c r="H470" s="602" t="str">
        <f>IFERROR(VLOOKUP(E:E,'Item Data Support Sheet'!A:O,2,0),"")</f>
        <v>KPP 240 ML BOTTLE PRINTED</v>
      </c>
      <c r="I470" s="501" t="s">
        <v>3012</v>
      </c>
      <c r="J470" s="501" t="s">
        <v>2808</v>
      </c>
      <c r="K470" s="438">
        <v>8</v>
      </c>
      <c r="L470" s="499">
        <v>5100</v>
      </c>
      <c r="M470" s="366">
        <f t="shared" si="158"/>
        <v>637.5</v>
      </c>
      <c r="N470" s="367">
        <f t="shared" si="142"/>
        <v>3802</v>
      </c>
      <c r="O470" s="61">
        <v>3780</v>
      </c>
      <c r="P470" s="368">
        <v>0</v>
      </c>
      <c r="Q470" s="368">
        <v>0</v>
      </c>
      <c r="R470" s="494">
        <v>30</v>
      </c>
      <c r="S470" s="493">
        <v>0</v>
      </c>
      <c r="T470" s="494">
        <v>22</v>
      </c>
      <c r="U470" s="493">
        <v>0</v>
      </c>
      <c r="V470" s="502">
        <v>5</v>
      </c>
      <c r="W470" s="453">
        <f t="shared" si="144"/>
        <v>756</v>
      </c>
      <c r="X470" s="748">
        <f t="shared" si="145"/>
        <v>0.74117647058823533</v>
      </c>
      <c r="Y470" s="451" t="str">
        <f>IFERROR(VLOOKUP(E:E,'Item Data Support Sheet'!A:J,6,0),0)</f>
        <v>FO003</v>
      </c>
      <c r="Z470" s="428">
        <f>IFERROR(VLOOKUP(E:E,'Item Data Support Sheet'!A:O,4,0),0)</f>
        <v>0</v>
      </c>
      <c r="AA470" s="428">
        <f t="shared" si="146"/>
        <v>0</v>
      </c>
      <c r="AB470" s="429" t="str">
        <f t="shared" si="147"/>
        <v xml:space="preserve"> </v>
      </c>
      <c r="AC470" s="424">
        <f t="shared" si="148"/>
        <v>5.7864281956864806E-3</v>
      </c>
      <c r="AD470" s="371">
        <f t="shared" si="149"/>
        <v>0</v>
      </c>
      <c r="AE470" s="748">
        <f t="shared" si="150"/>
        <v>0.99421357180431347</v>
      </c>
      <c r="AF470" s="417">
        <f t="shared" si="151"/>
        <v>0</v>
      </c>
      <c r="AG470" s="416">
        <f t="shared" si="152"/>
        <v>8</v>
      </c>
      <c r="AH470" s="372">
        <f t="shared" si="153"/>
        <v>1</v>
      </c>
      <c r="AI470" s="373">
        <f t="shared" si="154"/>
        <v>472.5</v>
      </c>
      <c r="AJ470" s="418">
        <f>VLOOKUP(D470,'Standard Cycle time'!C:D,2,0)</f>
        <v>32.4</v>
      </c>
      <c r="AK470" s="418">
        <f t="shared" si="155"/>
        <v>38.095238095238095</v>
      </c>
      <c r="AL470" s="374">
        <f t="shared" si="156"/>
        <v>0.85049999999999992</v>
      </c>
      <c r="AM470" s="372">
        <f t="shared" si="157"/>
        <v>0.84557864281956852</v>
      </c>
      <c r="AN470" s="799" t="s">
        <v>3013</v>
      </c>
      <c r="AO470" s="448" t="s">
        <v>3014</v>
      </c>
      <c r="AP470" s="440"/>
      <c r="AQ470" s="440"/>
      <c r="AR470" s="440"/>
      <c r="AS470" s="440"/>
      <c r="AT470" s="440"/>
      <c r="AU470" s="440"/>
      <c r="AV470" s="440"/>
      <c r="AW470" s="440"/>
      <c r="AX470" s="440"/>
      <c r="AY470" s="440"/>
      <c r="AZ470" s="440"/>
      <c r="BA470" s="440"/>
      <c r="BB470" s="440"/>
      <c r="BC470" s="440"/>
      <c r="BD470" s="440"/>
      <c r="BE470" s="440"/>
      <c r="BF470" s="440"/>
      <c r="BG470" s="440"/>
      <c r="BH470" s="440"/>
      <c r="BI470" s="440"/>
      <c r="BJ470" s="440"/>
      <c r="BK470" s="440"/>
      <c r="BL470" s="440"/>
      <c r="BM470" s="440"/>
      <c r="BN470" s="440"/>
      <c r="BO470" s="440"/>
      <c r="BP470" s="440"/>
      <c r="BQ470" s="440"/>
      <c r="BR470" s="415"/>
      <c r="BS470" s="415"/>
      <c r="BT470" s="935"/>
      <c r="BU470" s="935"/>
      <c r="BV470" s="935"/>
      <c r="BW470" s="935"/>
      <c r="BX470" s="935"/>
      <c r="BY470" s="935"/>
      <c r="BZ470" s="935"/>
      <c r="CA470" s="935"/>
      <c r="CB470" s="935"/>
      <c r="CC470" s="935"/>
      <c r="CD470" s="935"/>
      <c r="CE470" s="935"/>
      <c r="CF470" s="935"/>
      <c r="CG470" s="935"/>
      <c r="CH470" s="935"/>
      <c r="CI470" s="935"/>
      <c r="CJ470" s="935"/>
      <c r="CK470" s="935"/>
      <c r="CL470" s="935"/>
      <c r="CM470" s="935"/>
      <c r="CN470" s="935"/>
      <c r="CO470" s="935"/>
      <c r="CP470" s="935"/>
      <c r="CQ470" s="935"/>
      <c r="CR470" s="935"/>
      <c r="CS470" s="935"/>
      <c r="CT470" s="935"/>
      <c r="CU470" s="935"/>
      <c r="CV470" s="935"/>
    </row>
    <row r="471" spans="1:100" s="441" customFormat="1">
      <c r="A471" s="375">
        <f t="shared" si="143"/>
        <v>9</v>
      </c>
      <c r="B471" s="862">
        <v>44448</v>
      </c>
      <c r="C471" s="493" t="s">
        <v>1980</v>
      </c>
      <c r="D471" s="376" t="str">
        <f>IFERROR(VLOOKUP(E:E,'Item Data Support Sheet'!A:O,7,0),"")</f>
        <v>HOOD MOLDED</v>
      </c>
      <c r="E471" s="447" t="s">
        <v>1987</v>
      </c>
      <c r="F471" s="500"/>
      <c r="G471" s="497" t="s">
        <v>2729</v>
      </c>
      <c r="H471" s="602" t="str">
        <f>IFERROR(VLOOKUP(E:E,'Item Data Support Sheet'!A:O,2,0),"")</f>
        <v>HOOD S TYPE MOLDED</v>
      </c>
      <c r="I471" s="501" t="s">
        <v>3015</v>
      </c>
      <c r="J471" s="501" t="s">
        <v>2808</v>
      </c>
      <c r="K471" s="438">
        <v>8</v>
      </c>
      <c r="L471" s="499">
        <v>4137</v>
      </c>
      <c r="M471" s="366">
        <f t="shared" si="158"/>
        <v>517.125</v>
      </c>
      <c r="N471" s="367">
        <f t="shared" si="142"/>
        <v>5303</v>
      </c>
      <c r="O471" s="61">
        <v>5300</v>
      </c>
      <c r="P471" s="368">
        <v>0</v>
      </c>
      <c r="Q471" s="368">
        <v>0</v>
      </c>
      <c r="R471" s="494">
        <v>0</v>
      </c>
      <c r="S471" s="493">
        <v>0</v>
      </c>
      <c r="T471" s="494">
        <v>3</v>
      </c>
      <c r="U471" s="493">
        <v>0</v>
      </c>
      <c r="V471" s="502">
        <v>1</v>
      </c>
      <c r="W471" s="453">
        <f t="shared" si="144"/>
        <v>5300</v>
      </c>
      <c r="X471" s="748">
        <f t="shared" si="145"/>
        <v>1.2811215856901137</v>
      </c>
      <c r="Y471" s="451" t="str">
        <f>IFERROR(VLOOKUP(E:E,'Item Data Support Sheet'!A:J,6,0),0)</f>
        <v>HMC</v>
      </c>
      <c r="Z471" s="428">
        <f>IFERROR(VLOOKUP(E:E,'Item Data Support Sheet'!A:O,4,0),0)</f>
        <v>8.6</v>
      </c>
      <c r="AA471" s="428">
        <f t="shared" si="146"/>
        <v>45.605800000000002</v>
      </c>
      <c r="AB471" s="429">
        <f t="shared" si="147"/>
        <v>0.99943428248161414</v>
      </c>
      <c r="AC471" s="424">
        <f t="shared" si="148"/>
        <v>5.6571751838581938E-4</v>
      </c>
      <c r="AD471" s="371">
        <f t="shared" si="149"/>
        <v>0</v>
      </c>
      <c r="AE471" s="748">
        <f t="shared" si="150"/>
        <v>0.99943428248161414</v>
      </c>
      <c r="AF471" s="417">
        <f t="shared" si="151"/>
        <v>0</v>
      </c>
      <c r="AG471" s="416">
        <f t="shared" si="152"/>
        <v>8</v>
      </c>
      <c r="AH471" s="372">
        <f t="shared" si="153"/>
        <v>1</v>
      </c>
      <c r="AI471" s="373">
        <f t="shared" si="154"/>
        <v>662.5</v>
      </c>
      <c r="AJ471" s="418">
        <f>VLOOKUP(D471,'Standard Cycle time'!C:D,2,0)</f>
        <v>6</v>
      </c>
      <c r="AK471" s="418">
        <f t="shared" si="155"/>
        <v>5.4339622641509431</v>
      </c>
      <c r="AL471" s="374">
        <f t="shared" si="156"/>
        <v>1.1041666666666667</v>
      </c>
      <c r="AM471" s="372">
        <f t="shared" si="157"/>
        <v>1.1035420202401156</v>
      </c>
      <c r="AN471" s="799" t="s">
        <v>3016</v>
      </c>
      <c r="AO471" s="448" t="s">
        <v>2454</v>
      </c>
      <c r="AP471" s="440">
        <v>0</v>
      </c>
      <c r="AQ471" s="440">
        <v>0</v>
      </c>
      <c r="AR471" s="440">
        <v>0</v>
      </c>
      <c r="AS471" s="440">
        <v>0</v>
      </c>
      <c r="AT471" s="440">
        <v>0</v>
      </c>
      <c r="AU471" s="440">
        <v>0</v>
      </c>
      <c r="AV471" s="440">
        <v>0</v>
      </c>
      <c r="AW471" s="440">
        <v>0</v>
      </c>
      <c r="AX471" s="440">
        <v>0</v>
      </c>
      <c r="AY471" s="440">
        <v>0</v>
      </c>
      <c r="AZ471" s="440">
        <v>0</v>
      </c>
      <c r="BA471" s="440">
        <v>0</v>
      </c>
      <c r="BB471" s="440">
        <v>0</v>
      </c>
      <c r="BC471" s="440">
        <v>0</v>
      </c>
      <c r="BD471" s="440">
        <v>0</v>
      </c>
      <c r="BE471" s="440">
        <v>0</v>
      </c>
      <c r="BF471" s="440">
        <v>0</v>
      </c>
      <c r="BG471" s="440">
        <v>0</v>
      </c>
      <c r="BH471" s="440">
        <v>0</v>
      </c>
      <c r="BI471" s="440">
        <v>0</v>
      </c>
      <c r="BJ471" s="440">
        <v>0</v>
      </c>
      <c r="BK471" s="440">
        <v>0</v>
      </c>
      <c r="BL471" s="440">
        <v>0</v>
      </c>
      <c r="BM471" s="440">
        <v>0</v>
      </c>
      <c r="BN471" s="440">
        <v>0</v>
      </c>
      <c r="BO471" s="440">
        <v>0</v>
      </c>
      <c r="BP471" s="440">
        <v>0</v>
      </c>
      <c r="BQ471" s="440">
        <v>0</v>
      </c>
      <c r="BR471" s="415">
        <v>0</v>
      </c>
      <c r="BS471" s="415">
        <v>0</v>
      </c>
      <c r="BT471" s="935"/>
      <c r="BU471" s="935"/>
      <c r="BV471" s="935"/>
      <c r="BW471" s="935"/>
      <c r="BX471" s="935"/>
      <c r="BY471" s="935"/>
      <c r="BZ471" s="935"/>
      <c r="CA471" s="935"/>
      <c r="CB471" s="935"/>
      <c r="CC471" s="935"/>
      <c r="CD471" s="935"/>
      <c r="CE471" s="935"/>
      <c r="CF471" s="935"/>
      <c r="CG471" s="935"/>
      <c r="CH471" s="935"/>
      <c r="CI471" s="935"/>
      <c r="CJ471" s="935"/>
      <c r="CK471" s="935"/>
      <c r="CL471" s="935"/>
      <c r="CM471" s="935"/>
      <c r="CN471" s="935"/>
      <c r="CO471" s="935"/>
      <c r="CP471" s="935"/>
      <c r="CQ471" s="935"/>
      <c r="CR471" s="935"/>
      <c r="CS471" s="935"/>
      <c r="CT471" s="935"/>
      <c r="CU471" s="935"/>
      <c r="CV471" s="935"/>
    </row>
    <row r="472" spans="1:100" s="441" customFormat="1">
      <c r="A472" s="375">
        <f t="shared" si="143"/>
        <v>9</v>
      </c>
      <c r="B472" s="862">
        <v>44448</v>
      </c>
      <c r="C472" s="493" t="s">
        <v>2000</v>
      </c>
      <c r="D472" s="376" t="str">
        <f>IFERROR(VLOOKUP(E:E,'Item Data Support Sheet'!A:O,7,0),"")</f>
        <v>NIPPLE PUNCH INSPECTED</v>
      </c>
      <c r="E472" s="447" t="s">
        <v>1819</v>
      </c>
      <c r="F472" s="500"/>
      <c r="G472" s="497"/>
      <c r="H472" s="602" t="str">
        <f>IFERROR(VLOOKUP(E:E,'Item Data Support Sheet'!A:O,2,0),"")</f>
        <v>NIPPLE S TYPE M SIZE PUNCHED INSPECTED</v>
      </c>
      <c r="I472" s="501" t="s">
        <v>2996</v>
      </c>
      <c r="J472" s="501" t="s">
        <v>2809</v>
      </c>
      <c r="K472" s="438">
        <v>8</v>
      </c>
      <c r="L472" s="499">
        <v>14000</v>
      </c>
      <c r="M472" s="366">
        <f t="shared" si="158"/>
        <v>1750</v>
      </c>
      <c r="N472" s="367">
        <f t="shared" si="142"/>
        <v>11840</v>
      </c>
      <c r="O472" s="61">
        <v>11670</v>
      </c>
      <c r="P472" s="368">
        <v>0</v>
      </c>
      <c r="Q472" s="368">
        <v>0</v>
      </c>
      <c r="R472" s="494">
        <v>0</v>
      </c>
      <c r="S472" s="493">
        <v>0</v>
      </c>
      <c r="T472" s="494">
        <v>170</v>
      </c>
      <c r="U472" s="493">
        <v>0</v>
      </c>
      <c r="V472" s="502">
        <v>2</v>
      </c>
      <c r="W472" s="453">
        <f t="shared" si="144"/>
        <v>5835</v>
      </c>
      <c r="X472" s="748">
        <f t="shared" si="145"/>
        <v>0.83357142857142852</v>
      </c>
      <c r="Y472" s="451" t="str">
        <f>IFERROR(VLOOKUP(E:E,'Item Data Support Sheet'!A:J,6,0),0)</f>
        <v>FO105</v>
      </c>
      <c r="Z472" s="428">
        <f>IFERROR(VLOOKUP(E:E,'Item Data Support Sheet'!A:O,4,0),0)</f>
        <v>0</v>
      </c>
      <c r="AA472" s="428">
        <f t="shared" si="146"/>
        <v>0</v>
      </c>
      <c r="AB472" s="429" t="str">
        <f t="shared" si="147"/>
        <v xml:space="preserve"> </v>
      </c>
      <c r="AC472" s="424">
        <f t="shared" si="148"/>
        <v>1.4358108108108109E-2</v>
      </c>
      <c r="AD472" s="371">
        <f t="shared" si="149"/>
        <v>0</v>
      </c>
      <c r="AE472" s="748">
        <f t="shared" si="150"/>
        <v>0.98564189189189189</v>
      </c>
      <c r="AF472" s="417">
        <f t="shared" si="151"/>
        <v>0.83333333333333337</v>
      </c>
      <c r="AG472" s="416">
        <f t="shared" si="152"/>
        <v>7.166666666666667</v>
      </c>
      <c r="AH472" s="372">
        <f t="shared" si="153"/>
        <v>0.89583333333333337</v>
      </c>
      <c r="AI472" s="373">
        <f t="shared" si="154"/>
        <v>1458.75</v>
      </c>
      <c r="AJ472" s="418">
        <f>VLOOKUP(D472,'Standard Cycle time'!C:D,2,0)</f>
        <v>4</v>
      </c>
      <c r="AK472" s="418">
        <f t="shared" si="155"/>
        <v>4.4215938303341904</v>
      </c>
      <c r="AL472" s="374">
        <f t="shared" si="156"/>
        <v>0.90465116279069768</v>
      </c>
      <c r="AM472" s="372">
        <f t="shared" si="157"/>
        <v>0.79878061655405408</v>
      </c>
      <c r="AN472" s="799" t="s">
        <v>3017</v>
      </c>
      <c r="AO472" s="448"/>
      <c r="AP472" s="440">
        <v>50</v>
      </c>
      <c r="AQ472" s="440">
        <v>0</v>
      </c>
      <c r="AR472" s="440">
        <v>0</v>
      </c>
      <c r="AS472" s="440">
        <v>0</v>
      </c>
      <c r="AT472" s="440">
        <v>0</v>
      </c>
      <c r="AU472" s="440">
        <v>0</v>
      </c>
      <c r="AV472" s="440">
        <v>0</v>
      </c>
      <c r="AW472" s="440">
        <v>0</v>
      </c>
      <c r="AX472" s="440">
        <v>0</v>
      </c>
      <c r="AY472" s="440">
        <v>0</v>
      </c>
      <c r="AZ472" s="440">
        <v>0</v>
      </c>
      <c r="BA472" s="440">
        <v>0</v>
      </c>
      <c r="BB472" s="440">
        <v>0</v>
      </c>
      <c r="BC472" s="440">
        <v>0</v>
      </c>
      <c r="BD472" s="440">
        <v>0</v>
      </c>
      <c r="BE472" s="440">
        <v>0</v>
      </c>
      <c r="BF472" s="440">
        <v>0</v>
      </c>
      <c r="BG472" s="440">
        <v>0</v>
      </c>
      <c r="BH472" s="440">
        <v>0</v>
      </c>
      <c r="BI472" s="440">
        <v>0</v>
      </c>
      <c r="BJ472" s="440">
        <v>0</v>
      </c>
      <c r="BK472" s="440">
        <v>0</v>
      </c>
      <c r="BL472" s="440">
        <v>0</v>
      </c>
      <c r="BM472" s="440">
        <v>0</v>
      </c>
      <c r="BN472" s="440">
        <v>0</v>
      </c>
      <c r="BO472" s="440">
        <v>0</v>
      </c>
      <c r="BP472" s="440">
        <v>0</v>
      </c>
      <c r="BQ472" s="440">
        <v>0</v>
      </c>
      <c r="BR472" s="415">
        <v>0.83333333333333337</v>
      </c>
      <c r="BS472" s="415">
        <v>0.84722222222222221</v>
      </c>
      <c r="BT472" s="935"/>
      <c r="BU472" s="935"/>
      <c r="BV472" s="935"/>
      <c r="BW472" s="935"/>
      <c r="BX472" s="935"/>
      <c r="BY472" s="935"/>
      <c r="BZ472" s="935"/>
      <c r="CA472" s="935"/>
      <c r="CB472" s="935"/>
      <c r="CC472" s="935"/>
      <c r="CD472" s="935"/>
      <c r="CE472" s="935"/>
      <c r="CF472" s="935"/>
      <c r="CG472" s="935"/>
      <c r="CH472" s="935"/>
      <c r="CI472" s="935"/>
      <c r="CJ472" s="935"/>
      <c r="CK472" s="935"/>
      <c r="CL472" s="935"/>
      <c r="CM472" s="935"/>
      <c r="CN472" s="935"/>
      <c r="CO472" s="935"/>
      <c r="CP472" s="935"/>
      <c r="CQ472" s="935"/>
      <c r="CR472" s="935"/>
      <c r="CS472" s="935"/>
      <c r="CT472" s="935"/>
      <c r="CU472" s="935"/>
      <c r="CV472" s="935"/>
    </row>
    <row r="473" spans="1:100" s="441" customFormat="1">
      <c r="A473" s="375">
        <f t="shared" si="143"/>
        <v>9</v>
      </c>
      <c r="B473" s="862">
        <v>44448</v>
      </c>
      <c r="C473" s="493" t="s">
        <v>2001</v>
      </c>
      <c r="D473" s="376" t="str">
        <f>IFERROR(VLOOKUP(E:E,'Item Data Support Sheet'!A:O,7,0),"")</f>
        <v>NIPPLE MOLDED</v>
      </c>
      <c r="E473" s="447" t="s">
        <v>73</v>
      </c>
      <c r="F473" s="500" t="s">
        <v>1678</v>
      </c>
      <c r="G473" s="497" t="s">
        <v>1690</v>
      </c>
      <c r="H473" s="602" t="str">
        <f>IFERROR(VLOOKUP(E:E,'Item Data Support Sheet'!A:O,2,0),"")</f>
        <v>NIPPLE S TYPE M SIZE INJECTION</v>
      </c>
      <c r="I473" s="501" t="s">
        <v>3018</v>
      </c>
      <c r="J473" s="501" t="s">
        <v>2809</v>
      </c>
      <c r="K473" s="438">
        <v>8</v>
      </c>
      <c r="L473" s="499">
        <v>4815</v>
      </c>
      <c r="M473" s="366">
        <f t="shared" si="158"/>
        <v>601.875</v>
      </c>
      <c r="N473" s="367">
        <f t="shared" si="142"/>
        <v>5740</v>
      </c>
      <c r="O473" s="61">
        <v>5700</v>
      </c>
      <c r="P473" s="368">
        <v>0</v>
      </c>
      <c r="Q473" s="368">
        <v>0</v>
      </c>
      <c r="R473" s="494">
        <v>0</v>
      </c>
      <c r="S473" s="493">
        <v>0</v>
      </c>
      <c r="T473" s="494">
        <v>40</v>
      </c>
      <c r="U473" s="493">
        <v>0</v>
      </c>
      <c r="V473" s="502">
        <v>1</v>
      </c>
      <c r="W473" s="453">
        <f t="shared" si="144"/>
        <v>5700</v>
      </c>
      <c r="X473" s="748">
        <f t="shared" si="145"/>
        <v>1.1838006230529594</v>
      </c>
      <c r="Y473" s="451" t="str">
        <f>IFERROR(VLOOKUP(E:E,'Item Data Support Sheet'!A:J,6,0),0)</f>
        <v>Silicon</v>
      </c>
      <c r="Z473" s="428">
        <f>IFERROR(VLOOKUP(E:E,'Item Data Support Sheet'!A:O,4,0),0)</f>
        <v>6.8</v>
      </c>
      <c r="AA473" s="428">
        <f t="shared" si="146"/>
        <v>39.031999999999996</v>
      </c>
      <c r="AB473" s="429">
        <f t="shared" si="147"/>
        <v>0.99303135888501748</v>
      </c>
      <c r="AC473" s="424">
        <f t="shared" si="148"/>
        <v>6.9686411149825784E-3</v>
      </c>
      <c r="AD473" s="371">
        <f t="shared" si="149"/>
        <v>0</v>
      </c>
      <c r="AE473" s="748">
        <f t="shared" si="150"/>
        <v>0.99303135888501737</v>
      </c>
      <c r="AF473" s="417">
        <f t="shared" si="151"/>
        <v>0</v>
      </c>
      <c r="AG473" s="416">
        <f t="shared" si="152"/>
        <v>8</v>
      </c>
      <c r="AH473" s="372">
        <f t="shared" si="153"/>
        <v>1</v>
      </c>
      <c r="AI473" s="373">
        <f t="shared" si="154"/>
        <v>712.5</v>
      </c>
      <c r="AJ473" s="418">
        <f>VLOOKUP(D473,'Standard Cycle time'!C:D,2,0)</f>
        <v>5.25</v>
      </c>
      <c r="AK473" s="418">
        <f t="shared" si="155"/>
        <v>5.0526315789473681</v>
      </c>
      <c r="AL473" s="374">
        <f t="shared" si="156"/>
        <v>1.0390625</v>
      </c>
      <c r="AM473" s="372">
        <f t="shared" si="157"/>
        <v>1.0318216463414633</v>
      </c>
      <c r="AN473" s="799">
        <v>3107</v>
      </c>
      <c r="AO473" s="448"/>
      <c r="AP473" s="440">
        <v>0</v>
      </c>
      <c r="AQ473" s="440">
        <v>0</v>
      </c>
      <c r="AR473" s="440">
        <v>0</v>
      </c>
      <c r="AS473" s="440">
        <v>0</v>
      </c>
      <c r="AT473" s="440">
        <v>0</v>
      </c>
      <c r="AU473" s="440">
        <v>0</v>
      </c>
      <c r="AV473" s="440">
        <v>0</v>
      </c>
      <c r="AW473" s="440">
        <v>0</v>
      </c>
      <c r="AX473" s="440">
        <v>0</v>
      </c>
      <c r="AY473" s="440">
        <v>0</v>
      </c>
      <c r="AZ473" s="440">
        <v>0</v>
      </c>
      <c r="BA473" s="440">
        <v>0</v>
      </c>
      <c r="BB473" s="440">
        <v>0</v>
      </c>
      <c r="BC473" s="440">
        <v>0</v>
      </c>
      <c r="BD473" s="440">
        <v>0</v>
      </c>
      <c r="BE473" s="440">
        <v>0</v>
      </c>
      <c r="BF473" s="440">
        <v>0</v>
      </c>
      <c r="BG473" s="440">
        <v>0</v>
      </c>
      <c r="BH473" s="440">
        <v>0</v>
      </c>
      <c r="BI473" s="440">
        <v>0</v>
      </c>
      <c r="BJ473" s="440">
        <v>0</v>
      </c>
      <c r="BK473" s="440">
        <v>0</v>
      </c>
      <c r="BL473" s="440">
        <v>0</v>
      </c>
      <c r="BM473" s="440">
        <v>0</v>
      </c>
      <c r="BN473" s="440">
        <v>0</v>
      </c>
      <c r="BO473" s="440">
        <v>0</v>
      </c>
      <c r="BP473" s="440">
        <v>0</v>
      </c>
      <c r="BQ473" s="440">
        <v>0</v>
      </c>
      <c r="BR473" s="415">
        <v>0</v>
      </c>
      <c r="BS473" s="415">
        <v>0</v>
      </c>
      <c r="BT473" s="935"/>
      <c r="BU473" s="935"/>
      <c r="BV473" s="935"/>
      <c r="BW473" s="935"/>
      <c r="BX473" s="935"/>
      <c r="BY473" s="935"/>
      <c r="BZ473" s="935"/>
      <c r="CA473" s="935"/>
      <c r="CB473" s="935"/>
      <c r="CC473" s="935"/>
      <c r="CD473" s="935"/>
      <c r="CE473" s="935"/>
      <c r="CF473" s="935"/>
      <c r="CG473" s="935"/>
      <c r="CH473" s="935"/>
      <c r="CI473" s="935"/>
      <c r="CJ473" s="935"/>
      <c r="CK473" s="935"/>
      <c r="CL473" s="935"/>
      <c r="CM473" s="935"/>
      <c r="CN473" s="935"/>
      <c r="CO473" s="935"/>
      <c r="CP473" s="935"/>
      <c r="CQ473" s="935"/>
      <c r="CR473" s="935"/>
      <c r="CS473" s="935"/>
      <c r="CT473" s="935"/>
      <c r="CU473" s="935"/>
      <c r="CV473" s="935"/>
    </row>
    <row r="474" spans="1:100" s="441" customFormat="1">
      <c r="A474" s="375">
        <f t="shared" si="143"/>
        <v>9</v>
      </c>
      <c r="B474" s="862">
        <v>44448</v>
      </c>
      <c r="C474" s="493" t="s">
        <v>2001</v>
      </c>
      <c r="D474" s="376" t="str">
        <f>IFERROR(VLOOKUP(E:E,'Item Data Support Sheet'!A:O,7,0),"")</f>
        <v>HOOD MOLDED</v>
      </c>
      <c r="E474" s="447" t="s">
        <v>1987</v>
      </c>
      <c r="F474" s="500"/>
      <c r="G474" s="497" t="s">
        <v>2729</v>
      </c>
      <c r="H474" s="602" t="str">
        <f>IFERROR(VLOOKUP(E:E,'Item Data Support Sheet'!A:O,2,0),"")</f>
        <v>HOOD S TYPE MOLDED</v>
      </c>
      <c r="I474" s="501" t="s">
        <v>3019</v>
      </c>
      <c r="J474" s="501" t="s">
        <v>2809</v>
      </c>
      <c r="K474" s="438">
        <v>8</v>
      </c>
      <c r="L474" s="499">
        <v>4137</v>
      </c>
      <c r="M474" s="366">
        <f t="shared" si="158"/>
        <v>517.125</v>
      </c>
      <c r="N474" s="367">
        <f t="shared" si="142"/>
        <v>5413</v>
      </c>
      <c r="O474" s="61">
        <v>5400</v>
      </c>
      <c r="P474" s="368">
        <v>0</v>
      </c>
      <c r="Q474" s="368">
        <v>0</v>
      </c>
      <c r="R474" s="494">
        <v>0</v>
      </c>
      <c r="S474" s="493">
        <v>0</v>
      </c>
      <c r="T474" s="494">
        <v>13</v>
      </c>
      <c r="U474" s="493">
        <v>0</v>
      </c>
      <c r="V474" s="502">
        <v>1</v>
      </c>
      <c r="W474" s="453">
        <f t="shared" si="144"/>
        <v>5400</v>
      </c>
      <c r="X474" s="748">
        <f t="shared" si="145"/>
        <v>1.3052936910804931</v>
      </c>
      <c r="Y474" s="451" t="str">
        <f>IFERROR(VLOOKUP(E:E,'Item Data Support Sheet'!A:J,6,0),0)</f>
        <v>HMC</v>
      </c>
      <c r="Z474" s="428">
        <f>IFERROR(VLOOKUP(E:E,'Item Data Support Sheet'!A:O,4,0),0)</f>
        <v>8.6</v>
      </c>
      <c r="AA474" s="428">
        <f t="shared" si="146"/>
        <v>46.5518</v>
      </c>
      <c r="AB474" s="429">
        <f t="shared" si="147"/>
        <v>0.99759837428413078</v>
      </c>
      <c r="AC474" s="424">
        <f t="shared" si="148"/>
        <v>2.4016257158692039E-3</v>
      </c>
      <c r="AD474" s="371">
        <f t="shared" si="149"/>
        <v>0</v>
      </c>
      <c r="AE474" s="748">
        <f t="shared" si="150"/>
        <v>0.99759837428413078</v>
      </c>
      <c r="AF474" s="417">
        <f t="shared" si="151"/>
        <v>0</v>
      </c>
      <c r="AG474" s="416">
        <f t="shared" si="152"/>
        <v>8</v>
      </c>
      <c r="AH474" s="372">
        <f t="shared" si="153"/>
        <v>1</v>
      </c>
      <c r="AI474" s="373">
        <f t="shared" si="154"/>
        <v>675</v>
      </c>
      <c r="AJ474" s="418">
        <f>VLOOKUP(D474,'Standard Cycle time'!C:D,2,0)</f>
        <v>6</v>
      </c>
      <c r="AK474" s="418">
        <f t="shared" si="155"/>
        <v>5.333333333333333</v>
      </c>
      <c r="AL474" s="374">
        <f t="shared" si="156"/>
        <v>1.125</v>
      </c>
      <c r="AM474" s="372">
        <f t="shared" si="157"/>
        <v>1.1222981710696471</v>
      </c>
      <c r="AN474" s="799">
        <v>3108</v>
      </c>
      <c r="AO474" s="448"/>
      <c r="AP474" s="440">
        <v>0</v>
      </c>
      <c r="AQ474" s="440">
        <v>0</v>
      </c>
      <c r="AR474" s="440">
        <v>0</v>
      </c>
      <c r="AS474" s="440">
        <v>0</v>
      </c>
      <c r="AT474" s="440">
        <v>0</v>
      </c>
      <c r="AU474" s="440">
        <v>0</v>
      </c>
      <c r="AV474" s="440">
        <v>0</v>
      </c>
      <c r="AW474" s="440">
        <v>0</v>
      </c>
      <c r="AX474" s="440">
        <v>0</v>
      </c>
      <c r="AY474" s="440">
        <v>0</v>
      </c>
      <c r="AZ474" s="440">
        <v>0</v>
      </c>
      <c r="BA474" s="440">
        <v>0</v>
      </c>
      <c r="BB474" s="440">
        <v>0</v>
      </c>
      <c r="BC474" s="440">
        <v>0</v>
      </c>
      <c r="BD474" s="440">
        <v>0</v>
      </c>
      <c r="BE474" s="440">
        <v>0</v>
      </c>
      <c r="BF474" s="440">
        <v>0</v>
      </c>
      <c r="BG474" s="440">
        <v>0</v>
      </c>
      <c r="BH474" s="440">
        <v>0</v>
      </c>
      <c r="BI474" s="440">
        <v>0</v>
      </c>
      <c r="BJ474" s="440">
        <v>0</v>
      </c>
      <c r="BK474" s="440">
        <v>0</v>
      </c>
      <c r="BL474" s="440">
        <v>0</v>
      </c>
      <c r="BM474" s="440">
        <v>0</v>
      </c>
      <c r="BN474" s="440">
        <v>0</v>
      </c>
      <c r="BO474" s="440">
        <v>0</v>
      </c>
      <c r="BP474" s="440">
        <v>0</v>
      </c>
      <c r="BQ474" s="440">
        <v>0</v>
      </c>
      <c r="BR474" s="415">
        <v>0</v>
      </c>
      <c r="BS474" s="415">
        <v>0</v>
      </c>
      <c r="BT474" s="935"/>
      <c r="BU474" s="935"/>
      <c r="BV474" s="935"/>
      <c r="BW474" s="935"/>
      <c r="BX474" s="935"/>
      <c r="BY474" s="935"/>
      <c r="BZ474" s="935"/>
      <c r="CA474" s="935"/>
      <c r="CB474" s="935"/>
      <c r="CC474" s="935"/>
      <c r="CD474" s="935"/>
      <c r="CE474" s="935"/>
      <c r="CF474" s="935"/>
      <c r="CG474" s="935"/>
      <c r="CH474" s="935"/>
      <c r="CI474" s="935"/>
      <c r="CJ474" s="935"/>
      <c r="CK474" s="935"/>
      <c r="CL474" s="935"/>
      <c r="CM474" s="935"/>
      <c r="CN474" s="935"/>
      <c r="CO474" s="935"/>
      <c r="CP474" s="935"/>
      <c r="CQ474" s="935"/>
      <c r="CR474" s="935"/>
      <c r="CS474" s="935"/>
      <c r="CT474" s="935"/>
      <c r="CU474" s="935"/>
      <c r="CV474" s="935"/>
    </row>
    <row r="475" spans="1:100" s="441" customFormat="1">
      <c r="A475" s="375">
        <f t="shared" si="143"/>
        <v>9</v>
      </c>
      <c r="B475" s="862">
        <v>44448</v>
      </c>
      <c r="C475" s="493" t="s">
        <v>2001</v>
      </c>
      <c r="D475" s="376" t="str">
        <f>IFERROR(VLOOKUP(E:E,'Item Data Support Sheet'!A:O,7,0),"")</f>
        <v>BOTTLE PRINTED</v>
      </c>
      <c r="E475" s="447" t="s">
        <v>64</v>
      </c>
      <c r="F475" s="500"/>
      <c r="G475" s="497" t="s">
        <v>1698</v>
      </c>
      <c r="H475" s="602" t="str">
        <f>IFERROR(VLOOKUP(E:E,'Item Data Support Sheet'!A:O,2,0),"")</f>
        <v>KPP 240 ML BOTTLE PRINTED</v>
      </c>
      <c r="I475" s="501" t="s">
        <v>3020</v>
      </c>
      <c r="J475" s="501" t="s">
        <v>2809</v>
      </c>
      <c r="K475" s="438">
        <v>8</v>
      </c>
      <c r="L475" s="499">
        <v>5100</v>
      </c>
      <c r="M475" s="366">
        <f t="shared" si="158"/>
        <v>637.5</v>
      </c>
      <c r="N475" s="367">
        <f t="shared" si="142"/>
        <v>3371</v>
      </c>
      <c r="O475" s="61">
        <v>3348</v>
      </c>
      <c r="P475" s="368">
        <v>0</v>
      </c>
      <c r="Q475" s="368">
        <v>0</v>
      </c>
      <c r="R475" s="494">
        <v>42</v>
      </c>
      <c r="S475" s="493">
        <v>0</v>
      </c>
      <c r="T475" s="494">
        <v>23</v>
      </c>
      <c r="U475" s="493">
        <v>0</v>
      </c>
      <c r="V475" s="502">
        <v>6</v>
      </c>
      <c r="W475" s="453">
        <f t="shared" si="144"/>
        <v>558</v>
      </c>
      <c r="X475" s="748">
        <f t="shared" si="145"/>
        <v>0.65647058823529414</v>
      </c>
      <c r="Y475" s="451" t="str">
        <f>IFERROR(VLOOKUP(E:E,'Item Data Support Sheet'!A:J,6,0),0)</f>
        <v>FO003</v>
      </c>
      <c r="Z475" s="428">
        <f>IFERROR(VLOOKUP(E:E,'Item Data Support Sheet'!A:O,4,0),0)</f>
        <v>0</v>
      </c>
      <c r="AA475" s="428">
        <f t="shared" si="146"/>
        <v>0</v>
      </c>
      <c r="AB475" s="429" t="str">
        <f t="shared" si="147"/>
        <v xml:space="preserve"> </v>
      </c>
      <c r="AC475" s="424">
        <f t="shared" si="148"/>
        <v>6.8229012162563038E-3</v>
      </c>
      <c r="AD475" s="371">
        <f t="shared" si="149"/>
        <v>0</v>
      </c>
      <c r="AE475" s="748">
        <f t="shared" si="150"/>
        <v>0.99317709878374372</v>
      </c>
      <c r="AF475" s="417">
        <f t="shared" si="151"/>
        <v>2.9166666666666665</v>
      </c>
      <c r="AG475" s="416">
        <f t="shared" si="152"/>
        <v>5.0833333333333339</v>
      </c>
      <c r="AH475" s="372">
        <f t="shared" si="153"/>
        <v>0.63541666666666674</v>
      </c>
      <c r="AI475" s="373">
        <f t="shared" si="154"/>
        <v>418.5</v>
      </c>
      <c r="AJ475" s="418">
        <f>VLOOKUP(D475,'Standard Cycle time'!C:D,2,0)</f>
        <v>32.4</v>
      </c>
      <c r="AK475" s="418">
        <f t="shared" si="155"/>
        <v>32.795698924731184</v>
      </c>
      <c r="AL475" s="374">
        <f t="shared" si="156"/>
        <v>0.98793442622950811</v>
      </c>
      <c r="AM475" s="372">
        <f t="shared" si="157"/>
        <v>0.62346692376149515</v>
      </c>
      <c r="AN475" s="799" t="s">
        <v>2874</v>
      </c>
      <c r="AO475" s="448" t="s">
        <v>3021</v>
      </c>
      <c r="AP475" s="440">
        <v>40</v>
      </c>
      <c r="AQ475" s="440">
        <v>0</v>
      </c>
      <c r="AR475" s="440">
        <v>0</v>
      </c>
      <c r="AS475" s="440">
        <v>0</v>
      </c>
      <c r="AT475" s="440">
        <v>0</v>
      </c>
      <c r="AU475" s="440">
        <v>0</v>
      </c>
      <c r="AV475" s="440">
        <v>0</v>
      </c>
      <c r="AW475" s="440">
        <v>135</v>
      </c>
      <c r="AX475" s="440">
        <v>0</v>
      </c>
      <c r="AY475" s="440">
        <v>0</v>
      </c>
      <c r="AZ475" s="440">
        <v>0</v>
      </c>
      <c r="BA475" s="440">
        <v>0</v>
      </c>
      <c r="BB475" s="440">
        <v>0</v>
      </c>
      <c r="BC475" s="440">
        <v>0</v>
      </c>
      <c r="BD475" s="440">
        <v>0</v>
      </c>
      <c r="BE475" s="440">
        <v>0</v>
      </c>
      <c r="BF475" s="440">
        <v>0</v>
      </c>
      <c r="BG475" s="440">
        <v>0</v>
      </c>
      <c r="BH475" s="440">
        <v>0</v>
      </c>
      <c r="BI475" s="440">
        <v>0</v>
      </c>
      <c r="BJ475" s="440">
        <v>0</v>
      </c>
      <c r="BK475" s="440">
        <v>0</v>
      </c>
      <c r="BL475" s="440">
        <v>0</v>
      </c>
      <c r="BM475" s="440">
        <v>0</v>
      </c>
      <c r="BN475" s="440">
        <v>0</v>
      </c>
      <c r="BO475" s="440">
        <v>0</v>
      </c>
      <c r="BP475" s="440">
        <v>0</v>
      </c>
      <c r="BQ475" s="440">
        <v>0</v>
      </c>
      <c r="BR475" s="415">
        <v>2.9166666666666665</v>
      </c>
      <c r="BS475" s="415">
        <v>2.9652777777777777</v>
      </c>
      <c r="BT475" s="935"/>
      <c r="BU475" s="935"/>
      <c r="BV475" s="935"/>
      <c r="BW475" s="935"/>
      <c r="BX475" s="935"/>
      <c r="BY475" s="935"/>
      <c r="BZ475" s="935"/>
      <c r="CA475" s="935"/>
      <c r="CB475" s="935"/>
      <c r="CC475" s="935"/>
      <c r="CD475" s="935"/>
      <c r="CE475" s="935"/>
      <c r="CF475" s="935"/>
      <c r="CG475" s="935"/>
      <c r="CH475" s="935"/>
      <c r="CI475" s="935"/>
      <c r="CJ475" s="935"/>
      <c r="CK475" s="935"/>
      <c r="CL475" s="935"/>
      <c r="CM475" s="935"/>
      <c r="CN475" s="935"/>
      <c r="CO475" s="935"/>
      <c r="CP475" s="935"/>
      <c r="CQ475" s="935"/>
      <c r="CR475" s="935"/>
      <c r="CS475" s="935"/>
      <c r="CT475" s="935"/>
      <c r="CU475" s="935"/>
      <c r="CV475" s="935"/>
    </row>
    <row r="476" spans="1:100" s="441" customFormat="1">
      <c r="A476" s="375">
        <f t="shared" si="143"/>
        <v>9</v>
      </c>
      <c r="B476" s="862">
        <v>44448</v>
      </c>
      <c r="C476" s="493" t="s">
        <v>2001</v>
      </c>
      <c r="D476" s="376" t="str">
        <f>IFERROR(VLOOKUP(E:E,'Item Data Support Sheet'!A:O,7,0),"")</f>
        <v>NIPPLE LASER MARKING</v>
      </c>
      <c r="E476" s="447" t="s">
        <v>1815</v>
      </c>
      <c r="F476" s="500"/>
      <c r="G476" s="497" t="s">
        <v>1812</v>
      </c>
      <c r="H476" s="602" t="str">
        <f>IFERROR(VLOOKUP(E:E,'Item Data Support Sheet'!A:O,2,0),"")</f>
        <v>NIPPLE S TYPE M SIZE PUNCHED LASER MARKED</v>
      </c>
      <c r="I476" s="501" t="s">
        <v>3022</v>
      </c>
      <c r="J476" s="501" t="s">
        <v>2809</v>
      </c>
      <c r="K476" s="438">
        <v>8</v>
      </c>
      <c r="L476" s="499">
        <v>7000</v>
      </c>
      <c r="M476" s="366">
        <f t="shared" si="158"/>
        <v>875</v>
      </c>
      <c r="N476" s="367">
        <f t="shared" si="142"/>
        <v>6340</v>
      </c>
      <c r="O476" s="61">
        <v>6340</v>
      </c>
      <c r="P476" s="368">
        <v>0</v>
      </c>
      <c r="Q476" s="368">
        <v>0</v>
      </c>
      <c r="R476" s="494">
        <v>0</v>
      </c>
      <c r="S476" s="493">
        <v>0</v>
      </c>
      <c r="T476" s="494">
        <v>0</v>
      </c>
      <c r="U476" s="493">
        <v>0</v>
      </c>
      <c r="V476" s="502">
        <v>1</v>
      </c>
      <c r="W476" s="453">
        <f t="shared" si="144"/>
        <v>6340</v>
      </c>
      <c r="X476" s="748">
        <f t="shared" si="145"/>
        <v>0.90571428571428569</v>
      </c>
      <c r="Y476" s="451" t="str">
        <f>IFERROR(VLOOKUP(E:E,'Item Data Support Sheet'!A:J,6,0),0)</f>
        <v>FO020</v>
      </c>
      <c r="Z476" s="428">
        <f>IFERROR(VLOOKUP(E:E,'Item Data Support Sheet'!A:O,4,0),0)</f>
        <v>0</v>
      </c>
      <c r="AA476" s="428">
        <f t="shared" si="146"/>
        <v>0</v>
      </c>
      <c r="AB476" s="429" t="str">
        <f t="shared" si="147"/>
        <v xml:space="preserve"> </v>
      </c>
      <c r="AC476" s="424">
        <f t="shared" si="148"/>
        <v>0</v>
      </c>
      <c r="AD476" s="371">
        <f t="shared" si="149"/>
        <v>0</v>
      </c>
      <c r="AE476" s="748">
        <f t="shared" si="150"/>
        <v>1</v>
      </c>
      <c r="AF476" s="417">
        <f t="shared" si="151"/>
        <v>0.66666666666666663</v>
      </c>
      <c r="AG476" s="416">
        <f t="shared" si="152"/>
        <v>7.333333333333333</v>
      </c>
      <c r="AH476" s="372">
        <f t="shared" si="153"/>
        <v>0.91666666666666663</v>
      </c>
      <c r="AI476" s="373">
        <f t="shared" si="154"/>
        <v>792.5</v>
      </c>
      <c r="AJ476" s="418">
        <f>VLOOKUP(D476,'Standard Cycle time'!C:D,2,0)</f>
        <v>3.5</v>
      </c>
      <c r="AK476" s="418">
        <f t="shared" si="155"/>
        <v>4.1640378548895898</v>
      </c>
      <c r="AL476" s="374">
        <f t="shared" si="156"/>
        <v>0.84053030303030307</v>
      </c>
      <c r="AM476" s="372">
        <f t="shared" si="157"/>
        <v>0.77048611111111109</v>
      </c>
      <c r="AN476" s="799" t="s">
        <v>3023</v>
      </c>
      <c r="AO476" s="448"/>
      <c r="AP476" s="440">
        <v>40</v>
      </c>
      <c r="AQ476" s="440">
        <v>0</v>
      </c>
      <c r="AR476" s="440">
        <v>0</v>
      </c>
      <c r="AS476" s="440">
        <v>0</v>
      </c>
      <c r="AT476" s="440">
        <v>0</v>
      </c>
      <c r="AU476" s="440">
        <v>0</v>
      </c>
      <c r="AV476" s="440">
        <v>0</v>
      </c>
      <c r="AW476" s="440">
        <v>0</v>
      </c>
      <c r="AX476" s="440">
        <v>0</v>
      </c>
      <c r="AY476" s="440">
        <v>0</v>
      </c>
      <c r="AZ476" s="440">
        <v>0</v>
      </c>
      <c r="BA476" s="440">
        <v>0</v>
      </c>
      <c r="BB476" s="440">
        <v>0</v>
      </c>
      <c r="BC476" s="440">
        <v>0</v>
      </c>
      <c r="BD476" s="440">
        <v>0</v>
      </c>
      <c r="BE476" s="440">
        <v>0</v>
      </c>
      <c r="BF476" s="440">
        <v>0</v>
      </c>
      <c r="BG476" s="440">
        <v>0</v>
      </c>
      <c r="BH476" s="440">
        <v>0</v>
      </c>
      <c r="BI476" s="440">
        <v>0</v>
      </c>
      <c r="BJ476" s="440">
        <v>0</v>
      </c>
      <c r="BK476" s="440">
        <v>0</v>
      </c>
      <c r="BL476" s="440">
        <v>0</v>
      </c>
      <c r="BM476" s="440">
        <v>0</v>
      </c>
      <c r="BN476" s="440">
        <v>0</v>
      </c>
      <c r="BO476" s="440">
        <v>0</v>
      </c>
      <c r="BP476" s="440">
        <v>0</v>
      </c>
      <c r="BQ476" s="440">
        <v>0</v>
      </c>
      <c r="BR476" s="415">
        <v>0.66666666666666663</v>
      </c>
      <c r="BS476" s="415">
        <v>0.6777777777777777</v>
      </c>
      <c r="BT476" s="935"/>
      <c r="BU476" s="935"/>
      <c r="BV476" s="935"/>
      <c r="BW476" s="935"/>
      <c r="BX476" s="935"/>
      <c r="BY476" s="935"/>
      <c r="BZ476" s="935"/>
      <c r="CA476" s="935"/>
      <c r="CB476" s="935"/>
      <c r="CC476" s="935"/>
      <c r="CD476" s="935"/>
      <c r="CE476" s="935"/>
      <c r="CF476" s="935"/>
      <c r="CG476" s="935"/>
      <c r="CH476" s="935"/>
      <c r="CI476" s="935"/>
      <c r="CJ476" s="935"/>
      <c r="CK476" s="935"/>
      <c r="CL476" s="935"/>
      <c r="CM476" s="935"/>
      <c r="CN476" s="935"/>
      <c r="CO476" s="935"/>
      <c r="CP476" s="935"/>
      <c r="CQ476" s="935"/>
      <c r="CR476" s="935"/>
      <c r="CS476" s="935"/>
      <c r="CT476" s="935"/>
      <c r="CU476" s="935"/>
      <c r="CV476" s="935"/>
    </row>
    <row r="477" spans="1:100" s="441" customFormat="1">
      <c r="A477" s="375">
        <f t="shared" si="143"/>
        <v>9</v>
      </c>
      <c r="B477" s="862">
        <v>44448</v>
      </c>
      <c r="C477" s="493" t="s">
        <v>2001</v>
      </c>
      <c r="D477" s="376" t="str">
        <f>IFERROR(VLOOKUP(E:E,'Item Data Support Sheet'!A:O,7,0),"")</f>
        <v>NIPPLE PUNCH</v>
      </c>
      <c r="E477" s="447" t="s">
        <v>81</v>
      </c>
      <c r="F477" s="500"/>
      <c r="G477" s="497" t="s">
        <v>1692</v>
      </c>
      <c r="H477" s="602" t="str">
        <f>IFERROR(VLOOKUP(E:E,'Item Data Support Sheet'!A:O,2,0),"")</f>
        <v>NIPPLE S TYPE M SIZE PUNCHED</v>
      </c>
      <c r="I477" s="501" t="s">
        <v>3024</v>
      </c>
      <c r="J477" s="501" t="s">
        <v>2809</v>
      </c>
      <c r="K477" s="438">
        <v>8</v>
      </c>
      <c r="L477" s="499">
        <v>7000</v>
      </c>
      <c r="M477" s="366">
        <f t="shared" si="158"/>
        <v>875</v>
      </c>
      <c r="N477" s="367">
        <f t="shared" si="142"/>
        <v>7000</v>
      </c>
      <c r="O477" s="61">
        <v>7000</v>
      </c>
      <c r="P477" s="368">
        <v>0</v>
      </c>
      <c r="Q477" s="368">
        <v>0</v>
      </c>
      <c r="R477" s="494">
        <v>0</v>
      </c>
      <c r="S477" s="493">
        <v>0</v>
      </c>
      <c r="T477" s="494">
        <v>0</v>
      </c>
      <c r="U477" s="493">
        <v>0</v>
      </c>
      <c r="V477" s="502">
        <v>1</v>
      </c>
      <c r="W477" s="453">
        <f t="shared" si="144"/>
        <v>7000</v>
      </c>
      <c r="X477" s="748">
        <f t="shared" si="145"/>
        <v>1</v>
      </c>
      <c r="Y477" s="451" t="str">
        <f>IFERROR(VLOOKUP(E:E,'Item Data Support Sheet'!A:J,6,0),0)</f>
        <v>FO016</v>
      </c>
      <c r="Z477" s="428">
        <f>IFERROR(VLOOKUP(E:E,'Item Data Support Sheet'!A:O,4,0),0)</f>
        <v>0</v>
      </c>
      <c r="AA477" s="428">
        <f t="shared" si="146"/>
        <v>0</v>
      </c>
      <c r="AB477" s="429" t="str">
        <f t="shared" si="147"/>
        <v xml:space="preserve"> </v>
      </c>
      <c r="AC477" s="424">
        <f t="shared" si="148"/>
        <v>0</v>
      </c>
      <c r="AD477" s="371">
        <f t="shared" si="149"/>
        <v>0</v>
      </c>
      <c r="AE477" s="748">
        <f t="shared" si="150"/>
        <v>1</v>
      </c>
      <c r="AF477" s="417">
        <f t="shared" si="151"/>
        <v>0.66666666666666663</v>
      </c>
      <c r="AG477" s="416">
        <f t="shared" si="152"/>
        <v>7.333333333333333</v>
      </c>
      <c r="AH477" s="372">
        <f t="shared" si="153"/>
        <v>0.91666666666666663</v>
      </c>
      <c r="AI477" s="373">
        <f t="shared" si="154"/>
        <v>875</v>
      </c>
      <c r="AJ477" s="418">
        <f>VLOOKUP(D477,'Standard Cycle time'!C:D,2,0)</f>
        <v>3.5</v>
      </c>
      <c r="AK477" s="418">
        <f t="shared" si="155"/>
        <v>3.7714285714285714</v>
      </c>
      <c r="AL477" s="374">
        <f t="shared" si="156"/>
        <v>0.92803030303030309</v>
      </c>
      <c r="AM477" s="372">
        <f t="shared" si="157"/>
        <v>0.85069444444444442</v>
      </c>
      <c r="AN477" s="799" t="s">
        <v>3025</v>
      </c>
      <c r="AO477" s="448"/>
      <c r="AP477" s="440">
        <v>40</v>
      </c>
      <c r="AQ477" s="440">
        <v>0</v>
      </c>
      <c r="AR477" s="440">
        <v>0</v>
      </c>
      <c r="AS477" s="440">
        <v>0</v>
      </c>
      <c r="AT477" s="440">
        <v>0</v>
      </c>
      <c r="AU477" s="440">
        <v>0</v>
      </c>
      <c r="AV477" s="440">
        <v>0</v>
      </c>
      <c r="AW477" s="440">
        <v>0</v>
      </c>
      <c r="AX477" s="440">
        <v>0</v>
      </c>
      <c r="AY477" s="440">
        <v>0</v>
      </c>
      <c r="AZ477" s="440">
        <v>0</v>
      </c>
      <c r="BA477" s="440">
        <v>0</v>
      </c>
      <c r="BB477" s="440">
        <v>0</v>
      </c>
      <c r="BC477" s="440">
        <v>0</v>
      </c>
      <c r="BD477" s="440">
        <v>0</v>
      </c>
      <c r="BE477" s="440">
        <v>0</v>
      </c>
      <c r="BF477" s="440">
        <v>0</v>
      </c>
      <c r="BG477" s="440">
        <v>0</v>
      </c>
      <c r="BH477" s="440">
        <v>0</v>
      </c>
      <c r="BI477" s="440">
        <v>0</v>
      </c>
      <c r="BJ477" s="440">
        <v>0</v>
      </c>
      <c r="BK477" s="440">
        <v>0</v>
      </c>
      <c r="BL477" s="440">
        <v>0</v>
      </c>
      <c r="BM477" s="440">
        <v>0</v>
      </c>
      <c r="BN477" s="440">
        <v>0</v>
      </c>
      <c r="BO477" s="440">
        <v>0</v>
      </c>
      <c r="BP477" s="440">
        <v>0</v>
      </c>
      <c r="BQ477" s="440">
        <v>0</v>
      </c>
      <c r="BR477" s="415">
        <v>0.66666666666666663</v>
      </c>
      <c r="BS477" s="415">
        <v>0.6777777777777777</v>
      </c>
      <c r="BT477" s="935"/>
      <c r="BU477" s="935"/>
      <c r="BV477" s="935"/>
      <c r="BW477" s="935"/>
      <c r="BX477" s="935"/>
      <c r="BY477" s="935"/>
      <c r="BZ477" s="935"/>
      <c r="CA477" s="935"/>
      <c r="CB477" s="935"/>
      <c r="CC477" s="935"/>
      <c r="CD477" s="935"/>
      <c r="CE477" s="935"/>
      <c r="CF477" s="935"/>
      <c r="CG477" s="935"/>
      <c r="CH477" s="935"/>
      <c r="CI477" s="935"/>
      <c r="CJ477" s="935"/>
      <c r="CK477" s="935"/>
      <c r="CL477" s="935"/>
      <c r="CM477" s="935"/>
      <c r="CN477" s="935"/>
      <c r="CO477" s="935"/>
      <c r="CP477" s="935"/>
      <c r="CQ477" s="935"/>
      <c r="CR477" s="935"/>
      <c r="CS477" s="935"/>
      <c r="CT477" s="935"/>
      <c r="CU477" s="935"/>
      <c r="CV477" s="935"/>
    </row>
    <row r="478" spans="1:100" s="441" customFormat="1">
      <c r="A478" s="375">
        <f t="shared" si="143"/>
        <v>9</v>
      </c>
      <c r="B478" s="862">
        <v>44448</v>
      </c>
      <c r="C478" s="493" t="s">
        <v>2053</v>
      </c>
      <c r="D478" s="376" t="str">
        <f>IFERROR(VLOOKUP(E:E,'Item Data Support Sheet'!A:O,7,0),"")</f>
        <v>HOOD MOLDED</v>
      </c>
      <c r="E478" s="447" t="s">
        <v>1987</v>
      </c>
      <c r="F478" s="500"/>
      <c r="G478" s="497" t="s">
        <v>2729</v>
      </c>
      <c r="H478" s="602" t="str">
        <f>IFERROR(VLOOKUP(E:E,'Item Data Support Sheet'!A:O,2,0),"")</f>
        <v>HOOD S TYPE MOLDED</v>
      </c>
      <c r="I478" s="501" t="s">
        <v>3026</v>
      </c>
      <c r="J478" s="501" t="s">
        <v>2826</v>
      </c>
      <c r="K478" s="438">
        <v>8</v>
      </c>
      <c r="L478" s="499">
        <v>4137</v>
      </c>
      <c r="M478" s="366">
        <f t="shared" si="158"/>
        <v>517.125</v>
      </c>
      <c r="N478" s="367">
        <f t="shared" si="142"/>
        <v>5513</v>
      </c>
      <c r="O478" s="61">
        <v>5500</v>
      </c>
      <c r="P478" s="368">
        <v>0</v>
      </c>
      <c r="Q478" s="368">
        <v>0</v>
      </c>
      <c r="R478" s="494">
        <v>0</v>
      </c>
      <c r="S478" s="493">
        <v>0</v>
      </c>
      <c r="T478" s="494">
        <v>5</v>
      </c>
      <c r="U478" s="493">
        <v>8</v>
      </c>
      <c r="V478" s="502">
        <v>1</v>
      </c>
      <c r="W478" s="453">
        <f t="shared" si="144"/>
        <v>5500</v>
      </c>
      <c r="X478" s="748">
        <f t="shared" si="145"/>
        <v>1.3294657964708727</v>
      </c>
      <c r="Y478" s="451" t="str">
        <f>IFERROR(VLOOKUP(E:E,'Item Data Support Sheet'!A:J,6,0),0)</f>
        <v>HMC</v>
      </c>
      <c r="Z478" s="428">
        <f>IFERROR(VLOOKUP(E:E,'Item Data Support Sheet'!A:O,4,0),0)</f>
        <v>8.6</v>
      </c>
      <c r="AA478" s="428">
        <f t="shared" si="146"/>
        <v>47.411799999999999</v>
      </c>
      <c r="AB478" s="429">
        <f t="shared" si="147"/>
        <v>0.99764193723925265</v>
      </c>
      <c r="AC478" s="424">
        <f t="shared" si="148"/>
        <v>9.0826521344232513E-4</v>
      </c>
      <c r="AD478" s="371">
        <f t="shared" si="149"/>
        <v>0</v>
      </c>
      <c r="AE478" s="748">
        <f t="shared" si="150"/>
        <v>0.99909305278432792</v>
      </c>
      <c r="AF478" s="417">
        <f t="shared" si="151"/>
        <v>0</v>
      </c>
      <c r="AG478" s="416">
        <f t="shared" si="152"/>
        <v>8</v>
      </c>
      <c r="AH478" s="372">
        <f t="shared" si="153"/>
        <v>1</v>
      </c>
      <c r="AI478" s="373">
        <f t="shared" si="154"/>
        <v>687.5</v>
      </c>
      <c r="AJ478" s="418">
        <f>VLOOKUP(D478,'Standard Cycle time'!C:D,2,0)</f>
        <v>6</v>
      </c>
      <c r="AK478" s="418">
        <f t="shared" si="155"/>
        <v>5.2363636363636363</v>
      </c>
      <c r="AL478" s="374">
        <f t="shared" si="156"/>
        <v>1.1458333333333333</v>
      </c>
      <c r="AM478" s="372">
        <f t="shared" si="157"/>
        <v>1.1447941229820424</v>
      </c>
      <c r="AN478" s="799">
        <v>3115</v>
      </c>
      <c r="AO478" s="448"/>
      <c r="AP478" s="440">
        <v>0</v>
      </c>
      <c r="AQ478" s="440">
        <v>0</v>
      </c>
      <c r="AR478" s="440">
        <v>0</v>
      </c>
      <c r="AS478" s="440">
        <v>0</v>
      </c>
      <c r="AT478" s="440">
        <v>0</v>
      </c>
      <c r="AU478" s="440">
        <v>0</v>
      </c>
      <c r="AV478" s="440">
        <v>0</v>
      </c>
      <c r="AW478" s="440">
        <v>0</v>
      </c>
      <c r="AX478" s="440">
        <v>0</v>
      </c>
      <c r="AY478" s="440">
        <v>0</v>
      </c>
      <c r="AZ478" s="440">
        <v>0</v>
      </c>
      <c r="BA478" s="440">
        <v>0</v>
      </c>
      <c r="BB478" s="440">
        <v>0</v>
      </c>
      <c r="BC478" s="440">
        <v>0</v>
      </c>
      <c r="BD478" s="440">
        <v>0</v>
      </c>
      <c r="BE478" s="440">
        <v>0</v>
      </c>
      <c r="BF478" s="440">
        <v>0</v>
      </c>
      <c r="BG478" s="440">
        <v>0</v>
      </c>
      <c r="BH478" s="440">
        <v>0</v>
      </c>
      <c r="BI478" s="440">
        <v>0</v>
      </c>
      <c r="BJ478" s="440">
        <v>0</v>
      </c>
      <c r="BK478" s="440">
        <v>0</v>
      </c>
      <c r="BL478" s="440">
        <v>0</v>
      </c>
      <c r="BM478" s="440">
        <v>0</v>
      </c>
      <c r="BN478" s="440">
        <v>0</v>
      </c>
      <c r="BO478" s="440">
        <v>0</v>
      </c>
      <c r="BP478" s="440">
        <v>0</v>
      </c>
      <c r="BQ478" s="440">
        <v>0</v>
      </c>
      <c r="BR478" s="415">
        <v>0</v>
      </c>
      <c r="BS478" s="415">
        <v>0</v>
      </c>
      <c r="BT478" s="935"/>
      <c r="BU478" s="935"/>
      <c r="BV478" s="935"/>
      <c r="BW478" s="935"/>
      <c r="BX478" s="935"/>
      <c r="BY478" s="935"/>
      <c r="BZ478" s="935"/>
      <c r="CA478" s="935"/>
      <c r="CB478" s="935"/>
      <c r="CC478" s="935"/>
      <c r="CD478" s="935"/>
      <c r="CE478" s="935"/>
      <c r="CF478" s="935"/>
      <c r="CG478" s="935"/>
      <c r="CH478" s="935"/>
      <c r="CI478" s="935"/>
      <c r="CJ478" s="935"/>
      <c r="CK478" s="935"/>
      <c r="CL478" s="935"/>
      <c r="CM478" s="935"/>
      <c r="CN478" s="935"/>
      <c r="CO478" s="935"/>
      <c r="CP478" s="935"/>
      <c r="CQ478" s="935"/>
      <c r="CR478" s="935"/>
      <c r="CS478" s="935"/>
      <c r="CT478" s="935"/>
      <c r="CU478" s="935"/>
      <c r="CV478" s="935"/>
    </row>
    <row r="479" spans="1:100" s="441" customFormat="1">
      <c r="A479" s="375">
        <f t="shared" si="143"/>
        <v>9</v>
      </c>
      <c r="B479" s="862">
        <v>44448</v>
      </c>
      <c r="C479" s="493" t="s">
        <v>2053</v>
      </c>
      <c r="D479" s="376" t="str">
        <f>IFERROR(VLOOKUP(E:E,'Item Data Support Sheet'!A:O,7,0),"")</f>
        <v>NIPPLE MOLDED</v>
      </c>
      <c r="E479" s="447" t="s">
        <v>73</v>
      </c>
      <c r="F479" s="500" t="s">
        <v>1678</v>
      </c>
      <c r="G479" s="497" t="s">
        <v>1690</v>
      </c>
      <c r="H479" s="602" t="str">
        <f>IFERROR(VLOOKUP(E:E,'Item Data Support Sheet'!A:O,2,0),"")</f>
        <v>NIPPLE S TYPE M SIZE INJECTION</v>
      </c>
      <c r="I479" s="501" t="s">
        <v>3027</v>
      </c>
      <c r="J479" s="501" t="s">
        <v>2826</v>
      </c>
      <c r="K479" s="438">
        <v>8</v>
      </c>
      <c r="L479" s="499">
        <v>4815</v>
      </c>
      <c r="M479" s="366">
        <f t="shared" si="158"/>
        <v>601.875</v>
      </c>
      <c r="N479" s="367">
        <f t="shared" si="142"/>
        <v>5753</v>
      </c>
      <c r="O479" s="61">
        <v>5700</v>
      </c>
      <c r="P479" s="368">
        <v>0</v>
      </c>
      <c r="Q479" s="368">
        <v>0</v>
      </c>
      <c r="R479" s="494">
        <v>0</v>
      </c>
      <c r="S479" s="493">
        <v>0</v>
      </c>
      <c r="T479" s="494">
        <v>45</v>
      </c>
      <c r="U479" s="493">
        <v>8</v>
      </c>
      <c r="V479" s="502">
        <v>1</v>
      </c>
      <c r="W479" s="453">
        <f t="shared" si="144"/>
        <v>5700</v>
      </c>
      <c r="X479" s="748">
        <f t="shared" si="145"/>
        <v>1.1838006230529594</v>
      </c>
      <c r="Y479" s="451" t="str">
        <f>IFERROR(VLOOKUP(E:E,'Item Data Support Sheet'!A:J,6,0),0)</f>
        <v>Silicon</v>
      </c>
      <c r="Z479" s="428">
        <f>IFERROR(VLOOKUP(E:E,'Item Data Support Sheet'!A:O,4,0),0)</f>
        <v>6.8</v>
      </c>
      <c r="AA479" s="428">
        <f t="shared" si="146"/>
        <v>39.120399999999997</v>
      </c>
      <c r="AB479" s="429">
        <f t="shared" si="147"/>
        <v>0.99078741526160263</v>
      </c>
      <c r="AC479" s="424">
        <f t="shared" si="148"/>
        <v>7.832898172323759E-3</v>
      </c>
      <c r="AD479" s="371">
        <f t="shared" si="149"/>
        <v>0</v>
      </c>
      <c r="AE479" s="748">
        <f t="shared" si="150"/>
        <v>0.99217799409003993</v>
      </c>
      <c r="AF479" s="417">
        <f t="shared" si="151"/>
        <v>0</v>
      </c>
      <c r="AG479" s="416">
        <f t="shared" si="152"/>
        <v>8</v>
      </c>
      <c r="AH479" s="372">
        <f t="shared" si="153"/>
        <v>1</v>
      </c>
      <c r="AI479" s="373">
        <f t="shared" si="154"/>
        <v>712.5</v>
      </c>
      <c r="AJ479" s="418">
        <f>VLOOKUP(D479,'Standard Cycle time'!C:D,2,0)</f>
        <v>5.25</v>
      </c>
      <c r="AK479" s="418">
        <f t="shared" si="155"/>
        <v>5.0526315789473681</v>
      </c>
      <c r="AL479" s="374">
        <f t="shared" si="156"/>
        <v>1.0390625</v>
      </c>
      <c r="AM479" s="372">
        <f t="shared" si="157"/>
        <v>1.0309349469841822</v>
      </c>
      <c r="AN479" s="799">
        <v>3114</v>
      </c>
      <c r="AO479" s="448"/>
      <c r="AP479" s="440">
        <v>0</v>
      </c>
      <c r="AQ479" s="440">
        <v>0</v>
      </c>
      <c r="AR479" s="440">
        <v>0</v>
      </c>
      <c r="AS479" s="440">
        <v>0</v>
      </c>
      <c r="AT479" s="440">
        <v>0</v>
      </c>
      <c r="AU479" s="440">
        <v>0</v>
      </c>
      <c r="AV479" s="440">
        <v>0</v>
      </c>
      <c r="AW479" s="440">
        <v>0</v>
      </c>
      <c r="AX479" s="440">
        <v>0</v>
      </c>
      <c r="AY479" s="440">
        <v>0</v>
      </c>
      <c r="AZ479" s="440">
        <v>0</v>
      </c>
      <c r="BA479" s="440">
        <v>0</v>
      </c>
      <c r="BB479" s="440">
        <v>0</v>
      </c>
      <c r="BC479" s="440">
        <v>0</v>
      </c>
      <c r="BD479" s="440">
        <v>0</v>
      </c>
      <c r="BE479" s="440">
        <v>0</v>
      </c>
      <c r="BF479" s="440">
        <v>0</v>
      </c>
      <c r="BG479" s="440">
        <v>0</v>
      </c>
      <c r="BH479" s="440">
        <v>0</v>
      </c>
      <c r="BI479" s="440">
        <v>0</v>
      </c>
      <c r="BJ479" s="440">
        <v>0</v>
      </c>
      <c r="BK479" s="440">
        <v>0</v>
      </c>
      <c r="BL479" s="440">
        <v>0</v>
      </c>
      <c r="BM479" s="440">
        <v>0</v>
      </c>
      <c r="BN479" s="440">
        <v>0</v>
      </c>
      <c r="BO479" s="440">
        <v>0</v>
      </c>
      <c r="BP479" s="440">
        <v>0</v>
      </c>
      <c r="BQ479" s="440">
        <v>0</v>
      </c>
      <c r="BR479" s="415">
        <v>0</v>
      </c>
      <c r="BS479" s="415">
        <v>0</v>
      </c>
      <c r="BT479" s="935"/>
      <c r="BU479" s="935"/>
      <c r="BV479" s="935"/>
      <c r="BW479" s="935"/>
      <c r="BX479" s="935"/>
      <c r="BY479" s="935"/>
      <c r="BZ479" s="935"/>
      <c r="CA479" s="935"/>
      <c r="CB479" s="935"/>
      <c r="CC479" s="935"/>
      <c r="CD479" s="935"/>
      <c r="CE479" s="935"/>
      <c r="CF479" s="935"/>
      <c r="CG479" s="935"/>
      <c r="CH479" s="935"/>
      <c r="CI479" s="935"/>
      <c r="CJ479" s="935"/>
      <c r="CK479" s="935"/>
      <c r="CL479" s="935"/>
      <c r="CM479" s="935"/>
      <c r="CN479" s="935"/>
      <c r="CO479" s="935"/>
      <c r="CP479" s="935"/>
      <c r="CQ479" s="935"/>
      <c r="CR479" s="935"/>
      <c r="CS479" s="935"/>
      <c r="CT479" s="935"/>
      <c r="CU479" s="935"/>
      <c r="CV479" s="935"/>
    </row>
    <row r="480" spans="1:100" s="441" customFormat="1">
      <c r="A480" s="375">
        <f t="shared" si="143"/>
        <v>9</v>
      </c>
      <c r="B480" s="862">
        <v>44449</v>
      </c>
      <c r="C480" s="493" t="s">
        <v>1980</v>
      </c>
      <c r="D480" s="376" t="str">
        <f>IFERROR(VLOOKUP(E:E,'Item Data Support Sheet'!A:O,7,0),"")</f>
        <v>NIPPLE PUNCH</v>
      </c>
      <c r="E480" s="447" t="s">
        <v>81</v>
      </c>
      <c r="F480" s="500"/>
      <c r="G480" s="497"/>
      <c r="H480" s="602" t="str">
        <f>IFERROR(VLOOKUP(E:E,'Item Data Support Sheet'!A:O,2,0),"")</f>
        <v>NIPPLE S TYPE M SIZE PUNCHED</v>
      </c>
      <c r="I480" s="501" t="s">
        <v>3028</v>
      </c>
      <c r="J480" s="501" t="s">
        <v>2809</v>
      </c>
      <c r="K480" s="438">
        <v>8</v>
      </c>
      <c r="L480" s="499">
        <v>7000</v>
      </c>
      <c r="M480" s="366">
        <f t="shared" si="158"/>
        <v>875</v>
      </c>
      <c r="N480" s="367">
        <f t="shared" si="142"/>
        <v>6600</v>
      </c>
      <c r="O480" s="61">
        <v>6600</v>
      </c>
      <c r="P480" s="368">
        <v>0</v>
      </c>
      <c r="Q480" s="368">
        <v>0</v>
      </c>
      <c r="R480" s="494">
        <v>0</v>
      </c>
      <c r="S480" s="493">
        <v>0</v>
      </c>
      <c r="T480" s="494">
        <v>0</v>
      </c>
      <c r="U480" s="493">
        <v>0</v>
      </c>
      <c r="V480" s="502">
        <v>1</v>
      </c>
      <c r="W480" s="453">
        <f t="shared" si="144"/>
        <v>6600</v>
      </c>
      <c r="X480" s="748">
        <f t="shared" si="145"/>
        <v>0.94285714285714284</v>
      </c>
      <c r="Y480" s="451" t="str">
        <f>IFERROR(VLOOKUP(E:E,'Item Data Support Sheet'!A:J,6,0),0)</f>
        <v>FO016</v>
      </c>
      <c r="Z480" s="428">
        <f>IFERROR(VLOOKUP(E:E,'Item Data Support Sheet'!A:O,4,0),0)</f>
        <v>0</v>
      </c>
      <c r="AA480" s="428">
        <f t="shared" si="146"/>
        <v>0</v>
      </c>
      <c r="AB480" s="429" t="str">
        <f t="shared" si="147"/>
        <v xml:space="preserve"> </v>
      </c>
      <c r="AC480" s="424">
        <f t="shared" si="148"/>
        <v>0</v>
      </c>
      <c r="AD480" s="371">
        <f t="shared" si="149"/>
        <v>0</v>
      </c>
      <c r="AE480" s="748">
        <f t="shared" si="150"/>
        <v>1</v>
      </c>
      <c r="AF480" s="417">
        <f t="shared" si="151"/>
        <v>1.1666666666666667</v>
      </c>
      <c r="AG480" s="416">
        <f t="shared" si="152"/>
        <v>6.833333333333333</v>
      </c>
      <c r="AH480" s="372">
        <f t="shared" si="153"/>
        <v>0.85416666666666663</v>
      </c>
      <c r="AI480" s="373">
        <f t="shared" si="154"/>
        <v>825</v>
      </c>
      <c r="AJ480" s="418">
        <f>VLOOKUP(D480,'Standard Cycle time'!C:D,2,0)</f>
        <v>3.5</v>
      </c>
      <c r="AK480" s="418">
        <f t="shared" si="155"/>
        <v>3.7272727272727271</v>
      </c>
      <c r="AL480" s="374">
        <f t="shared" si="156"/>
        <v>0.9390243902439025</v>
      </c>
      <c r="AM480" s="372">
        <f t="shared" si="157"/>
        <v>0.80208333333333337</v>
      </c>
      <c r="AN480" s="799" t="s">
        <v>3029</v>
      </c>
      <c r="AO480" s="448" t="s">
        <v>3009</v>
      </c>
      <c r="AP480" s="440">
        <v>40</v>
      </c>
      <c r="AQ480" s="440">
        <v>0</v>
      </c>
      <c r="AR480" s="440">
        <v>0</v>
      </c>
      <c r="AS480" s="440">
        <v>0</v>
      </c>
      <c r="AT480" s="440">
        <v>0</v>
      </c>
      <c r="AU480" s="440">
        <v>0</v>
      </c>
      <c r="AV480" s="440">
        <v>0</v>
      </c>
      <c r="AW480" s="440">
        <v>0</v>
      </c>
      <c r="AX480" s="440">
        <v>0</v>
      </c>
      <c r="AY480" s="440">
        <v>0</v>
      </c>
      <c r="AZ480" s="440">
        <v>0</v>
      </c>
      <c r="BA480" s="440">
        <v>30</v>
      </c>
      <c r="BB480" s="440">
        <v>0</v>
      </c>
      <c r="BC480" s="440">
        <v>0</v>
      </c>
      <c r="BD480" s="440">
        <v>0</v>
      </c>
      <c r="BE480" s="440">
        <v>0</v>
      </c>
      <c r="BF480" s="440">
        <v>0</v>
      </c>
      <c r="BG480" s="440">
        <v>0</v>
      </c>
      <c r="BH480" s="440">
        <v>0</v>
      </c>
      <c r="BI480" s="440">
        <v>0</v>
      </c>
      <c r="BJ480" s="440">
        <v>0</v>
      </c>
      <c r="BK480" s="440">
        <v>0</v>
      </c>
      <c r="BL480" s="440">
        <v>0</v>
      </c>
      <c r="BM480" s="440">
        <v>0</v>
      </c>
      <c r="BN480" s="440">
        <v>0</v>
      </c>
      <c r="BO480" s="440">
        <v>0</v>
      </c>
      <c r="BP480" s="440">
        <v>0</v>
      </c>
      <c r="BQ480" s="440">
        <v>0</v>
      </c>
      <c r="BR480" s="415">
        <v>1.1666666666666667</v>
      </c>
      <c r="BS480" s="415">
        <v>1.1861111111111111</v>
      </c>
      <c r="BT480" s="935"/>
      <c r="BU480" s="935"/>
      <c r="BV480" s="935"/>
      <c r="BW480" s="935"/>
      <c r="BX480" s="935"/>
      <c r="BY480" s="935"/>
      <c r="BZ480" s="935"/>
      <c r="CA480" s="935"/>
      <c r="CB480" s="935"/>
      <c r="CC480" s="935"/>
      <c r="CD480" s="935"/>
      <c r="CE480" s="935"/>
      <c r="CF480" s="935"/>
      <c r="CG480" s="935"/>
      <c r="CH480" s="935"/>
      <c r="CI480" s="935"/>
      <c r="CJ480" s="935"/>
      <c r="CK480" s="935"/>
      <c r="CL480" s="935"/>
      <c r="CM480" s="935"/>
      <c r="CN480" s="935"/>
      <c r="CO480" s="935"/>
      <c r="CP480" s="935"/>
      <c r="CQ480" s="935"/>
      <c r="CR480" s="935"/>
      <c r="CS480" s="935"/>
      <c r="CT480" s="935"/>
      <c r="CU480" s="935"/>
      <c r="CV480" s="935"/>
    </row>
    <row r="481" spans="1:100" s="441" customFormat="1">
      <c r="A481" s="375">
        <f t="shared" si="143"/>
        <v>9</v>
      </c>
      <c r="B481" s="862">
        <v>44449</v>
      </c>
      <c r="C481" s="493" t="s">
        <v>1980</v>
      </c>
      <c r="D481" s="376" t="str">
        <f>IFERROR(VLOOKUP(E:E,'Item Data Support Sheet'!A:O,7,0),"")</f>
        <v>NIPPLE LASER MARKING</v>
      </c>
      <c r="E481" s="447" t="s">
        <v>1815</v>
      </c>
      <c r="F481" s="500"/>
      <c r="G481" s="497"/>
      <c r="H481" s="602" t="str">
        <f>IFERROR(VLOOKUP(E:E,'Item Data Support Sheet'!A:O,2,0),"")</f>
        <v>NIPPLE S TYPE M SIZE PUNCHED LASER MARKED</v>
      </c>
      <c r="I481" s="501" t="s">
        <v>3030</v>
      </c>
      <c r="J481" s="501" t="s">
        <v>2809</v>
      </c>
      <c r="K481" s="438">
        <v>8</v>
      </c>
      <c r="L481" s="499">
        <v>7000</v>
      </c>
      <c r="M481" s="366">
        <f t="shared" si="158"/>
        <v>875</v>
      </c>
      <c r="N481" s="367">
        <f t="shared" si="142"/>
        <v>6400</v>
      </c>
      <c r="O481" s="61">
        <v>6400</v>
      </c>
      <c r="P481" s="368">
        <v>0</v>
      </c>
      <c r="Q481" s="368">
        <v>0</v>
      </c>
      <c r="R481" s="494">
        <v>0</v>
      </c>
      <c r="S481" s="493">
        <v>0</v>
      </c>
      <c r="T481" s="494">
        <v>0</v>
      </c>
      <c r="U481" s="493">
        <v>0</v>
      </c>
      <c r="V481" s="502">
        <v>1</v>
      </c>
      <c r="W481" s="453">
        <f t="shared" si="144"/>
        <v>6400</v>
      </c>
      <c r="X481" s="748">
        <f t="shared" si="145"/>
        <v>0.91428571428571426</v>
      </c>
      <c r="Y481" s="451" t="str">
        <f>IFERROR(VLOOKUP(E:E,'Item Data Support Sheet'!A:J,6,0),0)</f>
        <v>FO020</v>
      </c>
      <c r="Z481" s="428">
        <f>IFERROR(VLOOKUP(E:E,'Item Data Support Sheet'!A:O,4,0),0)</f>
        <v>0</v>
      </c>
      <c r="AA481" s="428">
        <f t="shared" si="146"/>
        <v>0</v>
      </c>
      <c r="AB481" s="429" t="str">
        <f t="shared" si="147"/>
        <v xml:space="preserve"> </v>
      </c>
      <c r="AC481" s="424">
        <f t="shared" si="148"/>
        <v>0</v>
      </c>
      <c r="AD481" s="371">
        <f t="shared" si="149"/>
        <v>0</v>
      </c>
      <c r="AE481" s="748">
        <f t="shared" si="150"/>
        <v>1</v>
      </c>
      <c r="AF481" s="417">
        <f t="shared" si="151"/>
        <v>1.1666666666666667</v>
      </c>
      <c r="AG481" s="416">
        <f t="shared" si="152"/>
        <v>6.833333333333333</v>
      </c>
      <c r="AH481" s="372">
        <f t="shared" si="153"/>
        <v>0.85416666666666663</v>
      </c>
      <c r="AI481" s="373">
        <f t="shared" si="154"/>
        <v>800</v>
      </c>
      <c r="AJ481" s="418">
        <f>VLOOKUP(D481,'Standard Cycle time'!C:D,2,0)</f>
        <v>3.5</v>
      </c>
      <c r="AK481" s="418">
        <f t="shared" si="155"/>
        <v>3.84375</v>
      </c>
      <c r="AL481" s="374">
        <f t="shared" si="156"/>
        <v>0.91056910569105687</v>
      </c>
      <c r="AM481" s="372">
        <f t="shared" si="157"/>
        <v>0.77777777777777768</v>
      </c>
      <c r="AN481" s="799" t="s">
        <v>3031</v>
      </c>
      <c r="AO481" s="448" t="s">
        <v>3032</v>
      </c>
      <c r="AP481" s="440">
        <v>40</v>
      </c>
      <c r="AQ481" s="440">
        <v>0</v>
      </c>
      <c r="AR481" s="440">
        <v>0</v>
      </c>
      <c r="AS481" s="440">
        <v>0</v>
      </c>
      <c r="AT481" s="440">
        <v>0</v>
      </c>
      <c r="AU481" s="440">
        <v>0</v>
      </c>
      <c r="AV481" s="440">
        <v>0</v>
      </c>
      <c r="AW481" s="440">
        <v>0</v>
      </c>
      <c r="AX481" s="440">
        <v>0</v>
      </c>
      <c r="AY481" s="440">
        <v>30</v>
      </c>
      <c r="AZ481" s="440">
        <v>0</v>
      </c>
      <c r="BA481" s="440">
        <v>0</v>
      </c>
      <c r="BB481" s="440">
        <v>0</v>
      </c>
      <c r="BC481" s="440">
        <v>0</v>
      </c>
      <c r="BD481" s="440">
        <v>0</v>
      </c>
      <c r="BE481" s="440">
        <v>0</v>
      </c>
      <c r="BF481" s="440">
        <v>0</v>
      </c>
      <c r="BG481" s="440">
        <v>0</v>
      </c>
      <c r="BH481" s="440">
        <v>0</v>
      </c>
      <c r="BI481" s="440">
        <v>0</v>
      </c>
      <c r="BJ481" s="440">
        <v>0</v>
      </c>
      <c r="BK481" s="440">
        <v>0</v>
      </c>
      <c r="BL481" s="440">
        <v>0</v>
      </c>
      <c r="BM481" s="440">
        <v>0</v>
      </c>
      <c r="BN481" s="440">
        <v>0</v>
      </c>
      <c r="BO481" s="440">
        <v>0</v>
      </c>
      <c r="BP481" s="440">
        <v>0</v>
      </c>
      <c r="BQ481" s="440">
        <v>0</v>
      </c>
      <c r="BR481" s="415">
        <v>1.1666666666666667</v>
      </c>
      <c r="BS481" s="415">
        <v>1.1861111111111111</v>
      </c>
      <c r="BT481" s="935"/>
      <c r="BU481" s="935"/>
      <c r="BV481" s="935"/>
      <c r="BW481" s="935"/>
      <c r="BX481" s="935"/>
      <c r="BY481" s="935"/>
      <c r="BZ481" s="935"/>
      <c r="CA481" s="935"/>
      <c r="CB481" s="935"/>
      <c r="CC481" s="935"/>
      <c r="CD481" s="935"/>
      <c r="CE481" s="935"/>
      <c r="CF481" s="935"/>
      <c r="CG481" s="935"/>
      <c r="CH481" s="935"/>
      <c r="CI481" s="935"/>
      <c r="CJ481" s="935"/>
      <c r="CK481" s="935"/>
      <c r="CL481" s="935"/>
      <c r="CM481" s="935"/>
      <c r="CN481" s="935"/>
      <c r="CO481" s="935"/>
      <c r="CP481" s="935"/>
      <c r="CQ481" s="935"/>
      <c r="CR481" s="935"/>
      <c r="CS481" s="935"/>
      <c r="CT481" s="935"/>
      <c r="CU481" s="935"/>
      <c r="CV481" s="935"/>
    </row>
    <row r="482" spans="1:100" s="441" customFormat="1">
      <c r="A482" s="375">
        <f t="shared" si="143"/>
        <v>9</v>
      </c>
      <c r="B482" s="862">
        <v>44449</v>
      </c>
      <c r="C482" s="493" t="s">
        <v>1980</v>
      </c>
      <c r="D482" s="376" t="str">
        <f>IFERROR(VLOOKUP(E:E,'Item Data Support Sheet'!A:O,7,0),"")</f>
        <v>NIPPLE MOLDED</v>
      </c>
      <c r="E482" s="447" t="s">
        <v>73</v>
      </c>
      <c r="F482" s="500" t="s">
        <v>1678</v>
      </c>
      <c r="G482" s="497" t="s">
        <v>1690</v>
      </c>
      <c r="H482" s="602" t="str">
        <f>IFERROR(VLOOKUP(E:E,'Item Data Support Sheet'!A:O,2,0),"")</f>
        <v>NIPPLE S TYPE M SIZE INJECTION</v>
      </c>
      <c r="I482" s="501" t="s">
        <v>3033</v>
      </c>
      <c r="J482" s="501" t="s">
        <v>2809</v>
      </c>
      <c r="K482" s="438">
        <v>8</v>
      </c>
      <c r="L482" s="499">
        <v>4815</v>
      </c>
      <c r="M482" s="366">
        <f t="shared" si="158"/>
        <v>601.875</v>
      </c>
      <c r="N482" s="367">
        <f t="shared" si="142"/>
        <v>5550</v>
      </c>
      <c r="O482" s="61">
        <v>5500</v>
      </c>
      <c r="P482" s="368">
        <v>0</v>
      </c>
      <c r="Q482" s="368">
        <v>20</v>
      </c>
      <c r="R482" s="494">
        <v>0</v>
      </c>
      <c r="S482" s="493">
        <v>0</v>
      </c>
      <c r="T482" s="494">
        <v>22</v>
      </c>
      <c r="U482" s="493">
        <v>8</v>
      </c>
      <c r="V482" s="502">
        <v>1</v>
      </c>
      <c r="W482" s="453">
        <f t="shared" si="144"/>
        <v>5500</v>
      </c>
      <c r="X482" s="748">
        <f t="shared" si="145"/>
        <v>1.142263759086189</v>
      </c>
      <c r="Y482" s="451" t="str">
        <f>IFERROR(VLOOKUP(E:E,'Item Data Support Sheet'!A:J,6,0),0)</f>
        <v>Silicon</v>
      </c>
      <c r="Z482" s="428">
        <f>IFERROR(VLOOKUP(E:E,'Item Data Support Sheet'!A:O,4,0),0)</f>
        <v>6.8</v>
      </c>
      <c r="AA482" s="428">
        <f t="shared" si="146"/>
        <v>37.739999999999995</v>
      </c>
      <c r="AB482" s="429">
        <f t="shared" si="147"/>
        <v>0.99099099099099108</v>
      </c>
      <c r="AC482" s="424">
        <f t="shared" si="148"/>
        <v>3.9840637450199202E-3</v>
      </c>
      <c r="AD482" s="371">
        <f t="shared" si="149"/>
        <v>3.5906642728904849E-3</v>
      </c>
      <c r="AE482" s="748">
        <f t="shared" si="150"/>
        <v>0.99603603603603608</v>
      </c>
      <c r="AF482" s="417">
        <f t="shared" si="151"/>
        <v>0.66666666666666663</v>
      </c>
      <c r="AG482" s="416">
        <f t="shared" si="152"/>
        <v>7.333333333333333</v>
      </c>
      <c r="AH482" s="372">
        <f t="shared" si="153"/>
        <v>0.91666666666666663</v>
      </c>
      <c r="AI482" s="373">
        <f t="shared" si="154"/>
        <v>687.5</v>
      </c>
      <c r="AJ482" s="418">
        <f>VLOOKUP(D482,'Standard Cycle time'!C:D,2,0)</f>
        <v>5.25</v>
      </c>
      <c r="AK482" s="418">
        <f t="shared" si="155"/>
        <v>4.8</v>
      </c>
      <c r="AL482" s="374">
        <f t="shared" si="156"/>
        <v>1.09375</v>
      </c>
      <c r="AM482" s="372">
        <f t="shared" si="157"/>
        <v>0.99862987987987983</v>
      </c>
      <c r="AN482" s="799">
        <v>3133</v>
      </c>
      <c r="AO482" s="448"/>
      <c r="AP482" s="440">
        <v>40</v>
      </c>
      <c r="AQ482" s="440">
        <v>0</v>
      </c>
      <c r="AR482" s="440">
        <v>0</v>
      </c>
      <c r="AS482" s="440">
        <v>0</v>
      </c>
      <c r="AT482" s="440">
        <v>0</v>
      </c>
      <c r="AU482" s="440">
        <v>0</v>
      </c>
      <c r="AV482" s="440">
        <v>0</v>
      </c>
      <c r="AW482" s="440">
        <v>0</v>
      </c>
      <c r="AX482" s="440">
        <v>0</v>
      </c>
      <c r="AY482" s="440">
        <v>0</v>
      </c>
      <c r="AZ482" s="440">
        <v>0</v>
      </c>
      <c r="BA482" s="440">
        <v>0</v>
      </c>
      <c r="BB482" s="440">
        <v>0</v>
      </c>
      <c r="BC482" s="440">
        <v>0</v>
      </c>
      <c r="BD482" s="440">
        <v>0</v>
      </c>
      <c r="BE482" s="440">
        <v>0</v>
      </c>
      <c r="BF482" s="440">
        <v>0</v>
      </c>
      <c r="BG482" s="440">
        <v>0</v>
      </c>
      <c r="BH482" s="440">
        <v>0</v>
      </c>
      <c r="BI482" s="440">
        <v>0</v>
      </c>
      <c r="BJ482" s="440">
        <v>0</v>
      </c>
      <c r="BK482" s="440">
        <v>0</v>
      </c>
      <c r="BL482" s="440">
        <v>0</v>
      </c>
      <c r="BM482" s="440">
        <v>0</v>
      </c>
      <c r="BN482" s="440">
        <v>0</v>
      </c>
      <c r="BO482" s="440">
        <v>0</v>
      </c>
      <c r="BP482" s="440">
        <v>0</v>
      </c>
      <c r="BQ482" s="440">
        <v>0</v>
      </c>
      <c r="BR482" s="415">
        <v>0.66666666666666663</v>
      </c>
      <c r="BS482" s="415">
        <v>0.6777777777777777</v>
      </c>
      <c r="BT482" s="935"/>
      <c r="BU482" s="935"/>
      <c r="BV482" s="935"/>
      <c r="BW482" s="935"/>
      <c r="BX482" s="935"/>
      <c r="BY482" s="935"/>
      <c r="BZ482" s="935"/>
      <c r="CA482" s="935"/>
      <c r="CB482" s="935"/>
      <c r="CC482" s="935"/>
      <c r="CD482" s="935"/>
      <c r="CE482" s="935"/>
      <c r="CF482" s="935"/>
      <c r="CG482" s="935"/>
      <c r="CH482" s="935"/>
      <c r="CI482" s="935"/>
      <c r="CJ482" s="935"/>
      <c r="CK482" s="935"/>
      <c r="CL482" s="935"/>
      <c r="CM482" s="935"/>
      <c r="CN482" s="935"/>
      <c r="CO482" s="935"/>
      <c r="CP482" s="935"/>
      <c r="CQ482" s="935"/>
      <c r="CR482" s="935"/>
      <c r="CS482" s="935"/>
      <c r="CT482" s="935"/>
      <c r="CU482" s="935"/>
      <c r="CV482" s="935"/>
    </row>
    <row r="483" spans="1:100" s="441" customFormat="1">
      <c r="A483" s="375">
        <f t="shared" si="143"/>
        <v>9</v>
      </c>
      <c r="B483" s="862">
        <v>44449</v>
      </c>
      <c r="C483" s="493" t="s">
        <v>1980</v>
      </c>
      <c r="D483" s="376" t="str">
        <f>IFERROR(VLOOKUP(E:E,'Item Data Support Sheet'!A:O,7,0),"")</f>
        <v>HOOD MOLDED</v>
      </c>
      <c r="E483" s="447" t="s">
        <v>1987</v>
      </c>
      <c r="F483" s="500"/>
      <c r="G483" s="497"/>
      <c r="H483" s="602" t="str">
        <f>IFERROR(VLOOKUP(E:E,'Item Data Support Sheet'!A:O,2,0),"")</f>
        <v>HOOD S TYPE MOLDED</v>
      </c>
      <c r="I483" s="501" t="s">
        <v>3034</v>
      </c>
      <c r="J483" s="501" t="s">
        <v>2809</v>
      </c>
      <c r="K483" s="438">
        <v>8</v>
      </c>
      <c r="L483" s="499">
        <v>4137</v>
      </c>
      <c r="M483" s="366">
        <f t="shared" si="158"/>
        <v>517.125</v>
      </c>
      <c r="N483" s="367">
        <f t="shared" si="142"/>
        <v>5020</v>
      </c>
      <c r="O483" s="61">
        <v>5000</v>
      </c>
      <c r="P483" s="368">
        <v>0</v>
      </c>
      <c r="Q483" s="368">
        <v>10</v>
      </c>
      <c r="R483" s="494">
        <v>0</v>
      </c>
      <c r="S483" s="493">
        <v>0</v>
      </c>
      <c r="T483" s="494">
        <v>2</v>
      </c>
      <c r="U483" s="493">
        <v>8</v>
      </c>
      <c r="V483" s="502">
        <v>1</v>
      </c>
      <c r="W483" s="453">
        <f t="shared" si="144"/>
        <v>5000</v>
      </c>
      <c r="X483" s="748">
        <f t="shared" si="145"/>
        <v>1.2086052695189751</v>
      </c>
      <c r="Y483" s="451" t="str">
        <f>IFERROR(VLOOKUP(E:E,'Item Data Support Sheet'!A:J,6,0),0)</f>
        <v>HMC</v>
      </c>
      <c r="Z483" s="428">
        <f>IFERROR(VLOOKUP(E:E,'Item Data Support Sheet'!A:O,4,0),0)</f>
        <v>8.6</v>
      </c>
      <c r="AA483" s="428">
        <f t="shared" si="146"/>
        <v>43.171999999999997</v>
      </c>
      <c r="AB483" s="429">
        <f t="shared" si="147"/>
        <v>0.99601593625498019</v>
      </c>
      <c r="AC483" s="424">
        <f t="shared" si="148"/>
        <v>3.9984006397441024E-4</v>
      </c>
      <c r="AD483" s="371">
        <f t="shared" si="149"/>
        <v>1.9880715705765406E-3</v>
      </c>
      <c r="AE483" s="748">
        <f t="shared" si="150"/>
        <v>0.99960159362549805</v>
      </c>
      <c r="AF483" s="417">
        <f t="shared" si="151"/>
        <v>0</v>
      </c>
      <c r="AG483" s="416">
        <f t="shared" si="152"/>
        <v>8</v>
      </c>
      <c r="AH483" s="372">
        <f t="shared" si="153"/>
        <v>1</v>
      </c>
      <c r="AI483" s="373">
        <f t="shared" si="154"/>
        <v>625</v>
      </c>
      <c r="AJ483" s="418">
        <f>VLOOKUP(D483,'Standard Cycle time'!C:D,2,0)</f>
        <v>6</v>
      </c>
      <c r="AK483" s="418">
        <f t="shared" si="155"/>
        <v>5.76</v>
      </c>
      <c r="AL483" s="374">
        <f t="shared" si="156"/>
        <v>1.0416666666666667</v>
      </c>
      <c r="AM483" s="372">
        <f t="shared" si="157"/>
        <v>1.0412516600265604</v>
      </c>
      <c r="AN483" s="799">
        <v>3134</v>
      </c>
      <c r="AO483" s="448"/>
      <c r="AP483" s="440">
        <v>0</v>
      </c>
      <c r="AQ483" s="440">
        <v>0</v>
      </c>
      <c r="AR483" s="440">
        <v>0</v>
      </c>
      <c r="AS483" s="440">
        <v>0</v>
      </c>
      <c r="AT483" s="440">
        <v>0</v>
      </c>
      <c r="AU483" s="440">
        <v>0</v>
      </c>
      <c r="AV483" s="440">
        <v>0</v>
      </c>
      <c r="AW483" s="440">
        <v>0</v>
      </c>
      <c r="AX483" s="440">
        <v>0</v>
      </c>
      <c r="AY483" s="440">
        <v>0</v>
      </c>
      <c r="AZ483" s="440">
        <v>0</v>
      </c>
      <c r="BA483" s="440">
        <v>0</v>
      </c>
      <c r="BB483" s="440">
        <v>0</v>
      </c>
      <c r="BC483" s="440">
        <v>0</v>
      </c>
      <c r="BD483" s="440">
        <v>0</v>
      </c>
      <c r="BE483" s="440">
        <v>0</v>
      </c>
      <c r="BF483" s="440">
        <v>0</v>
      </c>
      <c r="BG483" s="440">
        <v>0</v>
      </c>
      <c r="BH483" s="440">
        <v>0</v>
      </c>
      <c r="BI483" s="440">
        <v>0</v>
      </c>
      <c r="BJ483" s="440">
        <v>0</v>
      </c>
      <c r="BK483" s="440">
        <v>0</v>
      </c>
      <c r="BL483" s="440">
        <v>0</v>
      </c>
      <c r="BM483" s="440">
        <v>0</v>
      </c>
      <c r="BN483" s="440">
        <v>0</v>
      </c>
      <c r="BO483" s="440">
        <v>0</v>
      </c>
      <c r="BP483" s="440">
        <v>0</v>
      </c>
      <c r="BQ483" s="440">
        <v>0</v>
      </c>
      <c r="BR483" s="415">
        <v>0</v>
      </c>
      <c r="BS483" s="415">
        <v>0</v>
      </c>
      <c r="BT483" s="935"/>
      <c r="BU483" s="935"/>
      <c r="BV483" s="935"/>
      <c r="BW483" s="935"/>
      <c r="BX483" s="935"/>
      <c r="BY483" s="935"/>
      <c r="BZ483" s="935"/>
      <c r="CA483" s="935"/>
      <c r="CB483" s="935"/>
      <c r="CC483" s="935"/>
      <c r="CD483" s="935"/>
      <c r="CE483" s="935"/>
      <c r="CF483" s="935"/>
      <c r="CG483" s="935"/>
      <c r="CH483" s="935"/>
      <c r="CI483" s="935"/>
      <c r="CJ483" s="935"/>
      <c r="CK483" s="935"/>
      <c r="CL483" s="935"/>
      <c r="CM483" s="935"/>
      <c r="CN483" s="935"/>
      <c r="CO483" s="935"/>
      <c r="CP483" s="935"/>
      <c r="CQ483" s="935"/>
      <c r="CR483" s="935"/>
      <c r="CS483" s="935"/>
      <c r="CT483" s="935"/>
      <c r="CU483" s="935"/>
      <c r="CV483" s="935"/>
    </row>
    <row r="484" spans="1:100" s="441" customFormat="1">
      <c r="A484" s="375">
        <f t="shared" si="143"/>
        <v>9</v>
      </c>
      <c r="B484" s="862">
        <v>44449</v>
      </c>
      <c r="C484" s="493" t="s">
        <v>1980</v>
      </c>
      <c r="D484" s="376" t="str">
        <f>IFERROR(VLOOKUP(E:E,'Item Data Support Sheet'!A:O,7,0),"")</f>
        <v>BOTTLE PRINTED</v>
      </c>
      <c r="E484" s="447" t="s">
        <v>64</v>
      </c>
      <c r="F484" s="500"/>
      <c r="G484" s="497"/>
      <c r="H484" s="602" t="str">
        <f>IFERROR(VLOOKUP(E:E,'Item Data Support Sheet'!A:O,2,0),"")</f>
        <v>KPP 240 ML BOTTLE PRINTED</v>
      </c>
      <c r="I484" s="501" t="s">
        <v>3035</v>
      </c>
      <c r="J484" s="501" t="s">
        <v>2809</v>
      </c>
      <c r="K484" s="438">
        <v>8</v>
      </c>
      <c r="L484" s="499">
        <v>5100</v>
      </c>
      <c r="M484" s="366">
        <f t="shared" si="158"/>
        <v>637.5</v>
      </c>
      <c r="N484" s="367">
        <f t="shared" si="142"/>
        <v>3923</v>
      </c>
      <c r="O484" s="61">
        <v>3888</v>
      </c>
      <c r="P484" s="368">
        <v>0</v>
      </c>
      <c r="Q484" s="368">
        <v>0</v>
      </c>
      <c r="R484" s="494">
        <v>26</v>
      </c>
      <c r="S484" s="493">
        <v>0</v>
      </c>
      <c r="T484" s="494">
        <v>35</v>
      </c>
      <c r="U484" s="493">
        <v>0</v>
      </c>
      <c r="V484" s="502">
        <v>6</v>
      </c>
      <c r="W484" s="453">
        <f t="shared" si="144"/>
        <v>648</v>
      </c>
      <c r="X484" s="748">
        <f t="shared" si="145"/>
        <v>0.76235294117647057</v>
      </c>
      <c r="Y484" s="451" t="str">
        <f>IFERROR(VLOOKUP(E:E,'Item Data Support Sheet'!A:J,6,0),0)</f>
        <v>FO003</v>
      </c>
      <c r="Z484" s="428">
        <f>IFERROR(VLOOKUP(E:E,'Item Data Support Sheet'!A:O,4,0),0)</f>
        <v>0</v>
      </c>
      <c r="AA484" s="428">
        <f t="shared" si="146"/>
        <v>0</v>
      </c>
      <c r="AB484" s="429" t="str">
        <f t="shared" si="147"/>
        <v xml:space="preserve"> </v>
      </c>
      <c r="AC484" s="424">
        <f t="shared" si="148"/>
        <v>8.9217435635992864E-3</v>
      </c>
      <c r="AD484" s="371">
        <f t="shared" si="149"/>
        <v>0</v>
      </c>
      <c r="AE484" s="748">
        <f t="shared" si="150"/>
        <v>0.99107825643640068</v>
      </c>
      <c r="AF484" s="417">
        <f t="shared" si="151"/>
        <v>2.0833333333333335</v>
      </c>
      <c r="AG484" s="416">
        <f t="shared" si="152"/>
        <v>5.9166666666666661</v>
      </c>
      <c r="AH484" s="372">
        <f t="shared" si="153"/>
        <v>0.73958333333333326</v>
      </c>
      <c r="AI484" s="373">
        <f t="shared" si="154"/>
        <v>486</v>
      </c>
      <c r="AJ484" s="418">
        <f>VLOOKUP(D484,'Standard Cycle time'!C:D,2,0)</f>
        <v>32.4</v>
      </c>
      <c r="AK484" s="418">
        <f t="shared" si="155"/>
        <v>32.870370370370374</v>
      </c>
      <c r="AL484" s="374">
        <f t="shared" si="156"/>
        <v>0.98569014084507023</v>
      </c>
      <c r="AM484" s="372">
        <f t="shared" si="157"/>
        <v>0.72249604894213593</v>
      </c>
      <c r="AN484" s="799" t="s">
        <v>2874</v>
      </c>
      <c r="AO484" s="448" t="s">
        <v>3036</v>
      </c>
      <c r="AP484" s="440">
        <v>40</v>
      </c>
      <c r="AQ484" s="440">
        <v>0</v>
      </c>
      <c r="AR484" s="440">
        <v>0</v>
      </c>
      <c r="AS484" s="440">
        <v>0</v>
      </c>
      <c r="AT484" s="440">
        <v>0</v>
      </c>
      <c r="AU484" s="440">
        <v>0</v>
      </c>
      <c r="AV484" s="440">
        <v>0</v>
      </c>
      <c r="AW484" s="440">
        <v>85</v>
      </c>
      <c r="AX484" s="440">
        <v>0</v>
      </c>
      <c r="AY484" s="440">
        <v>0</v>
      </c>
      <c r="AZ484" s="440">
        <v>0</v>
      </c>
      <c r="BA484" s="440">
        <v>0</v>
      </c>
      <c r="BB484" s="440">
        <v>0</v>
      </c>
      <c r="BC484" s="440">
        <v>0</v>
      </c>
      <c r="BD484" s="440">
        <v>0</v>
      </c>
      <c r="BE484" s="440">
        <v>0</v>
      </c>
      <c r="BF484" s="440">
        <v>0</v>
      </c>
      <c r="BG484" s="440">
        <v>0</v>
      </c>
      <c r="BH484" s="440">
        <v>0</v>
      </c>
      <c r="BI484" s="440">
        <v>0</v>
      </c>
      <c r="BJ484" s="440">
        <v>0</v>
      </c>
      <c r="BK484" s="440">
        <v>0</v>
      </c>
      <c r="BL484" s="440">
        <v>0</v>
      </c>
      <c r="BM484" s="440">
        <v>0</v>
      </c>
      <c r="BN484" s="440">
        <v>0</v>
      </c>
      <c r="BO484" s="440">
        <v>0</v>
      </c>
      <c r="BP484" s="440">
        <v>0</v>
      </c>
      <c r="BQ484" s="440">
        <v>0</v>
      </c>
      <c r="BR484" s="415">
        <v>2.0833333333333335</v>
      </c>
      <c r="BS484" s="415">
        <v>2.1180555555555554</v>
      </c>
      <c r="BT484" s="935"/>
      <c r="BU484" s="935"/>
      <c r="BV484" s="935"/>
      <c r="BW484" s="935"/>
      <c r="BX484" s="935"/>
      <c r="BY484" s="935"/>
      <c r="BZ484" s="935"/>
      <c r="CA484" s="935"/>
      <c r="CB484" s="935"/>
      <c r="CC484" s="935"/>
      <c r="CD484" s="935"/>
      <c r="CE484" s="935"/>
      <c r="CF484" s="935"/>
      <c r="CG484" s="935"/>
      <c r="CH484" s="935"/>
      <c r="CI484" s="935"/>
      <c r="CJ484" s="935"/>
      <c r="CK484" s="935"/>
      <c r="CL484" s="935"/>
      <c r="CM484" s="935"/>
      <c r="CN484" s="935"/>
      <c r="CO484" s="935"/>
      <c r="CP484" s="935"/>
      <c r="CQ484" s="935"/>
      <c r="CR484" s="935"/>
      <c r="CS484" s="935"/>
      <c r="CT484" s="935"/>
      <c r="CU484" s="935"/>
      <c r="CV484" s="935"/>
    </row>
    <row r="485" spans="1:100" s="441" customFormat="1">
      <c r="A485" s="375">
        <f t="shared" si="143"/>
        <v>9</v>
      </c>
      <c r="B485" s="862">
        <v>44449</v>
      </c>
      <c r="C485" s="493" t="s">
        <v>2000</v>
      </c>
      <c r="D485" s="376" t="str">
        <f>IFERROR(VLOOKUP(E:E,'Item Data Support Sheet'!A:O,7,0),"")</f>
        <v>NIPPLE PUNCH INSPECTED</v>
      </c>
      <c r="E485" s="447" t="s">
        <v>1819</v>
      </c>
      <c r="F485" s="500"/>
      <c r="G485" s="497"/>
      <c r="H485" s="602" t="str">
        <f>IFERROR(VLOOKUP(E:E,'Item Data Support Sheet'!A:O,2,0),"")</f>
        <v>NIPPLE S TYPE M SIZE PUNCHED INSPECTED</v>
      </c>
      <c r="I485" s="501" t="s">
        <v>3037</v>
      </c>
      <c r="J485" s="501" t="s">
        <v>2809</v>
      </c>
      <c r="K485" s="438">
        <v>8</v>
      </c>
      <c r="L485" s="499">
        <v>14000</v>
      </c>
      <c r="M485" s="366">
        <f t="shared" si="158"/>
        <v>1750</v>
      </c>
      <c r="N485" s="367">
        <f t="shared" si="142"/>
        <v>13900</v>
      </c>
      <c r="O485" s="61">
        <v>13741</v>
      </c>
      <c r="P485" s="368">
        <v>0</v>
      </c>
      <c r="Q485" s="368">
        <v>0</v>
      </c>
      <c r="R485" s="494">
        <v>0</v>
      </c>
      <c r="S485" s="493">
        <v>0</v>
      </c>
      <c r="T485" s="494">
        <v>159</v>
      </c>
      <c r="U485" s="493">
        <v>0</v>
      </c>
      <c r="V485" s="502">
        <v>2</v>
      </c>
      <c r="W485" s="453">
        <f t="shared" si="144"/>
        <v>6870.5</v>
      </c>
      <c r="X485" s="748">
        <f t="shared" si="145"/>
        <v>0.98150000000000004</v>
      </c>
      <c r="Y485" s="451" t="str">
        <f>IFERROR(VLOOKUP(E:E,'Item Data Support Sheet'!A:J,6,0),0)</f>
        <v>FO105</v>
      </c>
      <c r="Z485" s="428">
        <f>IFERROR(VLOOKUP(E:E,'Item Data Support Sheet'!A:O,4,0),0)</f>
        <v>0</v>
      </c>
      <c r="AA485" s="428">
        <f t="shared" si="146"/>
        <v>0</v>
      </c>
      <c r="AB485" s="429" t="str">
        <f t="shared" si="147"/>
        <v xml:space="preserve"> </v>
      </c>
      <c r="AC485" s="424">
        <f t="shared" si="148"/>
        <v>1.1438848920863309E-2</v>
      </c>
      <c r="AD485" s="371">
        <f t="shared" si="149"/>
        <v>0</v>
      </c>
      <c r="AE485" s="748">
        <f t="shared" si="150"/>
        <v>0.98856115107913667</v>
      </c>
      <c r="AF485" s="417">
        <f t="shared" si="151"/>
        <v>0</v>
      </c>
      <c r="AG485" s="416">
        <f t="shared" si="152"/>
        <v>8</v>
      </c>
      <c r="AH485" s="372">
        <f t="shared" si="153"/>
        <v>1</v>
      </c>
      <c r="AI485" s="373">
        <f t="shared" si="154"/>
        <v>1717.625</v>
      </c>
      <c r="AJ485" s="418">
        <f>VLOOKUP(D485,'Standard Cycle time'!C:D,2,0)</f>
        <v>4</v>
      </c>
      <c r="AK485" s="418">
        <f t="shared" si="155"/>
        <v>4.1918346554108146</v>
      </c>
      <c r="AL485" s="374">
        <f t="shared" si="156"/>
        <v>0.95423611111111106</v>
      </c>
      <c r="AM485" s="372">
        <f t="shared" si="157"/>
        <v>0.94332074840127889</v>
      </c>
      <c r="AN485" s="799" t="s">
        <v>3038</v>
      </c>
      <c r="AO485" s="448"/>
      <c r="AP485" s="440">
        <v>0</v>
      </c>
      <c r="AQ485" s="440">
        <v>0</v>
      </c>
      <c r="AR485" s="440">
        <v>0</v>
      </c>
      <c r="AS485" s="440">
        <v>0</v>
      </c>
      <c r="AT485" s="440">
        <v>0</v>
      </c>
      <c r="AU485" s="440">
        <v>0</v>
      </c>
      <c r="AV485" s="440">
        <v>0</v>
      </c>
      <c r="AW485" s="440">
        <v>0</v>
      </c>
      <c r="AX485" s="440">
        <v>0</v>
      </c>
      <c r="AY485" s="440">
        <v>0</v>
      </c>
      <c r="AZ485" s="440">
        <v>0</v>
      </c>
      <c r="BA485" s="440">
        <v>0</v>
      </c>
      <c r="BB485" s="440">
        <v>0</v>
      </c>
      <c r="BC485" s="440">
        <v>0</v>
      </c>
      <c r="BD485" s="440">
        <v>0</v>
      </c>
      <c r="BE485" s="440">
        <v>0</v>
      </c>
      <c r="BF485" s="440">
        <v>0</v>
      </c>
      <c r="BG485" s="440">
        <v>0</v>
      </c>
      <c r="BH485" s="440">
        <v>0</v>
      </c>
      <c r="BI485" s="440">
        <v>0</v>
      </c>
      <c r="BJ485" s="440">
        <v>0</v>
      </c>
      <c r="BK485" s="440">
        <v>0</v>
      </c>
      <c r="BL485" s="440">
        <v>0</v>
      </c>
      <c r="BM485" s="440">
        <v>0</v>
      </c>
      <c r="BN485" s="440">
        <v>0</v>
      </c>
      <c r="BO485" s="440">
        <v>0</v>
      </c>
      <c r="BP485" s="440">
        <v>0</v>
      </c>
      <c r="BQ485" s="440">
        <v>0</v>
      </c>
      <c r="BR485" s="415">
        <v>0</v>
      </c>
      <c r="BS485" s="415">
        <v>0</v>
      </c>
      <c r="BT485" s="935"/>
      <c r="BU485" s="935"/>
      <c r="BV485" s="935"/>
      <c r="BW485" s="935"/>
      <c r="BX485" s="935"/>
      <c r="BY485" s="935"/>
      <c r="BZ485" s="935"/>
      <c r="CA485" s="935"/>
      <c r="CB485" s="935"/>
      <c r="CC485" s="935"/>
      <c r="CD485" s="935"/>
      <c r="CE485" s="935"/>
      <c r="CF485" s="935"/>
      <c r="CG485" s="935"/>
      <c r="CH485" s="935"/>
      <c r="CI485" s="935"/>
      <c r="CJ485" s="935"/>
      <c r="CK485" s="935"/>
      <c r="CL485" s="935"/>
      <c r="CM485" s="935"/>
      <c r="CN485" s="935"/>
      <c r="CO485" s="935"/>
      <c r="CP485" s="935"/>
      <c r="CQ485" s="935"/>
      <c r="CR485" s="935"/>
      <c r="CS485" s="935"/>
      <c r="CT485" s="935"/>
      <c r="CU485" s="935"/>
      <c r="CV485" s="935"/>
    </row>
    <row r="486" spans="1:100" s="441" customFormat="1">
      <c r="A486" s="375">
        <f t="shared" si="143"/>
        <v>9</v>
      </c>
      <c r="B486" s="862">
        <v>44449</v>
      </c>
      <c r="C486" s="493" t="s">
        <v>2001</v>
      </c>
      <c r="D486" s="376" t="str">
        <f>IFERROR(VLOOKUP(E:E,'Item Data Support Sheet'!A:O,7,0),"")</f>
        <v>NIPPLE PUNCH</v>
      </c>
      <c r="E486" s="447" t="s">
        <v>81</v>
      </c>
      <c r="F486" s="500"/>
      <c r="G486" s="497"/>
      <c r="H486" s="602" t="str">
        <f>IFERROR(VLOOKUP(E:E,'Item Data Support Sheet'!A:O,2,0),"")</f>
        <v>NIPPLE S TYPE M SIZE PUNCHED</v>
      </c>
      <c r="I486" s="501" t="s">
        <v>3039</v>
      </c>
      <c r="J486" s="501" t="s">
        <v>2809</v>
      </c>
      <c r="K486" s="438">
        <v>8</v>
      </c>
      <c r="L486" s="499">
        <v>7000</v>
      </c>
      <c r="M486" s="366">
        <f t="shared" si="158"/>
        <v>875</v>
      </c>
      <c r="N486" s="367">
        <f t="shared" si="142"/>
        <v>6400</v>
      </c>
      <c r="O486" s="61">
        <v>6400</v>
      </c>
      <c r="P486" s="368">
        <v>0</v>
      </c>
      <c r="Q486" s="368">
        <v>0</v>
      </c>
      <c r="R486" s="494">
        <v>0</v>
      </c>
      <c r="S486" s="493">
        <v>0</v>
      </c>
      <c r="T486" s="494">
        <v>0</v>
      </c>
      <c r="U486" s="493">
        <v>0</v>
      </c>
      <c r="V486" s="502">
        <v>1</v>
      </c>
      <c r="W486" s="453">
        <f t="shared" si="144"/>
        <v>6400</v>
      </c>
      <c r="X486" s="748">
        <f t="shared" si="145"/>
        <v>0.91428571428571426</v>
      </c>
      <c r="Y486" s="451" t="str">
        <f>IFERROR(VLOOKUP(E:E,'Item Data Support Sheet'!A:J,6,0),0)</f>
        <v>FO016</v>
      </c>
      <c r="Z486" s="428">
        <f>IFERROR(VLOOKUP(E:E,'Item Data Support Sheet'!A:O,4,0),0)</f>
        <v>0</v>
      </c>
      <c r="AA486" s="428">
        <f t="shared" si="146"/>
        <v>0</v>
      </c>
      <c r="AB486" s="429" t="str">
        <f t="shared" si="147"/>
        <v xml:space="preserve"> </v>
      </c>
      <c r="AC486" s="424">
        <f t="shared" si="148"/>
        <v>0</v>
      </c>
      <c r="AD486" s="371">
        <f t="shared" si="149"/>
        <v>0</v>
      </c>
      <c r="AE486" s="748">
        <f t="shared" si="150"/>
        <v>1</v>
      </c>
      <c r="AF486" s="417">
        <f t="shared" si="151"/>
        <v>0</v>
      </c>
      <c r="AG486" s="416">
        <f t="shared" si="152"/>
        <v>8</v>
      </c>
      <c r="AH486" s="372">
        <f t="shared" si="153"/>
        <v>1</v>
      </c>
      <c r="AI486" s="373">
        <f t="shared" si="154"/>
        <v>800</v>
      </c>
      <c r="AJ486" s="418">
        <f>VLOOKUP(D486,'Standard Cycle time'!C:D,2,0)</f>
        <v>3.5</v>
      </c>
      <c r="AK486" s="418">
        <f t="shared" si="155"/>
        <v>4.5</v>
      </c>
      <c r="AL486" s="374">
        <f t="shared" si="156"/>
        <v>0.77777777777777779</v>
      </c>
      <c r="AM486" s="372">
        <f t="shared" si="157"/>
        <v>0.77777777777777779</v>
      </c>
      <c r="AN486" s="799" t="s">
        <v>3040</v>
      </c>
      <c r="AO486" s="448"/>
      <c r="AP486" s="440">
        <v>0</v>
      </c>
      <c r="AQ486" s="440">
        <v>0</v>
      </c>
      <c r="AR486" s="440">
        <v>0</v>
      </c>
      <c r="AS486" s="440">
        <v>0</v>
      </c>
      <c r="AT486" s="440">
        <v>0</v>
      </c>
      <c r="AU486" s="440">
        <v>0</v>
      </c>
      <c r="AV486" s="440">
        <v>0</v>
      </c>
      <c r="AW486" s="440">
        <v>0</v>
      </c>
      <c r="AX486" s="440">
        <v>0</v>
      </c>
      <c r="AY486" s="440">
        <v>0</v>
      </c>
      <c r="AZ486" s="440">
        <v>0</v>
      </c>
      <c r="BA486" s="440">
        <v>0</v>
      </c>
      <c r="BB486" s="440">
        <v>0</v>
      </c>
      <c r="BC486" s="440">
        <v>0</v>
      </c>
      <c r="BD486" s="440">
        <v>0</v>
      </c>
      <c r="BE486" s="440">
        <v>0</v>
      </c>
      <c r="BF486" s="440">
        <v>0</v>
      </c>
      <c r="BG486" s="440">
        <v>0</v>
      </c>
      <c r="BH486" s="440">
        <v>0</v>
      </c>
      <c r="BI486" s="440">
        <v>0</v>
      </c>
      <c r="BJ486" s="440">
        <v>0</v>
      </c>
      <c r="BK486" s="440">
        <v>0</v>
      </c>
      <c r="BL486" s="440">
        <v>0</v>
      </c>
      <c r="BM486" s="440">
        <v>0</v>
      </c>
      <c r="BN486" s="440">
        <v>0</v>
      </c>
      <c r="BO486" s="440">
        <v>0</v>
      </c>
      <c r="BP486" s="440">
        <v>0</v>
      </c>
      <c r="BQ486" s="440">
        <v>0</v>
      </c>
      <c r="BR486" s="415">
        <v>0</v>
      </c>
      <c r="BS486" s="415">
        <v>0</v>
      </c>
      <c r="BT486" s="935"/>
      <c r="BU486" s="935"/>
      <c r="BV486" s="935"/>
      <c r="BW486" s="935"/>
      <c r="BX486" s="935"/>
      <c r="BY486" s="935"/>
      <c r="BZ486" s="935"/>
      <c r="CA486" s="935"/>
      <c r="CB486" s="935"/>
      <c r="CC486" s="935"/>
      <c r="CD486" s="935"/>
      <c r="CE486" s="935"/>
      <c r="CF486" s="935"/>
      <c r="CG486" s="935"/>
      <c r="CH486" s="935"/>
      <c r="CI486" s="935"/>
      <c r="CJ486" s="935"/>
      <c r="CK486" s="935"/>
      <c r="CL486" s="935"/>
      <c r="CM486" s="935"/>
      <c r="CN486" s="935"/>
      <c r="CO486" s="935"/>
      <c r="CP486" s="935"/>
      <c r="CQ486" s="935"/>
      <c r="CR486" s="935"/>
      <c r="CS486" s="935"/>
      <c r="CT486" s="935"/>
      <c r="CU486" s="935"/>
      <c r="CV486" s="935"/>
    </row>
    <row r="487" spans="1:100" s="441" customFormat="1">
      <c r="A487" s="375">
        <f t="shared" si="143"/>
        <v>9</v>
      </c>
      <c r="B487" s="862">
        <v>44449</v>
      </c>
      <c r="C487" s="493" t="s">
        <v>2001</v>
      </c>
      <c r="D487" s="376" t="str">
        <f>IFERROR(VLOOKUP(E:E,'Item Data Support Sheet'!A:O,7,0),"")</f>
        <v>NIPPLE LASER MARKING</v>
      </c>
      <c r="E487" s="447" t="s">
        <v>1815</v>
      </c>
      <c r="F487" s="500"/>
      <c r="G487" s="497"/>
      <c r="H487" s="602" t="str">
        <f>IFERROR(VLOOKUP(E:E,'Item Data Support Sheet'!A:O,2,0),"")</f>
        <v>NIPPLE S TYPE M SIZE PUNCHED LASER MARKED</v>
      </c>
      <c r="I487" s="501" t="s">
        <v>3030</v>
      </c>
      <c r="J487" s="501" t="s">
        <v>2809</v>
      </c>
      <c r="K487" s="438">
        <v>8</v>
      </c>
      <c r="L487" s="499">
        <v>7000</v>
      </c>
      <c r="M487" s="366">
        <f t="shared" si="158"/>
        <v>875</v>
      </c>
      <c r="N487" s="367">
        <f t="shared" si="142"/>
        <v>6300</v>
      </c>
      <c r="O487" s="61">
        <v>6300</v>
      </c>
      <c r="P487" s="368">
        <v>0</v>
      </c>
      <c r="Q487" s="368">
        <v>0</v>
      </c>
      <c r="R487" s="494">
        <v>0</v>
      </c>
      <c r="S487" s="493">
        <v>0</v>
      </c>
      <c r="T487" s="494">
        <v>0</v>
      </c>
      <c r="U487" s="493">
        <v>0</v>
      </c>
      <c r="V487" s="502">
        <v>1</v>
      </c>
      <c r="W487" s="453">
        <f t="shared" si="144"/>
        <v>6300</v>
      </c>
      <c r="X487" s="748">
        <f t="shared" si="145"/>
        <v>0.9</v>
      </c>
      <c r="Y487" s="451" t="str">
        <f>IFERROR(VLOOKUP(E:E,'Item Data Support Sheet'!A:J,6,0),0)</f>
        <v>FO020</v>
      </c>
      <c r="Z487" s="428">
        <f>IFERROR(VLOOKUP(E:E,'Item Data Support Sheet'!A:O,4,0),0)</f>
        <v>0</v>
      </c>
      <c r="AA487" s="428">
        <f t="shared" si="146"/>
        <v>0</v>
      </c>
      <c r="AB487" s="429" t="str">
        <f t="shared" si="147"/>
        <v xml:space="preserve"> </v>
      </c>
      <c r="AC487" s="424">
        <f t="shared" si="148"/>
        <v>0</v>
      </c>
      <c r="AD487" s="371">
        <f t="shared" si="149"/>
        <v>0</v>
      </c>
      <c r="AE487" s="748">
        <f t="shared" si="150"/>
        <v>1</v>
      </c>
      <c r="AF487" s="417">
        <f t="shared" si="151"/>
        <v>0.66666666666666663</v>
      </c>
      <c r="AG487" s="416">
        <f t="shared" si="152"/>
        <v>7.333333333333333</v>
      </c>
      <c r="AH487" s="372">
        <f t="shared" si="153"/>
        <v>0.91666666666666663</v>
      </c>
      <c r="AI487" s="373">
        <f t="shared" si="154"/>
        <v>787.5</v>
      </c>
      <c r="AJ487" s="418">
        <f>VLOOKUP(D487,'Standard Cycle time'!C:D,2,0)</f>
        <v>3.5</v>
      </c>
      <c r="AK487" s="418">
        <f t="shared" si="155"/>
        <v>4.1904761904761907</v>
      </c>
      <c r="AL487" s="374">
        <f t="shared" si="156"/>
        <v>0.83522727272727271</v>
      </c>
      <c r="AM487" s="372">
        <f t="shared" si="157"/>
        <v>0.765625</v>
      </c>
      <c r="AN487" s="799" t="s">
        <v>3041</v>
      </c>
      <c r="AO487" s="448"/>
      <c r="AP487" s="440">
        <v>40</v>
      </c>
      <c r="AQ487" s="440">
        <v>0</v>
      </c>
      <c r="AR487" s="440">
        <v>0</v>
      </c>
      <c r="AS487" s="440">
        <v>0</v>
      </c>
      <c r="AT487" s="440">
        <v>0</v>
      </c>
      <c r="AU487" s="440">
        <v>0</v>
      </c>
      <c r="AV487" s="440">
        <v>0</v>
      </c>
      <c r="AW487" s="440">
        <v>0</v>
      </c>
      <c r="AX487" s="440">
        <v>0</v>
      </c>
      <c r="AY487" s="440">
        <v>0</v>
      </c>
      <c r="AZ487" s="440">
        <v>0</v>
      </c>
      <c r="BA487" s="440">
        <v>0</v>
      </c>
      <c r="BB487" s="440">
        <v>0</v>
      </c>
      <c r="BC487" s="440">
        <v>0</v>
      </c>
      <c r="BD487" s="440">
        <v>0</v>
      </c>
      <c r="BE487" s="440">
        <v>0</v>
      </c>
      <c r="BF487" s="440">
        <v>0</v>
      </c>
      <c r="BG487" s="440">
        <v>0</v>
      </c>
      <c r="BH487" s="440">
        <v>0</v>
      </c>
      <c r="BI487" s="440">
        <v>0</v>
      </c>
      <c r="BJ487" s="440">
        <v>0</v>
      </c>
      <c r="BK487" s="440">
        <v>0</v>
      </c>
      <c r="BL487" s="440">
        <v>0</v>
      </c>
      <c r="BM487" s="440">
        <v>0</v>
      </c>
      <c r="BN487" s="440">
        <v>0</v>
      </c>
      <c r="BO487" s="440">
        <v>0</v>
      </c>
      <c r="BP487" s="440">
        <v>0</v>
      </c>
      <c r="BQ487" s="440">
        <v>0</v>
      </c>
      <c r="BR487" s="415">
        <v>0.66666666666666663</v>
      </c>
      <c r="BS487" s="415">
        <v>0.6777777777777777</v>
      </c>
      <c r="BT487" s="935"/>
      <c r="BU487" s="935"/>
      <c r="BV487" s="935"/>
      <c r="BW487" s="935"/>
      <c r="BX487" s="935"/>
      <c r="BY487" s="935"/>
      <c r="BZ487" s="935"/>
      <c r="CA487" s="935"/>
      <c r="CB487" s="935"/>
      <c r="CC487" s="935"/>
      <c r="CD487" s="935"/>
      <c r="CE487" s="935"/>
      <c r="CF487" s="935"/>
      <c r="CG487" s="935"/>
      <c r="CH487" s="935"/>
      <c r="CI487" s="935"/>
      <c r="CJ487" s="935"/>
      <c r="CK487" s="935"/>
      <c r="CL487" s="935"/>
      <c r="CM487" s="935"/>
      <c r="CN487" s="935"/>
      <c r="CO487" s="935"/>
      <c r="CP487" s="935"/>
      <c r="CQ487" s="935"/>
      <c r="CR487" s="935"/>
      <c r="CS487" s="935"/>
      <c r="CT487" s="935"/>
      <c r="CU487" s="935"/>
      <c r="CV487" s="935"/>
    </row>
    <row r="488" spans="1:100" s="441" customFormat="1">
      <c r="A488" s="375">
        <f t="shared" si="143"/>
        <v>9</v>
      </c>
      <c r="B488" s="862">
        <v>44449</v>
      </c>
      <c r="C488" s="493" t="s">
        <v>2001</v>
      </c>
      <c r="D488" s="376" t="str">
        <f>IFERROR(VLOOKUP(E:E,'Item Data Support Sheet'!A:O,7,0),"")</f>
        <v>NIPPLE MOLDED</v>
      </c>
      <c r="E488" s="447" t="s">
        <v>73</v>
      </c>
      <c r="F488" s="500" t="s">
        <v>1678</v>
      </c>
      <c r="G488" s="497" t="s">
        <v>1690</v>
      </c>
      <c r="H488" s="602" t="str">
        <f>IFERROR(VLOOKUP(E:E,'Item Data Support Sheet'!A:O,2,0),"")</f>
        <v>NIPPLE S TYPE M SIZE INJECTION</v>
      </c>
      <c r="I488" s="501" t="s">
        <v>3042</v>
      </c>
      <c r="J488" s="501" t="s">
        <v>2809</v>
      </c>
      <c r="K488" s="438">
        <v>8</v>
      </c>
      <c r="L488" s="499">
        <v>4815</v>
      </c>
      <c r="M488" s="366">
        <f t="shared" si="158"/>
        <v>601.875</v>
      </c>
      <c r="N488" s="367">
        <f t="shared" si="142"/>
        <v>5455</v>
      </c>
      <c r="O488" s="61">
        <v>5400</v>
      </c>
      <c r="P488" s="368">
        <v>0</v>
      </c>
      <c r="Q488" s="368">
        <v>0</v>
      </c>
      <c r="R488" s="494">
        <v>0</v>
      </c>
      <c r="S488" s="493">
        <v>0</v>
      </c>
      <c r="T488" s="494">
        <v>55</v>
      </c>
      <c r="U488" s="493">
        <v>0</v>
      </c>
      <c r="V488" s="502">
        <v>1</v>
      </c>
      <c r="W488" s="453">
        <f t="shared" si="144"/>
        <v>5400</v>
      </c>
      <c r="X488" s="748">
        <f t="shared" si="145"/>
        <v>1.1214953271028036</v>
      </c>
      <c r="Y488" s="451" t="str">
        <f>IFERROR(VLOOKUP(E:E,'Item Data Support Sheet'!A:J,6,0),0)</f>
        <v>Silicon</v>
      </c>
      <c r="Z488" s="428">
        <f>IFERROR(VLOOKUP(E:E,'Item Data Support Sheet'!A:O,4,0),0)</f>
        <v>6.8</v>
      </c>
      <c r="AA488" s="428">
        <f t="shared" si="146"/>
        <v>37.094000000000001</v>
      </c>
      <c r="AB488" s="429">
        <f t="shared" si="147"/>
        <v>0.98991750687442703</v>
      </c>
      <c r="AC488" s="424">
        <f t="shared" si="148"/>
        <v>1.0082493125572869E-2</v>
      </c>
      <c r="AD488" s="371">
        <f t="shared" si="149"/>
        <v>0</v>
      </c>
      <c r="AE488" s="748">
        <f t="shared" si="150"/>
        <v>0.98991750687442714</v>
      </c>
      <c r="AF488" s="417">
        <f t="shared" si="151"/>
        <v>0</v>
      </c>
      <c r="AG488" s="416">
        <f t="shared" si="152"/>
        <v>8</v>
      </c>
      <c r="AH488" s="372">
        <f t="shared" si="153"/>
        <v>1</v>
      </c>
      <c r="AI488" s="373">
        <f t="shared" si="154"/>
        <v>675</v>
      </c>
      <c r="AJ488" s="418">
        <f>VLOOKUP(D488,'Standard Cycle time'!C:D,2,0)</f>
        <v>5.25</v>
      </c>
      <c r="AK488" s="418">
        <f t="shared" si="155"/>
        <v>5.333333333333333</v>
      </c>
      <c r="AL488" s="374">
        <f t="shared" si="156"/>
        <v>0.984375</v>
      </c>
      <c r="AM488" s="372">
        <f t="shared" si="157"/>
        <v>0.97445004582951422</v>
      </c>
      <c r="AN488" s="799" t="s">
        <v>3043</v>
      </c>
      <c r="AO488" s="448"/>
      <c r="AP488" s="440">
        <v>0</v>
      </c>
      <c r="AQ488" s="440">
        <v>0</v>
      </c>
      <c r="AR488" s="440">
        <v>0</v>
      </c>
      <c r="AS488" s="440">
        <v>0</v>
      </c>
      <c r="AT488" s="440">
        <v>0</v>
      </c>
      <c r="AU488" s="440">
        <v>0</v>
      </c>
      <c r="AV488" s="440">
        <v>0</v>
      </c>
      <c r="AW488" s="440">
        <v>0</v>
      </c>
      <c r="AX488" s="440">
        <v>0</v>
      </c>
      <c r="AY488" s="440">
        <v>0</v>
      </c>
      <c r="AZ488" s="440">
        <v>0</v>
      </c>
      <c r="BA488" s="440">
        <v>0</v>
      </c>
      <c r="BB488" s="440">
        <v>0</v>
      </c>
      <c r="BC488" s="440">
        <v>0</v>
      </c>
      <c r="BD488" s="440">
        <v>0</v>
      </c>
      <c r="BE488" s="440">
        <v>0</v>
      </c>
      <c r="BF488" s="440">
        <v>0</v>
      </c>
      <c r="BG488" s="440">
        <v>0</v>
      </c>
      <c r="BH488" s="440">
        <v>0</v>
      </c>
      <c r="BI488" s="440">
        <v>0</v>
      </c>
      <c r="BJ488" s="440">
        <v>0</v>
      </c>
      <c r="BK488" s="440">
        <v>0</v>
      </c>
      <c r="BL488" s="440">
        <v>0</v>
      </c>
      <c r="BM488" s="440">
        <v>0</v>
      </c>
      <c r="BN488" s="440">
        <v>0</v>
      </c>
      <c r="BO488" s="440">
        <v>0</v>
      </c>
      <c r="BP488" s="440">
        <v>0</v>
      </c>
      <c r="BQ488" s="440">
        <v>0</v>
      </c>
      <c r="BR488" s="415">
        <v>0</v>
      </c>
      <c r="BS488" s="415">
        <v>0</v>
      </c>
      <c r="BT488" s="935"/>
      <c r="BU488" s="935"/>
      <c r="BV488" s="935"/>
      <c r="BW488" s="935"/>
      <c r="BX488" s="935"/>
      <c r="BY488" s="935"/>
      <c r="BZ488" s="935"/>
      <c r="CA488" s="935"/>
      <c r="CB488" s="935"/>
      <c r="CC488" s="935"/>
      <c r="CD488" s="935"/>
      <c r="CE488" s="935"/>
      <c r="CF488" s="935"/>
      <c r="CG488" s="935"/>
      <c r="CH488" s="935"/>
      <c r="CI488" s="935"/>
      <c r="CJ488" s="935"/>
      <c r="CK488" s="935"/>
      <c r="CL488" s="935"/>
      <c r="CM488" s="935"/>
      <c r="CN488" s="935"/>
      <c r="CO488" s="935"/>
      <c r="CP488" s="935"/>
      <c r="CQ488" s="935"/>
      <c r="CR488" s="935"/>
      <c r="CS488" s="935"/>
      <c r="CT488" s="935"/>
      <c r="CU488" s="935"/>
      <c r="CV488" s="935"/>
    </row>
    <row r="489" spans="1:100" s="441" customFormat="1">
      <c r="A489" s="375">
        <f t="shared" si="143"/>
        <v>9</v>
      </c>
      <c r="B489" s="862">
        <v>44449</v>
      </c>
      <c r="C489" s="493" t="s">
        <v>2001</v>
      </c>
      <c r="D489" s="376" t="str">
        <f>IFERROR(VLOOKUP(E:E,'Item Data Support Sheet'!A:O,7,0),"")</f>
        <v>HOOD MOLDED</v>
      </c>
      <c r="E489" s="447" t="s">
        <v>1987</v>
      </c>
      <c r="F489" s="500"/>
      <c r="G489" s="497"/>
      <c r="H489" s="602" t="str">
        <f>IFERROR(VLOOKUP(E:E,'Item Data Support Sheet'!A:O,2,0),"")</f>
        <v>HOOD S TYPE MOLDED</v>
      </c>
      <c r="I489" s="501" t="s">
        <v>3044</v>
      </c>
      <c r="J489" s="501" t="s">
        <v>2809</v>
      </c>
      <c r="K489" s="438">
        <v>8</v>
      </c>
      <c r="L489" s="499">
        <v>4137</v>
      </c>
      <c r="M489" s="366">
        <f t="shared" si="158"/>
        <v>517.125</v>
      </c>
      <c r="N489" s="367">
        <f t="shared" si="142"/>
        <v>5012</v>
      </c>
      <c r="O489" s="61">
        <v>5000</v>
      </c>
      <c r="P489" s="368">
        <v>0</v>
      </c>
      <c r="Q489" s="368">
        <v>0</v>
      </c>
      <c r="R489" s="494">
        <v>0</v>
      </c>
      <c r="S489" s="493">
        <v>0</v>
      </c>
      <c r="T489" s="494">
        <v>12</v>
      </c>
      <c r="U489" s="493">
        <v>0</v>
      </c>
      <c r="V489" s="502">
        <v>1</v>
      </c>
      <c r="W489" s="453">
        <f t="shared" si="144"/>
        <v>5000</v>
      </c>
      <c r="X489" s="748">
        <f t="shared" si="145"/>
        <v>1.2086052695189751</v>
      </c>
      <c r="Y489" s="451" t="str">
        <f>IFERROR(VLOOKUP(E:E,'Item Data Support Sheet'!A:J,6,0),0)</f>
        <v>HMC</v>
      </c>
      <c r="Z489" s="428">
        <f>IFERROR(VLOOKUP(E:E,'Item Data Support Sheet'!A:O,4,0),0)</f>
        <v>8.6</v>
      </c>
      <c r="AA489" s="428">
        <f t="shared" si="146"/>
        <v>43.103200000000001</v>
      </c>
      <c r="AB489" s="429">
        <f t="shared" si="147"/>
        <v>0.99760574620909814</v>
      </c>
      <c r="AC489" s="424">
        <f t="shared" si="148"/>
        <v>2.3942537909018356E-3</v>
      </c>
      <c r="AD489" s="371">
        <f t="shared" si="149"/>
        <v>0</v>
      </c>
      <c r="AE489" s="748">
        <f t="shared" si="150"/>
        <v>0.99760574620909814</v>
      </c>
      <c r="AF489" s="417">
        <f t="shared" si="151"/>
        <v>0</v>
      </c>
      <c r="AG489" s="416">
        <f t="shared" si="152"/>
        <v>8</v>
      </c>
      <c r="AH489" s="372">
        <f t="shared" si="153"/>
        <v>1</v>
      </c>
      <c r="AI489" s="373">
        <f t="shared" si="154"/>
        <v>625</v>
      </c>
      <c r="AJ489" s="418">
        <f>VLOOKUP(D489,'Standard Cycle time'!C:D,2,0)</f>
        <v>6</v>
      </c>
      <c r="AK489" s="418">
        <f t="shared" si="155"/>
        <v>5.76</v>
      </c>
      <c r="AL489" s="374">
        <f t="shared" si="156"/>
        <v>1.0416666666666667</v>
      </c>
      <c r="AM489" s="372">
        <f t="shared" si="157"/>
        <v>1.039172652301144</v>
      </c>
      <c r="AN489" s="799" t="s">
        <v>3045</v>
      </c>
      <c r="AO489" s="448"/>
      <c r="AP489" s="440">
        <v>0</v>
      </c>
      <c r="AQ489" s="440">
        <v>0</v>
      </c>
      <c r="AR489" s="440">
        <v>0</v>
      </c>
      <c r="AS489" s="440">
        <v>0</v>
      </c>
      <c r="AT489" s="440">
        <v>0</v>
      </c>
      <c r="AU489" s="440">
        <v>0</v>
      </c>
      <c r="AV489" s="440">
        <v>0</v>
      </c>
      <c r="AW489" s="440">
        <v>0</v>
      </c>
      <c r="AX489" s="440">
        <v>0</v>
      </c>
      <c r="AY489" s="440">
        <v>0</v>
      </c>
      <c r="AZ489" s="440">
        <v>0</v>
      </c>
      <c r="BA489" s="440">
        <v>0</v>
      </c>
      <c r="BB489" s="440">
        <v>0</v>
      </c>
      <c r="BC489" s="440">
        <v>0</v>
      </c>
      <c r="BD489" s="440">
        <v>0</v>
      </c>
      <c r="BE489" s="440">
        <v>0</v>
      </c>
      <c r="BF489" s="440">
        <v>0</v>
      </c>
      <c r="BG489" s="440">
        <v>0</v>
      </c>
      <c r="BH489" s="440">
        <v>0</v>
      </c>
      <c r="BI489" s="440">
        <v>0</v>
      </c>
      <c r="BJ489" s="440">
        <v>0</v>
      </c>
      <c r="BK489" s="440">
        <v>0</v>
      </c>
      <c r="BL489" s="440">
        <v>0</v>
      </c>
      <c r="BM489" s="440">
        <v>0</v>
      </c>
      <c r="BN489" s="440">
        <v>0</v>
      </c>
      <c r="BO489" s="440">
        <v>0</v>
      </c>
      <c r="BP489" s="440">
        <v>0</v>
      </c>
      <c r="BQ489" s="440">
        <v>0</v>
      </c>
      <c r="BR489" s="415">
        <v>0</v>
      </c>
      <c r="BS489" s="415">
        <v>0</v>
      </c>
      <c r="BT489" s="935"/>
      <c r="BU489" s="935"/>
      <c r="BV489" s="935"/>
      <c r="BW489" s="935"/>
      <c r="BX489" s="935"/>
      <c r="BY489" s="935"/>
      <c r="BZ489" s="935"/>
      <c r="CA489" s="935"/>
      <c r="CB489" s="935"/>
      <c r="CC489" s="935"/>
      <c r="CD489" s="935"/>
      <c r="CE489" s="935"/>
      <c r="CF489" s="935"/>
      <c r="CG489" s="935"/>
      <c r="CH489" s="935"/>
      <c r="CI489" s="935"/>
      <c r="CJ489" s="935"/>
      <c r="CK489" s="935"/>
      <c r="CL489" s="935"/>
      <c r="CM489" s="935"/>
      <c r="CN489" s="935"/>
      <c r="CO489" s="935"/>
      <c r="CP489" s="935"/>
      <c r="CQ489" s="935"/>
      <c r="CR489" s="935"/>
      <c r="CS489" s="935"/>
      <c r="CT489" s="935"/>
      <c r="CU489" s="935"/>
      <c r="CV489" s="935"/>
    </row>
    <row r="490" spans="1:100" s="441" customFormat="1">
      <c r="A490" s="375">
        <f t="shared" si="143"/>
        <v>9</v>
      </c>
      <c r="B490" s="862">
        <v>44449</v>
      </c>
      <c r="C490" s="493" t="s">
        <v>2001</v>
      </c>
      <c r="D490" s="376" t="str">
        <f>IFERROR(VLOOKUP(E:E,'Item Data Support Sheet'!A:O,7,0),"")</f>
        <v>BOTTLE PRINTED</v>
      </c>
      <c r="E490" s="447" t="s">
        <v>64</v>
      </c>
      <c r="F490" s="500"/>
      <c r="G490" s="497" t="s">
        <v>1698</v>
      </c>
      <c r="H490" s="602" t="str">
        <f>IFERROR(VLOOKUP(E:E,'Item Data Support Sheet'!A:O,2,0),"")</f>
        <v>KPP 240 ML BOTTLE PRINTED</v>
      </c>
      <c r="I490" s="501" t="s">
        <v>3046</v>
      </c>
      <c r="J490" s="501" t="s">
        <v>2809</v>
      </c>
      <c r="K490" s="438">
        <v>8</v>
      </c>
      <c r="L490" s="499">
        <v>5100</v>
      </c>
      <c r="M490" s="366">
        <f t="shared" si="158"/>
        <v>637.5</v>
      </c>
      <c r="N490" s="367">
        <f t="shared" si="142"/>
        <v>2392</v>
      </c>
      <c r="O490" s="61">
        <v>2376</v>
      </c>
      <c r="P490" s="368">
        <v>0</v>
      </c>
      <c r="Q490" s="368">
        <v>0</v>
      </c>
      <c r="R490" s="494">
        <v>18</v>
      </c>
      <c r="S490" s="493">
        <v>0</v>
      </c>
      <c r="T490" s="494">
        <v>16</v>
      </c>
      <c r="U490" s="493">
        <v>0</v>
      </c>
      <c r="V490" s="502">
        <v>6</v>
      </c>
      <c r="W490" s="453">
        <f t="shared" si="144"/>
        <v>396</v>
      </c>
      <c r="X490" s="748">
        <f t="shared" si="145"/>
        <v>0.46588235294117647</v>
      </c>
      <c r="Y490" s="451" t="str">
        <f>IFERROR(VLOOKUP(E:E,'Item Data Support Sheet'!A:J,6,0),0)</f>
        <v>FO003</v>
      </c>
      <c r="Z490" s="428">
        <f>IFERROR(VLOOKUP(E:E,'Item Data Support Sheet'!A:O,4,0),0)</f>
        <v>0</v>
      </c>
      <c r="AA490" s="428">
        <f t="shared" si="146"/>
        <v>0</v>
      </c>
      <c r="AB490" s="429" t="str">
        <f t="shared" si="147"/>
        <v xml:space="preserve"> </v>
      </c>
      <c r="AC490" s="424">
        <f t="shared" si="148"/>
        <v>6.688963210702341E-3</v>
      </c>
      <c r="AD490" s="371">
        <f t="shared" si="149"/>
        <v>0</v>
      </c>
      <c r="AE490" s="748">
        <f t="shared" si="150"/>
        <v>0.99331103678929766</v>
      </c>
      <c r="AF490" s="417">
        <f t="shared" si="151"/>
        <v>4.5</v>
      </c>
      <c r="AG490" s="416">
        <f t="shared" si="152"/>
        <v>3.5</v>
      </c>
      <c r="AH490" s="372">
        <f t="shared" si="153"/>
        <v>0.4375</v>
      </c>
      <c r="AI490" s="373">
        <f t="shared" si="154"/>
        <v>297</v>
      </c>
      <c r="AJ490" s="418">
        <f>VLOOKUP(D490,'Standard Cycle time'!C:D,2,0)</f>
        <v>32.4</v>
      </c>
      <c r="AK490" s="418">
        <f t="shared" si="155"/>
        <v>31.818181818181817</v>
      </c>
      <c r="AL490" s="374">
        <f t="shared" si="156"/>
        <v>1.0182857142857142</v>
      </c>
      <c r="AM490" s="372">
        <f t="shared" si="157"/>
        <v>0.44252006688963208</v>
      </c>
      <c r="AN490" s="799" t="s">
        <v>2874</v>
      </c>
      <c r="AO490" s="448" t="s">
        <v>3047</v>
      </c>
      <c r="AP490" s="440">
        <v>40</v>
      </c>
      <c r="AQ490" s="440">
        <v>0</v>
      </c>
      <c r="AR490" s="440">
        <v>0</v>
      </c>
      <c r="AS490" s="440">
        <v>0</v>
      </c>
      <c r="AT490" s="440">
        <v>0</v>
      </c>
      <c r="AU490" s="440">
        <v>0</v>
      </c>
      <c r="AV490" s="440">
        <v>60</v>
      </c>
      <c r="AW490" s="440">
        <v>170</v>
      </c>
      <c r="AX490" s="440">
        <v>0</v>
      </c>
      <c r="AY490" s="440">
        <v>0</v>
      </c>
      <c r="AZ490" s="440">
        <v>0</v>
      </c>
      <c r="BA490" s="440">
        <v>0</v>
      </c>
      <c r="BB490" s="440">
        <v>0</v>
      </c>
      <c r="BC490" s="440">
        <v>0</v>
      </c>
      <c r="BD490" s="440">
        <v>0</v>
      </c>
      <c r="BE490" s="440">
        <v>0</v>
      </c>
      <c r="BF490" s="440">
        <v>0</v>
      </c>
      <c r="BG490" s="440">
        <v>0</v>
      </c>
      <c r="BH490" s="440">
        <v>0</v>
      </c>
      <c r="BI490" s="440">
        <v>0</v>
      </c>
      <c r="BJ490" s="440">
        <v>0</v>
      </c>
      <c r="BK490" s="440">
        <v>0</v>
      </c>
      <c r="BL490" s="440">
        <v>0</v>
      </c>
      <c r="BM490" s="440">
        <v>0</v>
      </c>
      <c r="BN490" s="440">
        <v>0</v>
      </c>
      <c r="BO490" s="440">
        <v>0</v>
      </c>
      <c r="BP490" s="440">
        <v>0</v>
      </c>
      <c r="BQ490" s="440">
        <v>0</v>
      </c>
      <c r="BR490" s="415">
        <v>4.5</v>
      </c>
      <c r="BS490" s="415">
        <v>4.5750000000000002</v>
      </c>
      <c r="BT490" s="935"/>
      <c r="BU490" s="935"/>
      <c r="BV490" s="935"/>
      <c r="BW490" s="935"/>
      <c r="BX490" s="935"/>
      <c r="BY490" s="935"/>
      <c r="BZ490" s="935"/>
      <c r="CA490" s="935"/>
      <c r="CB490" s="935"/>
      <c r="CC490" s="935"/>
      <c r="CD490" s="935"/>
      <c r="CE490" s="935"/>
      <c r="CF490" s="935"/>
      <c r="CG490" s="935"/>
      <c r="CH490" s="935"/>
      <c r="CI490" s="935"/>
      <c r="CJ490" s="935"/>
      <c r="CK490" s="935"/>
      <c r="CL490" s="935"/>
      <c r="CM490" s="935"/>
      <c r="CN490" s="935"/>
      <c r="CO490" s="935"/>
      <c r="CP490" s="935"/>
      <c r="CQ490" s="935"/>
      <c r="CR490" s="935"/>
      <c r="CS490" s="935"/>
      <c r="CT490" s="935"/>
      <c r="CU490" s="935"/>
      <c r="CV490" s="935"/>
    </row>
    <row r="491" spans="1:100" s="441" customFormat="1">
      <c r="A491" s="375">
        <f t="shared" si="143"/>
        <v>9</v>
      </c>
      <c r="B491" s="862">
        <v>44449</v>
      </c>
      <c r="C491" s="493" t="s">
        <v>2053</v>
      </c>
      <c r="D491" s="376" t="str">
        <f>IFERROR(VLOOKUP(E:E,'Item Data Support Sheet'!A:O,7,0),"")</f>
        <v>NIPPLE MOLDED</v>
      </c>
      <c r="E491" s="447" t="s">
        <v>73</v>
      </c>
      <c r="F491" s="500" t="s">
        <v>1678</v>
      </c>
      <c r="G491" s="497" t="s">
        <v>1690</v>
      </c>
      <c r="H491" s="602" t="str">
        <f>IFERROR(VLOOKUP(E:E,'Item Data Support Sheet'!A:O,2,0),"")</f>
        <v>NIPPLE S TYPE M SIZE INJECTION</v>
      </c>
      <c r="I491" s="501" t="s">
        <v>3048</v>
      </c>
      <c r="J491" s="501" t="s">
        <v>2826</v>
      </c>
      <c r="K491" s="438">
        <v>8</v>
      </c>
      <c r="L491" s="499">
        <v>3600</v>
      </c>
      <c r="M491" s="366">
        <f t="shared" si="158"/>
        <v>450</v>
      </c>
      <c r="N491" s="367">
        <f t="shared" si="142"/>
        <v>2326</v>
      </c>
      <c r="O491" s="61">
        <v>2280</v>
      </c>
      <c r="P491" s="368">
        <v>15.690000000000001</v>
      </c>
      <c r="Q491" s="368">
        <v>21</v>
      </c>
      <c r="R491" s="494">
        <v>0</v>
      </c>
      <c r="S491" s="493">
        <v>0</v>
      </c>
      <c r="T491" s="494">
        <v>17</v>
      </c>
      <c r="U491" s="493">
        <v>8</v>
      </c>
      <c r="V491" s="502">
        <v>1</v>
      </c>
      <c r="W491" s="453">
        <f t="shared" si="144"/>
        <v>2280</v>
      </c>
      <c r="X491" s="748">
        <f t="shared" si="145"/>
        <v>0.6333333333333333</v>
      </c>
      <c r="Y491" s="451" t="str">
        <f>IFERROR(VLOOKUP(E:E,'Item Data Support Sheet'!A:J,6,0),0)</f>
        <v>Silicon</v>
      </c>
      <c r="Z491" s="428">
        <f>IFERROR(VLOOKUP(E:E,'Item Data Support Sheet'!A:O,4,0),0)</f>
        <v>6.8</v>
      </c>
      <c r="AA491" s="428">
        <f t="shared" si="146"/>
        <v>31.506799999999998</v>
      </c>
      <c r="AB491" s="429">
        <f t="shared" si="147"/>
        <v>0.49208424847969329</v>
      </c>
      <c r="AC491" s="424">
        <f t="shared" si="148"/>
        <v>7.4009577710056592E-3</v>
      </c>
      <c r="AD491" s="371">
        <f t="shared" si="149"/>
        <v>8.9475926714955266E-3</v>
      </c>
      <c r="AE491" s="748">
        <f t="shared" si="150"/>
        <v>0.99269131556319867</v>
      </c>
      <c r="AF491" s="417">
        <f t="shared" si="151"/>
        <v>4</v>
      </c>
      <c r="AG491" s="416">
        <f t="shared" si="152"/>
        <v>4</v>
      </c>
      <c r="AH491" s="372">
        <f t="shared" si="153"/>
        <v>0.5</v>
      </c>
      <c r="AI491" s="373">
        <f t="shared" si="154"/>
        <v>285</v>
      </c>
      <c r="AJ491" s="418">
        <f>VLOOKUP(D491,'Standard Cycle time'!C:D,2,0)</f>
        <v>5.25</v>
      </c>
      <c r="AK491" s="418">
        <f t="shared" si="155"/>
        <v>6.3157894736842106</v>
      </c>
      <c r="AL491" s="374">
        <f t="shared" si="156"/>
        <v>0.83124999999999993</v>
      </c>
      <c r="AM491" s="372">
        <f t="shared" si="157"/>
        <v>0.41258732803095444</v>
      </c>
      <c r="AN491" s="799">
        <v>3155</v>
      </c>
      <c r="AO491" s="448" t="s">
        <v>3049</v>
      </c>
      <c r="AP491" s="440">
        <v>0</v>
      </c>
      <c r="AQ491" s="440">
        <v>40</v>
      </c>
      <c r="AR491" s="440">
        <v>0</v>
      </c>
      <c r="AS491" s="440">
        <v>0</v>
      </c>
      <c r="AT491" s="440">
        <v>0</v>
      </c>
      <c r="AU491" s="440">
        <v>0</v>
      </c>
      <c r="AV491" s="440">
        <v>0</v>
      </c>
      <c r="AW491" s="440">
        <v>0</v>
      </c>
      <c r="AX491" s="440">
        <v>0</v>
      </c>
      <c r="AY491" s="440">
        <v>0</v>
      </c>
      <c r="AZ491" s="440">
        <v>0</v>
      </c>
      <c r="BA491" s="440">
        <v>0</v>
      </c>
      <c r="BB491" s="440">
        <v>200</v>
      </c>
      <c r="BC491" s="440">
        <v>0</v>
      </c>
      <c r="BD491" s="440">
        <v>0</v>
      </c>
      <c r="BE491" s="440">
        <v>0</v>
      </c>
      <c r="BF491" s="440">
        <v>0</v>
      </c>
      <c r="BG491" s="440">
        <v>0</v>
      </c>
      <c r="BH491" s="440">
        <v>0</v>
      </c>
      <c r="BI491" s="440">
        <v>0</v>
      </c>
      <c r="BJ491" s="440">
        <v>0</v>
      </c>
      <c r="BK491" s="440">
        <v>0</v>
      </c>
      <c r="BL491" s="440">
        <v>0</v>
      </c>
      <c r="BM491" s="440">
        <v>0</v>
      </c>
      <c r="BN491" s="440">
        <v>0</v>
      </c>
      <c r="BO491" s="440">
        <v>0</v>
      </c>
      <c r="BP491" s="440">
        <v>0</v>
      </c>
      <c r="BQ491" s="440">
        <v>0</v>
      </c>
      <c r="BR491" s="415">
        <v>4</v>
      </c>
      <c r="BS491" s="415">
        <v>4.0666666666666664</v>
      </c>
      <c r="BT491" s="935"/>
      <c r="BU491" s="935"/>
      <c r="BV491" s="935"/>
      <c r="BW491" s="935"/>
      <c r="BX491" s="935"/>
      <c r="BY491" s="935"/>
      <c r="BZ491" s="935"/>
      <c r="CA491" s="935"/>
      <c r="CB491" s="935"/>
      <c r="CC491" s="935"/>
      <c r="CD491" s="935"/>
      <c r="CE491" s="935"/>
      <c r="CF491" s="935"/>
      <c r="CG491" s="935"/>
      <c r="CH491" s="935"/>
      <c r="CI491" s="935"/>
      <c r="CJ491" s="935"/>
      <c r="CK491" s="935"/>
      <c r="CL491" s="935"/>
      <c r="CM491" s="935"/>
      <c r="CN491" s="935"/>
      <c r="CO491" s="935"/>
      <c r="CP491" s="935"/>
      <c r="CQ491" s="935"/>
      <c r="CR491" s="935"/>
      <c r="CS491" s="935"/>
      <c r="CT491" s="935"/>
      <c r="CU491" s="935"/>
      <c r="CV491" s="935"/>
    </row>
    <row r="492" spans="1:100" s="441" customFormat="1">
      <c r="A492" s="375">
        <f t="shared" si="143"/>
        <v>9</v>
      </c>
      <c r="B492" s="862">
        <v>44449</v>
      </c>
      <c r="C492" s="493" t="s">
        <v>2053</v>
      </c>
      <c r="D492" s="376" t="str">
        <f>IFERROR(VLOOKUP(E:E,'Item Data Support Sheet'!A:O,7,0),"")</f>
        <v>HOOD MOLDED</v>
      </c>
      <c r="E492" s="447" t="s">
        <v>1987</v>
      </c>
      <c r="F492" s="500"/>
      <c r="G492" s="497" t="s">
        <v>2729</v>
      </c>
      <c r="H492" s="602" t="str">
        <f>IFERROR(VLOOKUP(E:E,'Item Data Support Sheet'!A:O,2,0),"")</f>
        <v>HOOD S TYPE MOLDED</v>
      </c>
      <c r="I492" s="501" t="s">
        <v>3050</v>
      </c>
      <c r="J492" s="501" t="s">
        <v>2826</v>
      </c>
      <c r="K492" s="438">
        <v>8</v>
      </c>
      <c r="L492" s="499">
        <v>4137</v>
      </c>
      <c r="M492" s="366">
        <f t="shared" si="158"/>
        <v>517.125</v>
      </c>
      <c r="N492" s="367">
        <f t="shared" si="142"/>
        <v>5517</v>
      </c>
      <c r="O492" s="61">
        <v>5500</v>
      </c>
      <c r="P492" s="368">
        <v>0</v>
      </c>
      <c r="Q492" s="368">
        <v>0</v>
      </c>
      <c r="R492" s="494">
        <v>0</v>
      </c>
      <c r="S492" s="493">
        <v>0</v>
      </c>
      <c r="T492" s="494">
        <v>9</v>
      </c>
      <c r="U492" s="493">
        <v>8</v>
      </c>
      <c r="V492" s="502">
        <v>1</v>
      </c>
      <c r="W492" s="453">
        <f t="shared" si="144"/>
        <v>5500</v>
      </c>
      <c r="X492" s="748">
        <f t="shared" si="145"/>
        <v>1.3294657964708727</v>
      </c>
      <c r="Y492" s="451" t="str">
        <f>IFERROR(VLOOKUP(E:E,'Item Data Support Sheet'!A:J,6,0),0)</f>
        <v>HMC</v>
      </c>
      <c r="Z492" s="428">
        <f>IFERROR(VLOOKUP(E:E,'Item Data Support Sheet'!A:O,4,0),0)</f>
        <v>8.6</v>
      </c>
      <c r="AA492" s="428">
        <f t="shared" si="146"/>
        <v>47.446199999999997</v>
      </c>
      <c r="AB492" s="429">
        <f t="shared" si="147"/>
        <v>0.99691861518941449</v>
      </c>
      <c r="AC492" s="424">
        <f t="shared" si="148"/>
        <v>1.6336903249228535E-3</v>
      </c>
      <c r="AD492" s="371">
        <f t="shared" si="149"/>
        <v>0</v>
      </c>
      <c r="AE492" s="748">
        <f t="shared" si="150"/>
        <v>0.99836867862969003</v>
      </c>
      <c r="AF492" s="417">
        <f t="shared" si="151"/>
        <v>0</v>
      </c>
      <c r="AG492" s="416">
        <f t="shared" si="152"/>
        <v>8</v>
      </c>
      <c r="AH492" s="372">
        <f t="shared" si="153"/>
        <v>1</v>
      </c>
      <c r="AI492" s="373">
        <f t="shared" si="154"/>
        <v>687.5</v>
      </c>
      <c r="AJ492" s="418">
        <f>VLOOKUP(D492,'Standard Cycle time'!C:D,2,0)</f>
        <v>6</v>
      </c>
      <c r="AK492" s="418">
        <f t="shared" si="155"/>
        <v>5.2363636363636363</v>
      </c>
      <c r="AL492" s="374">
        <f t="shared" si="156"/>
        <v>1.1458333333333333</v>
      </c>
      <c r="AM492" s="372">
        <f t="shared" si="157"/>
        <v>1.1439641109298531</v>
      </c>
      <c r="AN492" s="799">
        <v>3155</v>
      </c>
      <c r="AO492" s="448"/>
      <c r="AP492" s="440">
        <v>0</v>
      </c>
      <c r="AQ492" s="440">
        <v>0</v>
      </c>
      <c r="AR492" s="440">
        <v>0</v>
      </c>
      <c r="AS492" s="440">
        <v>0</v>
      </c>
      <c r="AT492" s="440">
        <v>0</v>
      </c>
      <c r="AU492" s="440">
        <v>0</v>
      </c>
      <c r="AV492" s="440">
        <v>0</v>
      </c>
      <c r="AW492" s="440">
        <v>0</v>
      </c>
      <c r="AX492" s="440">
        <v>0</v>
      </c>
      <c r="AY492" s="440">
        <v>0</v>
      </c>
      <c r="AZ492" s="440">
        <v>0</v>
      </c>
      <c r="BA492" s="440">
        <v>0</v>
      </c>
      <c r="BB492" s="440">
        <v>0</v>
      </c>
      <c r="BC492" s="440">
        <v>0</v>
      </c>
      <c r="BD492" s="440">
        <v>0</v>
      </c>
      <c r="BE492" s="440">
        <v>0</v>
      </c>
      <c r="BF492" s="440">
        <v>0</v>
      </c>
      <c r="BG492" s="440">
        <v>0</v>
      </c>
      <c r="BH492" s="440">
        <v>0</v>
      </c>
      <c r="BI492" s="440">
        <v>0</v>
      </c>
      <c r="BJ492" s="440">
        <v>0</v>
      </c>
      <c r="BK492" s="440">
        <v>0</v>
      </c>
      <c r="BL492" s="440">
        <v>0</v>
      </c>
      <c r="BM492" s="440">
        <v>0</v>
      </c>
      <c r="BN492" s="440">
        <v>0</v>
      </c>
      <c r="BO492" s="440">
        <v>0</v>
      </c>
      <c r="BP492" s="440">
        <v>0</v>
      </c>
      <c r="BQ492" s="440">
        <v>0</v>
      </c>
      <c r="BR492" s="415">
        <v>0</v>
      </c>
      <c r="BS492" s="415">
        <v>0</v>
      </c>
      <c r="BT492" s="935"/>
      <c r="BU492" s="935"/>
      <c r="BV492" s="935"/>
      <c r="BW492" s="935"/>
      <c r="BX492" s="935"/>
      <c r="BY492" s="935"/>
      <c r="BZ492" s="935"/>
      <c r="CA492" s="935"/>
      <c r="CB492" s="935"/>
      <c r="CC492" s="935"/>
      <c r="CD492" s="935"/>
      <c r="CE492" s="935"/>
      <c r="CF492" s="935"/>
      <c r="CG492" s="935"/>
      <c r="CH492" s="935"/>
      <c r="CI492" s="935"/>
      <c r="CJ492" s="935"/>
      <c r="CK492" s="935"/>
      <c r="CL492" s="935"/>
      <c r="CM492" s="935"/>
      <c r="CN492" s="935"/>
      <c r="CO492" s="935"/>
      <c r="CP492" s="935"/>
      <c r="CQ492" s="935"/>
      <c r="CR492" s="935"/>
      <c r="CS492" s="935"/>
      <c r="CT492" s="935"/>
      <c r="CU492" s="935"/>
      <c r="CV492" s="935"/>
    </row>
    <row r="493" spans="1:100" s="441" customFormat="1">
      <c r="A493" s="375">
        <f t="shared" si="143"/>
        <v>9</v>
      </c>
      <c r="B493" s="862">
        <v>44452</v>
      </c>
      <c r="C493" s="493" t="s">
        <v>1980</v>
      </c>
      <c r="D493" s="376" t="str">
        <f>IFERROR(VLOOKUP(E:E,'Item Data Support Sheet'!A:O,7,0),"")</f>
        <v>BOTTLE MOLDED</v>
      </c>
      <c r="E493" s="447" t="s">
        <v>66</v>
      </c>
      <c r="F493" s="500" t="s">
        <v>1680</v>
      </c>
      <c r="G493" s="497" t="s">
        <v>1665</v>
      </c>
      <c r="H493" s="602" t="str">
        <f>IFERROR(VLOOKUP(E:E,'Item Data Support Sheet'!A:O,2,0),"")</f>
        <v>KPP 200 ML BOTTLE MOLDED</v>
      </c>
      <c r="I493" s="501" t="s">
        <v>3051</v>
      </c>
      <c r="J493" s="501" t="s">
        <v>2809</v>
      </c>
      <c r="K493" s="438">
        <v>8</v>
      </c>
      <c r="L493" s="499">
        <v>2574</v>
      </c>
      <c r="M493" s="366">
        <f t="shared" si="158"/>
        <v>321.75</v>
      </c>
      <c r="N493" s="367">
        <f t="shared" si="142"/>
        <v>2164</v>
      </c>
      <c r="O493" s="61">
        <v>2052</v>
      </c>
      <c r="P493" s="368">
        <v>0.18</v>
      </c>
      <c r="Q493" s="368">
        <v>42</v>
      </c>
      <c r="R493" s="494">
        <v>0</v>
      </c>
      <c r="S493" s="493">
        <v>0</v>
      </c>
      <c r="T493" s="494">
        <v>62</v>
      </c>
      <c r="U493" s="493">
        <v>8</v>
      </c>
      <c r="V493" s="502">
        <v>1</v>
      </c>
      <c r="W493" s="453">
        <f t="shared" si="144"/>
        <v>2052</v>
      </c>
      <c r="X493" s="748">
        <f t="shared" si="145"/>
        <v>0.79720279720279719</v>
      </c>
      <c r="Y493" s="451" t="str">
        <f>IFERROR(VLOOKUP(E:E,'Item Data Support Sheet'!A:J,6,0),0)</f>
        <v>HMC</v>
      </c>
      <c r="Z493" s="428">
        <f>IFERROR(VLOOKUP(E:E,'Item Data Support Sheet'!A:O,4,0),0)</f>
        <v>28.1</v>
      </c>
      <c r="AA493" s="428">
        <f t="shared" si="146"/>
        <v>60.988399999999999</v>
      </c>
      <c r="AB493" s="429">
        <f t="shared" si="147"/>
        <v>0.94544536338057727</v>
      </c>
      <c r="AC493" s="424">
        <f t="shared" si="148"/>
        <v>2.9328287606433301E-2</v>
      </c>
      <c r="AD493" s="371">
        <f t="shared" si="149"/>
        <v>1.9038984587488667E-2</v>
      </c>
      <c r="AE493" s="748">
        <f t="shared" si="150"/>
        <v>0.97134935304990755</v>
      </c>
      <c r="AF493" s="417">
        <f t="shared" si="151"/>
        <v>2.6666666666666665</v>
      </c>
      <c r="AG493" s="416">
        <f t="shared" si="152"/>
        <v>5.3333333333333339</v>
      </c>
      <c r="AH493" s="372">
        <f t="shared" si="153"/>
        <v>0.66666666666666674</v>
      </c>
      <c r="AI493" s="373">
        <f t="shared" si="154"/>
        <v>256.5</v>
      </c>
      <c r="AJ493" s="418">
        <f>VLOOKUP(D493,'Standard Cycle time'!C:D,2,0)</f>
        <v>9</v>
      </c>
      <c r="AK493" s="418">
        <f t="shared" si="155"/>
        <v>9.3567251461988317</v>
      </c>
      <c r="AL493" s="374">
        <f t="shared" si="156"/>
        <v>0.96187499999999992</v>
      </c>
      <c r="AM493" s="372">
        <f t="shared" si="157"/>
        <v>0.62287777264325317</v>
      </c>
      <c r="AN493" s="799" t="s">
        <v>3052</v>
      </c>
      <c r="AO493" s="448" t="s">
        <v>3053</v>
      </c>
      <c r="AP493" s="440">
        <v>0</v>
      </c>
      <c r="AQ493" s="440">
        <v>0</v>
      </c>
      <c r="AR493" s="440">
        <v>100</v>
      </c>
      <c r="AS493" s="440">
        <v>0</v>
      </c>
      <c r="AT493" s="440">
        <v>0</v>
      </c>
      <c r="AU493" s="440">
        <v>0</v>
      </c>
      <c r="AV493" s="440">
        <v>0</v>
      </c>
      <c r="AW493" s="440">
        <v>0</v>
      </c>
      <c r="AX493" s="440">
        <v>0</v>
      </c>
      <c r="AY493" s="440">
        <v>0</v>
      </c>
      <c r="AZ493" s="440">
        <v>0</v>
      </c>
      <c r="BA493" s="440">
        <v>0</v>
      </c>
      <c r="BB493" s="440">
        <v>60</v>
      </c>
      <c r="BC493" s="440">
        <v>0</v>
      </c>
      <c r="BD493" s="440">
        <v>0</v>
      </c>
      <c r="BE493" s="440">
        <v>0</v>
      </c>
      <c r="BF493" s="440">
        <v>0</v>
      </c>
      <c r="BG493" s="440">
        <v>0</v>
      </c>
      <c r="BH493" s="440">
        <v>0</v>
      </c>
      <c r="BI493" s="440">
        <v>0</v>
      </c>
      <c r="BJ493" s="440">
        <v>0</v>
      </c>
      <c r="BK493" s="440">
        <v>0</v>
      </c>
      <c r="BL493" s="440">
        <v>0</v>
      </c>
      <c r="BM493" s="440">
        <v>0</v>
      </c>
      <c r="BN493" s="440">
        <v>0</v>
      </c>
      <c r="BO493" s="440">
        <v>0</v>
      </c>
      <c r="BP493" s="440">
        <v>0</v>
      </c>
      <c r="BQ493" s="440">
        <v>0</v>
      </c>
      <c r="BR493" s="415">
        <v>2.6666666666666665</v>
      </c>
      <c r="BS493" s="415">
        <v>2.7111111111111108</v>
      </c>
      <c r="BT493" s="935"/>
      <c r="BU493" s="935"/>
      <c r="BV493" s="935"/>
      <c r="BW493" s="935"/>
      <c r="BX493" s="935"/>
      <c r="BY493" s="935"/>
      <c r="BZ493" s="935"/>
      <c r="CA493" s="935"/>
      <c r="CB493" s="935"/>
      <c r="CC493" s="935"/>
      <c r="CD493" s="935"/>
      <c r="CE493" s="935"/>
      <c r="CF493" s="935"/>
      <c r="CG493" s="935"/>
      <c r="CH493" s="935"/>
      <c r="CI493" s="935"/>
      <c r="CJ493" s="935"/>
      <c r="CK493" s="935"/>
      <c r="CL493" s="935"/>
      <c r="CM493" s="935"/>
      <c r="CN493" s="935"/>
      <c r="CO493" s="935"/>
      <c r="CP493" s="935"/>
      <c r="CQ493" s="935"/>
      <c r="CR493" s="935"/>
      <c r="CS493" s="935"/>
      <c r="CT493" s="935"/>
      <c r="CU493" s="935"/>
      <c r="CV493" s="935"/>
    </row>
    <row r="494" spans="1:100" s="441" customFormat="1">
      <c r="A494" s="375">
        <f t="shared" si="143"/>
        <v>9</v>
      </c>
      <c r="B494" s="862">
        <v>44452</v>
      </c>
      <c r="C494" s="493" t="s">
        <v>1980</v>
      </c>
      <c r="D494" s="376" t="str">
        <f>IFERROR(VLOOKUP(E:E,'Item Data Support Sheet'!A:O,7,0),"")</f>
        <v>HOOD MOLDED</v>
      </c>
      <c r="E494" s="447" t="s">
        <v>1987</v>
      </c>
      <c r="F494" s="500"/>
      <c r="G494" s="497" t="s">
        <v>2729</v>
      </c>
      <c r="H494" s="602" t="str">
        <f>IFERROR(VLOOKUP(E:E,'Item Data Support Sheet'!A:O,2,0),"")</f>
        <v>HOOD S TYPE MOLDED</v>
      </c>
      <c r="I494" s="501" t="s">
        <v>3054</v>
      </c>
      <c r="J494" s="501" t="s">
        <v>2809</v>
      </c>
      <c r="K494" s="438">
        <v>8</v>
      </c>
      <c r="L494" s="499">
        <v>4137</v>
      </c>
      <c r="M494" s="366">
        <f t="shared" si="158"/>
        <v>517.125</v>
      </c>
      <c r="N494" s="367">
        <f t="shared" si="142"/>
        <v>4514</v>
      </c>
      <c r="O494" s="61">
        <v>4500</v>
      </c>
      <c r="P494" s="368">
        <v>0.11</v>
      </c>
      <c r="Q494" s="368">
        <v>0</v>
      </c>
      <c r="R494" s="494">
        <v>0</v>
      </c>
      <c r="S494" s="493">
        <v>0</v>
      </c>
      <c r="T494" s="494">
        <v>6</v>
      </c>
      <c r="U494" s="493">
        <v>8</v>
      </c>
      <c r="V494" s="502">
        <v>1</v>
      </c>
      <c r="W494" s="453">
        <f t="shared" si="144"/>
        <v>4500</v>
      </c>
      <c r="X494" s="748">
        <f t="shared" si="145"/>
        <v>1.0877447425670776</v>
      </c>
      <c r="Y494" s="451" t="str">
        <f>IFERROR(VLOOKUP(E:E,'Item Data Support Sheet'!A:J,6,0),0)</f>
        <v>HMC</v>
      </c>
      <c r="Z494" s="428">
        <f>IFERROR(VLOOKUP(E:E,'Item Data Support Sheet'!A:O,4,0),0)</f>
        <v>8.6</v>
      </c>
      <c r="AA494" s="428">
        <f t="shared" si="146"/>
        <v>38.930399999999999</v>
      </c>
      <c r="AB494" s="429">
        <f t="shared" si="147"/>
        <v>0.99408174588496401</v>
      </c>
      <c r="AC494" s="424">
        <f t="shared" si="148"/>
        <v>1.3315579227696406E-3</v>
      </c>
      <c r="AD494" s="371">
        <f t="shared" si="149"/>
        <v>0</v>
      </c>
      <c r="AE494" s="748">
        <f t="shared" si="150"/>
        <v>0.99867080194949043</v>
      </c>
      <c r="AF494" s="417">
        <f t="shared" si="151"/>
        <v>0.5</v>
      </c>
      <c r="AG494" s="416">
        <f t="shared" si="152"/>
        <v>7.5</v>
      </c>
      <c r="AH494" s="372">
        <f t="shared" si="153"/>
        <v>0.9375</v>
      </c>
      <c r="AI494" s="373">
        <f t="shared" si="154"/>
        <v>562.5</v>
      </c>
      <c r="AJ494" s="418">
        <f>VLOOKUP(D494,'Standard Cycle time'!C:D,2,0)</f>
        <v>6</v>
      </c>
      <c r="AK494" s="418">
        <f t="shared" si="155"/>
        <v>6</v>
      </c>
      <c r="AL494" s="374">
        <f t="shared" si="156"/>
        <v>1</v>
      </c>
      <c r="AM494" s="372">
        <f t="shared" si="157"/>
        <v>0.93625387682764727</v>
      </c>
      <c r="AN494" s="799">
        <v>3162</v>
      </c>
      <c r="AO494" s="448"/>
      <c r="AP494" s="440">
        <v>0</v>
      </c>
      <c r="AQ494" s="440">
        <v>0</v>
      </c>
      <c r="AR494" s="440">
        <v>0</v>
      </c>
      <c r="AS494" s="440">
        <v>0</v>
      </c>
      <c r="AT494" s="440">
        <v>0</v>
      </c>
      <c r="AU494" s="440">
        <v>0</v>
      </c>
      <c r="AV494" s="440">
        <v>0</v>
      </c>
      <c r="AW494" s="440">
        <v>0</v>
      </c>
      <c r="AX494" s="440">
        <v>0</v>
      </c>
      <c r="AY494" s="440">
        <v>0</v>
      </c>
      <c r="AZ494" s="440">
        <v>0</v>
      </c>
      <c r="BA494" s="440">
        <v>0</v>
      </c>
      <c r="BB494" s="440">
        <v>30</v>
      </c>
      <c r="BC494" s="440">
        <v>0</v>
      </c>
      <c r="BD494" s="440">
        <v>0</v>
      </c>
      <c r="BE494" s="440">
        <v>0</v>
      </c>
      <c r="BF494" s="440">
        <v>0</v>
      </c>
      <c r="BG494" s="440">
        <v>0</v>
      </c>
      <c r="BH494" s="440">
        <v>0</v>
      </c>
      <c r="BI494" s="440">
        <v>0</v>
      </c>
      <c r="BJ494" s="440">
        <v>0</v>
      </c>
      <c r="BK494" s="440">
        <v>0</v>
      </c>
      <c r="BL494" s="440">
        <v>0</v>
      </c>
      <c r="BM494" s="440">
        <v>0</v>
      </c>
      <c r="BN494" s="440">
        <v>0</v>
      </c>
      <c r="BO494" s="440">
        <v>0</v>
      </c>
      <c r="BP494" s="440">
        <v>0</v>
      </c>
      <c r="BQ494" s="440">
        <v>0</v>
      </c>
      <c r="BR494" s="415">
        <v>0.5</v>
      </c>
      <c r="BS494" s="415">
        <v>0.5083333333333333</v>
      </c>
      <c r="BT494" s="935"/>
      <c r="BU494" s="935"/>
      <c r="BV494" s="935"/>
      <c r="BW494" s="935"/>
      <c r="BX494" s="935"/>
      <c r="BY494" s="935"/>
      <c r="BZ494" s="935"/>
      <c r="CA494" s="935"/>
      <c r="CB494" s="935"/>
      <c r="CC494" s="935"/>
      <c r="CD494" s="935"/>
      <c r="CE494" s="935"/>
      <c r="CF494" s="935"/>
      <c r="CG494" s="935"/>
      <c r="CH494" s="935"/>
      <c r="CI494" s="935"/>
      <c r="CJ494" s="935"/>
      <c r="CK494" s="935"/>
      <c r="CL494" s="935"/>
      <c r="CM494" s="935"/>
      <c r="CN494" s="935"/>
      <c r="CO494" s="935"/>
      <c r="CP494" s="935"/>
      <c r="CQ494" s="935"/>
      <c r="CR494" s="935"/>
      <c r="CS494" s="935"/>
      <c r="CT494" s="935"/>
      <c r="CU494" s="935"/>
      <c r="CV494" s="935"/>
    </row>
    <row r="495" spans="1:100" s="441" customFormat="1">
      <c r="A495" s="375">
        <f t="shared" si="143"/>
        <v>9</v>
      </c>
      <c r="B495" s="862">
        <v>44452</v>
      </c>
      <c r="C495" s="493" t="s">
        <v>1980</v>
      </c>
      <c r="D495" s="376" t="str">
        <f>IFERROR(VLOOKUP(E:E,'Item Data Support Sheet'!A:O,7,0),"")</f>
        <v>NIPPLE PUNCH</v>
      </c>
      <c r="E495" s="447" t="s">
        <v>81</v>
      </c>
      <c r="F495" s="500"/>
      <c r="G495" s="497" t="s">
        <v>1692</v>
      </c>
      <c r="H495" s="602" t="str">
        <f>IFERROR(VLOOKUP(E:E,'Item Data Support Sheet'!A:O,2,0),"")</f>
        <v>NIPPLE S TYPE M SIZE PUNCHED</v>
      </c>
      <c r="I495" s="501" t="s">
        <v>3055</v>
      </c>
      <c r="J495" s="501" t="s">
        <v>2809</v>
      </c>
      <c r="K495" s="438">
        <v>8</v>
      </c>
      <c r="L495" s="499">
        <v>7000</v>
      </c>
      <c r="M495" s="366">
        <f t="shared" si="158"/>
        <v>875</v>
      </c>
      <c r="N495" s="367">
        <f t="shared" si="142"/>
        <v>7200</v>
      </c>
      <c r="O495" s="61">
        <v>7200</v>
      </c>
      <c r="P495" s="368">
        <v>0</v>
      </c>
      <c r="Q495" s="368">
        <v>0</v>
      </c>
      <c r="R495" s="494">
        <v>0</v>
      </c>
      <c r="S495" s="493">
        <v>0</v>
      </c>
      <c r="T495" s="494">
        <v>0</v>
      </c>
      <c r="U495" s="493">
        <v>0</v>
      </c>
      <c r="V495" s="502">
        <v>1</v>
      </c>
      <c r="W495" s="453">
        <f t="shared" si="144"/>
        <v>7200</v>
      </c>
      <c r="X495" s="748">
        <f t="shared" si="145"/>
        <v>1.0285714285714285</v>
      </c>
      <c r="Y495" s="451" t="str">
        <f>IFERROR(VLOOKUP(E:E,'Item Data Support Sheet'!A:J,6,0),0)</f>
        <v>FO016</v>
      </c>
      <c r="Z495" s="428">
        <f>IFERROR(VLOOKUP(E:E,'Item Data Support Sheet'!A:O,4,0),0)</f>
        <v>0</v>
      </c>
      <c r="AA495" s="428">
        <f t="shared" si="146"/>
        <v>0</v>
      </c>
      <c r="AB495" s="429" t="str">
        <f t="shared" si="147"/>
        <v xml:space="preserve"> </v>
      </c>
      <c r="AC495" s="424">
        <f t="shared" si="148"/>
        <v>0</v>
      </c>
      <c r="AD495" s="371">
        <f t="shared" si="149"/>
        <v>0</v>
      </c>
      <c r="AE495" s="748">
        <f t="shared" si="150"/>
        <v>1</v>
      </c>
      <c r="AF495" s="417">
        <f t="shared" si="151"/>
        <v>0.66666666666666663</v>
      </c>
      <c r="AG495" s="416">
        <f t="shared" si="152"/>
        <v>7.333333333333333</v>
      </c>
      <c r="AH495" s="372">
        <f t="shared" si="153"/>
        <v>0.91666666666666663</v>
      </c>
      <c r="AI495" s="373">
        <f t="shared" si="154"/>
        <v>900</v>
      </c>
      <c r="AJ495" s="418">
        <f>VLOOKUP(D495,'Standard Cycle time'!C:D,2,0)</f>
        <v>3.5</v>
      </c>
      <c r="AK495" s="418">
        <f t="shared" si="155"/>
        <v>3.6666666666666665</v>
      </c>
      <c r="AL495" s="374">
        <f t="shared" si="156"/>
        <v>0.95454545454545459</v>
      </c>
      <c r="AM495" s="372">
        <f t="shared" si="157"/>
        <v>0.875</v>
      </c>
      <c r="AN495" s="799" t="s">
        <v>3056</v>
      </c>
      <c r="AO495" s="448"/>
      <c r="AP495" s="440">
        <v>40</v>
      </c>
      <c r="AQ495" s="440">
        <v>0</v>
      </c>
      <c r="AR495" s="440">
        <v>0</v>
      </c>
      <c r="AS495" s="440">
        <v>0</v>
      </c>
      <c r="AT495" s="440">
        <v>0</v>
      </c>
      <c r="AU495" s="440">
        <v>0</v>
      </c>
      <c r="AV495" s="440">
        <v>0</v>
      </c>
      <c r="AW495" s="440">
        <v>0</v>
      </c>
      <c r="AX495" s="440">
        <v>0</v>
      </c>
      <c r="AY495" s="440">
        <v>0</v>
      </c>
      <c r="AZ495" s="440">
        <v>0</v>
      </c>
      <c r="BA495" s="440">
        <v>0</v>
      </c>
      <c r="BB495" s="440">
        <v>0</v>
      </c>
      <c r="BC495" s="440">
        <v>0</v>
      </c>
      <c r="BD495" s="440">
        <v>0</v>
      </c>
      <c r="BE495" s="440">
        <v>0</v>
      </c>
      <c r="BF495" s="440">
        <v>0</v>
      </c>
      <c r="BG495" s="440">
        <v>0</v>
      </c>
      <c r="BH495" s="440">
        <v>0</v>
      </c>
      <c r="BI495" s="440">
        <v>0</v>
      </c>
      <c r="BJ495" s="440">
        <v>0</v>
      </c>
      <c r="BK495" s="440">
        <v>0</v>
      </c>
      <c r="BL495" s="440">
        <v>0</v>
      </c>
      <c r="BM495" s="440">
        <v>0</v>
      </c>
      <c r="BN495" s="440">
        <v>0</v>
      </c>
      <c r="BO495" s="440">
        <v>0</v>
      </c>
      <c r="BP495" s="440">
        <v>0</v>
      </c>
      <c r="BQ495" s="440">
        <v>0</v>
      </c>
      <c r="BR495" s="415">
        <v>0.66666666666666663</v>
      </c>
      <c r="BS495" s="415">
        <v>0.6777777777777777</v>
      </c>
      <c r="BT495" s="935"/>
      <c r="BU495" s="935"/>
      <c r="BV495" s="935"/>
      <c r="BW495" s="935"/>
      <c r="BX495" s="935"/>
      <c r="BY495" s="935"/>
      <c r="BZ495" s="935"/>
      <c r="CA495" s="935"/>
      <c r="CB495" s="935"/>
      <c r="CC495" s="935"/>
      <c r="CD495" s="935"/>
      <c r="CE495" s="935"/>
      <c r="CF495" s="935"/>
      <c r="CG495" s="935"/>
      <c r="CH495" s="935"/>
      <c r="CI495" s="935"/>
      <c r="CJ495" s="935"/>
      <c r="CK495" s="935"/>
      <c r="CL495" s="935"/>
      <c r="CM495" s="935"/>
      <c r="CN495" s="935"/>
      <c r="CO495" s="935"/>
      <c r="CP495" s="935"/>
      <c r="CQ495" s="935"/>
      <c r="CR495" s="935"/>
      <c r="CS495" s="935"/>
      <c r="CT495" s="935"/>
      <c r="CU495" s="935"/>
      <c r="CV495" s="935"/>
    </row>
    <row r="496" spans="1:100" s="441" customFormat="1">
      <c r="A496" s="375">
        <f t="shared" si="143"/>
        <v>9</v>
      </c>
      <c r="B496" s="862">
        <v>44452</v>
      </c>
      <c r="C496" s="493" t="s">
        <v>1980</v>
      </c>
      <c r="D496" s="376" t="str">
        <f>IFERROR(VLOOKUP(E:E,'Item Data Support Sheet'!A:O,7,0),"")</f>
        <v>NIPPLE LASER MARKING</v>
      </c>
      <c r="E496" s="447" t="s">
        <v>1815</v>
      </c>
      <c r="F496" s="500"/>
      <c r="G496" s="497" t="s">
        <v>1812</v>
      </c>
      <c r="H496" s="602" t="str">
        <f>IFERROR(VLOOKUP(E:E,'Item Data Support Sheet'!A:O,2,0),"")</f>
        <v>NIPPLE S TYPE M SIZE PUNCHED LASER MARKED</v>
      </c>
      <c r="I496" s="501" t="s">
        <v>3057</v>
      </c>
      <c r="J496" s="501" t="s">
        <v>2809</v>
      </c>
      <c r="K496" s="438">
        <v>8</v>
      </c>
      <c r="L496" s="499">
        <v>7000</v>
      </c>
      <c r="M496" s="366">
        <f t="shared" si="158"/>
        <v>875</v>
      </c>
      <c r="N496" s="367">
        <f t="shared" si="142"/>
        <v>6600</v>
      </c>
      <c r="O496" s="61">
        <v>6600</v>
      </c>
      <c r="P496" s="368">
        <v>0</v>
      </c>
      <c r="Q496" s="368">
        <v>0</v>
      </c>
      <c r="R496" s="494">
        <v>0</v>
      </c>
      <c r="S496" s="493">
        <v>0</v>
      </c>
      <c r="T496" s="494">
        <v>0</v>
      </c>
      <c r="U496" s="493">
        <v>0</v>
      </c>
      <c r="V496" s="502">
        <v>1</v>
      </c>
      <c r="W496" s="453">
        <f t="shared" si="144"/>
        <v>6600</v>
      </c>
      <c r="X496" s="748">
        <f t="shared" si="145"/>
        <v>0.94285714285714284</v>
      </c>
      <c r="Y496" s="451" t="str">
        <f>IFERROR(VLOOKUP(E:E,'Item Data Support Sheet'!A:J,6,0),0)</f>
        <v>FO020</v>
      </c>
      <c r="Z496" s="428">
        <f>IFERROR(VLOOKUP(E:E,'Item Data Support Sheet'!A:O,4,0),0)</f>
        <v>0</v>
      </c>
      <c r="AA496" s="428">
        <f t="shared" si="146"/>
        <v>0</v>
      </c>
      <c r="AB496" s="429" t="str">
        <f t="shared" si="147"/>
        <v xml:space="preserve"> </v>
      </c>
      <c r="AC496" s="424">
        <f t="shared" si="148"/>
        <v>0</v>
      </c>
      <c r="AD496" s="371">
        <f t="shared" si="149"/>
        <v>0</v>
      </c>
      <c r="AE496" s="748">
        <f t="shared" si="150"/>
        <v>1</v>
      </c>
      <c r="AF496" s="417">
        <f t="shared" si="151"/>
        <v>1.0833333333333333</v>
      </c>
      <c r="AG496" s="416">
        <f t="shared" si="152"/>
        <v>6.916666666666667</v>
      </c>
      <c r="AH496" s="372">
        <f t="shared" si="153"/>
        <v>0.86458333333333337</v>
      </c>
      <c r="AI496" s="373">
        <f t="shared" si="154"/>
        <v>825</v>
      </c>
      <c r="AJ496" s="418">
        <f>VLOOKUP(D496,'Standard Cycle time'!C:D,2,0)</f>
        <v>3.5</v>
      </c>
      <c r="AK496" s="418">
        <f t="shared" si="155"/>
        <v>3.7727272727272729</v>
      </c>
      <c r="AL496" s="374">
        <f t="shared" si="156"/>
        <v>0.92771084337349397</v>
      </c>
      <c r="AM496" s="372">
        <f t="shared" si="157"/>
        <v>0.80208333333333337</v>
      </c>
      <c r="AN496" s="799" t="s">
        <v>3058</v>
      </c>
      <c r="AO496" s="448" t="s">
        <v>3059</v>
      </c>
      <c r="AP496" s="440">
        <v>40</v>
      </c>
      <c r="AQ496" s="440">
        <v>0</v>
      </c>
      <c r="AR496" s="440">
        <v>0</v>
      </c>
      <c r="AS496" s="440">
        <v>25</v>
      </c>
      <c r="AT496" s="440">
        <v>0</v>
      </c>
      <c r="AU496" s="440">
        <v>0</v>
      </c>
      <c r="AV496" s="440">
        <v>0</v>
      </c>
      <c r="AW496" s="440">
        <v>0</v>
      </c>
      <c r="AX496" s="440">
        <v>0</v>
      </c>
      <c r="AY496" s="440">
        <v>0</v>
      </c>
      <c r="AZ496" s="440">
        <v>0</v>
      </c>
      <c r="BA496" s="440">
        <v>0</v>
      </c>
      <c r="BB496" s="440">
        <v>0</v>
      </c>
      <c r="BC496" s="440">
        <v>0</v>
      </c>
      <c r="BD496" s="440">
        <v>0</v>
      </c>
      <c r="BE496" s="440">
        <v>0</v>
      </c>
      <c r="BF496" s="440">
        <v>0</v>
      </c>
      <c r="BG496" s="440">
        <v>0</v>
      </c>
      <c r="BH496" s="440">
        <v>0</v>
      </c>
      <c r="BI496" s="440">
        <v>0</v>
      </c>
      <c r="BJ496" s="440">
        <v>0</v>
      </c>
      <c r="BK496" s="440">
        <v>0</v>
      </c>
      <c r="BL496" s="440">
        <v>0</v>
      </c>
      <c r="BM496" s="440">
        <v>0</v>
      </c>
      <c r="BN496" s="440">
        <v>0</v>
      </c>
      <c r="BO496" s="440">
        <v>0</v>
      </c>
      <c r="BP496" s="440">
        <v>0</v>
      </c>
      <c r="BQ496" s="440">
        <v>0</v>
      </c>
      <c r="BR496" s="415">
        <v>1.0833333333333333</v>
      </c>
      <c r="BS496" s="415">
        <v>1.1013888888888888</v>
      </c>
      <c r="BT496" s="935"/>
      <c r="BU496" s="935"/>
      <c r="BV496" s="935"/>
      <c r="BW496" s="935"/>
      <c r="BX496" s="935"/>
      <c r="BY496" s="935"/>
      <c r="BZ496" s="935"/>
      <c r="CA496" s="935"/>
      <c r="CB496" s="935"/>
      <c r="CC496" s="935"/>
      <c r="CD496" s="935"/>
      <c r="CE496" s="935"/>
      <c r="CF496" s="935"/>
      <c r="CG496" s="935"/>
      <c r="CH496" s="935"/>
      <c r="CI496" s="935"/>
      <c r="CJ496" s="935"/>
      <c r="CK496" s="935"/>
      <c r="CL496" s="935"/>
      <c r="CM496" s="935"/>
      <c r="CN496" s="935"/>
      <c r="CO496" s="935"/>
      <c r="CP496" s="935"/>
      <c r="CQ496" s="935"/>
      <c r="CR496" s="935"/>
      <c r="CS496" s="935"/>
      <c r="CT496" s="935"/>
      <c r="CU496" s="935"/>
      <c r="CV496" s="935"/>
    </row>
    <row r="497" spans="1:100" s="441" customFormat="1">
      <c r="A497" s="375">
        <f t="shared" si="143"/>
        <v>9</v>
      </c>
      <c r="B497" s="862">
        <v>44452</v>
      </c>
      <c r="C497" s="493" t="s">
        <v>1980</v>
      </c>
      <c r="D497" s="376" t="str">
        <f>IFERROR(VLOOKUP(E:E,'Item Data Support Sheet'!A:O,7,0),"")</f>
        <v>BOTTLE PRINTED</v>
      </c>
      <c r="E497" s="447" t="s">
        <v>64</v>
      </c>
      <c r="F497" s="500"/>
      <c r="G497" s="497"/>
      <c r="H497" s="602" t="str">
        <f>IFERROR(VLOOKUP(E:E,'Item Data Support Sheet'!A:O,2,0),"")</f>
        <v>KPP 240 ML BOTTLE PRINTED</v>
      </c>
      <c r="I497" s="501" t="s">
        <v>3060</v>
      </c>
      <c r="J497" s="501" t="s">
        <v>2813</v>
      </c>
      <c r="K497" s="438">
        <v>8</v>
      </c>
      <c r="L497" s="499">
        <v>5100</v>
      </c>
      <c r="M497" s="366">
        <f t="shared" si="158"/>
        <v>637.5</v>
      </c>
      <c r="N497" s="367">
        <f t="shared" si="142"/>
        <v>4047</v>
      </c>
      <c r="O497" s="61">
        <v>3996</v>
      </c>
      <c r="P497" s="368">
        <v>0</v>
      </c>
      <c r="Q497" s="368">
        <v>0</v>
      </c>
      <c r="R497" s="494">
        <v>31</v>
      </c>
      <c r="S497" s="493">
        <v>0</v>
      </c>
      <c r="T497" s="494">
        <v>51</v>
      </c>
      <c r="U497" s="493">
        <v>0</v>
      </c>
      <c r="V497" s="502">
        <v>6</v>
      </c>
      <c r="W497" s="453">
        <f t="shared" si="144"/>
        <v>666</v>
      </c>
      <c r="X497" s="748">
        <f t="shared" si="145"/>
        <v>0.78352941176470592</v>
      </c>
      <c r="Y497" s="451" t="str">
        <f>IFERROR(VLOOKUP(E:E,'Item Data Support Sheet'!A:J,6,0),0)</f>
        <v>FO003</v>
      </c>
      <c r="Z497" s="428">
        <f>IFERROR(VLOOKUP(E:E,'Item Data Support Sheet'!A:O,4,0),0)</f>
        <v>0</v>
      </c>
      <c r="AA497" s="428">
        <f t="shared" si="146"/>
        <v>0</v>
      </c>
      <c r="AB497" s="429" t="str">
        <f t="shared" si="147"/>
        <v xml:space="preserve"> </v>
      </c>
      <c r="AC497" s="424">
        <f t="shared" si="148"/>
        <v>1.2601927353595256E-2</v>
      </c>
      <c r="AD497" s="371">
        <f t="shared" si="149"/>
        <v>0</v>
      </c>
      <c r="AE497" s="748">
        <f t="shared" si="150"/>
        <v>0.98739807264640478</v>
      </c>
      <c r="AF497" s="417">
        <f t="shared" si="151"/>
        <v>2.3333333333333335</v>
      </c>
      <c r="AG497" s="416">
        <f t="shared" si="152"/>
        <v>5.6666666666666661</v>
      </c>
      <c r="AH497" s="372">
        <f t="shared" si="153"/>
        <v>0.70833333333333326</v>
      </c>
      <c r="AI497" s="373">
        <f t="shared" si="154"/>
        <v>499.5</v>
      </c>
      <c r="AJ497" s="418">
        <f>VLOOKUP(D497,'Standard Cycle time'!C:D,2,0)</f>
        <v>32.4</v>
      </c>
      <c r="AK497" s="418">
        <f t="shared" si="155"/>
        <v>30.63063063063063</v>
      </c>
      <c r="AL497" s="374">
        <f t="shared" si="156"/>
        <v>1.0577647058823529</v>
      </c>
      <c r="AM497" s="372">
        <f t="shared" si="157"/>
        <v>0.7398080059303187</v>
      </c>
      <c r="AN497" s="799" t="s">
        <v>3061</v>
      </c>
      <c r="AO497" s="448" t="s">
        <v>3062</v>
      </c>
      <c r="AP497" s="440">
        <v>40</v>
      </c>
      <c r="AQ497" s="440">
        <v>0</v>
      </c>
      <c r="AR497" s="440">
        <v>0</v>
      </c>
      <c r="AS497" s="440">
        <v>0</v>
      </c>
      <c r="AT497" s="440">
        <v>100</v>
      </c>
      <c r="AU497" s="440">
        <v>0</v>
      </c>
      <c r="AV497" s="440">
        <v>0</v>
      </c>
      <c r="AW497" s="440">
        <v>0</v>
      </c>
      <c r="AX497" s="440">
        <v>0</v>
      </c>
      <c r="AY497" s="440">
        <v>0</v>
      </c>
      <c r="AZ497" s="440">
        <v>0</v>
      </c>
      <c r="BA497" s="440">
        <v>0</v>
      </c>
      <c r="BB497" s="440">
        <v>0</v>
      </c>
      <c r="BC497" s="440">
        <v>0</v>
      </c>
      <c r="BD497" s="440">
        <v>0</v>
      </c>
      <c r="BE497" s="440">
        <v>0</v>
      </c>
      <c r="BF497" s="440">
        <v>0</v>
      </c>
      <c r="BG497" s="440">
        <v>0</v>
      </c>
      <c r="BH497" s="440">
        <v>0</v>
      </c>
      <c r="BI497" s="440">
        <v>0</v>
      </c>
      <c r="BJ497" s="440">
        <v>0</v>
      </c>
      <c r="BK497" s="440">
        <v>0</v>
      </c>
      <c r="BL497" s="440">
        <v>0</v>
      </c>
      <c r="BM497" s="440">
        <v>0</v>
      </c>
      <c r="BN497" s="440">
        <v>0</v>
      </c>
      <c r="BO497" s="440">
        <v>0</v>
      </c>
      <c r="BP497" s="440">
        <v>0</v>
      </c>
      <c r="BQ497" s="440">
        <v>0</v>
      </c>
      <c r="BR497" s="415">
        <v>2.3333333333333335</v>
      </c>
      <c r="BS497" s="415">
        <v>2.3722222222222222</v>
      </c>
      <c r="BT497" s="935"/>
      <c r="BU497" s="935"/>
      <c r="BV497" s="935"/>
      <c r="BW497" s="935"/>
      <c r="BX497" s="935"/>
      <c r="BY497" s="935"/>
      <c r="BZ497" s="935"/>
      <c r="CA497" s="935"/>
      <c r="CB497" s="935"/>
      <c r="CC497" s="935"/>
      <c r="CD497" s="935"/>
      <c r="CE497" s="935"/>
      <c r="CF497" s="935"/>
      <c r="CG497" s="935"/>
      <c r="CH497" s="935"/>
      <c r="CI497" s="935"/>
      <c r="CJ497" s="935"/>
      <c r="CK497" s="935"/>
      <c r="CL497" s="935"/>
      <c r="CM497" s="935"/>
      <c r="CN497" s="935"/>
      <c r="CO497" s="935"/>
      <c r="CP497" s="935"/>
      <c r="CQ497" s="935"/>
      <c r="CR497" s="935"/>
      <c r="CS497" s="935"/>
      <c r="CT497" s="935"/>
      <c r="CU497" s="935"/>
      <c r="CV497" s="935"/>
    </row>
    <row r="498" spans="1:100" s="441" customFormat="1">
      <c r="A498" s="375">
        <f t="shared" si="143"/>
        <v>9</v>
      </c>
      <c r="B498" s="862">
        <v>44452</v>
      </c>
      <c r="C498" s="493" t="s">
        <v>2001</v>
      </c>
      <c r="D498" s="376" t="str">
        <f>IFERROR(VLOOKUP(E:E,'Item Data Support Sheet'!A:O,7,0),"")</f>
        <v>NIPPLE PUNCH</v>
      </c>
      <c r="E498" s="447" t="s">
        <v>81</v>
      </c>
      <c r="F498" s="500"/>
      <c r="G498" s="497"/>
      <c r="H498" s="602" t="str">
        <f>IFERROR(VLOOKUP(E:E,'Item Data Support Sheet'!A:O,2,0),"")</f>
        <v>NIPPLE S TYPE M SIZE PUNCHED</v>
      </c>
      <c r="I498" s="501" t="s">
        <v>3063</v>
      </c>
      <c r="J498" s="501" t="s">
        <v>2811</v>
      </c>
      <c r="K498" s="438">
        <v>8</v>
      </c>
      <c r="L498" s="499">
        <v>7000</v>
      </c>
      <c r="M498" s="366">
        <f t="shared" si="158"/>
        <v>875</v>
      </c>
      <c r="N498" s="367">
        <f t="shared" si="142"/>
        <v>7000</v>
      </c>
      <c r="O498" s="61">
        <v>7000</v>
      </c>
      <c r="P498" s="368">
        <v>0</v>
      </c>
      <c r="Q498" s="368">
        <v>0</v>
      </c>
      <c r="R498" s="494">
        <v>0</v>
      </c>
      <c r="S498" s="493">
        <v>0</v>
      </c>
      <c r="T498" s="494">
        <v>0</v>
      </c>
      <c r="U498" s="493">
        <v>0</v>
      </c>
      <c r="V498" s="502">
        <v>1</v>
      </c>
      <c r="W498" s="453">
        <f t="shared" si="144"/>
        <v>7000</v>
      </c>
      <c r="X498" s="748">
        <f t="shared" si="145"/>
        <v>1</v>
      </c>
      <c r="Y498" s="451" t="str">
        <f>IFERROR(VLOOKUP(E:E,'Item Data Support Sheet'!A:J,6,0),0)</f>
        <v>FO016</v>
      </c>
      <c r="Z498" s="428">
        <f>IFERROR(VLOOKUP(E:E,'Item Data Support Sheet'!A:O,4,0),0)</f>
        <v>0</v>
      </c>
      <c r="AA498" s="428">
        <f t="shared" si="146"/>
        <v>0</v>
      </c>
      <c r="AB498" s="429" t="str">
        <f t="shared" si="147"/>
        <v xml:space="preserve"> </v>
      </c>
      <c r="AC498" s="424">
        <f t="shared" si="148"/>
        <v>0</v>
      </c>
      <c r="AD498" s="371">
        <f t="shared" si="149"/>
        <v>0</v>
      </c>
      <c r="AE498" s="748">
        <f t="shared" si="150"/>
        <v>1</v>
      </c>
      <c r="AF498" s="417">
        <f t="shared" si="151"/>
        <v>0.66666666666666663</v>
      </c>
      <c r="AG498" s="416">
        <f t="shared" si="152"/>
        <v>7.333333333333333</v>
      </c>
      <c r="AH498" s="372">
        <f t="shared" si="153"/>
        <v>0.91666666666666663</v>
      </c>
      <c r="AI498" s="373">
        <f t="shared" si="154"/>
        <v>875</v>
      </c>
      <c r="AJ498" s="418">
        <f>VLOOKUP(D498,'Standard Cycle time'!C:D,2,0)</f>
        <v>3.5</v>
      </c>
      <c r="AK498" s="418">
        <f t="shared" si="155"/>
        <v>3.7714285714285714</v>
      </c>
      <c r="AL498" s="374">
        <f t="shared" si="156"/>
        <v>0.92803030303030309</v>
      </c>
      <c r="AM498" s="372">
        <f t="shared" si="157"/>
        <v>0.85069444444444442</v>
      </c>
      <c r="AN498" s="799" t="s">
        <v>3064</v>
      </c>
      <c r="AO498" s="448"/>
      <c r="AP498" s="440">
        <v>40</v>
      </c>
      <c r="AQ498" s="440">
        <v>0</v>
      </c>
      <c r="AR498" s="440">
        <v>0</v>
      </c>
      <c r="AS498" s="440">
        <v>0</v>
      </c>
      <c r="AT498" s="440">
        <v>0</v>
      </c>
      <c r="AU498" s="440">
        <v>0</v>
      </c>
      <c r="AV498" s="440">
        <v>0</v>
      </c>
      <c r="AW498" s="440">
        <v>0</v>
      </c>
      <c r="AX498" s="440">
        <v>0</v>
      </c>
      <c r="AY498" s="440">
        <v>0</v>
      </c>
      <c r="AZ498" s="440">
        <v>0</v>
      </c>
      <c r="BA498" s="440">
        <v>0</v>
      </c>
      <c r="BB498" s="440">
        <v>0</v>
      </c>
      <c r="BC498" s="440">
        <v>0</v>
      </c>
      <c r="BD498" s="440">
        <v>0</v>
      </c>
      <c r="BE498" s="440">
        <v>0</v>
      </c>
      <c r="BF498" s="440">
        <v>0</v>
      </c>
      <c r="BG498" s="440">
        <v>0</v>
      </c>
      <c r="BH498" s="440">
        <v>0</v>
      </c>
      <c r="BI498" s="440">
        <v>0</v>
      </c>
      <c r="BJ498" s="440">
        <v>0</v>
      </c>
      <c r="BK498" s="440">
        <v>0</v>
      </c>
      <c r="BL498" s="440">
        <v>0</v>
      </c>
      <c r="BM498" s="440">
        <v>0</v>
      </c>
      <c r="BN498" s="440">
        <v>0</v>
      </c>
      <c r="BO498" s="440">
        <v>0</v>
      </c>
      <c r="BP498" s="440">
        <v>0</v>
      </c>
      <c r="BQ498" s="440">
        <v>0</v>
      </c>
      <c r="BR498" s="415">
        <v>0.66666666666666663</v>
      </c>
      <c r="BS498" s="415">
        <v>0.6777777777777777</v>
      </c>
      <c r="BT498" s="935"/>
      <c r="BU498" s="935"/>
      <c r="BV498" s="935"/>
      <c r="BW498" s="935"/>
      <c r="BX498" s="935"/>
      <c r="BY498" s="935"/>
      <c r="BZ498" s="935"/>
      <c r="CA498" s="935"/>
      <c r="CB498" s="935"/>
      <c r="CC498" s="935"/>
      <c r="CD498" s="935"/>
      <c r="CE498" s="935"/>
      <c r="CF498" s="935"/>
      <c r="CG498" s="935"/>
      <c r="CH498" s="935"/>
      <c r="CI498" s="935"/>
      <c r="CJ498" s="935"/>
      <c r="CK498" s="935"/>
      <c r="CL498" s="935"/>
      <c r="CM498" s="935"/>
      <c r="CN498" s="935"/>
      <c r="CO498" s="935"/>
      <c r="CP498" s="935"/>
      <c r="CQ498" s="935"/>
      <c r="CR498" s="935"/>
      <c r="CS498" s="935"/>
      <c r="CT498" s="935"/>
      <c r="CU498" s="935"/>
      <c r="CV498" s="935"/>
    </row>
    <row r="499" spans="1:100" s="441" customFormat="1">
      <c r="A499" s="375">
        <f t="shared" si="143"/>
        <v>9</v>
      </c>
      <c r="B499" s="862">
        <v>44452</v>
      </c>
      <c r="C499" s="493" t="s">
        <v>2001</v>
      </c>
      <c r="D499" s="376" t="str">
        <f>IFERROR(VLOOKUP(E:E,'Item Data Support Sheet'!A:O,7,0),"")</f>
        <v>HOOD MOLDED</v>
      </c>
      <c r="E499" s="447" t="s">
        <v>1987</v>
      </c>
      <c r="F499" s="500"/>
      <c r="G499" s="497" t="s">
        <v>2729</v>
      </c>
      <c r="H499" s="602" t="str">
        <f>IFERROR(VLOOKUP(E:E,'Item Data Support Sheet'!A:O,2,0),"")</f>
        <v>HOOD S TYPE MOLDED</v>
      </c>
      <c r="I499" s="501" t="s">
        <v>3065</v>
      </c>
      <c r="J499" s="501" t="s">
        <v>2811</v>
      </c>
      <c r="K499" s="438">
        <v>8</v>
      </c>
      <c r="L499" s="499">
        <v>4137</v>
      </c>
      <c r="M499" s="366">
        <f t="shared" si="158"/>
        <v>517.125</v>
      </c>
      <c r="N499" s="367">
        <f t="shared" si="142"/>
        <v>5208</v>
      </c>
      <c r="O499" s="61">
        <v>5200</v>
      </c>
      <c r="P499" s="368">
        <v>0</v>
      </c>
      <c r="Q499" s="368">
        <v>0</v>
      </c>
      <c r="R499" s="494">
        <v>0</v>
      </c>
      <c r="S499" s="493">
        <v>0</v>
      </c>
      <c r="T499" s="494">
        <v>8</v>
      </c>
      <c r="U499" s="493">
        <v>0</v>
      </c>
      <c r="V499" s="502">
        <v>1</v>
      </c>
      <c r="W499" s="453">
        <f t="shared" si="144"/>
        <v>5200</v>
      </c>
      <c r="X499" s="748">
        <f t="shared" si="145"/>
        <v>1.2569494802997341</v>
      </c>
      <c r="Y499" s="451" t="str">
        <f>IFERROR(VLOOKUP(E:E,'Item Data Support Sheet'!A:J,6,0),0)</f>
        <v>HMC</v>
      </c>
      <c r="Z499" s="428">
        <f>IFERROR(VLOOKUP(E:E,'Item Data Support Sheet'!A:O,4,0),0)</f>
        <v>8.6</v>
      </c>
      <c r="AA499" s="428">
        <f t="shared" si="146"/>
        <v>44.788800000000002</v>
      </c>
      <c r="AB499" s="429">
        <f t="shared" si="147"/>
        <v>0.99846390168970811</v>
      </c>
      <c r="AC499" s="424">
        <f t="shared" si="148"/>
        <v>1.5360983102918587E-3</v>
      </c>
      <c r="AD499" s="371">
        <f t="shared" si="149"/>
        <v>0</v>
      </c>
      <c r="AE499" s="748">
        <f t="shared" si="150"/>
        <v>0.99846390168970811</v>
      </c>
      <c r="AF499" s="417">
        <f t="shared" si="151"/>
        <v>0</v>
      </c>
      <c r="AG499" s="416">
        <f t="shared" si="152"/>
        <v>8</v>
      </c>
      <c r="AH499" s="372">
        <f t="shared" si="153"/>
        <v>1</v>
      </c>
      <c r="AI499" s="373">
        <f t="shared" si="154"/>
        <v>650</v>
      </c>
      <c r="AJ499" s="418">
        <f>VLOOKUP(D499,'Standard Cycle time'!C:D,2,0)</f>
        <v>6</v>
      </c>
      <c r="AK499" s="418">
        <f t="shared" si="155"/>
        <v>5.5384615384615383</v>
      </c>
      <c r="AL499" s="374">
        <f t="shared" si="156"/>
        <v>1.0833333333333333</v>
      </c>
      <c r="AM499" s="372">
        <f t="shared" si="157"/>
        <v>1.081669226830517</v>
      </c>
      <c r="AN499" s="799">
        <v>3173</v>
      </c>
      <c r="AO499" s="448"/>
      <c r="AP499" s="440">
        <v>0</v>
      </c>
      <c r="AQ499" s="440">
        <v>0</v>
      </c>
      <c r="AR499" s="440">
        <v>0</v>
      </c>
      <c r="AS499" s="440">
        <v>0</v>
      </c>
      <c r="AT499" s="440">
        <v>0</v>
      </c>
      <c r="AU499" s="440">
        <v>0</v>
      </c>
      <c r="AV499" s="440">
        <v>0</v>
      </c>
      <c r="AW499" s="440">
        <v>0</v>
      </c>
      <c r="AX499" s="440">
        <v>0</v>
      </c>
      <c r="AY499" s="440">
        <v>0</v>
      </c>
      <c r="AZ499" s="440">
        <v>0</v>
      </c>
      <c r="BA499" s="440">
        <v>0</v>
      </c>
      <c r="BB499" s="440">
        <v>0</v>
      </c>
      <c r="BC499" s="440">
        <v>0</v>
      </c>
      <c r="BD499" s="440">
        <v>0</v>
      </c>
      <c r="BE499" s="440">
        <v>0</v>
      </c>
      <c r="BF499" s="440">
        <v>0</v>
      </c>
      <c r="BG499" s="440">
        <v>0</v>
      </c>
      <c r="BH499" s="440">
        <v>0</v>
      </c>
      <c r="BI499" s="440">
        <v>0</v>
      </c>
      <c r="BJ499" s="440">
        <v>0</v>
      </c>
      <c r="BK499" s="440">
        <v>0</v>
      </c>
      <c r="BL499" s="440">
        <v>0</v>
      </c>
      <c r="BM499" s="440">
        <v>0</v>
      </c>
      <c r="BN499" s="440">
        <v>0</v>
      </c>
      <c r="BO499" s="440">
        <v>0</v>
      </c>
      <c r="BP499" s="440">
        <v>0</v>
      </c>
      <c r="BQ499" s="440">
        <v>0</v>
      </c>
      <c r="BR499" s="415">
        <v>0</v>
      </c>
      <c r="BS499" s="415">
        <v>0</v>
      </c>
      <c r="BT499" s="935"/>
      <c r="BU499" s="935"/>
      <c r="BV499" s="935"/>
      <c r="BW499" s="935"/>
      <c r="BX499" s="935"/>
      <c r="BY499" s="935"/>
      <c r="BZ499" s="935"/>
      <c r="CA499" s="935"/>
      <c r="CB499" s="935"/>
      <c r="CC499" s="935"/>
      <c r="CD499" s="935"/>
      <c r="CE499" s="935"/>
      <c r="CF499" s="935"/>
      <c r="CG499" s="935"/>
      <c r="CH499" s="935"/>
      <c r="CI499" s="935"/>
      <c r="CJ499" s="935"/>
      <c r="CK499" s="935"/>
      <c r="CL499" s="935"/>
      <c r="CM499" s="935"/>
      <c r="CN499" s="935"/>
      <c r="CO499" s="935"/>
      <c r="CP499" s="935"/>
      <c r="CQ499" s="935"/>
      <c r="CR499" s="935"/>
      <c r="CS499" s="935"/>
      <c r="CT499" s="935"/>
      <c r="CU499" s="935"/>
      <c r="CV499" s="935"/>
    </row>
    <row r="500" spans="1:100" s="441" customFormat="1">
      <c r="A500" s="375">
        <f t="shared" si="143"/>
        <v>9</v>
      </c>
      <c r="B500" s="862">
        <v>44452</v>
      </c>
      <c r="C500" s="493" t="s">
        <v>2001</v>
      </c>
      <c r="D500" s="376" t="str">
        <f>IFERROR(VLOOKUP(E:E,'Item Data Support Sheet'!A:O,7,0),"")</f>
        <v>NIPPLE MOLDED</v>
      </c>
      <c r="E500" s="447" t="s">
        <v>74</v>
      </c>
      <c r="F500" s="500" t="s">
        <v>1678</v>
      </c>
      <c r="G500" s="497" t="s">
        <v>1691</v>
      </c>
      <c r="H500" s="602" t="str">
        <f>IFERROR(VLOOKUP(E:E,'Item Data Support Sheet'!A:O,2,0),"")</f>
        <v>NIPPLE S TYPE L SIZE INJECTION</v>
      </c>
      <c r="I500" s="501" t="s">
        <v>3066</v>
      </c>
      <c r="J500" s="501" t="s">
        <v>2811</v>
      </c>
      <c r="K500" s="438">
        <v>8</v>
      </c>
      <c r="L500" s="499">
        <v>4815</v>
      </c>
      <c r="M500" s="366">
        <f t="shared" si="158"/>
        <v>601.875</v>
      </c>
      <c r="N500" s="367">
        <f t="shared" si="142"/>
        <v>4220</v>
      </c>
      <c r="O500" s="61">
        <v>4000</v>
      </c>
      <c r="P500" s="368">
        <v>1.56</v>
      </c>
      <c r="Q500" s="368">
        <v>142</v>
      </c>
      <c r="R500" s="494">
        <v>0</v>
      </c>
      <c r="S500" s="493">
        <v>0</v>
      </c>
      <c r="T500" s="494">
        <v>70</v>
      </c>
      <c r="U500" s="493">
        <v>8</v>
      </c>
      <c r="V500" s="502">
        <v>1</v>
      </c>
      <c r="W500" s="453">
        <f t="shared" si="144"/>
        <v>4000</v>
      </c>
      <c r="X500" s="748">
        <f t="shared" si="145"/>
        <v>0.83073727933541019</v>
      </c>
      <c r="Y500" s="451" t="str">
        <f>IFERROR(VLOOKUP(E:E,'Item Data Support Sheet'!A:J,6,0),0)</f>
        <v>Silicon</v>
      </c>
      <c r="Z500" s="428">
        <f>IFERROR(VLOOKUP(E:E,'Item Data Support Sheet'!A:O,4,0),0)</f>
        <v>6.8</v>
      </c>
      <c r="AA500" s="428">
        <f t="shared" si="146"/>
        <v>30.255999999999997</v>
      </c>
      <c r="AB500" s="429">
        <f t="shared" si="147"/>
        <v>0.89899524061343217</v>
      </c>
      <c r="AC500" s="424">
        <f t="shared" si="148"/>
        <v>1.7199017199017199E-2</v>
      </c>
      <c r="AD500" s="371">
        <f t="shared" si="149"/>
        <v>3.2553874369555251E-2</v>
      </c>
      <c r="AE500" s="748">
        <f t="shared" si="150"/>
        <v>0.98341232227488151</v>
      </c>
      <c r="AF500" s="417">
        <f t="shared" si="151"/>
        <v>1.1666666666666667</v>
      </c>
      <c r="AG500" s="416">
        <f t="shared" si="152"/>
        <v>6.833333333333333</v>
      </c>
      <c r="AH500" s="372">
        <f t="shared" si="153"/>
        <v>0.85416666666666663</v>
      </c>
      <c r="AI500" s="373">
        <f t="shared" si="154"/>
        <v>500</v>
      </c>
      <c r="AJ500" s="418">
        <f>VLOOKUP(D500,'Standard Cycle time'!C:D,2,0)</f>
        <v>5.25</v>
      </c>
      <c r="AK500" s="418">
        <f t="shared" si="155"/>
        <v>6.15</v>
      </c>
      <c r="AL500" s="374">
        <f t="shared" si="156"/>
        <v>0.85365853658536583</v>
      </c>
      <c r="AM500" s="372">
        <f t="shared" si="157"/>
        <v>0.71707148499210105</v>
      </c>
      <c r="AN500" s="799">
        <v>3174</v>
      </c>
      <c r="AO500" s="448"/>
      <c r="AP500" s="440">
        <v>40</v>
      </c>
      <c r="AQ500" s="440">
        <v>0</v>
      </c>
      <c r="AR500" s="440">
        <v>0</v>
      </c>
      <c r="AS500" s="440">
        <v>0</v>
      </c>
      <c r="AT500" s="440">
        <v>0</v>
      </c>
      <c r="AU500" s="440">
        <v>30</v>
      </c>
      <c r="AV500" s="440"/>
      <c r="AW500" s="440">
        <v>0</v>
      </c>
      <c r="AX500" s="440">
        <v>0</v>
      </c>
      <c r="AY500" s="440">
        <v>0</v>
      </c>
      <c r="AZ500" s="440">
        <v>0</v>
      </c>
      <c r="BA500" s="440">
        <v>0</v>
      </c>
      <c r="BB500" s="440">
        <v>0</v>
      </c>
      <c r="BC500" s="440">
        <v>0</v>
      </c>
      <c r="BD500" s="440">
        <v>0</v>
      </c>
      <c r="BE500" s="440">
        <v>0</v>
      </c>
      <c r="BF500" s="440">
        <v>0</v>
      </c>
      <c r="BG500" s="440">
        <v>0</v>
      </c>
      <c r="BH500" s="440">
        <v>0</v>
      </c>
      <c r="BI500" s="440">
        <v>0</v>
      </c>
      <c r="BJ500" s="440">
        <v>0</v>
      </c>
      <c r="BK500" s="440">
        <v>0</v>
      </c>
      <c r="BL500" s="440">
        <v>0</v>
      </c>
      <c r="BM500" s="440">
        <v>0</v>
      </c>
      <c r="BN500" s="440">
        <v>0</v>
      </c>
      <c r="BO500" s="440">
        <v>0</v>
      </c>
      <c r="BP500" s="440">
        <v>0</v>
      </c>
      <c r="BQ500" s="440">
        <v>0</v>
      </c>
      <c r="BR500" s="415">
        <v>1.1666666666666667</v>
      </c>
      <c r="BS500" s="415">
        <v>1.1861111111111111</v>
      </c>
      <c r="BT500" s="935"/>
      <c r="BU500" s="935"/>
      <c r="BV500" s="935"/>
      <c r="BW500" s="935"/>
      <c r="BX500" s="935"/>
      <c r="BY500" s="935"/>
      <c r="BZ500" s="935"/>
      <c r="CA500" s="935"/>
      <c r="CB500" s="935"/>
      <c r="CC500" s="935"/>
      <c r="CD500" s="935"/>
      <c r="CE500" s="935"/>
      <c r="CF500" s="935"/>
      <c r="CG500" s="935"/>
      <c r="CH500" s="935"/>
      <c r="CI500" s="935"/>
      <c r="CJ500" s="935"/>
      <c r="CK500" s="935"/>
      <c r="CL500" s="935"/>
      <c r="CM500" s="935"/>
      <c r="CN500" s="935"/>
      <c r="CO500" s="935"/>
      <c r="CP500" s="935"/>
      <c r="CQ500" s="935"/>
      <c r="CR500" s="935"/>
      <c r="CS500" s="935"/>
      <c r="CT500" s="935"/>
      <c r="CU500" s="935"/>
      <c r="CV500" s="935"/>
    </row>
    <row r="501" spans="1:100" s="441" customFormat="1">
      <c r="A501" s="375">
        <f t="shared" si="143"/>
        <v>9</v>
      </c>
      <c r="B501" s="862">
        <v>44452</v>
      </c>
      <c r="C501" s="493" t="s">
        <v>2001</v>
      </c>
      <c r="D501" s="376" t="str">
        <f>IFERROR(VLOOKUP(E:E,'Item Data Support Sheet'!A:O,7,0),"")</f>
        <v>NIPPLE LASER MARKING</v>
      </c>
      <c r="E501" s="447" t="s">
        <v>1815</v>
      </c>
      <c r="F501" s="500"/>
      <c r="G501" s="497" t="s">
        <v>1665</v>
      </c>
      <c r="H501" s="602" t="str">
        <f>IFERROR(VLOOKUP(E:E,'Item Data Support Sheet'!A:O,2,0),"")</f>
        <v>NIPPLE S TYPE M SIZE PUNCHED LASER MARKED</v>
      </c>
      <c r="I501" s="501" t="s">
        <v>3067</v>
      </c>
      <c r="J501" s="501" t="s">
        <v>2811</v>
      </c>
      <c r="K501" s="438">
        <v>8</v>
      </c>
      <c r="L501" s="499">
        <v>7000</v>
      </c>
      <c r="M501" s="366">
        <f t="shared" si="158"/>
        <v>875</v>
      </c>
      <c r="N501" s="367">
        <f t="shared" si="142"/>
        <v>6700</v>
      </c>
      <c r="O501" s="61">
        <v>6700</v>
      </c>
      <c r="P501" s="368">
        <v>0</v>
      </c>
      <c r="Q501" s="368">
        <v>0</v>
      </c>
      <c r="R501" s="494">
        <v>0</v>
      </c>
      <c r="S501" s="493">
        <v>0</v>
      </c>
      <c r="T501" s="494">
        <v>0</v>
      </c>
      <c r="U501" s="493">
        <v>0</v>
      </c>
      <c r="V501" s="502">
        <v>1</v>
      </c>
      <c r="W501" s="453">
        <f t="shared" si="144"/>
        <v>6700</v>
      </c>
      <c r="X501" s="748">
        <f t="shared" si="145"/>
        <v>0.95714285714285718</v>
      </c>
      <c r="Y501" s="451" t="str">
        <f>IFERROR(VLOOKUP(E:E,'Item Data Support Sheet'!A:J,6,0),0)</f>
        <v>FO020</v>
      </c>
      <c r="Z501" s="428">
        <f>IFERROR(VLOOKUP(E:E,'Item Data Support Sheet'!A:O,4,0),0)</f>
        <v>0</v>
      </c>
      <c r="AA501" s="428">
        <f t="shared" si="146"/>
        <v>0</v>
      </c>
      <c r="AB501" s="429" t="str">
        <f t="shared" si="147"/>
        <v xml:space="preserve"> </v>
      </c>
      <c r="AC501" s="424">
        <f t="shared" si="148"/>
        <v>0</v>
      </c>
      <c r="AD501" s="371">
        <f t="shared" si="149"/>
        <v>0</v>
      </c>
      <c r="AE501" s="748">
        <f t="shared" si="150"/>
        <v>1</v>
      </c>
      <c r="AF501" s="417">
        <f t="shared" si="151"/>
        <v>0.66666666666666663</v>
      </c>
      <c r="AG501" s="416">
        <f t="shared" si="152"/>
        <v>7.333333333333333</v>
      </c>
      <c r="AH501" s="372">
        <f t="shared" si="153"/>
        <v>0.91666666666666663</v>
      </c>
      <c r="AI501" s="373">
        <f t="shared" si="154"/>
        <v>837.5</v>
      </c>
      <c r="AJ501" s="418">
        <f>VLOOKUP(D501,'Standard Cycle time'!C:D,2,0)</f>
        <v>3.5</v>
      </c>
      <c r="AK501" s="418">
        <f t="shared" si="155"/>
        <v>3.9402985074626864</v>
      </c>
      <c r="AL501" s="374">
        <f t="shared" si="156"/>
        <v>0.8882575757575758</v>
      </c>
      <c r="AM501" s="372">
        <f t="shared" si="157"/>
        <v>0.81423611111111116</v>
      </c>
      <c r="AN501" s="799" t="s">
        <v>3068</v>
      </c>
      <c r="AO501" s="448"/>
      <c r="AP501" s="440">
        <v>40</v>
      </c>
      <c r="AQ501" s="440">
        <v>0</v>
      </c>
      <c r="AR501" s="440">
        <v>0</v>
      </c>
      <c r="AS501" s="440">
        <v>0</v>
      </c>
      <c r="AT501" s="440">
        <v>0</v>
      </c>
      <c r="AU501" s="440">
        <v>0</v>
      </c>
      <c r="AV501" s="440">
        <v>0</v>
      </c>
      <c r="AW501" s="440">
        <v>0</v>
      </c>
      <c r="AX501" s="440">
        <v>0</v>
      </c>
      <c r="AY501" s="440">
        <v>0</v>
      </c>
      <c r="AZ501" s="440">
        <v>0</v>
      </c>
      <c r="BA501" s="440">
        <v>0</v>
      </c>
      <c r="BB501" s="440">
        <v>0</v>
      </c>
      <c r="BC501" s="440">
        <v>0</v>
      </c>
      <c r="BD501" s="440">
        <v>0</v>
      </c>
      <c r="BE501" s="440">
        <v>0</v>
      </c>
      <c r="BF501" s="440">
        <v>0</v>
      </c>
      <c r="BG501" s="440">
        <v>0</v>
      </c>
      <c r="BH501" s="440">
        <v>0</v>
      </c>
      <c r="BI501" s="440">
        <v>0</v>
      </c>
      <c r="BJ501" s="440">
        <v>0</v>
      </c>
      <c r="BK501" s="440">
        <v>0</v>
      </c>
      <c r="BL501" s="440">
        <v>0</v>
      </c>
      <c r="BM501" s="440">
        <v>0</v>
      </c>
      <c r="BN501" s="440">
        <v>0</v>
      </c>
      <c r="BO501" s="440">
        <v>0</v>
      </c>
      <c r="BP501" s="440">
        <v>0</v>
      </c>
      <c r="BQ501" s="440">
        <v>0</v>
      </c>
      <c r="BR501" s="415">
        <v>0.66666666666666663</v>
      </c>
      <c r="BS501" s="415">
        <v>0.6777777777777777</v>
      </c>
      <c r="BT501" s="935"/>
      <c r="BU501" s="935"/>
      <c r="BV501" s="935"/>
      <c r="BW501" s="935"/>
      <c r="BX501" s="935"/>
      <c r="BY501" s="935"/>
      <c r="BZ501" s="935"/>
      <c r="CA501" s="935"/>
      <c r="CB501" s="935"/>
      <c r="CC501" s="935"/>
      <c r="CD501" s="935"/>
      <c r="CE501" s="935"/>
      <c r="CF501" s="935"/>
      <c r="CG501" s="935"/>
      <c r="CH501" s="935"/>
      <c r="CI501" s="935"/>
      <c r="CJ501" s="935"/>
      <c r="CK501" s="935"/>
      <c r="CL501" s="935"/>
      <c r="CM501" s="935"/>
      <c r="CN501" s="935"/>
      <c r="CO501" s="935"/>
      <c r="CP501" s="935"/>
      <c r="CQ501" s="935"/>
      <c r="CR501" s="935"/>
      <c r="CS501" s="935"/>
      <c r="CT501" s="935"/>
      <c r="CU501" s="935"/>
      <c r="CV501" s="935"/>
    </row>
    <row r="502" spans="1:100" s="441" customFormat="1">
      <c r="A502" s="375">
        <f t="shared" si="143"/>
        <v>9</v>
      </c>
      <c r="B502" s="862">
        <v>44452</v>
      </c>
      <c r="C502" s="493" t="s">
        <v>2001</v>
      </c>
      <c r="D502" s="376" t="str">
        <f>IFERROR(VLOOKUP(E:E,'Item Data Support Sheet'!A:O,7,0),"")</f>
        <v>BOTTLE MOLDED</v>
      </c>
      <c r="E502" s="447" t="s">
        <v>66</v>
      </c>
      <c r="F502" s="500"/>
      <c r="G502" s="497" t="s">
        <v>1665</v>
      </c>
      <c r="H502" s="602" t="str">
        <f>IFERROR(VLOOKUP(E:E,'Item Data Support Sheet'!A:O,2,0),"")</f>
        <v>KPP 200 ML BOTTLE MOLDED</v>
      </c>
      <c r="I502" s="501" t="s">
        <v>3069</v>
      </c>
      <c r="J502" s="501" t="s">
        <v>2811</v>
      </c>
      <c r="K502" s="438">
        <v>8</v>
      </c>
      <c r="L502" s="499">
        <v>2574</v>
      </c>
      <c r="M502" s="366">
        <f t="shared" si="158"/>
        <v>321.75</v>
      </c>
      <c r="N502" s="367">
        <f t="shared" si="142"/>
        <v>2906</v>
      </c>
      <c r="O502" s="61">
        <v>2808</v>
      </c>
      <c r="P502" s="368">
        <v>0</v>
      </c>
      <c r="Q502" s="368">
        <v>42</v>
      </c>
      <c r="R502" s="494">
        <v>0</v>
      </c>
      <c r="S502" s="493">
        <v>0</v>
      </c>
      <c r="T502" s="494">
        <v>56</v>
      </c>
      <c r="U502" s="493">
        <v>0</v>
      </c>
      <c r="V502" s="502">
        <v>1</v>
      </c>
      <c r="W502" s="453">
        <f t="shared" si="144"/>
        <v>2808</v>
      </c>
      <c r="X502" s="748">
        <f t="shared" si="145"/>
        <v>1.0909090909090908</v>
      </c>
      <c r="Y502" s="451" t="str">
        <f>IFERROR(VLOOKUP(E:E,'Item Data Support Sheet'!A:J,6,0),0)</f>
        <v>HMC</v>
      </c>
      <c r="Z502" s="428">
        <f>IFERROR(VLOOKUP(E:E,'Item Data Support Sheet'!A:O,4,0),0)</f>
        <v>28.1</v>
      </c>
      <c r="AA502" s="428">
        <f t="shared" si="146"/>
        <v>81.658600000000007</v>
      </c>
      <c r="AB502" s="429">
        <f t="shared" si="147"/>
        <v>0.96627666896077069</v>
      </c>
      <c r="AC502" s="424">
        <f t="shared" si="148"/>
        <v>1.9553072625698324E-2</v>
      </c>
      <c r="AD502" s="371">
        <f t="shared" si="149"/>
        <v>1.4246947082767978E-2</v>
      </c>
      <c r="AE502" s="748">
        <f t="shared" si="150"/>
        <v>0.98072952512044043</v>
      </c>
      <c r="AF502" s="417">
        <f t="shared" si="151"/>
        <v>0</v>
      </c>
      <c r="AG502" s="416">
        <f t="shared" si="152"/>
        <v>8</v>
      </c>
      <c r="AH502" s="372">
        <f t="shared" si="153"/>
        <v>1</v>
      </c>
      <c r="AI502" s="373">
        <f t="shared" si="154"/>
        <v>351</v>
      </c>
      <c r="AJ502" s="418">
        <f>VLOOKUP(D502,'Standard Cycle time'!C:D,2,0)</f>
        <v>9</v>
      </c>
      <c r="AK502" s="418">
        <f t="shared" si="155"/>
        <v>10.256410256410257</v>
      </c>
      <c r="AL502" s="374">
        <f t="shared" si="156"/>
        <v>0.87749999999999995</v>
      </c>
      <c r="AM502" s="372">
        <f t="shared" si="157"/>
        <v>0.86059015829318641</v>
      </c>
      <c r="AN502" s="799">
        <v>3175</v>
      </c>
      <c r="AO502" s="448"/>
      <c r="AP502" s="440">
        <v>0</v>
      </c>
      <c r="AQ502" s="440">
        <v>0</v>
      </c>
      <c r="AR502" s="440">
        <v>0</v>
      </c>
      <c r="AS502" s="440">
        <v>0</v>
      </c>
      <c r="AT502" s="440">
        <v>0</v>
      </c>
      <c r="AU502" s="440">
        <v>0</v>
      </c>
      <c r="AV502" s="440">
        <v>0</v>
      </c>
      <c r="AW502" s="440">
        <v>0</v>
      </c>
      <c r="AX502" s="440">
        <v>0</v>
      </c>
      <c r="AY502" s="440">
        <v>0</v>
      </c>
      <c r="AZ502" s="440">
        <v>0</v>
      </c>
      <c r="BA502" s="440">
        <v>0</v>
      </c>
      <c r="BB502" s="440">
        <v>0</v>
      </c>
      <c r="BC502" s="440">
        <v>0</v>
      </c>
      <c r="BD502" s="440">
        <v>0</v>
      </c>
      <c r="BE502" s="440">
        <v>0</v>
      </c>
      <c r="BF502" s="440">
        <v>0</v>
      </c>
      <c r="BG502" s="440">
        <v>0</v>
      </c>
      <c r="BH502" s="440">
        <v>0</v>
      </c>
      <c r="BI502" s="440">
        <v>0</v>
      </c>
      <c r="BJ502" s="440">
        <v>0</v>
      </c>
      <c r="BK502" s="440">
        <v>0</v>
      </c>
      <c r="BL502" s="440">
        <v>0</v>
      </c>
      <c r="BM502" s="440">
        <v>0</v>
      </c>
      <c r="BN502" s="440">
        <v>0</v>
      </c>
      <c r="BO502" s="440">
        <v>0</v>
      </c>
      <c r="BP502" s="440">
        <v>0</v>
      </c>
      <c r="BQ502" s="440">
        <v>0</v>
      </c>
      <c r="BR502" s="415">
        <v>0</v>
      </c>
      <c r="BS502" s="415">
        <v>0</v>
      </c>
      <c r="BT502" s="935"/>
      <c r="BU502" s="935"/>
      <c r="BV502" s="935"/>
      <c r="BW502" s="935"/>
      <c r="BX502" s="935"/>
      <c r="BY502" s="935"/>
      <c r="BZ502" s="935"/>
      <c r="CA502" s="935"/>
      <c r="CB502" s="935"/>
      <c r="CC502" s="935"/>
      <c r="CD502" s="935"/>
      <c r="CE502" s="935"/>
      <c r="CF502" s="935"/>
      <c r="CG502" s="935"/>
      <c r="CH502" s="935"/>
      <c r="CI502" s="935"/>
      <c r="CJ502" s="935"/>
      <c r="CK502" s="935"/>
      <c r="CL502" s="935"/>
      <c r="CM502" s="935"/>
      <c r="CN502" s="935"/>
      <c r="CO502" s="935"/>
      <c r="CP502" s="935"/>
      <c r="CQ502" s="935"/>
      <c r="CR502" s="935"/>
      <c r="CS502" s="935"/>
      <c r="CT502" s="935"/>
      <c r="CU502" s="935"/>
      <c r="CV502" s="935"/>
    </row>
    <row r="503" spans="1:100" s="441" customFormat="1">
      <c r="A503" s="375">
        <f t="shared" si="143"/>
        <v>9</v>
      </c>
      <c r="B503" s="862">
        <v>44452</v>
      </c>
      <c r="C503" s="493" t="s">
        <v>2001</v>
      </c>
      <c r="D503" s="376" t="str">
        <f>IFERROR(VLOOKUP(E:E,'Item Data Support Sheet'!A:O,7,0),"")</f>
        <v>BOTTLE PRINTED</v>
      </c>
      <c r="E503" s="447" t="s">
        <v>64</v>
      </c>
      <c r="F503" s="500"/>
      <c r="G503" s="497"/>
      <c r="H503" s="602" t="str">
        <f>IFERROR(VLOOKUP(E:E,'Item Data Support Sheet'!A:O,2,0),"")</f>
        <v>KPP 240 ML BOTTLE PRINTED</v>
      </c>
      <c r="I503" s="501" t="s">
        <v>3070</v>
      </c>
      <c r="J503" s="501" t="s">
        <v>2811</v>
      </c>
      <c r="K503" s="438">
        <v>8</v>
      </c>
      <c r="L503" s="499">
        <v>5100</v>
      </c>
      <c r="M503" s="366">
        <f t="shared" si="158"/>
        <v>637.5</v>
      </c>
      <c r="N503" s="367">
        <f t="shared" si="142"/>
        <v>5033</v>
      </c>
      <c r="O503" s="61">
        <v>4968</v>
      </c>
      <c r="P503" s="368">
        <v>0</v>
      </c>
      <c r="Q503" s="368">
        <v>0</v>
      </c>
      <c r="R503" s="494">
        <v>41</v>
      </c>
      <c r="S503" s="493">
        <v>0</v>
      </c>
      <c r="T503" s="494">
        <v>65</v>
      </c>
      <c r="U503" s="493">
        <v>0</v>
      </c>
      <c r="V503" s="502">
        <v>6</v>
      </c>
      <c r="W503" s="453">
        <f t="shared" si="144"/>
        <v>828</v>
      </c>
      <c r="X503" s="748">
        <f t="shared" si="145"/>
        <v>0.97411764705882353</v>
      </c>
      <c r="Y503" s="451" t="str">
        <f>IFERROR(VLOOKUP(E:E,'Item Data Support Sheet'!A:J,6,0),0)</f>
        <v>FO003</v>
      </c>
      <c r="Z503" s="428">
        <f>IFERROR(VLOOKUP(E:E,'Item Data Support Sheet'!A:O,4,0),0)</f>
        <v>0</v>
      </c>
      <c r="AA503" s="428">
        <f t="shared" si="146"/>
        <v>0</v>
      </c>
      <c r="AB503" s="429" t="str">
        <f t="shared" si="147"/>
        <v xml:space="preserve"> </v>
      </c>
      <c r="AC503" s="424">
        <f t="shared" si="148"/>
        <v>1.2914762567057422E-2</v>
      </c>
      <c r="AD503" s="371">
        <f t="shared" si="149"/>
        <v>0</v>
      </c>
      <c r="AE503" s="748">
        <f t="shared" si="150"/>
        <v>0.98708523743294263</v>
      </c>
      <c r="AF503" s="417">
        <f t="shared" si="151"/>
        <v>0.66666666666666663</v>
      </c>
      <c r="AG503" s="416">
        <f t="shared" si="152"/>
        <v>7.333333333333333</v>
      </c>
      <c r="AH503" s="372">
        <f t="shared" si="153"/>
        <v>0.91666666666666663</v>
      </c>
      <c r="AI503" s="373">
        <f t="shared" si="154"/>
        <v>621</v>
      </c>
      <c r="AJ503" s="418">
        <f>VLOOKUP(D503,'Standard Cycle time'!C:D,2,0)</f>
        <v>32.4</v>
      </c>
      <c r="AK503" s="418">
        <f t="shared" si="155"/>
        <v>31.884057971014492</v>
      </c>
      <c r="AL503" s="374">
        <f t="shared" si="156"/>
        <v>1.0161818181818181</v>
      </c>
      <c r="AM503" s="372">
        <f t="shared" si="157"/>
        <v>0.91946989866878592</v>
      </c>
      <c r="AN503" s="799" t="s">
        <v>2874</v>
      </c>
      <c r="AO503" s="448"/>
      <c r="AP503" s="440">
        <v>40</v>
      </c>
      <c r="AQ503" s="440">
        <v>0</v>
      </c>
      <c r="AR503" s="440">
        <v>0</v>
      </c>
      <c r="AS503" s="440">
        <v>0</v>
      </c>
      <c r="AT503" s="440">
        <v>0</v>
      </c>
      <c r="AU503" s="440">
        <v>0</v>
      </c>
      <c r="AV503" s="440">
        <v>0</v>
      </c>
      <c r="AW503" s="440">
        <v>0</v>
      </c>
      <c r="AX503" s="440">
        <v>0</v>
      </c>
      <c r="AY503" s="440">
        <v>0</v>
      </c>
      <c r="AZ503" s="440">
        <v>0</v>
      </c>
      <c r="BA503" s="440">
        <v>0</v>
      </c>
      <c r="BB503" s="440">
        <v>0</v>
      </c>
      <c r="BC503" s="440">
        <v>0</v>
      </c>
      <c r="BD503" s="440">
        <v>0</v>
      </c>
      <c r="BE503" s="440">
        <v>0</v>
      </c>
      <c r="BF503" s="440">
        <v>0</v>
      </c>
      <c r="BG503" s="440">
        <v>0</v>
      </c>
      <c r="BH503" s="440">
        <v>0</v>
      </c>
      <c r="BI503" s="440">
        <v>0</v>
      </c>
      <c r="BJ503" s="440">
        <v>0</v>
      </c>
      <c r="BK503" s="440">
        <v>0</v>
      </c>
      <c r="BL503" s="440">
        <v>0</v>
      </c>
      <c r="BM503" s="440">
        <v>0</v>
      </c>
      <c r="BN503" s="440">
        <v>0</v>
      </c>
      <c r="BO503" s="440">
        <v>0</v>
      </c>
      <c r="BP503" s="440">
        <v>0</v>
      </c>
      <c r="BQ503" s="440">
        <v>0</v>
      </c>
      <c r="BR503" s="415">
        <v>0.66666666666666663</v>
      </c>
      <c r="BS503" s="415">
        <v>0.6777777777777777</v>
      </c>
      <c r="BT503" s="935"/>
      <c r="BU503" s="935"/>
      <c r="BV503" s="935"/>
      <c r="BW503" s="935"/>
      <c r="BX503" s="935"/>
      <c r="BY503" s="935"/>
      <c r="BZ503" s="935"/>
      <c r="CA503" s="935"/>
      <c r="CB503" s="935"/>
      <c r="CC503" s="935"/>
      <c r="CD503" s="935"/>
      <c r="CE503" s="935"/>
      <c r="CF503" s="935"/>
      <c r="CG503" s="935"/>
      <c r="CH503" s="935"/>
      <c r="CI503" s="935"/>
      <c r="CJ503" s="935"/>
      <c r="CK503" s="935"/>
      <c r="CL503" s="935"/>
      <c r="CM503" s="935"/>
      <c r="CN503" s="935"/>
      <c r="CO503" s="935"/>
      <c r="CP503" s="935"/>
      <c r="CQ503" s="935"/>
      <c r="CR503" s="935"/>
      <c r="CS503" s="935"/>
      <c r="CT503" s="935"/>
      <c r="CU503" s="935"/>
      <c r="CV503" s="935"/>
    </row>
    <row r="504" spans="1:100" s="441" customFormat="1">
      <c r="A504" s="375">
        <f t="shared" si="143"/>
        <v>9</v>
      </c>
      <c r="B504" s="862">
        <v>44452</v>
      </c>
      <c r="C504" s="493" t="s">
        <v>2000</v>
      </c>
      <c r="D504" s="376" t="str">
        <f>IFERROR(VLOOKUP(E:E,'Item Data Support Sheet'!A:O,7,0),"")</f>
        <v>NIPPLE PUNCH INSPECTED</v>
      </c>
      <c r="E504" s="447" t="s">
        <v>1819</v>
      </c>
      <c r="F504" s="500"/>
      <c r="G504" s="497"/>
      <c r="H504" s="602" t="str">
        <f>IFERROR(VLOOKUP(E:E,'Item Data Support Sheet'!A:O,2,0),"")</f>
        <v>NIPPLE S TYPE M SIZE PUNCHED INSPECTED</v>
      </c>
      <c r="I504" s="501" t="s">
        <v>3071</v>
      </c>
      <c r="J504" s="501" t="s">
        <v>2811</v>
      </c>
      <c r="K504" s="438">
        <v>8.5</v>
      </c>
      <c r="L504" s="499">
        <v>10091</v>
      </c>
      <c r="M504" s="366">
        <f t="shared" si="158"/>
        <v>1187.1764705882354</v>
      </c>
      <c r="N504" s="367">
        <f t="shared" si="142"/>
        <v>11900</v>
      </c>
      <c r="O504" s="61">
        <v>11867</v>
      </c>
      <c r="P504" s="368">
        <v>0</v>
      </c>
      <c r="Q504" s="368">
        <v>0</v>
      </c>
      <c r="R504" s="494">
        <v>0</v>
      </c>
      <c r="S504" s="493">
        <v>0</v>
      </c>
      <c r="T504" s="494">
        <v>33</v>
      </c>
      <c r="U504" s="493">
        <v>0</v>
      </c>
      <c r="V504" s="502">
        <v>1</v>
      </c>
      <c r="W504" s="453">
        <f t="shared" si="144"/>
        <v>11867</v>
      </c>
      <c r="X504" s="748">
        <f t="shared" si="145"/>
        <v>1.1759984144286988</v>
      </c>
      <c r="Y504" s="451" t="str">
        <f>IFERROR(VLOOKUP(E:E,'Item Data Support Sheet'!A:J,6,0),0)</f>
        <v>FO105</v>
      </c>
      <c r="Z504" s="428">
        <f>IFERROR(VLOOKUP(E:E,'Item Data Support Sheet'!A:O,4,0),0)</f>
        <v>0</v>
      </c>
      <c r="AA504" s="428">
        <f t="shared" si="146"/>
        <v>0</v>
      </c>
      <c r="AB504" s="429" t="str">
        <f t="shared" si="147"/>
        <v xml:space="preserve"> </v>
      </c>
      <c r="AC504" s="424">
        <f t="shared" si="148"/>
        <v>2.773109243697479E-3</v>
      </c>
      <c r="AD504" s="371">
        <f t="shared" si="149"/>
        <v>0</v>
      </c>
      <c r="AE504" s="748">
        <f t="shared" si="150"/>
        <v>0.99722689075630255</v>
      </c>
      <c r="AF504" s="417">
        <f t="shared" si="151"/>
        <v>0.83333333333333337</v>
      </c>
      <c r="AG504" s="416">
        <f t="shared" si="152"/>
        <v>7.666666666666667</v>
      </c>
      <c r="AH504" s="372">
        <f t="shared" si="153"/>
        <v>0.90196078431372551</v>
      </c>
      <c r="AI504" s="373">
        <f t="shared" si="154"/>
        <v>1396.1176470588234</v>
      </c>
      <c r="AJ504" s="418">
        <f>VLOOKUP(D504,'Standard Cycle time'!C:D,2,0)</f>
        <v>4</v>
      </c>
      <c r="AK504" s="418">
        <f t="shared" si="155"/>
        <v>2.3257773658043313</v>
      </c>
      <c r="AL504" s="374">
        <f t="shared" si="156"/>
        <v>1.7198550724637682</v>
      </c>
      <c r="AM504" s="372">
        <f t="shared" si="157"/>
        <v>1.5469400670071951</v>
      </c>
      <c r="AN504" s="799" t="s">
        <v>3072</v>
      </c>
      <c r="AO504" s="448"/>
      <c r="AP504" s="440">
        <v>50</v>
      </c>
      <c r="AQ504" s="440">
        <v>0</v>
      </c>
      <c r="AR504" s="440">
        <v>0</v>
      </c>
      <c r="AS504" s="440">
        <v>0</v>
      </c>
      <c r="AT504" s="440">
        <v>0</v>
      </c>
      <c r="AU504" s="440">
        <v>0</v>
      </c>
      <c r="AV504" s="440">
        <v>0</v>
      </c>
      <c r="AW504" s="440">
        <v>0</v>
      </c>
      <c r="AX504" s="440">
        <v>0</v>
      </c>
      <c r="AY504" s="440">
        <v>0</v>
      </c>
      <c r="AZ504" s="440">
        <v>0</v>
      </c>
      <c r="BA504" s="440">
        <v>0</v>
      </c>
      <c r="BB504" s="440">
        <v>0</v>
      </c>
      <c r="BC504" s="440">
        <v>0</v>
      </c>
      <c r="BD504" s="440">
        <v>0</v>
      </c>
      <c r="BE504" s="440">
        <v>0</v>
      </c>
      <c r="BF504" s="440">
        <v>0</v>
      </c>
      <c r="BG504" s="440">
        <v>0</v>
      </c>
      <c r="BH504" s="440">
        <v>0</v>
      </c>
      <c r="BI504" s="440">
        <v>0</v>
      </c>
      <c r="BJ504" s="440">
        <v>0</v>
      </c>
      <c r="BK504" s="440">
        <v>0</v>
      </c>
      <c r="BL504" s="440">
        <v>0</v>
      </c>
      <c r="BM504" s="440">
        <v>0</v>
      </c>
      <c r="BN504" s="440">
        <v>0</v>
      </c>
      <c r="BO504" s="440">
        <v>0</v>
      </c>
      <c r="BP504" s="440">
        <v>0</v>
      </c>
      <c r="BQ504" s="440">
        <v>0</v>
      </c>
      <c r="BR504" s="415">
        <v>0.83333333333333337</v>
      </c>
      <c r="BS504" s="415">
        <v>0.84722222222222221</v>
      </c>
      <c r="BT504" s="935"/>
      <c r="BU504" s="935"/>
      <c r="BV504" s="935"/>
      <c r="BW504" s="935"/>
      <c r="BX504" s="935"/>
      <c r="BY504" s="935"/>
      <c r="BZ504" s="935"/>
      <c r="CA504" s="935"/>
      <c r="CB504" s="935"/>
      <c r="CC504" s="935"/>
      <c r="CD504" s="935"/>
      <c r="CE504" s="935"/>
      <c r="CF504" s="935"/>
      <c r="CG504" s="935"/>
      <c r="CH504" s="935"/>
      <c r="CI504" s="935"/>
      <c r="CJ504" s="935"/>
      <c r="CK504" s="935"/>
      <c r="CL504" s="935"/>
      <c r="CM504" s="935"/>
      <c r="CN504" s="935"/>
      <c r="CO504" s="935"/>
      <c r="CP504" s="935"/>
      <c r="CQ504" s="935"/>
      <c r="CR504" s="935"/>
      <c r="CS504" s="935"/>
      <c r="CT504" s="935"/>
      <c r="CU504" s="935"/>
      <c r="CV504" s="935"/>
    </row>
    <row r="505" spans="1:100" s="441" customFormat="1">
      <c r="A505" s="375">
        <f t="shared" si="143"/>
        <v>9</v>
      </c>
      <c r="B505" s="862">
        <v>44452</v>
      </c>
      <c r="C505" s="493" t="s">
        <v>2000</v>
      </c>
      <c r="D505" s="376" t="str">
        <f>IFERROR(VLOOKUP(E:E,'Item Data Support Sheet'!A:O,7,0),"")</f>
        <v>NIPPLE WRAP PRINTED</v>
      </c>
      <c r="E505" s="447" t="s">
        <v>2091</v>
      </c>
      <c r="F505" s="500"/>
      <c r="G505" s="497" t="s">
        <v>1693</v>
      </c>
      <c r="H505" s="602" t="str">
        <f>IFERROR(VLOOKUP(E:E,'Item Data Support Sheet'!A:O,2,0),"")</f>
        <v>NIPPLE S TYPE LL SIZE WRAPPED</v>
      </c>
      <c r="I505" s="501" t="s">
        <v>3073</v>
      </c>
      <c r="J505" s="501" t="s">
        <v>2811</v>
      </c>
      <c r="K505" s="438">
        <v>8.5</v>
      </c>
      <c r="L505" s="499">
        <v>16132</v>
      </c>
      <c r="M505" s="366">
        <f t="shared" si="158"/>
        <v>1897.8823529411766</v>
      </c>
      <c r="N505" s="367">
        <f t="shared" si="142"/>
        <v>16305</v>
      </c>
      <c r="O505" s="61">
        <v>16287</v>
      </c>
      <c r="P505" s="368">
        <v>0</v>
      </c>
      <c r="Q505" s="368">
        <v>0</v>
      </c>
      <c r="R505" s="494">
        <v>0</v>
      </c>
      <c r="S505" s="493">
        <v>0</v>
      </c>
      <c r="T505" s="494">
        <v>18</v>
      </c>
      <c r="U505" s="493">
        <v>0</v>
      </c>
      <c r="V505" s="502">
        <v>2</v>
      </c>
      <c r="W505" s="453">
        <f t="shared" si="144"/>
        <v>8143.5</v>
      </c>
      <c r="X505" s="748">
        <f t="shared" si="145"/>
        <v>1.0096082320852964</v>
      </c>
      <c r="Y505" s="451" t="str">
        <f>IFERROR(VLOOKUP(E:E,'Item Data Support Sheet'!A:J,6,0),0)</f>
        <v>FO141</v>
      </c>
      <c r="Z505" s="428">
        <f>IFERROR(VLOOKUP(E:E,'Item Data Support Sheet'!A:O,4,0),0)</f>
        <v>0</v>
      </c>
      <c r="AA505" s="428">
        <f t="shared" si="146"/>
        <v>0</v>
      </c>
      <c r="AB505" s="429" t="str">
        <f t="shared" si="147"/>
        <v xml:space="preserve"> </v>
      </c>
      <c r="AC505" s="424">
        <f t="shared" si="148"/>
        <v>1.1039558417663294E-3</v>
      </c>
      <c r="AD505" s="371">
        <f t="shared" si="149"/>
        <v>0</v>
      </c>
      <c r="AE505" s="748">
        <f t="shared" si="150"/>
        <v>0.99889604415823363</v>
      </c>
      <c r="AF505" s="417">
        <f t="shared" si="151"/>
        <v>0.83333333333333337</v>
      </c>
      <c r="AG505" s="416">
        <f t="shared" si="152"/>
        <v>7.666666666666667</v>
      </c>
      <c r="AH505" s="372">
        <f t="shared" si="153"/>
        <v>0.90196078431372551</v>
      </c>
      <c r="AI505" s="373">
        <f t="shared" si="154"/>
        <v>1916.1176470588234</v>
      </c>
      <c r="AJ505" s="418">
        <f>VLOOKUP(D505,'Standard Cycle time'!C:D,2,0)</f>
        <v>2.5</v>
      </c>
      <c r="AK505" s="418">
        <f t="shared" si="155"/>
        <v>3.3892061153066861</v>
      </c>
      <c r="AL505" s="374">
        <f t="shared" si="156"/>
        <v>0.73763586956521743</v>
      </c>
      <c r="AM505" s="372">
        <f t="shared" si="157"/>
        <v>0.66458414506556995</v>
      </c>
      <c r="AN505" s="799" t="s">
        <v>3074</v>
      </c>
      <c r="AO505" s="448"/>
      <c r="AP505" s="440">
        <v>50</v>
      </c>
      <c r="AQ505" s="440">
        <v>0</v>
      </c>
      <c r="AR505" s="440">
        <v>0</v>
      </c>
      <c r="AS505" s="440">
        <v>0</v>
      </c>
      <c r="AT505" s="440">
        <v>0</v>
      </c>
      <c r="AU505" s="440">
        <v>0</v>
      </c>
      <c r="AV505" s="440">
        <v>0</v>
      </c>
      <c r="AW505" s="440">
        <v>0</v>
      </c>
      <c r="AX505" s="440">
        <v>0</v>
      </c>
      <c r="AY505" s="440">
        <v>0</v>
      </c>
      <c r="AZ505" s="440">
        <v>0</v>
      </c>
      <c r="BA505" s="440">
        <v>0</v>
      </c>
      <c r="BB505" s="440">
        <v>0</v>
      </c>
      <c r="BC505" s="440">
        <v>0</v>
      </c>
      <c r="BD505" s="440">
        <v>0</v>
      </c>
      <c r="BE505" s="440">
        <v>0</v>
      </c>
      <c r="BF505" s="440">
        <v>0</v>
      </c>
      <c r="BG505" s="440">
        <v>0</v>
      </c>
      <c r="BH505" s="440">
        <v>0</v>
      </c>
      <c r="BI505" s="440">
        <v>0</v>
      </c>
      <c r="BJ505" s="440">
        <v>0</v>
      </c>
      <c r="BK505" s="440">
        <v>0</v>
      </c>
      <c r="BL505" s="440">
        <v>0</v>
      </c>
      <c r="BM505" s="440">
        <v>0</v>
      </c>
      <c r="BN505" s="440">
        <v>0</v>
      </c>
      <c r="BO505" s="440">
        <v>0</v>
      </c>
      <c r="BP505" s="440">
        <v>0</v>
      </c>
      <c r="BQ505" s="440">
        <v>0</v>
      </c>
      <c r="BR505" s="415">
        <v>0.83333333333333337</v>
      </c>
      <c r="BS505" s="415">
        <v>0.84722222222222221</v>
      </c>
      <c r="BT505" s="935"/>
      <c r="BU505" s="935"/>
      <c r="BV505" s="935"/>
      <c r="BW505" s="935"/>
      <c r="BX505" s="935"/>
      <c r="BY505" s="935"/>
      <c r="BZ505" s="935"/>
      <c r="CA505" s="935"/>
      <c r="CB505" s="935"/>
      <c r="CC505" s="935"/>
      <c r="CD505" s="935"/>
      <c r="CE505" s="935"/>
      <c r="CF505" s="935"/>
      <c r="CG505" s="935"/>
      <c r="CH505" s="935"/>
      <c r="CI505" s="935"/>
      <c r="CJ505" s="935"/>
      <c r="CK505" s="935"/>
      <c r="CL505" s="935"/>
      <c r="CM505" s="935"/>
      <c r="CN505" s="935"/>
      <c r="CO505" s="935"/>
      <c r="CP505" s="935"/>
      <c r="CQ505" s="935"/>
      <c r="CR505" s="935"/>
      <c r="CS505" s="935"/>
      <c r="CT505" s="935"/>
      <c r="CU505" s="935"/>
      <c r="CV505" s="935"/>
    </row>
    <row r="506" spans="1:100" s="441" customFormat="1">
      <c r="A506" s="375">
        <f t="shared" si="143"/>
        <v>9</v>
      </c>
      <c r="B506" s="862">
        <v>44452</v>
      </c>
      <c r="C506" s="493" t="s">
        <v>2053</v>
      </c>
      <c r="D506" s="376" t="str">
        <f>IFERROR(VLOOKUP(E:E,'Item Data Support Sheet'!A:O,7,0),"")</f>
        <v>NIPPLE MOLDED</v>
      </c>
      <c r="E506" s="447" t="s">
        <v>74</v>
      </c>
      <c r="F506" s="500" t="s">
        <v>1678</v>
      </c>
      <c r="G506" s="497" t="s">
        <v>1691</v>
      </c>
      <c r="H506" s="602" t="str">
        <f>IFERROR(VLOOKUP(E:E,'Item Data Support Sheet'!A:O,2,0),"")</f>
        <v>NIPPLE S TYPE L SIZE INJECTION</v>
      </c>
      <c r="I506" s="501" t="s">
        <v>3075</v>
      </c>
      <c r="J506" s="501" t="s">
        <v>2826</v>
      </c>
      <c r="K506" s="438">
        <v>8</v>
      </c>
      <c r="L506" s="499">
        <v>4815</v>
      </c>
      <c r="M506" s="366">
        <f t="shared" si="158"/>
        <v>601.875</v>
      </c>
      <c r="N506" s="367">
        <f t="shared" si="142"/>
        <v>5383</v>
      </c>
      <c r="O506" s="61">
        <v>5300</v>
      </c>
      <c r="P506" s="368">
        <v>0</v>
      </c>
      <c r="Q506" s="368">
        <v>27</v>
      </c>
      <c r="R506" s="494">
        <v>0</v>
      </c>
      <c r="S506" s="493">
        <v>0</v>
      </c>
      <c r="T506" s="494">
        <v>48</v>
      </c>
      <c r="U506" s="493">
        <v>8</v>
      </c>
      <c r="V506" s="502">
        <v>1</v>
      </c>
      <c r="W506" s="453">
        <f t="shared" si="144"/>
        <v>5300</v>
      </c>
      <c r="X506" s="748">
        <f t="shared" si="145"/>
        <v>1.1007268951194185</v>
      </c>
      <c r="Y506" s="451" t="str">
        <f>IFERROR(VLOOKUP(E:E,'Item Data Support Sheet'!A:J,6,0),0)</f>
        <v>Silicon</v>
      </c>
      <c r="Z506" s="428">
        <f>IFERROR(VLOOKUP(E:E,'Item Data Support Sheet'!A:O,4,0),0)</f>
        <v>6.8</v>
      </c>
      <c r="AA506" s="428">
        <f t="shared" si="146"/>
        <v>36.604399999999998</v>
      </c>
      <c r="AB506" s="429">
        <f t="shared" si="147"/>
        <v>0.98458108861229798</v>
      </c>
      <c r="AC506" s="424">
        <f t="shared" si="148"/>
        <v>8.9753178758414359E-3</v>
      </c>
      <c r="AD506" s="371">
        <f t="shared" si="149"/>
        <v>4.990757855822551E-3</v>
      </c>
      <c r="AE506" s="748">
        <f t="shared" si="150"/>
        <v>0.99108303919747354</v>
      </c>
      <c r="AF506" s="417">
        <f t="shared" si="151"/>
        <v>0</v>
      </c>
      <c r="AG506" s="416">
        <f t="shared" si="152"/>
        <v>8</v>
      </c>
      <c r="AH506" s="372">
        <f t="shared" si="153"/>
        <v>1</v>
      </c>
      <c r="AI506" s="373">
        <f t="shared" si="154"/>
        <v>662.5</v>
      </c>
      <c r="AJ506" s="418">
        <f>VLOOKUP(D506,'Standard Cycle time'!C:D,2,0)</f>
        <v>5.25</v>
      </c>
      <c r="AK506" s="418">
        <f t="shared" si="155"/>
        <v>5.4339622641509431</v>
      </c>
      <c r="AL506" s="374">
        <f t="shared" si="156"/>
        <v>0.96614583333333337</v>
      </c>
      <c r="AM506" s="372">
        <f t="shared" si="157"/>
        <v>0.95753074880797573</v>
      </c>
      <c r="AN506" s="799">
        <v>3179</v>
      </c>
      <c r="AO506" s="448"/>
      <c r="AP506" s="440">
        <v>0</v>
      </c>
      <c r="AQ506" s="440">
        <v>0</v>
      </c>
      <c r="AR506" s="440">
        <v>0</v>
      </c>
      <c r="AS506" s="440">
        <v>0</v>
      </c>
      <c r="AT506" s="440">
        <v>0</v>
      </c>
      <c r="AU506" s="440">
        <v>0</v>
      </c>
      <c r="AV506" s="440">
        <v>0</v>
      </c>
      <c r="AW506" s="440">
        <v>0</v>
      </c>
      <c r="AX506" s="440">
        <v>0</v>
      </c>
      <c r="AY506" s="440">
        <v>0</v>
      </c>
      <c r="AZ506" s="440">
        <v>0</v>
      </c>
      <c r="BA506" s="440">
        <v>0</v>
      </c>
      <c r="BB506" s="440">
        <v>0</v>
      </c>
      <c r="BC506" s="440">
        <v>0</v>
      </c>
      <c r="BD506" s="440">
        <v>0</v>
      </c>
      <c r="BE506" s="440">
        <v>0</v>
      </c>
      <c r="BF506" s="440">
        <v>0</v>
      </c>
      <c r="BG506" s="440">
        <v>0</v>
      </c>
      <c r="BH506" s="440">
        <v>0</v>
      </c>
      <c r="BI506" s="440">
        <v>0</v>
      </c>
      <c r="BJ506" s="440">
        <v>0</v>
      </c>
      <c r="BK506" s="440">
        <v>0</v>
      </c>
      <c r="BL506" s="440">
        <v>0</v>
      </c>
      <c r="BM506" s="440">
        <v>0</v>
      </c>
      <c r="BN506" s="440">
        <v>0</v>
      </c>
      <c r="BO506" s="440">
        <v>0</v>
      </c>
      <c r="BP506" s="440">
        <v>0</v>
      </c>
      <c r="BQ506" s="440">
        <v>0</v>
      </c>
      <c r="BR506" s="415">
        <v>0</v>
      </c>
      <c r="BS506" s="415">
        <v>0</v>
      </c>
      <c r="BT506" s="935"/>
      <c r="BU506" s="935"/>
      <c r="BV506" s="935"/>
      <c r="BW506" s="935"/>
      <c r="BX506" s="935"/>
      <c r="BY506" s="935"/>
      <c r="BZ506" s="935"/>
      <c r="CA506" s="935"/>
      <c r="CB506" s="935"/>
      <c r="CC506" s="935"/>
      <c r="CD506" s="935"/>
      <c r="CE506" s="935"/>
      <c r="CF506" s="935"/>
      <c r="CG506" s="935"/>
      <c r="CH506" s="935"/>
      <c r="CI506" s="935"/>
      <c r="CJ506" s="935"/>
      <c r="CK506" s="935"/>
      <c r="CL506" s="935"/>
      <c r="CM506" s="935"/>
      <c r="CN506" s="935"/>
      <c r="CO506" s="935"/>
      <c r="CP506" s="935"/>
      <c r="CQ506" s="935"/>
      <c r="CR506" s="935"/>
      <c r="CS506" s="935"/>
      <c r="CT506" s="935"/>
      <c r="CU506" s="935"/>
      <c r="CV506" s="935"/>
    </row>
    <row r="507" spans="1:100" s="441" customFormat="1">
      <c r="A507" s="375">
        <f t="shared" si="143"/>
        <v>9</v>
      </c>
      <c r="B507" s="862">
        <v>44452</v>
      </c>
      <c r="C507" s="493" t="s">
        <v>2053</v>
      </c>
      <c r="D507" s="376" t="str">
        <f>IFERROR(VLOOKUP(E:E,'Item Data Support Sheet'!A:O,7,0),"")</f>
        <v>BOTTLE MOLDED</v>
      </c>
      <c r="E507" s="447" t="s">
        <v>66</v>
      </c>
      <c r="F507" s="500" t="s">
        <v>1680</v>
      </c>
      <c r="G507" s="497" t="s">
        <v>1665</v>
      </c>
      <c r="H507" s="602" t="str">
        <f>IFERROR(VLOOKUP(E:E,'Item Data Support Sheet'!A:O,2,0),"")</f>
        <v>KPP 200 ML BOTTLE MOLDED</v>
      </c>
      <c r="I507" s="501" t="s">
        <v>3076</v>
      </c>
      <c r="J507" s="501" t="s">
        <v>2826</v>
      </c>
      <c r="K507" s="438">
        <v>8</v>
      </c>
      <c r="L507" s="499">
        <v>2574</v>
      </c>
      <c r="M507" s="366">
        <f t="shared" si="158"/>
        <v>321.75</v>
      </c>
      <c r="N507" s="367">
        <f t="shared" si="142"/>
        <v>3174</v>
      </c>
      <c r="O507" s="61">
        <v>3132</v>
      </c>
      <c r="P507" s="368">
        <v>0</v>
      </c>
      <c r="Q507" s="368">
        <v>0</v>
      </c>
      <c r="R507" s="494">
        <v>0</v>
      </c>
      <c r="S507" s="493">
        <v>0</v>
      </c>
      <c r="T507" s="494">
        <v>34</v>
      </c>
      <c r="U507" s="493">
        <v>8</v>
      </c>
      <c r="V507" s="502">
        <v>1</v>
      </c>
      <c r="W507" s="453">
        <f t="shared" si="144"/>
        <v>3132</v>
      </c>
      <c r="X507" s="748">
        <f t="shared" si="145"/>
        <v>1.2167832167832169</v>
      </c>
      <c r="Y507" s="451" t="str">
        <f>IFERROR(VLOOKUP(E:E,'Item Data Support Sheet'!A:J,6,0),0)</f>
        <v>HMC</v>
      </c>
      <c r="Z507" s="428">
        <f>IFERROR(VLOOKUP(E:E,'Item Data Support Sheet'!A:O,4,0),0)</f>
        <v>28.1</v>
      </c>
      <c r="AA507" s="428">
        <f t="shared" si="146"/>
        <v>89.189400000000006</v>
      </c>
      <c r="AB507" s="429">
        <f t="shared" si="147"/>
        <v>0.98676748582230622</v>
      </c>
      <c r="AC507" s="424">
        <f t="shared" si="148"/>
        <v>1.0739102969046115E-2</v>
      </c>
      <c r="AD507" s="371">
        <f t="shared" si="149"/>
        <v>0</v>
      </c>
      <c r="AE507" s="748">
        <f t="shared" si="150"/>
        <v>0.9892879647132955</v>
      </c>
      <c r="AF507" s="417">
        <f t="shared" si="151"/>
        <v>0</v>
      </c>
      <c r="AG507" s="416">
        <f t="shared" si="152"/>
        <v>8</v>
      </c>
      <c r="AH507" s="372">
        <f t="shared" si="153"/>
        <v>1</v>
      </c>
      <c r="AI507" s="373">
        <f t="shared" si="154"/>
        <v>391.5</v>
      </c>
      <c r="AJ507" s="418">
        <f>VLOOKUP(D507,'Standard Cycle time'!C:D,2,0)</f>
        <v>9</v>
      </c>
      <c r="AK507" s="418">
        <f t="shared" si="155"/>
        <v>9.1954022988505741</v>
      </c>
      <c r="AL507" s="374">
        <f t="shared" si="156"/>
        <v>0.97875000000000001</v>
      </c>
      <c r="AM507" s="372">
        <f t="shared" si="157"/>
        <v>0.96826559546313795</v>
      </c>
      <c r="AN507" s="799">
        <v>3180</v>
      </c>
      <c r="AO507" s="448"/>
      <c r="AP507" s="440">
        <v>0</v>
      </c>
      <c r="AQ507" s="440">
        <v>0</v>
      </c>
      <c r="AR507" s="440">
        <v>0</v>
      </c>
      <c r="AS507" s="440">
        <v>0</v>
      </c>
      <c r="AT507" s="440">
        <v>0</v>
      </c>
      <c r="AU507" s="440">
        <v>0</v>
      </c>
      <c r="AV507" s="440">
        <v>0</v>
      </c>
      <c r="AW507" s="440">
        <v>0</v>
      </c>
      <c r="AX507" s="440">
        <v>0</v>
      </c>
      <c r="AY507" s="440">
        <v>0</v>
      </c>
      <c r="AZ507" s="440">
        <v>0</v>
      </c>
      <c r="BA507" s="440">
        <v>0</v>
      </c>
      <c r="BB507" s="440">
        <v>0</v>
      </c>
      <c r="BC507" s="440">
        <v>0</v>
      </c>
      <c r="BD507" s="440">
        <v>0</v>
      </c>
      <c r="BE507" s="440">
        <v>0</v>
      </c>
      <c r="BF507" s="440">
        <v>0</v>
      </c>
      <c r="BG507" s="440">
        <v>0</v>
      </c>
      <c r="BH507" s="440">
        <v>0</v>
      </c>
      <c r="BI507" s="440">
        <v>0</v>
      </c>
      <c r="BJ507" s="440">
        <v>0</v>
      </c>
      <c r="BK507" s="440">
        <v>0</v>
      </c>
      <c r="BL507" s="440">
        <v>0</v>
      </c>
      <c r="BM507" s="440">
        <v>0</v>
      </c>
      <c r="BN507" s="440">
        <v>0</v>
      </c>
      <c r="BO507" s="440">
        <v>0</v>
      </c>
      <c r="BP507" s="440">
        <v>0</v>
      </c>
      <c r="BQ507" s="440">
        <v>0</v>
      </c>
      <c r="BR507" s="415">
        <v>0</v>
      </c>
      <c r="BS507" s="415">
        <v>0</v>
      </c>
      <c r="BT507" s="935"/>
      <c r="BU507" s="935"/>
      <c r="BV507" s="935"/>
      <c r="BW507" s="935"/>
      <c r="BX507" s="935"/>
      <c r="BY507" s="935"/>
      <c r="BZ507" s="935"/>
      <c r="CA507" s="935"/>
      <c r="CB507" s="935"/>
      <c r="CC507" s="935"/>
      <c r="CD507" s="935"/>
      <c r="CE507" s="935"/>
      <c r="CF507" s="935"/>
      <c r="CG507" s="935"/>
      <c r="CH507" s="935"/>
      <c r="CI507" s="935"/>
      <c r="CJ507" s="935"/>
      <c r="CK507" s="935"/>
      <c r="CL507" s="935"/>
      <c r="CM507" s="935"/>
      <c r="CN507" s="935"/>
      <c r="CO507" s="935"/>
      <c r="CP507" s="935"/>
      <c r="CQ507" s="935"/>
      <c r="CR507" s="935"/>
      <c r="CS507" s="935"/>
      <c r="CT507" s="935"/>
      <c r="CU507" s="935"/>
      <c r="CV507" s="935"/>
    </row>
    <row r="508" spans="1:100" s="441" customFormat="1">
      <c r="A508" s="375">
        <f t="shared" si="143"/>
        <v>9</v>
      </c>
      <c r="B508" s="862">
        <v>44452</v>
      </c>
      <c r="C508" s="493" t="s">
        <v>2053</v>
      </c>
      <c r="D508" s="376" t="str">
        <f>IFERROR(VLOOKUP(E:E,'Item Data Support Sheet'!A:O,7,0),"")</f>
        <v>HOOD MOLDED</v>
      </c>
      <c r="E508" s="447" t="s">
        <v>1987</v>
      </c>
      <c r="F508" s="500"/>
      <c r="G508" s="497" t="s">
        <v>2729</v>
      </c>
      <c r="H508" s="602" t="str">
        <f>IFERROR(VLOOKUP(E:E,'Item Data Support Sheet'!A:O,2,0),"")</f>
        <v>HOOD S TYPE MOLDED</v>
      </c>
      <c r="I508" s="501" t="s">
        <v>3077</v>
      </c>
      <c r="J508" s="501" t="s">
        <v>2826</v>
      </c>
      <c r="K508" s="438">
        <v>8</v>
      </c>
      <c r="L508" s="499">
        <v>4137</v>
      </c>
      <c r="M508" s="366">
        <f t="shared" si="158"/>
        <v>517.125</v>
      </c>
      <c r="N508" s="367">
        <f t="shared" si="142"/>
        <v>4821</v>
      </c>
      <c r="O508" s="61">
        <v>4800</v>
      </c>
      <c r="P508" s="368">
        <v>0</v>
      </c>
      <c r="Q508" s="368">
        <v>0</v>
      </c>
      <c r="R508" s="494">
        <v>0</v>
      </c>
      <c r="S508" s="493">
        <v>0</v>
      </c>
      <c r="T508" s="494">
        <v>13</v>
      </c>
      <c r="U508" s="493">
        <v>8</v>
      </c>
      <c r="V508" s="502">
        <v>1</v>
      </c>
      <c r="W508" s="453">
        <f t="shared" si="144"/>
        <v>4800</v>
      </c>
      <c r="X508" s="748">
        <f t="shared" si="145"/>
        <v>1.1602610587382161</v>
      </c>
      <c r="Y508" s="451" t="str">
        <f>IFERROR(VLOOKUP(E:E,'Item Data Support Sheet'!A:J,6,0),0)</f>
        <v>HMC</v>
      </c>
      <c r="Z508" s="428">
        <f>IFERROR(VLOOKUP(E:E,'Item Data Support Sheet'!A:O,4,0),0)</f>
        <v>8.6</v>
      </c>
      <c r="AA508" s="428">
        <f t="shared" si="146"/>
        <v>41.460599999999999</v>
      </c>
      <c r="AB508" s="429">
        <f t="shared" si="147"/>
        <v>0.99564405724953331</v>
      </c>
      <c r="AC508" s="424">
        <f t="shared" si="148"/>
        <v>2.7010180760440473E-3</v>
      </c>
      <c r="AD508" s="371">
        <f t="shared" si="149"/>
        <v>0</v>
      </c>
      <c r="AE508" s="748">
        <f t="shared" si="150"/>
        <v>0.99730346401161585</v>
      </c>
      <c r="AF508" s="417">
        <f t="shared" si="151"/>
        <v>0</v>
      </c>
      <c r="AG508" s="416">
        <f t="shared" si="152"/>
        <v>8</v>
      </c>
      <c r="AH508" s="372">
        <f t="shared" si="153"/>
        <v>1</v>
      </c>
      <c r="AI508" s="373">
        <f t="shared" si="154"/>
        <v>600</v>
      </c>
      <c r="AJ508" s="418">
        <f>VLOOKUP(D508,'Standard Cycle time'!C:D,2,0)</f>
        <v>6</v>
      </c>
      <c r="AK508" s="418">
        <f t="shared" si="155"/>
        <v>6</v>
      </c>
      <c r="AL508" s="374">
        <f t="shared" si="156"/>
        <v>1</v>
      </c>
      <c r="AM508" s="372">
        <f t="shared" si="157"/>
        <v>0.99730346401161585</v>
      </c>
      <c r="AN508" s="799">
        <v>3181</v>
      </c>
      <c r="AO508" s="448"/>
      <c r="AP508" s="440">
        <v>0</v>
      </c>
      <c r="AQ508" s="440">
        <v>0</v>
      </c>
      <c r="AR508" s="440">
        <v>0</v>
      </c>
      <c r="AS508" s="440">
        <v>0</v>
      </c>
      <c r="AT508" s="440">
        <v>0</v>
      </c>
      <c r="AU508" s="440">
        <v>0</v>
      </c>
      <c r="AV508" s="440">
        <v>0</v>
      </c>
      <c r="AW508" s="440">
        <v>0</v>
      </c>
      <c r="AX508" s="440">
        <v>0</v>
      </c>
      <c r="AY508" s="440">
        <v>0</v>
      </c>
      <c r="AZ508" s="440">
        <v>0</v>
      </c>
      <c r="BA508" s="440">
        <v>0</v>
      </c>
      <c r="BB508" s="440">
        <v>0</v>
      </c>
      <c r="BC508" s="440">
        <v>0</v>
      </c>
      <c r="BD508" s="440">
        <v>0</v>
      </c>
      <c r="BE508" s="440">
        <v>0</v>
      </c>
      <c r="BF508" s="440">
        <v>0</v>
      </c>
      <c r="BG508" s="440">
        <v>0</v>
      </c>
      <c r="BH508" s="440">
        <v>0</v>
      </c>
      <c r="BI508" s="440">
        <v>0</v>
      </c>
      <c r="BJ508" s="440">
        <v>0</v>
      </c>
      <c r="BK508" s="440">
        <v>0</v>
      </c>
      <c r="BL508" s="440">
        <v>0</v>
      </c>
      <c r="BM508" s="440">
        <v>0</v>
      </c>
      <c r="BN508" s="440">
        <v>0</v>
      </c>
      <c r="BO508" s="440">
        <v>0</v>
      </c>
      <c r="BP508" s="440">
        <v>0</v>
      </c>
      <c r="BQ508" s="440">
        <v>0</v>
      </c>
      <c r="BR508" s="415">
        <v>0</v>
      </c>
      <c r="BS508" s="415">
        <v>0</v>
      </c>
      <c r="BT508" s="935"/>
      <c r="BU508" s="935"/>
      <c r="BV508" s="935"/>
      <c r="BW508" s="935"/>
      <c r="BX508" s="935"/>
      <c r="BY508" s="935"/>
      <c r="BZ508" s="935"/>
      <c r="CA508" s="935"/>
      <c r="CB508" s="935"/>
      <c r="CC508" s="935"/>
      <c r="CD508" s="935"/>
      <c r="CE508" s="935"/>
      <c r="CF508" s="935"/>
      <c r="CG508" s="935"/>
      <c r="CH508" s="935"/>
      <c r="CI508" s="935"/>
      <c r="CJ508" s="935"/>
      <c r="CK508" s="935"/>
      <c r="CL508" s="935"/>
      <c r="CM508" s="935"/>
      <c r="CN508" s="935"/>
      <c r="CO508" s="935"/>
      <c r="CP508" s="935"/>
      <c r="CQ508" s="935"/>
      <c r="CR508" s="935"/>
      <c r="CS508" s="935"/>
      <c r="CT508" s="935"/>
      <c r="CU508" s="935"/>
      <c r="CV508" s="935"/>
    </row>
    <row r="509" spans="1:100" s="441" customFormat="1">
      <c r="A509" s="375">
        <f t="shared" si="143"/>
        <v>9</v>
      </c>
      <c r="B509" s="862">
        <v>44453</v>
      </c>
      <c r="C509" s="493" t="s">
        <v>1980</v>
      </c>
      <c r="D509" s="376" t="str">
        <f>IFERROR(VLOOKUP(E:E,'Item Data Support Sheet'!A:O,7,0),"")</f>
        <v>BOTTLE MOLDED</v>
      </c>
      <c r="E509" s="447" t="s">
        <v>66</v>
      </c>
      <c r="F509" s="500" t="s">
        <v>1680</v>
      </c>
      <c r="G509" s="497" t="s">
        <v>1665</v>
      </c>
      <c r="H509" s="602" t="str">
        <f>IFERROR(VLOOKUP(E:E,'Item Data Support Sheet'!A:O,2,0),"")</f>
        <v>KPP 200 ML BOTTLE MOLDED</v>
      </c>
      <c r="I509" s="501" t="s">
        <v>3078</v>
      </c>
      <c r="J509" s="501" t="s">
        <v>2809</v>
      </c>
      <c r="K509" s="438">
        <v>8</v>
      </c>
      <c r="L509" s="499">
        <v>2574</v>
      </c>
      <c r="M509" s="366">
        <f t="shared" si="158"/>
        <v>321.75</v>
      </c>
      <c r="N509" s="367">
        <f t="shared" si="142"/>
        <v>2560</v>
      </c>
      <c r="O509" s="61">
        <v>2496</v>
      </c>
      <c r="P509" s="368">
        <v>0</v>
      </c>
      <c r="Q509" s="368">
        <v>18</v>
      </c>
      <c r="R509" s="494">
        <v>0</v>
      </c>
      <c r="S509" s="493">
        <v>0</v>
      </c>
      <c r="T509" s="494">
        <v>38</v>
      </c>
      <c r="U509" s="493">
        <v>8</v>
      </c>
      <c r="V509" s="502">
        <v>1</v>
      </c>
      <c r="W509" s="453">
        <f t="shared" si="144"/>
        <v>2496</v>
      </c>
      <c r="X509" s="748">
        <f t="shared" si="145"/>
        <v>0.96969696969696972</v>
      </c>
      <c r="Y509" s="451" t="str">
        <f>IFERROR(VLOOKUP(E:E,'Item Data Support Sheet'!A:J,6,0),0)</f>
        <v>HMC</v>
      </c>
      <c r="Z509" s="428">
        <f>IFERROR(VLOOKUP(E:E,'Item Data Support Sheet'!A:O,4,0),0)</f>
        <v>28.1</v>
      </c>
      <c r="AA509" s="428">
        <f t="shared" si="146"/>
        <v>71.936000000000007</v>
      </c>
      <c r="AB509" s="429">
        <f t="shared" si="147"/>
        <v>0.97499999999999998</v>
      </c>
      <c r="AC509" s="424">
        <f t="shared" si="148"/>
        <v>1.499605367008682E-2</v>
      </c>
      <c r="AD509" s="371">
        <f t="shared" si="149"/>
        <v>6.9821567106283944E-3</v>
      </c>
      <c r="AE509" s="748">
        <f t="shared" si="150"/>
        <v>0.98515624999999996</v>
      </c>
      <c r="AF509" s="417">
        <f t="shared" si="151"/>
        <v>0</v>
      </c>
      <c r="AG509" s="416">
        <f t="shared" si="152"/>
        <v>8</v>
      </c>
      <c r="AH509" s="372">
        <f t="shared" si="153"/>
        <v>1</v>
      </c>
      <c r="AI509" s="373">
        <f t="shared" si="154"/>
        <v>312</v>
      </c>
      <c r="AJ509" s="418">
        <f>VLOOKUP(D509,'Standard Cycle time'!C:D,2,0)</f>
        <v>9</v>
      </c>
      <c r="AK509" s="418">
        <f t="shared" si="155"/>
        <v>11.538461538461538</v>
      </c>
      <c r="AL509" s="374">
        <f t="shared" si="156"/>
        <v>0.78</v>
      </c>
      <c r="AM509" s="372">
        <f t="shared" si="157"/>
        <v>0.76842187500000003</v>
      </c>
      <c r="AN509" s="799">
        <v>3236</v>
      </c>
      <c r="AO509" s="448" t="s">
        <v>3079</v>
      </c>
      <c r="AP509" s="440">
        <v>0</v>
      </c>
      <c r="AQ509" s="440">
        <v>0</v>
      </c>
      <c r="AR509" s="440">
        <v>0</v>
      </c>
      <c r="AS509" s="440">
        <v>0</v>
      </c>
      <c r="AT509" s="440">
        <v>0</v>
      </c>
      <c r="AU509" s="440">
        <v>0</v>
      </c>
      <c r="AV509" s="440">
        <v>0</v>
      </c>
      <c r="AW509" s="440">
        <v>0</v>
      </c>
      <c r="AX509" s="440">
        <v>0</v>
      </c>
      <c r="AY509" s="440">
        <v>0</v>
      </c>
      <c r="AZ509" s="440">
        <v>0</v>
      </c>
      <c r="BA509" s="440">
        <v>0</v>
      </c>
      <c r="BB509" s="440">
        <v>0</v>
      </c>
      <c r="BC509" s="440">
        <v>0</v>
      </c>
      <c r="BD509" s="440">
        <v>0</v>
      </c>
      <c r="BE509" s="440">
        <v>0</v>
      </c>
      <c r="BF509" s="440">
        <v>0</v>
      </c>
      <c r="BG509" s="440">
        <v>0</v>
      </c>
      <c r="BH509" s="440">
        <v>0</v>
      </c>
      <c r="BI509" s="440">
        <v>0</v>
      </c>
      <c r="BJ509" s="440">
        <v>0</v>
      </c>
      <c r="BK509" s="440">
        <v>0</v>
      </c>
      <c r="BL509" s="440">
        <v>0</v>
      </c>
      <c r="BM509" s="440">
        <v>0</v>
      </c>
      <c r="BN509" s="440">
        <v>0</v>
      </c>
      <c r="BO509" s="440">
        <v>0</v>
      </c>
      <c r="BP509" s="440">
        <v>0</v>
      </c>
      <c r="BQ509" s="440">
        <v>0</v>
      </c>
      <c r="BR509" s="415">
        <v>0</v>
      </c>
      <c r="BS509" s="415">
        <v>0</v>
      </c>
      <c r="BT509" s="935"/>
      <c r="BU509" s="935"/>
      <c r="BV509" s="935"/>
      <c r="BW509" s="935"/>
      <c r="BX509" s="935"/>
      <c r="BY509" s="935"/>
      <c r="BZ509" s="935"/>
      <c r="CA509" s="935"/>
      <c r="CB509" s="935"/>
      <c r="CC509" s="935"/>
      <c r="CD509" s="935"/>
      <c r="CE509" s="935"/>
      <c r="CF509" s="935"/>
      <c r="CG509" s="935"/>
      <c r="CH509" s="935"/>
      <c r="CI509" s="935"/>
      <c r="CJ509" s="935"/>
      <c r="CK509" s="935"/>
      <c r="CL509" s="935"/>
      <c r="CM509" s="935"/>
      <c r="CN509" s="935"/>
      <c r="CO509" s="935"/>
      <c r="CP509" s="935"/>
      <c r="CQ509" s="935"/>
      <c r="CR509" s="935"/>
      <c r="CS509" s="935"/>
      <c r="CT509" s="935"/>
      <c r="CU509" s="935"/>
      <c r="CV509" s="935"/>
    </row>
    <row r="510" spans="1:100" s="441" customFormat="1">
      <c r="A510" s="375">
        <f t="shared" si="143"/>
        <v>9</v>
      </c>
      <c r="B510" s="862">
        <v>44453</v>
      </c>
      <c r="C510" s="493" t="s">
        <v>1980</v>
      </c>
      <c r="D510" s="376" t="str">
        <f>IFERROR(VLOOKUP(E:E,'Item Data Support Sheet'!A:O,7,0),"")</f>
        <v>HOOD MOLDED</v>
      </c>
      <c r="E510" s="447" t="s">
        <v>1987</v>
      </c>
      <c r="F510" s="500"/>
      <c r="G510" s="497"/>
      <c r="H510" s="602" t="str">
        <f>IFERROR(VLOOKUP(E:E,'Item Data Support Sheet'!A:O,2,0),"")</f>
        <v>HOOD S TYPE MOLDED</v>
      </c>
      <c r="I510" s="501" t="s">
        <v>3080</v>
      </c>
      <c r="J510" s="501" t="s">
        <v>2809</v>
      </c>
      <c r="K510" s="438">
        <v>8</v>
      </c>
      <c r="L510" s="499">
        <v>4137</v>
      </c>
      <c r="M510" s="366">
        <f t="shared" si="158"/>
        <v>517.125</v>
      </c>
      <c r="N510" s="367">
        <f t="shared" si="142"/>
        <v>5316</v>
      </c>
      <c r="O510" s="61">
        <v>5300</v>
      </c>
      <c r="P510" s="368">
        <v>0</v>
      </c>
      <c r="Q510" s="368">
        <v>0</v>
      </c>
      <c r="R510" s="494">
        <v>0</v>
      </c>
      <c r="S510" s="493">
        <v>0</v>
      </c>
      <c r="T510" s="494">
        <v>8</v>
      </c>
      <c r="U510" s="493">
        <v>8</v>
      </c>
      <c r="V510" s="502">
        <v>1</v>
      </c>
      <c r="W510" s="453">
        <f t="shared" si="144"/>
        <v>5300</v>
      </c>
      <c r="X510" s="748">
        <f t="shared" si="145"/>
        <v>1.2811215856901137</v>
      </c>
      <c r="Y510" s="451" t="str">
        <f>IFERROR(VLOOKUP(E:E,'Item Data Support Sheet'!A:J,6,0),0)</f>
        <v>HMC</v>
      </c>
      <c r="Z510" s="428">
        <f>IFERROR(VLOOKUP(E:E,'Item Data Support Sheet'!A:O,4,0),0)</f>
        <v>8.6</v>
      </c>
      <c r="AA510" s="428">
        <f t="shared" si="146"/>
        <v>45.717599999999997</v>
      </c>
      <c r="AB510" s="429">
        <f t="shared" si="147"/>
        <v>0.99699021820917988</v>
      </c>
      <c r="AC510" s="424">
        <f t="shared" si="148"/>
        <v>1.5071590052750565E-3</v>
      </c>
      <c r="AD510" s="371">
        <f t="shared" si="149"/>
        <v>0</v>
      </c>
      <c r="AE510" s="748">
        <f t="shared" si="150"/>
        <v>0.99849510910458994</v>
      </c>
      <c r="AF510" s="417">
        <f t="shared" si="151"/>
        <v>0</v>
      </c>
      <c r="AG510" s="416">
        <f t="shared" si="152"/>
        <v>8</v>
      </c>
      <c r="AH510" s="372">
        <f t="shared" si="153"/>
        <v>1</v>
      </c>
      <c r="AI510" s="373">
        <f t="shared" si="154"/>
        <v>662.5</v>
      </c>
      <c r="AJ510" s="418">
        <f>VLOOKUP(D510,'Standard Cycle time'!C:D,2,0)</f>
        <v>6</v>
      </c>
      <c r="AK510" s="418">
        <f t="shared" si="155"/>
        <v>5.4339622641509431</v>
      </c>
      <c r="AL510" s="374">
        <f t="shared" si="156"/>
        <v>1.1041666666666667</v>
      </c>
      <c r="AM510" s="372">
        <f t="shared" si="157"/>
        <v>1.1025050163029848</v>
      </c>
      <c r="AN510" s="799" t="s">
        <v>3081</v>
      </c>
      <c r="AO510" s="448"/>
      <c r="AP510" s="440">
        <v>0</v>
      </c>
      <c r="AQ510" s="440">
        <v>0</v>
      </c>
      <c r="AR510" s="440">
        <v>0</v>
      </c>
      <c r="AS510" s="440">
        <v>0</v>
      </c>
      <c r="AT510" s="440">
        <v>0</v>
      </c>
      <c r="AU510" s="440">
        <v>0</v>
      </c>
      <c r="AV510" s="440">
        <v>0</v>
      </c>
      <c r="AW510" s="440">
        <v>0</v>
      </c>
      <c r="AX510" s="440">
        <v>0</v>
      </c>
      <c r="AY510" s="440">
        <v>0</v>
      </c>
      <c r="AZ510" s="440">
        <v>0</v>
      </c>
      <c r="BA510" s="440">
        <v>0</v>
      </c>
      <c r="BB510" s="440">
        <v>0</v>
      </c>
      <c r="BC510" s="440">
        <v>0</v>
      </c>
      <c r="BD510" s="440">
        <v>0</v>
      </c>
      <c r="BE510" s="440">
        <v>0</v>
      </c>
      <c r="BF510" s="440">
        <v>0</v>
      </c>
      <c r="BG510" s="440">
        <v>0</v>
      </c>
      <c r="BH510" s="440">
        <v>0</v>
      </c>
      <c r="BI510" s="440">
        <v>0</v>
      </c>
      <c r="BJ510" s="440">
        <v>0</v>
      </c>
      <c r="BK510" s="440">
        <v>0</v>
      </c>
      <c r="BL510" s="440">
        <v>0</v>
      </c>
      <c r="BM510" s="440">
        <v>0</v>
      </c>
      <c r="BN510" s="440">
        <v>0</v>
      </c>
      <c r="BO510" s="440">
        <v>0</v>
      </c>
      <c r="BP510" s="440">
        <v>0</v>
      </c>
      <c r="BQ510" s="440">
        <v>0</v>
      </c>
      <c r="BR510" s="415">
        <v>0</v>
      </c>
      <c r="BS510" s="415">
        <v>0</v>
      </c>
      <c r="BT510" s="935"/>
      <c r="BU510" s="935"/>
      <c r="BV510" s="935"/>
      <c r="BW510" s="935"/>
      <c r="BX510" s="935"/>
      <c r="BY510" s="935"/>
      <c r="BZ510" s="935"/>
      <c r="CA510" s="935"/>
      <c r="CB510" s="935"/>
      <c r="CC510" s="935"/>
      <c r="CD510" s="935"/>
      <c r="CE510" s="935"/>
      <c r="CF510" s="935"/>
      <c r="CG510" s="935"/>
      <c r="CH510" s="935"/>
      <c r="CI510" s="935"/>
      <c r="CJ510" s="935"/>
      <c r="CK510" s="935"/>
      <c r="CL510" s="935"/>
      <c r="CM510" s="935"/>
      <c r="CN510" s="935"/>
      <c r="CO510" s="935"/>
      <c r="CP510" s="935"/>
      <c r="CQ510" s="935"/>
      <c r="CR510" s="935"/>
      <c r="CS510" s="935"/>
      <c r="CT510" s="935"/>
      <c r="CU510" s="935"/>
      <c r="CV510" s="935"/>
    </row>
    <row r="511" spans="1:100" s="441" customFormat="1">
      <c r="A511" s="375">
        <f t="shared" si="143"/>
        <v>9</v>
      </c>
      <c r="B511" s="862">
        <v>44453</v>
      </c>
      <c r="C511" s="493" t="s">
        <v>1980</v>
      </c>
      <c r="D511" s="376" t="str">
        <f>IFERROR(VLOOKUP(E:E,'Item Data Support Sheet'!A:O,7,0),"")</f>
        <v>NIPPLE MOLDED</v>
      </c>
      <c r="E511" s="447" t="s">
        <v>74</v>
      </c>
      <c r="F511" s="500" t="s">
        <v>1678</v>
      </c>
      <c r="G511" s="497" t="s">
        <v>1691</v>
      </c>
      <c r="H511" s="602" t="str">
        <f>IFERROR(VLOOKUP(E:E,'Item Data Support Sheet'!A:O,2,0),"")</f>
        <v>NIPPLE S TYPE L SIZE INJECTION</v>
      </c>
      <c r="I511" s="501" t="s">
        <v>3082</v>
      </c>
      <c r="J511" s="501" t="s">
        <v>2809</v>
      </c>
      <c r="K511" s="438">
        <v>8</v>
      </c>
      <c r="L511" s="499">
        <v>4815</v>
      </c>
      <c r="M511" s="366">
        <f t="shared" si="158"/>
        <v>601.875</v>
      </c>
      <c r="N511" s="367">
        <f t="shared" si="142"/>
        <v>5370</v>
      </c>
      <c r="O511" s="61">
        <v>5300</v>
      </c>
      <c r="P511" s="368">
        <v>0</v>
      </c>
      <c r="Q511" s="368">
        <v>20</v>
      </c>
      <c r="R511" s="494">
        <v>0</v>
      </c>
      <c r="S511" s="493">
        <v>0</v>
      </c>
      <c r="T511" s="494">
        <v>42</v>
      </c>
      <c r="U511" s="493">
        <v>8</v>
      </c>
      <c r="V511" s="502">
        <v>1</v>
      </c>
      <c r="W511" s="453">
        <f t="shared" si="144"/>
        <v>5300</v>
      </c>
      <c r="X511" s="748">
        <f t="shared" si="145"/>
        <v>1.1007268951194185</v>
      </c>
      <c r="Y511" s="451" t="str">
        <f>IFERROR(VLOOKUP(E:E,'Item Data Support Sheet'!A:J,6,0),0)</f>
        <v>Silicon</v>
      </c>
      <c r="Z511" s="428">
        <f>IFERROR(VLOOKUP(E:E,'Item Data Support Sheet'!A:O,4,0),0)</f>
        <v>6.8</v>
      </c>
      <c r="AA511" s="428">
        <f t="shared" si="146"/>
        <v>36.515999999999998</v>
      </c>
      <c r="AB511" s="429">
        <f t="shared" si="147"/>
        <v>0.98696461824953452</v>
      </c>
      <c r="AC511" s="424">
        <f t="shared" si="148"/>
        <v>7.8622238861849499E-3</v>
      </c>
      <c r="AD511" s="371">
        <f t="shared" si="149"/>
        <v>3.7105751391465678E-3</v>
      </c>
      <c r="AE511" s="748">
        <f t="shared" si="150"/>
        <v>0.99217877094972062</v>
      </c>
      <c r="AF511" s="417">
        <f t="shared" si="151"/>
        <v>0</v>
      </c>
      <c r="AG511" s="416">
        <f t="shared" si="152"/>
        <v>8</v>
      </c>
      <c r="AH511" s="372">
        <f t="shared" si="153"/>
        <v>1</v>
      </c>
      <c r="AI511" s="373">
        <f t="shared" si="154"/>
        <v>662.5</v>
      </c>
      <c r="AJ511" s="418">
        <f>VLOOKUP(D511,'Standard Cycle time'!C:D,2,0)</f>
        <v>5.25</v>
      </c>
      <c r="AK511" s="418">
        <f t="shared" si="155"/>
        <v>5.4339622641509431</v>
      </c>
      <c r="AL511" s="374">
        <f t="shared" si="156"/>
        <v>0.96614583333333337</v>
      </c>
      <c r="AM511" s="372">
        <f t="shared" si="157"/>
        <v>0.95858938547486028</v>
      </c>
      <c r="AN511" s="799" t="s">
        <v>3083</v>
      </c>
      <c r="AO511" s="448"/>
      <c r="AP511" s="440">
        <v>0</v>
      </c>
      <c r="AQ511" s="440">
        <v>0</v>
      </c>
      <c r="AR511" s="440">
        <v>0</v>
      </c>
      <c r="AS511" s="440">
        <v>0</v>
      </c>
      <c r="AT511" s="440">
        <v>0</v>
      </c>
      <c r="AU511" s="440">
        <v>0</v>
      </c>
      <c r="AV511" s="440">
        <v>0</v>
      </c>
      <c r="AW511" s="440">
        <v>0</v>
      </c>
      <c r="AX511" s="440">
        <v>0</v>
      </c>
      <c r="AY511" s="440">
        <v>0</v>
      </c>
      <c r="AZ511" s="440">
        <v>0</v>
      </c>
      <c r="BA511" s="440">
        <v>0</v>
      </c>
      <c r="BB511" s="440">
        <v>0</v>
      </c>
      <c r="BC511" s="440">
        <v>0</v>
      </c>
      <c r="BD511" s="440">
        <v>0</v>
      </c>
      <c r="BE511" s="440">
        <v>0</v>
      </c>
      <c r="BF511" s="440">
        <v>0</v>
      </c>
      <c r="BG511" s="440">
        <v>0</v>
      </c>
      <c r="BH511" s="440">
        <v>0</v>
      </c>
      <c r="BI511" s="440">
        <v>0</v>
      </c>
      <c r="BJ511" s="440">
        <v>0</v>
      </c>
      <c r="BK511" s="440">
        <v>0</v>
      </c>
      <c r="BL511" s="440">
        <v>0</v>
      </c>
      <c r="BM511" s="440">
        <v>0</v>
      </c>
      <c r="BN511" s="440">
        <v>0</v>
      </c>
      <c r="BO511" s="440">
        <v>0</v>
      </c>
      <c r="BP511" s="440">
        <v>0</v>
      </c>
      <c r="BQ511" s="440">
        <v>0</v>
      </c>
      <c r="BR511" s="415">
        <v>0</v>
      </c>
      <c r="BS511" s="415">
        <v>0</v>
      </c>
      <c r="BT511" s="935"/>
      <c r="BU511" s="935"/>
      <c r="BV511" s="935"/>
      <c r="BW511" s="935"/>
      <c r="BX511" s="935"/>
      <c r="BY511" s="935"/>
      <c r="BZ511" s="935"/>
      <c r="CA511" s="935"/>
      <c r="CB511" s="935"/>
      <c r="CC511" s="935"/>
      <c r="CD511" s="935"/>
      <c r="CE511" s="935"/>
      <c r="CF511" s="935"/>
      <c r="CG511" s="935"/>
      <c r="CH511" s="935"/>
      <c r="CI511" s="935"/>
      <c r="CJ511" s="935"/>
      <c r="CK511" s="935"/>
      <c r="CL511" s="935"/>
      <c r="CM511" s="935"/>
      <c r="CN511" s="935"/>
      <c r="CO511" s="935"/>
      <c r="CP511" s="935"/>
      <c r="CQ511" s="935"/>
      <c r="CR511" s="935"/>
      <c r="CS511" s="935"/>
      <c r="CT511" s="935"/>
      <c r="CU511" s="935"/>
      <c r="CV511" s="935"/>
    </row>
    <row r="512" spans="1:100" s="441" customFormat="1">
      <c r="A512" s="375">
        <f t="shared" si="143"/>
        <v>9</v>
      </c>
      <c r="B512" s="862">
        <v>44453</v>
      </c>
      <c r="C512" s="493" t="s">
        <v>1980</v>
      </c>
      <c r="D512" s="376" t="str">
        <f>IFERROR(VLOOKUP(E:E,'Item Data Support Sheet'!A:O,7,0),"")</f>
        <v>NIPPLE PUNCH</v>
      </c>
      <c r="E512" s="447" t="s">
        <v>81</v>
      </c>
      <c r="F512" s="500"/>
      <c r="G512" s="497"/>
      <c r="H512" s="602" t="str">
        <f>IFERROR(VLOOKUP(E:E,'Item Data Support Sheet'!A:O,2,0),"")</f>
        <v>NIPPLE S TYPE M SIZE PUNCHED</v>
      </c>
      <c r="I512" s="501" t="s">
        <v>3084</v>
      </c>
      <c r="J512" s="501" t="s">
        <v>2809</v>
      </c>
      <c r="K512" s="438">
        <v>8</v>
      </c>
      <c r="L512" s="499">
        <v>7000</v>
      </c>
      <c r="M512" s="366">
        <f t="shared" si="158"/>
        <v>875</v>
      </c>
      <c r="N512" s="367">
        <f t="shared" si="142"/>
        <v>4630</v>
      </c>
      <c r="O512" s="61">
        <v>4626</v>
      </c>
      <c r="P512" s="368">
        <v>0</v>
      </c>
      <c r="Q512" s="368">
        <v>0</v>
      </c>
      <c r="R512" s="494">
        <v>0</v>
      </c>
      <c r="S512" s="493">
        <v>0</v>
      </c>
      <c r="T512" s="494">
        <v>4</v>
      </c>
      <c r="U512" s="493">
        <v>0</v>
      </c>
      <c r="V512" s="502">
        <v>1</v>
      </c>
      <c r="W512" s="453">
        <f t="shared" si="144"/>
        <v>4626</v>
      </c>
      <c r="X512" s="748">
        <f t="shared" si="145"/>
        <v>0.66085714285714281</v>
      </c>
      <c r="Y512" s="451" t="str">
        <f>IFERROR(VLOOKUP(E:E,'Item Data Support Sheet'!A:J,6,0),0)</f>
        <v>FO016</v>
      </c>
      <c r="Z512" s="428">
        <f>IFERROR(VLOOKUP(E:E,'Item Data Support Sheet'!A:O,4,0),0)</f>
        <v>0</v>
      </c>
      <c r="AA512" s="428">
        <f t="shared" si="146"/>
        <v>0</v>
      </c>
      <c r="AB512" s="429" t="str">
        <f t="shared" si="147"/>
        <v xml:space="preserve"> </v>
      </c>
      <c r="AC512" s="424">
        <f t="shared" si="148"/>
        <v>8.6393088552915766E-4</v>
      </c>
      <c r="AD512" s="371">
        <f t="shared" si="149"/>
        <v>0</v>
      </c>
      <c r="AE512" s="748">
        <f t="shared" si="150"/>
        <v>0.99913606911447084</v>
      </c>
      <c r="AF512" s="417">
        <f t="shared" si="151"/>
        <v>3.3333333333333335</v>
      </c>
      <c r="AG512" s="416">
        <f t="shared" si="152"/>
        <v>4.6666666666666661</v>
      </c>
      <c r="AH512" s="372">
        <f t="shared" si="153"/>
        <v>0.58333333333333326</v>
      </c>
      <c r="AI512" s="373">
        <f t="shared" si="154"/>
        <v>578.25</v>
      </c>
      <c r="AJ512" s="418">
        <f>VLOOKUP(D512,'Standard Cycle time'!C:D,2,0)</f>
        <v>3.5</v>
      </c>
      <c r="AK512" s="418">
        <f t="shared" si="155"/>
        <v>3.6316472114137475</v>
      </c>
      <c r="AL512" s="374">
        <f t="shared" si="156"/>
        <v>0.96375000000000022</v>
      </c>
      <c r="AM512" s="372">
        <f t="shared" si="157"/>
        <v>0.56170180885529164</v>
      </c>
      <c r="AN512" s="799" t="s">
        <v>3085</v>
      </c>
      <c r="AO512" s="448" t="s">
        <v>3086</v>
      </c>
      <c r="AP512" s="440">
        <v>40</v>
      </c>
      <c r="AQ512" s="440">
        <v>0</v>
      </c>
      <c r="AR512" s="440">
        <v>0</v>
      </c>
      <c r="AS512" s="440">
        <v>160</v>
      </c>
      <c r="AT512" s="440">
        <v>0</v>
      </c>
      <c r="AU512" s="440">
        <v>0</v>
      </c>
      <c r="AV512" s="440">
        <v>0</v>
      </c>
      <c r="AW512" s="440">
        <v>0</v>
      </c>
      <c r="AX512" s="440">
        <v>0</v>
      </c>
      <c r="AY512" s="440">
        <v>0</v>
      </c>
      <c r="AZ512" s="440">
        <v>0</v>
      </c>
      <c r="BA512" s="440">
        <v>0</v>
      </c>
      <c r="BB512" s="440">
        <v>0</v>
      </c>
      <c r="BC512" s="440">
        <v>0</v>
      </c>
      <c r="BD512" s="440">
        <v>0</v>
      </c>
      <c r="BE512" s="440">
        <v>0</v>
      </c>
      <c r="BF512" s="440">
        <v>0</v>
      </c>
      <c r="BG512" s="440">
        <v>0</v>
      </c>
      <c r="BH512" s="440">
        <v>0</v>
      </c>
      <c r="BI512" s="440">
        <v>0</v>
      </c>
      <c r="BJ512" s="440">
        <v>0</v>
      </c>
      <c r="BK512" s="440">
        <v>0</v>
      </c>
      <c r="BL512" s="440">
        <v>0</v>
      </c>
      <c r="BM512" s="440">
        <v>0</v>
      </c>
      <c r="BN512" s="440">
        <v>0</v>
      </c>
      <c r="BO512" s="440">
        <v>0</v>
      </c>
      <c r="BP512" s="440">
        <v>0</v>
      </c>
      <c r="BQ512" s="440">
        <v>0</v>
      </c>
      <c r="BR512" s="415">
        <v>3.3333333333333335</v>
      </c>
      <c r="BS512" s="415">
        <v>3.3888888888888888</v>
      </c>
      <c r="BT512" s="935"/>
      <c r="BU512" s="935"/>
      <c r="BV512" s="935"/>
      <c r="BW512" s="935"/>
      <c r="BX512" s="935"/>
      <c r="BY512" s="935"/>
      <c r="BZ512" s="935"/>
      <c r="CA512" s="935"/>
      <c r="CB512" s="935"/>
      <c r="CC512" s="935"/>
      <c r="CD512" s="935"/>
      <c r="CE512" s="935"/>
      <c r="CF512" s="935"/>
      <c r="CG512" s="935"/>
      <c r="CH512" s="935"/>
      <c r="CI512" s="935"/>
      <c r="CJ512" s="935"/>
      <c r="CK512" s="935"/>
      <c r="CL512" s="935"/>
      <c r="CM512" s="935"/>
      <c r="CN512" s="935"/>
      <c r="CO512" s="935"/>
      <c r="CP512" s="935"/>
      <c r="CQ512" s="935"/>
      <c r="CR512" s="935"/>
      <c r="CS512" s="935"/>
      <c r="CT512" s="935"/>
      <c r="CU512" s="935"/>
      <c r="CV512" s="935"/>
    </row>
    <row r="513" spans="1:100" s="441" customFormat="1">
      <c r="A513" s="375">
        <f t="shared" si="143"/>
        <v>9</v>
      </c>
      <c r="B513" s="862">
        <v>44453</v>
      </c>
      <c r="C513" s="493" t="s">
        <v>1980</v>
      </c>
      <c r="D513" s="376" t="str">
        <f>IFERROR(VLOOKUP(E:E,'Item Data Support Sheet'!A:O,7,0),"")</f>
        <v>NIPPLE LASER MARKING</v>
      </c>
      <c r="E513" s="447" t="s">
        <v>1815</v>
      </c>
      <c r="F513" s="500"/>
      <c r="G513" s="497"/>
      <c r="H513" s="602" t="str">
        <f>IFERROR(VLOOKUP(E:E,'Item Data Support Sheet'!A:O,2,0),"")</f>
        <v>NIPPLE S TYPE M SIZE PUNCHED LASER MARKED</v>
      </c>
      <c r="I513" s="501" t="s">
        <v>3087</v>
      </c>
      <c r="J513" s="501" t="s">
        <v>2809</v>
      </c>
      <c r="K513" s="438">
        <v>8</v>
      </c>
      <c r="L513" s="499">
        <v>7000</v>
      </c>
      <c r="M513" s="366">
        <f t="shared" si="158"/>
        <v>875</v>
      </c>
      <c r="N513" s="367">
        <f t="shared" si="142"/>
        <v>6700</v>
      </c>
      <c r="O513" s="61">
        <v>6700</v>
      </c>
      <c r="P513" s="368">
        <v>0</v>
      </c>
      <c r="Q513" s="368">
        <v>0</v>
      </c>
      <c r="R513" s="494">
        <v>0</v>
      </c>
      <c r="S513" s="493">
        <v>0</v>
      </c>
      <c r="T513" s="494">
        <v>0</v>
      </c>
      <c r="U513" s="493">
        <v>0</v>
      </c>
      <c r="V513" s="502">
        <v>1</v>
      </c>
      <c r="W513" s="453">
        <f t="shared" si="144"/>
        <v>6700</v>
      </c>
      <c r="X513" s="748">
        <f t="shared" si="145"/>
        <v>0.95714285714285718</v>
      </c>
      <c r="Y513" s="451" t="str">
        <f>IFERROR(VLOOKUP(E:E,'Item Data Support Sheet'!A:J,6,0),0)</f>
        <v>FO020</v>
      </c>
      <c r="Z513" s="428">
        <f>IFERROR(VLOOKUP(E:E,'Item Data Support Sheet'!A:O,4,0),0)</f>
        <v>0</v>
      </c>
      <c r="AA513" s="428">
        <f t="shared" si="146"/>
        <v>0</v>
      </c>
      <c r="AB513" s="429" t="str">
        <f t="shared" si="147"/>
        <v xml:space="preserve"> </v>
      </c>
      <c r="AC513" s="424">
        <f t="shared" si="148"/>
        <v>0</v>
      </c>
      <c r="AD513" s="371">
        <f t="shared" si="149"/>
        <v>0</v>
      </c>
      <c r="AE513" s="748">
        <f t="shared" si="150"/>
        <v>1</v>
      </c>
      <c r="AF513" s="417">
        <f t="shared" si="151"/>
        <v>1.4166666666666667</v>
      </c>
      <c r="AG513" s="416">
        <f t="shared" si="152"/>
        <v>6.583333333333333</v>
      </c>
      <c r="AH513" s="372">
        <f t="shared" si="153"/>
        <v>0.82291666666666663</v>
      </c>
      <c r="AI513" s="373">
        <f t="shared" si="154"/>
        <v>837.5</v>
      </c>
      <c r="AJ513" s="418">
        <f>VLOOKUP(D513,'Standard Cycle time'!C:D,2,0)</f>
        <v>3.5</v>
      </c>
      <c r="AK513" s="418">
        <f t="shared" si="155"/>
        <v>3.5373134328358211</v>
      </c>
      <c r="AL513" s="374">
        <f t="shared" si="156"/>
        <v>0.98945147679324885</v>
      </c>
      <c r="AM513" s="372">
        <f t="shared" si="157"/>
        <v>0.81423611111111105</v>
      </c>
      <c r="AN513" s="799" t="s">
        <v>3088</v>
      </c>
      <c r="AO513" s="448"/>
      <c r="AP513" s="440">
        <v>40</v>
      </c>
      <c r="AQ513" s="440">
        <v>0</v>
      </c>
      <c r="AR513" s="440">
        <v>0</v>
      </c>
      <c r="AS513" s="440">
        <v>45</v>
      </c>
      <c r="AT513" s="440">
        <v>0</v>
      </c>
      <c r="AU513" s="440">
        <v>0</v>
      </c>
      <c r="AV513" s="440">
        <v>0</v>
      </c>
      <c r="AW513" s="440">
        <v>0</v>
      </c>
      <c r="AX513" s="440">
        <v>0</v>
      </c>
      <c r="AY513" s="440">
        <v>0</v>
      </c>
      <c r="AZ513" s="440">
        <v>0</v>
      </c>
      <c r="BA513" s="440">
        <v>0</v>
      </c>
      <c r="BB513" s="440">
        <v>0</v>
      </c>
      <c r="BC513" s="440">
        <v>0</v>
      </c>
      <c r="BD513" s="440">
        <v>0</v>
      </c>
      <c r="BE513" s="440">
        <v>0</v>
      </c>
      <c r="BF513" s="440">
        <v>0</v>
      </c>
      <c r="BG513" s="440">
        <v>0</v>
      </c>
      <c r="BH513" s="440">
        <v>0</v>
      </c>
      <c r="BI513" s="440">
        <v>0</v>
      </c>
      <c r="BJ513" s="440">
        <v>0</v>
      </c>
      <c r="BK513" s="440">
        <v>0</v>
      </c>
      <c r="BL513" s="440">
        <v>0</v>
      </c>
      <c r="BM513" s="440">
        <v>0</v>
      </c>
      <c r="BN513" s="440">
        <v>0</v>
      </c>
      <c r="BO513" s="440">
        <v>0</v>
      </c>
      <c r="BP513" s="440">
        <v>0</v>
      </c>
      <c r="BQ513" s="440">
        <v>0</v>
      </c>
      <c r="BR513" s="415">
        <v>1.4166666666666667</v>
      </c>
      <c r="BS513" s="415">
        <v>1.4402777777777778</v>
      </c>
      <c r="BT513" s="935"/>
      <c r="BU513" s="935"/>
      <c r="BV513" s="935"/>
      <c r="BW513" s="935"/>
      <c r="BX513" s="935"/>
      <c r="BY513" s="935"/>
      <c r="BZ513" s="935"/>
      <c r="CA513" s="935"/>
      <c r="CB513" s="935"/>
      <c r="CC513" s="935"/>
      <c r="CD513" s="935"/>
      <c r="CE513" s="935"/>
      <c r="CF513" s="935"/>
      <c r="CG513" s="935"/>
      <c r="CH513" s="935"/>
      <c r="CI513" s="935"/>
      <c r="CJ513" s="935"/>
      <c r="CK513" s="935"/>
      <c r="CL513" s="935"/>
      <c r="CM513" s="935"/>
      <c r="CN513" s="935"/>
      <c r="CO513" s="935"/>
      <c r="CP513" s="935"/>
      <c r="CQ513" s="935"/>
      <c r="CR513" s="935"/>
      <c r="CS513" s="935"/>
      <c r="CT513" s="935"/>
      <c r="CU513" s="935"/>
      <c r="CV513" s="935"/>
    </row>
    <row r="514" spans="1:100" s="441" customFormat="1">
      <c r="A514" s="375">
        <f t="shared" si="143"/>
        <v>9</v>
      </c>
      <c r="B514" s="862">
        <v>44453</v>
      </c>
      <c r="C514" s="493" t="s">
        <v>1980</v>
      </c>
      <c r="D514" s="376" t="str">
        <f>IFERROR(VLOOKUP(E:E,'Item Data Support Sheet'!A:O,7,0),"")</f>
        <v>BOTTLE PRINTED</v>
      </c>
      <c r="E514" s="447" t="s">
        <v>64</v>
      </c>
      <c r="F514" s="500"/>
      <c r="G514" s="497" t="s">
        <v>1692</v>
      </c>
      <c r="H514" s="602" t="str">
        <f>IFERROR(VLOOKUP(E:E,'Item Data Support Sheet'!A:O,2,0),"")</f>
        <v>KPP 240 ML BOTTLE PRINTED</v>
      </c>
      <c r="I514" s="501" t="s">
        <v>3089</v>
      </c>
      <c r="J514" s="501" t="s">
        <v>2813</v>
      </c>
      <c r="K514" s="438">
        <v>8</v>
      </c>
      <c r="L514" s="499">
        <v>5100</v>
      </c>
      <c r="M514" s="366">
        <f t="shared" si="158"/>
        <v>637.5</v>
      </c>
      <c r="N514" s="367">
        <f t="shared" si="142"/>
        <v>3380</v>
      </c>
      <c r="O514" s="61">
        <v>3348</v>
      </c>
      <c r="P514" s="368">
        <v>0</v>
      </c>
      <c r="Q514" s="368">
        <v>0</v>
      </c>
      <c r="R514" s="494">
        <v>30</v>
      </c>
      <c r="S514" s="493">
        <v>0</v>
      </c>
      <c r="T514" s="494">
        <v>32</v>
      </c>
      <c r="U514" s="493">
        <v>0</v>
      </c>
      <c r="V514" s="502">
        <v>5</v>
      </c>
      <c r="W514" s="453">
        <f t="shared" si="144"/>
        <v>669.6</v>
      </c>
      <c r="X514" s="748">
        <f t="shared" si="145"/>
        <v>0.65647058823529414</v>
      </c>
      <c r="Y514" s="451" t="str">
        <f>IFERROR(VLOOKUP(E:E,'Item Data Support Sheet'!A:J,6,0),0)</f>
        <v>FO003</v>
      </c>
      <c r="Z514" s="428">
        <f>IFERROR(VLOOKUP(E:E,'Item Data Support Sheet'!A:O,4,0),0)</f>
        <v>0</v>
      </c>
      <c r="AA514" s="428">
        <f t="shared" si="146"/>
        <v>0</v>
      </c>
      <c r="AB514" s="429" t="str">
        <f t="shared" si="147"/>
        <v xml:space="preserve"> </v>
      </c>
      <c r="AC514" s="424">
        <f t="shared" si="148"/>
        <v>9.4674556213017753E-3</v>
      </c>
      <c r="AD514" s="371">
        <f t="shared" si="149"/>
        <v>0</v>
      </c>
      <c r="AE514" s="748">
        <f t="shared" si="150"/>
        <v>0.9905325443786982</v>
      </c>
      <c r="AF514" s="417">
        <f t="shared" si="151"/>
        <v>2.3333333333333335</v>
      </c>
      <c r="AG514" s="416">
        <f t="shared" si="152"/>
        <v>5.6666666666666661</v>
      </c>
      <c r="AH514" s="372">
        <f t="shared" si="153"/>
        <v>0.70833333333333326</v>
      </c>
      <c r="AI514" s="373">
        <f t="shared" si="154"/>
        <v>418.5</v>
      </c>
      <c r="AJ514" s="418">
        <f>VLOOKUP(D514,'Standard Cycle time'!C:D,2,0)</f>
        <v>32.4</v>
      </c>
      <c r="AK514" s="418">
        <f t="shared" si="155"/>
        <v>30.465949820788527</v>
      </c>
      <c r="AL514" s="374">
        <f t="shared" si="156"/>
        <v>1.0634823529411765</v>
      </c>
      <c r="AM514" s="372">
        <f t="shared" si="157"/>
        <v>0.74616816568047328</v>
      </c>
      <c r="AN514" s="799" t="s">
        <v>3090</v>
      </c>
      <c r="AO514" s="448" t="s">
        <v>3091</v>
      </c>
      <c r="AP514" s="440">
        <v>40</v>
      </c>
      <c r="AQ514" s="440">
        <v>0</v>
      </c>
      <c r="AR514" s="440">
        <v>0</v>
      </c>
      <c r="AS514" s="440">
        <v>0</v>
      </c>
      <c r="AT514" s="440">
        <v>0</v>
      </c>
      <c r="AU514" s="440">
        <v>0</v>
      </c>
      <c r="AV514" s="440">
        <v>0</v>
      </c>
      <c r="AW514" s="440">
        <v>0</v>
      </c>
      <c r="AX514" s="440">
        <v>0</v>
      </c>
      <c r="AY514" s="440">
        <v>0</v>
      </c>
      <c r="AZ514" s="440">
        <v>0</v>
      </c>
      <c r="BA514" s="440">
        <v>100</v>
      </c>
      <c r="BB514" s="440">
        <v>0</v>
      </c>
      <c r="BC514" s="440">
        <v>0</v>
      </c>
      <c r="BD514" s="440">
        <v>0</v>
      </c>
      <c r="BE514" s="440">
        <v>0</v>
      </c>
      <c r="BF514" s="440">
        <v>0</v>
      </c>
      <c r="BG514" s="440">
        <v>0</v>
      </c>
      <c r="BH514" s="440">
        <v>0</v>
      </c>
      <c r="BI514" s="440">
        <v>0</v>
      </c>
      <c r="BJ514" s="440">
        <v>0</v>
      </c>
      <c r="BK514" s="440">
        <v>0</v>
      </c>
      <c r="BL514" s="440">
        <v>0</v>
      </c>
      <c r="BM514" s="440">
        <v>0</v>
      </c>
      <c r="BN514" s="440">
        <v>0</v>
      </c>
      <c r="BO514" s="440">
        <v>0</v>
      </c>
      <c r="BP514" s="440">
        <v>0</v>
      </c>
      <c r="BQ514" s="440">
        <v>0</v>
      </c>
      <c r="BR514" s="415">
        <v>2.3333333333333335</v>
      </c>
      <c r="BS514" s="415">
        <v>2.3722222222222222</v>
      </c>
      <c r="BT514" s="935"/>
      <c r="BU514" s="935"/>
      <c r="BV514" s="935"/>
      <c r="BW514" s="935"/>
      <c r="BX514" s="935"/>
      <c r="BY514" s="935"/>
      <c r="BZ514" s="935"/>
      <c r="CA514" s="935"/>
      <c r="CB514" s="935"/>
      <c r="CC514" s="935"/>
      <c r="CD514" s="935"/>
      <c r="CE514" s="935"/>
      <c r="CF514" s="935"/>
      <c r="CG514" s="935"/>
      <c r="CH514" s="935"/>
      <c r="CI514" s="935"/>
      <c r="CJ514" s="935"/>
      <c r="CK514" s="935"/>
      <c r="CL514" s="935"/>
      <c r="CM514" s="935"/>
      <c r="CN514" s="935"/>
      <c r="CO514" s="935"/>
      <c r="CP514" s="935"/>
      <c r="CQ514" s="935"/>
      <c r="CR514" s="935"/>
      <c r="CS514" s="935"/>
      <c r="CT514" s="935"/>
      <c r="CU514" s="935"/>
      <c r="CV514" s="935"/>
    </row>
    <row r="515" spans="1:100" s="441" customFormat="1">
      <c r="A515" s="375">
        <f t="shared" si="143"/>
        <v>9</v>
      </c>
      <c r="B515" s="862">
        <v>44453</v>
      </c>
      <c r="C515" s="493" t="s">
        <v>2000</v>
      </c>
      <c r="D515" s="376" t="str">
        <f>IFERROR(VLOOKUP(E:E,'Item Data Support Sheet'!A:O,7,0),"")</f>
        <v>NIPPLE PUNCH INSPECTED</v>
      </c>
      <c r="E515" s="447" t="s">
        <v>1819</v>
      </c>
      <c r="F515" s="500"/>
      <c r="G515" s="497"/>
      <c r="H515" s="602" t="str">
        <f>IFERROR(VLOOKUP(E:E,'Item Data Support Sheet'!A:O,2,0),"")</f>
        <v>NIPPLE S TYPE M SIZE PUNCHED INSPECTED</v>
      </c>
      <c r="I515" s="501" t="s">
        <v>3092</v>
      </c>
      <c r="J515" s="501" t="s">
        <v>2811</v>
      </c>
      <c r="K515" s="438">
        <v>8</v>
      </c>
      <c r="L515" s="499">
        <v>14182</v>
      </c>
      <c r="M515" s="366">
        <f t="shared" si="158"/>
        <v>1772.75</v>
      </c>
      <c r="N515" s="367">
        <f t="shared" si="142"/>
        <v>15100</v>
      </c>
      <c r="O515" s="61">
        <v>14960</v>
      </c>
      <c r="P515" s="368">
        <v>0</v>
      </c>
      <c r="Q515" s="368">
        <v>0</v>
      </c>
      <c r="R515" s="494">
        <v>0</v>
      </c>
      <c r="S515" s="493">
        <v>0</v>
      </c>
      <c r="T515" s="494">
        <v>140</v>
      </c>
      <c r="U515" s="493">
        <v>0</v>
      </c>
      <c r="V515" s="502">
        <v>1</v>
      </c>
      <c r="W515" s="453">
        <f t="shared" si="144"/>
        <v>14960</v>
      </c>
      <c r="X515" s="748">
        <f t="shared" si="145"/>
        <v>1.0548582710478072</v>
      </c>
      <c r="Y515" s="451" t="str">
        <f>IFERROR(VLOOKUP(E:E,'Item Data Support Sheet'!A:J,6,0),0)</f>
        <v>FO105</v>
      </c>
      <c r="Z515" s="428">
        <f>IFERROR(VLOOKUP(E:E,'Item Data Support Sheet'!A:O,4,0),0)</f>
        <v>0</v>
      </c>
      <c r="AA515" s="428">
        <f t="shared" si="146"/>
        <v>0</v>
      </c>
      <c r="AB515" s="429" t="str">
        <f t="shared" si="147"/>
        <v xml:space="preserve"> </v>
      </c>
      <c r="AC515" s="424">
        <f t="shared" si="148"/>
        <v>9.2715231788079479E-3</v>
      </c>
      <c r="AD515" s="371">
        <f t="shared" si="149"/>
        <v>0</v>
      </c>
      <c r="AE515" s="748">
        <f t="shared" si="150"/>
        <v>0.99072847682119203</v>
      </c>
      <c r="AF515" s="417">
        <f t="shared" si="151"/>
        <v>0</v>
      </c>
      <c r="AG515" s="416">
        <f t="shared" si="152"/>
        <v>8</v>
      </c>
      <c r="AH515" s="372">
        <f t="shared" si="153"/>
        <v>1</v>
      </c>
      <c r="AI515" s="373">
        <f t="shared" si="154"/>
        <v>1870</v>
      </c>
      <c r="AJ515" s="418">
        <f>VLOOKUP(D515,'Standard Cycle time'!C:D,2,0)</f>
        <v>4</v>
      </c>
      <c r="AK515" s="418">
        <f t="shared" si="155"/>
        <v>1.9251336898395721</v>
      </c>
      <c r="AL515" s="374">
        <f t="shared" si="156"/>
        <v>2.0777777777777779</v>
      </c>
      <c r="AM515" s="372">
        <f t="shared" si="157"/>
        <v>2.0585136129506991</v>
      </c>
      <c r="AN515" s="799" t="s">
        <v>3093</v>
      </c>
      <c r="AO515" s="448"/>
      <c r="AP515" s="440">
        <v>0</v>
      </c>
      <c r="AQ515" s="440">
        <v>0</v>
      </c>
      <c r="AR515" s="440">
        <v>0</v>
      </c>
      <c r="AS515" s="440">
        <v>0</v>
      </c>
      <c r="AT515" s="440">
        <v>0</v>
      </c>
      <c r="AU515" s="440">
        <v>0</v>
      </c>
      <c r="AV515" s="440">
        <v>0</v>
      </c>
      <c r="AW515" s="440">
        <v>0</v>
      </c>
      <c r="AX515" s="440">
        <v>0</v>
      </c>
      <c r="AY515" s="440">
        <v>0</v>
      </c>
      <c r="AZ515" s="440">
        <v>0</v>
      </c>
      <c r="BA515" s="440">
        <v>0</v>
      </c>
      <c r="BB515" s="440">
        <v>0</v>
      </c>
      <c r="BC515" s="440">
        <v>0</v>
      </c>
      <c r="BD515" s="440">
        <v>0</v>
      </c>
      <c r="BE515" s="440">
        <v>0</v>
      </c>
      <c r="BF515" s="440">
        <v>0</v>
      </c>
      <c r="BG515" s="440">
        <v>0</v>
      </c>
      <c r="BH515" s="440">
        <v>0</v>
      </c>
      <c r="BI515" s="440">
        <v>0</v>
      </c>
      <c r="BJ515" s="440">
        <v>0</v>
      </c>
      <c r="BK515" s="440">
        <v>0</v>
      </c>
      <c r="BL515" s="440">
        <v>0</v>
      </c>
      <c r="BM515" s="440">
        <v>0</v>
      </c>
      <c r="BN515" s="440">
        <v>0</v>
      </c>
      <c r="BO515" s="440">
        <v>0</v>
      </c>
      <c r="BP515" s="440">
        <v>0</v>
      </c>
      <c r="BQ515" s="440">
        <v>0</v>
      </c>
      <c r="BR515" s="415">
        <v>0</v>
      </c>
      <c r="BS515" s="415">
        <v>0</v>
      </c>
      <c r="BT515" s="935"/>
      <c r="BU515" s="935"/>
      <c r="BV515" s="935"/>
      <c r="BW515" s="935"/>
      <c r="BX515" s="935"/>
      <c r="BY515" s="935"/>
      <c r="BZ515" s="935"/>
      <c r="CA515" s="935"/>
      <c r="CB515" s="935"/>
      <c r="CC515" s="935"/>
      <c r="CD515" s="935"/>
      <c r="CE515" s="935"/>
      <c r="CF515" s="935"/>
      <c r="CG515" s="935"/>
      <c r="CH515" s="935"/>
      <c r="CI515" s="935"/>
      <c r="CJ515" s="935"/>
      <c r="CK515" s="935"/>
      <c r="CL515" s="935"/>
      <c r="CM515" s="935"/>
      <c r="CN515" s="935"/>
      <c r="CO515" s="935"/>
      <c r="CP515" s="935"/>
      <c r="CQ515" s="935"/>
      <c r="CR515" s="935"/>
      <c r="CS515" s="935"/>
      <c r="CT515" s="935"/>
      <c r="CU515" s="935"/>
      <c r="CV515" s="935"/>
    </row>
    <row r="516" spans="1:100" s="441" customFormat="1">
      <c r="A516" s="375">
        <f t="shared" si="143"/>
        <v>9</v>
      </c>
      <c r="B516" s="862">
        <v>44453</v>
      </c>
      <c r="C516" s="493" t="s">
        <v>2001</v>
      </c>
      <c r="D516" s="376" t="str">
        <f>IFERROR(VLOOKUP(E:E,'Item Data Support Sheet'!A:O,7,0),"")</f>
        <v>NIPPLE PUNCH</v>
      </c>
      <c r="E516" s="447" t="s">
        <v>82</v>
      </c>
      <c r="F516" s="500"/>
      <c r="G516" s="497"/>
      <c r="H516" s="602" t="str">
        <f>IFERROR(VLOOKUP(E:E,'Item Data Support Sheet'!A:O,2,0),"")</f>
        <v>NIPPLE S TYPE L SIZE PUNCHED</v>
      </c>
      <c r="I516" s="501" t="s">
        <v>3094</v>
      </c>
      <c r="J516" s="501" t="s">
        <v>2811</v>
      </c>
      <c r="K516" s="438">
        <v>8</v>
      </c>
      <c r="L516" s="499">
        <v>7000</v>
      </c>
      <c r="M516" s="366">
        <f t="shared" si="158"/>
        <v>875</v>
      </c>
      <c r="N516" s="367">
        <f t="shared" ref="N516:N579" si="159">+O516+Q516+T516+U516</f>
        <v>5000</v>
      </c>
      <c r="O516" s="61">
        <v>5000</v>
      </c>
      <c r="P516" s="368">
        <v>0</v>
      </c>
      <c r="Q516" s="368">
        <v>0</v>
      </c>
      <c r="R516" s="494">
        <v>0</v>
      </c>
      <c r="S516" s="493">
        <v>0</v>
      </c>
      <c r="T516" s="494">
        <v>0</v>
      </c>
      <c r="U516" s="493">
        <v>0</v>
      </c>
      <c r="V516" s="502">
        <v>1</v>
      </c>
      <c r="W516" s="453">
        <f t="shared" si="144"/>
        <v>5000</v>
      </c>
      <c r="X516" s="748">
        <f t="shared" si="145"/>
        <v>0.7142857142857143</v>
      </c>
      <c r="Y516" s="451" t="str">
        <f>IFERROR(VLOOKUP(E:E,'Item Data Support Sheet'!A:J,6,0),0)</f>
        <v>FO017</v>
      </c>
      <c r="Z516" s="428">
        <f>IFERROR(VLOOKUP(E:E,'Item Data Support Sheet'!A:O,4,0),0)</f>
        <v>0</v>
      </c>
      <c r="AA516" s="428">
        <f t="shared" si="146"/>
        <v>0</v>
      </c>
      <c r="AB516" s="429" t="str">
        <f t="shared" si="147"/>
        <v xml:space="preserve"> </v>
      </c>
      <c r="AC516" s="424">
        <f t="shared" si="148"/>
        <v>0</v>
      </c>
      <c r="AD516" s="371">
        <f t="shared" si="149"/>
        <v>0</v>
      </c>
      <c r="AE516" s="748">
        <f t="shared" si="150"/>
        <v>1</v>
      </c>
      <c r="AF516" s="417">
        <f t="shared" si="151"/>
        <v>2.6666666666666665</v>
      </c>
      <c r="AG516" s="416">
        <f t="shared" si="152"/>
        <v>5.3333333333333339</v>
      </c>
      <c r="AH516" s="372">
        <f t="shared" si="153"/>
        <v>0.66666666666666674</v>
      </c>
      <c r="AI516" s="373">
        <f t="shared" si="154"/>
        <v>625</v>
      </c>
      <c r="AJ516" s="418">
        <f>VLOOKUP(D516,'Standard Cycle time'!C:D,2,0)</f>
        <v>3.5</v>
      </c>
      <c r="AK516" s="418">
        <f t="shared" si="155"/>
        <v>3.8400000000000007</v>
      </c>
      <c r="AL516" s="374">
        <f t="shared" si="156"/>
        <v>0.91145833333333315</v>
      </c>
      <c r="AM516" s="372">
        <f t="shared" si="157"/>
        <v>0.60763888888888884</v>
      </c>
      <c r="AN516" s="799" t="s">
        <v>3095</v>
      </c>
      <c r="AO516" s="448"/>
      <c r="AP516" s="440">
        <v>40</v>
      </c>
      <c r="AQ516" s="440">
        <v>0</v>
      </c>
      <c r="AR516" s="440">
        <v>0</v>
      </c>
      <c r="AS516" s="440">
        <v>0</v>
      </c>
      <c r="AT516" s="440">
        <v>0</v>
      </c>
      <c r="AU516" s="440">
        <v>0</v>
      </c>
      <c r="AV516" s="440">
        <v>120</v>
      </c>
      <c r="AW516" s="440">
        <v>0</v>
      </c>
      <c r="AX516" s="440">
        <v>0</v>
      </c>
      <c r="AY516" s="440">
        <v>0</v>
      </c>
      <c r="AZ516" s="440">
        <v>0</v>
      </c>
      <c r="BA516" s="440">
        <v>0</v>
      </c>
      <c r="BB516" s="440">
        <v>0</v>
      </c>
      <c r="BC516" s="440">
        <v>0</v>
      </c>
      <c r="BD516" s="440">
        <v>0</v>
      </c>
      <c r="BE516" s="440">
        <v>0</v>
      </c>
      <c r="BF516" s="440">
        <v>0</v>
      </c>
      <c r="BG516" s="440">
        <v>0</v>
      </c>
      <c r="BH516" s="440">
        <v>0</v>
      </c>
      <c r="BI516" s="440">
        <v>0</v>
      </c>
      <c r="BJ516" s="440">
        <v>0</v>
      </c>
      <c r="BK516" s="440">
        <v>0</v>
      </c>
      <c r="BL516" s="440">
        <v>0</v>
      </c>
      <c r="BM516" s="440">
        <v>0</v>
      </c>
      <c r="BN516" s="440">
        <v>0</v>
      </c>
      <c r="BO516" s="440">
        <v>0</v>
      </c>
      <c r="BP516" s="440">
        <v>0</v>
      </c>
      <c r="BQ516" s="440">
        <v>0</v>
      </c>
      <c r="BR516" s="415">
        <v>2.6666666666666665</v>
      </c>
      <c r="BS516" s="415">
        <v>2.7111111111111108</v>
      </c>
      <c r="BT516" s="935"/>
      <c r="BU516" s="935"/>
      <c r="BV516" s="935"/>
      <c r="BW516" s="935"/>
      <c r="BX516" s="935"/>
      <c r="BY516" s="935"/>
      <c r="BZ516" s="935"/>
      <c r="CA516" s="935"/>
      <c r="CB516" s="935"/>
      <c r="CC516" s="935"/>
      <c r="CD516" s="935"/>
      <c r="CE516" s="935"/>
      <c r="CF516" s="935"/>
      <c r="CG516" s="935"/>
      <c r="CH516" s="935"/>
      <c r="CI516" s="935"/>
      <c r="CJ516" s="935"/>
      <c r="CK516" s="935"/>
      <c r="CL516" s="935"/>
      <c r="CM516" s="935"/>
      <c r="CN516" s="935"/>
      <c r="CO516" s="935"/>
      <c r="CP516" s="935"/>
      <c r="CQ516" s="935"/>
      <c r="CR516" s="935"/>
      <c r="CS516" s="935"/>
      <c r="CT516" s="935"/>
      <c r="CU516" s="935"/>
      <c r="CV516" s="935"/>
    </row>
    <row r="517" spans="1:100" s="441" customFormat="1">
      <c r="A517" s="375">
        <f t="shared" ref="A517:A580" si="160">MONTH(B517)</f>
        <v>9</v>
      </c>
      <c r="B517" s="862">
        <v>44453</v>
      </c>
      <c r="C517" s="493" t="s">
        <v>2001</v>
      </c>
      <c r="D517" s="376" t="str">
        <f>IFERROR(VLOOKUP(E:E,'Item Data Support Sheet'!A:O,7,0),"")</f>
        <v>NIPPLE LASER MARKING</v>
      </c>
      <c r="E517" s="447" t="s">
        <v>1815</v>
      </c>
      <c r="F517" s="500"/>
      <c r="G517" s="497"/>
      <c r="H517" s="602" t="str">
        <f>IFERROR(VLOOKUP(E:E,'Item Data Support Sheet'!A:O,2,0),"")</f>
        <v>NIPPLE S TYPE M SIZE PUNCHED LASER MARKED</v>
      </c>
      <c r="I517" s="501" t="s">
        <v>3096</v>
      </c>
      <c r="J517" s="501" t="s">
        <v>2811</v>
      </c>
      <c r="K517" s="438">
        <v>8</v>
      </c>
      <c r="L517" s="499">
        <v>7000</v>
      </c>
      <c r="M517" s="366">
        <f t="shared" si="158"/>
        <v>875</v>
      </c>
      <c r="N517" s="367">
        <f t="shared" si="159"/>
        <v>7200</v>
      </c>
      <c r="O517" s="61">
        <v>7200</v>
      </c>
      <c r="P517" s="368">
        <v>0</v>
      </c>
      <c r="Q517" s="368">
        <v>0</v>
      </c>
      <c r="R517" s="494">
        <v>0</v>
      </c>
      <c r="S517" s="493">
        <v>0</v>
      </c>
      <c r="T517" s="494">
        <v>0</v>
      </c>
      <c r="U517" s="493">
        <v>0</v>
      </c>
      <c r="V517" s="502">
        <v>1</v>
      </c>
      <c r="W517" s="453">
        <f t="shared" ref="W517:W580" si="161">IFERROR(O517/V517,0)</f>
        <v>7200</v>
      </c>
      <c r="X517" s="748">
        <f t="shared" ref="X517:X580" si="162">O517/L517</f>
        <v>1.0285714285714285</v>
      </c>
      <c r="Y517" s="451" t="str">
        <f>IFERROR(VLOOKUP(E:E,'Item Data Support Sheet'!A:J,6,0),0)</f>
        <v>FO020</v>
      </c>
      <c r="Z517" s="428">
        <f>IFERROR(VLOOKUP(E:E,'Item Data Support Sheet'!A:O,4,0),0)</f>
        <v>0</v>
      </c>
      <c r="AA517" s="428">
        <f t="shared" ref="AA517:AA580" si="163">IFERROR(((N517)*(Z517/1000))+P517,0)</f>
        <v>0</v>
      </c>
      <c r="AB517" s="429" t="str">
        <f t="shared" ref="AB517:AB580" si="164">IFERROR((O517*(Z517/1000)/(AA517))," ")</f>
        <v xml:space="preserve"> </v>
      </c>
      <c r="AC517" s="424">
        <f t="shared" ref="AC517:AC580" si="165">IFERROR((T517)/((T517)+O517),0)</f>
        <v>0</v>
      </c>
      <c r="AD517" s="371">
        <f t="shared" ref="AD517:AD580" si="166">IFERROR(Q517/(Q517+N517),0)</f>
        <v>0</v>
      </c>
      <c r="AE517" s="748">
        <f t="shared" ref="AE517:AE580" si="167">(N517-T517)/N517</f>
        <v>1</v>
      </c>
      <c r="AF517" s="417">
        <f t="shared" ref="AF517:AF580" si="168">BR517</f>
        <v>0.66666666666666663</v>
      </c>
      <c r="AG517" s="416">
        <f t="shared" ref="AG517:AG580" si="169">K517-AF517</f>
        <v>7.333333333333333</v>
      </c>
      <c r="AH517" s="372">
        <f t="shared" ref="AH517:AH580" si="170">IFERROR(AG517/K517," ")</f>
        <v>0.91666666666666663</v>
      </c>
      <c r="AI517" s="373">
        <f t="shared" ref="AI517:AI580" si="171">IFERROR(O517/K517,0)</f>
        <v>900</v>
      </c>
      <c r="AJ517" s="418">
        <f>VLOOKUP(D517,'Standard Cycle time'!C:D,2,0)</f>
        <v>3.5</v>
      </c>
      <c r="AK517" s="418">
        <f t="shared" ref="AK517:AK580" si="172">AG517*V517*3600/O517</f>
        <v>3.6666666666666665</v>
      </c>
      <c r="AL517" s="374">
        <f t="shared" ref="AL517:AL580" si="173">AJ517/AK517</f>
        <v>0.95454545454545459</v>
      </c>
      <c r="AM517" s="372">
        <f t="shared" ref="AM517:AM580" si="174">AE517*AL517*AH517</f>
        <v>0.875</v>
      </c>
      <c r="AN517" s="799" t="s">
        <v>3097</v>
      </c>
      <c r="AO517" s="448"/>
      <c r="AP517" s="440">
        <v>40</v>
      </c>
      <c r="AQ517" s="440">
        <v>0</v>
      </c>
      <c r="AR517" s="440">
        <v>0</v>
      </c>
      <c r="AS517" s="440">
        <v>0</v>
      </c>
      <c r="AT517" s="440">
        <v>0</v>
      </c>
      <c r="AU517" s="440">
        <v>0</v>
      </c>
      <c r="AV517" s="440">
        <v>0</v>
      </c>
      <c r="AW517" s="440">
        <v>0</v>
      </c>
      <c r="AX517" s="440">
        <v>0</v>
      </c>
      <c r="AY517" s="440">
        <v>0</v>
      </c>
      <c r="AZ517" s="440">
        <v>0</v>
      </c>
      <c r="BA517" s="440">
        <v>0</v>
      </c>
      <c r="BB517" s="440">
        <v>0</v>
      </c>
      <c r="BC517" s="440">
        <v>0</v>
      </c>
      <c r="BD517" s="440">
        <v>0</v>
      </c>
      <c r="BE517" s="440">
        <v>0</v>
      </c>
      <c r="BF517" s="440">
        <v>0</v>
      </c>
      <c r="BG517" s="440">
        <v>0</v>
      </c>
      <c r="BH517" s="440">
        <v>0</v>
      </c>
      <c r="BI517" s="440">
        <v>0</v>
      </c>
      <c r="BJ517" s="440">
        <v>0</v>
      </c>
      <c r="BK517" s="440">
        <v>0</v>
      </c>
      <c r="BL517" s="440">
        <v>0</v>
      </c>
      <c r="BM517" s="440">
        <v>0</v>
      </c>
      <c r="BN517" s="440">
        <v>0</v>
      </c>
      <c r="BO517" s="440">
        <v>0</v>
      </c>
      <c r="BP517" s="440">
        <v>0</v>
      </c>
      <c r="BQ517" s="440">
        <v>0</v>
      </c>
      <c r="BR517" s="415">
        <v>0.66666666666666663</v>
      </c>
      <c r="BS517" s="415">
        <v>0.6777777777777777</v>
      </c>
      <c r="BT517" s="935"/>
      <c r="BU517" s="935"/>
      <c r="BV517" s="935"/>
      <c r="BW517" s="935"/>
      <c r="BX517" s="935"/>
      <c r="BY517" s="935"/>
      <c r="BZ517" s="935"/>
      <c r="CA517" s="935"/>
      <c r="CB517" s="935"/>
      <c r="CC517" s="935"/>
      <c r="CD517" s="935"/>
      <c r="CE517" s="935"/>
      <c r="CF517" s="935"/>
      <c r="CG517" s="935"/>
      <c r="CH517" s="935"/>
      <c r="CI517" s="935"/>
      <c r="CJ517" s="935"/>
      <c r="CK517" s="935"/>
      <c r="CL517" s="935"/>
      <c r="CM517" s="935"/>
      <c r="CN517" s="935"/>
      <c r="CO517" s="935"/>
      <c r="CP517" s="935"/>
      <c r="CQ517" s="935"/>
      <c r="CR517" s="935"/>
      <c r="CS517" s="935"/>
      <c r="CT517" s="935"/>
      <c r="CU517" s="935"/>
      <c r="CV517" s="935"/>
    </row>
    <row r="518" spans="1:100" s="441" customFormat="1">
      <c r="A518" s="375">
        <f t="shared" si="160"/>
        <v>9</v>
      </c>
      <c r="B518" s="862">
        <v>44453</v>
      </c>
      <c r="C518" s="493" t="s">
        <v>2001</v>
      </c>
      <c r="D518" s="376" t="str">
        <f>IFERROR(VLOOKUP(E:E,'Item Data Support Sheet'!A:O,7,0),"")</f>
        <v>HOOD MOLDED</v>
      </c>
      <c r="E518" s="447" t="s">
        <v>1987</v>
      </c>
      <c r="F518" s="500"/>
      <c r="G518" s="497" t="s">
        <v>2729</v>
      </c>
      <c r="H518" s="602" t="str">
        <f>IFERROR(VLOOKUP(E:E,'Item Data Support Sheet'!A:O,2,0),"")</f>
        <v>HOOD S TYPE MOLDED</v>
      </c>
      <c r="I518" s="501" t="s">
        <v>3098</v>
      </c>
      <c r="J518" s="501" t="s">
        <v>2811</v>
      </c>
      <c r="K518" s="438">
        <v>8</v>
      </c>
      <c r="L518" s="499">
        <v>4137</v>
      </c>
      <c r="M518" s="366">
        <f t="shared" si="158"/>
        <v>517.125</v>
      </c>
      <c r="N518" s="367">
        <f t="shared" si="159"/>
        <v>5204</v>
      </c>
      <c r="O518" s="61">
        <v>5200</v>
      </c>
      <c r="P518" s="368">
        <v>0</v>
      </c>
      <c r="Q518" s="368">
        <v>0</v>
      </c>
      <c r="R518" s="494">
        <v>0</v>
      </c>
      <c r="S518" s="493">
        <v>0</v>
      </c>
      <c r="T518" s="494">
        <v>4</v>
      </c>
      <c r="U518" s="493">
        <v>0</v>
      </c>
      <c r="V518" s="502">
        <v>1</v>
      </c>
      <c r="W518" s="453">
        <f t="shared" si="161"/>
        <v>5200</v>
      </c>
      <c r="X518" s="748">
        <f t="shared" si="162"/>
        <v>1.2569494802997341</v>
      </c>
      <c r="Y518" s="451" t="str">
        <f>IFERROR(VLOOKUP(E:E,'Item Data Support Sheet'!A:J,6,0),0)</f>
        <v>HMC</v>
      </c>
      <c r="Z518" s="428">
        <f>IFERROR(VLOOKUP(E:E,'Item Data Support Sheet'!A:O,4,0),0)</f>
        <v>8.6</v>
      </c>
      <c r="AA518" s="428">
        <f t="shared" si="163"/>
        <v>44.754399999999997</v>
      </c>
      <c r="AB518" s="429">
        <f t="shared" si="164"/>
        <v>0.99923136049192929</v>
      </c>
      <c r="AC518" s="424">
        <f t="shared" si="165"/>
        <v>7.6863950807071484E-4</v>
      </c>
      <c r="AD518" s="371">
        <f t="shared" si="166"/>
        <v>0</v>
      </c>
      <c r="AE518" s="748">
        <f t="shared" si="167"/>
        <v>0.99923136049192929</v>
      </c>
      <c r="AF518" s="417">
        <f t="shared" si="168"/>
        <v>0.66666666666666663</v>
      </c>
      <c r="AG518" s="416">
        <f t="shared" si="169"/>
        <v>7.333333333333333</v>
      </c>
      <c r="AH518" s="372">
        <f t="shared" si="170"/>
        <v>0.91666666666666663</v>
      </c>
      <c r="AI518" s="373">
        <f t="shared" si="171"/>
        <v>650</v>
      </c>
      <c r="AJ518" s="418">
        <f>VLOOKUP(D518,'Standard Cycle time'!C:D,2,0)</f>
        <v>6</v>
      </c>
      <c r="AK518" s="418">
        <f t="shared" si="172"/>
        <v>5.0769230769230766</v>
      </c>
      <c r="AL518" s="374">
        <f t="shared" si="173"/>
        <v>1.1818181818181819</v>
      </c>
      <c r="AM518" s="372">
        <f t="shared" si="174"/>
        <v>1.0825006405329234</v>
      </c>
      <c r="AN518" s="799">
        <v>3218</v>
      </c>
      <c r="AO518" s="448"/>
      <c r="AP518" s="440">
        <v>40</v>
      </c>
      <c r="AQ518" s="440">
        <v>0</v>
      </c>
      <c r="AR518" s="440">
        <v>0</v>
      </c>
      <c r="AS518" s="440">
        <v>0</v>
      </c>
      <c r="AT518" s="440">
        <v>0</v>
      </c>
      <c r="AU518" s="440">
        <v>0</v>
      </c>
      <c r="AV518" s="440">
        <v>0</v>
      </c>
      <c r="AW518" s="440">
        <v>0</v>
      </c>
      <c r="AX518" s="440">
        <v>0</v>
      </c>
      <c r="AY518" s="440">
        <v>0</v>
      </c>
      <c r="AZ518" s="440">
        <v>0</v>
      </c>
      <c r="BA518" s="440">
        <v>0</v>
      </c>
      <c r="BB518" s="440">
        <v>0</v>
      </c>
      <c r="BC518" s="440">
        <v>0</v>
      </c>
      <c r="BD518" s="440">
        <v>0</v>
      </c>
      <c r="BE518" s="440">
        <v>0</v>
      </c>
      <c r="BF518" s="440">
        <v>0</v>
      </c>
      <c r="BG518" s="440">
        <v>0</v>
      </c>
      <c r="BH518" s="440">
        <v>0</v>
      </c>
      <c r="BI518" s="440">
        <v>0</v>
      </c>
      <c r="BJ518" s="440">
        <v>0</v>
      </c>
      <c r="BK518" s="440">
        <v>0</v>
      </c>
      <c r="BL518" s="440">
        <v>0</v>
      </c>
      <c r="BM518" s="440">
        <v>0</v>
      </c>
      <c r="BN518" s="440">
        <v>0</v>
      </c>
      <c r="BO518" s="440">
        <v>0</v>
      </c>
      <c r="BP518" s="440">
        <v>0</v>
      </c>
      <c r="BQ518" s="440">
        <v>0</v>
      </c>
      <c r="BR518" s="415">
        <v>0.66666666666666663</v>
      </c>
      <c r="BS518" s="415">
        <v>0.6777777777777777</v>
      </c>
      <c r="BT518" s="935"/>
      <c r="BU518" s="935"/>
      <c r="BV518" s="935"/>
      <c r="BW518" s="935"/>
      <c r="BX518" s="935"/>
      <c r="BY518" s="935"/>
      <c r="BZ518" s="935"/>
      <c r="CA518" s="935"/>
      <c r="CB518" s="935"/>
      <c r="CC518" s="935"/>
      <c r="CD518" s="935"/>
      <c r="CE518" s="935"/>
      <c r="CF518" s="935"/>
      <c r="CG518" s="935"/>
      <c r="CH518" s="935"/>
      <c r="CI518" s="935"/>
      <c r="CJ518" s="935"/>
      <c r="CK518" s="935"/>
      <c r="CL518" s="935"/>
      <c r="CM518" s="935"/>
      <c r="CN518" s="935"/>
      <c r="CO518" s="935"/>
      <c r="CP518" s="935"/>
      <c r="CQ518" s="935"/>
      <c r="CR518" s="935"/>
      <c r="CS518" s="935"/>
      <c r="CT518" s="935"/>
      <c r="CU518" s="935"/>
      <c r="CV518" s="935"/>
    </row>
    <row r="519" spans="1:100" s="441" customFormat="1">
      <c r="A519" s="375">
        <f t="shared" si="160"/>
        <v>9</v>
      </c>
      <c r="B519" s="862">
        <v>44453</v>
      </c>
      <c r="C519" s="493" t="s">
        <v>2001</v>
      </c>
      <c r="D519" s="376" t="str">
        <f>IFERROR(VLOOKUP(E:E,'Item Data Support Sheet'!A:O,7,0),"")</f>
        <v>NIPPLE MOLDED</v>
      </c>
      <c r="E519" s="447" t="s">
        <v>74</v>
      </c>
      <c r="F519" s="500" t="s">
        <v>1678</v>
      </c>
      <c r="G519" s="497" t="s">
        <v>1691</v>
      </c>
      <c r="H519" s="602" t="str">
        <f>IFERROR(VLOOKUP(E:E,'Item Data Support Sheet'!A:O,2,0),"")</f>
        <v>NIPPLE S TYPE L SIZE INJECTION</v>
      </c>
      <c r="I519" s="501" t="s">
        <v>3099</v>
      </c>
      <c r="J519" s="501" t="s">
        <v>2811</v>
      </c>
      <c r="K519" s="438">
        <v>8</v>
      </c>
      <c r="L519" s="499">
        <v>4815</v>
      </c>
      <c r="M519" s="366">
        <f t="shared" si="158"/>
        <v>601.875</v>
      </c>
      <c r="N519" s="367">
        <f t="shared" si="159"/>
        <v>5440</v>
      </c>
      <c r="O519" s="61">
        <v>5350</v>
      </c>
      <c r="P519" s="368">
        <v>0</v>
      </c>
      <c r="Q519" s="368">
        <v>40</v>
      </c>
      <c r="R519" s="494">
        <v>0</v>
      </c>
      <c r="S519" s="493">
        <v>0</v>
      </c>
      <c r="T519" s="494">
        <v>50</v>
      </c>
      <c r="U519" s="493">
        <v>0</v>
      </c>
      <c r="V519" s="502">
        <v>1</v>
      </c>
      <c r="W519" s="453">
        <f t="shared" si="161"/>
        <v>5350</v>
      </c>
      <c r="X519" s="748">
        <f t="shared" si="162"/>
        <v>1.1111111111111112</v>
      </c>
      <c r="Y519" s="451" t="str">
        <f>IFERROR(VLOOKUP(E:E,'Item Data Support Sheet'!A:J,6,0),0)</f>
        <v>Silicon</v>
      </c>
      <c r="Z519" s="428">
        <f>IFERROR(VLOOKUP(E:E,'Item Data Support Sheet'!A:O,4,0),0)</f>
        <v>6.8</v>
      </c>
      <c r="AA519" s="428">
        <f t="shared" si="163"/>
        <v>36.991999999999997</v>
      </c>
      <c r="AB519" s="429">
        <f t="shared" si="164"/>
        <v>0.98345588235294112</v>
      </c>
      <c r="AC519" s="424">
        <f t="shared" si="165"/>
        <v>9.2592592592592587E-3</v>
      </c>
      <c r="AD519" s="371">
        <f t="shared" si="166"/>
        <v>7.2992700729927005E-3</v>
      </c>
      <c r="AE519" s="748">
        <f t="shared" si="167"/>
        <v>0.9908088235294118</v>
      </c>
      <c r="AF519" s="417">
        <f t="shared" si="168"/>
        <v>0</v>
      </c>
      <c r="AG519" s="416">
        <f t="shared" si="169"/>
        <v>8</v>
      </c>
      <c r="AH519" s="372">
        <f t="shared" si="170"/>
        <v>1</v>
      </c>
      <c r="AI519" s="373">
        <f t="shared" si="171"/>
        <v>668.75</v>
      </c>
      <c r="AJ519" s="418">
        <f>VLOOKUP(D519,'Standard Cycle time'!C:D,2,0)</f>
        <v>5.25</v>
      </c>
      <c r="AK519" s="418">
        <f t="shared" si="172"/>
        <v>5.3831775700934577</v>
      </c>
      <c r="AL519" s="374">
        <f t="shared" si="173"/>
        <v>0.97526041666666674</v>
      </c>
      <c r="AM519" s="372">
        <f t="shared" si="174"/>
        <v>0.96629662607230404</v>
      </c>
      <c r="AN519" s="799">
        <v>3219</v>
      </c>
      <c r="AO519" s="448"/>
      <c r="AP519" s="440">
        <v>0</v>
      </c>
      <c r="AQ519" s="440">
        <v>0</v>
      </c>
      <c r="AR519" s="440">
        <v>0</v>
      </c>
      <c r="AS519" s="440">
        <v>0</v>
      </c>
      <c r="AT519" s="440">
        <v>0</v>
      </c>
      <c r="AU519" s="440">
        <v>0</v>
      </c>
      <c r="AV519" s="440">
        <v>0</v>
      </c>
      <c r="AW519" s="440">
        <v>0</v>
      </c>
      <c r="AX519" s="440">
        <v>0</v>
      </c>
      <c r="AY519" s="440">
        <v>0</v>
      </c>
      <c r="AZ519" s="440">
        <v>0</v>
      </c>
      <c r="BA519" s="440">
        <v>0</v>
      </c>
      <c r="BB519" s="440">
        <v>0</v>
      </c>
      <c r="BC519" s="440">
        <v>0</v>
      </c>
      <c r="BD519" s="440">
        <v>0</v>
      </c>
      <c r="BE519" s="440">
        <v>0</v>
      </c>
      <c r="BF519" s="440">
        <v>0</v>
      </c>
      <c r="BG519" s="440">
        <v>0</v>
      </c>
      <c r="BH519" s="440">
        <v>0</v>
      </c>
      <c r="BI519" s="440">
        <v>0</v>
      </c>
      <c r="BJ519" s="440">
        <v>0</v>
      </c>
      <c r="BK519" s="440">
        <v>0</v>
      </c>
      <c r="BL519" s="440">
        <v>0</v>
      </c>
      <c r="BM519" s="440">
        <v>0</v>
      </c>
      <c r="BN519" s="440">
        <v>0</v>
      </c>
      <c r="BO519" s="440">
        <v>0</v>
      </c>
      <c r="BP519" s="440">
        <v>0</v>
      </c>
      <c r="BQ519" s="440">
        <v>0</v>
      </c>
      <c r="BR519" s="415">
        <v>0</v>
      </c>
      <c r="BS519" s="415">
        <v>0</v>
      </c>
      <c r="BT519" s="935"/>
      <c r="BU519" s="935"/>
      <c r="BV519" s="935"/>
      <c r="BW519" s="935"/>
      <c r="BX519" s="935"/>
      <c r="BY519" s="935"/>
      <c r="BZ519" s="935"/>
      <c r="CA519" s="935"/>
      <c r="CB519" s="935"/>
      <c r="CC519" s="935"/>
      <c r="CD519" s="935"/>
      <c r="CE519" s="935"/>
      <c r="CF519" s="935"/>
      <c r="CG519" s="935"/>
      <c r="CH519" s="935"/>
      <c r="CI519" s="935"/>
      <c r="CJ519" s="935"/>
      <c r="CK519" s="935"/>
      <c r="CL519" s="935"/>
      <c r="CM519" s="935"/>
      <c r="CN519" s="935"/>
      <c r="CO519" s="935"/>
      <c r="CP519" s="935"/>
      <c r="CQ519" s="935"/>
      <c r="CR519" s="935"/>
      <c r="CS519" s="935"/>
      <c r="CT519" s="935"/>
      <c r="CU519" s="935"/>
      <c r="CV519" s="935"/>
    </row>
    <row r="520" spans="1:100" s="441" customFormat="1">
      <c r="A520" s="375">
        <f t="shared" si="160"/>
        <v>9</v>
      </c>
      <c r="B520" s="862">
        <v>44453</v>
      </c>
      <c r="C520" s="493" t="s">
        <v>2001</v>
      </c>
      <c r="D520" s="376" t="str">
        <f>IFERROR(VLOOKUP(E:E,'Item Data Support Sheet'!A:O,7,0),"")</f>
        <v>BOTTLE MOLDED</v>
      </c>
      <c r="E520" s="447" t="s">
        <v>66</v>
      </c>
      <c r="F520" s="500" t="s">
        <v>1680</v>
      </c>
      <c r="G520" s="497" t="s">
        <v>1665</v>
      </c>
      <c r="H520" s="602" t="str">
        <f>IFERROR(VLOOKUP(E:E,'Item Data Support Sheet'!A:O,2,0),"")</f>
        <v>KPP 200 ML BOTTLE MOLDED</v>
      </c>
      <c r="I520" s="501" t="s">
        <v>3100</v>
      </c>
      <c r="J520" s="501" t="s">
        <v>2811</v>
      </c>
      <c r="K520" s="438">
        <v>8</v>
      </c>
      <c r="L520" s="499">
        <v>2574</v>
      </c>
      <c r="M520" s="366">
        <f t="shared" si="158"/>
        <v>321.75</v>
      </c>
      <c r="N520" s="367">
        <f t="shared" si="159"/>
        <v>2686</v>
      </c>
      <c r="O520" s="61">
        <v>2592</v>
      </c>
      <c r="P520" s="368">
        <v>0</v>
      </c>
      <c r="Q520" s="368">
        <v>40</v>
      </c>
      <c r="R520" s="494">
        <v>0</v>
      </c>
      <c r="S520" s="493">
        <v>0</v>
      </c>
      <c r="T520" s="494">
        <v>54</v>
      </c>
      <c r="U520" s="493">
        <v>0</v>
      </c>
      <c r="V520" s="502">
        <v>1</v>
      </c>
      <c r="W520" s="453">
        <f t="shared" si="161"/>
        <v>2592</v>
      </c>
      <c r="X520" s="748">
        <f t="shared" si="162"/>
        <v>1.0069930069930071</v>
      </c>
      <c r="Y520" s="451" t="str">
        <f>IFERROR(VLOOKUP(E:E,'Item Data Support Sheet'!A:J,6,0),0)</f>
        <v>HMC</v>
      </c>
      <c r="Z520" s="428">
        <f>IFERROR(VLOOKUP(E:E,'Item Data Support Sheet'!A:O,4,0),0)</f>
        <v>28.1</v>
      </c>
      <c r="AA520" s="428">
        <f t="shared" si="163"/>
        <v>75.476600000000005</v>
      </c>
      <c r="AB520" s="429">
        <f t="shared" si="164"/>
        <v>0.96500372300819059</v>
      </c>
      <c r="AC520" s="424">
        <f t="shared" si="165"/>
        <v>2.0408163265306121E-2</v>
      </c>
      <c r="AD520" s="371">
        <f t="shared" si="166"/>
        <v>1.4673514306676448E-2</v>
      </c>
      <c r="AE520" s="748">
        <f t="shared" si="167"/>
        <v>0.97989575577066268</v>
      </c>
      <c r="AF520" s="417">
        <f t="shared" si="168"/>
        <v>0</v>
      </c>
      <c r="AG520" s="416">
        <f t="shared" si="169"/>
        <v>8</v>
      </c>
      <c r="AH520" s="372">
        <f t="shared" si="170"/>
        <v>1</v>
      </c>
      <c r="AI520" s="373">
        <f t="shared" si="171"/>
        <v>324</v>
      </c>
      <c r="AJ520" s="418">
        <f>VLOOKUP(D520,'Standard Cycle time'!C:D,2,0)</f>
        <v>9</v>
      </c>
      <c r="AK520" s="418">
        <f t="shared" si="172"/>
        <v>11.111111111111111</v>
      </c>
      <c r="AL520" s="374">
        <f t="shared" si="173"/>
        <v>0.81</v>
      </c>
      <c r="AM520" s="372">
        <f t="shared" si="174"/>
        <v>0.79371556217423678</v>
      </c>
      <c r="AN520" s="799">
        <v>3220</v>
      </c>
      <c r="AO520" s="448"/>
      <c r="AP520" s="440">
        <v>0</v>
      </c>
      <c r="AQ520" s="440">
        <v>0</v>
      </c>
      <c r="AR520" s="440">
        <v>0</v>
      </c>
      <c r="AS520" s="440">
        <v>0</v>
      </c>
      <c r="AT520" s="440">
        <v>0</v>
      </c>
      <c r="AU520" s="440">
        <v>0</v>
      </c>
      <c r="AV520" s="440">
        <v>0</v>
      </c>
      <c r="AW520" s="440">
        <v>0</v>
      </c>
      <c r="AX520" s="440">
        <v>0</v>
      </c>
      <c r="AY520" s="440">
        <v>0</v>
      </c>
      <c r="AZ520" s="440">
        <v>0</v>
      </c>
      <c r="BA520" s="440">
        <v>0</v>
      </c>
      <c r="BB520" s="440">
        <v>0</v>
      </c>
      <c r="BC520" s="440">
        <v>0</v>
      </c>
      <c r="BD520" s="440">
        <v>0</v>
      </c>
      <c r="BE520" s="440">
        <v>0</v>
      </c>
      <c r="BF520" s="440">
        <v>0</v>
      </c>
      <c r="BG520" s="440">
        <v>0</v>
      </c>
      <c r="BH520" s="440">
        <v>0</v>
      </c>
      <c r="BI520" s="440">
        <v>0</v>
      </c>
      <c r="BJ520" s="440">
        <v>0</v>
      </c>
      <c r="BK520" s="440">
        <v>0</v>
      </c>
      <c r="BL520" s="440">
        <v>0</v>
      </c>
      <c r="BM520" s="440">
        <v>0</v>
      </c>
      <c r="BN520" s="440">
        <v>0</v>
      </c>
      <c r="BO520" s="440">
        <v>0</v>
      </c>
      <c r="BP520" s="440">
        <v>0</v>
      </c>
      <c r="BQ520" s="440">
        <v>0</v>
      </c>
      <c r="BR520" s="415">
        <v>0</v>
      </c>
      <c r="BS520" s="415">
        <v>0</v>
      </c>
      <c r="BT520" s="935"/>
      <c r="BU520" s="935"/>
      <c r="BV520" s="935"/>
      <c r="BW520" s="935"/>
      <c r="BX520" s="935"/>
      <c r="BY520" s="935"/>
      <c r="BZ520" s="935"/>
      <c r="CA520" s="935"/>
      <c r="CB520" s="935"/>
      <c r="CC520" s="935"/>
      <c r="CD520" s="935"/>
      <c r="CE520" s="935"/>
      <c r="CF520" s="935"/>
      <c r="CG520" s="935"/>
      <c r="CH520" s="935"/>
      <c r="CI520" s="935"/>
      <c r="CJ520" s="935"/>
      <c r="CK520" s="935"/>
      <c r="CL520" s="935"/>
      <c r="CM520" s="935"/>
      <c r="CN520" s="935"/>
      <c r="CO520" s="935"/>
      <c r="CP520" s="935"/>
      <c r="CQ520" s="935"/>
      <c r="CR520" s="935"/>
      <c r="CS520" s="935"/>
      <c r="CT520" s="935"/>
      <c r="CU520" s="935"/>
      <c r="CV520" s="935"/>
    </row>
    <row r="521" spans="1:100" s="441" customFormat="1">
      <c r="A521" s="375">
        <f t="shared" si="160"/>
        <v>9</v>
      </c>
      <c r="B521" s="862">
        <v>44453</v>
      </c>
      <c r="C521" s="493" t="s">
        <v>2001</v>
      </c>
      <c r="D521" s="376" t="str">
        <f>IFERROR(VLOOKUP(E:E,'Item Data Support Sheet'!A:O,7,0),"")</f>
        <v>BOTTLE PRINTED</v>
      </c>
      <c r="E521" s="447" t="s">
        <v>70</v>
      </c>
      <c r="F521" s="500"/>
      <c r="G521" s="497"/>
      <c r="H521" s="602" t="str">
        <f>IFERROR(VLOOKUP(E:E,'Item Data Support Sheet'!A:O,2,0),"")</f>
        <v>KPP 200 ML BOTTLE PRINTED</v>
      </c>
      <c r="I521" s="501" t="s">
        <v>3101</v>
      </c>
      <c r="J521" s="501" t="s">
        <v>2811</v>
      </c>
      <c r="K521" s="438">
        <v>8</v>
      </c>
      <c r="L521" s="499">
        <v>5100</v>
      </c>
      <c r="M521" s="366">
        <f t="shared" si="158"/>
        <v>637.5</v>
      </c>
      <c r="N521" s="367">
        <f t="shared" si="159"/>
        <v>4024</v>
      </c>
      <c r="O521" s="61">
        <v>3996</v>
      </c>
      <c r="P521" s="368">
        <v>0</v>
      </c>
      <c r="Q521" s="368">
        <v>0</v>
      </c>
      <c r="R521" s="494">
        <v>32</v>
      </c>
      <c r="S521" s="493">
        <v>0</v>
      </c>
      <c r="T521" s="494">
        <v>28</v>
      </c>
      <c r="U521" s="493">
        <v>0</v>
      </c>
      <c r="V521" s="502">
        <v>5</v>
      </c>
      <c r="W521" s="453">
        <f t="shared" si="161"/>
        <v>799.2</v>
      </c>
      <c r="X521" s="748">
        <f t="shared" si="162"/>
        <v>0.78352941176470592</v>
      </c>
      <c r="Y521" s="451" t="str">
        <f>IFERROR(VLOOKUP(E:E,'Item Data Support Sheet'!A:J,6,0),0)</f>
        <v>FO002</v>
      </c>
      <c r="Z521" s="428">
        <f>IFERROR(VLOOKUP(E:E,'Item Data Support Sheet'!A:O,4,0),0)</f>
        <v>0</v>
      </c>
      <c r="AA521" s="428">
        <f t="shared" si="163"/>
        <v>0</v>
      </c>
      <c r="AB521" s="429" t="str">
        <f t="shared" si="164"/>
        <v xml:space="preserve"> </v>
      </c>
      <c r="AC521" s="424">
        <f t="shared" si="165"/>
        <v>6.958250497017893E-3</v>
      </c>
      <c r="AD521" s="371">
        <f t="shared" si="166"/>
        <v>0</v>
      </c>
      <c r="AE521" s="748">
        <f t="shared" si="167"/>
        <v>0.99304174950298207</v>
      </c>
      <c r="AF521" s="417">
        <f t="shared" si="168"/>
        <v>0.66666666666666663</v>
      </c>
      <c r="AG521" s="416">
        <f t="shared" si="169"/>
        <v>7.333333333333333</v>
      </c>
      <c r="AH521" s="372">
        <f t="shared" si="170"/>
        <v>0.91666666666666663</v>
      </c>
      <c r="AI521" s="373">
        <f t="shared" si="171"/>
        <v>499.5</v>
      </c>
      <c r="AJ521" s="418">
        <f>VLOOKUP(D521,'Standard Cycle time'!C:D,2,0)</f>
        <v>32.4</v>
      </c>
      <c r="AK521" s="418">
        <f t="shared" si="172"/>
        <v>33.033033033033036</v>
      </c>
      <c r="AL521" s="374">
        <f t="shared" si="173"/>
        <v>0.98083636363636351</v>
      </c>
      <c r="AM521" s="372">
        <f t="shared" si="174"/>
        <v>0.89284383697813108</v>
      </c>
      <c r="AN521" s="799" t="s">
        <v>2874</v>
      </c>
      <c r="AO521" s="448" t="s">
        <v>3102</v>
      </c>
      <c r="AP521" s="440">
        <v>40</v>
      </c>
      <c r="AQ521" s="440">
        <v>0</v>
      </c>
      <c r="AR521" s="440">
        <v>0</v>
      </c>
      <c r="AS521" s="440">
        <v>0</v>
      </c>
      <c r="AT521" s="440">
        <v>0</v>
      </c>
      <c r="AU521" s="440">
        <v>0</v>
      </c>
      <c r="AV521" s="440">
        <v>0</v>
      </c>
      <c r="AW521" s="440">
        <v>0</v>
      </c>
      <c r="AX521" s="440">
        <v>0</v>
      </c>
      <c r="AY521" s="440">
        <v>0</v>
      </c>
      <c r="AZ521" s="440">
        <v>0</v>
      </c>
      <c r="BA521" s="440">
        <v>0</v>
      </c>
      <c r="BB521" s="440">
        <v>0</v>
      </c>
      <c r="BC521" s="440">
        <v>0</v>
      </c>
      <c r="BD521" s="440">
        <v>0</v>
      </c>
      <c r="BE521" s="440">
        <v>0</v>
      </c>
      <c r="BF521" s="440">
        <v>0</v>
      </c>
      <c r="BG521" s="440">
        <v>0</v>
      </c>
      <c r="BH521" s="440">
        <v>0</v>
      </c>
      <c r="BI521" s="440">
        <v>0</v>
      </c>
      <c r="BJ521" s="440">
        <v>0</v>
      </c>
      <c r="BK521" s="440">
        <v>0</v>
      </c>
      <c r="BL521" s="440">
        <v>0</v>
      </c>
      <c r="BM521" s="440">
        <v>0</v>
      </c>
      <c r="BN521" s="440">
        <v>0</v>
      </c>
      <c r="BO521" s="440">
        <v>0</v>
      </c>
      <c r="BP521" s="440">
        <v>0</v>
      </c>
      <c r="BQ521" s="440">
        <v>0</v>
      </c>
      <c r="BR521" s="415">
        <v>0.66666666666666663</v>
      </c>
      <c r="BS521" s="415">
        <v>0.6777777777777777</v>
      </c>
      <c r="BT521" s="935"/>
      <c r="BU521" s="935"/>
      <c r="BV521" s="935"/>
      <c r="BW521" s="935"/>
      <c r="BX521" s="935"/>
      <c r="BY521" s="935"/>
      <c r="BZ521" s="935"/>
      <c r="CA521" s="935"/>
      <c r="CB521" s="935"/>
      <c r="CC521" s="935"/>
      <c r="CD521" s="935"/>
      <c r="CE521" s="935"/>
      <c r="CF521" s="935"/>
      <c r="CG521" s="935"/>
      <c r="CH521" s="935"/>
      <c r="CI521" s="935"/>
      <c r="CJ521" s="935"/>
      <c r="CK521" s="935"/>
      <c r="CL521" s="935"/>
      <c r="CM521" s="935"/>
      <c r="CN521" s="935"/>
      <c r="CO521" s="935"/>
      <c r="CP521" s="935"/>
      <c r="CQ521" s="935"/>
      <c r="CR521" s="935"/>
      <c r="CS521" s="935"/>
      <c r="CT521" s="935"/>
      <c r="CU521" s="935"/>
      <c r="CV521" s="935"/>
    </row>
    <row r="522" spans="1:100" s="441" customFormat="1">
      <c r="A522" s="375">
        <f t="shared" si="160"/>
        <v>9</v>
      </c>
      <c r="B522" s="862">
        <v>44453</v>
      </c>
      <c r="C522" s="493" t="s">
        <v>2053</v>
      </c>
      <c r="D522" s="376" t="str">
        <f>IFERROR(VLOOKUP(E:E,'Item Data Support Sheet'!A:O,7,0),"")</f>
        <v>BOTTLE MOLDED</v>
      </c>
      <c r="E522" s="447" t="s">
        <v>66</v>
      </c>
      <c r="F522" s="500" t="s">
        <v>1680</v>
      </c>
      <c r="G522" s="497" t="s">
        <v>1665</v>
      </c>
      <c r="H522" s="602" t="str">
        <f>IFERROR(VLOOKUP(E:E,'Item Data Support Sheet'!A:O,2,0),"")</f>
        <v>KPP 200 ML BOTTLE MOLDED</v>
      </c>
      <c r="I522" s="501" t="s">
        <v>3103</v>
      </c>
      <c r="J522" s="501" t="s">
        <v>2826</v>
      </c>
      <c r="K522" s="438">
        <v>8</v>
      </c>
      <c r="L522" s="499">
        <v>2574</v>
      </c>
      <c r="M522" s="366">
        <f t="shared" si="158"/>
        <v>321.75</v>
      </c>
      <c r="N522" s="367">
        <f t="shared" si="159"/>
        <v>2762</v>
      </c>
      <c r="O522" s="61">
        <v>2700</v>
      </c>
      <c r="P522" s="368">
        <v>0.18</v>
      </c>
      <c r="Q522" s="368">
        <v>18</v>
      </c>
      <c r="R522" s="494">
        <v>0</v>
      </c>
      <c r="S522" s="493">
        <v>0</v>
      </c>
      <c r="T522" s="494">
        <v>36</v>
      </c>
      <c r="U522" s="493">
        <v>8</v>
      </c>
      <c r="V522" s="502">
        <v>1</v>
      </c>
      <c r="W522" s="453">
        <f t="shared" si="161"/>
        <v>2700</v>
      </c>
      <c r="X522" s="748">
        <f t="shared" si="162"/>
        <v>1.048951048951049</v>
      </c>
      <c r="Y522" s="451" t="str">
        <f>IFERROR(VLOOKUP(E:E,'Item Data Support Sheet'!A:J,6,0),0)</f>
        <v>HMC</v>
      </c>
      <c r="Z522" s="428">
        <f>IFERROR(VLOOKUP(E:E,'Item Data Support Sheet'!A:O,4,0),0)</f>
        <v>28.1</v>
      </c>
      <c r="AA522" s="428">
        <f t="shared" si="163"/>
        <v>77.792200000000008</v>
      </c>
      <c r="AB522" s="429">
        <f t="shared" si="164"/>
        <v>0.9752905818321117</v>
      </c>
      <c r="AC522" s="424">
        <f t="shared" si="165"/>
        <v>1.3157894736842105E-2</v>
      </c>
      <c r="AD522" s="371">
        <f t="shared" si="166"/>
        <v>6.4748201438848919E-3</v>
      </c>
      <c r="AE522" s="748">
        <f t="shared" si="167"/>
        <v>0.98696596669080372</v>
      </c>
      <c r="AF522" s="417">
        <f t="shared" si="168"/>
        <v>0</v>
      </c>
      <c r="AG522" s="416">
        <f t="shared" si="169"/>
        <v>8</v>
      </c>
      <c r="AH522" s="372">
        <f t="shared" si="170"/>
        <v>1</v>
      </c>
      <c r="AI522" s="373">
        <f t="shared" si="171"/>
        <v>337.5</v>
      </c>
      <c r="AJ522" s="418">
        <f>VLOOKUP(D522,'Standard Cycle time'!C:D,2,0)</f>
        <v>9</v>
      </c>
      <c r="AK522" s="418">
        <f t="shared" si="172"/>
        <v>10.666666666666666</v>
      </c>
      <c r="AL522" s="374">
        <f t="shared" si="173"/>
        <v>0.84375</v>
      </c>
      <c r="AM522" s="372">
        <f t="shared" si="174"/>
        <v>0.83275253439536567</v>
      </c>
      <c r="AN522" s="799">
        <v>3224</v>
      </c>
      <c r="AO522" s="448"/>
      <c r="AP522" s="440">
        <v>0</v>
      </c>
      <c r="AQ522" s="440">
        <v>0</v>
      </c>
      <c r="AR522" s="440">
        <v>0</v>
      </c>
      <c r="AS522" s="440">
        <v>0</v>
      </c>
      <c r="AT522" s="440">
        <v>0</v>
      </c>
      <c r="AU522" s="440">
        <v>0</v>
      </c>
      <c r="AV522" s="440">
        <v>0</v>
      </c>
      <c r="AW522" s="440">
        <v>0</v>
      </c>
      <c r="AX522" s="440">
        <v>0</v>
      </c>
      <c r="AY522" s="440">
        <v>0</v>
      </c>
      <c r="AZ522" s="440">
        <v>0</v>
      </c>
      <c r="BA522" s="440">
        <v>0</v>
      </c>
      <c r="BB522" s="440">
        <v>0</v>
      </c>
      <c r="BC522" s="440">
        <v>0</v>
      </c>
      <c r="BD522" s="440">
        <v>0</v>
      </c>
      <c r="BE522" s="440">
        <v>0</v>
      </c>
      <c r="BF522" s="440">
        <v>0</v>
      </c>
      <c r="BG522" s="440">
        <v>0</v>
      </c>
      <c r="BH522" s="440">
        <v>0</v>
      </c>
      <c r="BI522" s="440">
        <v>0</v>
      </c>
      <c r="BJ522" s="440">
        <v>0</v>
      </c>
      <c r="BK522" s="440">
        <v>0</v>
      </c>
      <c r="BL522" s="440">
        <v>0</v>
      </c>
      <c r="BM522" s="440">
        <v>0</v>
      </c>
      <c r="BN522" s="440">
        <v>0</v>
      </c>
      <c r="BO522" s="440">
        <v>0</v>
      </c>
      <c r="BP522" s="440">
        <v>0</v>
      </c>
      <c r="BQ522" s="440">
        <v>0</v>
      </c>
      <c r="BR522" s="415">
        <v>0</v>
      </c>
      <c r="BS522" s="415">
        <v>0</v>
      </c>
      <c r="BT522" s="935"/>
      <c r="BU522" s="935"/>
      <c r="BV522" s="935"/>
      <c r="BW522" s="935"/>
      <c r="BX522" s="935"/>
      <c r="BY522" s="935"/>
      <c r="BZ522" s="935"/>
      <c r="CA522" s="935"/>
      <c r="CB522" s="935"/>
      <c r="CC522" s="935"/>
      <c r="CD522" s="935"/>
      <c r="CE522" s="935"/>
      <c r="CF522" s="935"/>
      <c r="CG522" s="935"/>
      <c r="CH522" s="935"/>
      <c r="CI522" s="935"/>
      <c r="CJ522" s="935"/>
      <c r="CK522" s="935"/>
      <c r="CL522" s="935"/>
      <c r="CM522" s="935"/>
      <c r="CN522" s="935"/>
      <c r="CO522" s="935"/>
      <c r="CP522" s="935"/>
      <c r="CQ522" s="935"/>
      <c r="CR522" s="935"/>
      <c r="CS522" s="935"/>
      <c r="CT522" s="935"/>
      <c r="CU522" s="935"/>
      <c r="CV522" s="935"/>
    </row>
    <row r="523" spans="1:100" s="441" customFormat="1">
      <c r="A523" s="375">
        <f t="shared" si="160"/>
        <v>9</v>
      </c>
      <c r="B523" s="862">
        <v>44453</v>
      </c>
      <c r="C523" s="493" t="s">
        <v>2053</v>
      </c>
      <c r="D523" s="376" t="str">
        <f>IFERROR(VLOOKUP(E:E,'Item Data Support Sheet'!A:O,7,0),"")</f>
        <v>HOOD MOLDED</v>
      </c>
      <c r="E523" s="447" t="s">
        <v>1987</v>
      </c>
      <c r="F523" s="500"/>
      <c r="G523" s="497" t="s">
        <v>2729</v>
      </c>
      <c r="H523" s="602" t="str">
        <f>IFERROR(VLOOKUP(E:E,'Item Data Support Sheet'!A:O,2,0),"")</f>
        <v>HOOD S TYPE MOLDED</v>
      </c>
      <c r="I523" s="501" t="s">
        <v>3104</v>
      </c>
      <c r="J523" s="501" t="s">
        <v>2826</v>
      </c>
      <c r="K523" s="438">
        <v>8</v>
      </c>
      <c r="L523" s="499">
        <v>4137</v>
      </c>
      <c r="M523" s="366">
        <f t="shared" si="158"/>
        <v>517.125</v>
      </c>
      <c r="N523" s="367">
        <f t="shared" si="159"/>
        <v>5312</v>
      </c>
      <c r="O523" s="61">
        <v>5300</v>
      </c>
      <c r="P523" s="368">
        <v>0</v>
      </c>
      <c r="Q523" s="368">
        <v>0</v>
      </c>
      <c r="R523" s="494">
        <v>0</v>
      </c>
      <c r="S523" s="493">
        <v>0</v>
      </c>
      <c r="T523" s="494">
        <v>4</v>
      </c>
      <c r="U523" s="493">
        <v>8</v>
      </c>
      <c r="V523" s="502">
        <v>1</v>
      </c>
      <c r="W523" s="453">
        <f t="shared" si="161"/>
        <v>5300</v>
      </c>
      <c r="X523" s="748">
        <f t="shared" si="162"/>
        <v>1.2811215856901137</v>
      </c>
      <c r="Y523" s="451" t="str">
        <f>IFERROR(VLOOKUP(E:E,'Item Data Support Sheet'!A:J,6,0),0)</f>
        <v>HMC</v>
      </c>
      <c r="Z523" s="428">
        <f>IFERROR(VLOOKUP(E:E,'Item Data Support Sheet'!A:O,4,0),0)</f>
        <v>8.6</v>
      </c>
      <c r="AA523" s="428">
        <f t="shared" si="163"/>
        <v>45.683199999999999</v>
      </c>
      <c r="AB523" s="429">
        <f t="shared" si="164"/>
        <v>0.99774096385542166</v>
      </c>
      <c r="AC523" s="424">
        <f t="shared" si="165"/>
        <v>7.5414781297134241E-4</v>
      </c>
      <c r="AD523" s="371">
        <f t="shared" si="166"/>
        <v>0</v>
      </c>
      <c r="AE523" s="748">
        <f t="shared" si="167"/>
        <v>0.99924698795180722</v>
      </c>
      <c r="AF523" s="417">
        <f t="shared" si="168"/>
        <v>0</v>
      </c>
      <c r="AG523" s="416">
        <f t="shared" si="169"/>
        <v>8</v>
      </c>
      <c r="AH523" s="372">
        <f t="shared" si="170"/>
        <v>1</v>
      </c>
      <c r="AI523" s="373">
        <f t="shared" si="171"/>
        <v>662.5</v>
      </c>
      <c r="AJ523" s="418">
        <f>VLOOKUP(D523,'Standard Cycle time'!C:D,2,0)</f>
        <v>6</v>
      </c>
      <c r="AK523" s="418">
        <f t="shared" si="172"/>
        <v>5.4339622641509431</v>
      </c>
      <c r="AL523" s="374">
        <f t="shared" si="173"/>
        <v>1.1041666666666667</v>
      </c>
      <c r="AM523" s="372">
        <f t="shared" si="174"/>
        <v>1.103335215863454</v>
      </c>
      <c r="AN523" s="799">
        <v>3225</v>
      </c>
      <c r="AO523" s="448"/>
      <c r="AP523" s="440">
        <v>0</v>
      </c>
      <c r="AQ523" s="440">
        <v>0</v>
      </c>
      <c r="AR523" s="440">
        <v>0</v>
      </c>
      <c r="AS523" s="440">
        <v>0</v>
      </c>
      <c r="AT523" s="440">
        <v>0</v>
      </c>
      <c r="AU523" s="440">
        <v>0</v>
      </c>
      <c r="AV523" s="440">
        <v>0</v>
      </c>
      <c r="AW523" s="440">
        <v>0</v>
      </c>
      <c r="AX523" s="440">
        <v>0</v>
      </c>
      <c r="AY523" s="440">
        <v>0</v>
      </c>
      <c r="AZ523" s="440">
        <v>0</v>
      </c>
      <c r="BA523" s="440">
        <v>0</v>
      </c>
      <c r="BB523" s="440">
        <v>0</v>
      </c>
      <c r="BC523" s="440">
        <v>0</v>
      </c>
      <c r="BD523" s="440">
        <v>0</v>
      </c>
      <c r="BE523" s="440">
        <v>0</v>
      </c>
      <c r="BF523" s="440">
        <v>0</v>
      </c>
      <c r="BG523" s="440">
        <v>0</v>
      </c>
      <c r="BH523" s="440">
        <v>0</v>
      </c>
      <c r="BI523" s="440">
        <v>0</v>
      </c>
      <c r="BJ523" s="440">
        <v>0</v>
      </c>
      <c r="BK523" s="440">
        <v>0</v>
      </c>
      <c r="BL523" s="440">
        <v>0</v>
      </c>
      <c r="BM523" s="440">
        <v>0</v>
      </c>
      <c r="BN523" s="440">
        <v>0</v>
      </c>
      <c r="BO523" s="440">
        <v>0</v>
      </c>
      <c r="BP523" s="440">
        <v>0</v>
      </c>
      <c r="BQ523" s="440">
        <v>0</v>
      </c>
      <c r="BR523" s="415">
        <v>0</v>
      </c>
      <c r="BS523" s="415">
        <v>0</v>
      </c>
      <c r="BT523" s="935"/>
      <c r="BU523" s="935"/>
      <c r="BV523" s="935"/>
      <c r="BW523" s="935"/>
      <c r="BX523" s="935"/>
      <c r="BY523" s="935"/>
      <c r="BZ523" s="935"/>
      <c r="CA523" s="935"/>
      <c r="CB523" s="935"/>
      <c r="CC523" s="935"/>
      <c r="CD523" s="935"/>
      <c r="CE523" s="935"/>
      <c r="CF523" s="935"/>
      <c r="CG523" s="935"/>
      <c r="CH523" s="935"/>
      <c r="CI523" s="935"/>
      <c r="CJ523" s="935"/>
      <c r="CK523" s="935"/>
      <c r="CL523" s="935"/>
      <c r="CM523" s="935"/>
      <c r="CN523" s="935"/>
      <c r="CO523" s="935"/>
      <c r="CP523" s="935"/>
      <c r="CQ523" s="935"/>
      <c r="CR523" s="935"/>
      <c r="CS523" s="935"/>
      <c r="CT523" s="935"/>
      <c r="CU523" s="935"/>
      <c r="CV523" s="935"/>
    </row>
    <row r="524" spans="1:100" s="441" customFormat="1">
      <c r="A524" s="375">
        <f t="shared" si="160"/>
        <v>9</v>
      </c>
      <c r="B524" s="862">
        <v>44453</v>
      </c>
      <c r="C524" s="493" t="s">
        <v>2053</v>
      </c>
      <c r="D524" s="376" t="str">
        <f>IFERROR(VLOOKUP(E:E,'Item Data Support Sheet'!A:O,7,0),"")</f>
        <v>NIPPLE MOLDED</v>
      </c>
      <c r="E524" s="447" t="s">
        <v>74</v>
      </c>
      <c r="F524" s="500" t="s">
        <v>1678</v>
      </c>
      <c r="G524" s="497" t="s">
        <v>1691</v>
      </c>
      <c r="H524" s="602" t="str">
        <f>IFERROR(VLOOKUP(E:E,'Item Data Support Sheet'!A:O,2,0),"")</f>
        <v>NIPPLE S TYPE L SIZE INJECTION</v>
      </c>
      <c r="I524" s="501" t="s">
        <v>3105</v>
      </c>
      <c r="J524" s="501" t="s">
        <v>2826</v>
      </c>
      <c r="K524" s="438">
        <v>8</v>
      </c>
      <c r="L524" s="499">
        <v>4815</v>
      </c>
      <c r="M524" s="366">
        <f t="shared" si="158"/>
        <v>601.875</v>
      </c>
      <c r="N524" s="367">
        <f t="shared" si="159"/>
        <v>5402</v>
      </c>
      <c r="O524" s="61">
        <v>5300</v>
      </c>
      <c r="P524" s="368">
        <v>0</v>
      </c>
      <c r="Q524" s="368">
        <v>38</v>
      </c>
      <c r="R524" s="494">
        <v>0</v>
      </c>
      <c r="S524" s="493">
        <v>0</v>
      </c>
      <c r="T524" s="494">
        <v>56</v>
      </c>
      <c r="U524" s="493">
        <v>8</v>
      </c>
      <c r="V524" s="502">
        <v>1</v>
      </c>
      <c r="W524" s="453">
        <f t="shared" si="161"/>
        <v>5300</v>
      </c>
      <c r="X524" s="748">
        <f t="shared" si="162"/>
        <v>1.1007268951194185</v>
      </c>
      <c r="Y524" s="451" t="str">
        <f>IFERROR(VLOOKUP(E:E,'Item Data Support Sheet'!A:J,6,0),0)</f>
        <v>Silicon</v>
      </c>
      <c r="Z524" s="428">
        <f>IFERROR(VLOOKUP(E:E,'Item Data Support Sheet'!A:O,4,0),0)</f>
        <v>6.8</v>
      </c>
      <c r="AA524" s="428">
        <f t="shared" si="163"/>
        <v>36.733599999999996</v>
      </c>
      <c r="AB524" s="429">
        <f t="shared" si="164"/>
        <v>0.98111810440577574</v>
      </c>
      <c r="AC524" s="424">
        <f t="shared" si="165"/>
        <v>1.0455563853622106E-2</v>
      </c>
      <c r="AD524" s="371">
        <f t="shared" si="166"/>
        <v>6.9852941176470592E-3</v>
      </c>
      <c r="AE524" s="748">
        <f t="shared" si="167"/>
        <v>0.98963346908552385</v>
      </c>
      <c r="AF524" s="417">
        <f t="shared" si="168"/>
        <v>0</v>
      </c>
      <c r="AG524" s="416">
        <f t="shared" si="169"/>
        <v>8</v>
      </c>
      <c r="AH524" s="372">
        <f t="shared" si="170"/>
        <v>1</v>
      </c>
      <c r="AI524" s="373">
        <f t="shared" si="171"/>
        <v>662.5</v>
      </c>
      <c r="AJ524" s="418">
        <f>VLOOKUP(D524,'Standard Cycle time'!C:D,2,0)</f>
        <v>5.25</v>
      </c>
      <c r="AK524" s="418">
        <f t="shared" si="172"/>
        <v>5.4339622641509431</v>
      </c>
      <c r="AL524" s="374">
        <f t="shared" si="173"/>
        <v>0.96614583333333337</v>
      </c>
      <c r="AM524" s="372">
        <f t="shared" si="174"/>
        <v>0.95613025268419105</v>
      </c>
      <c r="AN524" s="799">
        <v>3226</v>
      </c>
      <c r="AO524" s="448"/>
      <c r="AP524" s="440">
        <v>0</v>
      </c>
      <c r="AQ524" s="440">
        <v>0</v>
      </c>
      <c r="AR524" s="440">
        <v>0</v>
      </c>
      <c r="AS524" s="440">
        <v>0</v>
      </c>
      <c r="AT524" s="440">
        <v>0</v>
      </c>
      <c r="AU524" s="440">
        <v>0</v>
      </c>
      <c r="AV524" s="440">
        <v>0</v>
      </c>
      <c r="AW524" s="440">
        <v>0</v>
      </c>
      <c r="AX524" s="440">
        <v>0</v>
      </c>
      <c r="AY524" s="440">
        <v>0</v>
      </c>
      <c r="AZ524" s="440">
        <v>0</v>
      </c>
      <c r="BA524" s="440">
        <v>0</v>
      </c>
      <c r="BB524" s="440">
        <v>0</v>
      </c>
      <c r="BC524" s="440">
        <v>0</v>
      </c>
      <c r="BD524" s="440">
        <v>0</v>
      </c>
      <c r="BE524" s="440">
        <v>0</v>
      </c>
      <c r="BF524" s="440">
        <v>0</v>
      </c>
      <c r="BG524" s="440">
        <v>0</v>
      </c>
      <c r="BH524" s="440">
        <v>0</v>
      </c>
      <c r="BI524" s="440">
        <v>0</v>
      </c>
      <c r="BJ524" s="440">
        <v>0</v>
      </c>
      <c r="BK524" s="440">
        <v>0</v>
      </c>
      <c r="BL524" s="440">
        <v>0</v>
      </c>
      <c r="BM524" s="440">
        <v>0</v>
      </c>
      <c r="BN524" s="440">
        <v>0</v>
      </c>
      <c r="BO524" s="440">
        <v>0</v>
      </c>
      <c r="BP524" s="440">
        <v>0</v>
      </c>
      <c r="BQ524" s="440">
        <v>0</v>
      </c>
      <c r="BR524" s="415">
        <v>0</v>
      </c>
      <c r="BS524" s="415">
        <v>0</v>
      </c>
      <c r="BT524" s="935"/>
      <c r="BU524" s="935"/>
      <c r="BV524" s="935"/>
      <c r="BW524" s="935"/>
      <c r="BX524" s="935"/>
      <c r="BY524" s="935"/>
      <c r="BZ524" s="935"/>
      <c r="CA524" s="935"/>
      <c r="CB524" s="935"/>
      <c r="CC524" s="935"/>
      <c r="CD524" s="935"/>
      <c r="CE524" s="935"/>
      <c r="CF524" s="935"/>
      <c r="CG524" s="935"/>
      <c r="CH524" s="935"/>
      <c r="CI524" s="935"/>
      <c r="CJ524" s="935"/>
      <c r="CK524" s="935"/>
      <c r="CL524" s="935"/>
      <c r="CM524" s="935"/>
      <c r="CN524" s="935"/>
      <c r="CO524" s="935"/>
      <c r="CP524" s="935"/>
      <c r="CQ524" s="935"/>
      <c r="CR524" s="935"/>
      <c r="CS524" s="935"/>
      <c r="CT524" s="935"/>
      <c r="CU524" s="935"/>
      <c r="CV524" s="935"/>
    </row>
    <row r="525" spans="1:100" s="441" customFormat="1">
      <c r="A525" s="375">
        <f t="shared" si="160"/>
        <v>9</v>
      </c>
      <c r="B525" s="862">
        <v>44454</v>
      </c>
      <c r="C525" s="493" t="s">
        <v>1980</v>
      </c>
      <c r="D525" s="376" t="str">
        <f>IFERROR(VLOOKUP(E:E,'Item Data Support Sheet'!A:O,7,0),"")</f>
        <v>NIPPLE MOLDED</v>
      </c>
      <c r="E525" s="447" t="s">
        <v>74</v>
      </c>
      <c r="F525" s="500" t="s">
        <v>1678</v>
      </c>
      <c r="G525" s="497" t="s">
        <v>1691</v>
      </c>
      <c r="H525" s="602" t="str">
        <f>IFERROR(VLOOKUP(E:E,'Item Data Support Sheet'!A:O,2,0),"")</f>
        <v>NIPPLE S TYPE L SIZE INJECTION</v>
      </c>
      <c r="I525" s="501" t="s">
        <v>3106</v>
      </c>
      <c r="J525" s="501" t="s">
        <v>2809</v>
      </c>
      <c r="K525" s="438">
        <v>8</v>
      </c>
      <c r="L525" s="499">
        <v>4815</v>
      </c>
      <c r="M525" s="366">
        <f t="shared" ref="M525:M588" si="175">IFERROR(L525/K525,0)</f>
        <v>601.875</v>
      </c>
      <c r="N525" s="367">
        <f t="shared" si="159"/>
        <v>5296</v>
      </c>
      <c r="O525" s="61">
        <v>5200</v>
      </c>
      <c r="P525" s="368">
        <v>0</v>
      </c>
      <c r="Q525" s="368">
        <v>40</v>
      </c>
      <c r="R525" s="494">
        <v>0</v>
      </c>
      <c r="S525" s="493">
        <v>0</v>
      </c>
      <c r="T525" s="494">
        <v>48</v>
      </c>
      <c r="U525" s="493">
        <v>8</v>
      </c>
      <c r="V525" s="502">
        <v>1</v>
      </c>
      <c r="W525" s="453">
        <f t="shared" si="161"/>
        <v>5200</v>
      </c>
      <c r="X525" s="748">
        <f t="shared" si="162"/>
        <v>1.0799584631360333</v>
      </c>
      <c r="Y525" s="451" t="str">
        <f>IFERROR(VLOOKUP(E:E,'Item Data Support Sheet'!A:J,6,0),0)</f>
        <v>Silicon</v>
      </c>
      <c r="Z525" s="428">
        <f>IFERROR(VLOOKUP(E:E,'Item Data Support Sheet'!A:O,4,0),0)</f>
        <v>6.8</v>
      </c>
      <c r="AA525" s="428">
        <f t="shared" si="163"/>
        <v>36.012799999999999</v>
      </c>
      <c r="AB525" s="429">
        <f t="shared" si="164"/>
        <v>0.98187311178247738</v>
      </c>
      <c r="AC525" s="424">
        <f t="shared" si="165"/>
        <v>9.1463414634146336E-3</v>
      </c>
      <c r="AD525" s="371">
        <f t="shared" si="166"/>
        <v>7.4962518740629685E-3</v>
      </c>
      <c r="AE525" s="748">
        <f t="shared" si="167"/>
        <v>0.99093655589123864</v>
      </c>
      <c r="AF525" s="417">
        <f t="shared" si="168"/>
        <v>0</v>
      </c>
      <c r="AG525" s="416">
        <f t="shared" si="169"/>
        <v>8</v>
      </c>
      <c r="AH525" s="372">
        <f t="shared" si="170"/>
        <v>1</v>
      </c>
      <c r="AI525" s="373">
        <f t="shared" si="171"/>
        <v>650</v>
      </c>
      <c r="AJ525" s="418">
        <f>VLOOKUP(D525,'Standard Cycle time'!C:D,2,0)</f>
        <v>5.25</v>
      </c>
      <c r="AK525" s="418">
        <f t="shared" si="172"/>
        <v>5.5384615384615383</v>
      </c>
      <c r="AL525" s="374">
        <f t="shared" si="173"/>
        <v>0.94791666666666674</v>
      </c>
      <c r="AM525" s="372">
        <f t="shared" si="174"/>
        <v>0.93932527693857004</v>
      </c>
      <c r="AN525" s="799" t="s">
        <v>3107</v>
      </c>
      <c r="AO525" s="448"/>
      <c r="AP525" s="440">
        <v>0</v>
      </c>
      <c r="AQ525" s="440">
        <v>0</v>
      </c>
      <c r="AR525" s="440">
        <v>0</v>
      </c>
      <c r="AS525" s="440">
        <v>0</v>
      </c>
      <c r="AT525" s="440">
        <v>0</v>
      </c>
      <c r="AU525" s="440">
        <v>0</v>
      </c>
      <c r="AV525" s="440">
        <v>0</v>
      </c>
      <c r="AW525" s="440">
        <v>0</v>
      </c>
      <c r="AX525" s="440">
        <v>0</v>
      </c>
      <c r="AY525" s="440">
        <v>0</v>
      </c>
      <c r="AZ525" s="440">
        <v>0</v>
      </c>
      <c r="BA525" s="440">
        <v>0</v>
      </c>
      <c r="BB525" s="440">
        <v>0</v>
      </c>
      <c r="BC525" s="440">
        <v>0</v>
      </c>
      <c r="BD525" s="440">
        <v>0</v>
      </c>
      <c r="BE525" s="440">
        <v>0</v>
      </c>
      <c r="BF525" s="440">
        <v>0</v>
      </c>
      <c r="BG525" s="440">
        <v>0</v>
      </c>
      <c r="BH525" s="440">
        <v>0</v>
      </c>
      <c r="BI525" s="440">
        <v>0</v>
      </c>
      <c r="BJ525" s="440">
        <v>0</v>
      </c>
      <c r="BK525" s="440">
        <v>0</v>
      </c>
      <c r="BL525" s="440">
        <v>0</v>
      </c>
      <c r="BM525" s="440">
        <v>0</v>
      </c>
      <c r="BN525" s="440">
        <v>0</v>
      </c>
      <c r="BO525" s="440">
        <v>0</v>
      </c>
      <c r="BP525" s="440">
        <v>0</v>
      </c>
      <c r="BQ525" s="440">
        <v>0</v>
      </c>
      <c r="BR525" s="415">
        <v>0</v>
      </c>
      <c r="BS525" s="415">
        <v>0</v>
      </c>
      <c r="BT525" s="935"/>
      <c r="BU525" s="935"/>
      <c r="BV525" s="935"/>
      <c r="BW525" s="935"/>
      <c r="BX525" s="935"/>
      <c r="BY525" s="935"/>
      <c r="BZ525" s="935"/>
      <c r="CA525" s="935"/>
      <c r="CB525" s="935"/>
      <c r="CC525" s="935"/>
      <c r="CD525" s="935"/>
      <c r="CE525" s="935"/>
      <c r="CF525" s="935"/>
      <c r="CG525" s="935"/>
      <c r="CH525" s="935"/>
      <c r="CI525" s="935"/>
      <c r="CJ525" s="935"/>
      <c r="CK525" s="935"/>
      <c r="CL525" s="935"/>
      <c r="CM525" s="935"/>
      <c r="CN525" s="935"/>
      <c r="CO525" s="935"/>
      <c r="CP525" s="935"/>
      <c r="CQ525" s="935"/>
      <c r="CR525" s="935"/>
      <c r="CS525" s="935"/>
      <c r="CT525" s="935"/>
      <c r="CU525" s="935"/>
      <c r="CV525" s="935"/>
    </row>
    <row r="526" spans="1:100" s="441" customFormat="1">
      <c r="A526" s="375">
        <f t="shared" si="160"/>
        <v>9</v>
      </c>
      <c r="B526" s="862">
        <v>44454</v>
      </c>
      <c r="C526" s="493" t="s">
        <v>1980</v>
      </c>
      <c r="D526" s="376" t="str">
        <f>IFERROR(VLOOKUP(E:E,'Item Data Support Sheet'!A:O,7,0),"")</f>
        <v>HOOD MOLDED</v>
      </c>
      <c r="E526" s="447" t="s">
        <v>1987</v>
      </c>
      <c r="F526" s="500"/>
      <c r="G526" s="497" t="s">
        <v>2729</v>
      </c>
      <c r="H526" s="602" t="str">
        <f>IFERROR(VLOOKUP(E:E,'Item Data Support Sheet'!A:O,2,0),"")</f>
        <v>HOOD S TYPE MOLDED</v>
      </c>
      <c r="I526" s="501" t="s">
        <v>3108</v>
      </c>
      <c r="J526" s="501" t="s">
        <v>2809</v>
      </c>
      <c r="K526" s="438">
        <v>8</v>
      </c>
      <c r="L526" s="499">
        <v>4137</v>
      </c>
      <c r="M526" s="366">
        <f t="shared" si="175"/>
        <v>517.125</v>
      </c>
      <c r="N526" s="367">
        <f t="shared" si="159"/>
        <v>5312</v>
      </c>
      <c r="O526" s="61">
        <v>5300</v>
      </c>
      <c r="P526" s="368">
        <v>0</v>
      </c>
      <c r="Q526" s="368">
        <v>0</v>
      </c>
      <c r="R526" s="494">
        <v>0</v>
      </c>
      <c r="S526" s="493">
        <v>0</v>
      </c>
      <c r="T526" s="494">
        <v>4</v>
      </c>
      <c r="U526" s="493">
        <v>8</v>
      </c>
      <c r="V526" s="502">
        <v>1</v>
      </c>
      <c r="W526" s="453">
        <f t="shared" si="161"/>
        <v>5300</v>
      </c>
      <c r="X526" s="748">
        <f t="shared" si="162"/>
        <v>1.2811215856901137</v>
      </c>
      <c r="Y526" s="451" t="str">
        <f>IFERROR(VLOOKUP(E:E,'Item Data Support Sheet'!A:J,6,0),0)</f>
        <v>HMC</v>
      </c>
      <c r="Z526" s="428">
        <f>IFERROR(VLOOKUP(E:E,'Item Data Support Sheet'!A:O,4,0),0)</f>
        <v>8.6</v>
      </c>
      <c r="AA526" s="428">
        <f t="shared" si="163"/>
        <v>45.683199999999999</v>
      </c>
      <c r="AB526" s="429">
        <f t="shared" si="164"/>
        <v>0.99774096385542166</v>
      </c>
      <c r="AC526" s="424">
        <f t="shared" si="165"/>
        <v>7.5414781297134241E-4</v>
      </c>
      <c r="AD526" s="371">
        <f t="shared" si="166"/>
        <v>0</v>
      </c>
      <c r="AE526" s="748">
        <f t="shared" si="167"/>
        <v>0.99924698795180722</v>
      </c>
      <c r="AF526" s="417">
        <f t="shared" si="168"/>
        <v>0</v>
      </c>
      <c r="AG526" s="416">
        <f t="shared" si="169"/>
        <v>8</v>
      </c>
      <c r="AH526" s="372">
        <f t="shared" si="170"/>
        <v>1</v>
      </c>
      <c r="AI526" s="373">
        <f t="shared" si="171"/>
        <v>662.5</v>
      </c>
      <c r="AJ526" s="418">
        <f>VLOOKUP(D526,'Standard Cycle time'!C:D,2,0)</f>
        <v>6</v>
      </c>
      <c r="AK526" s="418">
        <f t="shared" si="172"/>
        <v>5.4339622641509431</v>
      </c>
      <c r="AL526" s="374">
        <f t="shared" si="173"/>
        <v>1.1041666666666667</v>
      </c>
      <c r="AM526" s="372">
        <f t="shared" si="174"/>
        <v>1.103335215863454</v>
      </c>
      <c r="AN526" s="799" t="s">
        <v>3109</v>
      </c>
      <c r="AO526" s="448"/>
      <c r="AP526" s="440">
        <v>0</v>
      </c>
      <c r="AQ526" s="440">
        <v>0</v>
      </c>
      <c r="AR526" s="440">
        <v>0</v>
      </c>
      <c r="AS526" s="440">
        <v>0</v>
      </c>
      <c r="AT526" s="440">
        <v>0</v>
      </c>
      <c r="AU526" s="440">
        <v>0</v>
      </c>
      <c r="AV526" s="440">
        <v>0</v>
      </c>
      <c r="AW526" s="440">
        <v>0</v>
      </c>
      <c r="AX526" s="440">
        <v>0</v>
      </c>
      <c r="AY526" s="440">
        <v>0</v>
      </c>
      <c r="AZ526" s="440">
        <v>0</v>
      </c>
      <c r="BA526" s="440">
        <v>0</v>
      </c>
      <c r="BB526" s="440">
        <v>0</v>
      </c>
      <c r="BC526" s="440">
        <v>0</v>
      </c>
      <c r="BD526" s="440">
        <v>0</v>
      </c>
      <c r="BE526" s="440">
        <v>0</v>
      </c>
      <c r="BF526" s="440">
        <v>0</v>
      </c>
      <c r="BG526" s="440">
        <v>0</v>
      </c>
      <c r="BH526" s="440">
        <v>0</v>
      </c>
      <c r="BI526" s="440">
        <v>0</v>
      </c>
      <c r="BJ526" s="440">
        <v>0</v>
      </c>
      <c r="BK526" s="440">
        <v>0</v>
      </c>
      <c r="BL526" s="440">
        <v>0</v>
      </c>
      <c r="BM526" s="440">
        <v>0</v>
      </c>
      <c r="BN526" s="440">
        <v>0</v>
      </c>
      <c r="BO526" s="440">
        <v>0</v>
      </c>
      <c r="BP526" s="440">
        <v>0</v>
      </c>
      <c r="BQ526" s="440">
        <v>0</v>
      </c>
      <c r="BR526" s="415">
        <v>0</v>
      </c>
      <c r="BS526" s="415">
        <v>0</v>
      </c>
      <c r="BT526" s="935"/>
      <c r="BU526" s="935"/>
      <c r="BV526" s="935"/>
      <c r="BW526" s="935"/>
      <c r="BX526" s="935"/>
      <c r="BY526" s="935"/>
      <c r="BZ526" s="935"/>
      <c r="CA526" s="935"/>
      <c r="CB526" s="935"/>
      <c r="CC526" s="935"/>
      <c r="CD526" s="935"/>
      <c r="CE526" s="935"/>
      <c r="CF526" s="935"/>
      <c r="CG526" s="935"/>
      <c r="CH526" s="935"/>
      <c r="CI526" s="935"/>
      <c r="CJ526" s="935"/>
      <c r="CK526" s="935"/>
      <c r="CL526" s="935"/>
      <c r="CM526" s="935"/>
      <c r="CN526" s="935"/>
      <c r="CO526" s="935"/>
      <c r="CP526" s="935"/>
      <c r="CQ526" s="935"/>
      <c r="CR526" s="935"/>
      <c r="CS526" s="935"/>
      <c r="CT526" s="935"/>
      <c r="CU526" s="935"/>
      <c r="CV526" s="935"/>
    </row>
    <row r="527" spans="1:100" s="441" customFormat="1">
      <c r="A527" s="375">
        <f t="shared" si="160"/>
        <v>9</v>
      </c>
      <c r="B527" s="862">
        <v>44454</v>
      </c>
      <c r="C527" s="493" t="s">
        <v>1980</v>
      </c>
      <c r="D527" s="376" t="str">
        <f>IFERROR(VLOOKUP(E:E,'Item Data Support Sheet'!A:O,7,0),"")</f>
        <v>BOTTLE PRINTED</v>
      </c>
      <c r="E527" s="447" t="s">
        <v>70</v>
      </c>
      <c r="F527" s="500"/>
      <c r="G527" s="497" t="s">
        <v>1698</v>
      </c>
      <c r="H527" s="602" t="str">
        <f>IFERROR(VLOOKUP(E:E,'Item Data Support Sheet'!A:O,2,0),"")</f>
        <v>KPP 200 ML BOTTLE PRINTED</v>
      </c>
      <c r="I527" s="501" t="s">
        <v>3110</v>
      </c>
      <c r="J527" s="501" t="s">
        <v>2809</v>
      </c>
      <c r="K527" s="438">
        <v>8</v>
      </c>
      <c r="L527" s="499">
        <v>5100</v>
      </c>
      <c r="M527" s="366">
        <f t="shared" si="175"/>
        <v>637.5</v>
      </c>
      <c r="N527" s="367">
        <f t="shared" si="159"/>
        <v>4664</v>
      </c>
      <c r="O527" s="61">
        <v>4644</v>
      </c>
      <c r="P527" s="368">
        <v>0</v>
      </c>
      <c r="Q527" s="368">
        <v>0</v>
      </c>
      <c r="R527" s="494">
        <v>49</v>
      </c>
      <c r="S527" s="493">
        <v>0</v>
      </c>
      <c r="T527" s="494">
        <v>20</v>
      </c>
      <c r="U527" s="493">
        <v>0</v>
      </c>
      <c r="V527" s="502">
        <v>6</v>
      </c>
      <c r="W527" s="453">
        <f t="shared" si="161"/>
        <v>774</v>
      </c>
      <c r="X527" s="748">
        <f t="shared" si="162"/>
        <v>0.9105882352941177</v>
      </c>
      <c r="Y527" s="451" t="str">
        <f>IFERROR(VLOOKUP(E:E,'Item Data Support Sheet'!A:J,6,0),0)</f>
        <v>FO002</v>
      </c>
      <c r="Z527" s="428">
        <f>IFERROR(VLOOKUP(E:E,'Item Data Support Sheet'!A:O,4,0),0)</f>
        <v>0</v>
      </c>
      <c r="AA527" s="428">
        <f t="shared" si="163"/>
        <v>0</v>
      </c>
      <c r="AB527" s="429" t="str">
        <f t="shared" si="164"/>
        <v xml:space="preserve"> </v>
      </c>
      <c r="AC527" s="424">
        <f t="shared" si="165"/>
        <v>4.2881646655231562E-3</v>
      </c>
      <c r="AD527" s="371">
        <f t="shared" si="166"/>
        <v>0</v>
      </c>
      <c r="AE527" s="748">
        <f t="shared" si="167"/>
        <v>0.99571183533447682</v>
      </c>
      <c r="AF527" s="417">
        <f t="shared" si="168"/>
        <v>0</v>
      </c>
      <c r="AG527" s="416">
        <f t="shared" si="169"/>
        <v>8</v>
      </c>
      <c r="AH527" s="372">
        <f t="shared" si="170"/>
        <v>1</v>
      </c>
      <c r="AI527" s="373">
        <f t="shared" si="171"/>
        <v>580.5</v>
      </c>
      <c r="AJ527" s="418">
        <f>VLOOKUP(D527,'Standard Cycle time'!C:D,2,0)</f>
        <v>32.4</v>
      </c>
      <c r="AK527" s="418">
        <f t="shared" si="172"/>
        <v>37.209302325581397</v>
      </c>
      <c r="AL527" s="374">
        <f t="shared" si="173"/>
        <v>0.87074999999999991</v>
      </c>
      <c r="AM527" s="372">
        <f t="shared" si="174"/>
        <v>0.86701608061749558</v>
      </c>
      <c r="AN527" s="799" t="s">
        <v>2874</v>
      </c>
      <c r="AO527" s="448" t="s">
        <v>3111</v>
      </c>
      <c r="AP527" s="440"/>
      <c r="AQ527" s="440"/>
      <c r="AR527" s="440"/>
      <c r="AS527" s="440"/>
      <c r="AT527" s="440"/>
      <c r="AU527" s="440"/>
      <c r="AV527" s="440"/>
      <c r="AW527" s="440"/>
      <c r="AX527" s="440"/>
      <c r="AY527" s="440"/>
      <c r="AZ527" s="440"/>
      <c r="BA527" s="440"/>
      <c r="BB527" s="440"/>
      <c r="BC527" s="440"/>
      <c r="BD527" s="440"/>
      <c r="BE527" s="440"/>
      <c r="BF527" s="440"/>
      <c r="BG527" s="440"/>
      <c r="BH527" s="440"/>
      <c r="BI527" s="440"/>
      <c r="BJ527" s="440"/>
      <c r="BK527" s="440"/>
      <c r="BL527" s="440"/>
      <c r="BM527" s="440"/>
      <c r="BN527" s="440"/>
      <c r="BO527" s="440"/>
      <c r="BP527" s="440"/>
      <c r="BQ527" s="440"/>
      <c r="BR527" s="415"/>
      <c r="BS527" s="415"/>
      <c r="BT527" s="935"/>
      <c r="BU527" s="935"/>
      <c r="BV527" s="935"/>
      <c r="BW527" s="935"/>
      <c r="BX527" s="935"/>
      <c r="BY527" s="935"/>
      <c r="BZ527" s="935"/>
      <c r="CA527" s="935"/>
      <c r="CB527" s="935"/>
      <c r="CC527" s="935"/>
      <c r="CD527" s="935"/>
      <c r="CE527" s="935"/>
      <c r="CF527" s="935"/>
      <c r="CG527" s="935"/>
      <c r="CH527" s="935"/>
      <c r="CI527" s="935"/>
      <c r="CJ527" s="935"/>
      <c r="CK527" s="935"/>
      <c r="CL527" s="935"/>
      <c r="CM527" s="935"/>
      <c r="CN527" s="935"/>
      <c r="CO527" s="935"/>
      <c r="CP527" s="935"/>
      <c r="CQ527" s="935"/>
      <c r="CR527" s="935"/>
      <c r="CS527" s="935"/>
      <c r="CT527" s="935"/>
      <c r="CU527" s="935"/>
      <c r="CV527" s="935"/>
    </row>
    <row r="528" spans="1:100" s="441" customFormat="1">
      <c r="A528" s="375">
        <f t="shared" si="160"/>
        <v>9</v>
      </c>
      <c r="B528" s="862">
        <v>44454</v>
      </c>
      <c r="C528" s="493" t="s">
        <v>1980</v>
      </c>
      <c r="D528" s="376" t="str">
        <f>IFERROR(VLOOKUP(E:E,'Item Data Support Sheet'!A:O,7,0),"")</f>
        <v>NIPPLE PUNCH</v>
      </c>
      <c r="E528" s="447" t="s">
        <v>82</v>
      </c>
      <c r="F528" s="500"/>
      <c r="G528" s="497" t="s">
        <v>1692</v>
      </c>
      <c r="H528" s="602" t="str">
        <f>IFERROR(VLOOKUP(E:E,'Item Data Support Sheet'!A:O,2,0),"")</f>
        <v>NIPPLE S TYPE L SIZE PUNCHED</v>
      </c>
      <c r="I528" s="501" t="s">
        <v>3112</v>
      </c>
      <c r="J528" s="501" t="s">
        <v>2809</v>
      </c>
      <c r="K528" s="438">
        <v>8</v>
      </c>
      <c r="L528" s="499">
        <v>7000</v>
      </c>
      <c r="M528" s="366">
        <f t="shared" si="175"/>
        <v>875</v>
      </c>
      <c r="N528" s="367">
        <f t="shared" si="159"/>
        <v>6600</v>
      </c>
      <c r="O528" s="61">
        <v>6600</v>
      </c>
      <c r="P528" s="368">
        <v>0</v>
      </c>
      <c r="Q528" s="368">
        <v>0</v>
      </c>
      <c r="R528" s="494">
        <v>0</v>
      </c>
      <c r="S528" s="493">
        <v>0</v>
      </c>
      <c r="T528" s="494">
        <v>0</v>
      </c>
      <c r="U528" s="493">
        <v>0</v>
      </c>
      <c r="V528" s="502">
        <v>1</v>
      </c>
      <c r="W528" s="453">
        <f t="shared" si="161"/>
        <v>6600</v>
      </c>
      <c r="X528" s="748">
        <f t="shared" si="162"/>
        <v>0.94285714285714284</v>
      </c>
      <c r="Y528" s="451" t="str">
        <f>IFERROR(VLOOKUP(E:E,'Item Data Support Sheet'!A:J,6,0),0)</f>
        <v>FO017</v>
      </c>
      <c r="Z528" s="428">
        <f>IFERROR(VLOOKUP(E:E,'Item Data Support Sheet'!A:O,4,0),0)</f>
        <v>0</v>
      </c>
      <c r="AA528" s="428">
        <f t="shared" si="163"/>
        <v>0</v>
      </c>
      <c r="AB528" s="429" t="str">
        <f t="shared" si="164"/>
        <v xml:space="preserve"> </v>
      </c>
      <c r="AC528" s="424">
        <f t="shared" si="165"/>
        <v>0</v>
      </c>
      <c r="AD528" s="371">
        <f t="shared" si="166"/>
        <v>0</v>
      </c>
      <c r="AE528" s="748">
        <f t="shared" si="167"/>
        <v>1</v>
      </c>
      <c r="AF528" s="417">
        <f t="shared" si="168"/>
        <v>1.4166666666666667</v>
      </c>
      <c r="AG528" s="416">
        <f t="shared" si="169"/>
        <v>6.583333333333333</v>
      </c>
      <c r="AH528" s="372">
        <f t="shared" si="170"/>
        <v>0.82291666666666663</v>
      </c>
      <c r="AI528" s="373">
        <f t="shared" si="171"/>
        <v>825</v>
      </c>
      <c r="AJ528" s="418">
        <f>VLOOKUP(D528,'Standard Cycle time'!C:D,2,0)</f>
        <v>3.5</v>
      </c>
      <c r="AK528" s="418">
        <f t="shared" si="172"/>
        <v>3.5909090909090908</v>
      </c>
      <c r="AL528" s="374">
        <f t="shared" si="173"/>
        <v>0.97468354430379744</v>
      </c>
      <c r="AM528" s="372">
        <f t="shared" si="174"/>
        <v>0.80208333333333326</v>
      </c>
      <c r="AN528" s="799" t="s">
        <v>3113</v>
      </c>
      <c r="AO528" s="448"/>
      <c r="AP528" s="440">
        <v>40</v>
      </c>
      <c r="AQ528" s="440">
        <v>0</v>
      </c>
      <c r="AR528" s="440">
        <v>0</v>
      </c>
      <c r="AS528" s="440">
        <v>0</v>
      </c>
      <c r="AT528" s="440">
        <v>0</v>
      </c>
      <c r="AU528" s="440">
        <v>0</v>
      </c>
      <c r="AV528" s="440">
        <v>0</v>
      </c>
      <c r="AW528" s="440">
        <v>45</v>
      </c>
      <c r="AX528" s="440">
        <v>0</v>
      </c>
      <c r="AY528" s="440">
        <v>0</v>
      </c>
      <c r="AZ528" s="440">
        <v>0</v>
      </c>
      <c r="BA528" s="440">
        <v>0</v>
      </c>
      <c r="BB528" s="440">
        <v>0</v>
      </c>
      <c r="BC528" s="440">
        <v>0</v>
      </c>
      <c r="BD528" s="440">
        <v>0</v>
      </c>
      <c r="BE528" s="440">
        <v>0</v>
      </c>
      <c r="BF528" s="440">
        <v>0</v>
      </c>
      <c r="BG528" s="440">
        <v>0</v>
      </c>
      <c r="BH528" s="440">
        <v>0</v>
      </c>
      <c r="BI528" s="440">
        <v>0</v>
      </c>
      <c r="BJ528" s="440">
        <v>0</v>
      </c>
      <c r="BK528" s="440">
        <v>0</v>
      </c>
      <c r="BL528" s="440">
        <v>0</v>
      </c>
      <c r="BM528" s="440">
        <v>0</v>
      </c>
      <c r="BN528" s="440">
        <v>0</v>
      </c>
      <c r="BO528" s="440">
        <v>0</v>
      </c>
      <c r="BP528" s="440">
        <v>0</v>
      </c>
      <c r="BQ528" s="440">
        <v>0</v>
      </c>
      <c r="BR528" s="415">
        <v>1.4166666666666667</v>
      </c>
      <c r="BS528" s="415">
        <v>1.4402777777777778</v>
      </c>
      <c r="BT528" s="935"/>
      <c r="BU528" s="935"/>
      <c r="BV528" s="935"/>
      <c r="BW528" s="935"/>
      <c r="BX528" s="935"/>
      <c r="BY528" s="935"/>
      <c r="BZ528" s="935"/>
      <c r="CA528" s="935"/>
      <c r="CB528" s="935"/>
      <c r="CC528" s="935"/>
      <c r="CD528" s="935"/>
      <c r="CE528" s="935"/>
      <c r="CF528" s="935"/>
      <c r="CG528" s="935"/>
      <c r="CH528" s="935"/>
      <c r="CI528" s="935"/>
      <c r="CJ528" s="935"/>
      <c r="CK528" s="935"/>
      <c r="CL528" s="935"/>
      <c r="CM528" s="935"/>
      <c r="CN528" s="935"/>
      <c r="CO528" s="935"/>
      <c r="CP528" s="935"/>
      <c r="CQ528" s="935"/>
      <c r="CR528" s="935"/>
      <c r="CS528" s="935"/>
      <c r="CT528" s="935"/>
      <c r="CU528" s="935"/>
      <c r="CV528" s="935"/>
    </row>
    <row r="529" spans="1:100" s="441" customFormat="1">
      <c r="A529" s="375">
        <f t="shared" si="160"/>
        <v>9</v>
      </c>
      <c r="B529" s="862">
        <v>44454</v>
      </c>
      <c r="C529" s="493" t="s">
        <v>1980</v>
      </c>
      <c r="D529" s="376" t="str">
        <f>IFERROR(VLOOKUP(E:E,'Item Data Support Sheet'!A:O,7,0),"")</f>
        <v>NIPPLE LASER MARKING</v>
      </c>
      <c r="E529" s="447" t="s">
        <v>1815</v>
      </c>
      <c r="F529" s="500"/>
      <c r="G529" s="497" t="s">
        <v>1812</v>
      </c>
      <c r="H529" s="602" t="str">
        <f>IFERROR(VLOOKUP(E:E,'Item Data Support Sheet'!A:O,2,0),"")</f>
        <v>NIPPLE S TYPE M SIZE PUNCHED LASER MARKED</v>
      </c>
      <c r="I529" s="501" t="s">
        <v>3114</v>
      </c>
      <c r="J529" s="501" t="s">
        <v>2809</v>
      </c>
      <c r="K529" s="438">
        <v>8</v>
      </c>
      <c r="L529" s="499">
        <v>7000</v>
      </c>
      <c r="M529" s="366">
        <f t="shared" si="175"/>
        <v>875</v>
      </c>
      <c r="N529" s="367">
        <f t="shared" si="159"/>
        <v>7000</v>
      </c>
      <c r="O529" s="61">
        <v>7000</v>
      </c>
      <c r="P529" s="368">
        <v>0</v>
      </c>
      <c r="Q529" s="368">
        <v>0</v>
      </c>
      <c r="R529" s="494">
        <v>0</v>
      </c>
      <c r="S529" s="493">
        <v>0</v>
      </c>
      <c r="T529" s="494">
        <v>0</v>
      </c>
      <c r="U529" s="493">
        <v>0</v>
      </c>
      <c r="V529" s="502">
        <v>1</v>
      </c>
      <c r="W529" s="453">
        <f t="shared" si="161"/>
        <v>7000</v>
      </c>
      <c r="X529" s="748">
        <f t="shared" si="162"/>
        <v>1</v>
      </c>
      <c r="Y529" s="451" t="str">
        <f>IFERROR(VLOOKUP(E:E,'Item Data Support Sheet'!A:J,6,0),0)</f>
        <v>FO020</v>
      </c>
      <c r="Z529" s="428">
        <f>IFERROR(VLOOKUP(E:E,'Item Data Support Sheet'!A:O,4,0),0)</f>
        <v>0</v>
      </c>
      <c r="AA529" s="428">
        <f t="shared" si="163"/>
        <v>0</v>
      </c>
      <c r="AB529" s="429" t="str">
        <f t="shared" si="164"/>
        <v xml:space="preserve"> </v>
      </c>
      <c r="AC529" s="424">
        <f t="shared" si="165"/>
        <v>0</v>
      </c>
      <c r="AD529" s="371">
        <f t="shared" si="166"/>
        <v>0</v>
      </c>
      <c r="AE529" s="748">
        <f t="shared" si="167"/>
        <v>1</v>
      </c>
      <c r="AF529" s="417">
        <f t="shared" si="168"/>
        <v>0.91666666666666663</v>
      </c>
      <c r="AG529" s="416">
        <f t="shared" si="169"/>
        <v>7.083333333333333</v>
      </c>
      <c r="AH529" s="372">
        <f t="shared" si="170"/>
        <v>0.88541666666666663</v>
      </c>
      <c r="AI529" s="373">
        <f t="shared" si="171"/>
        <v>875</v>
      </c>
      <c r="AJ529" s="418">
        <f>VLOOKUP(D529,'Standard Cycle time'!C:D,2,0)</f>
        <v>3.5</v>
      </c>
      <c r="AK529" s="418">
        <f t="shared" si="172"/>
        <v>3.6428571428571428</v>
      </c>
      <c r="AL529" s="374">
        <f t="shared" si="173"/>
        <v>0.96078431372549022</v>
      </c>
      <c r="AM529" s="372">
        <f t="shared" si="174"/>
        <v>0.85069444444444442</v>
      </c>
      <c r="AN529" s="799" t="s">
        <v>3115</v>
      </c>
      <c r="AO529" s="448"/>
      <c r="AP529" s="440">
        <v>40</v>
      </c>
      <c r="AQ529" s="440">
        <v>0</v>
      </c>
      <c r="AR529" s="440">
        <v>0</v>
      </c>
      <c r="AS529" s="440">
        <v>0</v>
      </c>
      <c r="AT529" s="440">
        <v>0</v>
      </c>
      <c r="AU529" s="440">
        <v>0</v>
      </c>
      <c r="AV529" s="440">
        <v>0</v>
      </c>
      <c r="AW529" s="440">
        <v>15</v>
      </c>
      <c r="AX529" s="440">
        <v>0</v>
      </c>
      <c r="AY529" s="440">
        <v>0</v>
      </c>
      <c r="AZ529" s="440">
        <v>0</v>
      </c>
      <c r="BA529" s="440">
        <v>0</v>
      </c>
      <c r="BB529" s="440">
        <v>0</v>
      </c>
      <c r="BC529" s="440">
        <v>0</v>
      </c>
      <c r="BD529" s="440">
        <v>0</v>
      </c>
      <c r="BE529" s="440">
        <v>0</v>
      </c>
      <c r="BF529" s="440">
        <v>0</v>
      </c>
      <c r="BG529" s="440">
        <v>0</v>
      </c>
      <c r="BH529" s="440">
        <v>0</v>
      </c>
      <c r="BI529" s="440">
        <v>0</v>
      </c>
      <c r="BJ529" s="440">
        <v>0</v>
      </c>
      <c r="BK529" s="440">
        <v>0</v>
      </c>
      <c r="BL529" s="440">
        <v>0</v>
      </c>
      <c r="BM529" s="440">
        <v>0</v>
      </c>
      <c r="BN529" s="440">
        <v>0</v>
      </c>
      <c r="BO529" s="440">
        <v>0</v>
      </c>
      <c r="BP529" s="440">
        <v>0</v>
      </c>
      <c r="BQ529" s="440">
        <v>0</v>
      </c>
      <c r="BR529" s="415">
        <v>0.91666666666666663</v>
      </c>
      <c r="BS529" s="415">
        <v>0.93194444444444435</v>
      </c>
      <c r="BT529" s="935"/>
      <c r="BU529" s="935"/>
      <c r="BV529" s="935"/>
      <c r="BW529" s="935"/>
      <c r="BX529" s="935"/>
      <c r="BY529" s="935"/>
      <c r="BZ529" s="935"/>
      <c r="CA529" s="935"/>
      <c r="CB529" s="935"/>
      <c r="CC529" s="935"/>
      <c r="CD529" s="935"/>
      <c r="CE529" s="935"/>
      <c r="CF529" s="935"/>
      <c r="CG529" s="935"/>
      <c r="CH529" s="935"/>
      <c r="CI529" s="935"/>
      <c r="CJ529" s="935"/>
      <c r="CK529" s="935"/>
      <c r="CL529" s="935"/>
      <c r="CM529" s="935"/>
      <c r="CN529" s="935"/>
      <c r="CO529" s="935"/>
      <c r="CP529" s="935"/>
      <c r="CQ529" s="935"/>
      <c r="CR529" s="935"/>
      <c r="CS529" s="935"/>
      <c r="CT529" s="935"/>
      <c r="CU529" s="935"/>
      <c r="CV529" s="935"/>
    </row>
    <row r="530" spans="1:100" s="441" customFormat="1">
      <c r="A530" s="375">
        <f t="shared" si="160"/>
        <v>9</v>
      </c>
      <c r="B530" s="862">
        <v>44454</v>
      </c>
      <c r="C530" s="493" t="s">
        <v>2001</v>
      </c>
      <c r="D530" s="376" t="str">
        <f>IFERROR(VLOOKUP(E:E,'Item Data Support Sheet'!A:O,7,0),"")</f>
        <v>NIPPLE PUNCH</v>
      </c>
      <c r="E530" s="447" t="s">
        <v>82</v>
      </c>
      <c r="F530" s="500"/>
      <c r="G530" s="497"/>
      <c r="H530" s="602" t="str">
        <f>IFERROR(VLOOKUP(E:E,'Item Data Support Sheet'!A:O,2,0),"")</f>
        <v>NIPPLE S TYPE L SIZE PUNCHED</v>
      </c>
      <c r="I530" s="501" t="s">
        <v>3116</v>
      </c>
      <c r="J530" s="501" t="s">
        <v>2811</v>
      </c>
      <c r="K530" s="438">
        <v>8</v>
      </c>
      <c r="L530" s="499">
        <v>7000</v>
      </c>
      <c r="M530" s="366">
        <f t="shared" si="175"/>
        <v>875</v>
      </c>
      <c r="N530" s="367">
        <f t="shared" si="159"/>
        <v>7350</v>
      </c>
      <c r="O530" s="61">
        <v>7350</v>
      </c>
      <c r="P530" s="368">
        <v>0</v>
      </c>
      <c r="Q530" s="368">
        <v>0</v>
      </c>
      <c r="R530" s="494">
        <v>0</v>
      </c>
      <c r="S530" s="493">
        <v>0</v>
      </c>
      <c r="T530" s="494">
        <v>0</v>
      </c>
      <c r="U530" s="493">
        <v>0</v>
      </c>
      <c r="V530" s="502">
        <v>1</v>
      </c>
      <c r="W530" s="453">
        <f t="shared" si="161"/>
        <v>7350</v>
      </c>
      <c r="X530" s="748">
        <f t="shared" si="162"/>
        <v>1.05</v>
      </c>
      <c r="Y530" s="451" t="str">
        <f>IFERROR(VLOOKUP(E:E,'Item Data Support Sheet'!A:J,6,0),0)</f>
        <v>FO017</v>
      </c>
      <c r="Z530" s="428">
        <f>IFERROR(VLOOKUP(E:E,'Item Data Support Sheet'!A:O,4,0),0)</f>
        <v>0</v>
      </c>
      <c r="AA530" s="428">
        <f t="shared" si="163"/>
        <v>0</v>
      </c>
      <c r="AB530" s="429" t="str">
        <f t="shared" si="164"/>
        <v xml:space="preserve"> </v>
      </c>
      <c r="AC530" s="424">
        <f t="shared" si="165"/>
        <v>0</v>
      </c>
      <c r="AD530" s="371">
        <f t="shared" si="166"/>
        <v>0</v>
      </c>
      <c r="AE530" s="748">
        <f t="shared" si="167"/>
        <v>1</v>
      </c>
      <c r="AF530" s="417">
        <f t="shared" si="168"/>
        <v>0.66666666666666663</v>
      </c>
      <c r="AG530" s="416">
        <f t="shared" si="169"/>
        <v>7.333333333333333</v>
      </c>
      <c r="AH530" s="372">
        <f t="shared" si="170"/>
        <v>0.91666666666666663</v>
      </c>
      <c r="AI530" s="373">
        <f t="shared" si="171"/>
        <v>918.75</v>
      </c>
      <c r="AJ530" s="418">
        <f>VLOOKUP(D530,'Standard Cycle time'!C:D,2,0)</f>
        <v>3.5</v>
      </c>
      <c r="AK530" s="418">
        <f t="shared" si="172"/>
        <v>3.5918367346938775</v>
      </c>
      <c r="AL530" s="374">
        <f t="shared" si="173"/>
        <v>0.97443181818181823</v>
      </c>
      <c r="AM530" s="372">
        <f t="shared" si="174"/>
        <v>0.89322916666666663</v>
      </c>
      <c r="AN530" s="799" t="s">
        <v>3117</v>
      </c>
      <c r="AO530" s="448"/>
      <c r="AP530" s="440">
        <v>40</v>
      </c>
      <c r="AQ530" s="440">
        <v>0</v>
      </c>
      <c r="AR530" s="440">
        <v>0</v>
      </c>
      <c r="AS530" s="440">
        <v>0</v>
      </c>
      <c r="AT530" s="440">
        <v>0</v>
      </c>
      <c r="AU530" s="440">
        <v>0</v>
      </c>
      <c r="AV530" s="440">
        <v>0</v>
      </c>
      <c r="AW530" s="440">
        <v>0</v>
      </c>
      <c r="AX530" s="440">
        <v>0</v>
      </c>
      <c r="AY530" s="440">
        <v>0</v>
      </c>
      <c r="AZ530" s="440">
        <v>0</v>
      </c>
      <c r="BA530" s="440">
        <v>0</v>
      </c>
      <c r="BB530" s="440">
        <v>0</v>
      </c>
      <c r="BC530" s="440">
        <v>0</v>
      </c>
      <c r="BD530" s="440">
        <v>0</v>
      </c>
      <c r="BE530" s="440">
        <v>0</v>
      </c>
      <c r="BF530" s="440">
        <v>0</v>
      </c>
      <c r="BG530" s="440">
        <v>0</v>
      </c>
      <c r="BH530" s="440">
        <v>0</v>
      </c>
      <c r="BI530" s="440">
        <v>0</v>
      </c>
      <c r="BJ530" s="440">
        <v>0</v>
      </c>
      <c r="BK530" s="440">
        <v>0</v>
      </c>
      <c r="BL530" s="440">
        <v>0</v>
      </c>
      <c r="BM530" s="440">
        <v>0</v>
      </c>
      <c r="BN530" s="440">
        <v>0</v>
      </c>
      <c r="BO530" s="440">
        <v>0</v>
      </c>
      <c r="BP530" s="440">
        <v>0</v>
      </c>
      <c r="BQ530" s="440">
        <v>0</v>
      </c>
      <c r="BR530" s="415">
        <v>0.66666666666666663</v>
      </c>
      <c r="BS530" s="415">
        <v>0.6777777777777777</v>
      </c>
      <c r="BT530" s="935"/>
      <c r="BU530" s="935"/>
      <c r="BV530" s="935"/>
      <c r="BW530" s="935"/>
      <c r="BX530" s="935"/>
      <c r="BY530" s="935"/>
      <c r="BZ530" s="935"/>
      <c r="CA530" s="935"/>
      <c r="CB530" s="935"/>
      <c r="CC530" s="935"/>
      <c r="CD530" s="935"/>
      <c r="CE530" s="935"/>
      <c r="CF530" s="935"/>
      <c r="CG530" s="935"/>
      <c r="CH530" s="935"/>
      <c r="CI530" s="935"/>
      <c r="CJ530" s="935"/>
      <c r="CK530" s="935"/>
      <c r="CL530" s="935"/>
      <c r="CM530" s="935"/>
      <c r="CN530" s="935"/>
      <c r="CO530" s="935"/>
      <c r="CP530" s="935"/>
      <c r="CQ530" s="935"/>
      <c r="CR530" s="935"/>
      <c r="CS530" s="935"/>
      <c r="CT530" s="935"/>
      <c r="CU530" s="935"/>
      <c r="CV530" s="935"/>
    </row>
    <row r="531" spans="1:100" s="441" customFormat="1">
      <c r="A531" s="375">
        <f t="shared" si="160"/>
        <v>9</v>
      </c>
      <c r="B531" s="862">
        <v>44454</v>
      </c>
      <c r="C531" s="493" t="s">
        <v>2001</v>
      </c>
      <c r="D531" s="376" t="str">
        <f>IFERROR(VLOOKUP(E:E,'Item Data Support Sheet'!A:O,7,0),"")</f>
        <v>HOOD MOLDED</v>
      </c>
      <c r="E531" s="447" t="s">
        <v>1987</v>
      </c>
      <c r="F531" s="500"/>
      <c r="G531" s="497"/>
      <c r="H531" s="602" t="str">
        <f>IFERROR(VLOOKUP(E:E,'Item Data Support Sheet'!A:O,2,0),"")</f>
        <v>HOOD S TYPE MOLDED</v>
      </c>
      <c r="I531" s="501" t="s">
        <v>3118</v>
      </c>
      <c r="J531" s="501" t="s">
        <v>2811</v>
      </c>
      <c r="K531" s="438">
        <v>8</v>
      </c>
      <c r="L531" s="499">
        <v>4137</v>
      </c>
      <c r="M531" s="366">
        <f t="shared" si="175"/>
        <v>517.125</v>
      </c>
      <c r="N531" s="367">
        <f t="shared" si="159"/>
        <v>5203</v>
      </c>
      <c r="O531" s="61">
        <v>5200</v>
      </c>
      <c r="P531" s="368">
        <v>0</v>
      </c>
      <c r="Q531" s="368">
        <v>0</v>
      </c>
      <c r="R531" s="494">
        <v>0</v>
      </c>
      <c r="S531" s="493">
        <v>0</v>
      </c>
      <c r="T531" s="494">
        <v>3</v>
      </c>
      <c r="U531" s="493">
        <v>0</v>
      </c>
      <c r="V531" s="502">
        <v>1</v>
      </c>
      <c r="W531" s="453">
        <f t="shared" si="161"/>
        <v>5200</v>
      </c>
      <c r="X531" s="748">
        <f t="shared" si="162"/>
        <v>1.2569494802997341</v>
      </c>
      <c r="Y531" s="451" t="str">
        <f>IFERROR(VLOOKUP(E:E,'Item Data Support Sheet'!A:J,6,0),0)</f>
        <v>HMC</v>
      </c>
      <c r="Z531" s="428">
        <f>IFERROR(VLOOKUP(E:E,'Item Data Support Sheet'!A:O,4,0),0)</f>
        <v>8.6</v>
      </c>
      <c r="AA531" s="428">
        <f t="shared" si="163"/>
        <v>44.745800000000003</v>
      </c>
      <c r="AB531" s="429">
        <f t="shared" si="164"/>
        <v>0.99942340957140108</v>
      </c>
      <c r="AC531" s="424">
        <f t="shared" si="165"/>
        <v>5.7659042859888531E-4</v>
      </c>
      <c r="AD531" s="371">
        <f t="shared" si="166"/>
        <v>0</v>
      </c>
      <c r="AE531" s="748">
        <f t="shared" si="167"/>
        <v>0.99942340957140108</v>
      </c>
      <c r="AF531" s="417">
        <f t="shared" si="168"/>
        <v>0</v>
      </c>
      <c r="AG531" s="416">
        <f t="shared" si="169"/>
        <v>8</v>
      </c>
      <c r="AH531" s="372">
        <f t="shared" si="170"/>
        <v>1</v>
      </c>
      <c r="AI531" s="373">
        <f t="shared" si="171"/>
        <v>650</v>
      </c>
      <c r="AJ531" s="418">
        <f>VLOOKUP(D531,'Standard Cycle time'!C:D,2,0)</f>
        <v>6</v>
      </c>
      <c r="AK531" s="418">
        <f t="shared" si="172"/>
        <v>5.5384615384615383</v>
      </c>
      <c r="AL531" s="374">
        <f t="shared" si="173"/>
        <v>1.0833333333333333</v>
      </c>
      <c r="AM531" s="372">
        <f t="shared" si="174"/>
        <v>1.0827086937023511</v>
      </c>
      <c r="AN531" s="799">
        <v>3244</v>
      </c>
      <c r="AO531" s="448"/>
      <c r="AP531" s="440">
        <v>0</v>
      </c>
      <c r="AQ531" s="440">
        <v>0</v>
      </c>
      <c r="AR531" s="440">
        <v>0</v>
      </c>
      <c r="AS531" s="440">
        <v>0</v>
      </c>
      <c r="AT531" s="440">
        <v>0</v>
      </c>
      <c r="AU531" s="440">
        <v>0</v>
      </c>
      <c r="AV531" s="440">
        <v>0</v>
      </c>
      <c r="AW531" s="440">
        <v>0</v>
      </c>
      <c r="AX531" s="440">
        <v>0</v>
      </c>
      <c r="AY531" s="440">
        <v>0</v>
      </c>
      <c r="AZ531" s="440">
        <v>0</v>
      </c>
      <c r="BA531" s="440">
        <v>0</v>
      </c>
      <c r="BB531" s="440">
        <v>0</v>
      </c>
      <c r="BC531" s="440">
        <v>0</v>
      </c>
      <c r="BD531" s="440">
        <v>0</v>
      </c>
      <c r="BE531" s="440">
        <v>0</v>
      </c>
      <c r="BF531" s="440">
        <v>0</v>
      </c>
      <c r="BG531" s="440">
        <v>0</v>
      </c>
      <c r="BH531" s="440">
        <v>0</v>
      </c>
      <c r="BI531" s="440">
        <v>0</v>
      </c>
      <c r="BJ531" s="440">
        <v>0</v>
      </c>
      <c r="BK531" s="440">
        <v>0</v>
      </c>
      <c r="BL531" s="440">
        <v>0</v>
      </c>
      <c r="BM531" s="440">
        <v>0</v>
      </c>
      <c r="BN531" s="440">
        <v>0</v>
      </c>
      <c r="BO531" s="440">
        <v>0</v>
      </c>
      <c r="BP531" s="440">
        <v>0</v>
      </c>
      <c r="BQ531" s="440">
        <v>0</v>
      </c>
      <c r="BR531" s="415">
        <v>0</v>
      </c>
      <c r="BS531" s="415">
        <v>0</v>
      </c>
      <c r="BT531" s="935"/>
      <c r="BU531" s="935"/>
      <c r="BV531" s="935"/>
      <c r="BW531" s="935"/>
      <c r="BX531" s="935"/>
      <c r="BY531" s="935"/>
      <c r="BZ531" s="935"/>
      <c r="CA531" s="935"/>
      <c r="CB531" s="935"/>
      <c r="CC531" s="935"/>
      <c r="CD531" s="935"/>
      <c r="CE531" s="935"/>
      <c r="CF531" s="935"/>
      <c r="CG531" s="935"/>
      <c r="CH531" s="935"/>
      <c r="CI531" s="935"/>
      <c r="CJ531" s="935"/>
      <c r="CK531" s="935"/>
      <c r="CL531" s="935"/>
      <c r="CM531" s="935"/>
      <c r="CN531" s="935"/>
      <c r="CO531" s="935"/>
      <c r="CP531" s="935"/>
      <c r="CQ531" s="935"/>
      <c r="CR531" s="935"/>
      <c r="CS531" s="935"/>
      <c r="CT531" s="935"/>
      <c r="CU531" s="935"/>
      <c r="CV531" s="935"/>
    </row>
    <row r="532" spans="1:100" s="441" customFormat="1">
      <c r="A532" s="375">
        <f t="shared" si="160"/>
        <v>9</v>
      </c>
      <c r="B532" s="862">
        <v>44454</v>
      </c>
      <c r="C532" s="493" t="s">
        <v>2001</v>
      </c>
      <c r="D532" s="376" t="str">
        <f>IFERROR(VLOOKUP(E:E,'Item Data Support Sheet'!A:O,7,0),"")</f>
        <v>NIPPLE MOLDED</v>
      </c>
      <c r="E532" s="447" t="s">
        <v>74</v>
      </c>
      <c r="F532" s="500" t="s">
        <v>1678</v>
      </c>
      <c r="G532" s="497" t="s">
        <v>1691</v>
      </c>
      <c r="H532" s="602" t="str">
        <f>IFERROR(VLOOKUP(E:E,'Item Data Support Sheet'!A:O,2,0),"")</f>
        <v>NIPPLE S TYPE L SIZE INJECTION</v>
      </c>
      <c r="I532" s="501" t="s">
        <v>3119</v>
      </c>
      <c r="J532" s="501" t="s">
        <v>2811</v>
      </c>
      <c r="K532" s="438">
        <v>8</v>
      </c>
      <c r="L532" s="499">
        <v>4815</v>
      </c>
      <c r="M532" s="366">
        <f t="shared" si="175"/>
        <v>601.875</v>
      </c>
      <c r="N532" s="367">
        <f t="shared" si="159"/>
        <v>5090</v>
      </c>
      <c r="O532" s="61">
        <v>5000</v>
      </c>
      <c r="P532" s="368">
        <v>0</v>
      </c>
      <c r="Q532" s="368">
        <v>40</v>
      </c>
      <c r="R532" s="494">
        <v>0</v>
      </c>
      <c r="S532" s="493">
        <v>0</v>
      </c>
      <c r="T532" s="494">
        <v>50</v>
      </c>
      <c r="U532" s="493">
        <v>0</v>
      </c>
      <c r="V532" s="502">
        <v>1</v>
      </c>
      <c r="W532" s="453">
        <f t="shared" si="161"/>
        <v>5000</v>
      </c>
      <c r="X532" s="748">
        <f t="shared" si="162"/>
        <v>1.0384215991692627</v>
      </c>
      <c r="Y532" s="451" t="str">
        <f>IFERROR(VLOOKUP(E:E,'Item Data Support Sheet'!A:J,6,0),0)</f>
        <v>Silicon</v>
      </c>
      <c r="Z532" s="428">
        <f>IFERROR(VLOOKUP(E:E,'Item Data Support Sheet'!A:O,4,0),0)</f>
        <v>6.8</v>
      </c>
      <c r="AA532" s="428">
        <f t="shared" si="163"/>
        <v>34.611999999999995</v>
      </c>
      <c r="AB532" s="429">
        <f t="shared" si="164"/>
        <v>0.98231827111984293</v>
      </c>
      <c r="AC532" s="424">
        <f t="shared" si="165"/>
        <v>9.9009900990099011E-3</v>
      </c>
      <c r="AD532" s="371">
        <f t="shared" si="166"/>
        <v>7.7972709551656916E-3</v>
      </c>
      <c r="AE532" s="748">
        <f t="shared" si="167"/>
        <v>0.99017681728880158</v>
      </c>
      <c r="AF532" s="417">
        <f t="shared" si="168"/>
        <v>0</v>
      </c>
      <c r="AG532" s="416">
        <f t="shared" si="169"/>
        <v>8</v>
      </c>
      <c r="AH532" s="372">
        <f t="shared" si="170"/>
        <v>1</v>
      </c>
      <c r="AI532" s="373">
        <f t="shared" si="171"/>
        <v>625</v>
      </c>
      <c r="AJ532" s="418">
        <f>VLOOKUP(D532,'Standard Cycle time'!C:D,2,0)</f>
        <v>5.25</v>
      </c>
      <c r="AK532" s="418">
        <f t="shared" si="172"/>
        <v>5.76</v>
      </c>
      <c r="AL532" s="374">
        <f t="shared" si="173"/>
        <v>0.91145833333333337</v>
      </c>
      <c r="AM532" s="372">
        <f t="shared" si="174"/>
        <v>0.9025049115913556</v>
      </c>
      <c r="AN532" s="799">
        <v>3243</v>
      </c>
      <c r="AO532" s="448"/>
      <c r="AP532" s="440">
        <v>0</v>
      </c>
      <c r="AQ532" s="440">
        <v>0</v>
      </c>
      <c r="AR532" s="440">
        <v>0</v>
      </c>
      <c r="AS532" s="440">
        <v>0</v>
      </c>
      <c r="AT532" s="440">
        <v>0</v>
      </c>
      <c r="AU532" s="440">
        <v>0</v>
      </c>
      <c r="AV532" s="440">
        <v>0</v>
      </c>
      <c r="AW532" s="440">
        <v>0</v>
      </c>
      <c r="AX532" s="440">
        <v>0</v>
      </c>
      <c r="AY532" s="440">
        <v>0</v>
      </c>
      <c r="AZ532" s="440">
        <v>0</v>
      </c>
      <c r="BA532" s="440">
        <v>0</v>
      </c>
      <c r="BB532" s="440">
        <v>0</v>
      </c>
      <c r="BC532" s="440">
        <v>0</v>
      </c>
      <c r="BD532" s="440">
        <v>0</v>
      </c>
      <c r="BE532" s="440">
        <v>0</v>
      </c>
      <c r="BF532" s="440">
        <v>0</v>
      </c>
      <c r="BG532" s="440">
        <v>0</v>
      </c>
      <c r="BH532" s="440">
        <v>0</v>
      </c>
      <c r="BI532" s="440">
        <v>0</v>
      </c>
      <c r="BJ532" s="440">
        <v>0</v>
      </c>
      <c r="BK532" s="440">
        <v>0</v>
      </c>
      <c r="BL532" s="440">
        <v>0</v>
      </c>
      <c r="BM532" s="440">
        <v>0</v>
      </c>
      <c r="BN532" s="440">
        <v>0</v>
      </c>
      <c r="BO532" s="440">
        <v>0</v>
      </c>
      <c r="BP532" s="440">
        <v>0</v>
      </c>
      <c r="BQ532" s="440">
        <v>0</v>
      </c>
      <c r="BR532" s="415">
        <v>0</v>
      </c>
      <c r="BS532" s="415">
        <v>0</v>
      </c>
      <c r="BT532" s="935"/>
      <c r="BU532" s="935"/>
      <c r="BV532" s="935"/>
      <c r="BW532" s="935"/>
      <c r="BX532" s="935"/>
      <c r="BY532" s="935"/>
      <c r="BZ532" s="935"/>
      <c r="CA532" s="935"/>
      <c r="CB532" s="935"/>
      <c r="CC532" s="935"/>
      <c r="CD532" s="935"/>
      <c r="CE532" s="935"/>
      <c r="CF532" s="935"/>
      <c r="CG532" s="935"/>
      <c r="CH532" s="935"/>
      <c r="CI532" s="935"/>
      <c r="CJ532" s="935"/>
      <c r="CK532" s="935"/>
      <c r="CL532" s="935"/>
      <c r="CM532" s="935"/>
      <c r="CN532" s="935"/>
      <c r="CO532" s="935"/>
      <c r="CP532" s="935"/>
      <c r="CQ532" s="935"/>
      <c r="CR532" s="935"/>
      <c r="CS532" s="935"/>
      <c r="CT532" s="935"/>
      <c r="CU532" s="935"/>
      <c r="CV532" s="935"/>
    </row>
    <row r="533" spans="1:100" s="441" customFormat="1">
      <c r="A533" s="375">
        <f t="shared" si="160"/>
        <v>9</v>
      </c>
      <c r="B533" s="862">
        <v>44454</v>
      </c>
      <c r="C533" s="493" t="s">
        <v>2001</v>
      </c>
      <c r="D533" s="376" t="str">
        <f>IFERROR(VLOOKUP(E:E,'Item Data Support Sheet'!A:O,7,0),"")</f>
        <v>NIPPLE LASER MARKING</v>
      </c>
      <c r="E533" s="447" t="s">
        <v>1815</v>
      </c>
      <c r="F533" s="500"/>
      <c r="G533" s="497"/>
      <c r="H533" s="602" t="str">
        <f>IFERROR(VLOOKUP(E:E,'Item Data Support Sheet'!A:O,2,0),"")</f>
        <v>NIPPLE S TYPE M SIZE PUNCHED LASER MARKED</v>
      </c>
      <c r="I533" s="501" t="s">
        <v>3120</v>
      </c>
      <c r="J533" s="501" t="s">
        <v>2811</v>
      </c>
      <c r="K533" s="438">
        <v>4</v>
      </c>
      <c r="L533" s="499">
        <v>3626</v>
      </c>
      <c r="M533" s="366">
        <f t="shared" si="175"/>
        <v>906.5</v>
      </c>
      <c r="N533" s="367">
        <f t="shared" si="159"/>
        <v>3626</v>
      </c>
      <c r="O533" s="61">
        <v>3626</v>
      </c>
      <c r="P533" s="368">
        <v>0</v>
      </c>
      <c r="Q533" s="368">
        <v>0</v>
      </c>
      <c r="R533" s="494">
        <v>0</v>
      </c>
      <c r="S533" s="493">
        <v>0</v>
      </c>
      <c r="T533" s="494">
        <v>0</v>
      </c>
      <c r="U533" s="493">
        <v>0</v>
      </c>
      <c r="V533" s="502">
        <v>1</v>
      </c>
      <c r="W533" s="453">
        <f t="shared" si="161"/>
        <v>3626</v>
      </c>
      <c r="X533" s="748">
        <f t="shared" si="162"/>
        <v>1</v>
      </c>
      <c r="Y533" s="451" t="str">
        <f>IFERROR(VLOOKUP(E:E,'Item Data Support Sheet'!A:J,6,0),0)</f>
        <v>FO020</v>
      </c>
      <c r="Z533" s="428">
        <f>IFERROR(VLOOKUP(E:E,'Item Data Support Sheet'!A:O,4,0),0)</f>
        <v>0</v>
      </c>
      <c r="AA533" s="428">
        <f t="shared" si="163"/>
        <v>0</v>
      </c>
      <c r="AB533" s="429" t="str">
        <f t="shared" si="164"/>
        <v xml:space="preserve"> </v>
      </c>
      <c r="AC533" s="424">
        <f t="shared" si="165"/>
        <v>0</v>
      </c>
      <c r="AD533" s="371">
        <f t="shared" si="166"/>
        <v>0</v>
      </c>
      <c r="AE533" s="748">
        <f t="shared" si="167"/>
        <v>1</v>
      </c>
      <c r="AF533" s="417">
        <f t="shared" si="168"/>
        <v>0.66666666666666663</v>
      </c>
      <c r="AG533" s="416">
        <f t="shared" si="169"/>
        <v>3.3333333333333335</v>
      </c>
      <c r="AH533" s="372">
        <f t="shared" si="170"/>
        <v>0.83333333333333337</v>
      </c>
      <c r="AI533" s="373">
        <f t="shared" si="171"/>
        <v>906.5</v>
      </c>
      <c r="AJ533" s="418">
        <f>VLOOKUP(D533,'Standard Cycle time'!C:D,2,0)</f>
        <v>3.5</v>
      </c>
      <c r="AK533" s="418">
        <f t="shared" si="172"/>
        <v>3.3094318808604521</v>
      </c>
      <c r="AL533" s="374">
        <f t="shared" si="173"/>
        <v>1.0575833333333333</v>
      </c>
      <c r="AM533" s="372">
        <f t="shared" si="174"/>
        <v>0.88131944444444443</v>
      </c>
      <c r="AN533" s="799" t="s">
        <v>3121</v>
      </c>
      <c r="AO533" s="448"/>
      <c r="AP533" s="440">
        <v>40</v>
      </c>
      <c r="AQ533" s="440">
        <v>0</v>
      </c>
      <c r="AR533" s="440">
        <v>0</v>
      </c>
      <c r="AS533" s="440">
        <v>0</v>
      </c>
      <c r="AT533" s="440">
        <v>0</v>
      </c>
      <c r="AU533" s="440">
        <v>0</v>
      </c>
      <c r="AV533" s="440">
        <v>0</v>
      </c>
      <c r="AW533" s="440">
        <v>0</v>
      </c>
      <c r="AX533" s="440">
        <v>0</v>
      </c>
      <c r="AY533" s="440">
        <v>0</v>
      </c>
      <c r="AZ533" s="440">
        <v>0</v>
      </c>
      <c r="BA533" s="440">
        <v>0</v>
      </c>
      <c r="BB533" s="440">
        <v>0</v>
      </c>
      <c r="BC533" s="440">
        <v>0</v>
      </c>
      <c r="BD533" s="440">
        <v>0</v>
      </c>
      <c r="BE533" s="440">
        <v>0</v>
      </c>
      <c r="BF533" s="440">
        <v>0</v>
      </c>
      <c r="BG533" s="440">
        <v>0</v>
      </c>
      <c r="BH533" s="440">
        <v>0</v>
      </c>
      <c r="BI533" s="440">
        <v>0</v>
      </c>
      <c r="BJ533" s="440">
        <v>0</v>
      </c>
      <c r="BK533" s="440">
        <v>0</v>
      </c>
      <c r="BL533" s="440">
        <v>0</v>
      </c>
      <c r="BM533" s="440">
        <v>0</v>
      </c>
      <c r="BN533" s="440">
        <v>0</v>
      </c>
      <c r="BO533" s="440">
        <v>0</v>
      </c>
      <c r="BP533" s="440">
        <v>0</v>
      </c>
      <c r="BQ533" s="440">
        <v>0</v>
      </c>
      <c r="BR533" s="415">
        <v>0.66666666666666663</v>
      </c>
      <c r="BS533" s="415">
        <v>0.6777777777777777</v>
      </c>
      <c r="BT533" s="935"/>
      <c r="BU533" s="935"/>
      <c r="BV533" s="935"/>
      <c r="BW533" s="935"/>
      <c r="BX533" s="935"/>
      <c r="BY533" s="935"/>
      <c r="BZ533" s="935"/>
      <c r="CA533" s="935"/>
      <c r="CB533" s="935"/>
      <c r="CC533" s="935"/>
      <c r="CD533" s="935"/>
      <c r="CE533" s="935"/>
      <c r="CF533" s="935"/>
      <c r="CG533" s="935"/>
      <c r="CH533" s="935"/>
      <c r="CI533" s="935"/>
      <c r="CJ533" s="935"/>
      <c r="CK533" s="935"/>
      <c r="CL533" s="935"/>
      <c r="CM533" s="935"/>
      <c r="CN533" s="935"/>
      <c r="CO533" s="935"/>
      <c r="CP533" s="935"/>
      <c r="CQ533" s="935"/>
      <c r="CR533" s="935"/>
      <c r="CS533" s="935"/>
      <c r="CT533" s="935"/>
      <c r="CU533" s="935"/>
      <c r="CV533" s="935"/>
    </row>
    <row r="534" spans="1:100" s="441" customFormat="1">
      <c r="A534" s="375">
        <f t="shared" si="160"/>
        <v>9</v>
      </c>
      <c r="B534" s="862">
        <v>44454</v>
      </c>
      <c r="C534" s="493" t="s">
        <v>2001</v>
      </c>
      <c r="D534" s="376" t="str">
        <f>IFERROR(VLOOKUP(E:E,'Item Data Support Sheet'!A:O,7,0),"")</f>
        <v>NIPPLE LASER MARKING</v>
      </c>
      <c r="E534" s="447" t="s">
        <v>1816</v>
      </c>
      <c r="F534" s="500"/>
      <c r="G534" s="497"/>
      <c r="H534" s="602" t="str">
        <f>IFERROR(VLOOKUP(E:E,'Item Data Support Sheet'!A:O,2,0),"")</f>
        <v>NIPPLE S TYPE L SIZE PUNCHED LASER MARKED</v>
      </c>
      <c r="I534" s="501" t="s">
        <v>3122</v>
      </c>
      <c r="J534" s="501" t="s">
        <v>2811</v>
      </c>
      <c r="K534" s="438">
        <v>4</v>
      </c>
      <c r="L534" s="499">
        <v>3374</v>
      </c>
      <c r="M534" s="366">
        <f t="shared" si="175"/>
        <v>843.5</v>
      </c>
      <c r="N534" s="367">
        <f t="shared" si="159"/>
        <v>3000</v>
      </c>
      <c r="O534" s="61">
        <v>3000</v>
      </c>
      <c r="P534" s="368">
        <v>0</v>
      </c>
      <c r="Q534" s="368">
        <v>0</v>
      </c>
      <c r="R534" s="494">
        <v>0</v>
      </c>
      <c r="S534" s="493">
        <v>0</v>
      </c>
      <c r="T534" s="494">
        <v>0</v>
      </c>
      <c r="U534" s="493">
        <v>0</v>
      </c>
      <c r="V534" s="502">
        <v>1</v>
      </c>
      <c r="W534" s="453">
        <f t="shared" si="161"/>
        <v>3000</v>
      </c>
      <c r="X534" s="748">
        <f t="shared" si="162"/>
        <v>0.88915234143449906</v>
      </c>
      <c r="Y534" s="451" t="str">
        <f>IFERROR(VLOOKUP(E:E,'Item Data Support Sheet'!A:J,6,0),0)</f>
        <v>FO021</v>
      </c>
      <c r="Z534" s="428">
        <f>IFERROR(VLOOKUP(E:E,'Item Data Support Sheet'!A:O,4,0),0)</f>
        <v>0</v>
      </c>
      <c r="AA534" s="428">
        <f t="shared" si="163"/>
        <v>0</v>
      </c>
      <c r="AB534" s="429" t="str">
        <f t="shared" si="164"/>
        <v xml:space="preserve"> </v>
      </c>
      <c r="AC534" s="424">
        <f t="shared" si="165"/>
        <v>0</v>
      </c>
      <c r="AD534" s="371">
        <f t="shared" si="166"/>
        <v>0</v>
      </c>
      <c r="AE534" s="748">
        <f t="shared" si="167"/>
        <v>1</v>
      </c>
      <c r="AF534" s="417">
        <f t="shared" si="168"/>
        <v>0.66666666666666663</v>
      </c>
      <c r="AG534" s="416">
        <f t="shared" si="169"/>
        <v>3.3333333333333335</v>
      </c>
      <c r="AH534" s="372">
        <f t="shared" si="170"/>
        <v>0.83333333333333337</v>
      </c>
      <c r="AI534" s="373">
        <f t="shared" si="171"/>
        <v>750</v>
      </c>
      <c r="AJ534" s="418">
        <f>VLOOKUP(D534,'Standard Cycle time'!C:D,2,0)</f>
        <v>3.5</v>
      </c>
      <c r="AK534" s="418">
        <f t="shared" si="172"/>
        <v>4</v>
      </c>
      <c r="AL534" s="374">
        <f t="shared" si="173"/>
        <v>0.875</v>
      </c>
      <c r="AM534" s="372">
        <f t="shared" si="174"/>
        <v>0.72916666666666674</v>
      </c>
      <c r="AN534" s="799">
        <v>3248</v>
      </c>
      <c r="AO534" s="448"/>
      <c r="AP534" s="440">
        <v>40</v>
      </c>
      <c r="AQ534" s="440">
        <v>0</v>
      </c>
      <c r="AR534" s="440">
        <v>0</v>
      </c>
      <c r="AS534" s="440">
        <v>0</v>
      </c>
      <c r="AT534" s="440">
        <v>0</v>
      </c>
      <c r="AU534" s="440">
        <v>0</v>
      </c>
      <c r="AV534" s="440">
        <v>0</v>
      </c>
      <c r="AW534" s="440">
        <v>0</v>
      </c>
      <c r="AX534" s="440">
        <v>0</v>
      </c>
      <c r="AY534" s="440">
        <v>0</v>
      </c>
      <c r="AZ534" s="440">
        <v>0</v>
      </c>
      <c r="BA534" s="440">
        <v>0</v>
      </c>
      <c r="BB534" s="440">
        <v>0</v>
      </c>
      <c r="BC534" s="440">
        <v>0</v>
      </c>
      <c r="BD534" s="440">
        <v>0</v>
      </c>
      <c r="BE534" s="440">
        <v>0</v>
      </c>
      <c r="BF534" s="440">
        <v>0</v>
      </c>
      <c r="BG534" s="440">
        <v>0</v>
      </c>
      <c r="BH534" s="440">
        <v>0</v>
      </c>
      <c r="BI534" s="440">
        <v>0</v>
      </c>
      <c r="BJ534" s="440">
        <v>0</v>
      </c>
      <c r="BK534" s="440">
        <v>0</v>
      </c>
      <c r="BL534" s="440">
        <v>0</v>
      </c>
      <c r="BM534" s="440">
        <v>0</v>
      </c>
      <c r="BN534" s="440">
        <v>0</v>
      </c>
      <c r="BO534" s="440">
        <v>0</v>
      </c>
      <c r="BP534" s="440">
        <v>0</v>
      </c>
      <c r="BQ534" s="440">
        <v>0</v>
      </c>
      <c r="BR534" s="415">
        <v>0.66666666666666663</v>
      </c>
      <c r="BS534" s="415">
        <v>0.6777777777777777</v>
      </c>
      <c r="BT534" s="935"/>
      <c r="BU534" s="935"/>
      <c r="BV534" s="935"/>
      <c r="BW534" s="935"/>
      <c r="BX534" s="935"/>
      <c r="BY534" s="935"/>
      <c r="BZ534" s="935"/>
      <c r="CA534" s="935"/>
      <c r="CB534" s="935"/>
      <c r="CC534" s="935"/>
      <c r="CD534" s="935"/>
      <c r="CE534" s="935"/>
      <c r="CF534" s="935"/>
      <c r="CG534" s="935"/>
      <c r="CH534" s="935"/>
      <c r="CI534" s="935"/>
      <c r="CJ534" s="935"/>
      <c r="CK534" s="935"/>
      <c r="CL534" s="935"/>
      <c r="CM534" s="935"/>
      <c r="CN534" s="935"/>
      <c r="CO534" s="935"/>
      <c r="CP534" s="935"/>
      <c r="CQ534" s="935"/>
      <c r="CR534" s="935"/>
      <c r="CS534" s="935"/>
      <c r="CT534" s="935"/>
      <c r="CU534" s="935"/>
      <c r="CV534" s="935"/>
    </row>
    <row r="535" spans="1:100" s="441" customFormat="1">
      <c r="A535" s="375">
        <f t="shared" si="160"/>
        <v>9</v>
      </c>
      <c r="B535" s="862">
        <v>44454</v>
      </c>
      <c r="C535" s="493" t="s">
        <v>2000</v>
      </c>
      <c r="D535" s="376" t="str">
        <f>IFERROR(VLOOKUP(E:E,'Item Data Support Sheet'!A:O,7,0),"")</f>
        <v>NIPPLE PUNCH INSPECTED</v>
      </c>
      <c r="E535" s="447" t="s">
        <v>1819</v>
      </c>
      <c r="F535" s="500"/>
      <c r="G535" s="497"/>
      <c r="H535" s="602" t="str">
        <f>IFERROR(VLOOKUP(E:E,'Item Data Support Sheet'!A:O,2,0),"")</f>
        <v>NIPPLE S TYPE M SIZE PUNCHED INSPECTED</v>
      </c>
      <c r="I535" s="501" t="s">
        <v>3096</v>
      </c>
      <c r="J535" s="501" t="s">
        <v>2811</v>
      </c>
      <c r="K535" s="438">
        <v>8</v>
      </c>
      <c r="L535" s="499">
        <v>14182</v>
      </c>
      <c r="M535" s="366">
        <f t="shared" si="175"/>
        <v>1772.75</v>
      </c>
      <c r="N535" s="367">
        <f t="shared" si="159"/>
        <v>12900</v>
      </c>
      <c r="O535" s="61">
        <v>12856</v>
      </c>
      <c r="P535" s="368">
        <v>0</v>
      </c>
      <c r="Q535" s="368">
        <v>0</v>
      </c>
      <c r="R535" s="494">
        <v>0</v>
      </c>
      <c r="S535" s="493">
        <v>0</v>
      </c>
      <c r="T535" s="494">
        <v>44</v>
      </c>
      <c r="U535" s="493">
        <v>0</v>
      </c>
      <c r="V535" s="502">
        <v>1</v>
      </c>
      <c r="W535" s="453">
        <f t="shared" si="161"/>
        <v>12856</v>
      </c>
      <c r="X535" s="748">
        <f t="shared" si="162"/>
        <v>0.90650119870258072</v>
      </c>
      <c r="Y535" s="451" t="str">
        <f>IFERROR(VLOOKUP(E:E,'Item Data Support Sheet'!A:J,6,0),0)</f>
        <v>FO105</v>
      </c>
      <c r="Z535" s="428">
        <f>IFERROR(VLOOKUP(E:E,'Item Data Support Sheet'!A:O,4,0),0)</f>
        <v>0</v>
      </c>
      <c r="AA535" s="428">
        <f t="shared" si="163"/>
        <v>0</v>
      </c>
      <c r="AB535" s="429" t="str">
        <f t="shared" si="164"/>
        <v xml:space="preserve"> </v>
      </c>
      <c r="AC535" s="424">
        <f t="shared" si="165"/>
        <v>3.4108527131782944E-3</v>
      </c>
      <c r="AD535" s="371">
        <f t="shared" si="166"/>
        <v>0</v>
      </c>
      <c r="AE535" s="748">
        <f t="shared" si="167"/>
        <v>0.99658914728682169</v>
      </c>
      <c r="AF535" s="417">
        <f t="shared" si="168"/>
        <v>0.66666666666666663</v>
      </c>
      <c r="AG535" s="416">
        <f t="shared" si="169"/>
        <v>7.333333333333333</v>
      </c>
      <c r="AH535" s="372">
        <f t="shared" si="170"/>
        <v>0.91666666666666663</v>
      </c>
      <c r="AI535" s="373">
        <f t="shared" si="171"/>
        <v>1607</v>
      </c>
      <c r="AJ535" s="418">
        <f>VLOOKUP(D535,'Standard Cycle time'!C:D,2,0)</f>
        <v>4</v>
      </c>
      <c r="AK535" s="418">
        <f t="shared" si="172"/>
        <v>2.0535158680771626</v>
      </c>
      <c r="AL535" s="374">
        <f t="shared" si="173"/>
        <v>1.9478787878787878</v>
      </c>
      <c r="AM535" s="372">
        <f t="shared" si="174"/>
        <v>1.7794652885443583</v>
      </c>
      <c r="AN535" s="799" t="s">
        <v>3123</v>
      </c>
      <c r="AO535" s="448"/>
      <c r="AP535" s="440">
        <v>40</v>
      </c>
      <c r="AQ535" s="440">
        <v>0</v>
      </c>
      <c r="AR535" s="440">
        <v>0</v>
      </c>
      <c r="AS535" s="440">
        <v>0</v>
      </c>
      <c r="AT535" s="440">
        <v>0</v>
      </c>
      <c r="AU535" s="440">
        <v>0</v>
      </c>
      <c r="AV535" s="440">
        <v>0</v>
      </c>
      <c r="AW535" s="440">
        <v>0</v>
      </c>
      <c r="AX535" s="440">
        <v>0</v>
      </c>
      <c r="AY535" s="440">
        <v>0</v>
      </c>
      <c r="AZ535" s="440">
        <v>0</v>
      </c>
      <c r="BA535" s="440">
        <v>0</v>
      </c>
      <c r="BB535" s="440">
        <v>0</v>
      </c>
      <c r="BC535" s="440">
        <v>0</v>
      </c>
      <c r="BD535" s="440">
        <v>0</v>
      </c>
      <c r="BE535" s="440">
        <v>0</v>
      </c>
      <c r="BF535" s="440">
        <v>0</v>
      </c>
      <c r="BG535" s="440">
        <v>0</v>
      </c>
      <c r="BH535" s="440">
        <v>0</v>
      </c>
      <c r="BI535" s="440">
        <v>0</v>
      </c>
      <c r="BJ535" s="440">
        <v>0</v>
      </c>
      <c r="BK535" s="440">
        <v>0</v>
      </c>
      <c r="BL535" s="440">
        <v>0</v>
      </c>
      <c r="BM535" s="440">
        <v>0</v>
      </c>
      <c r="BN535" s="440">
        <v>0</v>
      </c>
      <c r="BO535" s="440">
        <v>0</v>
      </c>
      <c r="BP535" s="440">
        <v>0</v>
      </c>
      <c r="BQ535" s="440">
        <v>0</v>
      </c>
      <c r="BR535" s="415">
        <v>0.66666666666666663</v>
      </c>
      <c r="BS535" s="415">
        <v>0.6777777777777777</v>
      </c>
      <c r="BT535" s="935"/>
      <c r="BU535" s="935"/>
      <c r="BV535" s="935"/>
      <c r="BW535" s="935"/>
      <c r="BX535" s="935"/>
      <c r="BY535" s="935"/>
      <c r="BZ535" s="935"/>
      <c r="CA535" s="935"/>
      <c r="CB535" s="935"/>
      <c r="CC535" s="935"/>
      <c r="CD535" s="935"/>
      <c r="CE535" s="935"/>
      <c r="CF535" s="935"/>
      <c r="CG535" s="935"/>
      <c r="CH535" s="935"/>
      <c r="CI535" s="935"/>
      <c r="CJ535" s="935"/>
      <c r="CK535" s="935"/>
      <c r="CL535" s="935"/>
      <c r="CM535" s="935"/>
      <c r="CN535" s="935"/>
      <c r="CO535" s="935"/>
      <c r="CP535" s="935"/>
      <c r="CQ535" s="935"/>
      <c r="CR535" s="935"/>
      <c r="CS535" s="935"/>
      <c r="CT535" s="935"/>
      <c r="CU535" s="935"/>
      <c r="CV535" s="935"/>
    </row>
    <row r="536" spans="1:100" s="441" customFormat="1">
      <c r="A536" s="375">
        <f t="shared" si="160"/>
        <v>9</v>
      </c>
      <c r="B536" s="862">
        <v>44454</v>
      </c>
      <c r="C536" s="493" t="s">
        <v>2001</v>
      </c>
      <c r="D536" s="376" t="str">
        <f>IFERROR(VLOOKUP(E:E,'Item Data Support Sheet'!A:O,7,0),"")</f>
        <v>BOTTLE PRINTED</v>
      </c>
      <c r="E536" s="447" t="s">
        <v>70</v>
      </c>
      <c r="F536" s="500"/>
      <c r="G536" s="497"/>
      <c r="H536" s="602" t="str">
        <f>IFERROR(VLOOKUP(E:E,'Item Data Support Sheet'!A:O,2,0),"")</f>
        <v>KPP 200 ML BOTTLE PRINTED</v>
      </c>
      <c r="I536" s="501" t="s">
        <v>3124</v>
      </c>
      <c r="J536" s="501" t="s">
        <v>2811</v>
      </c>
      <c r="K536" s="438">
        <v>8</v>
      </c>
      <c r="L536" s="499">
        <v>5100</v>
      </c>
      <c r="M536" s="366">
        <f t="shared" si="175"/>
        <v>637.5</v>
      </c>
      <c r="N536" s="367">
        <f t="shared" si="159"/>
        <v>4765</v>
      </c>
      <c r="O536" s="61">
        <v>4752</v>
      </c>
      <c r="P536" s="368">
        <v>0</v>
      </c>
      <c r="Q536" s="368">
        <v>0</v>
      </c>
      <c r="R536" s="494">
        <v>20</v>
      </c>
      <c r="S536" s="493">
        <v>0</v>
      </c>
      <c r="T536" s="494">
        <v>13</v>
      </c>
      <c r="U536" s="493">
        <v>0</v>
      </c>
      <c r="V536" s="502">
        <v>5</v>
      </c>
      <c r="W536" s="453">
        <f t="shared" si="161"/>
        <v>950.4</v>
      </c>
      <c r="X536" s="748">
        <f t="shared" si="162"/>
        <v>0.93176470588235294</v>
      </c>
      <c r="Y536" s="451" t="str">
        <f>IFERROR(VLOOKUP(E:E,'Item Data Support Sheet'!A:J,6,0),0)</f>
        <v>FO002</v>
      </c>
      <c r="Z536" s="428">
        <f>IFERROR(VLOOKUP(E:E,'Item Data Support Sheet'!A:O,4,0),0)</f>
        <v>0</v>
      </c>
      <c r="AA536" s="428">
        <f t="shared" si="163"/>
        <v>0</v>
      </c>
      <c r="AB536" s="429" t="str">
        <f t="shared" si="164"/>
        <v xml:space="preserve"> </v>
      </c>
      <c r="AC536" s="424">
        <f t="shared" si="165"/>
        <v>2.7282266526757609E-3</v>
      </c>
      <c r="AD536" s="371">
        <f t="shared" si="166"/>
        <v>0</v>
      </c>
      <c r="AE536" s="748">
        <f t="shared" si="167"/>
        <v>0.9972717733473242</v>
      </c>
      <c r="AF536" s="417">
        <f t="shared" si="168"/>
        <v>0.66666666666666663</v>
      </c>
      <c r="AG536" s="416">
        <f t="shared" si="169"/>
        <v>7.333333333333333</v>
      </c>
      <c r="AH536" s="372">
        <f t="shared" si="170"/>
        <v>0.91666666666666663</v>
      </c>
      <c r="AI536" s="373">
        <f t="shared" si="171"/>
        <v>594</v>
      </c>
      <c r="AJ536" s="418">
        <f>VLOOKUP(D536,'Standard Cycle time'!C:D,2,0)</f>
        <v>32.4</v>
      </c>
      <c r="AK536" s="418">
        <f t="shared" si="172"/>
        <v>27.777777777777779</v>
      </c>
      <c r="AL536" s="374">
        <f t="shared" si="173"/>
        <v>1.1663999999999999</v>
      </c>
      <c r="AM536" s="372">
        <f t="shared" si="174"/>
        <v>1.066282980062959</v>
      </c>
      <c r="AN536" s="799" t="s">
        <v>2874</v>
      </c>
      <c r="AO536" s="448"/>
      <c r="AP536" s="440">
        <v>40</v>
      </c>
      <c r="AQ536" s="440">
        <v>0</v>
      </c>
      <c r="AR536" s="440">
        <v>0</v>
      </c>
      <c r="AS536" s="440">
        <v>0</v>
      </c>
      <c r="AT536" s="440">
        <v>0</v>
      </c>
      <c r="AU536" s="440">
        <v>0</v>
      </c>
      <c r="AV536" s="440">
        <v>0</v>
      </c>
      <c r="AW536" s="440">
        <v>0</v>
      </c>
      <c r="AX536" s="440">
        <v>0</v>
      </c>
      <c r="AY536" s="440">
        <v>0</v>
      </c>
      <c r="AZ536" s="440">
        <v>0</v>
      </c>
      <c r="BA536" s="440">
        <v>0</v>
      </c>
      <c r="BB536" s="440">
        <v>0</v>
      </c>
      <c r="BC536" s="440">
        <v>0</v>
      </c>
      <c r="BD536" s="440">
        <v>0</v>
      </c>
      <c r="BE536" s="440">
        <v>0</v>
      </c>
      <c r="BF536" s="440">
        <v>0</v>
      </c>
      <c r="BG536" s="440">
        <v>0</v>
      </c>
      <c r="BH536" s="440">
        <v>0</v>
      </c>
      <c r="BI536" s="440">
        <v>0</v>
      </c>
      <c r="BJ536" s="440">
        <v>0</v>
      </c>
      <c r="BK536" s="440">
        <v>0</v>
      </c>
      <c r="BL536" s="440">
        <v>0</v>
      </c>
      <c r="BM536" s="440">
        <v>0</v>
      </c>
      <c r="BN536" s="440">
        <v>0</v>
      </c>
      <c r="BO536" s="440">
        <v>0</v>
      </c>
      <c r="BP536" s="440">
        <v>0</v>
      </c>
      <c r="BQ536" s="440">
        <v>0</v>
      </c>
      <c r="BR536" s="415">
        <v>0.66666666666666663</v>
      </c>
      <c r="BS536" s="415">
        <v>0.6777777777777777</v>
      </c>
      <c r="BT536" s="935"/>
      <c r="BU536" s="935"/>
      <c r="BV536" s="935"/>
      <c r="BW536" s="935"/>
      <c r="BX536" s="935"/>
      <c r="BY536" s="935"/>
      <c r="BZ536" s="935"/>
      <c r="CA536" s="935"/>
      <c r="CB536" s="935"/>
      <c r="CC536" s="935"/>
      <c r="CD536" s="935"/>
      <c r="CE536" s="935"/>
      <c r="CF536" s="935"/>
      <c r="CG536" s="935"/>
      <c r="CH536" s="935"/>
      <c r="CI536" s="935"/>
      <c r="CJ536" s="935"/>
      <c r="CK536" s="935"/>
      <c r="CL536" s="935"/>
      <c r="CM536" s="935"/>
      <c r="CN536" s="935"/>
      <c r="CO536" s="935"/>
      <c r="CP536" s="935"/>
      <c r="CQ536" s="935"/>
      <c r="CR536" s="935"/>
      <c r="CS536" s="935"/>
      <c r="CT536" s="935"/>
      <c r="CU536" s="935"/>
      <c r="CV536" s="935"/>
    </row>
    <row r="537" spans="1:100" s="441" customFormat="1">
      <c r="A537" s="375">
        <f t="shared" si="160"/>
        <v>9</v>
      </c>
      <c r="B537" s="862">
        <v>44454</v>
      </c>
      <c r="C537" s="493" t="s">
        <v>2053</v>
      </c>
      <c r="D537" s="376" t="str">
        <f>IFERROR(VLOOKUP(E:E,'Item Data Support Sheet'!A:O,7,0),"")</f>
        <v>NIPPLE MOLDED</v>
      </c>
      <c r="E537" s="447" t="s">
        <v>74</v>
      </c>
      <c r="F537" s="500" t="s">
        <v>1678</v>
      </c>
      <c r="G537" s="497" t="s">
        <v>1691</v>
      </c>
      <c r="H537" s="602" t="str">
        <f>IFERROR(VLOOKUP(E:E,'Item Data Support Sheet'!A:O,2,0),"")</f>
        <v>NIPPLE S TYPE L SIZE INJECTION</v>
      </c>
      <c r="I537" s="501" t="s">
        <v>3125</v>
      </c>
      <c r="J537" s="501" t="s">
        <v>2826</v>
      </c>
      <c r="K537" s="438">
        <v>8</v>
      </c>
      <c r="L537" s="499">
        <v>4815</v>
      </c>
      <c r="M537" s="366">
        <f t="shared" si="175"/>
        <v>601.875</v>
      </c>
      <c r="N537" s="367">
        <f t="shared" si="159"/>
        <v>5353</v>
      </c>
      <c r="O537" s="61">
        <v>5300</v>
      </c>
      <c r="P537" s="368">
        <v>0</v>
      </c>
      <c r="Q537" s="368">
        <v>0</v>
      </c>
      <c r="R537" s="494">
        <v>0</v>
      </c>
      <c r="S537" s="493">
        <v>0</v>
      </c>
      <c r="T537" s="494">
        <v>45</v>
      </c>
      <c r="U537" s="493">
        <v>8</v>
      </c>
      <c r="V537" s="502">
        <v>1</v>
      </c>
      <c r="W537" s="453">
        <f t="shared" si="161"/>
        <v>5300</v>
      </c>
      <c r="X537" s="748">
        <f t="shared" si="162"/>
        <v>1.1007268951194185</v>
      </c>
      <c r="Y537" s="451" t="str">
        <f>IFERROR(VLOOKUP(E:E,'Item Data Support Sheet'!A:J,6,0),0)</f>
        <v>Silicon</v>
      </c>
      <c r="Z537" s="428">
        <f>IFERROR(VLOOKUP(E:E,'Item Data Support Sheet'!A:O,4,0),0)</f>
        <v>6.8</v>
      </c>
      <c r="AA537" s="428">
        <f t="shared" si="163"/>
        <v>36.400399999999998</v>
      </c>
      <c r="AB537" s="429">
        <f t="shared" si="164"/>
        <v>0.99009900990099009</v>
      </c>
      <c r="AC537" s="424">
        <f t="shared" si="165"/>
        <v>8.4190832553788595E-3</v>
      </c>
      <c r="AD537" s="371">
        <f t="shared" si="166"/>
        <v>0</v>
      </c>
      <c r="AE537" s="748">
        <f t="shared" si="167"/>
        <v>0.99159349897253879</v>
      </c>
      <c r="AF537" s="417">
        <f t="shared" si="168"/>
        <v>0</v>
      </c>
      <c r="AG537" s="416">
        <f t="shared" si="169"/>
        <v>8</v>
      </c>
      <c r="AH537" s="372">
        <f t="shared" si="170"/>
        <v>1</v>
      </c>
      <c r="AI537" s="373">
        <f t="shared" si="171"/>
        <v>662.5</v>
      </c>
      <c r="AJ537" s="418">
        <f>VLOOKUP(D537,'Standard Cycle time'!C:D,2,0)</f>
        <v>5.25</v>
      </c>
      <c r="AK537" s="418">
        <f t="shared" si="172"/>
        <v>5.4339622641509431</v>
      </c>
      <c r="AL537" s="374">
        <f t="shared" si="173"/>
        <v>0.96614583333333337</v>
      </c>
      <c r="AM537" s="372">
        <f t="shared" si="174"/>
        <v>0.95802392739273934</v>
      </c>
      <c r="AN537" s="799">
        <v>3249</v>
      </c>
      <c r="AO537" s="448"/>
      <c r="AP537" s="440">
        <v>0</v>
      </c>
      <c r="AQ537" s="440">
        <v>0</v>
      </c>
      <c r="AR537" s="440">
        <v>0</v>
      </c>
      <c r="AS537" s="440">
        <v>0</v>
      </c>
      <c r="AT537" s="440">
        <v>0</v>
      </c>
      <c r="AU537" s="440">
        <v>0</v>
      </c>
      <c r="AV537" s="440">
        <v>0</v>
      </c>
      <c r="AW537" s="440">
        <v>0</v>
      </c>
      <c r="AX537" s="440">
        <v>0</v>
      </c>
      <c r="AY537" s="440">
        <v>0</v>
      </c>
      <c r="AZ537" s="440">
        <v>0</v>
      </c>
      <c r="BA537" s="440">
        <v>0</v>
      </c>
      <c r="BB537" s="440">
        <v>0</v>
      </c>
      <c r="BC537" s="440">
        <v>0</v>
      </c>
      <c r="BD537" s="440">
        <v>0</v>
      </c>
      <c r="BE537" s="440">
        <v>0</v>
      </c>
      <c r="BF537" s="440">
        <v>0</v>
      </c>
      <c r="BG537" s="440">
        <v>0</v>
      </c>
      <c r="BH537" s="440">
        <v>0</v>
      </c>
      <c r="BI537" s="440">
        <v>0</v>
      </c>
      <c r="BJ537" s="440">
        <v>0</v>
      </c>
      <c r="BK537" s="440">
        <v>0</v>
      </c>
      <c r="BL537" s="440">
        <v>0</v>
      </c>
      <c r="BM537" s="440">
        <v>0</v>
      </c>
      <c r="BN537" s="440">
        <v>0</v>
      </c>
      <c r="BO537" s="440">
        <v>0</v>
      </c>
      <c r="BP537" s="440">
        <v>0</v>
      </c>
      <c r="BQ537" s="440">
        <v>0</v>
      </c>
      <c r="BR537" s="415">
        <v>0</v>
      </c>
      <c r="BS537" s="415">
        <v>0</v>
      </c>
      <c r="BT537" s="935"/>
      <c r="BU537" s="935"/>
      <c r="BV537" s="935"/>
      <c r="BW537" s="935"/>
      <c r="BX537" s="935"/>
      <c r="BY537" s="935"/>
      <c r="BZ537" s="935"/>
      <c r="CA537" s="935"/>
      <c r="CB537" s="935"/>
      <c r="CC537" s="935"/>
      <c r="CD537" s="935"/>
      <c r="CE537" s="935"/>
      <c r="CF537" s="935"/>
      <c r="CG537" s="935"/>
      <c r="CH537" s="935"/>
      <c r="CI537" s="935"/>
      <c r="CJ537" s="935"/>
      <c r="CK537" s="935"/>
      <c r="CL537" s="935"/>
      <c r="CM537" s="935"/>
      <c r="CN537" s="935"/>
      <c r="CO537" s="935"/>
      <c r="CP537" s="935"/>
      <c r="CQ537" s="935"/>
      <c r="CR537" s="935"/>
      <c r="CS537" s="935"/>
      <c r="CT537" s="935"/>
      <c r="CU537" s="935"/>
      <c r="CV537" s="935"/>
    </row>
    <row r="538" spans="1:100" s="441" customFormat="1">
      <c r="A538" s="375">
        <f t="shared" si="160"/>
        <v>9</v>
      </c>
      <c r="B538" s="862">
        <v>44454</v>
      </c>
      <c r="C538" s="493" t="s">
        <v>2053</v>
      </c>
      <c r="D538" s="376" t="str">
        <f>IFERROR(VLOOKUP(E:E,'Item Data Support Sheet'!A:O,7,0),"")</f>
        <v>HOOD MOLDED</v>
      </c>
      <c r="E538" s="447" t="s">
        <v>1987</v>
      </c>
      <c r="F538" s="500"/>
      <c r="G538" s="497" t="s">
        <v>2729</v>
      </c>
      <c r="H538" s="602" t="str">
        <f>IFERROR(VLOOKUP(E:E,'Item Data Support Sheet'!A:O,2,0),"")</f>
        <v>HOOD S TYPE MOLDED</v>
      </c>
      <c r="I538" s="501" t="s">
        <v>3126</v>
      </c>
      <c r="J538" s="501" t="s">
        <v>2826</v>
      </c>
      <c r="K538" s="438">
        <v>8</v>
      </c>
      <c r="L538" s="499">
        <v>4137</v>
      </c>
      <c r="M538" s="366">
        <f t="shared" si="175"/>
        <v>517.125</v>
      </c>
      <c r="N538" s="367">
        <f t="shared" si="159"/>
        <v>5513</v>
      </c>
      <c r="O538" s="61">
        <v>5500</v>
      </c>
      <c r="P538" s="368">
        <v>0</v>
      </c>
      <c r="Q538" s="368">
        <v>0</v>
      </c>
      <c r="R538" s="494">
        <v>0</v>
      </c>
      <c r="S538" s="493">
        <v>0</v>
      </c>
      <c r="T538" s="494">
        <v>5</v>
      </c>
      <c r="U538" s="493">
        <v>8</v>
      </c>
      <c r="V538" s="502">
        <v>1</v>
      </c>
      <c r="W538" s="453">
        <f t="shared" si="161"/>
        <v>5500</v>
      </c>
      <c r="X538" s="748">
        <f t="shared" si="162"/>
        <v>1.3294657964708727</v>
      </c>
      <c r="Y538" s="451" t="str">
        <f>IFERROR(VLOOKUP(E:E,'Item Data Support Sheet'!A:J,6,0),0)</f>
        <v>HMC</v>
      </c>
      <c r="Z538" s="428">
        <f>IFERROR(VLOOKUP(E:E,'Item Data Support Sheet'!A:O,4,0),0)</f>
        <v>8.6</v>
      </c>
      <c r="AA538" s="428">
        <f t="shared" si="163"/>
        <v>47.411799999999999</v>
      </c>
      <c r="AB538" s="429">
        <f t="shared" si="164"/>
        <v>0.99764193723925265</v>
      </c>
      <c r="AC538" s="424">
        <f t="shared" si="165"/>
        <v>9.0826521344232513E-4</v>
      </c>
      <c r="AD538" s="371">
        <f t="shared" si="166"/>
        <v>0</v>
      </c>
      <c r="AE538" s="748">
        <f t="shared" si="167"/>
        <v>0.99909305278432792</v>
      </c>
      <c r="AF538" s="417">
        <f t="shared" si="168"/>
        <v>0</v>
      </c>
      <c r="AG538" s="416">
        <f t="shared" si="169"/>
        <v>8</v>
      </c>
      <c r="AH538" s="372">
        <f t="shared" si="170"/>
        <v>1</v>
      </c>
      <c r="AI538" s="373">
        <f t="shared" si="171"/>
        <v>687.5</v>
      </c>
      <c r="AJ538" s="418">
        <f>VLOOKUP(D538,'Standard Cycle time'!C:D,2,0)</f>
        <v>6</v>
      </c>
      <c r="AK538" s="418">
        <f t="shared" si="172"/>
        <v>5.2363636363636363</v>
      </c>
      <c r="AL538" s="374">
        <f t="shared" si="173"/>
        <v>1.1458333333333333</v>
      </c>
      <c r="AM538" s="372">
        <f t="shared" si="174"/>
        <v>1.1447941229820424</v>
      </c>
      <c r="AN538" s="799">
        <v>3250</v>
      </c>
      <c r="AO538" s="448"/>
      <c r="AP538" s="440">
        <v>0</v>
      </c>
      <c r="AQ538" s="440">
        <v>0</v>
      </c>
      <c r="AR538" s="440">
        <v>0</v>
      </c>
      <c r="AS538" s="440">
        <v>0</v>
      </c>
      <c r="AT538" s="440">
        <v>0</v>
      </c>
      <c r="AU538" s="440">
        <v>0</v>
      </c>
      <c r="AV538" s="440">
        <v>0</v>
      </c>
      <c r="AW538" s="440">
        <v>0</v>
      </c>
      <c r="AX538" s="440">
        <v>0</v>
      </c>
      <c r="AY538" s="440">
        <v>0</v>
      </c>
      <c r="AZ538" s="440">
        <v>0</v>
      </c>
      <c r="BA538" s="440">
        <v>0</v>
      </c>
      <c r="BB538" s="440">
        <v>0</v>
      </c>
      <c r="BC538" s="440">
        <v>0</v>
      </c>
      <c r="BD538" s="440">
        <v>0</v>
      </c>
      <c r="BE538" s="440">
        <v>0</v>
      </c>
      <c r="BF538" s="440">
        <v>0</v>
      </c>
      <c r="BG538" s="440">
        <v>0</v>
      </c>
      <c r="BH538" s="440">
        <v>0</v>
      </c>
      <c r="BI538" s="440">
        <v>0</v>
      </c>
      <c r="BJ538" s="440">
        <v>0</v>
      </c>
      <c r="BK538" s="440">
        <v>0</v>
      </c>
      <c r="BL538" s="440">
        <v>0</v>
      </c>
      <c r="BM538" s="440">
        <v>0</v>
      </c>
      <c r="BN538" s="440">
        <v>0</v>
      </c>
      <c r="BO538" s="440">
        <v>0</v>
      </c>
      <c r="BP538" s="440">
        <v>0</v>
      </c>
      <c r="BQ538" s="440">
        <v>0</v>
      </c>
      <c r="BR538" s="415">
        <v>0</v>
      </c>
      <c r="BS538" s="415">
        <v>0</v>
      </c>
      <c r="BT538" s="935"/>
      <c r="BU538" s="935"/>
      <c r="BV538" s="935"/>
      <c r="BW538" s="935"/>
      <c r="BX538" s="935"/>
      <c r="BY538" s="935"/>
      <c r="BZ538" s="935"/>
      <c r="CA538" s="935"/>
      <c r="CB538" s="935"/>
      <c r="CC538" s="935"/>
      <c r="CD538" s="935"/>
      <c r="CE538" s="935"/>
      <c r="CF538" s="935"/>
      <c r="CG538" s="935"/>
      <c r="CH538" s="935"/>
      <c r="CI538" s="935"/>
      <c r="CJ538" s="935"/>
      <c r="CK538" s="935"/>
      <c r="CL538" s="935"/>
      <c r="CM538" s="935"/>
      <c r="CN538" s="935"/>
      <c r="CO538" s="935"/>
      <c r="CP538" s="935"/>
      <c r="CQ538" s="935"/>
      <c r="CR538" s="935"/>
      <c r="CS538" s="935"/>
      <c r="CT538" s="935"/>
      <c r="CU538" s="935"/>
      <c r="CV538" s="935"/>
    </row>
    <row r="539" spans="1:100" s="441" customFormat="1">
      <c r="A539" s="375">
        <f t="shared" si="160"/>
        <v>9</v>
      </c>
      <c r="B539" s="862">
        <v>44455</v>
      </c>
      <c r="C539" s="493" t="s">
        <v>1980</v>
      </c>
      <c r="D539" s="376" t="str">
        <f>IFERROR(VLOOKUP(E:E,'Item Data Support Sheet'!A:O,7,0),"")</f>
        <v>NIPPLE LASER MARKING</v>
      </c>
      <c r="E539" s="447" t="s">
        <v>1816</v>
      </c>
      <c r="F539" s="500"/>
      <c r="G539" s="497" t="s">
        <v>1812</v>
      </c>
      <c r="H539" s="602" t="str">
        <f>IFERROR(VLOOKUP(E:E,'Item Data Support Sheet'!A:O,2,0),"")</f>
        <v>NIPPLE S TYPE L SIZE PUNCHED LASER MARKED</v>
      </c>
      <c r="I539" s="501" t="s">
        <v>3122</v>
      </c>
      <c r="J539" s="501" t="s">
        <v>2809</v>
      </c>
      <c r="K539" s="438">
        <v>8</v>
      </c>
      <c r="L539" s="499">
        <v>7000</v>
      </c>
      <c r="M539" s="366">
        <f t="shared" si="175"/>
        <v>875</v>
      </c>
      <c r="N539" s="367">
        <f t="shared" si="159"/>
        <v>7300</v>
      </c>
      <c r="O539" s="61">
        <v>7300</v>
      </c>
      <c r="P539" s="368">
        <v>0</v>
      </c>
      <c r="Q539" s="368">
        <v>0</v>
      </c>
      <c r="R539" s="494">
        <v>0</v>
      </c>
      <c r="S539" s="493">
        <v>0</v>
      </c>
      <c r="T539" s="494">
        <v>0</v>
      </c>
      <c r="U539" s="493">
        <v>0</v>
      </c>
      <c r="V539" s="502">
        <v>1</v>
      </c>
      <c r="W539" s="453">
        <f t="shared" si="161"/>
        <v>7300</v>
      </c>
      <c r="X539" s="748">
        <f t="shared" si="162"/>
        <v>1.0428571428571429</v>
      </c>
      <c r="Y539" s="451" t="str">
        <f>IFERROR(VLOOKUP(E:E,'Item Data Support Sheet'!A:J,6,0),0)</f>
        <v>FO021</v>
      </c>
      <c r="Z539" s="428">
        <f>IFERROR(VLOOKUP(E:E,'Item Data Support Sheet'!A:O,4,0),0)</f>
        <v>0</v>
      </c>
      <c r="AA539" s="428">
        <f t="shared" si="163"/>
        <v>0</v>
      </c>
      <c r="AB539" s="429" t="str">
        <f t="shared" si="164"/>
        <v xml:space="preserve"> </v>
      </c>
      <c r="AC539" s="424">
        <f t="shared" si="165"/>
        <v>0</v>
      </c>
      <c r="AD539" s="371">
        <f t="shared" si="166"/>
        <v>0</v>
      </c>
      <c r="AE539" s="748">
        <f t="shared" si="167"/>
        <v>1</v>
      </c>
      <c r="AF539" s="417">
        <f t="shared" si="168"/>
        <v>0.66666666666666663</v>
      </c>
      <c r="AG539" s="416">
        <f t="shared" si="169"/>
        <v>7.333333333333333</v>
      </c>
      <c r="AH539" s="372">
        <f t="shared" si="170"/>
        <v>0.91666666666666663</v>
      </c>
      <c r="AI539" s="373">
        <f t="shared" si="171"/>
        <v>912.5</v>
      </c>
      <c r="AJ539" s="418">
        <f>VLOOKUP(D539,'Standard Cycle time'!C:D,2,0)</f>
        <v>3.5</v>
      </c>
      <c r="AK539" s="418">
        <f t="shared" si="172"/>
        <v>3.6164383561643834</v>
      </c>
      <c r="AL539" s="374">
        <f t="shared" si="173"/>
        <v>0.96780303030303039</v>
      </c>
      <c r="AM539" s="372">
        <f t="shared" si="174"/>
        <v>0.88715277777777779</v>
      </c>
      <c r="AN539" s="799" t="s">
        <v>3127</v>
      </c>
      <c r="AO539" s="448"/>
      <c r="AP539" s="440">
        <v>40</v>
      </c>
      <c r="AQ539" s="440">
        <v>0</v>
      </c>
      <c r="AR539" s="440">
        <v>0</v>
      </c>
      <c r="AS539" s="440">
        <v>0</v>
      </c>
      <c r="AT539" s="440">
        <v>0</v>
      </c>
      <c r="AU539" s="440">
        <v>0</v>
      </c>
      <c r="AV539" s="440">
        <v>0</v>
      </c>
      <c r="AW539" s="440">
        <v>0</v>
      </c>
      <c r="AX539" s="440">
        <v>0</v>
      </c>
      <c r="AY539" s="440">
        <v>0</v>
      </c>
      <c r="AZ539" s="440">
        <v>0</v>
      </c>
      <c r="BA539" s="440">
        <v>0</v>
      </c>
      <c r="BB539" s="440">
        <v>0</v>
      </c>
      <c r="BC539" s="440">
        <v>0</v>
      </c>
      <c r="BD539" s="440">
        <v>0</v>
      </c>
      <c r="BE539" s="440">
        <v>0</v>
      </c>
      <c r="BF539" s="440">
        <v>0</v>
      </c>
      <c r="BG539" s="440">
        <v>0</v>
      </c>
      <c r="BH539" s="440">
        <v>0</v>
      </c>
      <c r="BI539" s="440">
        <v>0</v>
      </c>
      <c r="BJ539" s="440">
        <v>0</v>
      </c>
      <c r="BK539" s="440">
        <v>0</v>
      </c>
      <c r="BL539" s="440">
        <v>0</v>
      </c>
      <c r="BM539" s="440">
        <v>0</v>
      </c>
      <c r="BN539" s="440">
        <v>0</v>
      </c>
      <c r="BO539" s="440">
        <v>0</v>
      </c>
      <c r="BP539" s="440">
        <v>0</v>
      </c>
      <c r="BQ539" s="440">
        <v>0</v>
      </c>
      <c r="BR539" s="415">
        <v>0.66666666666666663</v>
      </c>
      <c r="BS539" s="415">
        <v>0.6777777777777777</v>
      </c>
      <c r="BT539" s="935"/>
      <c r="BU539" s="935"/>
      <c r="BV539" s="935"/>
      <c r="BW539" s="935"/>
      <c r="BX539" s="935"/>
      <c r="BY539" s="935"/>
      <c r="BZ539" s="935"/>
      <c r="CA539" s="935"/>
      <c r="CB539" s="935"/>
      <c r="CC539" s="935"/>
      <c r="CD539" s="935"/>
      <c r="CE539" s="935"/>
      <c r="CF539" s="935"/>
      <c r="CG539" s="935"/>
      <c r="CH539" s="935"/>
      <c r="CI539" s="935"/>
      <c r="CJ539" s="935"/>
      <c r="CK539" s="935"/>
      <c r="CL539" s="935"/>
      <c r="CM539" s="935"/>
      <c r="CN539" s="935"/>
      <c r="CO539" s="935"/>
      <c r="CP539" s="935"/>
      <c r="CQ539" s="935"/>
      <c r="CR539" s="935"/>
      <c r="CS539" s="935"/>
      <c r="CT539" s="935"/>
      <c r="CU539" s="935"/>
      <c r="CV539" s="935"/>
    </row>
    <row r="540" spans="1:100" s="441" customFormat="1">
      <c r="A540" s="375">
        <f t="shared" si="160"/>
        <v>9</v>
      </c>
      <c r="B540" s="862">
        <v>44455</v>
      </c>
      <c r="C540" s="493" t="s">
        <v>1980</v>
      </c>
      <c r="D540" s="376" t="str">
        <f>IFERROR(VLOOKUP(E:E,'Item Data Support Sheet'!A:O,7,0),"")</f>
        <v>NIPPLE PUNCH</v>
      </c>
      <c r="E540" s="447" t="s">
        <v>82</v>
      </c>
      <c r="F540" s="500"/>
      <c r="G540" s="497" t="s">
        <v>1692</v>
      </c>
      <c r="H540" s="602" t="str">
        <f>IFERROR(VLOOKUP(E:E,'Item Data Support Sheet'!A:O,2,0),"")</f>
        <v>NIPPLE S TYPE L SIZE PUNCHED</v>
      </c>
      <c r="I540" s="501" t="s">
        <v>3128</v>
      </c>
      <c r="J540" s="501" t="s">
        <v>2809</v>
      </c>
      <c r="K540" s="438">
        <v>8</v>
      </c>
      <c r="L540" s="499">
        <v>7000</v>
      </c>
      <c r="M540" s="366">
        <f t="shared" si="175"/>
        <v>875</v>
      </c>
      <c r="N540" s="367">
        <f t="shared" si="159"/>
        <v>7300</v>
      </c>
      <c r="O540" s="61">
        <v>7300</v>
      </c>
      <c r="P540" s="368">
        <v>0</v>
      </c>
      <c r="Q540" s="368">
        <v>0</v>
      </c>
      <c r="R540" s="494">
        <v>0</v>
      </c>
      <c r="S540" s="493">
        <v>0</v>
      </c>
      <c r="T540" s="494">
        <v>0</v>
      </c>
      <c r="U540" s="493">
        <v>0</v>
      </c>
      <c r="V540" s="502">
        <v>1</v>
      </c>
      <c r="W540" s="453">
        <f t="shared" si="161"/>
        <v>7300</v>
      </c>
      <c r="X540" s="748">
        <f t="shared" si="162"/>
        <v>1.0428571428571429</v>
      </c>
      <c r="Y540" s="451" t="str">
        <f>IFERROR(VLOOKUP(E:E,'Item Data Support Sheet'!A:J,6,0),0)</f>
        <v>FO017</v>
      </c>
      <c r="Z540" s="428">
        <f>IFERROR(VLOOKUP(E:E,'Item Data Support Sheet'!A:O,4,0),0)</f>
        <v>0</v>
      </c>
      <c r="AA540" s="428">
        <f t="shared" si="163"/>
        <v>0</v>
      </c>
      <c r="AB540" s="429" t="str">
        <f t="shared" si="164"/>
        <v xml:space="preserve"> </v>
      </c>
      <c r="AC540" s="424">
        <f t="shared" si="165"/>
        <v>0</v>
      </c>
      <c r="AD540" s="371">
        <f t="shared" si="166"/>
        <v>0</v>
      </c>
      <c r="AE540" s="748">
        <f t="shared" si="167"/>
        <v>1</v>
      </c>
      <c r="AF540" s="417">
        <f t="shared" si="168"/>
        <v>0.66666666666666663</v>
      </c>
      <c r="AG540" s="416">
        <f t="shared" si="169"/>
        <v>7.333333333333333</v>
      </c>
      <c r="AH540" s="372">
        <f t="shared" si="170"/>
        <v>0.91666666666666663</v>
      </c>
      <c r="AI540" s="373">
        <f t="shared" si="171"/>
        <v>912.5</v>
      </c>
      <c r="AJ540" s="418">
        <f>VLOOKUP(D540,'Standard Cycle time'!C:D,2,0)</f>
        <v>3.5</v>
      </c>
      <c r="AK540" s="418">
        <f t="shared" si="172"/>
        <v>3.6164383561643834</v>
      </c>
      <c r="AL540" s="374">
        <f t="shared" si="173"/>
        <v>0.96780303030303039</v>
      </c>
      <c r="AM540" s="372">
        <f t="shared" si="174"/>
        <v>0.88715277777777779</v>
      </c>
      <c r="AN540" s="799" t="s">
        <v>3129</v>
      </c>
      <c r="AO540" s="448"/>
      <c r="AP540" s="440">
        <v>40</v>
      </c>
      <c r="AQ540" s="440">
        <v>0</v>
      </c>
      <c r="AR540" s="440">
        <v>0</v>
      </c>
      <c r="AS540" s="440">
        <v>0</v>
      </c>
      <c r="AT540" s="440">
        <v>0</v>
      </c>
      <c r="AU540" s="440">
        <v>0</v>
      </c>
      <c r="AV540" s="440">
        <v>0</v>
      </c>
      <c r="AW540" s="440">
        <v>0</v>
      </c>
      <c r="AX540" s="440">
        <v>0</v>
      </c>
      <c r="AY540" s="440">
        <v>0</v>
      </c>
      <c r="AZ540" s="440">
        <v>0</v>
      </c>
      <c r="BA540" s="440">
        <v>0</v>
      </c>
      <c r="BB540" s="440">
        <v>0</v>
      </c>
      <c r="BC540" s="440">
        <v>0</v>
      </c>
      <c r="BD540" s="440">
        <v>0</v>
      </c>
      <c r="BE540" s="440">
        <v>0</v>
      </c>
      <c r="BF540" s="440">
        <v>0</v>
      </c>
      <c r="BG540" s="440">
        <v>0</v>
      </c>
      <c r="BH540" s="440">
        <v>0</v>
      </c>
      <c r="BI540" s="440">
        <v>0</v>
      </c>
      <c r="BJ540" s="440">
        <v>0</v>
      </c>
      <c r="BK540" s="440">
        <v>0</v>
      </c>
      <c r="BL540" s="440">
        <v>0</v>
      </c>
      <c r="BM540" s="440">
        <v>0</v>
      </c>
      <c r="BN540" s="440">
        <v>0</v>
      </c>
      <c r="BO540" s="440">
        <v>0</v>
      </c>
      <c r="BP540" s="440">
        <v>0</v>
      </c>
      <c r="BQ540" s="440">
        <v>0</v>
      </c>
      <c r="BR540" s="415">
        <v>0.66666666666666663</v>
      </c>
      <c r="BS540" s="415">
        <v>0.6777777777777777</v>
      </c>
      <c r="BT540" s="935"/>
      <c r="BU540" s="935"/>
      <c r="BV540" s="935"/>
      <c r="BW540" s="935"/>
      <c r="BX540" s="935"/>
      <c r="BY540" s="935"/>
      <c r="BZ540" s="935"/>
      <c r="CA540" s="935"/>
      <c r="CB540" s="935"/>
      <c r="CC540" s="935"/>
      <c r="CD540" s="935"/>
      <c r="CE540" s="935"/>
      <c r="CF540" s="935"/>
      <c r="CG540" s="935"/>
      <c r="CH540" s="935"/>
      <c r="CI540" s="935"/>
      <c r="CJ540" s="935"/>
      <c r="CK540" s="935"/>
      <c r="CL540" s="935"/>
      <c r="CM540" s="935"/>
      <c r="CN540" s="935"/>
      <c r="CO540" s="935"/>
      <c r="CP540" s="935"/>
      <c r="CQ540" s="935"/>
      <c r="CR540" s="935"/>
      <c r="CS540" s="935"/>
      <c r="CT540" s="935"/>
      <c r="CU540" s="935"/>
      <c r="CV540" s="935"/>
    </row>
    <row r="541" spans="1:100" s="441" customFormat="1">
      <c r="A541" s="375">
        <f t="shared" si="160"/>
        <v>9</v>
      </c>
      <c r="B541" s="862">
        <v>44455</v>
      </c>
      <c r="C541" s="493" t="s">
        <v>1980</v>
      </c>
      <c r="D541" s="376" t="str">
        <f>IFERROR(VLOOKUP(E:E,'Item Data Support Sheet'!A:O,7,0),"")</f>
        <v>NIPPLE MOLDED</v>
      </c>
      <c r="E541" s="447" t="s">
        <v>74</v>
      </c>
      <c r="F541" s="500" t="s">
        <v>1678</v>
      </c>
      <c r="G541" s="497" t="s">
        <v>1691</v>
      </c>
      <c r="H541" s="602" t="str">
        <f>IFERROR(VLOOKUP(E:E,'Item Data Support Sheet'!A:O,2,0),"")</f>
        <v>NIPPLE S TYPE L SIZE INJECTION</v>
      </c>
      <c r="I541" s="501" t="s">
        <v>3130</v>
      </c>
      <c r="J541" s="501" t="s">
        <v>2809</v>
      </c>
      <c r="K541" s="438">
        <v>8</v>
      </c>
      <c r="L541" s="499">
        <v>4815</v>
      </c>
      <c r="M541" s="366">
        <f t="shared" si="175"/>
        <v>601.875</v>
      </c>
      <c r="N541" s="367">
        <f t="shared" si="159"/>
        <v>5404</v>
      </c>
      <c r="O541" s="61">
        <v>5300</v>
      </c>
      <c r="P541" s="368">
        <v>0</v>
      </c>
      <c r="Q541" s="368">
        <v>51</v>
      </c>
      <c r="R541" s="494">
        <v>0</v>
      </c>
      <c r="S541" s="493">
        <v>0</v>
      </c>
      <c r="T541" s="494">
        <v>45</v>
      </c>
      <c r="U541" s="493">
        <v>8</v>
      </c>
      <c r="V541" s="502">
        <v>1</v>
      </c>
      <c r="W541" s="453">
        <f t="shared" si="161"/>
        <v>5300</v>
      </c>
      <c r="X541" s="748">
        <f t="shared" si="162"/>
        <v>1.1007268951194185</v>
      </c>
      <c r="Y541" s="451" t="str">
        <f>IFERROR(VLOOKUP(E:E,'Item Data Support Sheet'!A:J,6,0),0)</f>
        <v>Silicon</v>
      </c>
      <c r="Z541" s="428">
        <f>IFERROR(VLOOKUP(E:E,'Item Data Support Sheet'!A:O,4,0),0)</f>
        <v>6.8</v>
      </c>
      <c r="AA541" s="428">
        <f t="shared" si="163"/>
        <v>36.747199999999999</v>
      </c>
      <c r="AB541" s="429">
        <f t="shared" si="164"/>
        <v>0.98075499629903773</v>
      </c>
      <c r="AC541" s="424">
        <f t="shared" si="165"/>
        <v>8.4190832553788595E-3</v>
      </c>
      <c r="AD541" s="371">
        <f t="shared" si="166"/>
        <v>9.3492208982584781E-3</v>
      </c>
      <c r="AE541" s="748">
        <f t="shared" si="167"/>
        <v>0.99167283493708369</v>
      </c>
      <c r="AF541" s="417">
        <f t="shared" si="168"/>
        <v>0</v>
      </c>
      <c r="AG541" s="416">
        <f t="shared" si="169"/>
        <v>8</v>
      </c>
      <c r="AH541" s="372">
        <f t="shared" si="170"/>
        <v>1</v>
      </c>
      <c r="AI541" s="373">
        <f t="shared" si="171"/>
        <v>662.5</v>
      </c>
      <c r="AJ541" s="418">
        <f>VLOOKUP(D541,'Standard Cycle time'!C:D,2,0)</f>
        <v>5.25</v>
      </c>
      <c r="AK541" s="418">
        <f t="shared" si="172"/>
        <v>5.4339622641509431</v>
      </c>
      <c r="AL541" s="374">
        <f t="shared" si="173"/>
        <v>0.96614583333333337</v>
      </c>
      <c r="AM541" s="372">
        <f t="shared" si="174"/>
        <v>0.95810057750431787</v>
      </c>
      <c r="AN541" s="799" t="s">
        <v>3131</v>
      </c>
      <c r="AO541" s="448"/>
      <c r="AP541" s="440">
        <v>0</v>
      </c>
      <c r="AQ541" s="440">
        <v>0</v>
      </c>
      <c r="AR541" s="440">
        <v>0</v>
      </c>
      <c r="AS541" s="440">
        <v>0</v>
      </c>
      <c r="AT541" s="440">
        <v>0</v>
      </c>
      <c r="AU541" s="440">
        <v>0</v>
      </c>
      <c r="AV541" s="440">
        <v>0</v>
      </c>
      <c r="AW541" s="440">
        <v>0</v>
      </c>
      <c r="AX541" s="440">
        <v>0</v>
      </c>
      <c r="AY541" s="440">
        <v>0</v>
      </c>
      <c r="AZ541" s="440">
        <v>0</v>
      </c>
      <c r="BA541" s="440">
        <v>0</v>
      </c>
      <c r="BB541" s="440">
        <v>0</v>
      </c>
      <c r="BC541" s="440">
        <v>0</v>
      </c>
      <c r="BD541" s="440">
        <v>0</v>
      </c>
      <c r="BE541" s="440">
        <v>0</v>
      </c>
      <c r="BF541" s="440">
        <v>0</v>
      </c>
      <c r="BG541" s="440">
        <v>0</v>
      </c>
      <c r="BH541" s="440">
        <v>0</v>
      </c>
      <c r="BI541" s="440">
        <v>0</v>
      </c>
      <c r="BJ541" s="440">
        <v>0</v>
      </c>
      <c r="BK541" s="440">
        <v>0</v>
      </c>
      <c r="BL541" s="440">
        <v>0</v>
      </c>
      <c r="BM541" s="440">
        <v>0</v>
      </c>
      <c r="BN541" s="440">
        <v>0</v>
      </c>
      <c r="BO541" s="440">
        <v>0</v>
      </c>
      <c r="BP541" s="440">
        <v>0</v>
      </c>
      <c r="BQ541" s="440">
        <v>0</v>
      </c>
      <c r="BR541" s="415">
        <v>0</v>
      </c>
      <c r="BS541" s="415">
        <v>0</v>
      </c>
      <c r="BT541" s="935"/>
      <c r="BU541" s="935"/>
      <c r="BV541" s="935"/>
      <c r="BW541" s="935"/>
      <c r="BX541" s="935"/>
      <c r="BY541" s="935"/>
      <c r="BZ541" s="935"/>
      <c r="CA541" s="935"/>
      <c r="CB541" s="935"/>
      <c r="CC541" s="935"/>
      <c r="CD541" s="935"/>
      <c r="CE541" s="935"/>
      <c r="CF541" s="935"/>
      <c r="CG541" s="935"/>
      <c r="CH541" s="935"/>
      <c r="CI541" s="935"/>
      <c r="CJ541" s="935"/>
      <c r="CK541" s="935"/>
      <c r="CL541" s="935"/>
      <c r="CM541" s="935"/>
      <c r="CN541" s="935"/>
      <c r="CO541" s="935"/>
      <c r="CP541" s="935"/>
      <c r="CQ541" s="935"/>
      <c r="CR541" s="935"/>
      <c r="CS541" s="935"/>
      <c r="CT541" s="935"/>
      <c r="CU541" s="935"/>
      <c r="CV541" s="935"/>
    </row>
    <row r="542" spans="1:100" s="441" customFormat="1">
      <c r="A542" s="375">
        <f t="shared" si="160"/>
        <v>9</v>
      </c>
      <c r="B542" s="862">
        <v>44455</v>
      </c>
      <c r="C542" s="493" t="s">
        <v>1980</v>
      </c>
      <c r="D542" s="376" t="str">
        <f>IFERROR(VLOOKUP(E:E,'Item Data Support Sheet'!A:O,7,0),"")</f>
        <v>HOOD MOLDED</v>
      </c>
      <c r="E542" s="447" t="s">
        <v>1987</v>
      </c>
      <c r="F542" s="500"/>
      <c r="G542" s="497" t="s">
        <v>2729</v>
      </c>
      <c r="H542" s="602" t="str">
        <f>IFERROR(VLOOKUP(E:E,'Item Data Support Sheet'!A:O,2,0),"")</f>
        <v>HOOD S TYPE MOLDED</v>
      </c>
      <c r="I542" s="501" t="s">
        <v>3132</v>
      </c>
      <c r="J542" s="501" t="s">
        <v>2809</v>
      </c>
      <c r="K542" s="438">
        <v>8</v>
      </c>
      <c r="L542" s="499">
        <v>4137</v>
      </c>
      <c r="M542" s="366">
        <f t="shared" si="175"/>
        <v>517.125</v>
      </c>
      <c r="N542" s="367">
        <f t="shared" si="159"/>
        <v>2485</v>
      </c>
      <c r="O542" s="61">
        <v>2475</v>
      </c>
      <c r="P542" s="368">
        <v>0</v>
      </c>
      <c r="Q542" s="368">
        <v>0</v>
      </c>
      <c r="R542" s="494">
        <v>0</v>
      </c>
      <c r="S542" s="493">
        <v>0</v>
      </c>
      <c r="T542" s="494">
        <v>2</v>
      </c>
      <c r="U542" s="493">
        <v>8</v>
      </c>
      <c r="V542" s="502">
        <v>1</v>
      </c>
      <c r="W542" s="453">
        <f t="shared" si="161"/>
        <v>2475</v>
      </c>
      <c r="X542" s="748">
        <f t="shared" si="162"/>
        <v>0.59825960841189263</v>
      </c>
      <c r="Y542" s="451" t="str">
        <f>IFERROR(VLOOKUP(E:E,'Item Data Support Sheet'!A:J,6,0),0)</f>
        <v>HMC</v>
      </c>
      <c r="Z542" s="428">
        <f>IFERROR(VLOOKUP(E:E,'Item Data Support Sheet'!A:O,4,0),0)</f>
        <v>8.6</v>
      </c>
      <c r="AA542" s="428">
        <f t="shared" si="163"/>
        <v>21.370999999999999</v>
      </c>
      <c r="AB542" s="429">
        <f t="shared" si="164"/>
        <v>0.99597585513078479</v>
      </c>
      <c r="AC542" s="424">
        <f t="shared" si="165"/>
        <v>8.0742834073475975E-4</v>
      </c>
      <c r="AD542" s="371">
        <f t="shared" si="166"/>
        <v>0</v>
      </c>
      <c r="AE542" s="748">
        <f t="shared" si="167"/>
        <v>0.99919517102615696</v>
      </c>
      <c r="AF542" s="417">
        <f t="shared" si="168"/>
        <v>3.8333333333333335</v>
      </c>
      <c r="AG542" s="416">
        <f t="shared" si="169"/>
        <v>4.1666666666666661</v>
      </c>
      <c r="AH542" s="372">
        <f t="shared" si="170"/>
        <v>0.52083333333333326</v>
      </c>
      <c r="AI542" s="373">
        <f t="shared" si="171"/>
        <v>309.375</v>
      </c>
      <c r="AJ542" s="418">
        <f>VLOOKUP(D542,'Standard Cycle time'!C:D,2,0)</f>
        <v>6</v>
      </c>
      <c r="AK542" s="418">
        <f t="shared" si="172"/>
        <v>6.0606060606060597</v>
      </c>
      <c r="AL542" s="374">
        <f t="shared" si="173"/>
        <v>0.9900000000000001</v>
      </c>
      <c r="AM542" s="372">
        <f t="shared" si="174"/>
        <v>0.51521001006036216</v>
      </c>
      <c r="AN542" s="799" t="s">
        <v>3133</v>
      </c>
      <c r="AO542" s="448" t="s">
        <v>3134</v>
      </c>
      <c r="AP542" s="440">
        <v>0</v>
      </c>
      <c r="AQ542" s="440">
        <v>0</v>
      </c>
      <c r="AR542" s="440">
        <v>0</v>
      </c>
      <c r="AS542" s="440">
        <v>0</v>
      </c>
      <c r="AT542" s="440">
        <v>0</v>
      </c>
      <c r="AU542" s="440">
        <v>0</v>
      </c>
      <c r="AV542" s="440">
        <v>0</v>
      </c>
      <c r="AW542" s="440">
        <v>0</v>
      </c>
      <c r="AX542" s="440">
        <v>0</v>
      </c>
      <c r="AY542" s="440">
        <v>0</v>
      </c>
      <c r="AZ542" s="440">
        <v>0</v>
      </c>
      <c r="BA542" s="440">
        <v>0</v>
      </c>
      <c r="BB542" s="440">
        <v>0</v>
      </c>
      <c r="BC542" s="440">
        <v>0</v>
      </c>
      <c r="BD542" s="440">
        <v>0</v>
      </c>
      <c r="BE542" s="440">
        <v>0</v>
      </c>
      <c r="BF542" s="440">
        <v>0</v>
      </c>
      <c r="BG542" s="440">
        <v>0</v>
      </c>
      <c r="BH542" s="440">
        <v>0</v>
      </c>
      <c r="BI542" s="440">
        <v>0</v>
      </c>
      <c r="BJ542" s="440">
        <v>0</v>
      </c>
      <c r="BK542" s="440">
        <v>230</v>
      </c>
      <c r="BL542" s="440">
        <v>0</v>
      </c>
      <c r="BM542" s="440">
        <v>0</v>
      </c>
      <c r="BN542" s="440">
        <v>0</v>
      </c>
      <c r="BO542" s="440">
        <v>0</v>
      </c>
      <c r="BP542" s="440">
        <v>0</v>
      </c>
      <c r="BQ542" s="440">
        <v>0</v>
      </c>
      <c r="BR542" s="415">
        <v>3.8333333333333335</v>
      </c>
      <c r="BS542" s="415">
        <v>3.8972222222222226</v>
      </c>
      <c r="BT542" s="935"/>
      <c r="BU542" s="935"/>
      <c r="BV542" s="935"/>
      <c r="BW542" s="935"/>
      <c r="BX542" s="935"/>
      <c r="BY542" s="935"/>
      <c r="BZ542" s="935"/>
      <c r="CA542" s="935"/>
      <c r="CB542" s="935"/>
      <c r="CC542" s="935"/>
      <c r="CD542" s="935"/>
      <c r="CE542" s="935"/>
      <c r="CF542" s="935"/>
      <c r="CG542" s="935"/>
      <c r="CH542" s="935"/>
      <c r="CI542" s="935"/>
      <c r="CJ542" s="935"/>
      <c r="CK542" s="935"/>
      <c r="CL542" s="935"/>
      <c r="CM542" s="935"/>
      <c r="CN542" s="935"/>
      <c r="CO542" s="935"/>
      <c r="CP542" s="935"/>
      <c r="CQ542" s="935"/>
      <c r="CR542" s="935"/>
      <c r="CS542" s="935"/>
      <c r="CT542" s="935"/>
      <c r="CU542" s="935"/>
      <c r="CV542" s="935"/>
    </row>
    <row r="543" spans="1:100" s="441" customFormat="1">
      <c r="A543" s="375">
        <f t="shared" si="160"/>
        <v>9</v>
      </c>
      <c r="B543" s="862">
        <v>44455</v>
      </c>
      <c r="C543" s="493" t="s">
        <v>1980</v>
      </c>
      <c r="D543" s="376" t="str">
        <f>IFERROR(VLOOKUP(E:E,'Item Data Support Sheet'!A:O,7,0),"")</f>
        <v>BOTTLE PRINTED</v>
      </c>
      <c r="E543" s="447" t="s">
        <v>114</v>
      </c>
      <c r="F543" s="500"/>
      <c r="G543" s="497"/>
      <c r="H543" s="602" t="str">
        <f>IFERROR(VLOOKUP(E:E,'Item Data Support Sheet'!A:O,2,0),"")</f>
        <v>KPP BOTTLE 200 ML PRINTED-WMG3B</v>
      </c>
      <c r="I543" s="501" t="s">
        <v>2990</v>
      </c>
      <c r="J543" s="501" t="s">
        <v>2813</v>
      </c>
      <c r="K543" s="438">
        <v>0.1</v>
      </c>
      <c r="L543" s="499">
        <v>5</v>
      </c>
      <c r="M543" s="366">
        <f t="shared" si="175"/>
        <v>50</v>
      </c>
      <c r="N543" s="367">
        <f t="shared" si="159"/>
        <v>5</v>
      </c>
      <c r="O543" s="61">
        <v>5</v>
      </c>
      <c r="P543" s="368">
        <v>0</v>
      </c>
      <c r="Q543" s="368">
        <v>0</v>
      </c>
      <c r="R543" s="494">
        <v>0</v>
      </c>
      <c r="S543" s="493">
        <v>0</v>
      </c>
      <c r="T543" s="494">
        <v>0</v>
      </c>
      <c r="U543" s="493">
        <v>0</v>
      </c>
      <c r="V543" s="502">
        <v>5</v>
      </c>
      <c r="W543" s="453">
        <f t="shared" si="161"/>
        <v>1</v>
      </c>
      <c r="X543" s="748">
        <f t="shared" si="162"/>
        <v>1</v>
      </c>
      <c r="Y543" s="451" t="str">
        <f>IFERROR(VLOOKUP(E:E,'Item Data Support Sheet'!A:J,6,0),0)</f>
        <v>FO043</v>
      </c>
      <c r="Z543" s="428">
        <f>IFERROR(VLOOKUP(E:E,'Item Data Support Sheet'!A:O,4,0),0)</f>
        <v>0</v>
      </c>
      <c r="AA543" s="428">
        <f t="shared" si="163"/>
        <v>0</v>
      </c>
      <c r="AB543" s="429" t="str">
        <f t="shared" si="164"/>
        <v xml:space="preserve"> </v>
      </c>
      <c r="AC543" s="424">
        <f t="shared" si="165"/>
        <v>0</v>
      </c>
      <c r="AD543" s="371">
        <f t="shared" si="166"/>
        <v>0</v>
      </c>
      <c r="AE543" s="748">
        <f t="shared" si="167"/>
        <v>1</v>
      </c>
      <c r="AF543" s="417">
        <f t="shared" si="168"/>
        <v>0</v>
      </c>
      <c r="AG543" s="416">
        <f t="shared" si="169"/>
        <v>0.1</v>
      </c>
      <c r="AH543" s="372">
        <f t="shared" si="170"/>
        <v>1</v>
      </c>
      <c r="AI543" s="373">
        <f t="shared" si="171"/>
        <v>50</v>
      </c>
      <c r="AJ543" s="418">
        <f>VLOOKUP(D543,'Standard Cycle time'!C:D,2,0)</f>
        <v>32.4</v>
      </c>
      <c r="AK543" s="418">
        <f t="shared" si="172"/>
        <v>360</v>
      </c>
      <c r="AL543" s="374">
        <f t="shared" si="173"/>
        <v>0.09</v>
      </c>
      <c r="AM543" s="372">
        <f t="shared" si="174"/>
        <v>0.09</v>
      </c>
      <c r="AN543" s="799" t="s">
        <v>3135</v>
      </c>
      <c r="AO543" s="448"/>
      <c r="AP543" s="440">
        <v>0</v>
      </c>
      <c r="AQ543" s="440">
        <v>0</v>
      </c>
      <c r="AR543" s="440">
        <v>0</v>
      </c>
      <c r="AS543" s="440">
        <v>0</v>
      </c>
      <c r="AT543" s="440">
        <v>0</v>
      </c>
      <c r="AU543" s="440">
        <v>0</v>
      </c>
      <c r="AV543" s="440">
        <v>0</v>
      </c>
      <c r="AW543" s="440">
        <v>0</v>
      </c>
      <c r="AX543" s="440">
        <v>0</v>
      </c>
      <c r="AY543" s="440">
        <v>0</v>
      </c>
      <c r="AZ543" s="440">
        <v>0</v>
      </c>
      <c r="BA543" s="440">
        <v>0</v>
      </c>
      <c r="BB543" s="440">
        <v>0</v>
      </c>
      <c r="BC543" s="440">
        <v>0</v>
      </c>
      <c r="BD543" s="440">
        <v>0</v>
      </c>
      <c r="BE543" s="440">
        <v>0</v>
      </c>
      <c r="BF543" s="440">
        <v>0</v>
      </c>
      <c r="BG543" s="440">
        <v>0</v>
      </c>
      <c r="BH543" s="440">
        <v>0</v>
      </c>
      <c r="BI543" s="440">
        <v>0</v>
      </c>
      <c r="BJ543" s="440">
        <v>0</v>
      </c>
      <c r="BK543" s="440">
        <v>0</v>
      </c>
      <c r="BL543" s="440">
        <v>0</v>
      </c>
      <c r="BM543" s="440">
        <v>0</v>
      </c>
      <c r="BN543" s="440">
        <v>0</v>
      </c>
      <c r="BO543" s="440">
        <v>0</v>
      </c>
      <c r="BP543" s="440">
        <v>0</v>
      </c>
      <c r="BQ543" s="440">
        <v>0</v>
      </c>
      <c r="BR543" s="415">
        <v>0</v>
      </c>
      <c r="BS543" s="415">
        <v>0</v>
      </c>
      <c r="BT543" s="935"/>
      <c r="BU543" s="935"/>
      <c r="BV543" s="935"/>
      <c r="BW543" s="935"/>
      <c r="BX543" s="935"/>
      <c r="BY543" s="935"/>
      <c r="BZ543" s="935"/>
      <c r="CA543" s="935"/>
      <c r="CB543" s="935"/>
      <c r="CC543" s="935"/>
      <c r="CD543" s="935"/>
      <c r="CE543" s="935"/>
      <c r="CF543" s="935"/>
      <c r="CG543" s="935"/>
      <c r="CH543" s="935"/>
      <c r="CI543" s="935"/>
      <c r="CJ543" s="935"/>
      <c r="CK543" s="935"/>
      <c r="CL543" s="935"/>
      <c r="CM543" s="935"/>
      <c r="CN543" s="935"/>
      <c r="CO543" s="935"/>
      <c r="CP543" s="935"/>
      <c r="CQ543" s="935"/>
      <c r="CR543" s="935"/>
      <c r="CS543" s="935"/>
      <c r="CT543" s="935"/>
      <c r="CU543" s="935"/>
      <c r="CV543" s="935"/>
    </row>
    <row r="544" spans="1:100" s="441" customFormat="1">
      <c r="A544" s="375">
        <f t="shared" si="160"/>
        <v>9</v>
      </c>
      <c r="B544" s="862">
        <v>44455</v>
      </c>
      <c r="C544" s="493" t="s">
        <v>1980</v>
      </c>
      <c r="D544" s="376" t="str">
        <f>IFERROR(VLOOKUP(E:E,'Item Data Support Sheet'!A:O,7,0),"")</f>
        <v>BOTTLE PRINTED</v>
      </c>
      <c r="E544" s="447" t="s">
        <v>116</v>
      </c>
      <c r="F544" s="500"/>
      <c r="G544" s="497"/>
      <c r="H544" s="602" t="str">
        <f>IFERROR(VLOOKUP(E:E,'Item Data Support Sheet'!A:O,2,0),"")</f>
        <v>KPP BOTTLE 240 ML PRINTED-WMG3B</v>
      </c>
      <c r="I544" s="501" t="s">
        <v>2967</v>
      </c>
      <c r="J544" s="501" t="s">
        <v>2813</v>
      </c>
      <c r="K544" s="438">
        <v>0.1</v>
      </c>
      <c r="L544" s="499">
        <v>10</v>
      </c>
      <c r="M544" s="366">
        <f t="shared" si="175"/>
        <v>100</v>
      </c>
      <c r="N544" s="367">
        <f t="shared" si="159"/>
        <v>10</v>
      </c>
      <c r="O544" s="61">
        <v>10</v>
      </c>
      <c r="P544" s="368">
        <v>0</v>
      </c>
      <c r="Q544" s="368">
        <v>0</v>
      </c>
      <c r="R544" s="494">
        <v>0</v>
      </c>
      <c r="S544" s="493">
        <v>0</v>
      </c>
      <c r="T544" s="494">
        <v>0</v>
      </c>
      <c r="U544" s="493">
        <v>0</v>
      </c>
      <c r="V544" s="502">
        <v>5</v>
      </c>
      <c r="W544" s="453">
        <f t="shared" si="161"/>
        <v>2</v>
      </c>
      <c r="X544" s="748">
        <f t="shared" si="162"/>
        <v>1</v>
      </c>
      <c r="Y544" s="451" t="str">
        <f>IFERROR(VLOOKUP(E:E,'Item Data Support Sheet'!A:J,6,0),0)</f>
        <v>FO044</v>
      </c>
      <c r="Z544" s="428">
        <f>IFERROR(VLOOKUP(E:E,'Item Data Support Sheet'!A:O,4,0),0)</f>
        <v>0</v>
      </c>
      <c r="AA544" s="428">
        <f t="shared" si="163"/>
        <v>0</v>
      </c>
      <c r="AB544" s="429" t="str">
        <f t="shared" si="164"/>
        <v xml:space="preserve"> </v>
      </c>
      <c r="AC544" s="424">
        <f t="shared" si="165"/>
        <v>0</v>
      </c>
      <c r="AD544" s="371">
        <f t="shared" si="166"/>
        <v>0</v>
      </c>
      <c r="AE544" s="748">
        <f t="shared" si="167"/>
        <v>1</v>
      </c>
      <c r="AF544" s="417">
        <f t="shared" si="168"/>
        <v>0</v>
      </c>
      <c r="AG544" s="416">
        <f t="shared" si="169"/>
        <v>0.1</v>
      </c>
      <c r="AH544" s="372">
        <f t="shared" si="170"/>
        <v>1</v>
      </c>
      <c r="AI544" s="373">
        <f t="shared" si="171"/>
        <v>100</v>
      </c>
      <c r="AJ544" s="418">
        <f>VLOOKUP(D544,'Standard Cycle time'!C:D,2,0)</f>
        <v>32.4</v>
      </c>
      <c r="AK544" s="418">
        <f t="shared" si="172"/>
        <v>180</v>
      </c>
      <c r="AL544" s="374">
        <f t="shared" si="173"/>
        <v>0.18</v>
      </c>
      <c r="AM544" s="372">
        <f t="shared" si="174"/>
        <v>0.18</v>
      </c>
      <c r="AN544" s="799" t="s">
        <v>3136</v>
      </c>
      <c r="AO544" s="448"/>
      <c r="AP544" s="440">
        <v>0</v>
      </c>
      <c r="AQ544" s="440">
        <v>0</v>
      </c>
      <c r="AR544" s="440">
        <v>0</v>
      </c>
      <c r="AS544" s="440">
        <v>0</v>
      </c>
      <c r="AT544" s="440">
        <v>0</v>
      </c>
      <c r="AU544" s="440">
        <v>0</v>
      </c>
      <c r="AV544" s="440">
        <v>0</v>
      </c>
      <c r="AW544" s="440">
        <v>0</v>
      </c>
      <c r="AX544" s="440">
        <v>0</v>
      </c>
      <c r="AY544" s="440">
        <v>0</v>
      </c>
      <c r="AZ544" s="440">
        <v>0</v>
      </c>
      <c r="BA544" s="440">
        <v>0</v>
      </c>
      <c r="BB544" s="440">
        <v>0</v>
      </c>
      <c r="BC544" s="440">
        <v>0</v>
      </c>
      <c r="BD544" s="440">
        <v>0</v>
      </c>
      <c r="BE544" s="440">
        <v>0</v>
      </c>
      <c r="BF544" s="440">
        <v>0</v>
      </c>
      <c r="BG544" s="440">
        <v>0</v>
      </c>
      <c r="BH544" s="440">
        <v>0</v>
      </c>
      <c r="BI544" s="440">
        <v>0</v>
      </c>
      <c r="BJ544" s="440">
        <v>0</v>
      </c>
      <c r="BK544" s="440">
        <v>0</v>
      </c>
      <c r="BL544" s="440">
        <v>0</v>
      </c>
      <c r="BM544" s="440">
        <v>0</v>
      </c>
      <c r="BN544" s="440">
        <v>0</v>
      </c>
      <c r="BO544" s="440">
        <v>0</v>
      </c>
      <c r="BP544" s="440">
        <v>0</v>
      </c>
      <c r="BQ544" s="440">
        <v>0</v>
      </c>
      <c r="BR544" s="415">
        <v>0</v>
      </c>
      <c r="BS544" s="415">
        <v>0</v>
      </c>
      <c r="BT544" s="935"/>
      <c r="BU544" s="935"/>
      <c r="BV544" s="935"/>
      <c r="BW544" s="935"/>
      <c r="BX544" s="935"/>
      <c r="BY544" s="935"/>
      <c r="BZ544" s="935"/>
      <c r="CA544" s="935"/>
      <c r="CB544" s="935"/>
      <c r="CC544" s="935"/>
      <c r="CD544" s="935"/>
      <c r="CE544" s="935"/>
      <c r="CF544" s="935"/>
      <c r="CG544" s="935"/>
      <c r="CH544" s="935"/>
      <c r="CI544" s="935"/>
      <c r="CJ544" s="935"/>
      <c r="CK544" s="935"/>
      <c r="CL544" s="935"/>
      <c r="CM544" s="935"/>
      <c r="CN544" s="935"/>
      <c r="CO544" s="935"/>
      <c r="CP544" s="935"/>
      <c r="CQ544" s="935"/>
      <c r="CR544" s="935"/>
      <c r="CS544" s="935"/>
      <c r="CT544" s="935"/>
      <c r="CU544" s="935"/>
      <c r="CV544" s="935"/>
    </row>
    <row r="545" spans="1:105" s="441" customFormat="1">
      <c r="A545" s="375">
        <f t="shared" si="160"/>
        <v>9</v>
      </c>
      <c r="B545" s="862">
        <v>44455</v>
      </c>
      <c r="C545" s="493" t="s">
        <v>1980</v>
      </c>
      <c r="D545" s="376" t="str">
        <f>IFERROR(VLOOKUP(E:E,'Item Data Support Sheet'!A:O,7,0),"")</f>
        <v>BOTTLE PRINTED</v>
      </c>
      <c r="E545" s="447" t="s">
        <v>70</v>
      </c>
      <c r="F545" s="500"/>
      <c r="G545" s="497"/>
      <c r="H545" s="602" t="str">
        <f>IFERROR(VLOOKUP(E:E,'Item Data Support Sheet'!A:O,2,0),"")</f>
        <v>KPP 200 ML BOTTLE PRINTED</v>
      </c>
      <c r="I545" s="501" t="s">
        <v>3137</v>
      </c>
      <c r="J545" s="501" t="s">
        <v>2813</v>
      </c>
      <c r="K545" s="438">
        <v>7.8</v>
      </c>
      <c r="L545" s="499">
        <v>4900</v>
      </c>
      <c r="M545" s="366">
        <f t="shared" si="175"/>
        <v>628.20512820512818</v>
      </c>
      <c r="N545" s="367">
        <f t="shared" si="159"/>
        <v>4994</v>
      </c>
      <c r="O545" s="61">
        <v>4968</v>
      </c>
      <c r="P545" s="368">
        <v>0</v>
      </c>
      <c r="Q545" s="368">
        <v>0</v>
      </c>
      <c r="R545" s="494">
        <v>46</v>
      </c>
      <c r="S545" s="493">
        <v>0</v>
      </c>
      <c r="T545" s="494">
        <v>26</v>
      </c>
      <c r="U545" s="493">
        <v>0</v>
      </c>
      <c r="V545" s="502">
        <v>5</v>
      </c>
      <c r="W545" s="453">
        <f t="shared" si="161"/>
        <v>993.6</v>
      </c>
      <c r="X545" s="748">
        <f t="shared" si="162"/>
        <v>1.0138775510204081</v>
      </c>
      <c r="Y545" s="451" t="str">
        <f>IFERROR(VLOOKUP(E:E,'Item Data Support Sheet'!A:J,6,0),0)</f>
        <v>FO002</v>
      </c>
      <c r="Z545" s="428">
        <f>IFERROR(VLOOKUP(E:E,'Item Data Support Sheet'!A:O,4,0),0)</f>
        <v>0</v>
      </c>
      <c r="AA545" s="428">
        <f t="shared" si="163"/>
        <v>0</v>
      </c>
      <c r="AB545" s="429" t="str">
        <f t="shared" si="164"/>
        <v xml:space="preserve"> </v>
      </c>
      <c r="AC545" s="424">
        <f t="shared" si="165"/>
        <v>5.2062474969963961E-3</v>
      </c>
      <c r="AD545" s="371">
        <f t="shared" si="166"/>
        <v>0</v>
      </c>
      <c r="AE545" s="748">
        <f t="shared" si="167"/>
        <v>0.99479375250300361</v>
      </c>
      <c r="AF545" s="417">
        <f t="shared" si="168"/>
        <v>0.66666666666666663</v>
      </c>
      <c r="AG545" s="416">
        <f t="shared" si="169"/>
        <v>7.1333333333333329</v>
      </c>
      <c r="AH545" s="372">
        <f t="shared" si="170"/>
        <v>0.9145299145299145</v>
      </c>
      <c r="AI545" s="373">
        <f t="shared" si="171"/>
        <v>636.92307692307691</v>
      </c>
      <c r="AJ545" s="418">
        <f>VLOOKUP(D545,'Standard Cycle time'!C:D,2,0)</f>
        <v>32.4</v>
      </c>
      <c r="AK545" s="418">
        <f t="shared" si="172"/>
        <v>25.845410628019319</v>
      </c>
      <c r="AL545" s="374">
        <f t="shared" si="173"/>
        <v>1.2536074766355141</v>
      </c>
      <c r="AM545" s="372">
        <f t="shared" si="174"/>
        <v>1.1404927759465204</v>
      </c>
      <c r="AN545" s="799" t="s">
        <v>3138</v>
      </c>
      <c r="AO545" s="448"/>
      <c r="AP545" s="440">
        <v>40</v>
      </c>
      <c r="AQ545" s="440">
        <v>0</v>
      </c>
      <c r="AR545" s="440">
        <v>0</v>
      </c>
      <c r="AS545" s="440">
        <v>0</v>
      </c>
      <c r="AT545" s="440">
        <v>0</v>
      </c>
      <c r="AU545" s="440">
        <v>0</v>
      </c>
      <c r="AV545" s="440">
        <v>0</v>
      </c>
      <c r="AW545" s="440">
        <v>0</v>
      </c>
      <c r="AX545" s="440">
        <v>0</v>
      </c>
      <c r="AY545" s="440">
        <v>0</v>
      </c>
      <c r="AZ545" s="440">
        <v>0</v>
      </c>
      <c r="BA545" s="440">
        <v>0</v>
      </c>
      <c r="BB545" s="440">
        <v>0</v>
      </c>
      <c r="BC545" s="440">
        <v>0</v>
      </c>
      <c r="BD545" s="440">
        <v>0</v>
      </c>
      <c r="BE545" s="440">
        <v>0</v>
      </c>
      <c r="BF545" s="440">
        <v>0</v>
      </c>
      <c r="BG545" s="440">
        <v>0</v>
      </c>
      <c r="BH545" s="440">
        <v>0</v>
      </c>
      <c r="BI545" s="440">
        <v>0</v>
      </c>
      <c r="BJ545" s="440">
        <v>0</v>
      </c>
      <c r="BK545" s="440">
        <v>0</v>
      </c>
      <c r="BL545" s="440">
        <v>0</v>
      </c>
      <c r="BM545" s="440">
        <v>0</v>
      </c>
      <c r="BN545" s="440">
        <v>0</v>
      </c>
      <c r="BO545" s="440">
        <v>0</v>
      </c>
      <c r="BP545" s="440">
        <v>0</v>
      </c>
      <c r="BQ545" s="440">
        <v>0</v>
      </c>
      <c r="BR545" s="415">
        <v>0.66666666666666663</v>
      </c>
      <c r="BS545" s="415">
        <v>0.6777777777777777</v>
      </c>
      <c r="BT545" s="935"/>
      <c r="BU545" s="935"/>
      <c r="BV545" s="935"/>
      <c r="BW545" s="935"/>
      <c r="BX545" s="935"/>
      <c r="BY545" s="935"/>
      <c r="BZ545" s="935"/>
      <c r="CA545" s="935"/>
      <c r="CB545" s="935"/>
      <c r="CC545" s="935"/>
      <c r="CD545" s="935"/>
      <c r="CE545" s="935"/>
      <c r="CF545" s="935"/>
      <c r="CG545" s="935"/>
      <c r="CH545" s="935"/>
      <c r="CI545" s="935"/>
      <c r="CJ545" s="935"/>
      <c r="CK545" s="935"/>
      <c r="CL545" s="935"/>
      <c r="CM545" s="935"/>
      <c r="CN545" s="935"/>
      <c r="CO545" s="935"/>
      <c r="CP545" s="935"/>
      <c r="CQ545" s="935"/>
      <c r="CR545" s="935"/>
      <c r="CS545" s="935"/>
      <c r="CT545" s="935"/>
      <c r="CU545" s="935"/>
      <c r="CV545" s="935"/>
    </row>
    <row r="546" spans="1:105" s="441" customFormat="1">
      <c r="A546" s="375">
        <f t="shared" si="160"/>
        <v>9</v>
      </c>
      <c r="B546" s="862">
        <v>44455</v>
      </c>
      <c r="C546" s="493" t="s">
        <v>1980</v>
      </c>
      <c r="D546" s="376" t="str">
        <f>IFERROR(VLOOKUP(E:E,'Item Data Support Sheet'!A:O,7,0),"")</f>
        <v>BOTTLE MOLDED</v>
      </c>
      <c r="E546" s="447" t="s">
        <v>14</v>
      </c>
      <c r="F546" s="500" t="s">
        <v>1681</v>
      </c>
      <c r="G546" s="497" t="s">
        <v>1665</v>
      </c>
      <c r="H546" s="602" t="str">
        <f>IFERROR(VLOOKUP(E:E,'Item Data Support Sheet'!A:O,2,0),"")</f>
        <v>KPP 240 ML BOTTLE MOLDED</v>
      </c>
      <c r="I546" s="501" t="s">
        <v>3139</v>
      </c>
      <c r="J546" s="501" t="s">
        <v>2809</v>
      </c>
      <c r="K546" s="438">
        <v>8</v>
      </c>
      <c r="L546" s="499">
        <v>2574</v>
      </c>
      <c r="M546" s="366">
        <f t="shared" si="175"/>
        <v>321.75</v>
      </c>
      <c r="N546" s="367">
        <f t="shared" si="159"/>
        <v>821</v>
      </c>
      <c r="O546" s="61">
        <v>756</v>
      </c>
      <c r="P546" s="368">
        <v>0.18</v>
      </c>
      <c r="Q546" s="368">
        <v>36</v>
      </c>
      <c r="R546" s="494">
        <v>0</v>
      </c>
      <c r="S546" s="493">
        <v>0</v>
      </c>
      <c r="T546" s="494">
        <v>21</v>
      </c>
      <c r="U546" s="493">
        <v>8</v>
      </c>
      <c r="V546" s="502">
        <v>1</v>
      </c>
      <c r="W546" s="453">
        <f t="shared" si="161"/>
        <v>756</v>
      </c>
      <c r="X546" s="748">
        <f t="shared" si="162"/>
        <v>0.2937062937062937</v>
      </c>
      <c r="Y546" s="451" t="str">
        <f>IFERROR(VLOOKUP(E:E,'Item Data Support Sheet'!A:J,6,0),0)</f>
        <v>HMC</v>
      </c>
      <c r="Z546" s="428">
        <f>IFERROR(VLOOKUP(E:E,'Item Data Support Sheet'!A:O,4,0),0)</f>
        <v>32.1</v>
      </c>
      <c r="AA546" s="428">
        <f t="shared" si="163"/>
        <v>26.534100000000002</v>
      </c>
      <c r="AB546" s="429">
        <f t="shared" si="164"/>
        <v>0.91458161384784109</v>
      </c>
      <c r="AC546" s="424">
        <f t="shared" si="165"/>
        <v>2.7027027027027029E-2</v>
      </c>
      <c r="AD546" s="371">
        <f t="shared" si="166"/>
        <v>4.2007001166861145E-2</v>
      </c>
      <c r="AE546" s="748">
        <f t="shared" si="167"/>
        <v>0.97442143727162001</v>
      </c>
      <c r="AF546" s="417">
        <f t="shared" si="168"/>
        <v>6.083333333333333</v>
      </c>
      <c r="AG546" s="416">
        <f t="shared" si="169"/>
        <v>1.916666666666667</v>
      </c>
      <c r="AH546" s="372">
        <f t="shared" si="170"/>
        <v>0.23958333333333337</v>
      </c>
      <c r="AI546" s="373">
        <f t="shared" si="171"/>
        <v>94.5</v>
      </c>
      <c r="AJ546" s="418">
        <f>VLOOKUP(D546,'Standard Cycle time'!C:D,2,0)</f>
        <v>9</v>
      </c>
      <c r="AK546" s="418">
        <f t="shared" si="172"/>
        <v>9.1269841269841283</v>
      </c>
      <c r="AL546" s="374">
        <f t="shared" si="173"/>
        <v>0.98608695652173894</v>
      </c>
      <c r="AM546" s="372">
        <f t="shared" si="174"/>
        <v>0.2302070645554202</v>
      </c>
      <c r="AN546" s="799">
        <v>3282</v>
      </c>
      <c r="AO546" s="448" t="s">
        <v>3140</v>
      </c>
      <c r="AP546" s="440">
        <v>0</v>
      </c>
      <c r="AQ546" s="440">
        <v>215</v>
      </c>
      <c r="AR546" s="440">
        <v>70</v>
      </c>
      <c r="AS546" s="440">
        <v>0</v>
      </c>
      <c r="AT546" s="440">
        <v>0</v>
      </c>
      <c r="AU546" s="440">
        <v>0</v>
      </c>
      <c r="AV546" s="440">
        <v>30</v>
      </c>
      <c r="AW546" s="440">
        <v>50</v>
      </c>
      <c r="AX546" s="440">
        <v>0</v>
      </c>
      <c r="AY546" s="440">
        <v>0</v>
      </c>
      <c r="AZ546" s="440">
        <v>0</v>
      </c>
      <c r="BA546" s="440">
        <v>0</v>
      </c>
      <c r="BB546" s="440">
        <v>0</v>
      </c>
      <c r="BC546" s="440">
        <v>0</v>
      </c>
      <c r="BD546" s="440">
        <v>0</v>
      </c>
      <c r="BE546" s="440">
        <v>0</v>
      </c>
      <c r="BF546" s="440">
        <v>0</v>
      </c>
      <c r="BG546" s="440">
        <v>0</v>
      </c>
      <c r="BH546" s="440">
        <v>0</v>
      </c>
      <c r="BI546" s="440">
        <v>0</v>
      </c>
      <c r="BJ546" s="440">
        <v>0</v>
      </c>
      <c r="BK546" s="440">
        <v>0</v>
      </c>
      <c r="BL546" s="440">
        <v>0</v>
      </c>
      <c r="BM546" s="440">
        <v>0</v>
      </c>
      <c r="BN546" s="440">
        <v>0</v>
      </c>
      <c r="BO546" s="440">
        <v>0</v>
      </c>
      <c r="BP546" s="440">
        <v>0</v>
      </c>
      <c r="BQ546" s="440">
        <v>0</v>
      </c>
      <c r="BR546" s="415">
        <v>6.083333333333333</v>
      </c>
      <c r="BS546" s="415">
        <v>6.1847222222222218</v>
      </c>
      <c r="BT546" s="935"/>
      <c r="BU546" s="935"/>
      <c r="BV546" s="935"/>
      <c r="BW546" s="935"/>
      <c r="BX546" s="935"/>
      <c r="BY546" s="935"/>
      <c r="BZ546" s="935"/>
      <c r="CA546" s="935"/>
      <c r="CB546" s="935"/>
      <c r="CC546" s="935"/>
      <c r="CD546" s="935"/>
      <c r="CE546" s="935"/>
      <c r="CF546" s="935"/>
      <c r="CG546" s="935"/>
      <c r="CH546" s="935"/>
      <c r="CI546" s="935"/>
      <c r="CJ546" s="935"/>
      <c r="CK546" s="935"/>
      <c r="CL546" s="935"/>
      <c r="CM546" s="935"/>
      <c r="CN546" s="935"/>
      <c r="CO546" s="935"/>
      <c r="CP546" s="935"/>
      <c r="CQ546" s="935"/>
      <c r="CR546" s="935"/>
      <c r="CS546" s="935"/>
      <c r="CT546" s="935"/>
      <c r="CU546" s="935"/>
      <c r="CV546" s="935"/>
    </row>
    <row r="547" spans="1:105" s="441" customFormat="1">
      <c r="A547" s="375">
        <f t="shared" si="160"/>
        <v>9</v>
      </c>
      <c r="B547" s="862">
        <v>44455</v>
      </c>
      <c r="C547" s="493" t="s">
        <v>2000</v>
      </c>
      <c r="D547" s="376" t="str">
        <f>IFERROR(VLOOKUP(E:E,'Item Data Support Sheet'!A:O,7,0),"")</f>
        <v>NIPPLE PUNCH INSPECTED</v>
      </c>
      <c r="E547" s="447" t="s">
        <v>1819</v>
      </c>
      <c r="F547" s="500"/>
      <c r="G547" s="497"/>
      <c r="H547" s="602" t="str">
        <f>IFERROR(VLOOKUP(E:E,'Item Data Support Sheet'!A:O,2,0),"")</f>
        <v>NIPPLE S TYPE M SIZE PUNCHED INSPECTED</v>
      </c>
      <c r="I547" s="501" t="s">
        <v>3141</v>
      </c>
      <c r="J547" s="501" t="s">
        <v>2811</v>
      </c>
      <c r="K547" s="438">
        <v>2.5</v>
      </c>
      <c r="L547" s="499">
        <v>2500</v>
      </c>
      <c r="M547" s="366">
        <f t="shared" si="175"/>
        <v>1000</v>
      </c>
      <c r="N547" s="367">
        <f t="shared" si="159"/>
        <v>2228</v>
      </c>
      <c r="O547" s="61">
        <v>2217</v>
      </c>
      <c r="P547" s="368">
        <v>0</v>
      </c>
      <c r="Q547" s="368">
        <v>0</v>
      </c>
      <c r="R547" s="494">
        <v>0</v>
      </c>
      <c r="S547" s="493">
        <v>0</v>
      </c>
      <c r="T547" s="494">
        <v>11</v>
      </c>
      <c r="U547" s="493">
        <v>0</v>
      </c>
      <c r="V547" s="502">
        <v>1</v>
      </c>
      <c r="W547" s="453">
        <f t="shared" si="161"/>
        <v>2217</v>
      </c>
      <c r="X547" s="748">
        <f t="shared" si="162"/>
        <v>0.88680000000000003</v>
      </c>
      <c r="Y547" s="451" t="str">
        <f>IFERROR(VLOOKUP(E:E,'Item Data Support Sheet'!A:J,6,0),0)</f>
        <v>FO105</v>
      </c>
      <c r="Z547" s="428">
        <f>IFERROR(VLOOKUP(E:E,'Item Data Support Sheet'!A:O,4,0),0)</f>
        <v>0</v>
      </c>
      <c r="AA547" s="428">
        <f t="shared" si="163"/>
        <v>0</v>
      </c>
      <c r="AB547" s="429" t="str">
        <f t="shared" si="164"/>
        <v xml:space="preserve"> </v>
      </c>
      <c r="AC547" s="424">
        <f t="shared" si="165"/>
        <v>4.9371633752244163E-3</v>
      </c>
      <c r="AD547" s="371">
        <f t="shared" si="166"/>
        <v>0</v>
      </c>
      <c r="AE547" s="748">
        <f t="shared" si="167"/>
        <v>0.99506283662477557</v>
      </c>
      <c r="AF547" s="417">
        <f t="shared" si="168"/>
        <v>0.66666666666666663</v>
      </c>
      <c r="AG547" s="416">
        <f t="shared" si="169"/>
        <v>1.8333333333333335</v>
      </c>
      <c r="AH547" s="372">
        <f t="shared" si="170"/>
        <v>0.73333333333333339</v>
      </c>
      <c r="AI547" s="373">
        <f t="shared" si="171"/>
        <v>886.8</v>
      </c>
      <c r="AJ547" s="418">
        <f>VLOOKUP(D547,'Standard Cycle time'!C:D,2,0)</f>
        <v>4</v>
      </c>
      <c r="AK547" s="418">
        <f t="shared" si="172"/>
        <v>2.9769959404600814</v>
      </c>
      <c r="AL547" s="374">
        <f t="shared" si="173"/>
        <v>1.3436363636363635</v>
      </c>
      <c r="AM547" s="372">
        <f t="shared" si="174"/>
        <v>0.98046858168761208</v>
      </c>
      <c r="AN547" s="799">
        <v>3285</v>
      </c>
      <c r="AO547" s="448" t="s">
        <v>2835</v>
      </c>
      <c r="AP547" s="440">
        <v>40</v>
      </c>
      <c r="AQ547" s="440">
        <v>0</v>
      </c>
      <c r="AR547" s="440">
        <v>0</v>
      </c>
      <c r="AS547" s="440">
        <v>0</v>
      </c>
      <c r="AT547" s="440">
        <v>0</v>
      </c>
      <c r="AU547" s="440">
        <v>0</v>
      </c>
      <c r="AV547" s="440">
        <v>0</v>
      </c>
      <c r="AW547" s="440">
        <v>0</v>
      </c>
      <c r="AX547" s="440">
        <v>0</v>
      </c>
      <c r="AY547" s="440">
        <v>0</v>
      </c>
      <c r="AZ547" s="440">
        <v>0</v>
      </c>
      <c r="BA547" s="440">
        <v>0</v>
      </c>
      <c r="BB547" s="440">
        <v>0</v>
      </c>
      <c r="BC547" s="440">
        <v>0</v>
      </c>
      <c r="BD547" s="440">
        <v>0</v>
      </c>
      <c r="BE547" s="440">
        <v>0</v>
      </c>
      <c r="BF547" s="440">
        <v>0</v>
      </c>
      <c r="BG547" s="440">
        <v>0</v>
      </c>
      <c r="BH547" s="440">
        <v>0</v>
      </c>
      <c r="BI547" s="440">
        <v>0</v>
      </c>
      <c r="BJ547" s="440">
        <v>0</v>
      </c>
      <c r="BK547" s="440">
        <v>0</v>
      </c>
      <c r="BL547" s="440">
        <v>0</v>
      </c>
      <c r="BM547" s="440">
        <v>0</v>
      </c>
      <c r="BN547" s="440">
        <v>0</v>
      </c>
      <c r="BO547" s="440">
        <v>0</v>
      </c>
      <c r="BP547" s="440">
        <v>0</v>
      </c>
      <c r="BQ547" s="440">
        <v>0</v>
      </c>
      <c r="BR547" s="415">
        <v>0.66666666666666663</v>
      </c>
      <c r="BS547" s="415">
        <v>0.6777777777777777</v>
      </c>
      <c r="BT547" s="935"/>
      <c r="BU547" s="935"/>
      <c r="BV547" s="935"/>
      <c r="BW547" s="935"/>
      <c r="BX547" s="935"/>
      <c r="BY547" s="935"/>
      <c r="BZ547" s="935"/>
      <c r="CA547" s="935"/>
      <c r="CB547" s="935"/>
      <c r="CC547" s="935"/>
      <c r="CD547" s="935"/>
      <c r="CE547" s="935"/>
      <c r="CF547" s="935"/>
      <c r="CG547" s="935"/>
      <c r="CH547" s="935"/>
      <c r="CI547" s="935"/>
      <c r="CJ547" s="935"/>
      <c r="CK547" s="935"/>
      <c r="CL547" s="935"/>
      <c r="CM547" s="935"/>
      <c r="CN547" s="935"/>
      <c r="CO547" s="935"/>
      <c r="CP547" s="935"/>
      <c r="CQ547" s="935"/>
      <c r="CR547" s="935"/>
      <c r="CS547" s="935"/>
      <c r="CT547" s="935"/>
      <c r="CU547" s="935"/>
      <c r="CV547" s="935"/>
    </row>
    <row r="548" spans="1:105" s="441" customFormat="1">
      <c r="A548" s="375">
        <f t="shared" si="160"/>
        <v>9</v>
      </c>
      <c r="B548" s="862">
        <v>44455</v>
      </c>
      <c r="C548" s="493" t="s">
        <v>2000</v>
      </c>
      <c r="D548" s="376" t="str">
        <f>IFERROR(VLOOKUP(E:E,'Item Data Support Sheet'!A:O,7,0),"")</f>
        <v>NIPPLE PUNCH INSPECTED</v>
      </c>
      <c r="E548" s="447" t="s">
        <v>1820</v>
      </c>
      <c r="F548" s="500"/>
      <c r="G548" s="497"/>
      <c r="H548" s="602" t="str">
        <f>IFERROR(VLOOKUP(E:E,'Item Data Support Sheet'!A:O,2,0),"")</f>
        <v>NIPPLE S TYPE L SIZE PUNCHED INSPECTED</v>
      </c>
      <c r="I548" s="501" t="s">
        <v>3142</v>
      </c>
      <c r="J548" s="501" t="s">
        <v>2811</v>
      </c>
      <c r="K548" s="438">
        <v>6</v>
      </c>
      <c r="L548" s="499">
        <v>11500</v>
      </c>
      <c r="M548" s="366">
        <f t="shared" si="175"/>
        <v>1916.6666666666667</v>
      </c>
      <c r="N548" s="367">
        <f t="shared" si="159"/>
        <v>9300</v>
      </c>
      <c r="O548" s="61">
        <v>9188</v>
      </c>
      <c r="P548" s="368">
        <v>0</v>
      </c>
      <c r="Q548" s="368">
        <v>0</v>
      </c>
      <c r="R548" s="494">
        <v>0</v>
      </c>
      <c r="S548" s="493">
        <v>0</v>
      </c>
      <c r="T548" s="494">
        <v>112</v>
      </c>
      <c r="U548" s="493">
        <v>0</v>
      </c>
      <c r="V548" s="502">
        <v>1</v>
      </c>
      <c r="W548" s="453">
        <f t="shared" si="161"/>
        <v>9188</v>
      </c>
      <c r="X548" s="748">
        <f t="shared" si="162"/>
        <v>0.79895652173913045</v>
      </c>
      <c r="Y548" s="451" t="str">
        <f>IFERROR(VLOOKUP(E:E,'Item Data Support Sheet'!A:J,6,0),0)</f>
        <v>FO106</v>
      </c>
      <c r="Z548" s="428">
        <f>IFERROR(VLOOKUP(E:E,'Item Data Support Sheet'!A:O,4,0),0)</f>
        <v>0</v>
      </c>
      <c r="AA548" s="428">
        <f t="shared" si="163"/>
        <v>0</v>
      </c>
      <c r="AB548" s="429" t="str">
        <f t="shared" si="164"/>
        <v xml:space="preserve"> </v>
      </c>
      <c r="AC548" s="424">
        <f t="shared" si="165"/>
        <v>1.2043010752688172E-2</v>
      </c>
      <c r="AD548" s="371">
        <f t="shared" si="166"/>
        <v>0</v>
      </c>
      <c r="AE548" s="748">
        <f t="shared" si="167"/>
        <v>0.98795698924731179</v>
      </c>
      <c r="AF548" s="417">
        <f t="shared" si="168"/>
        <v>0</v>
      </c>
      <c r="AG548" s="416">
        <f t="shared" si="169"/>
        <v>6</v>
      </c>
      <c r="AH548" s="372">
        <f t="shared" si="170"/>
        <v>1</v>
      </c>
      <c r="AI548" s="373">
        <f t="shared" si="171"/>
        <v>1531.3333333333333</v>
      </c>
      <c r="AJ548" s="418">
        <f>VLOOKUP(D548,'Standard Cycle time'!C:D,2,0)</f>
        <v>4</v>
      </c>
      <c r="AK548" s="418">
        <f t="shared" si="172"/>
        <v>2.3508924684370918</v>
      </c>
      <c r="AL548" s="374">
        <f t="shared" si="173"/>
        <v>1.7014814814814816</v>
      </c>
      <c r="AM548" s="372">
        <f t="shared" si="174"/>
        <v>1.6809905217045003</v>
      </c>
      <c r="AN548" s="799" t="s">
        <v>3143</v>
      </c>
      <c r="AO548" s="448"/>
      <c r="AP548" s="440">
        <v>0</v>
      </c>
      <c r="AQ548" s="440">
        <v>0</v>
      </c>
      <c r="AR548" s="440">
        <v>0</v>
      </c>
      <c r="AS548" s="440">
        <v>0</v>
      </c>
      <c r="AT548" s="440">
        <v>0</v>
      </c>
      <c r="AU548" s="440">
        <v>0</v>
      </c>
      <c r="AV548" s="440">
        <v>0</v>
      </c>
      <c r="AW548" s="440">
        <v>0</v>
      </c>
      <c r="AX548" s="440">
        <v>0</v>
      </c>
      <c r="AY548" s="440">
        <v>0</v>
      </c>
      <c r="AZ548" s="440">
        <v>0</v>
      </c>
      <c r="BA548" s="440">
        <v>0</v>
      </c>
      <c r="BB548" s="440">
        <v>0</v>
      </c>
      <c r="BC548" s="440">
        <v>0</v>
      </c>
      <c r="BD548" s="440">
        <v>0</v>
      </c>
      <c r="BE548" s="440">
        <v>0</v>
      </c>
      <c r="BF548" s="440">
        <v>0</v>
      </c>
      <c r="BG548" s="440">
        <v>0</v>
      </c>
      <c r="BH548" s="440">
        <v>0</v>
      </c>
      <c r="BI548" s="440">
        <v>0</v>
      </c>
      <c r="BJ548" s="440">
        <v>0</v>
      </c>
      <c r="BK548" s="440">
        <v>0</v>
      </c>
      <c r="BL548" s="440">
        <v>0</v>
      </c>
      <c r="BM548" s="440">
        <v>0</v>
      </c>
      <c r="BN548" s="440">
        <v>0</v>
      </c>
      <c r="BO548" s="440">
        <v>0</v>
      </c>
      <c r="BP548" s="440">
        <v>0</v>
      </c>
      <c r="BQ548" s="440">
        <v>0</v>
      </c>
      <c r="BR548" s="415">
        <v>0</v>
      </c>
      <c r="BS548" s="415">
        <v>0</v>
      </c>
      <c r="BT548" s="935"/>
      <c r="BU548" s="935"/>
      <c r="BV548" s="935"/>
      <c r="BW548" s="935"/>
      <c r="BX548" s="935"/>
      <c r="BY548" s="935"/>
      <c r="BZ548" s="935"/>
      <c r="CA548" s="935"/>
      <c r="CB548" s="935"/>
      <c r="CC548" s="935"/>
      <c r="CD548" s="935"/>
      <c r="CE548" s="935"/>
      <c r="CF548" s="935"/>
      <c r="CG548" s="935"/>
      <c r="CH548" s="935"/>
      <c r="CI548" s="935"/>
      <c r="CJ548" s="935"/>
      <c r="CK548" s="935"/>
      <c r="CL548" s="935"/>
      <c r="CM548" s="935"/>
      <c r="CN548" s="935"/>
      <c r="CO548" s="935"/>
      <c r="CP548" s="935"/>
      <c r="CQ548" s="935"/>
      <c r="CR548" s="935"/>
      <c r="CS548" s="935"/>
      <c r="CT548" s="935"/>
      <c r="CU548" s="935"/>
      <c r="CV548" s="935"/>
    </row>
    <row r="549" spans="1:105" s="441" customFormat="1">
      <c r="A549" s="375">
        <f t="shared" si="160"/>
        <v>9</v>
      </c>
      <c r="B549" s="862">
        <v>44455</v>
      </c>
      <c r="C549" s="493" t="s">
        <v>2000</v>
      </c>
      <c r="D549" s="376" t="str">
        <f>IFERROR(VLOOKUP(E:E,'Item Data Support Sheet'!A:O,7,0),"")</f>
        <v>NIPPLE WRAP PRINTED</v>
      </c>
      <c r="E549" s="447" t="s">
        <v>109</v>
      </c>
      <c r="F549" s="500"/>
      <c r="G549" s="497"/>
      <c r="H549" s="602" t="str">
        <f>IFERROR(VLOOKUP(E:E,'Item Data Support Sheet'!A:O,2,0),"")</f>
        <v>NIPPLE S TYPE M SIZE WITH PRINTED WRAP</v>
      </c>
      <c r="I549" s="501" t="s">
        <v>3144</v>
      </c>
      <c r="J549" s="501" t="s">
        <v>2811</v>
      </c>
      <c r="K549" s="438">
        <v>8</v>
      </c>
      <c r="L549" s="499">
        <v>16132</v>
      </c>
      <c r="M549" s="366">
        <f t="shared" si="175"/>
        <v>2016.5</v>
      </c>
      <c r="N549" s="367">
        <f t="shared" si="159"/>
        <v>16925</v>
      </c>
      <c r="O549" s="61">
        <v>16890</v>
      </c>
      <c r="P549" s="368">
        <v>0</v>
      </c>
      <c r="Q549" s="368">
        <v>0</v>
      </c>
      <c r="R549" s="494">
        <v>0</v>
      </c>
      <c r="S549" s="493">
        <v>0</v>
      </c>
      <c r="T549" s="494">
        <v>35</v>
      </c>
      <c r="U549" s="493">
        <v>0</v>
      </c>
      <c r="V549" s="502">
        <v>2</v>
      </c>
      <c r="W549" s="453">
        <f t="shared" si="161"/>
        <v>8445</v>
      </c>
      <c r="X549" s="748">
        <f t="shared" si="162"/>
        <v>1.0469873543268038</v>
      </c>
      <c r="Y549" s="451" t="str">
        <f>IFERROR(VLOOKUP(E:E,'Item Data Support Sheet'!A:J,6,0),0)</f>
        <v>FO020</v>
      </c>
      <c r="Z549" s="428">
        <f>IFERROR(VLOOKUP(E:E,'Item Data Support Sheet'!A:O,4,0),0)</f>
        <v>0</v>
      </c>
      <c r="AA549" s="428">
        <f t="shared" si="163"/>
        <v>0</v>
      </c>
      <c r="AB549" s="429" t="str">
        <f t="shared" si="164"/>
        <v xml:space="preserve"> </v>
      </c>
      <c r="AC549" s="424">
        <f t="shared" si="165"/>
        <v>2.06794682422452E-3</v>
      </c>
      <c r="AD549" s="371">
        <f t="shared" si="166"/>
        <v>0</v>
      </c>
      <c r="AE549" s="748">
        <f t="shared" si="167"/>
        <v>0.99793205317577549</v>
      </c>
      <c r="AF549" s="417">
        <f t="shared" si="168"/>
        <v>0.66666666666666663</v>
      </c>
      <c r="AG549" s="416">
        <f t="shared" si="169"/>
        <v>7.333333333333333</v>
      </c>
      <c r="AH549" s="372">
        <f t="shared" si="170"/>
        <v>0.91666666666666663</v>
      </c>
      <c r="AI549" s="373">
        <f t="shared" si="171"/>
        <v>2111.25</v>
      </c>
      <c r="AJ549" s="418">
        <f>VLOOKUP(D549,'Standard Cycle time'!C:D,2,0)</f>
        <v>2.5</v>
      </c>
      <c r="AK549" s="418">
        <f t="shared" si="172"/>
        <v>3.1261101243339255</v>
      </c>
      <c r="AL549" s="374">
        <f t="shared" si="173"/>
        <v>0.79971590909090906</v>
      </c>
      <c r="AM549" s="372">
        <f t="shared" si="174"/>
        <v>0.73155696085672073</v>
      </c>
      <c r="AN549" s="799" t="s">
        <v>3145</v>
      </c>
      <c r="AO549" s="448" t="s">
        <v>3146</v>
      </c>
      <c r="AP549" s="440">
        <v>40</v>
      </c>
      <c r="AQ549" s="440">
        <v>0</v>
      </c>
      <c r="AR549" s="440">
        <v>0</v>
      </c>
      <c r="AS549" s="440">
        <v>0</v>
      </c>
      <c r="AT549" s="440">
        <v>0</v>
      </c>
      <c r="AU549" s="440">
        <v>0</v>
      </c>
      <c r="AV549" s="440">
        <v>0</v>
      </c>
      <c r="AW549" s="440">
        <v>0</v>
      </c>
      <c r="AX549" s="440">
        <v>0</v>
      </c>
      <c r="AY549" s="440">
        <v>0</v>
      </c>
      <c r="AZ549" s="440">
        <v>0</v>
      </c>
      <c r="BA549" s="440">
        <v>0</v>
      </c>
      <c r="BB549" s="440">
        <v>0</v>
      </c>
      <c r="BC549" s="440">
        <v>0</v>
      </c>
      <c r="BD549" s="440">
        <v>0</v>
      </c>
      <c r="BE549" s="440">
        <v>0</v>
      </c>
      <c r="BF549" s="440">
        <v>0</v>
      </c>
      <c r="BG549" s="440">
        <v>0</v>
      </c>
      <c r="BH549" s="440">
        <v>0</v>
      </c>
      <c r="BI549" s="440">
        <v>0</v>
      </c>
      <c r="BJ549" s="440">
        <v>0</v>
      </c>
      <c r="BK549" s="440">
        <v>0</v>
      </c>
      <c r="BL549" s="440">
        <v>0</v>
      </c>
      <c r="BM549" s="440">
        <v>0</v>
      </c>
      <c r="BN549" s="440">
        <v>0</v>
      </c>
      <c r="BO549" s="440">
        <v>0</v>
      </c>
      <c r="BP549" s="440">
        <v>0</v>
      </c>
      <c r="BQ549" s="440">
        <v>0</v>
      </c>
      <c r="BR549" s="415">
        <v>0.66666666666666663</v>
      </c>
      <c r="BS549" s="415">
        <v>0.6777777777777777</v>
      </c>
      <c r="BT549" s="935"/>
      <c r="BU549" s="935"/>
      <c r="BV549" s="935"/>
      <c r="BW549" s="935"/>
      <c r="BX549" s="935"/>
      <c r="BY549" s="935"/>
      <c r="BZ549" s="935"/>
      <c r="CA549" s="935"/>
      <c r="CB549" s="935"/>
      <c r="CC549" s="935"/>
      <c r="CD549" s="935"/>
      <c r="CE549" s="935"/>
      <c r="CF549" s="935"/>
      <c r="CG549" s="935"/>
      <c r="CH549" s="935"/>
      <c r="CI549" s="935"/>
      <c r="CJ549" s="935"/>
      <c r="CK549" s="935"/>
      <c r="CL549" s="935"/>
      <c r="CM549" s="935"/>
      <c r="CN549" s="935"/>
      <c r="CO549" s="935"/>
      <c r="CP549" s="935"/>
      <c r="CQ549" s="935"/>
      <c r="CR549" s="935"/>
      <c r="CS549" s="935"/>
      <c r="CT549" s="935"/>
      <c r="CU549" s="935"/>
      <c r="CV549" s="935"/>
    </row>
    <row r="550" spans="1:105" s="441" customFormat="1">
      <c r="A550" s="375">
        <f t="shared" si="160"/>
        <v>9</v>
      </c>
      <c r="B550" s="862">
        <v>44455</v>
      </c>
      <c r="C550" s="493" t="s">
        <v>2001</v>
      </c>
      <c r="D550" s="376" t="str">
        <f>IFERROR(VLOOKUP(E:E,'Item Data Support Sheet'!A:O,7,0),"")</f>
        <v>NIPPLE LASER MARKING</v>
      </c>
      <c r="E550" s="447" t="s">
        <v>1816</v>
      </c>
      <c r="F550" s="500"/>
      <c r="G550" s="497" t="s">
        <v>1812</v>
      </c>
      <c r="H550" s="602" t="str">
        <f>IFERROR(VLOOKUP(E:E,'Item Data Support Sheet'!A:O,2,0),"")</f>
        <v>NIPPLE S TYPE L SIZE PUNCHED LASER MARKED</v>
      </c>
      <c r="I550" s="501" t="s">
        <v>3147</v>
      </c>
      <c r="J550" s="501" t="s">
        <v>2811</v>
      </c>
      <c r="K550" s="438">
        <v>8</v>
      </c>
      <c r="L550" s="499">
        <v>7000</v>
      </c>
      <c r="M550" s="366">
        <f t="shared" si="175"/>
        <v>875</v>
      </c>
      <c r="N550" s="367">
        <f t="shared" si="159"/>
        <v>1300</v>
      </c>
      <c r="O550" s="61">
        <v>1300</v>
      </c>
      <c r="P550" s="368">
        <v>0</v>
      </c>
      <c r="Q550" s="368">
        <v>0</v>
      </c>
      <c r="R550" s="494">
        <v>0</v>
      </c>
      <c r="S550" s="493">
        <v>0</v>
      </c>
      <c r="T550" s="494">
        <v>0</v>
      </c>
      <c r="U550" s="493">
        <v>0</v>
      </c>
      <c r="V550" s="502">
        <v>1</v>
      </c>
      <c r="W550" s="453">
        <f t="shared" si="161"/>
        <v>1300</v>
      </c>
      <c r="X550" s="748">
        <f t="shared" si="162"/>
        <v>0.18571428571428572</v>
      </c>
      <c r="Y550" s="451" t="str">
        <f>IFERROR(VLOOKUP(E:E,'Item Data Support Sheet'!A:J,6,0),0)</f>
        <v>FO021</v>
      </c>
      <c r="Z550" s="428">
        <f>IFERROR(VLOOKUP(E:E,'Item Data Support Sheet'!A:O,4,0),0)</f>
        <v>0</v>
      </c>
      <c r="AA550" s="428">
        <f t="shared" si="163"/>
        <v>0</v>
      </c>
      <c r="AB550" s="429" t="str">
        <f t="shared" si="164"/>
        <v xml:space="preserve"> </v>
      </c>
      <c r="AC550" s="424">
        <f t="shared" si="165"/>
        <v>0</v>
      </c>
      <c r="AD550" s="371">
        <f t="shared" si="166"/>
        <v>0</v>
      </c>
      <c r="AE550" s="748">
        <f t="shared" si="167"/>
        <v>1</v>
      </c>
      <c r="AF550" s="417">
        <f t="shared" si="168"/>
        <v>6.333333333333333</v>
      </c>
      <c r="AG550" s="416">
        <f t="shared" si="169"/>
        <v>1.666666666666667</v>
      </c>
      <c r="AH550" s="372">
        <f t="shared" si="170"/>
        <v>0.20833333333333337</v>
      </c>
      <c r="AI550" s="373">
        <f t="shared" si="171"/>
        <v>162.5</v>
      </c>
      <c r="AJ550" s="418">
        <f>VLOOKUP(D550,'Standard Cycle time'!C:D,2,0)</f>
        <v>3.5</v>
      </c>
      <c r="AK550" s="418">
        <f t="shared" si="172"/>
        <v>4.6153846153846159</v>
      </c>
      <c r="AL550" s="374">
        <f t="shared" si="173"/>
        <v>0.7583333333333333</v>
      </c>
      <c r="AM550" s="372">
        <f t="shared" si="174"/>
        <v>0.15798611111111113</v>
      </c>
      <c r="AN550" s="799">
        <v>3281</v>
      </c>
      <c r="AO550" s="448" t="s">
        <v>3148</v>
      </c>
      <c r="AP550" s="440">
        <v>40</v>
      </c>
      <c r="AQ550" s="440">
        <v>0</v>
      </c>
      <c r="AR550" s="440">
        <v>0</v>
      </c>
      <c r="AS550" s="440">
        <v>0</v>
      </c>
      <c r="AT550" s="440">
        <v>0</v>
      </c>
      <c r="AU550" s="440">
        <v>0</v>
      </c>
      <c r="AV550" s="440">
        <v>0</v>
      </c>
      <c r="AW550" s="440">
        <v>0</v>
      </c>
      <c r="AX550" s="440">
        <v>0</v>
      </c>
      <c r="AY550" s="440">
        <v>0</v>
      </c>
      <c r="AZ550" s="440">
        <v>0</v>
      </c>
      <c r="BA550" s="440">
        <v>0</v>
      </c>
      <c r="BB550" s="440">
        <v>0</v>
      </c>
      <c r="BC550" s="440">
        <v>0</v>
      </c>
      <c r="BD550" s="440">
        <v>0</v>
      </c>
      <c r="BE550" s="440">
        <v>0</v>
      </c>
      <c r="BF550" s="440">
        <v>0</v>
      </c>
      <c r="BG550" s="440">
        <v>0</v>
      </c>
      <c r="BH550" s="440">
        <v>0</v>
      </c>
      <c r="BI550" s="440">
        <v>0</v>
      </c>
      <c r="BJ550" s="440">
        <v>0</v>
      </c>
      <c r="BK550" s="440">
        <v>340</v>
      </c>
      <c r="BL550" s="440">
        <v>0</v>
      </c>
      <c r="BM550" s="440">
        <v>0</v>
      </c>
      <c r="BN550" s="440">
        <v>0</v>
      </c>
      <c r="BO550" s="440">
        <v>0</v>
      </c>
      <c r="BP550" s="440">
        <v>0</v>
      </c>
      <c r="BQ550" s="440">
        <v>0</v>
      </c>
      <c r="BR550" s="415">
        <v>6.333333333333333</v>
      </c>
      <c r="BS550" s="415">
        <v>6.4388888888888882</v>
      </c>
      <c r="BT550" s="935"/>
      <c r="BU550" s="935"/>
      <c r="BV550" s="935"/>
      <c r="BW550" s="935"/>
      <c r="BX550" s="935"/>
      <c r="BY550" s="935"/>
      <c r="BZ550" s="935"/>
      <c r="CA550" s="935"/>
      <c r="CB550" s="935"/>
      <c r="CC550" s="935"/>
      <c r="CD550" s="935"/>
      <c r="CE550" s="935"/>
      <c r="CF550" s="935"/>
      <c r="CG550" s="935"/>
      <c r="CH550" s="935"/>
      <c r="CI550" s="935"/>
      <c r="CJ550" s="935"/>
      <c r="CK550" s="935"/>
      <c r="CL550" s="935"/>
      <c r="CM550" s="935"/>
      <c r="CN550" s="935"/>
      <c r="CO550" s="935"/>
      <c r="CP550" s="935"/>
      <c r="CQ550" s="935"/>
      <c r="CR550" s="935"/>
      <c r="CS550" s="935"/>
      <c r="CT550" s="935"/>
      <c r="CU550" s="935"/>
      <c r="CV550" s="935"/>
    </row>
    <row r="551" spans="1:105" s="441" customFormat="1">
      <c r="A551" s="375">
        <f t="shared" si="160"/>
        <v>9</v>
      </c>
      <c r="B551" s="862">
        <v>44455</v>
      </c>
      <c r="C551" s="493" t="s">
        <v>2001</v>
      </c>
      <c r="D551" s="376" t="str">
        <f>IFERROR(VLOOKUP(E:E,'Item Data Support Sheet'!A:O,7,0),"")</f>
        <v>NIPPLE PUNCH</v>
      </c>
      <c r="E551" s="447" t="s">
        <v>82</v>
      </c>
      <c r="F551" s="500"/>
      <c r="G551" s="497" t="s">
        <v>1692</v>
      </c>
      <c r="H551" s="602" t="str">
        <f>IFERROR(VLOOKUP(E:E,'Item Data Support Sheet'!A:O,2,0),"")</f>
        <v>NIPPLE S TYPE L SIZE PUNCHED</v>
      </c>
      <c r="I551" s="501" t="s">
        <v>3149</v>
      </c>
      <c r="J551" s="501" t="s">
        <v>2808</v>
      </c>
      <c r="K551" s="438">
        <v>8</v>
      </c>
      <c r="L551" s="499">
        <v>7000</v>
      </c>
      <c r="M551" s="366">
        <f t="shared" si="175"/>
        <v>875</v>
      </c>
      <c r="N551" s="367">
        <f t="shared" si="159"/>
        <v>7200</v>
      </c>
      <c r="O551" s="61">
        <v>7200</v>
      </c>
      <c r="P551" s="368">
        <v>0</v>
      </c>
      <c r="Q551" s="368">
        <v>0</v>
      </c>
      <c r="R551" s="494">
        <v>0</v>
      </c>
      <c r="S551" s="493">
        <v>0</v>
      </c>
      <c r="T551" s="494">
        <v>0</v>
      </c>
      <c r="U551" s="493">
        <v>0</v>
      </c>
      <c r="V551" s="502">
        <v>1</v>
      </c>
      <c r="W551" s="453">
        <f t="shared" si="161"/>
        <v>7200</v>
      </c>
      <c r="X551" s="748">
        <f t="shared" si="162"/>
        <v>1.0285714285714285</v>
      </c>
      <c r="Y551" s="451" t="str">
        <f>IFERROR(VLOOKUP(E:E,'Item Data Support Sheet'!A:J,6,0),0)</f>
        <v>FO017</v>
      </c>
      <c r="Z551" s="428">
        <f>IFERROR(VLOOKUP(E:E,'Item Data Support Sheet'!A:O,4,0),0)</f>
        <v>0</v>
      </c>
      <c r="AA551" s="428">
        <f t="shared" si="163"/>
        <v>0</v>
      </c>
      <c r="AB551" s="429" t="str">
        <f t="shared" si="164"/>
        <v xml:space="preserve"> </v>
      </c>
      <c r="AC551" s="424">
        <f t="shared" si="165"/>
        <v>0</v>
      </c>
      <c r="AD551" s="371">
        <f t="shared" si="166"/>
        <v>0</v>
      </c>
      <c r="AE551" s="748">
        <f t="shared" si="167"/>
        <v>1</v>
      </c>
      <c r="AF551" s="417">
        <f t="shared" si="168"/>
        <v>0.66666666666666663</v>
      </c>
      <c r="AG551" s="416">
        <f t="shared" si="169"/>
        <v>7.333333333333333</v>
      </c>
      <c r="AH551" s="372">
        <f t="shared" si="170"/>
        <v>0.91666666666666663</v>
      </c>
      <c r="AI551" s="373">
        <f t="shared" si="171"/>
        <v>900</v>
      </c>
      <c r="AJ551" s="418">
        <f>VLOOKUP(D551,'Standard Cycle time'!C:D,2,0)</f>
        <v>3.5</v>
      </c>
      <c r="AK551" s="418">
        <f t="shared" si="172"/>
        <v>3.6666666666666665</v>
      </c>
      <c r="AL551" s="374">
        <f t="shared" si="173"/>
        <v>0.95454545454545459</v>
      </c>
      <c r="AM551" s="372">
        <f t="shared" si="174"/>
        <v>0.875</v>
      </c>
      <c r="AN551" s="799" t="s">
        <v>3150</v>
      </c>
      <c r="AO551" s="448" t="s">
        <v>3146</v>
      </c>
      <c r="AP551" s="440">
        <v>40</v>
      </c>
      <c r="AQ551" s="440">
        <v>0</v>
      </c>
      <c r="AR551" s="440">
        <v>0</v>
      </c>
      <c r="AS551" s="440">
        <v>0</v>
      </c>
      <c r="AT551" s="440">
        <v>0</v>
      </c>
      <c r="AU551" s="440">
        <v>0</v>
      </c>
      <c r="AV551" s="440">
        <v>0</v>
      </c>
      <c r="AW551" s="440">
        <v>0</v>
      </c>
      <c r="AX551" s="440">
        <v>0</v>
      </c>
      <c r="AY551" s="440">
        <v>0</v>
      </c>
      <c r="AZ551" s="440">
        <v>0</v>
      </c>
      <c r="BA551" s="440">
        <v>0</v>
      </c>
      <c r="BB551" s="440">
        <v>0</v>
      </c>
      <c r="BC551" s="440">
        <v>0</v>
      </c>
      <c r="BD551" s="440">
        <v>0</v>
      </c>
      <c r="BE551" s="440">
        <v>0</v>
      </c>
      <c r="BF551" s="440">
        <v>0</v>
      </c>
      <c r="BG551" s="440">
        <v>0</v>
      </c>
      <c r="BH551" s="440">
        <v>0</v>
      </c>
      <c r="BI551" s="440">
        <v>0</v>
      </c>
      <c r="BJ551" s="440">
        <v>0</v>
      </c>
      <c r="BK551" s="440">
        <v>0</v>
      </c>
      <c r="BL551" s="440">
        <v>0</v>
      </c>
      <c r="BM551" s="440">
        <v>0</v>
      </c>
      <c r="BN551" s="440">
        <v>0</v>
      </c>
      <c r="BO551" s="440">
        <v>0</v>
      </c>
      <c r="BP551" s="440">
        <v>0</v>
      </c>
      <c r="BQ551" s="440">
        <v>0</v>
      </c>
      <c r="BR551" s="415">
        <v>0.66666666666666663</v>
      </c>
      <c r="BS551" s="415">
        <v>0.6777777777777777</v>
      </c>
      <c r="BT551" s="935"/>
      <c r="BU551" s="935"/>
      <c r="BV551" s="935"/>
      <c r="BW551" s="935"/>
      <c r="BX551" s="935"/>
      <c r="BY551" s="935"/>
      <c r="BZ551" s="935"/>
      <c r="CA551" s="935"/>
      <c r="CB551" s="935"/>
      <c r="CC551" s="935"/>
      <c r="CD551" s="935"/>
      <c r="CE551" s="935"/>
      <c r="CF551" s="935"/>
      <c r="CG551" s="935"/>
      <c r="CH551" s="935"/>
      <c r="CI551" s="935"/>
      <c r="CJ551" s="935"/>
      <c r="CK551" s="935"/>
      <c r="CL551" s="935"/>
      <c r="CM551" s="935"/>
      <c r="CN551" s="935"/>
      <c r="CO551" s="935"/>
      <c r="CP551" s="935"/>
      <c r="CQ551" s="935"/>
      <c r="CR551" s="935"/>
      <c r="CS551" s="935"/>
      <c r="CT551" s="935"/>
      <c r="CU551" s="935"/>
      <c r="CV551" s="935"/>
    </row>
    <row r="552" spans="1:105" s="441" customFormat="1">
      <c r="A552" s="375">
        <f t="shared" si="160"/>
        <v>9</v>
      </c>
      <c r="B552" s="862">
        <v>44455</v>
      </c>
      <c r="C552" s="493" t="s">
        <v>2001</v>
      </c>
      <c r="D552" s="376" t="str">
        <f>IFERROR(VLOOKUP(E:E,'Item Data Support Sheet'!A:O,7,0),"")</f>
        <v>BOTTLE MOLDED</v>
      </c>
      <c r="E552" s="447" t="s">
        <v>14</v>
      </c>
      <c r="F552" s="500" t="s">
        <v>1681</v>
      </c>
      <c r="G552" s="497" t="s">
        <v>1665</v>
      </c>
      <c r="H552" s="602" t="str">
        <f>IFERROR(VLOOKUP(E:E,'Item Data Support Sheet'!A:O,2,0),"")</f>
        <v>KPP 240 ML BOTTLE MOLDED</v>
      </c>
      <c r="I552" s="501" t="s">
        <v>3151</v>
      </c>
      <c r="J552" s="501" t="s">
        <v>2808</v>
      </c>
      <c r="K552" s="438">
        <v>8</v>
      </c>
      <c r="L552" s="499">
        <v>2574</v>
      </c>
      <c r="M552" s="366">
        <f t="shared" si="175"/>
        <v>321.75</v>
      </c>
      <c r="N552" s="367">
        <f t="shared" si="159"/>
        <v>3242</v>
      </c>
      <c r="O552" s="61">
        <v>3132</v>
      </c>
      <c r="P552" s="368">
        <v>0.18</v>
      </c>
      <c r="Q552" s="368">
        <v>40</v>
      </c>
      <c r="R552" s="494">
        <v>0</v>
      </c>
      <c r="S552" s="493">
        <v>0</v>
      </c>
      <c r="T552" s="494">
        <v>70</v>
      </c>
      <c r="U552" s="493">
        <v>0</v>
      </c>
      <c r="V552" s="502">
        <v>1</v>
      </c>
      <c r="W552" s="453">
        <f t="shared" si="161"/>
        <v>3132</v>
      </c>
      <c r="X552" s="748">
        <f t="shared" si="162"/>
        <v>1.2167832167832169</v>
      </c>
      <c r="Y552" s="451" t="str">
        <f>IFERROR(VLOOKUP(E:E,'Item Data Support Sheet'!A:J,6,0),0)</f>
        <v>HMC</v>
      </c>
      <c r="Z552" s="428">
        <f>IFERROR(VLOOKUP(E:E,'Item Data Support Sheet'!A:O,4,0),0)</f>
        <v>32.1</v>
      </c>
      <c r="AA552" s="428">
        <f t="shared" si="163"/>
        <v>104.24820000000001</v>
      </c>
      <c r="AB552" s="429">
        <f t="shared" si="164"/>
        <v>0.96440226306065713</v>
      </c>
      <c r="AC552" s="424">
        <f t="shared" si="165"/>
        <v>2.1861336664584636E-2</v>
      </c>
      <c r="AD552" s="371">
        <f t="shared" si="166"/>
        <v>1.2187690432663011E-2</v>
      </c>
      <c r="AE552" s="748">
        <f t="shared" si="167"/>
        <v>0.97840838988278844</v>
      </c>
      <c r="AF552" s="417">
        <f t="shared" si="168"/>
        <v>0</v>
      </c>
      <c r="AG552" s="416">
        <f t="shared" si="169"/>
        <v>8</v>
      </c>
      <c r="AH552" s="372">
        <f t="shared" si="170"/>
        <v>1</v>
      </c>
      <c r="AI552" s="373">
        <f t="shared" si="171"/>
        <v>391.5</v>
      </c>
      <c r="AJ552" s="418">
        <f>VLOOKUP(D552,'Standard Cycle time'!C:D,2,0)</f>
        <v>9</v>
      </c>
      <c r="AK552" s="418">
        <f t="shared" si="172"/>
        <v>9.1954022988505741</v>
      </c>
      <c r="AL552" s="374">
        <f t="shared" si="173"/>
        <v>0.97875000000000001</v>
      </c>
      <c r="AM552" s="372">
        <f t="shared" si="174"/>
        <v>0.95761721159777924</v>
      </c>
      <c r="AN552" s="799">
        <v>3293</v>
      </c>
      <c r="AO552" s="448" t="s">
        <v>3146</v>
      </c>
      <c r="AP552" s="440">
        <v>0</v>
      </c>
      <c r="AQ552" s="440">
        <v>0</v>
      </c>
      <c r="AR552" s="440">
        <v>0</v>
      </c>
      <c r="AS552" s="440">
        <v>0</v>
      </c>
      <c r="AT552" s="440">
        <v>0</v>
      </c>
      <c r="AU552" s="440">
        <v>0</v>
      </c>
      <c r="AV552" s="440">
        <v>0</v>
      </c>
      <c r="AW552" s="440">
        <v>0</v>
      </c>
      <c r="AX552" s="440">
        <v>0</v>
      </c>
      <c r="AY552" s="440">
        <v>0</v>
      </c>
      <c r="AZ552" s="440">
        <v>0</v>
      </c>
      <c r="BA552" s="440">
        <v>0</v>
      </c>
      <c r="BB552" s="440">
        <v>0</v>
      </c>
      <c r="BC552" s="440">
        <v>0</v>
      </c>
      <c r="BD552" s="440">
        <v>0</v>
      </c>
      <c r="BE552" s="440">
        <v>0</v>
      </c>
      <c r="BF552" s="440">
        <v>0</v>
      </c>
      <c r="BG552" s="440">
        <v>0</v>
      </c>
      <c r="BH552" s="440">
        <v>0</v>
      </c>
      <c r="BI552" s="440">
        <v>0</v>
      </c>
      <c r="BJ552" s="440">
        <v>0</v>
      </c>
      <c r="BK552" s="440">
        <v>0</v>
      </c>
      <c r="BL552" s="440">
        <v>0</v>
      </c>
      <c r="BM552" s="440">
        <v>0</v>
      </c>
      <c r="BN552" s="440">
        <v>0</v>
      </c>
      <c r="BO552" s="440">
        <v>0</v>
      </c>
      <c r="BP552" s="440">
        <v>0</v>
      </c>
      <c r="BQ552" s="440">
        <v>0</v>
      </c>
      <c r="BR552" s="415">
        <v>0</v>
      </c>
      <c r="BS552" s="415">
        <v>0</v>
      </c>
      <c r="BT552" s="935"/>
      <c r="BU552" s="935"/>
      <c r="BV552" s="935"/>
      <c r="BW552" s="935"/>
      <c r="BX552" s="935"/>
      <c r="BY552" s="935"/>
      <c r="BZ552" s="935"/>
      <c r="CA552" s="935"/>
      <c r="CB552" s="935"/>
      <c r="CC552" s="935"/>
      <c r="CD552" s="935"/>
      <c r="CE552" s="935"/>
      <c r="CF552" s="935"/>
      <c r="CG552" s="935"/>
      <c r="CH552" s="935"/>
      <c r="CI552" s="935"/>
      <c r="CJ552" s="935"/>
      <c r="CK552" s="935"/>
      <c r="CL552" s="935"/>
      <c r="CM552" s="935"/>
      <c r="CN552" s="935"/>
      <c r="CO552" s="935"/>
      <c r="CP552" s="935"/>
      <c r="CQ552" s="935"/>
      <c r="CR552" s="935"/>
      <c r="CS552" s="935"/>
      <c r="CT552" s="935"/>
      <c r="CU552" s="935"/>
      <c r="CV552" s="935"/>
    </row>
    <row r="553" spans="1:105" s="441" customFormat="1">
      <c r="A553" s="375">
        <f t="shared" si="160"/>
        <v>9</v>
      </c>
      <c r="B553" s="862">
        <v>44455</v>
      </c>
      <c r="C553" s="493" t="s">
        <v>2001</v>
      </c>
      <c r="D553" s="376" t="str">
        <f>IFERROR(VLOOKUP(E:E,'Item Data Support Sheet'!A:O,7,0),"")</f>
        <v>NIPPLE MOLDED</v>
      </c>
      <c r="E553" s="447" t="s">
        <v>74</v>
      </c>
      <c r="F553" s="500" t="s">
        <v>1678</v>
      </c>
      <c r="G553" s="497" t="s">
        <v>1691</v>
      </c>
      <c r="H553" s="602" t="str">
        <f>IFERROR(VLOOKUP(E:E,'Item Data Support Sheet'!A:O,2,0),"")</f>
        <v>NIPPLE S TYPE L SIZE INJECTION</v>
      </c>
      <c r="I553" s="501" t="s">
        <v>3152</v>
      </c>
      <c r="J553" s="501" t="s">
        <v>2808</v>
      </c>
      <c r="K553" s="438">
        <v>8</v>
      </c>
      <c r="L553" s="499">
        <v>4815</v>
      </c>
      <c r="M553" s="366">
        <f t="shared" si="175"/>
        <v>601.875</v>
      </c>
      <c r="N553" s="367">
        <f t="shared" si="159"/>
        <v>5112</v>
      </c>
      <c r="O553" s="61">
        <v>5000</v>
      </c>
      <c r="P553" s="368">
        <v>0</v>
      </c>
      <c r="Q553" s="368">
        <v>48</v>
      </c>
      <c r="R553" s="494">
        <v>0</v>
      </c>
      <c r="S553" s="493">
        <v>0</v>
      </c>
      <c r="T553" s="494">
        <v>64</v>
      </c>
      <c r="U553" s="493">
        <v>0</v>
      </c>
      <c r="V553" s="502">
        <v>1</v>
      </c>
      <c r="W553" s="453">
        <f t="shared" si="161"/>
        <v>5000</v>
      </c>
      <c r="X553" s="748">
        <f t="shared" si="162"/>
        <v>1.0384215991692627</v>
      </c>
      <c r="Y553" s="451" t="str">
        <f>IFERROR(VLOOKUP(E:E,'Item Data Support Sheet'!A:J,6,0),0)</f>
        <v>Silicon</v>
      </c>
      <c r="Z553" s="428">
        <f>IFERROR(VLOOKUP(E:E,'Item Data Support Sheet'!A:O,4,0),0)</f>
        <v>6.8</v>
      </c>
      <c r="AA553" s="428">
        <f t="shared" si="163"/>
        <v>34.761600000000001</v>
      </c>
      <c r="AB553" s="429">
        <f t="shared" si="164"/>
        <v>0.9780907668231611</v>
      </c>
      <c r="AC553" s="424">
        <f t="shared" si="165"/>
        <v>1.2638230647709321E-2</v>
      </c>
      <c r="AD553" s="371">
        <f t="shared" si="166"/>
        <v>9.3023255813953487E-3</v>
      </c>
      <c r="AE553" s="748">
        <f t="shared" si="167"/>
        <v>0.98748043818466358</v>
      </c>
      <c r="AF553" s="417">
        <f t="shared" si="168"/>
        <v>0</v>
      </c>
      <c r="AG553" s="416">
        <f t="shared" si="169"/>
        <v>8</v>
      </c>
      <c r="AH553" s="372">
        <f t="shared" si="170"/>
        <v>1</v>
      </c>
      <c r="AI553" s="373">
        <f t="shared" si="171"/>
        <v>625</v>
      </c>
      <c r="AJ553" s="418">
        <f>VLOOKUP(D553,'Standard Cycle time'!C:D,2,0)</f>
        <v>5.25</v>
      </c>
      <c r="AK553" s="418">
        <f t="shared" si="172"/>
        <v>5.76</v>
      </c>
      <c r="AL553" s="374">
        <f t="shared" si="173"/>
        <v>0.91145833333333337</v>
      </c>
      <c r="AM553" s="372">
        <f t="shared" si="174"/>
        <v>0.90004727438706322</v>
      </c>
      <c r="AN553" s="799">
        <v>3294</v>
      </c>
      <c r="AO553" s="448" t="s">
        <v>3146</v>
      </c>
      <c r="AP553" s="440">
        <v>0</v>
      </c>
      <c r="AQ553" s="440">
        <v>0</v>
      </c>
      <c r="AR553" s="440">
        <v>0</v>
      </c>
      <c r="AS553" s="440">
        <v>0</v>
      </c>
      <c r="AT553" s="440">
        <v>0</v>
      </c>
      <c r="AU553" s="440">
        <v>0</v>
      </c>
      <c r="AV553" s="440">
        <v>0</v>
      </c>
      <c r="AW553" s="440">
        <v>0</v>
      </c>
      <c r="AX553" s="440">
        <v>0</v>
      </c>
      <c r="AY553" s="440">
        <v>0</v>
      </c>
      <c r="AZ553" s="440">
        <v>0</v>
      </c>
      <c r="BA553" s="440">
        <v>0</v>
      </c>
      <c r="BB553" s="440">
        <v>0</v>
      </c>
      <c r="BC553" s="440">
        <v>0</v>
      </c>
      <c r="BD553" s="440">
        <v>0</v>
      </c>
      <c r="BE553" s="440">
        <v>0</v>
      </c>
      <c r="BF553" s="440">
        <v>0</v>
      </c>
      <c r="BG553" s="440">
        <v>0</v>
      </c>
      <c r="BH553" s="440">
        <v>0</v>
      </c>
      <c r="BI553" s="440">
        <v>0</v>
      </c>
      <c r="BJ553" s="440">
        <v>0</v>
      </c>
      <c r="BK553" s="440">
        <v>0</v>
      </c>
      <c r="BL553" s="440">
        <v>0</v>
      </c>
      <c r="BM553" s="440">
        <v>0</v>
      </c>
      <c r="BN553" s="440">
        <v>0</v>
      </c>
      <c r="BO553" s="440">
        <v>0</v>
      </c>
      <c r="BP553" s="440">
        <v>0</v>
      </c>
      <c r="BQ553" s="440">
        <v>0</v>
      </c>
      <c r="BR553" s="415">
        <v>0</v>
      </c>
      <c r="BS553" s="415">
        <v>0</v>
      </c>
      <c r="BT553" s="935"/>
      <c r="BU553" s="935"/>
      <c r="BV553" s="935"/>
      <c r="BW553" s="935"/>
      <c r="BX553" s="935"/>
      <c r="BY553" s="935"/>
      <c r="BZ553" s="935"/>
      <c r="CA553" s="935"/>
      <c r="CB553" s="935"/>
      <c r="CC553" s="935"/>
      <c r="CD553" s="935"/>
      <c r="CE553" s="935"/>
      <c r="CF553" s="935"/>
      <c r="CG553" s="935"/>
      <c r="CH553" s="935"/>
      <c r="CI553" s="935"/>
      <c r="CJ553" s="935"/>
      <c r="CK553" s="935"/>
      <c r="CL553" s="935"/>
      <c r="CM553" s="935"/>
      <c r="CN553" s="935"/>
      <c r="CO553" s="935"/>
      <c r="CP553" s="935"/>
      <c r="CQ553" s="935"/>
      <c r="CR553" s="935"/>
      <c r="CS553" s="935"/>
      <c r="CT553" s="935"/>
      <c r="CU553" s="935"/>
      <c r="CV553" s="935"/>
    </row>
    <row r="554" spans="1:105" s="441" customFormat="1">
      <c r="A554" s="375">
        <f t="shared" si="160"/>
        <v>9</v>
      </c>
      <c r="B554" s="862">
        <v>44455</v>
      </c>
      <c r="C554" s="493" t="s">
        <v>2001</v>
      </c>
      <c r="D554" s="376" t="str">
        <f>IFERROR(VLOOKUP(E:E,'Item Data Support Sheet'!A:O,7,0),"")</f>
        <v>BOTTLE PRINTED</v>
      </c>
      <c r="E554" s="447" t="s">
        <v>70</v>
      </c>
      <c r="F554" s="500"/>
      <c r="G554" s="497" t="s">
        <v>1698</v>
      </c>
      <c r="H554" s="602" t="str">
        <f>IFERROR(VLOOKUP(E:E,'Item Data Support Sheet'!A:O,2,0),"")</f>
        <v>KPP 200 ML BOTTLE PRINTED</v>
      </c>
      <c r="I554" s="501" t="s">
        <v>3153</v>
      </c>
      <c r="J554" s="501" t="s">
        <v>2808</v>
      </c>
      <c r="K554" s="438">
        <v>8</v>
      </c>
      <c r="L554" s="499">
        <v>5100</v>
      </c>
      <c r="M554" s="366">
        <f t="shared" si="175"/>
        <v>637.5</v>
      </c>
      <c r="N554" s="367">
        <f t="shared" si="159"/>
        <v>6089</v>
      </c>
      <c r="O554" s="61">
        <v>6060</v>
      </c>
      <c r="P554" s="368">
        <v>0</v>
      </c>
      <c r="Q554" s="368">
        <v>0</v>
      </c>
      <c r="R554" s="494">
        <v>39</v>
      </c>
      <c r="S554" s="493">
        <v>0</v>
      </c>
      <c r="T554" s="494">
        <v>29</v>
      </c>
      <c r="U554" s="493">
        <v>0</v>
      </c>
      <c r="V554" s="502">
        <v>6</v>
      </c>
      <c r="W554" s="453">
        <f t="shared" si="161"/>
        <v>1010</v>
      </c>
      <c r="X554" s="748">
        <f t="shared" si="162"/>
        <v>1.1882352941176471</v>
      </c>
      <c r="Y554" s="451" t="str">
        <f>IFERROR(VLOOKUP(E:E,'Item Data Support Sheet'!A:J,6,0),0)</f>
        <v>FO002</v>
      </c>
      <c r="Z554" s="428">
        <f>IFERROR(VLOOKUP(E:E,'Item Data Support Sheet'!A:O,4,0),0)</f>
        <v>0</v>
      </c>
      <c r="AA554" s="428">
        <f t="shared" si="163"/>
        <v>0</v>
      </c>
      <c r="AB554" s="429" t="str">
        <f t="shared" si="164"/>
        <v xml:space="preserve"> </v>
      </c>
      <c r="AC554" s="424">
        <f t="shared" si="165"/>
        <v>4.7626868122844475E-3</v>
      </c>
      <c r="AD554" s="371">
        <f t="shared" si="166"/>
        <v>0</v>
      </c>
      <c r="AE554" s="748">
        <f t="shared" si="167"/>
        <v>0.99523731318771558</v>
      </c>
      <c r="AF554" s="417">
        <f t="shared" si="168"/>
        <v>0.66666666666666663</v>
      </c>
      <c r="AG554" s="416">
        <f t="shared" si="169"/>
        <v>7.333333333333333</v>
      </c>
      <c r="AH554" s="372">
        <f t="shared" si="170"/>
        <v>0.91666666666666663</v>
      </c>
      <c r="AI554" s="373">
        <f t="shared" si="171"/>
        <v>757.5</v>
      </c>
      <c r="AJ554" s="418">
        <f>VLOOKUP(D554,'Standard Cycle time'!C:D,2,0)</f>
        <v>32.4</v>
      </c>
      <c r="AK554" s="418">
        <f t="shared" si="172"/>
        <v>26.138613861386137</v>
      </c>
      <c r="AL554" s="374">
        <f t="shared" si="173"/>
        <v>1.2395454545454545</v>
      </c>
      <c r="AM554" s="372">
        <f t="shared" si="174"/>
        <v>1.1308383971095417</v>
      </c>
      <c r="AN554" s="799" t="s">
        <v>2874</v>
      </c>
      <c r="AO554" s="448"/>
      <c r="AP554" s="440">
        <v>40</v>
      </c>
      <c r="AQ554" s="440">
        <v>0</v>
      </c>
      <c r="AR554" s="440">
        <v>0</v>
      </c>
      <c r="AS554" s="440">
        <v>0</v>
      </c>
      <c r="AT554" s="440">
        <v>0</v>
      </c>
      <c r="AU554" s="440">
        <v>0</v>
      </c>
      <c r="AV554" s="440">
        <v>0</v>
      </c>
      <c r="AW554" s="440">
        <v>0</v>
      </c>
      <c r="AX554" s="440">
        <v>0</v>
      </c>
      <c r="AY554" s="440">
        <v>0</v>
      </c>
      <c r="AZ554" s="440">
        <v>0</v>
      </c>
      <c r="BA554" s="440">
        <v>0</v>
      </c>
      <c r="BB554" s="440">
        <v>0</v>
      </c>
      <c r="BC554" s="440">
        <v>0</v>
      </c>
      <c r="BD554" s="440">
        <v>0</v>
      </c>
      <c r="BE554" s="440">
        <v>0</v>
      </c>
      <c r="BF554" s="440">
        <v>0</v>
      </c>
      <c r="BG554" s="440">
        <v>0</v>
      </c>
      <c r="BH554" s="440">
        <v>0</v>
      </c>
      <c r="BI554" s="440">
        <v>0</v>
      </c>
      <c r="BJ554" s="440">
        <v>0</v>
      </c>
      <c r="BK554" s="440">
        <v>0</v>
      </c>
      <c r="BL554" s="440">
        <v>0</v>
      </c>
      <c r="BM554" s="440">
        <v>0</v>
      </c>
      <c r="BN554" s="440">
        <v>0</v>
      </c>
      <c r="BO554" s="440">
        <v>0</v>
      </c>
      <c r="BP554" s="440">
        <v>0</v>
      </c>
      <c r="BQ554" s="440">
        <v>0</v>
      </c>
      <c r="BR554" s="415">
        <v>0.66666666666666663</v>
      </c>
      <c r="BS554" s="415">
        <v>0.6777777777777777</v>
      </c>
      <c r="BT554" s="935"/>
      <c r="BU554" s="935"/>
      <c r="BV554" s="935"/>
      <c r="BW554" s="935"/>
      <c r="BX554" s="935"/>
      <c r="BY554" s="935"/>
      <c r="BZ554" s="935"/>
      <c r="CA554" s="935"/>
      <c r="CB554" s="935"/>
      <c r="CC554" s="935"/>
      <c r="CD554" s="935"/>
      <c r="CE554" s="935"/>
      <c r="CF554" s="935"/>
      <c r="CG554" s="935"/>
      <c r="CH554" s="935"/>
      <c r="CI554" s="935"/>
      <c r="CJ554" s="935"/>
      <c r="CK554" s="935"/>
      <c r="CL554" s="935"/>
      <c r="CM554" s="935"/>
      <c r="CN554" s="935"/>
      <c r="CO554" s="935"/>
      <c r="CP554" s="935"/>
      <c r="CQ554" s="935"/>
      <c r="CR554" s="935"/>
      <c r="CS554" s="935"/>
      <c r="CT554" s="935"/>
      <c r="CU554" s="935"/>
      <c r="CV554" s="935"/>
      <c r="DA554" s="441" t="s">
        <v>107</v>
      </c>
    </row>
    <row r="555" spans="1:105" s="441" customFormat="1">
      <c r="A555" s="375">
        <f t="shared" si="160"/>
        <v>9</v>
      </c>
      <c r="B555" s="862">
        <v>44455</v>
      </c>
      <c r="C555" s="493" t="s">
        <v>2053</v>
      </c>
      <c r="D555" s="376" t="str">
        <f>IFERROR(VLOOKUP(E:E,'Item Data Support Sheet'!A:O,7,0),"")</f>
        <v>BOTTLE MOLDED</v>
      </c>
      <c r="E555" s="447" t="s">
        <v>14</v>
      </c>
      <c r="F555" s="500" t="s">
        <v>1681</v>
      </c>
      <c r="G555" s="497" t="s">
        <v>1665</v>
      </c>
      <c r="H555" s="602" t="str">
        <f>IFERROR(VLOOKUP(E:E,'Item Data Support Sheet'!A:O,2,0),"")</f>
        <v>KPP 240 ML BOTTLE MOLDED</v>
      </c>
      <c r="I555" s="501" t="s">
        <v>3154</v>
      </c>
      <c r="J555" s="501" t="s">
        <v>2826</v>
      </c>
      <c r="K555" s="438">
        <v>8</v>
      </c>
      <c r="L555" s="499">
        <v>2574</v>
      </c>
      <c r="M555" s="366">
        <f t="shared" si="175"/>
        <v>321.75</v>
      </c>
      <c r="N555" s="367">
        <f t="shared" si="159"/>
        <v>3158</v>
      </c>
      <c r="O555" s="61">
        <v>3024</v>
      </c>
      <c r="P555" s="368">
        <v>0.32</v>
      </c>
      <c r="Q555" s="368">
        <v>56</v>
      </c>
      <c r="R555" s="494">
        <v>0</v>
      </c>
      <c r="S555" s="493">
        <v>0</v>
      </c>
      <c r="T555" s="494">
        <v>70</v>
      </c>
      <c r="U555" s="493">
        <v>8</v>
      </c>
      <c r="V555" s="502">
        <v>1</v>
      </c>
      <c r="W555" s="453">
        <f t="shared" si="161"/>
        <v>3024</v>
      </c>
      <c r="X555" s="748">
        <f t="shared" si="162"/>
        <v>1.1748251748251748</v>
      </c>
      <c r="Y555" s="451" t="str">
        <f>IFERROR(VLOOKUP(E:E,'Item Data Support Sheet'!A:J,6,0),0)</f>
        <v>HMC</v>
      </c>
      <c r="Z555" s="428">
        <f>IFERROR(VLOOKUP(E:E,'Item Data Support Sheet'!A:O,4,0),0)</f>
        <v>32.1</v>
      </c>
      <c r="AA555" s="428">
        <f t="shared" si="163"/>
        <v>101.6918</v>
      </c>
      <c r="AB555" s="429">
        <f t="shared" si="164"/>
        <v>0.95455484119663536</v>
      </c>
      <c r="AC555" s="424">
        <f t="shared" si="165"/>
        <v>2.2624434389140271E-2</v>
      </c>
      <c r="AD555" s="371">
        <f t="shared" si="166"/>
        <v>1.7423771001866834E-2</v>
      </c>
      <c r="AE555" s="748">
        <f t="shared" si="167"/>
        <v>0.97783407219759344</v>
      </c>
      <c r="AF555" s="417">
        <f t="shared" si="168"/>
        <v>0</v>
      </c>
      <c r="AG555" s="416">
        <f t="shared" si="169"/>
        <v>8</v>
      </c>
      <c r="AH555" s="372">
        <f t="shared" si="170"/>
        <v>1</v>
      </c>
      <c r="AI555" s="373">
        <f t="shared" si="171"/>
        <v>378</v>
      </c>
      <c r="AJ555" s="418">
        <f>VLOOKUP(D555,'Standard Cycle time'!C:D,2,0)</f>
        <v>9</v>
      </c>
      <c r="AK555" s="418">
        <f t="shared" si="172"/>
        <v>9.5238095238095237</v>
      </c>
      <c r="AL555" s="374">
        <f t="shared" si="173"/>
        <v>0.94500000000000006</v>
      </c>
      <c r="AM555" s="372">
        <f t="shared" si="174"/>
        <v>0.92405319822672582</v>
      </c>
      <c r="AN555" s="799">
        <v>3295</v>
      </c>
      <c r="AO555" s="448"/>
      <c r="AP555" s="440">
        <v>0</v>
      </c>
      <c r="AQ555" s="440">
        <v>0</v>
      </c>
      <c r="AR555" s="440">
        <v>0</v>
      </c>
      <c r="AS555" s="440">
        <v>0</v>
      </c>
      <c r="AT555" s="440">
        <v>0</v>
      </c>
      <c r="AU555" s="440">
        <v>0</v>
      </c>
      <c r="AV555" s="440">
        <v>0</v>
      </c>
      <c r="AW555" s="440">
        <v>0</v>
      </c>
      <c r="AX555" s="440">
        <v>0</v>
      </c>
      <c r="AY555" s="440">
        <v>0</v>
      </c>
      <c r="AZ555" s="440">
        <v>0</v>
      </c>
      <c r="BA555" s="440">
        <v>0</v>
      </c>
      <c r="BB555" s="440">
        <v>0</v>
      </c>
      <c r="BC555" s="440">
        <v>0</v>
      </c>
      <c r="BD555" s="440">
        <v>0</v>
      </c>
      <c r="BE555" s="440">
        <v>0</v>
      </c>
      <c r="BF555" s="440">
        <v>0</v>
      </c>
      <c r="BG555" s="440">
        <v>0</v>
      </c>
      <c r="BH555" s="440">
        <v>0</v>
      </c>
      <c r="BI555" s="440">
        <v>0</v>
      </c>
      <c r="BJ555" s="440">
        <v>0</v>
      </c>
      <c r="BK555" s="440">
        <v>0</v>
      </c>
      <c r="BL555" s="440">
        <v>0</v>
      </c>
      <c r="BM555" s="440">
        <v>0</v>
      </c>
      <c r="BN555" s="440">
        <v>0</v>
      </c>
      <c r="BO555" s="440">
        <v>0</v>
      </c>
      <c r="BP555" s="440">
        <v>0</v>
      </c>
      <c r="BQ555" s="440">
        <v>0</v>
      </c>
      <c r="BR555" s="415">
        <v>0</v>
      </c>
      <c r="BS555" s="415">
        <v>0</v>
      </c>
      <c r="BT555" s="935"/>
      <c r="BU555" s="935"/>
      <c r="BV555" s="935"/>
      <c r="BW555" s="935"/>
      <c r="BX555" s="935"/>
      <c r="BY555" s="935"/>
      <c r="BZ555" s="935"/>
      <c r="CA555" s="935"/>
      <c r="CB555" s="935"/>
      <c r="CC555" s="935"/>
      <c r="CD555" s="935"/>
      <c r="CE555" s="935"/>
      <c r="CF555" s="935"/>
      <c r="CG555" s="935"/>
      <c r="CH555" s="935"/>
      <c r="CI555" s="935"/>
      <c r="CJ555" s="935"/>
      <c r="CK555" s="935"/>
      <c r="CL555" s="935"/>
      <c r="CM555" s="935"/>
      <c r="CN555" s="935"/>
      <c r="CO555" s="935"/>
      <c r="CP555" s="935"/>
      <c r="CQ555" s="935"/>
      <c r="CR555" s="935"/>
      <c r="CS555" s="935"/>
      <c r="CT555" s="935"/>
      <c r="CU555" s="935"/>
      <c r="CV555" s="935"/>
    </row>
    <row r="556" spans="1:105" s="441" customFormat="1">
      <c r="A556" s="375">
        <f t="shared" si="160"/>
        <v>9</v>
      </c>
      <c r="B556" s="862">
        <v>44455</v>
      </c>
      <c r="C556" s="493" t="s">
        <v>2053</v>
      </c>
      <c r="D556" s="376" t="str">
        <f>IFERROR(VLOOKUP(E:E,'Item Data Support Sheet'!A:O,7,0),"")</f>
        <v>NIPPLE MOLDED</v>
      </c>
      <c r="E556" s="447" t="s">
        <v>74</v>
      </c>
      <c r="F556" s="500" t="s">
        <v>1678</v>
      </c>
      <c r="G556" s="497" t="s">
        <v>1691</v>
      </c>
      <c r="H556" s="602" t="str">
        <f>IFERROR(VLOOKUP(E:E,'Item Data Support Sheet'!A:O,2,0),"")</f>
        <v>NIPPLE S TYPE L SIZE INJECTION</v>
      </c>
      <c r="I556" s="501" t="s">
        <v>3155</v>
      </c>
      <c r="J556" s="501" t="s">
        <v>2826</v>
      </c>
      <c r="K556" s="438">
        <v>8</v>
      </c>
      <c r="L556" s="499">
        <v>4815</v>
      </c>
      <c r="M556" s="366">
        <f t="shared" si="175"/>
        <v>601.875</v>
      </c>
      <c r="N556" s="367">
        <f t="shared" si="159"/>
        <v>5070</v>
      </c>
      <c r="O556" s="61">
        <v>5000</v>
      </c>
      <c r="P556" s="368">
        <v>0</v>
      </c>
      <c r="Q556" s="368">
        <v>22</v>
      </c>
      <c r="R556" s="494">
        <v>0</v>
      </c>
      <c r="S556" s="493">
        <v>0</v>
      </c>
      <c r="T556" s="494">
        <v>40</v>
      </c>
      <c r="U556" s="493">
        <v>8</v>
      </c>
      <c r="V556" s="502">
        <v>1</v>
      </c>
      <c r="W556" s="453">
        <f t="shared" si="161"/>
        <v>5000</v>
      </c>
      <c r="X556" s="748">
        <f t="shared" si="162"/>
        <v>1.0384215991692627</v>
      </c>
      <c r="Y556" s="451" t="str">
        <f>IFERROR(VLOOKUP(E:E,'Item Data Support Sheet'!A:J,6,0),0)</f>
        <v>Silicon</v>
      </c>
      <c r="Z556" s="428">
        <f>IFERROR(VLOOKUP(E:E,'Item Data Support Sheet'!A:O,4,0),0)</f>
        <v>6.8</v>
      </c>
      <c r="AA556" s="428">
        <f t="shared" si="163"/>
        <v>34.475999999999999</v>
      </c>
      <c r="AB556" s="429">
        <f t="shared" si="164"/>
        <v>0.98619329388560162</v>
      </c>
      <c r="AC556" s="424">
        <f t="shared" si="165"/>
        <v>7.9365079365079361E-3</v>
      </c>
      <c r="AD556" s="371">
        <f t="shared" si="166"/>
        <v>4.3205027494108402E-3</v>
      </c>
      <c r="AE556" s="748">
        <f t="shared" si="167"/>
        <v>0.99211045364891515</v>
      </c>
      <c r="AF556" s="417">
        <f t="shared" si="168"/>
        <v>0</v>
      </c>
      <c r="AG556" s="416">
        <f t="shared" si="169"/>
        <v>8</v>
      </c>
      <c r="AH556" s="372">
        <f t="shared" si="170"/>
        <v>1</v>
      </c>
      <c r="AI556" s="373">
        <f t="shared" si="171"/>
        <v>625</v>
      </c>
      <c r="AJ556" s="418">
        <f>VLOOKUP(D556,'Standard Cycle time'!C:D,2,0)</f>
        <v>5.25</v>
      </c>
      <c r="AK556" s="418">
        <f t="shared" si="172"/>
        <v>5.76</v>
      </c>
      <c r="AL556" s="374">
        <f t="shared" si="173"/>
        <v>0.91145833333333337</v>
      </c>
      <c r="AM556" s="372">
        <f t="shared" si="174"/>
        <v>0.90426734056541747</v>
      </c>
      <c r="AN556" s="799">
        <v>3296</v>
      </c>
      <c r="AO556" s="448"/>
      <c r="AP556" s="440">
        <v>0</v>
      </c>
      <c r="AQ556" s="440">
        <v>0</v>
      </c>
      <c r="AR556" s="440">
        <v>0</v>
      </c>
      <c r="AS556" s="440">
        <v>0</v>
      </c>
      <c r="AT556" s="440">
        <v>0</v>
      </c>
      <c r="AU556" s="440">
        <v>0</v>
      </c>
      <c r="AV556" s="440">
        <v>0</v>
      </c>
      <c r="AW556" s="440">
        <v>0</v>
      </c>
      <c r="AX556" s="440"/>
      <c r="AY556" s="440">
        <v>0</v>
      </c>
      <c r="AZ556" s="440">
        <v>0</v>
      </c>
      <c r="BA556" s="440">
        <v>0</v>
      </c>
      <c r="BB556" s="440">
        <v>0</v>
      </c>
      <c r="BC556" s="440">
        <v>0</v>
      </c>
      <c r="BD556" s="440">
        <v>0</v>
      </c>
      <c r="BE556" s="440">
        <v>0</v>
      </c>
      <c r="BF556" s="440">
        <v>0</v>
      </c>
      <c r="BG556" s="440">
        <v>0</v>
      </c>
      <c r="BH556" s="440">
        <v>0</v>
      </c>
      <c r="BI556" s="440">
        <v>0</v>
      </c>
      <c r="BJ556" s="440">
        <v>0</v>
      </c>
      <c r="BK556" s="440">
        <v>0</v>
      </c>
      <c r="BL556" s="440">
        <v>0</v>
      </c>
      <c r="BM556" s="440">
        <v>0</v>
      </c>
      <c r="BN556" s="440">
        <v>0</v>
      </c>
      <c r="BO556" s="440">
        <v>0</v>
      </c>
      <c r="BP556" s="440">
        <v>0</v>
      </c>
      <c r="BQ556" s="440">
        <v>0</v>
      </c>
      <c r="BR556" s="415">
        <v>0</v>
      </c>
      <c r="BS556" s="415">
        <v>0</v>
      </c>
      <c r="BT556" s="935"/>
      <c r="BU556" s="935"/>
      <c r="BV556" s="935"/>
      <c r="BW556" s="935"/>
      <c r="BX556" s="935"/>
      <c r="BY556" s="935"/>
      <c r="BZ556" s="935"/>
      <c r="CA556" s="935"/>
      <c r="CB556" s="935"/>
      <c r="CC556" s="935"/>
      <c r="CD556" s="935"/>
      <c r="CE556" s="935"/>
      <c r="CF556" s="935"/>
      <c r="CG556" s="935"/>
      <c r="CH556" s="935"/>
      <c r="CI556" s="935"/>
      <c r="CJ556" s="935"/>
      <c r="CK556" s="935"/>
      <c r="CL556" s="935"/>
      <c r="CM556" s="935"/>
      <c r="CN556" s="935"/>
      <c r="CO556" s="935"/>
      <c r="CP556" s="935"/>
      <c r="CQ556" s="935"/>
      <c r="CR556" s="935"/>
      <c r="CS556" s="935"/>
      <c r="CT556" s="935"/>
      <c r="CU556" s="935"/>
      <c r="CV556" s="935"/>
    </row>
    <row r="557" spans="1:105" s="441" customFormat="1">
      <c r="A557" s="375">
        <f t="shared" si="160"/>
        <v>9</v>
      </c>
      <c r="B557" s="862">
        <v>44456</v>
      </c>
      <c r="C557" s="493" t="s">
        <v>1980</v>
      </c>
      <c r="D557" s="376" t="str">
        <f>IFERROR(VLOOKUP(E:E,'Item Data Support Sheet'!A:O,7,0),"")</f>
        <v>BOTTLE MOLDED</v>
      </c>
      <c r="E557" s="447" t="s">
        <v>14</v>
      </c>
      <c r="F557" s="500" t="s">
        <v>1681</v>
      </c>
      <c r="G557" s="497" t="s">
        <v>1665</v>
      </c>
      <c r="H557" s="602" t="str">
        <f>IFERROR(VLOOKUP(E:E,'Item Data Support Sheet'!A:O,2,0),"")</f>
        <v>KPP 240 ML BOTTLE MOLDED</v>
      </c>
      <c r="I557" s="501" t="s">
        <v>3156</v>
      </c>
      <c r="J557" s="501" t="s">
        <v>2808</v>
      </c>
      <c r="K557" s="438">
        <v>8</v>
      </c>
      <c r="L557" s="499">
        <v>2574</v>
      </c>
      <c r="M557" s="366">
        <f t="shared" si="175"/>
        <v>321.75</v>
      </c>
      <c r="N557" s="367">
        <f t="shared" si="159"/>
        <v>3136</v>
      </c>
      <c r="O557" s="61">
        <v>3024</v>
      </c>
      <c r="P557" s="368">
        <v>0</v>
      </c>
      <c r="Q557" s="368">
        <v>38</v>
      </c>
      <c r="R557" s="494">
        <v>0</v>
      </c>
      <c r="S557" s="493">
        <v>0</v>
      </c>
      <c r="T557" s="494">
        <v>66</v>
      </c>
      <c r="U557" s="493">
        <v>8</v>
      </c>
      <c r="V557" s="502">
        <v>1</v>
      </c>
      <c r="W557" s="453">
        <f t="shared" si="161"/>
        <v>3024</v>
      </c>
      <c r="X557" s="748">
        <f t="shared" si="162"/>
        <v>1.1748251748251748</v>
      </c>
      <c r="Y557" s="451" t="str">
        <f>IFERROR(VLOOKUP(E:E,'Item Data Support Sheet'!A:J,6,0),0)</f>
        <v>HMC</v>
      </c>
      <c r="Z557" s="428">
        <f>IFERROR(VLOOKUP(E:E,'Item Data Support Sheet'!A:O,4,0),0)</f>
        <v>32.1</v>
      </c>
      <c r="AA557" s="428">
        <f t="shared" si="163"/>
        <v>100.66560000000001</v>
      </c>
      <c r="AB557" s="429">
        <f t="shared" si="164"/>
        <v>0.96428571428571419</v>
      </c>
      <c r="AC557" s="424">
        <f t="shared" si="165"/>
        <v>2.1359223300970873E-2</v>
      </c>
      <c r="AD557" s="371">
        <f t="shared" si="166"/>
        <v>1.1972274732199117E-2</v>
      </c>
      <c r="AE557" s="748">
        <f t="shared" si="167"/>
        <v>0.97895408163265307</v>
      </c>
      <c r="AF557" s="417">
        <f t="shared" si="168"/>
        <v>0.5</v>
      </c>
      <c r="AG557" s="416">
        <f t="shared" si="169"/>
        <v>7.5</v>
      </c>
      <c r="AH557" s="372">
        <f t="shared" si="170"/>
        <v>0.9375</v>
      </c>
      <c r="AI557" s="373">
        <f t="shared" si="171"/>
        <v>378</v>
      </c>
      <c r="AJ557" s="418">
        <f>VLOOKUP(D557,'Standard Cycle time'!C:D,2,0)</f>
        <v>9</v>
      </c>
      <c r="AK557" s="418">
        <f t="shared" si="172"/>
        <v>8.9285714285714288</v>
      </c>
      <c r="AL557" s="374">
        <f t="shared" si="173"/>
        <v>1.008</v>
      </c>
      <c r="AM557" s="372">
        <f t="shared" si="174"/>
        <v>0.92511160714285712</v>
      </c>
      <c r="AN557" s="799">
        <v>3313</v>
      </c>
      <c r="AO557" s="448" t="s">
        <v>3146</v>
      </c>
      <c r="AP557" s="440">
        <v>0</v>
      </c>
      <c r="AQ557" s="440">
        <v>0</v>
      </c>
      <c r="AR557" s="440">
        <v>0</v>
      </c>
      <c r="AS557" s="440">
        <v>0</v>
      </c>
      <c r="AT557" s="440">
        <v>0</v>
      </c>
      <c r="AU557" s="440">
        <v>0</v>
      </c>
      <c r="AV557" s="440">
        <v>0</v>
      </c>
      <c r="AW557" s="440">
        <v>0</v>
      </c>
      <c r="AX557" s="440">
        <v>0</v>
      </c>
      <c r="AY557" s="440">
        <v>30</v>
      </c>
      <c r="AZ557" s="440">
        <v>0</v>
      </c>
      <c r="BA557" s="440">
        <v>0</v>
      </c>
      <c r="BB557" s="440">
        <v>0</v>
      </c>
      <c r="BC557" s="440">
        <v>0</v>
      </c>
      <c r="BD557" s="440">
        <v>0</v>
      </c>
      <c r="BE557" s="440">
        <v>0</v>
      </c>
      <c r="BF557" s="440">
        <v>0</v>
      </c>
      <c r="BG557" s="440">
        <v>0</v>
      </c>
      <c r="BH557" s="440">
        <v>0</v>
      </c>
      <c r="BI557" s="440">
        <v>0</v>
      </c>
      <c r="BJ557" s="440">
        <v>0</v>
      </c>
      <c r="BK557" s="440">
        <v>0</v>
      </c>
      <c r="BL557" s="440">
        <v>0</v>
      </c>
      <c r="BM557" s="440">
        <v>0</v>
      </c>
      <c r="BN557" s="440">
        <v>0</v>
      </c>
      <c r="BO557" s="440">
        <v>0</v>
      </c>
      <c r="BP557" s="440">
        <v>0</v>
      </c>
      <c r="BQ557" s="440">
        <v>0</v>
      </c>
      <c r="BR557" s="415">
        <v>0.5</v>
      </c>
      <c r="BS557" s="415">
        <v>0.5083333333333333</v>
      </c>
      <c r="BT557" s="935"/>
      <c r="BU557" s="935"/>
      <c r="BV557" s="935"/>
      <c r="BW557" s="935"/>
      <c r="BX557" s="935"/>
      <c r="BY557" s="935"/>
      <c r="BZ557" s="935"/>
      <c r="CA557" s="935"/>
      <c r="CB557" s="935"/>
      <c r="CC557" s="935"/>
      <c r="CD557" s="935"/>
      <c r="CE557" s="935"/>
      <c r="CF557" s="935"/>
      <c r="CG557" s="935"/>
      <c r="CH557" s="935"/>
      <c r="CI557" s="935"/>
      <c r="CJ557" s="935"/>
      <c r="CK557" s="935"/>
      <c r="CL557" s="935"/>
      <c r="CM557" s="935"/>
      <c r="CN557" s="935"/>
      <c r="CO557" s="935"/>
      <c r="CP557" s="935"/>
      <c r="CQ557" s="935"/>
      <c r="CR557" s="935"/>
      <c r="CS557" s="935"/>
      <c r="CT557" s="935"/>
      <c r="CU557" s="935"/>
      <c r="CV557" s="935"/>
    </row>
    <row r="558" spans="1:105" s="441" customFormat="1">
      <c r="A558" s="375">
        <f t="shared" si="160"/>
        <v>9</v>
      </c>
      <c r="B558" s="862">
        <v>44456</v>
      </c>
      <c r="C558" s="493" t="s">
        <v>1980</v>
      </c>
      <c r="D558" s="376" t="str">
        <f>IFERROR(VLOOKUP(E:E,'Item Data Support Sheet'!A:O,7,0),"")</f>
        <v>BOTTLE MOLDED</v>
      </c>
      <c r="E558" s="447" t="s">
        <v>65</v>
      </c>
      <c r="F558" s="500" t="s">
        <v>1682</v>
      </c>
      <c r="G558" s="497" t="s">
        <v>1888</v>
      </c>
      <c r="H558" s="602" t="str">
        <f>IFERROR(VLOOKUP(E:E,'Item Data Support Sheet'!A:O,2,0),"")</f>
        <v>KPP 120 ML BOTTLE MOLDED</v>
      </c>
      <c r="I558" s="501" t="s">
        <v>3157</v>
      </c>
      <c r="J558" s="501" t="s">
        <v>2808</v>
      </c>
      <c r="K558" s="438">
        <v>4</v>
      </c>
      <c r="L558" s="499">
        <v>1200</v>
      </c>
      <c r="M558" s="366">
        <f t="shared" si="175"/>
        <v>300</v>
      </c>
      <c r="N558" s="367">
        <f t="shared" si="159"/>
        <v>1802</v>
      </c>
      <c r="O558" s="61">
        <v>1728</v>
      </c>
      <c r="P558" s="368">
        <v>0.15</v>
      </c>
      <c r="Q558" s="368">
        <v>24</v>
      </c>
      <c r="R558" s="494">
        <v>0</v>
      </c>
      <c r="S558" s="493">
        <v>0</v>
      </c>
      <c r="T558" s="494">
        <v>42</v>
      </c>
      <c r="U558" s="493">
        <v>8</v>
      </c>
      <c r="V558" s="502">
        <v>1</v>
      </c>
      <c r="W558" s="453">
        <f t="shared" si="161"/>
        <v>1728</v>
      </c>
      <c r="X558" s="748">
        <f t="shared" si="162"/>
        <v>1.44</v>
      </c>
      <c r="Y558" s="451" t="str">
        <f>IFERROR(VLOOKUP(E:E,'Item Data Support Sheet'!A:J,6,0),0)</f>
        <v>HMC</v>
      </c>
      <c r="Z558" s="428">
        <f>IFERROR(VLOOKUP(E:E,'Item Data Support Sheet'!A:O,4,0),0)</f>
        <v>21.3</v>
      </c>
      <c r="AA558" s="428">
        <f t="shared" si="163"/>
        <v>38.532599999999995</v>
      </c>
      <c r="AB558" s="429">
        <f t="shared" si="164"/>
        <v>0.95520156958004399</v>
      </c>
      <c r="AC558" s="424">
        <f t="shared" si="165"/>
        <v>2.3728813559322035E-2</v>
      </c>
      <c r="AD558" s="371">
        <f t="shared" si="166"/>
        <v>1.3143483023001095E-2</v>
      </c>
      <c r="AE558" s="748">
        <f t="shared" si="167"/>
        <v>0.97669256381797998</v>
      </c>
      <c r="AF558" s="417">
        <f t="shared" si="168"/>
        <v>1.1666666666666667</v>
      </c>
      <c r="AG558" s="416">
        <f t="shared" si="169"/>
        <v>2.833333333333333</v>
      </c>
      <c r="AH558" s="372">
        <f t="shared" si="170"/>
        <v>0.70833333333333326</v>
      </c>
      <c r="AI558" s="373">
        <f t="shared" si="171"/>
        <v>432</v>
      </c>
      <c r="AJ558" s="418">
        <f>VLOOKUP(D558,'Standard Cycle time'!C:D,2,0)</f>
        <v>9</v>
      </c>
      <c r="AK558" s="418">
        <f t="shared" si="172"/>
        <v>5.9027777777777768</v>
      </c>
      <c r="AL558" s="374">
        <f t="shared" si="173"/>
        <v>1.5247058823529414</v>
      </c>
      <c r="AM558" s="372">
        <f t="shared" si="174"/>
        <v>1.0548279689234183</v>
      </c>
      <c r="AN558" s="799" t="s">
        <v>3158</v>
      </c>
      <c r="AO558" s="448" t="s">
        <v>3159</v>
      </c>
      <c r="AP558" s="440">
        <v>0</v>
      </c>
      <c r="AQ558" s="440">
        <v>0</v>
      </c>
      <c r="AR558" s="440">
        <v>70</v>
      </c>
      <c r="AS558" s="440">
        <v>0</v>
      </c>
      <c r="AT558" s="440">
        <v>0</v>
      </c>
      <c r="AU558" s="440">
        <v>0</v>
      </c>
      <c r="AV558" s="440">
        <v>0</v>
      </c>
      <c r="AW558" s="440">
        <v>0</v>
      </c>
      <c r="AX558" s="440">
        <v>0</v>
      </c>
      <c r="AY558" s="440">
        <v>0</v>
      </c>
      <c r="AZ558" s="440">
        <v>0</v>
      </c>
      <c r="BA558" s="440">
        <v>0</v>
      </c>
      <c r="BB558" s="440">
        <v>0</v>
      </c>
      <c r="BC558" s="440">
        <v>0</v>
      </c>
      <c r="BD558" s="440">
        <v>0</v>
      </c>
      <c r="BE558" s="440">
        <v>0</v>
      </c>
      <c r="BF558" s="440">
        <v>0</v>
      </c>
      <c r="BG558" s="440">
        <v>0</v>
      </c>
      <c r="BH558" s="440">
        <v>0</v>
      </c>
      <c r="BI558" s="440">
        <v>0</v>
      </c>
      <c r="BJ558" s="440">
        <v>0</v>
      </c>
      <c r="BK558" s="440">
        <v>0</v>
      </c>
      <c r="BL558" s="440">
        <v>0</v>
      </c>
      <c r="BM558" s="440">
        <v>0</v>
      </c>
      <c r="BN558" s="440">
        <v>0</v>
      </c>
      <c r="BO558" s="440">
        <v>0</v>
      </c>
      <c r="BP558" s="440">
        <v>0</v>
      </c>
      <c r="BQ558" s="440">
        <v>0</v>
      </c>
      <c r="BR558" s="415">
        <v>1.1666666666666667</v>
      </c>
      <c r="BS558" s="415">
        <v>1.1861111111111111</v>
      </c>
      <c r="BT558" s="935"/>
      <c r="BU558" s="935"/>
      <c r="BV558" s="935"/>
      <c r="BW558" s="935"/>
      <c r="BX558" s="935"/>
      <c r="BY558" s="935"/>
      <c r="BZ558" s="935"/>
      <c r="CA558" s="935"/>
      <c r="CB558" s="935"/>
      <c r="CC558" s="935"/>
      <c r="CD558" s="935"/>
      <c r="CE558" s="935"/>
      <c r="CF558" s="935"/>
      <c r="CG558" s="935"/>
      <c r="CH558" s="935"/>
      <c r="CI558" s="935"/>
      <c r="CJ558" s="935"/>
      <c r="CK558" s="935"/>
      <c r="CL558" s="935"/>
      <c r="CM558" s="935"/>
      <c r="CN558" s="935"/>
      <c r="CO558" s="935"/>
      <c r="CP558" s="935"/>
      <c r="CQ558" s="935"/>
      <c r="CR558" s="935"/>
      <c r="CS558" s="935"/>
      <c r="CT558" s="935"/>
      <c r="CU558" s="935"/>
      <c r="CV558" s="935"/>
    </row>
    <row r="559" spans="1:105" s="441" customFormat="1">
      <c r="A559" s="375">
        <f t="shared" si="160"/>
        <v>9</v>
      </c>
      <c r="B559" s="862">
        <v>44456</v>
      </c>
      <c r="C559" s="493" t="s">
        <v>1980</v>
      </c>
      <c r="D559" s="376" t="str">
        <f>IFERROR(VLOOKUP(E:E,'Item Data Support Sheet'!A:O,7,0),"")</f>
        <v>NIPPLE MOLDED</v>
      </c>
      <c r="E559" s="447" t="s">
        <v>74</v>
      </c>
      <c r="F559" s="500" t="s">
        <v>1678</v>
      </c>
      <c r="G559" s="497" t="s">
        <v>1691</v>
      </c>
      <c r="H559" s="602" t="str">
        <f>IFERROR(VLOOKUP(E:E,'Item Data Support Sheet'!A:O,2,0),"")</f>
        <v>NIPPLE S TYPE L SIZE INJECTION</v>
      </c>
      <c r="I559" s="501" t="s">
        <v>3160</v>
      </c>
      <c r="J559" s="501" t="s">
        <v>2808</v>
      </c>
      <c r="K559" s="438">
        <v>8</v>
      </c>
      <c r="L559" s="499">
        <v>4815</v>
      </c>
      <c r="M559" s="366">
        <f t="shared" si="175"/>
        <v>601.875</v>
      </c>
      <c r="N559" s="367">
        <f t="shared" si="159"/>
        <v>4305</v>
      </c>
      <c r="O559" s="61">
        <v>4200</v>
      </c>
      <c r="P559" s="368">
        <v>4.2670000000000003</v>
      </c>
      <c r="Q559" s="368">
        <v>46</v>
      </c>
      <c r="R559" s="494">
        <v>0</v>
      </c>
      <c r="S559" s="493">
        <v>0</v>
      </c>
      <c r="T559" s="494">
        <v>51</v>
      </c>
      <c r="U559" s="493">
        <v>8</v>
      </c>
      <c r="V559" s="502">
        <v>1</v>
      </c>
      <c r="W559" s="453">
        <f t="shared" si="161"/>
        <v>4200</v>
      </c>
      <c r="X559" s="748">
        <f t="shared" si="162"/>
        <v>0.87227414330218067</v>
      </c>
      <c r="Y559" s="451" t="str">
        <f>IFERROR(VLOOKUP(E:E,'Item Data Support Sheet'!A:J,6,0),0)</f>
        <v>Silicon</v>
      </c>
      <c r="Z559" s="428">
        <f>IFERROR(VLOOKUP(E:E,'Item Data Support Sheet'!A:O,4,0),0)</f>
        <v>6.8</v>
      </c>
      <c r="AA559" s="428">
        <f t="shared" si="163"/>
        <v>33.540999999999997</v>
      </c>
      <c r="AB559" s="429">
        <f t="shared" si="164"/>
        <v>0.85149518499746579</v>
      </c>
      <c r="AC559" s="424">
        <f t="shared" si="165"/>
        <v>1.1997177134791814E-2</v>
      </c>
      <c r="AD559" s="371">
        <f t="shared" si="166"/>
        <v>1.0572282233969202E-2</v>
      </c>
      <c r="AE559" s="748">
        <f t="shared" si="167"/>
        <v>0.98815331010452967</v>
      </c>
      <c r="AF559" s="417">
        <f t="shared" si="168"/>
        <v>1.1666666666666667</v>
      </c>
      <c r="AG559" s="416">
        <f t="shared" si="169"/>
        <v>6.833333333333333</v>
      </c>
      <c r="AH559" s="372">
        <f t="shared" si="170"/>
        <v>0.85416666666666663</v>
      </c>
      <c r="AI559" s="373">
        <f t="shared" si="171"/>
        <v>525</v>
      </c>
      <c r="AJ559" s="418">
        <f>VLOOKUP(D559,'Standard Cycle time'!C:D,2,0)</f>
        <v>5.25</v>
      </c>
      <c r="AK559" s="418">
        <f t="shared" si="172"/>
        <v>5.8571428571428568</v>
      </c>
      <c r="AL559" s="374">
        <f t="shared" si="173"/>
        <v>0.89634146341463417</v>
      </c>
      <c r="AM559" s="372">
        <f t="shared" si="174"/>
        <v>0.75655487804878052</v>
      </c>
      <c r="AN559" s="799">
        <v>3315</v>
      </c>
      <c r="AO559" s="448" t="s">
        <v>3161</v>
      </c>
      <c r="AP559" s="440">
        <v>0</v>
      </c>
      <c r="AQ559" s="440">
        <v>0</v>
      </c>
      <c r="AR559" s="440">
        <v>0</v>
      </c>
      <c r="AS559" s="440">
        <v>0</v>
      </c>
      <c r="AT559" s="440">
        <v>0</v>
      </c>
      <c r="AU559" s="440">
        <v>30</v>
      </c>
      <c r="AV559" s="440">
        <v>0</v>
      </c>
      <c r="AW559" s="440">
        <v>0</v>
      </c>
      <c r="AX559" s="440">
        <v>40</v>
      </c>
      <c r="AY559" s="440">
        <v>0</v>
      </c>
      <c r="AZ559" s="440">
        <v>0</v>
      </c>
      <c r="BA559" s="440">
        <v>0</v>
      </c>
      <c r="BB559" s="440">
        <v>0</v>
      </c>
      <c r="BC559" s="440">
        <v>0</v>
      </c>
      <c r="BD559" s="440">
        <v>0</v>
      </c>
      <c r="BE559" s="440">
        <v>0</v>
      </c>
      <c r="BF559" s="440">
        <v>0</v>
      </c>
      <c r="BG559" s="440">
        <v>0</v>
      </c>
      <c r="BH559" s="440">
        <v>0</v>
      </c>
      <c r="BI559" s="440">
        <v>0</v>
      </c>
      <c r="BJ559" s="440">
        <v>0</v>
      </c>
      <c r="BK559" s="440">
        <v>0</v>
      </c>
      <c r="BL559" s="440">
        <v>0</v>
      </c>
      <c r="BM559" s="440">
        <v>0</v>
      </c>
      <c r="BN559" s="440">
        <v>0</v>
      </c>
      <c r="BO559" s="440">
        <v>0</v>
      </c>
      <c r="BP559" s="440">
        <v>0</v>
      </c>
      <c r="BQ559" s="440">
        <v>0</v>
      </c>
      <c r="BR559" s="415">
        <v>1.1666666666666667</v>
      </c>
      <c r="BS559" s="415">
        <v>1.1861111111111111</v>
      </c>
      <c r="BT559" s="935"/>
      <c r="BU559" s="935"/>
      <c r="BV559" s="935"/>
      <c r="BW559" s="935"/>
      <c r="BX559" s="935"/>
      <c r="BY559" s="935"/>
      <c r="BZ559" s="935"/>
      <c r="CA559" s="935"/>
      <c r="CB559" s="935"/>
      <c r="CC559" s="935"/>
      <c r="CD559" s="935"/>
      <c r="CE559" s="935"/>
      <c r="CF559" s="935"/>
      <c r="CG559" s="935"/>
      <c r="CH559" s="935"/>
      <c r="CI559" s="935"/>
      <c r="CJ559" s="935"/>
      <c r="CK559" s="935"/>
      <c r="CL559" s="935"/>
      <c r="CM559" s="935"/>
      <c r="CN559" s="935"/>
      <c r="CO559" s="935"/>
      <c r="CP559" s="935"/>
      <c r="CQ559" s="935"/>
      <c r="CR559" s="935"/>
      <c r="CS559" s="935"/>
      <c r="CT559" s="935"/>
      <c r="CU559" s="935"/>
      <c r="CV559" s="935"/>
    </row>
    <row r="560" spans="1:105" s="441" customFormat="1">
      <c r="A560" s="375">
        <f t="shared" si="160"/>
        <v>9</v>
      </c>
      <c r="B560" s="862">
        <v>44456</v>
      </c>
      <c r="C560" s="493" t="s">
        <v>1980</v>
      </c>
      <c r="D560" s="376" t="str">
        <f>IFERROR(VLOOKUP(E:E,'Item Data Support Sheet'!A:O,7,0),"")</f>
        <v>NIPPLE PUNCH</v>
      </c>
      <c r="E560" s="447" t="s">
        <v>82</v>
      </c>
      <c r="F560" s="500"/>
      <c r="G560" s="497" t="s">
        <v>1692</v>
      </c>
      <c r="H560" s="602" t="str">
        <f>IFERROR(VLOOKUP(E:E,'Item Data Support Sheet'!A:O,2,0),"")</f>
        <v>NIPPLE S TYPE L SIZE PUNCHED</v>
      </c>
      <c r="I560" s="501" t="s">
        <v>3162</v>
      </c>
      <c r="J560" s="501" t="s">
        <v>2808</v>
      </c>
      <c r="K560" s="438">
        <v>8</v>
      </c>
      <c r="L560" s="499">
        <v>7000</v>
      </c>
      <c r="M560" s="366">
        <f t="shared" si="175"/>
        <v>875</v>
      </c>
      <c r="N560" s="367">
        <f t="shared" si="159"/>
        <v>5300</v>
      </c>
      <c r="O560" s="61">
        <v>5300</v>
      </c>
      <c r="P560" s="368">
        <v>0</v>
      </c>
      <c r="Q560" s="368">
        <v>0</v>
      </c>
      <c r="R560" s="494">
        <v>0</v>
      </c>
      <c r="S560" s="493">
        <v>0</v>
      </c>
      <c r="T560" s="494">
        <v>0</v>
      </c>
      <c r="U560" s="493">
        <v>0</v>
      </c>
      <c r="V560" s="502">
        <v>1</v>
      </c>
      <c r="W560" s="453">
        <f t="shared" si="161"/>
        <v>5300</v>
      </c>
      <c r="X560" s="748">
        <f t="shared" si="162"/>
        <v>0.75714285714285712</v>
      </c>
      <c r="Y560" s="451" t="str">
        <f>IFERROR(VLOOKUP(E:E,'Item Data Support Sheet'!A:J,6,0),0)</f>
        <v>FO017</v>
      </c>
      <c r="Z560" s="428">
        <f>IFERROR(VLOOKUP(E:E,'Item Data Support Sheet'!A:O,4,0),0)</f>
        <v>0</v>
      </c>
      <c r="AA560" s="428">
        <f t="shared" si="163"/>
        <v>0</v>
      </c>
      <c r="AB560" s="429" t="str">
        <f t="shared" si="164"/>
        <v xml:space="preserve"> </v>
      </c>
      <c r="AC560" s="424">
        <f t="shared" si="165"/>
        <v>0</v>
      </c>
      <c r="AD560" s="371">
        <f t="shared" si="166"/>
        <v>0</v>
      </c>
      <c r="AE560" s="748">
        <f t="shared" si="167"/>
        <v>1</v>
      </c>
      <c r="AF560" s="417">
        <f t="shared" si="168"/>
        <v>2.1666666666666665</v>
      </c>
      <c r="AG560" s="416">
        <f t="shared" si="169"/>
        <v>5.8333333333333339</v>
      </c>
      <c r="AH560" s="372">
        <f t="shared" si="170"/>
        <v>0.72916666666666674</v>
      </c>
      <c r="AI560" s="373">
        <f t="shared" si="171"/>
        <v>662.5</v>
      </c>
      <c r="AJ560" s="418">
        <f>VLOOKUP(D560,'Standard Cycle time'!C:D,2,0)</f>
        <v>3.5</v>
      </c>
      <c r="AK560" s="418">
        <f t="shared" si="172"/>
        <v>3.9622641509433971</v>
      </c>
      <c r="AL560" s="374">
        <f t="shared" si="173"/>
        <v>0.88333333333333308</v>
      </c>
      <c r="AM560" s="372">
        <f t="shared" si="174"/>
        <v>0.6440972222222221</v>
      </c>
      <c r="AN560" s="799" t="s">
        <v>3163</v>
      </c>
      <c r="AO560" s="448" t="s">
        <v>2825</v>
      </c>
      <c r="AP560" s="440">
        <v>40</v>
      </c>
      <c r="AQ560" s="440">
        <v>0</v>
      </c>
      <c r="AR560" s="440">
        <v>0</v>
      </c>
      <c r="AS560" s="440">
        <v>0</v>
      </c>
      <c r="AT560" s="440">
        <v>0</v>
      </c>
      <c r="AU560" s="440">
        <v>0</v>
      </c>
      <c r="AV560" s="440">
        <v>0</v>
      </c>
      <c r="AW560" s="440">
        <v>0</v>
      </c>
      <c r="AX560" s="440">
        <v>0</v>
      </c>
      <c r="AY560" s="440">
        <v>0</v>
      </c>
      <c r="AZ560" s="440">
        <v>0</v>
      </c>
      <c r="BA560" s="440">
        <v>0</v>
      </c>
      <c r="BB560" s="440">
        <v>0</v>
      </c>
      <c r="BC560" s="440">
        <v>0</v>
      </c>
      <c r="BD560" s="440">
        <v>0</v>
      </c>
      <c r="BE560" s="440">
        <v>0</v>
      </c>
      <c r="BF560" s="440">
        <v>0</v>
      </c>
      <c r="BG560" s="440">
        <v>0</v>
      </c>
      <c r="BH560" s="440">
        <v>0</v>
      </c>
      <c r="BI560" s="440">
        <v>0</v>
      </c>
      <c r="BJ560" s="440">
        <v>60</v>
      </c>
      <c r="BK560" s="440">
        <v>0</v>
      </c>
      <c r="BL560" s="440">
        <v>0</v>
      </c>
      <c r="BM560" s="440">
        <v>0</v>
      </c>
      <c r="BN560" s="440">
        <v>0</v>
      </c>
      <c r="BO560" s="440">
        <v>0</v>
      </c>
      <c r="BP560" s="440">
        <v>0</v>
      </c>
      <c r="BQ560" s="440">
        <v>30</v>
      </c>
      <c r="BR560" s="415">
        <v>2.1666666666666665</v>
      </c>
      <c r="BS560" s="415">
        <v>2.2027777777777775</v>
      </c>
      <c r="BT560" s="935"/>
      <c r="BU560" s="935"/>
      <c r="BV560" s="935"/>
      <c r="BW560" s="935"/>
      <c r="BX560" s="935"/>
      <c r="BY560" s="935"/>
      <c r="BZ560" s="935"/>
      <c r="CA560" s="935"/>
      <c r="CB560" s="935"/>
      <c r="CC560" s="935"/>
      <c r="CD560" s="935"/>
      <c r="CE560" s="935"/>
      <c r="CF560" s="935"/>
      <c r="CG560" s="935"/>
      <c r="CH560" s="935"/>
      <c r="CI560" s="935"/>
      <c r="CJ560" s="935"/>
      <c r="CK560" s="935"/>
      <c r="CL560" s="935"/>
      <c r="CM560" s="935"/>
      <c r="CN560" s="935"/>
      <c r="CO560" s="935"/>
      <c r="CP560" s="935"/>
      <c r="CQ560" s="935"/>
      <c r="CR560" s="935"/>
      <c r="CS560" s="935"/>
      <c r="CT560" s="935"/>
      <c r="CU560" s="935"/>
      <c r="CV560" s="935"/>
    </row>
    <row r="561" spans="1:100" s="441" customFormat="1">
      <c r="A561" s="375">
        <f t="shared" si="160"/>
        <v>9</v>
      </c>
      <c r="B561" s="862">
        <v>44456</v>
      </c>
      <c r="C561" s="493" t="s">
        <v>1980</v>
      </c>
      <c r="D561" s="376" t="str">
        <f>IFERROR(VLOOKUP(E:E,'Item Data Support Sheet'!A:O,7,0),"")</f>
        <v>BOTTLE PRINTED</v>
      </c>
      <c r="E561" s="447" t="s">
        <v>70</v>
      </c>
      <c r="F561" s="500"/>
      <c r="G561" s="497"/>
      <c r="H561" s="602" t="str">
        <f>IFERROR(VLOOKUP(E:E,'Item Data Support Sheet'!A:O,2,0),"")</f>
        <v>KPP 200 ML BOTTLE PRINTED</v>
      </c>
      <c r="I561" s="501" t="s">
        <v>3164</v>
      </c>
      <c r="J561" s="501" t="s">
        <v>2813</v>
      </c>
      <c r="K561" s="438">
        <v>4.5</v>
      </c>
      <c r="L561" s="499">
        <v>2900</v>
      </c>
      <c r="M561" s="366">
        <f t="shared" si="175"/>
        <v>644.44444444444446</v>
      </c>
      <c r="N561" s="367">
        <f t="shared" si="159"/>
        <v>1801</v>
      </c>
      <c r="O561" s="61">
        <v>1786</v>
      </c>
      <c r="P561" s="368">
        <v>0</v>
      </c>
      <c r="Q561" s="368">
        <v>0</v>
      </c>
      <c r="R561" s="494">
        <v>12</v>
      </c>
      <c r="S561" s="493">
        <v>0</v>
      </c>
      <c r="T561" s="494">
        <v>15</v>
      </c>
      <c r="U561" s="493">
        <v>0</v>
      </c>
      <c r="V561" s="502">
        <v>5</v>
      </c>
      <c r="W561" s="453">
        <f t="shared" si="161"/>
        <v>357.2</v>
      </c>
      <c r="X561" s="748">
        <f t="shared" si="162"/>
        <v>0.61586206896551721</v>
      </c>
      <c r="Y561" s="451" t="str">
        <f>IFERROR(VLOOKUP(E:E,'Item Data Support Sheet'!A:J,6,0),0)</f>
        <v>FO002</v>
      </c>
      <c r="Z561" s="428">
        <f>IFERROR(VLOOKUP(E:E,'Item Data Support Sheet'!A:O,4,0),0)</f>
        <v>0</v>
      </c>
      <c r="AA561" s="428">
        <f t="shared" si="163"/>
        <v>0</v>
      </c>
      <c r="AB561" s="429" t="str">
        <f t="shared" si="164"/>
        <v xml:space="preserve"> </v>
      </c>
      <c r="AC561" s="424">
        <f t="shared" si="165"/>
        <v>8.3287062742920595E-3</v>
      </c>
      <c r="AD561" s="371">
        <f t="shared" si="166"/>
        <v>0</v>
      </c>
      <c r="AE561" s="748">
        <f t="shared" si="167"/>
        <v>0.99167129372570795</v>
      </c>
      <c r="AF561" s="417">
        <f t="shared" si="168"/>
        <v>1.3333333333333333</v>
      </c>
      <c r="AG561" s="416">
        <f t="shared" si="169"/>
        <v>3.166666666666667</v>
      </c>
      <c r="AH561" s="372">
        <f t="shared" si="170"/>
        <v>0.70370370370370372</v>
      </c>
      <c r="AI561" s="373">
        <f t="shared" si="171"/>
        <v>396.88888888888891</v>
      </c>
      <c r="AJ561" s="418">
        <f>VLOOKUP(D561,'Standard Cycle time'!C:D,2,0)</f>
        <v>32.4</v>
      </c>
      <c r="AK561" s="418">
        <f t="shared" si="172"/>
        <v>31.914893617021281</v>
      </c>
      <c r="AL561" s="374">
        <f t="shared" si="173"/>
        <v>1.0151999999999999</v>
      </c>
      <c r="AM561" s="372">
        <f t="shared" si="174"/>
        <v>0.70844997223764572</v>
      </c>
      <c r="AN561" s="799">
        <v>3312</v>
      </c>
      <c r="AO561" s="448" t="s">
        <v>3165</v>
      </c>
      <c r="AP561" s="440">
        <v>40</v>
      </c>
      <c r="AQ561" s="440">
        <v>40</v>
      </c>
      <c r="AR561" s="440">
        <v>0</v>
      </c>
      <c r="AS561" s="440">
        <v>0</v>
      </c>
      <c r="AT561" s="440">
        <v>0</v>
      </c>
      <c r="AU561" s="440">
        <v>0</v>
      </c>
      <c r="AV561" s="440">
        <v>0</v>
      </c>
      <c r="AW561" s="440">
        <v>0</v>
      </c>
      <c r="AX561" s="440">
        <v>0</v>
      </c>
      <c r="AY561" s="440">
        <v>0</v>
      </c>
      <c r="AZ561" s="440">
        <v>0</v>
      </c>
      <c r="BA561" s="440">
        <v>0</v>
      </c>
      <c r="BB561" s="440">
        <v>0</v>
      </c>
      <c r="BC561" s="440">
        <v>0</v>
      </c>
      <c r="BD561" s="440">
        <v>0</v>
      </c>
      <c r="BE561" s="440">
        <v>0</v>
      </c>
      <c r="BF561" s="440">
        <v>0</v>
      </c>
      <c r="BG561" s="440">
        <v>0</v>
      </c>
      <c r="BH561" s="440">
        <v>0</v>
      </c>
      <c r="BI561" s="440">
        <v>0</v>
      </c>
      <c r="BJ561" s="440">
        <v>0</v>
      </c>
      <c r="BK561" s="440">
        <v>0</v>
      </c>
      <c r="BL561" s="440">
        <v>0</v>
      </c>
      <c r="BM561" s="440">
        <v>0</v>
      </c>
      <c r="BN561" s="440">
        <v>0</v>
      </c>
      <c r="BO561" s="440">
        <v>0</v>
      </c>
      <c r="BP561" s="440">
        <v>0</v>
      </c>
      <c r="BQ561" s="440">
        <v>0</v>
      </c>
      <c r="BR561" s="415">
        <v>1.3333333333333333</v>
      </c>
      <c r="BS561" s="415">
        <v>1.3555555555555554</v>
      </c>
      <c r="BT561" s="935"/>
      <c r="BU561" s="935"/>
      <c r="BV561" s="935"/>
      <c r="BW561" s="935"/>
      <c r="BX561" s="935"/>
      <c r="BY561" s="935"/>
      <c r="BZ561" s="935"/>
      <c r="CA561" s="935"/>
      <c r="CB561" s="935"/>
      <c r="CC561" s="935"/>
      <c r="CD561" s="935"/>
      <c r="CE561" s="935"/>
      <c r="CF561" s="935"/>
      <c r="CG561" s="935"/>
      <c r="CH561" s="935"/>
      <c r="CI561" s="935"/>
      <c r="CJ561" s="935"/>
      <c r="CK561" s="935"/>
      <c r="CL561" s="935"/>
      <c r="CM561" s="935"/>
      <c r="CN561" s="935"/>
      <c r="CO561" s="935"/>
      <c r="CP561" s="935"/>
      <c r="CQ561" s="935"/>
      <c r="CR561" s="935"/>
      <c r="CS561" s="935"/>
      <c r="CT561" s="935"/>
      <c r="CU561" s="935"/>
      <c r="CV561" s="935"/>
    </row>
    <row r="562" spans="1:100" s="441" customFormat="1">
      <c r="A562" s="375">
        <f t="shared" si="160"/>
        <v>9</v>
      </c>
      <c r="B562" s="862">
        <v>44456</v>
      </c>
      <c r="C562" s="493" t="s">
        <v>1980</v>
      </c>
      <c r="D562" s="376" t="str">
        <f>IFERROR(VLOOKUP(E:E,'Item Data Support Sheet'!A:O,7,0),"")</f>
        <v>BOTTLE PRINTED</v>
      </c>
      <c r="E562" s="447" t="s">
        <v>71</v>
      </c>
      <c r="F562" s="500"/>
      <c r="G562" s="497"/>
      <c r="H562" s="602" t="str">
        <f>IFERROR(VLOOKUP(E:E,'Item Data Support Sheet'!A:O,2,0),"")</f>
        <v>RPP 120 ML BOTTLE PRINTED</v>
      </c>
      <c r="I562" s="501" t="s">
        <v>3166</v>
      </c>
      <c r="J562" s="501" t="s">
        <v>2813</v>
      </c>
      <c r="K562" s="438">
        <v>3.5</v>
      </c>
      <c r="L562" s="499">
        <v>2600</v>
      </c>
      <c r="M562" s="366">
        <f t="shared" si="175"/>
        <v>742.85714285714289</v>
      </c>
      <c r="N562" s="367">
        <f t="shared" si="159"/>
        <v>3075</v>
      </c>
      <c r="O562" s="61">
        <v>3060</v>
      </c>
      <c r="P562" s="368">
        <v>0</v>
      </c>
      <c r="Q562" s="368">
        <v>0</v>
      </c>
      <c r="R562" s="494">
        <v>12</v>
      </c>
      <c r="S562" s="493">
        <v>0</v>
      </c>
      <c r="T562" s="494">
        <v>15</v>
      </c>
      <c r="U562" s="493">
        <v>0</v>
      </c>
      <c r="V562" s="502">
        <v>5</v>
      </c>
      <c r="W562" s="453">
        <f t="shared" si="161"/>
        <v>612</v>
      </c>
      <c r="X562" s="748">
        <f t="shared" si="162"/>
        <v>1.176923076923077</v>
      </c>
      <c r="Y562" s="451" t="str">
        <f>IFERROR(VLOOKUP(E:E,'Item Data Support Sheet'!A:J,6,0),0)</f>
        <v>FO004</v>
      </c>
      <c r="Z562" s="428">
        <f>IFERROR(VLOOKUP(E:E,'Item Data Support Sheet'!A:O,4,0),0)</f>
        <v>0</v>
      </c>
      <c r="AA562" s="428">
        <f t="shared" si="163"/>
        <v>0</v>
      </c>
      <c r="AB562" s="429" t="str">
        <f t="shared" si="164"/>
        <v xml:space="preserve"> </v>
      </c>
      <c r="AC562" s="424">
        <f t="shared" si="165"/>
        <v>4.8780487804878049E-3</v>
      </c>
      <c r="AD562" s="371">
        <f t="shared" si="166"/>
        <v>0</v>
      </c>
      <c r="AE562" s="748">
        <f t="shared" si="167"/>
        <v>0.99512195121951219</v>
      </c>
      <c r="AF562" s="417">
        <f t="shared" si="168"/>
        <v>0</v>
      </c>
      <c r="AG562" s="416">
        <f t="shared" si="169"/>
        <v>3.5</v>
      </c>
      <c r="AH562" s="372">
        <f t="shared" si="170"/>
        <v>1</v>
      </c>
      <c r="AI562" s="373">
        <f t="shared" si="171"/>
        <v>874.28571428571433</v>
      </c>
      <c r="AJ562" s="418">
        <f>VLOOKUP(D562,'Standard Cycle time'!C:D,2,0)</f>
        <v>32.4</v>
      </c>
      <c r="AK562" s="418">
        <f t="shared" si="172"/>
        <v>20.588235294117649</v>
      </c>
      <c r="AL562" s="374">
        <f t="shared" si="173"/>
        <v>1.5737142857142856</v>
      </c>
      <c r="AM562" s="372">
        <f t="shared" si="174"/>
        <v>1.5660376306620207</v>
      </c>
      <c r="AN562" s="799" t="s">
        <v>3167</v>
      </c>
      <c r="AO562" s="448"/>
      <c r="AP562" s="440">
        <v>0</v>
      </c>
      <c r="AQ562" s="440">
        <v>0</v>
      </c>
      <c r="AR562" s="440">
        <v>0</v>
      </c>
      <c r="AS562" s="440">
        <v>0</v>
      </c>
      <c r="AT562" s="440">
        <v>0</v>
      </c>
      <c r="AU562" s="440">
        <v>0</v>
      </c>
      <c r="AV562" s="440">
        <v>0</v>
      </c>
      <c r="AW562" s="440">
        <v>0</v>
      </c>
      <c r="AX562" s="440">
        <v>0</v>
      </c>
      <c r="AY562" s="440">
        <v>0</v>
      </c>
      <c r="AZ562" s="440">
        <v>0</v>
      </c>
      <c r="BA562" s="440">
        <v>0</v>
      </c>
      <c r="BB562" s="440">
        <v>0</v>
      </c>
      <c r="BC562" s="440">
        <v>0</v>
      </c>
      <c r="BD562" s="440">
        <v>0</v>
      </c>
      <c r="BE562" s="440">
        <v>0</v>
      </c>
      <c r="BF562" s="440">
        <v>0</v>
      </c>
      <c r="BG562" s="440">
        <v>0</v>
      </c>
      <c r="BH562" s="440">
        <v>0</v>
      </c>
      <c r="BI562" s="440">
        <v>0</v>
      </c>
      <c r="BJ562" s="440">
        <v>0</v>
      </c>
      <c r="BK562" s="440">
        <v>0</v>
      </c>
      <c r="BL562" s="440">
        <v>0</v>
      </c>
      <c r="BM562" s="440">
        <v>0</v>
      </c>
      <c r="BN562" s="440">
        <v>0</v>
      </c>
      <c r="BO562" s="440">
        <v>0</v>
      </c>
      <c r="BP562" s="440">
        <v>0</v>
      </c>
      <c r="BQ562" s="440">
        <v>0</v>
      </c>
      <c r="BR562" s="415">
        <v>0</v>
      </c>
      <c r="BS562" s="415">
        <v>0</v>
      </c>
      <c r="BT562" s="935"/>
      <c r="BU562" s="935"/>
      <c r="BV562" s="935"/>
      <c r="BW562" s="935"/>
      <c r="BX562" s="935"/>
      <c r="BY562" s="935"/>
      <c r="BZ562" s="935"/>
      <c r="CA562" s="935"/>
      <c r="CB562" s="935"/>
      <c r="CC562" s="935"/>
      <c r="CD562" s="935"/>
      <c r="CE562" s="935"/>
      <c r="CF562" s="935"/>
      <c r="CG562" s="935"/>
      <c r="CH562" s="935"/>
      <c r="CI562" s="935"/>
      <c r="CJ562" s="935"/>
      <c r="CK562" s="935"/>
      <c r="CL562" s="935"/>
      <c r="CM562" s="935"/>
      <c r="CN562" s="935"/>
      <c r="CO562" s="935"/>
      <c r="CP562" s="935"/>
      <c r="CQ562" s="935"/>
      <c r="CR562" s="935"/>
      <c r="CS562" s="935"/>
      <c r="CT562" s="935"/>
      <c r="CU562" s="935"/>
      <c r="CV562" s="935"/>
    </row>
    <row r="563" spans="1:100" s="441" customFormat="1">
      <c r="A563" s="375">
        <f t="shared" si="160"/>
        <v>9</v>
      </c>
      <c r="B563" s="862">
        <v>44456</v>
      </c>
      <c r="C563" s="493" t="s">
        <v>2000</v>
      </c>
      <c r="D563" s="376" t="str">
        <f>IFERROR(VLOOKUP(E:E,'Item Data Support Sheet'!A:O,7,0),"")</f>
        <v>NIPPLE PUNCH INSPECTED</v>
      </c>
      <c r="E563" s="447" t="s">
        <v>1820</v>
      </c>
      <c r="F563" s="500"/>
      <c r="G563" s="497"/>
      <c r="H563" s="602" t="str">
        <f>IFERROR(VLOOKUP(E:E,'Item Data Support Sheet'!A:O,2,0),"")</f>
        <v>NIPPLE S TYPE L SIZE PUNCHED INSPECTED</v>
      </c>
      <c r="I563" s="501" t="s">
        <v>3168</v>
      </c>
      <c r="J563" s="501" t="s">
        <v>2811</v>
      </c>
      <c r="K563" s="438">
        <v>2</v>
      </c>
      <c r="L563" s="499">
        <v>2800</v>
      </c>
      <c r="M563" s="366">
        <f t="shared" si="175"/>
        <v>1400</v>
      </c>
      <c r="N563" s="367">
        <f t="shared" si="159"/>
        <v>2300</v>
      </c>
      <c r="O563" s="61">
        <v>2249</v>
      </c>
      <c r="P563" s="368">
        <v>0</v>
      </c>
      <c r="Q563" s="368">
        <v>0</v>
      </c>
      <c r="R563" s="494">
        <v>0</v>
      </c>
      <c r="S563" s="493">
        <v>0</v>
      </c>
      <c r="T563" s="494">
        <v>51</v>
      </c>
      <c r="U563" s="493">
        <v>0</v>
      </c>
      <c r="V563" s="502">
        <v>1</v>
      </c>
      <c r="W563" s="453">
        <f t="shared" si="161"/>
        <v>2249</v>
      </c>
      <c r="X563" s="748">
        <f t="shared" si="162"/>
        <v>0.80321428571428577</v>
      </c>
      <c r="Y563" s="451" t="str">
        <f>IFERROR(VLOOKUP(E:E,'Item Data Support Sheet'!A:J,6,0),0)</f>
        <v>FO106</v>
      </c>
      <c r="Z563" s="428">
        <f>IFERROR(VLOOKUP(E:E,'Item Data Support Sheet'!A:O,4,0),0)</f>
        <v>0</v>
      </c>
      <c r="AA563" s="428">
        <f t="shared" si="163"/>
        <v>0</v>
      </c>
      <c r="AB563" s="429" t="str">
        <f t="shared" si="164"/>
        <v xml:space="preserve"> </v>
      </c>
      <c r="AC563" s="424">
        <f t="shared" si="165"/>
        <v>2.2173913043478259E-2</v>
      </c>
      <c r="AD563" s="371">
        <f t="shared" si="166"/>
        <v>0</v>
      </c>
      <c r="AE563" s="748">
        <f t="shared" si="167"/>
        <v>0.97782608695652173</v>
      </c>
      <c r="AF563" s="417">
        <f t="shared" si="168"/>
        <v>0.66666666666666663</v>
      </c>
      <c r="AG563" s="416">
        <f t="shared" si="169"/>
        <v>1.3333333333333335</v>
      </c>
      <c r="AH563" s="372">
        <f t="shared" si="170"/>
        <v>0.66666666666666674</v>
      </c>
      <c r="AI563" s="373">
        <f t="shared" si="171"/>
        <v>1124.5</v>
      </c>
      <c r="AJ563" s="418">
        <f>VLOOKUP(D563,'Standard Cycle time'!C:D,2,0)</f>
        <v>4</v>
      </c>
      <c r="AK563" s="418">
        <f t="shared" si="172"/>
        <v>2.1342819030680307</v>
      </c>
      <c r="AL563" s="374">
        <f t="shared" si="173"/>
        <v>1.8741666666666663</v>
      </c>
      <c r="AM563" s="372">
        <f t="shared" si="174"/>
        <v>1.2217393719806762</v>
      </c>
      <c r="AN563" s="799">
        <v>3331</v>
      </c>
      <c r="AO563" s="448" t="s">
        <v>3169</v>
      </c>
      <c r="AP563" s="440">
        <v>40</v>
      </c>
      <c r="AQ563" s="440">
        <v>0</v>
      </c>
      <c r="AR563" s="440">
        <v>0</v>
      </c>
      <c r="AS563" s="440">
        <v>0</v>
      </c>
      <c r="AT563" s="440">
        <v>0</v>
      </c>
      <c r="AU563" s="440">
        <v>0</v>
      </c>
      <c r="AV563" s="440">
        <v>0</v>
      </c>
      <c r="AW563" s="440">
        <v>0</v>
      </c>
      <c r="AX563" s="440">
        <v>0</v>
      </c>
      <c r="AY563" s="440">
        <v>0</v>
      </c>
      <c r="AZ563" s="440">
        <v>0</v>
      </c>
      <c r="BA563" s="440">
        <v>0</v>
      </c>
      <c r="BB563" s="440">
        <v>0</v>
      </c>
      <c r="BC563" s="440">
        <v>0</v>
      </c>
      <c r="BD563" s="440">
        <v>0</v>
      </c>
      <c r="BE563" s="440">
        <v>0</v>
      </c>
      <c r="BF563" s="440">
        <v>0</v>
      </c>
      <c r="BG563" s="440">
        <v>0</v>
      </c>
      <c r="BH563" s="440">
        <v>0</v>
      </c>
      <c r="BI563" s="440">
        <v>0</v>
      </c>
      <c r="BJ563" s="440">
        <v>0</v>
      </c>
      <c r="BK563" s="440">
        <v>0</v>
      </c>
      <c r="BL563" s="440">
        <v>0</v>
      </c>
      <c r="BM563" s="440">
        <v>0</v>
      </c>
      <c r="BN563" s="440">
        <v>0</v>
      </c>
      <c r="BO563" s="440">
        <v>0</v>
      </c>
      <c r="BP563" s="440">
        <v>0</v>
      </c>
      <c r="BQ563" s="440">
        <v>0</v>
      </c>
      <c r="BR563" s="415">
        <v>0.66666666666666663</v>
      </c>
      <c r="BS563" s="415">
        <v>0.6777777777777777</v>
      </c>
      <c r="BT563" s="935"/>
      <c r="BU563" s="935"/>
      <c r="BV563" s="935"/>
      <c r="BW563" s="935"/>
      <c r="BX563" s="935"/>
      <c r="BY563" s="935"/>
      <c r="BZ563" s="935"/>
      <c r="CA563" s="935"/>
      <c r="CB563" s="935"/>
      <c r="CC563" s="935"/>
      <c r="CD563" s="935"/>
      <c r="CE563" s="935"/>
      <c r="CF563" s="935"/>
      <c r="CG563" s="935"/>
      <c r="CH563" s="935"/>
      <c r="CI563" s="935"/>
      <c r="CJ563" s="935"/>
      <c r="CK563" s="935"/>
      <c r="CL563" s="935"/>
      <c r="CM563" s="935"/>
      <c r="CN563" s="935"/>
      <c r="CO563" s="935"/>
      <c r="CP563" s="935"/>
      <c r="CQ563" s="935"/>
      <c r="CR563" s="935"/>
      <c r="CS563" s="935"/>
      <c r="CT563" s="935"/>
      <c r="CU563" s="935"/>
      <c r="CV563" s="935"/>
    </row>
    <row r="564" spans="1:100" s="441" customFormat="1">
      <c r="A564" s="375">
        <f t="shared" si="160"/>
        <v>9</v>
      </c>
      <c r="B564" s="862">
        <v>44456</v>
      </c>
      <c r="C564" s="493" t="s">
        <v>2000</v>
      </c>
      <c r="D564" s="376" t="str">
        <f>IFERROR(VLOOKUP(E:E,'Item Data Support Sheet'!A:O,7,0),"")</f>
        <v>NIPPLE WRAP PRINTED</v>
      </c>
      <c r="E564" s="447" t="s">
        <v>108</v>
      </c>
      <c r="F564" s="500"/>
      <c r="G564" s="497" t="s">
        <v>1693</v>
      </c>
      <c r="H564" s="602" t="str">
        <f>IFERROR(VLOOKUP(E:E,'Item Data Support Sheet'!A:O,2,0),"")</f>
        <v>NIPPLE S TYPE S SIZE WITH PRINTED WRAP</v>
      </c>
      <c r="I564" s="501" t="s">
        <v>3170</v>
      </c>
      <c r="J564" s="501" t="s">
        <v>2811</v>
      </c>
      <c r="K564" s="438">
        <v>8</v>
      </c>
      <c r="L564" s="499">
        <v>16132</v>
      </c>
      <c r="M564" s="366">
        <f t="shared" si="175"/>
        <v>2016.5</v>
      </c>
      <c r="N564" s="367">
        <f t="shared" si="159"/>
        <v>16329</v>
      </c>
      <c r="O564" s="61">
        <v>16325</v>
      </c>
      <c r="P564" s="368">
        <v>0</v>
      </c>
      <c r="Q564" s="368">
        <v>0</v>
      </c>
      <c r="R564" s="494">
        <v>0</v>
      </c>
      <c r="S564" s="493">
        <v>0</v>
      </c>
      <c r="T564" s="494">
        <v>4</v>
      </c>
      <c r="U564" s="493">
        <v>0</v>
      </c>
      <c r="V564" s="502">
        <v>2</v>
      </c>
      <c r="W564" s="453">
        <f t="shared" si="161"/>
        <v>8162.5</v>
      </c>
      <c r="X564" s="748">
        <f t="shared" si="162"/>
        <v>1.0119637986610464</v>
      </c>
      <c r="Y564" s="451" t="str">
        <f>IFERROR(VLOOKUP(E:E,'Item Data Support Sheet'!A:J,6,0),0)</f>
        <v>FO108</v>
      </c>
      <c r="Z564" s="428">
        <f>IFERROR(VLOOKUP(E:E,'Item Data Support Sheet'!A:O,4,0),0)</f>
        <v>0</v>
      </c>
      <c r="AA564" s="428">
        <f t="shared" si="163"/>
        <v>0</v>
      </c>
      <c r="AB564" s="429" t="str">
        <f t="shared" si="164"/>
        <v xml:space="preserve"> </v>
      </c>
      <c r="AC564" s="424">
        <f t="shared" si="165"/>
        <v>2.449629493539102E-4</v>
      </c>
      <c r="AD564" s="371">
        <f t="shared" si="166"/>
        <v>0</v>
      </c>
      <c r="AE564" s="748">
        <f t="shared" si="167"/>
        <v>0.99975503705064606</v>
      </c>
      <c r="AF564" s="417">
        <f t="shared" si="168"/>
        <v>0.66666666666666663</v>
      </c>
      <c r="AG564" s="416">
        <f t="shared" si="169"/>
        <v>7.333333333333333</v>
      </c>
      <c r="AH564" s="372">
        <f t="shared" si="170"/>
        <v>0.91666666666666663</v>
      </c>
      <c r="AI564" s="373">
        <f t="shared" si="171"/>
        <v>2040.625</v>
      </c>
      <c r="AJ564" s="418">
        <f>VLOOKUP(D564,'Standard Cycle time'!C:D,2,0)</f>
        <v>2.5</v>
      </c>
      <c r="AK564" s="418">
        <f t="shared" si="172"/>
        <v>3.2343032159264933</v>
      </c>
      <c r="AL564" s="374">
        <f t="shared" si="173"/>
        <v>0.77296401515151514</v>
      </c>
      <c r="AM564" s="372">
        <f t="shared" si="174"/>
        <v>0.70837677863940085</v>
      </c>
      <c r="AN564" s="799" t="s">
        <v>3171</v>
      </c>
      <c r="AO564" s="448"/>
      <c r="AP564" s="440">
        <v>40</v>
      </c>
      <c r="AQ564" s="440">
        <v>0</v>
      </c>
      <c r="AR564" s="440">
        <v>0</v>
      </c>
      <c r="AS564" s="440">
        <v>0</v>
      </c>
      <c r="AT564" s="440">
        <v>0</v>
      </c>
      <c r="AU564" s="440">
        <v>0</v>
      </c>
      <c r="AV564" s="440">
        <v>0</v>
      </c>
      <c r="AW564" s="440">
        <v>0</v>
      </c>
      <c r="AX564" s="440">
        <v>0</v>
      </c>
      <c r="AY564" s="440">
        <v>0</v>
      </c>
      <c r="AZ564" s="440">
        <v>0</v>
      </c>
      <c r="BA564" s="440">
        <v>0</v>
      </c>
      <c r="BB564" s="440">
        <v>0</v>
      </c>
      <c r="BC564" s="440">
        <v>0</v>
      </c>
      <c r="BD564" s="440">
        <v>0</v>
      </c>
      <c r="BE564" s="440">
        <v>0</v>
      </c>
      <c r="BF564" s="440">
        <v>0</v>
      </c>
      <c r="BG564" s="440">
        <v>0</v>
      </c>
      <c r="BH564" s="440">
        <v>0</v>
      </c>
      <c r="BI564" s="440">
        <v>0</v>
      </c>
      <c r="BJ564" s="440">
        <v>0</v>
      </c>
      <c r="BK564" s="440">
        <v>0</v>
      </c>
      <c r="BL564" s="440">
        <v>0</v>
      </c>
      <c r="BM564" s="440">
        <v>0</v>
      </c>
      <c r="BN564" s="440">
        <v>0</v>
      </c>
      <c r="BO564" s="440">
        <v>0</v>
      </c>
      <c r="BP564" s="440">
        <v>0</v>
      </c>
      <c r="BQ564" s="440">
        <v>0</v>
      </c>
      <c r="BR564" s="415">
        <v>0.66666666666666663</v>
      </c>
      <c r="BS564" s="415">
        <v>0.6777777777777777</v>
      </c>
      <c r="BT564" s="935"/>
      <c r="BU564" s="935"/>
      <c r="BV564" s="935"/>
      <c r="BW564" s="935"/>
      <c r="BX564" s="935"/>
      <c r="BY564" s="935"/>
      <c r="BZ564" s="935"/>
      <c r="CA564" s="935"/>
      <c r="CB564" s="935"/>
      <c r="CC564" s="935"/>
      <c r="CD564" s="935"/>
      <c r="CE564" s="935"/>
      <c r="CF564" s="935"/>
      <c r="CG564" s="935"/>
      <c r="CH564" s="935"/>
      <c r="CI564" s="935"/>
      <c r="CJ564" s="935"/>
      <c r="CK564" s="935"/>
      <c r="CL564" s="935"/>
      <c r="CM564" s="935"/>
      <c r="CN564" s="935"/>
      <c r="CO564" s="935"/>
      <c r="CP564" s="935"/>
      <c r="CQ564" s="935"/>
      <c r="CR564" s="935"/>
      <c r="CS564" s="935"/>
      <c r="CT564" s="935"/>
      <c r="CU564" s="935"/>
      <c r="CV564" s="935"/>
    </row>
    <row r="565" spans="1:100" s="441" customFormat="1">
      <c r="A565" s="375">
        <f t="shared" si="160"/>
        <v>9</v>
      </c>
      <c r="B565" s="862">
        <v>44456</v>
      </c>
      <c r="C565" s="493" t="s">
        <v>2001</v>
      </c>
      <c r="D565" s="376" t="str">
        <f>IFERROR(VLOOKUP(E:E,'Item Data Support Sheet'!A:O,7,0),"")</f>
        <v>NIPPLE PUNCH</v>
      </c>
      <c r="E565" s="447" t="s">
        <v>82</v>
      </c>
      <c r="F565" s="500"/>
      <c r="G565" s="497"/>
      <c r="H565" s="602" t="str">
        <f>IFERROR(VLOOKUP(E:E,'Item Data Support Sheet'!A:O,2,0),"")</f>
        <v>NIPPLE S TYPE L SIZE PUNCHED</v>
      </c>
      <c r="I565" s="501" t="s">
        <v>3172</v>
      </c>
      <c r="J565" s="501" t="s">
        <v>2811</v>
      </c>
      <c r="K565" s="438">
        <v>8</v>
      </c>
      <c r="L565" s="499">
        <v>7000</v>
      </c>
      <c r="M565" s="366">
        <f t="shared" si="175"/>
        <v>875</v>
      </c>
      <c r="N565" s="367">
        <f t="shared" si="159"/>
        <v>7000</v>
      </c>
      <c r="O565" s="61">
        <v>7000</v>
      </c>
      <c r="P565" s="368">
        <v>0</v>
      </c>
      <c r="Q565" s="368">
        <v>0</v>
      </c>
      <c r="R565" s="494">
        <v>0</v>
      </c>
      <c r="S565" s="493">
        <v>0</v>
      </c>
      <c r="T565" s="494">
        <v>0</v>
      </c>
      <c r="U565" s="493">
        <v>0</v>
      </c>
      <c r="V565" s="502">
        <v>1</v>
      </c>
      <c r="W565" s="453">
        <f t="shared" si="161"/>
        <v>7000</v>
      </c>
      <c r="X565" s="748">
        <f t="shared" si="162"/>
        <v>1</v>
      </c>
      <c r="Y565" s="451" t="str">
        <f>IFERROR(VLOOKUP(E:E,'Item Data Support Sheet'!A:J,6,0),0)</f>
        <v>FO017</v>
      </c>
      <c r="Z565" s="428">
        <f>IFERROR(VLOOKUP(E:E,'Item Data Support Sheet'!A:O,4,0),0)</f>
        <v>0</v>
      </c>
      <c r="AA565" s="428">
        <f t="shared" si="163"/>
        <v>0</v>
      </c>
      <c r="AB565" s="429" t="str">
        <f t="shared" si="164"/>
        <v xml:space="preserve"> </v>
      </c>
      <c r="AC565" s="424">
        <f t="shared" si="165"/>
        <v>0</v>
      </c>
      <c r="AD565" s="371">
        <f t="shared" si="166"/>
        <v>0</v>
      </c>
      <c r="AE565" s="748">
        <f t="shared" si="167"/>
        <v>1</v>
      </c>
      <c r="AF565" s="417">
        <f t="shared" si="168"/>
        <v>0.66666666666666663</v>
      </c>
      <c r="AG565" s="416">
        <f t="shared" si="169"/>
        <v>7.333333333333333</v>
      </c>
      <c r="AH565" s="372">
        <f t="shared" si="170"/>
        <v>0.91666666666666663</v>
      </c>
      <c r="AI565" s="373">
        <f t="shared" si="171"/>
        <v>875</v>
      </c>
      <c r="AJ565" s="418">
        <f>VLOOKUP(D565,'Standard Cycle time'!C:D,2,0)</f>
        <v>3.5</v>
      </c>
      <c r="AK565" s="418">
        <f t="shared" si="172"/>
        <v>3.7714285714285714</v>
      </c>
      <c r="AL565" s="374">
        <f t="shared" si="173"/>
        <v>0.92803030303030309</v>
      </c>
      <c r="AM565" s="372">
        <f t="shared" si="174"/>
        <v>0.85069444444444442</v>
      </c>
      <c r="AN565" s="799" t="s">
        <v>3173</v>
      </c>
      <c r="AO565" s="448"/>
      <c r="AP565" s="440">
        <v>40</v>
      </c>
      <c r="AQ565" s="440">
        <v>0</v>
      </c>
      <c r="AR565" s="440">
        <v>0</v>
      </c>
      <c r="AS565" s="440">
        <v>0</v>
      </c>
      <c r="AT565" s="440">
        <v>0</v>
      </c>
      <c r="AU565" s="440">
        <v>0</v>
      </c>
      <c r="AV565" s="440">
        <v>0</v>
      </c>
      <c r="AW565" s="440">
        <v>0</v>
      </c>
      <c r="AX565" s="440">
        <v>0</v>
      </c>
      <c r="AY565" s="440">
        <v>0</v>
      </c>
      <c r="AZ565" s="440">
        <v>0</v>
      </c>
      <c r="BA565" s="440">
        <v>0</v>
      </c>
      <c r="BB565" s="440">
        <v>0</v>
      </c>
      <c r="BC565" s="440">
        <v>0</v>
      </c>
      <c r="BD565" s="440">
        <v>0</v>
      </c>
      <c r="BE565" s="440">
        <v>0</v>
      </c>
      <c r="BF565" s="440">
        <v>0</v>
      </c>
      <c r="BG565" s="440">
        <v>0</v>
      </c>
      <c r="BH565" s="440">
        <v>0</v>
      </c>
      <c r="BI565" s="440">
        <v>0</v>
      </c>
      <c r="BJ565" s="440">
        <v>0</v>
      </c>
      <c r="BK565" s="440">
        <v>0</v>
      </c>
      <c r="BL565" s="440">
        <v>0</v>
      </c>
      <c r="BM565" s="440">
        <v>0</v>
      </c>
      <c r="BN565" s="440">
        <v>0</v>
      </c>
      <c r="BO565" s="440">
        <v>0</v>
      </c>
      <c r="BP565" s="440">
        <v>0</v>
      </c>
      <c r="BQ565" s="440">
        <v>0</v>
      </c>
      <c r="BR565" s="415">
        <v>0.66666666666666663</v>
      </c>
      <c r="BS565" s="415">
        <v>0.6777777777777777</v>
      </c>
      <c r="BT565" s="935"/>
      <c r="BU565" s="935"/>
      <c r="BV565" s="935"/>
      <c r="BW565" s="935"/>
      <c r="BX565" s="935"/>
      <c r="BY565" s="935"/>
      <c r="BZ565" s="935"/>
      <c r="CA565" s="935"/>
      <c r="CB565" s="935"/>
      <c r="CC565" s="935"/>
      <c r="CD565" s="935"/>
      <c r="CE565" s="935"/>
      <c r="CF565" s="935"/>
      <c r="CG565" s="935"/>
      <c r="CH565" s="935"/>
      <c r="CI565" s="935"/>
      <c r="CJ565" s="935"/>
      <c r="CK565" s="935"/>
      <c r="CL565" s="935"/>
      <c r="CM565" s="935"/>
      <c r="CN565" s="935"/>
      <c r="CO565" s="935"/>
      <c r="CP565" s="935"/>
      <c r="CQ565" s="935"/>
      <c r="CR565" s="935"/>
      <c r="CS565" s="935"/>
      <c r="CT565" s="935"/>
      <c r="CU565" s="935"/>
      <c r="CV565" s="935"/>
    </row>
    <row r="566" spans="1:100" s="441" customFormat="1">
      <c r="A566" s="375">
        <f t="shared" si="160"/>
        <v>9</v>
      </c>
      <c r="B566" s="862">
        <v>44456</v>
      </c>
      <c r="C566" s="493" t="s">
        <v>2001</v>
      </c>
      <c r="D566" s="376" t="str">
        <f>IFERROR(VLOOKUP(E:E,'Item Data Support Sheet'!A:O,7,0),"")</f>
        <v>HOOD MOLDED</v>
      </c>
      <c r="E566" s="447" t="s">
        <v>1987</v>
      </c>
      <c r="F566" s="500"/>
      <c r="G566" s="497" t="s">
        <v>2729</v>
      </c>
      <c r="H566" s="602" t="str">
        <f>IFERROR(VLOOKUP(E:E,'Item Data Support Sheet'!A:O,2,0),"")</f>
        <v>HOOD S TYPE MOLDED</v>
      </c>
      <c r="I566" s="501" t="s">
        <v>3174</v>
      </c>
      <c r="J566" s="501" t="s">
        <v>2811</v>
      </c>
      <c r="K566" s="438">
        <v>8</v>
      </c>
      <c r="L566" s="499">
        <v>4137</v>
      </c>
      <c r="M566" s="366">
        <f t="shared" si="175"/>
        <v>517.125</v>
      </c>
      <c r="N566" s="367">
        <f t="shared" si="159"/>
        <v>6034</v>
      </c>
      <c r="O566" s="61">
        <v>6000</v>
      </c>
      <c r="P566" s="368">
        <v>0.1</v>
      </c>
      <c r="Q566" s="368">
        <v>20</v>
      </c>
      <c r="R566" s="494">
        <v>0</v>
      </c>
      <c r="S566" s="493">
        <v>0</v>
      </c>
      <c r="T566" s="494">
        <v>6</v>
      </c>
      <c r="U566" s="493">
        <v>8</v>
      </c>
      <c r="V566" s="502">
        <v>1</v>
      </c>
      <c r="W566" s="453">
        <f t="shared" si="161"/>
        <v>6000</v>
      </c>
      <c r="X566" s="748">
        <f t="shared" si="162"/>
        <v>1.4503263234227701</v>
      </c>
      <c r="Y566" s="451" t="str">
        <f>IFERROR(VLOOKUP(E:E,'Item Data Support Sheet'!A:J,6,0),0)</f>
        <v>HMC</v>
      </c>
      <c r="Z566" s="428">
        <f>IFERROR(VLOOKUP(E:E,'Item Data Support Sheet'!A:O,4,0),0)</f>
        <v>8.6</v>
      </c>
      <c r="AA566" s="428">
        <f t="shared" si="163"/>
        <v>51.992400000000004</v>
      </c>
      <c r="AB566" s="429">
        <f t="shared" si="164"/>
        <v>0.99245274309322129</v>
      </c>
      <c r="AC566" s="424">
        <f t="shared" si="165"/>
        <v>9.99000999000999E-4</v>
      </c>
      <c r="AD566" s="371">
        <f t="shared" si="166"/>
        <v>3.3036009250082591E-3</v>
      </c>
      <c r="AE566" s="748">
        <f t="shared" si="167"/>
        <v>0.99900563473649318</v>
      </c>
      <c r="AF566" s="417">
        <f t="shared" si="168"/>
        <v>0</v>
      </c>
      <c r="AG566" s="416">
        <f t="shared" si="169"/>
        <v>8</v>
      </c>
      <c r="AH566" s="372">
        <f t="shared" si="170"/>
        <v>1</v>
      </c>
      <c r="AI566" s="373">
        <f t="shared" si="171"/>
        <v>750</v>
      </c>
      <c r="AJ566" s="418">
        <f>VLOOKUP(D566,'Standard Cycle time'!C:D,2,0)</f>
        <v>6</v>
      </c>
      <c r="AK566" s="418">
        <f t="shared" si="172"/>
        <v>4.8</v>
      </c>
      <c r="AL566" s="374">
        <f t="shared" si="173"/>
        <v>1.25</v>
      </c>
      <c r="AM566" s="372">
        <f t="shared" si="174"/>
        <v>1.2487570434206166</v>
      </c>
      <c r="AN566" s="799">
        <v>3334</v>
      </c>
      <c r="AO566" s="448"/>
      <c r="AP566" s="440">
        <v>0</v>
      </c>
      <c r="AQ566" s="440">
        <v>0</v>
      </c>
      <c r="AR566" s="440">
        <v>0</v>
      </c>
      <c r="AS566" s="440">
        <v>0</v>
      </c>
      <c r="AT566" s="440">
        <v>0</v>
      </c>
      <c r="AU566" s="440">
        <v>0</v>
      </c>
      <c r="AV566" s="440">
        <v>0</v>
      </c>
      <c r="AW566" s="440">
        <v>0</v>
      </c>
      <c r="AX566" s="440">
        <v>0</v>
      </c>
      <c r="AY566" s="440">
        <v>0</v>
      </c>
      <c r="AZ566" s="440">
        <v>0</v>
      </c>
      <c r="BA566" s="440">
        <v>0</v>
      </c>
      <c r="BB566" s="440">
        <v>0</v>
      </c>
      <c r="BC566" s="440">
        <v>0</v>
      </c>
      <c r="BD566" s="440">
        <v>0</v>
      </c>
      <c r="BE566" s="440">
        <v>0</v>
      </c>
      <c r="BF566" s="440">
        <v>0</v>
      </c>
      <c r="BG566" s="440">
        <v>0</v>
      </c>
      <c r="BH566" s="440">
        <v>0</v>
      </c>
      <c r="BI566" s="440">
        <v>0</v>
      </c>
      <c r="BJ566" s="440">
        <v>0</v>
      </c>
      <c r="BK566" s="440">
        <v>0</v>
      </c>
      <c r="BL566" s="440">
        <v>0</v>
      </c>
      <c r="BM566" s="440">
        <v>0</v>
      </c>
      <c r="BN566" s="440">
        <v>0</v>
      </c>
      <c r="BO566" s="440">
        <v>0</v>
      </c>
      <c r="BP566" s="440">
        <v>0</v>
      </c>
      <c r="BQ566" s="440">
        <v>0</v>
      </c>
      <c r="BR566" s="415">
        <v>0</v>
      </c>
      <c r="BS566" s="415">
        <v>0</v>
      </c>
      <c r="BT566" s="935"/>
      <c r="BU566" s="935"/>
      <c r="BV566" s="935"/>
      <c r="BW566" s="935"/>
      <c r="BX566" s="935"/>
      <c r="BY566" s="935"/>
      <c r="BZ566" s="935"/>
      <c r="CA566" s="935"/>
      <c r="CB566" s="935"/>
      <c r="CC566" s="935"/>
      <c r="CD566" s="935"/>
      <c r="CE566" s="935"/>
      <c r="CF566" s="935"/>
      <c r="CG566" s="935"/>
      <c r="CH566" s="935"/>
      <c r="CI566" s="935"/>
      <c r="CJ566" s="935"/>
      <c r="CK566" s="935"/>
      <c r="CL566" s="935"/>
      <c r="CM566" s="935"/>
      <c r="CN566" s="935"/>
      <c r="CO566" s="935"/>
      <c r="CP566" s="935"/>
      <c r="CQ566" s="935"/>
      <c r="CR566" s="935"/>
      <c r="CS566" s="935"/>
      <c r="CT566" s="935"/>
      <c r="CU566" s="935"/>
      <c r="CV566" s="935"/>
    </row>
    <row r="567" spans="1:100" s="441" customFormat="1">
      <c r="A567" s="375">
        <f t="shared" si="160"/>
        <v>9</v>
      </c>
      <c r="B567" s="862">
        <v>44456</v>
      </c>
      <c r="C567" s="493" t="s">
        <v>2001</v>
      </c>
      <c r="D567" s="376" t="str">
        <f>IFERROR(VLOOKUP(E:E,'Item Data Support Sheet'!A:O,7,0),"")</f>
        <v>NIPPLE MOLDED</v>
      </c>
      <c r="E567" s="447" t="s">
        <v>74</v>
      </c>
      <c r="F567" s="500" t="s">
        <v>1678</v>
      </c>
      <c r="G567" s="497" t="s">
        <v>1691</v>
      </c>
      <c r="H567" s="602" t="str">
        <f>IFERROR(VLOOKUP(E:E,'Item Data Support Sheet'!A:O,2,0),"")</f>
        <v>NIPPLE S TYPE L SIZE INJECTION</v>
      </c>
      <c r="I567" s="501" t="s">
        <v>3175</v>
      </c>
      <c r="J567" s="501" t="s">
        <v>2811</v>
      </c>
      <c r="K567" s="438">
        <v>8</v>
      </c>
      <c r="L567" s="499">
        <v>4815</v>
      </c>
      <c r="M567" s="366">
        <f t="shared" si="175"/>
        <v>601.875</v>
      </c>
      <c r="N567" s="367">
        <f t="shared" si="159"/>
        <v>5430</v>
      </c>
      <c r="O567" s="61">
        <v>5300</v>
      </c>
      <c r="P567" s="368">
        <v>0</v>
      </c>
      <c r="Q567" s="368">
        <v>60</v>
      </c>
      <c r="R567" s="494">
        <v>0</v>
      </c>
      <c r="S567" s="493">
        <v>0</v>
      </c>
      <c r="T567" s="494">
        <v>70</v>
      </c>
      <c r="U567" s="493">
        <v>0</v>
      </c>
      <c r="V567" s="502">
        <v>1</v>
      </c>
      <c r="W567" s="453">
        <f t="shared" si="161"/>
        <v>5300</v>
      </c>
      <c r="X567" s="748">
        <f t="shared" si="162"/>
        <v>1.1007268951194185</v>
      </c>
      <c r="Y567" s="451" t="str">
        <f>IFERROR(VLOOKUP(E:E,'Item Data Support Sheet'!A:J,6,0),0)</f>
        <v>Silicon</v>
      </c>
      <c r="Z567" s="428">
        <f>IFERROR(VLOOKUP(E:E,'Item Data Support Sheet'!A:O,4,0),0)</f>
        <v>6.8</v>
      </c>
      <c r="AA567" s="428">
        <f t="shared" si="163"/>
        <v>36.923999999999999</v>
      </c>
      <c r="AB567" s="429">
        <f t="shared" si="164"/>
        <v>0.97605893186003678</v>
      </c>
      <c r="AC567" s="424">
        <f t="shared" si="165"/>
        <v>1.3035381750465549E-2</v>
      </c>
      <c r="AD567" s="371">
        <f t="shared" si="166"/>
        <v>1.092896174863388E-2</v>
      </c>
      <c r="AE567" s="748">
        <f t="shared" si="167"/>
        <v>0.98710865561694294</v>
      </c>
      <c r="AF567" s="417">
        <f t="shared" si="168"/>
        <v>0</v>
      </c>
      <c r="AG567" s="416">
        <f t="shared" si="169"/>
        <v>8</v>
      </c>
      <c r="AH567" s="372">
        <f t="shared" si="170"/>
        <v>1</v>
      </c>
      <c r="AI567" s="373">
        <f t="shared" si="171"/>
        <v>662.5</v>
      </c>
      <c r="AJ567" s="418">
        <f>VLOOKUP(D567,'Standard Cycle time'!C:D,2,0)</f>
        <v>5.25</v>
      </c>
      <c r="AK567" s="418">
        <f t="shared" si="172"/>
        <v>5.4339622641509431</v>
      </c>
      <c r="AL567" s="374">
        <f t="shared" si="173"/>
        <v>0.96614583333333337</v>
      </c>
      <c r="AM567" s="372">
        <f t="shared" si="174"/>
        <v>0.95369091467157774</v>
      </c>
      <c r="AN567" s="799">
        <v>3335</v>
      </c>
      <c r="AO567" s="448"/>
      <c r="AP567" s="440">
        <v>0</v>
      </c>
      <c r="AQ567" s="440">
        <v>0</v>
      </c>
      <c r="AR567" s="440">
        <v>0</v>
      </c>
      <c r="AS567" s="440">
        <v>0</v>
      </c>
      <c r="AT567" s="440">
        <v>0</v>
      </c>
      <c r="AU567" s="440">
        <v>0</v>
      </c>
      <c r="AV567" s="440">
        <v>0</v>
      </c>
      <c r="AW567" s="440">
        <v>0</v>
      </c>
      <c r="AX567" s="440">
        <v>0</v>
      </c>
      <c r="AY567" s="440">
        <v>0</v>
      </c>
      <c r="AZ567" s="440">
        <v>0</v>
      </c>
      <c r="BA567" s="440">
        <v>0</v>
      </c>
      <c r="BB567" s="440">
        <v>0</v>
      </c>
      <c r="BC567" s="440">
        <v>0</v>
      </c>
      <c r="BD567" s="440">
        <v>0</v>
      </c>
      <c r="BE567" s="440">
        <v>0</v>
      </c>
      <c r="BF567" s="440">
        <v>0</v>
      </c>
      <c r="BG567" s="440">
        <v>0</v>
      </c>
      <c r="BH567" s="440">
        <v>0</v>
      </c>
      <c r="BI567" s="440">
        <v>0</v>
      </c>
      <c r="BJ567" s="440">
        <v>0</v>
      </c>
      <c r="BK567" s="440">
        <v>0</v>
      </c>
      <c r="BL567" s="440">
        <v>0</v>
      </c>
      <c r="BM567" s="440">
        <v>0</v>
      </c>
      <c r="BN567" s="440">
        <v>0</v>
      </c>
      <c r="BO567" s="440">
        <v>0</v>
      </c>
      <c r="BP567" s="440">
        <v>0</v>
      </c>
      <c r="BQ567" s="440">
        <v>0</v>
      </c>
      <c r="BR567" s="415">
        <v>0</v>
      </c>
      <c r="BS567" s="415">
        <v>0</v>
      </c>
      <c r="BT567" s="935"/>
      <c r="BU567" s="935"/>
      <c r="BV567" s="935"/>
      <c r="BW567" s="935"/>
      <c r="BX567" s="935"/>
      <c r="BY567" s="935"/>
      <c r="BZ567" s="935"/>
      <c r="CA567" s="935"/>
      <c r="CB567" s="935"/>
      <c r="CC567" s="935"/>
      <c r="CD567" s="935"/>
      <c r="CE567" s="935"/>
      <c r="CF567" s="935"/>
      <c r="CG567" s="935"/>
      <c r="CH567" s="935"/>
      <c r="CI567" s="935"/>
      <c r="CJ567" s="935"/>
      <c r="CK567" s="935"/>
      <c r="CL567" s="935"/>
      <c r="CM567" s="935"/>
      <c r="CN567" s="935"/>
      <c r="CO567" s="935"/>
      <c r="CP567" s="935"/>
      <c r="CQ567" s="935"/>
      <c r="CR567" s="935"/>
      <c r="CS567" s="935"/>
      <c r="CT567" s="935"/>
      <c r="CU567" s="935"/>
      <c r="CV567" s="935"/>
    </row>
    <row r="568" spans="1:100" s="441" customFormat="1">
      <c r="A568" s="375">
        <f t="shared" si="160"/>
        <v>9</v>
      </c>
      <c r="B568" s="862">
        <v>44456</v>
      </c>
      <c r="C568" s="493" t="s">
        <v>2001</v>
      </c>
      <c r="D568" s="376" t="str">
        <f>IFERROR(VLOOKUP(E:E,'Item Data Support Sheet'!A:O,7,0),"")</f>
        <v>BOTTLE MOLDED</v>
      </c>
      <c r="E568" s="447" t="s">
        <v>14</v>
      </c>
      <c r="F568" s="500"/>
      <c r="G568" s="497" t="s">
        <v>1665</v>
      </c>
      <c r="H568" s="602" t="str">
        <f>IFERROR(VLOOKUP(E:E,'Item Data Support Sheet'!A:O,2,0),"")</f>
        <v>KPP 240 ML BOTTLE MOLDED</v>
      </c>
      <c r="I568" s="501" t="s">
        <v>3176</v>
      </c>
      <c r="J568" s="501" t="s">
        <v>2811</v>
      </c>
      <c r="K568" s="438">
        <v>8</v>
      </c>
      <c r="L568" s="499">
        <v>2574</v>
      </c>
      <c r="M568" s="366">
        <f t="shared" si="175"/>
        <v>321.75</v>
      </c>
      <c r="N568" s="367">
        <f t="shared" si="159"/>
        <v>3458</v>
      </c>
      <c r="O568" s="61">
        <v>3405</v>
      </c>
      <c r="P568" s="368">
        <v>0</v>
      </c>
      <c r="Q568" s="368">
        <v>0</v>
      </c>
      <c r="R568" s="494">
        <v>0</v>
      </c>
      <c r="S568" s="493">
        <v>0</v>
      </c>
      <c r="T568" s="494">
        <v>53</v>
      </c>
      <c r="U568" s="493">
        <v>0</v>
      </c>
      <c r="V568" s="502">
        <v>1</v>
      </c>
      <c r="W568" s="453">
        <f t="shared" si="161"/>
        <v>3405</v>
      </c>
      <c r="X568" s="748">
        <f t="shared" si="162"/>
        <v>1.3228438228438228</v>
      </c>
      <c r="Y568" s="451" t="str">
        <f>IFERROR(VLOOKUP(E:E,'Item Data Support Sheet'!A:J,6,0),0)</f>
        <v>HMC</v>
      </c>
      <c r="Z568" s="428">
        <f>IFERROR(VLOOKUP(E:E,'Item Data Support Sheet'!A:O,4,0),0)</f>
        <v>32.1</v>
      </c>
      <c r="AA568" s="428">
        <f t="shared" si="163"/>
        <v>111.00180000000002</v>
      </c>
      <c r="AB568" s="429">
        <f t="shared" si="164"/>
        <v>0.98467322151532677</v>
      </c>
      <c r="AC568" s="424">
        <f t="shared" si="165"/>
        <v>1.5326778484673221E-2</v>
      </c>
      <c r="AD568" s="371">
        <f t="shared" si="166"/>
        <v>0</v>
      </c>
      <c r="AE568" s="748">
        <f t="shared" si="167"/>
        <v>0.98467322151532677</v>
      </c>
      <c r="AF568" s="417">
        <f t="shared" si="168"/>
        <v>0</v>
      </c>
      <c r="AG568" s="416">
        <f t="shared" si="169"/>
        <v>8</v>
      </c>
      <c r="AH568" s="372">
        <f t="shared" si="170"/>
        <v>1</v>
      </c>
      <c r="AI568" s="373">
        <f t="shared" si="171"/>
        <v>425.625</v>
      </c>
      <c r="AJ568" s="418">
        <f>VLOOKUP(D568,'Standard Cycle time'!C:D,2,0)</f>
        <v>9</v>
      </c>
      <c r="AK568" s="418">
        <f t="shared" si="172"/>
        <v>8.4581497797356828</v>
      </c>
      <c r="AL568" s="374">
        <f t="shared" si="173"/>
        <v>1.0640624999999999</v>
      </c>
      <c r="AM568" s="372">
        <f t="shared" si="174"/>
        <v>1.0477538497686523</v>
      </c>
      <c r="AN568" s="799" t="s">
        <v>3177</v>
      </c>
      <c r="AO568" s="448"/>
      <c r="AP568" s="440">
        <v>0</v>
      </c>
      <c r="AQ568" s="440">
        <v>0</v>
      </c>
      <c r="AR568" s="440">
        <v>0</v>
      </c>
      <c r="AS568" s="440">
        <v>0</v>
      </c>
      <c r="AT568" s="440">
        <v>0</v>
      </c>
      <c r="AU568" s="440">
        <v>0</v>
      </c>
      <c r="AV568" s="440">
        <v>0</v>
      </c>
      <c r="AW568" s="440">
        <v>0</v>
      </c>
      <c r="AX568" s="440">
        <v>0</v>
      </c>
      <c r="AY568" s="440">
        <v>0</v>
      </c>
      <c r="AZ568" s="440">
        <v>0</v>
      </c>
      <c r="BA568" s="440">
        <v>0</v>
      </c>
      <c r="BB568" s="440">
        <v>0</v>
      </c>
      <c r="BC568" s="440">
        <v>0</v>
      </c>
      <c r="BD568" s="440">
        <v>0</v>
      </c>
      <c r="BE568" s="440">
        <v>0</v>
      </c>
      <c r="BF568" s="440">
        <v>0</v>
      </c>
      <c r="BG568" s="440">
        <v>0</v>
      </c>
      <c r="BH568" s="440">
        <v>0</v>
      </c>
      <c r="BI568" s="440">
        <v>0</v>
      </c>
      <c r="BJ568" s="440">
        <v>0</v>
      </c>
      <c r="BK568" s="440">
        <v>0</v>
      </c>
      <c r="BL568" s="440">
        <v>0</v>
      </c>
      <c r="BM568" s="440">
        <v>0</v>
      </c>
      <c r="BN568" s="440">
        <v>0</v>
      </c>
      <c r="BO568" s="440">
        <v>0</v>
      </c>
      <c r="BP568" s="440">
        <v>0</v>
      </c>
      <c r="BQ568" s="440">
        <v>0</v>
      </c>
      <c r="BR568" s="415">
        <v>0</v>
      </c>
      <c r="BS568" s="415">
        <v>0</v>
      </c>
      <c r="BT568" s="935"/>
      <c r="BU568" s="935"/>
      <c r="BV568" s="935"/>
      <c r="BW568" s="935"/>
      <c r="BX568" s="935"/>
      <c r="BY568" s="935"/>
      <c r="BZ568" s="935"/>
      <c r="CA568" s="935"/>
      <c r="CB568" s="935"/>
      <c r="CC568" s="935"/>
      <c r="CD568" s="935"/>
      <c r="CE568" s="935"/>
      <c r="CF568" s="935"/>
      <c r="CG568" s="935"/>
      <c r="CH568" s="935"/>
      <c r="CI568" s="935"/>
      <c r="CJ568" s="935"/>
      <c r="CK568" s="935"/>
      <c r="CL568" s="935"/>
      <c r="CM568" s="935"/>
      <c r="CN568" s="935"/>
      <c r="CO568" s="935"/>
      <c r="CP568" s="935"/>
      <c r="CQ568" s="935"/>
      <c r="CR568" s="935"/>
      <c r="CS568" s="935"/>
      <c r="CT568" s="935"/>
      <c r="CU568" s="935"/>
      <c r="CV568" s="935"/>
    </row>
    <row r="569" spans="1:100" s="441" customFormat="1">
      <c r="A569" s="375">
        <f t="shared" si="160"/>
        <v>9</v>
      </c>
      <c r="B569" s="862">
        <v>44456</v>
      </c>
      <c r="C569" s="493" t="s">
        <v>2001</v>
      </c>
      <c r="D569" s="376" t="str">
        <f>IFERROR(VLOOKUP(E:E,'Item Data Support Sheet'!A:O,7,0),"")</f>
        <v>BOTTLE MOLDED</v>
      </c>
      <c r="E569" s="447" t="s">
        <v>65</v>
      </c>
      <c r="F569" s="500"/>
      <c r="G569" s="497" t="s">
        <v>1888</v>
      </c>
      <c r="H569" s="602" t="str">
        <f>IFERROR(VLOOKUP(E:E,'Item Data Support Sheet'!A:O,2,0),"")</f>
        <v>KPP 120 ML BOTTLE MOLDED</v>
      </c>
      <c r="I569" s="501" t="s">
        <v>3178</v>
      </c>
      <c r="J569" s="501" t="s">
        <v>2811</v>
      </c>
      <c r="K569" s="438">
        <v>8</v>
      </c>
      <c r="L569" s="499">
        <v>2574</v>
      </c>
      <c r="M569" s="366">
        <f t="shared" si="175"/>
        <v>321.75</v>
      </c>
      <c r="N569" s="367">
        <f t="shared" si="159"/>
        <v>3172</v>
      </c>
      <c r="O569" s="61">
        <v>3060</v>
      </c>
      <c r="P569" s="368">
        <v>0.21</v>
      </c>
      <c r="Q569" s="368">
        <v>29</v>
      </c>
      <c r="R569" s="494">
        <v>0</v>
      </c>
      <c r="S569" s="493">
        <v>0</v>
      </c>
      <c r="T569" s="494">
        <v>83</v>
      </c>
      <c r="U569" s="493">
        <v>0</v>
      </c>
      <c r="V569" s="502">
        <v>1</v>
      </c>
      <c r="W569" s="453">
        <f t="shared" si="161"/>
        <v>3060</v>
      </c>
      <c r="X569" s="748">
        <f t="shared" si="162"/>
        <v>1.1888111888111887</v>
      </c>
      <c r="Y569" s="451" t="str">
        <f>IFERROR(VLOOKUP(E:E,'Item Data Support Sheet'!A:J,6,0),0)</f>
        <v>HMC</v>
      </c>
      <c r="Z569" s="428">
        <f>IFERROR(VLOOKUP(E:E,'Item Data Support Sheet'!A:O,4,0),0)</f>
        <v>21.3</v>
      </c>
      <c r="AA569" s="428">
        <f t="shared" si="163"/>
        <v>67.773599999999988</v>
      </c>
      <c r="AB569" s="429">
        <f t="shared" si="164"/>
        <v>0.9617019016254118</v>
      </c>
      <c r="AC569" s="424">
        <f t="shared" si="165"/>
        <v>2.6407890550429525E-2</v>
      </c>
      <c r="AD569" s="371">
        <f t="shared" si="166"/>
        <v>9.0596688534832857E-3</v>
      </c>
      <c r="AE569" s="748">
        <f t="shared" si="167"/>
        <v>0.97383354350567464</v>
      </c>
      <c r="AF569" s="417">
        <f t="shared" si="168"/>
        <v>0</v>
      </c>
      <c r="AG569" s="416">
        <f t="shared" si="169"/>
        <v>8</v>
      </c>
      <c r="AH569" s="372">
        <f t="shared" si="170"/>
        <v>1</v>
      </c>
      <c r="AI569" s="373">
        <f t="shared" si="171"/>
        <v>382.5</v>
      </c>
      <c r="AJ569" s="418">
        <f>VLOOKUP(D569,'Standard Cycle time'!C:D,2,0)</f>
        <v>9</v>
      </c>
      <c r="AK569" s="418">
        <f t="shared" si="172"/>
        <v>9.4117647058823533</v>
      </c>
      <c r="AL569" s="374">
        <f t="shared" si="173"/>
        <v>0.95624999999999993</v>
      </c>
      <c r="AM569" s="372">
        <f t="shared" si="174"/>
        <v>0.93122832597730132</v>
      </c>
      <c r="AN569" s="799">
        <v>3337</v>
      </c>
      <c r="AO569" s="448"/>
      <c r="AP569" s="440">
        <v>0</v>
      </c>
      <c r="AQ569" s="440">
        <v>0</v>
      </c>
      <c r="AR569" s="440">
        <v>0</v>
      </c>
      <c r="AS569" s="440">
        <v>0</v>
      </c>
      <c r="AT569" s="440">
        <v>0</v>
      </c>
      <c r="AU569" s="440">
        <v>0</v>
      </c>
      <c r="AV569" s="440">
        <v>0</v>
      </c>
      <c r="AW569" s="440">
        <v>0</v>
      </c>
      <c r="AX569" s="440">
        <v>0</v>
      </c>
      <c r="AY569" s="440">
        <v>0</v>
      </c>
      <c r="AZ569" s="440">
        <v>0</v>
      </c>
      <c r="BA569" s="440">
        <v>0</v>
      </c>
      <c r="BB569" s="440">
        <v>0</v>
      </c>
      <c r="BC569" s="440">
        <v>0</v>
      </c>
      <c r="BD569" s="440">
        <v>0</v>
      </c>
      <c r="BE569" s="440">
        <v>0</v>
      </c>
      <c r="BF569" s="440">
        <v>0</v>
      </c>
      <c r="BG569" s="440">
        <v>0</v>
      </c>
      <c r="BH569" s="440">
        <v>0</v>
      </c>
      <c r="BI569" s="440">
        <v>0</v>
      </c>
      <c r="BJ569" s="440">
        <v>0</v>
      </c>
      <c r="BK569" s="440">
        <v>0</v>
      </c>
      <c r="BL569" s="440">
        <v>0</v>
      </c>
      <c r="BM569" s="440">
        <v>0</v>
      </c>
      <c r="BN569" s="440">
        <v>0</v>
      </c>
      <c r="BO569" s="440">
        <v>0</v>
      </c>
      <c r="BP569" s="440">
        <v>0</v>
      </c>
      <c r="BQ569" s="440">
        <v>0</v>
      </c>
      <c r="BR569" s="415">
        <v>0</v>
      </c>
      <c r="BS569" s="415">
        <v>0</v>
      </c>
      <c r="BT569" s="935"/>
      <c r="BU569" s="935"/>
      <c r="BV569" s="935"/>
      <c r="BW569" s="935"/>
      <c r="BX569" s="935"/>
      <c r="BY569" s="935"/>
      <c r="BZ569" s="935"/>
      <c r="CA569" s="935"/>
      <c r="CB569" s="935"/>
      <c r="CC569" s="935"/>
      <c r="CD569" s="935"/>
      <c r="CE569" s="935"/>
      <c r="CF569" s="935"/>
      <c r="CG569" s="935"/>
      <c r="CH569" s="935"/>
      <c r="CI569" s="935"/>
      <c r="CJ569" s="935"/>
      <c r="CK569" s="935"/>
      <c r="CL569" s="935"/>
      <c r="CM569" s="935"/>
      <c r="CN569" s="935"/>
      <c r="CO569" s="935"/>
      <c r="CP569" s="935"/>
      <c r="CQ569" s="935"/>
      <c r="CR569" s="935"/>
      <c r="CS569" s="935"/>
      <c r="CT569" s="935"/>
      <c r="CU569" s="935"/>
      <c r="CV569" s="935"/>
    </row>
    <row r="570" spans="1:100" s="441" customFormat="1">
      <c r="A570" s="375">
        <f t="shared" si="160"/>
        <v>9</v>
      </c>
      <c r="B570" s="862">
        <v>44456</v>
      </c>
      <c r="C570" s="493" t="s">
        <v>2001</v>
      </c>
      <c r="D570" s="376" t="str">
        <f>IFERROR(VLOOKUP(E:E,'Item Data Support Sheet'!A:O,7,0),"")</f>
        <v>BOTTLE PRINTED</v>
      </c>
      <c r="E570" s="447" t="s">
        <v>71</v>
      </c>
      <c r="F570" s="500"/>
      <c r="G570" s="497"/>
      <c r="H570" s="602" t="str">
        <f>IFERROR(VLOOKUP(E:E,'Item Data Support Sheet'!A:O,2,0),"")</f>
        <v>RPP 120 ML BOTTLE PRINTED</v>
      </c>
      <c r="I570" s="501" t="s">
        <v>3179</v>
      </c>
      <c r="J570" s="501" t="s">
        <v>2811</v>
      </c>
      <c r="K570" s="438">
        <v>8</v>
      </c>
      <c r="L570" s="499">
        <v>5800</v>
      </c>
      <c r="M570" s="366">
        <f t="shared" si="175"/>
        <v>725</v>
      </c>
      <c r="N570" s="367">
        <f t="shared" si="159"/>
        <v>6884</v>
      </c>
      <c r="O570" s="61">
        <v>6840</v>
      </c>
      <c r="P570" s="368">
        <v>0</v>
      </c>
      <c r="Q570" s="368">
        <v>0</v>
      </c>
      <c r="R570" s="494">
        <v>50</v>
      </c>
      <c r="S570" s="493">
        <v>0</v>
      </c>
      <c r="T570" s="494">
        <v>44</v>
      </c>
      <c r="U570" s="493">
        <v>0</v>
      </c>
      <c r="V570" s="502">
        <v>5</v>
      </c>
      <c r="W570" s="453">
        <f t="shared" si="161"/>
        <v>1368</v>
      </c>
      <c r="X570" s="748">
        <f t="shared" si="162"/>
        <v>1.1793103448275861</v>
      </c>
      <c r="Y570" s="451" t="str">
        <f>IFERROR(VLOOKUP(E:E,'Item Data Support Sheet'!A:J,6,0),0)</f>
        <v>FO004</v>
      </c>
      <c r="Z570" s="428">
        <f>IFERROR(VLOOKUP(E:E,'Item Data Support Sheet'!A:O,4,0),0)</f>
        <v>0</v>
      </c>
      <c r="AA570" s="428">
        <f t="shared" si="163"/>
        <v>0</v>
      </c>
      <c r="AB570" s="429" t="str">
        <f t="shared" si="164"/>
        <v xml:space="preserve"> </v>
      </c>
      <c r="AC570" s="424">
        <f t="shared" si="165"/>
        <v>6.3916327716443929E-3</v>
      </c>
      <c r="AD570" s="371">
        <f t="shared" si="166"/>
        <v>0</v>
      </c>
      <c r="AE570" s="748">
        <f t="shared" si="167"/>
        <v>0.99360836722835566</v>
      </c>
      <c r="AF570" s="417">
        <f t="shared" si="168"/>
        <v>0.66666666666666663</v>
      </c>
      <c r="AG570" s="416">
        <f t="shared" si="169"/>
        <v>7.333333333333333</v>
      </c>
      <c r="AH570" s="372">
        <f t="shared" si="170"/>
        <v>0.91666666666666663</v>
      </c>
      <c r="AI570" s="373">
        <f t="shared" si="171"/>
        <v>855</v>
      </c>
      <c r="AJ570" s="418">
        <f>VLOOKUP(D570,'Standard Cycle time'!C:D,2,0)</f>
        <v>32.4</v>
      </c>
      <c r="AK570" s="418">
        <f t="shared" si="172"/>
        <v>19.298245614035089</v>
      </c>
      <c r="AL570" s="374">
        <f t="shared" si="173"/>
        <v>1.6789090909090907</v>
      </c>
      <c r="AM570" s="372">
        <f t="shared" si="174"/>
        <v>1.5291632771644392</v>
      </c>
      <c r="AN570" s="799" t="s">
        <v>2874</v>
      </c>
      <c r="AO570" s="448"/>
      <c r="AP570" s="440">
        <v>40</v>
      </c>
      <c r="AQ570" s="440">
        <v>0</v>
      </c>
      <c r="AR570" s="440">
        <v>0</v>
      </c>
      <c r="AS570" s="440">
        <v>0</v>
      </c>
      <c r="AT570" s="440">
        <v>0</v>
      </c>
      <c r="AU570" s="440">
        <v>0</v>
      </c>
      <c r="AV570" s="440">
        <v>0</v>
      </c>
      <c r="AW570" s="440">
        <v>0</v>
      </c>
      <c r="AX570" s="440">
        <v>0</v>
      </c>
      <c r="AY570" s="440">
        <v>0</v>
      </c>
      <c r="AZ570" s="440">
        <v>0</v>
      </c>
      <c r="BA570" s="440">
        <v>0</v>
      </c>
      <c r="BB570" s="440">
        <v>0</v>
      </c>
      <c r="BC570" s="440">
        <v>0</v>
      </c>
      <c r="BD570" s="440">
        <v>0</v>
      </c>
      <c r="BE570" s="440">
        <v>0</v>
      </c>
      <c r="BF570" s="440">
        <v>0</v>
      </c>
      <c r="BG570" s="440">
        <v>0</v>
      </c>
      <c r="BH570" s="440">
        <v>0</v>
      </c>
      <c r="BI570" s="440">
        <v>0</v>
      </c>
      <c r="BJ570" s="440">
        <v>0</v>
      </c>
      <c r="BK570" s="440">
        <v>0</v>
      </c>
      <c r="BL570" s="440">
        <v>0</v>
      </c>
      <c r="BM570" s="440">
        <v>0</v>
      </c>
      <c r="BN570" s="440">
        <v>0</v>
      </c>
      <c r="BO570" s="440">
        <v>0</v>
      </c>
      <c r="BP570" s="440">
        <v>0</v>
      </c>
      <c r="BQ570" s="440">
        <v>0</v>
      </c>
      <c r="BR570" s="415">
        <v>0.66666666666666663</v>
      </c>
      <c r="BS570" s="415">
        <v>0.6777777777777777</v>
      </c>
      <c r="BT570" s="935"/>
      <c r="BU570" s="935"/>
      <c r="BV570" s="935"/>
      <c r="BW570" s="935"/>
      <c r="BX570" s="935"/>
      <c r="BY570" s="935"/>
      <c r="BZ570" s="935"/>
      <c r="CA570" s="935"/>
      <c r="CB570" s="935"/>
      <c r="CC570" s="935"/>
      <c r="CD570" s="935"/>
      <c r="CE570" s="935"/>
      <c r="CF570" s="935"/>
      <c r="CG570" s="935"/>
      <c r="CH570" s="935"/>
      <c r="CI570" s="935"/>
      <c r="CJ570" s="935"/>
      <c r="CK570" s="935"/>
      <c r="CL570" s="935"/>
      <c r="CM570" s="935"/>
      <c r="CN570" s="935"/>
      <c r="CO570" s="935"/>
      <c r="CP570" s="935"/>
      <c r="CQ570" s="935"/>
      <c r="CR570" s="935"/>
      <c r="CS570" s="935"/>
      <c r="CT570" s="935"/>
      <c r="CU570" s="935"/>
      <c r="CV570" s="935"/>
    </row>
    <row r="571" spans="1:100" s="441" customFormat="1">
      <c r="A571" s="375">
        <f t="shared" si="160"/>
        <v>9</v>
      </c>
      <c r="B571" s="862">
        <v>44456</v>
      </c>
      <c r="C571" s="493" t="s">
        <v>2053</v>
      </c>
      <c r="D571" s="376" t="str">
        <f>IFERROR(VLOOKUP(E:E,'Item Data Support Sheet'!A:O,7,0),"")</f>
        <v>BOTTLE MOLDED</v>
      </c>
      <c r="E571" s="447" t="s">
        <v>65</v>
      </c>
      <c r="F571" s="500" t="s">
        <v>1679</v>
      </c>
      <c r="G571" s="497" t="s">
        <v>1888</v>
      </c>
      <c r="H571" s="602" t="str">
        <f>IFERROR(VLOOKUP(E:E,'Item Data Support Sheet'!A:O,2,0),"")</f>
        <v>KPP 120 ML BOTTLE MOLDED</v>
      </c>
      <c r="I571" s="501" t="s">
        <v>3180</v>
      </c>
      <c r="J571" s="501" t="s">
        <v>2826</v>
      </c>
      <c r="K571" s="438">
        <v>8</v>
      </c>
      <c r="L571" s="499">
        <v>2574</v>
      </c>
      <c r="M571" s="366">
        <f t="shared" si="175"/>
        <v>321.75</v>
      </c>
      <c r="N571" s="367">
        <f t="shared" si="159"/>
        <v>3175</v>
      </c>
      <c r="O571" s="61">
        <v>3060</v>
      </c>
      <c r="P571" s="368">
        <v>0.32</v>
      </c>
      <c r="Q571" s="368">
        <v>42</v>
      </c>
      <c r="R571" s="494">
        <v>0</v>
      </c>
      <c r="S571" s="493">
        <v>0</v>
      </c>
      <c r="T571" s="494">
        <v>65</v>
      </c>
      <c r="U571" s="493">
        <v>8</v>
      </c>
      <c r="V571" s="502">
        <v>1</v>
      </c>
      <c r="W571" s="453">
        <f t="shared" si="161"/>
        <v>3060</v>
      </c>
      <c r="X571" s="748">
        <f t="shared" si="162"/>
        <v>1.1888111888111887</v>
      </c>
      <c r="Y571" s="451" t="str">
        <f>IFERROR(VLOOKUP(E:E,'Item Data Support Sheet'!A:J,6,0),0)</f>
        <v>HMC</v>
      </c>
      <c r="Z571" s="428">
        <f>IFERROR(VLOOKUP(E:E,'Item Data Support Sheet'!A:O,4,0),0)</f>
        <v>21.3</v>
      </c>
      <c r="AA571" s="428">
        <f t="shared" si="163"/>
        <v>67.947499999999991</v>
      </c>
      <c r="AB571" s="429">
        <f t="shared" si="164"/>
        <v>0.95924059016152186</v>
      </c>
      <c r="AC571" s="424">
        <f t="shared" si="165"/>
        <v>2.0799999999999999E-2</v>
      </c>
      <c r="AD571" s="371">
        <f t="shared" si="166"/>
        <v>1.3055641902393535E-2</v>
      </c>
      <c r="AE571" s="748">
        <f t="shared" si="167"/>
        <v>0.97952755905511812</v>
      </c>
      <c r="AF571" s="417">
        <f t="shared" si="168"/>
        <v>0</v>
      </c>
      <c r="AG571" s="416">
        <f t="shared" si="169"/>
        <v>8</v>
      </c>
      <c r="AH571" s="372">
        <f t="shared" si="170"/>
        <v>1</v>
      </c>
      <c r="AI571" s="373">
        <f t="shared" si="171"/>
        <v>382.5</v>
      </c>
      <c r="AJ571" s="418">
        <f>VLOOKUP(D571,'Standard Cycle time'!C:D,2,0)</f>
        <v>9</v>
      </c>
      <c r="AK571" s="418">
        <f t="shared" si="172"/>
        <v>9.4117647058823533</v>
      </c>
      <c r="AL571" s="374">
        <f t="shared" si="173"/>
        <v>0.95624999999999993</v>
      </c>
      <c r="AM571" s="372">
        <f t="shared" si="174"/>
        <v>0.93667322834645661</v>
      </c>
      <c r="AN571" s="799">
        <v>3338</v>
      </c>
      <c r="AO571" s="448"/>
      <c r="AP571" s="440">
        <v>0</v>
      </c>
      <c r="AQ571" s="440">
        <v>0</v>
      </c>
      <c r="AR571" s="440">
        <v>0</v>
      </c>
      <c r="AS571" s="440">
        <v>0</v>
      </c>
      <c r="AT571" s="440">
        <v>0</v>
      </c>
      <c r="AU571" s="440">
        <v>0</v>
      </c>
      <c r="AV571" s="440">
        <v>0</v>
      </c>
      <c r="AW571" s="440">
        <v>0</v>
      </c>
      <c r="AX571" s="440">
        <v>0</v>
      </c>
      <c r="AY571" s="440">
        <v>0</v>
      </c>
      <c r="AZ571" s="440">
        <v>0</v>
      </c>
      <c r="BA571" s="440">
        <v>0</v>
      </c>
      <c r="BB571" s="440">
        <v>0</v>
      </c>
      <c r="BC571" s="440">
        <v>0</v>
      </c>
      <c r="BD571" s="440">
        <v>0</v>
      </c>
      <c r="BE571" s="440">
        <v>0</v>
      </c>
      <c r="BF571" s="440">
        <v>0</v>
      </c>
      <c r="BG571" s="440">
        <v>0</v>
      </c>
      <c r="BH571" s="440">
        <v>0</v>
      </c>
      <c r="BI571" s="440">
        <v>0</v>
      </c>
      <c r="BJ571" s="440">
        <v>0</v>
      </c>
      <c r="BK571" s="440">
        <v>0</v>
      </c>
      <c r="BL571" s="440">
        <v>0</v>
      </c>
      <c r="BM571" s="440">
        <v>0</v>
      </c>
      <c r="BN571" s="440">
        <v>0</v>
      </c>
      <c r="BO571" s="440">
        <v>0</v>
      </c>
      <c r="BP571" s="440">
        <v>0</v>
      </c>
      <c r="BQ571" s="440">
        <v>0</v>
      </c>
      <c r="BR571" s="415">
        <v>0</v>
      </c>
      <c r="BS571" s="415">
        <v>0</v>
      </c>
      <c r="BT571" s="935"/>
      <c r="BU571" s="935"/>
      <c r="BV571" s="935"/>
      <c r="BW571" s="935"/>
      <c r="BX571" s="935"/>
      <c r="BY571" s="935"/>
      <c r="BZ571" s="935"/>
      <c r="CA571" s="935"/>
      <c r="CB571" s="935"/>
      <c r="CC571" s="935"/>
      <c r="CD571" s="935"/>
      <c r="CE571" s="935"/>
      <c r="CF571" s="935"/>
      <c r="CG571" s="935"/>
      <c r="CH571" s="935"/>
      <c r="CI571" s="935"/>
      <c r="CJ571" s="935"/>
      <c r="CK571" s="935"/>
      <c r="CL571" s="935"/>
      <c r="CM571" s="935"/>
      <c r="CN571" s="935"/>
      <c r="CO571" s="935"/>
      <c r="CP571" s="935"/>
      <c r="CQ571" s="935"/>
      <c r="CR571" s="935"/>
      <c r="CS571" s="935"/>
      <c r="CT571" s="935"/>
      <c r="CU571" s="935"/>
      <c r="CV571" s="935"/>
    </row>
    <row r="572" spans="1:100" s="441" customFormat="1">
      <c r="A572" s="375">
        <f t="shared" si="160"/>
        <v>9</v>
      </c>
      <c r="B572" s="862">
        <v>44456</v>
      </c>
      <c r="C572" s="493" t="s">
        <v>2053</v>
      </c>
      <c r="D572" s="376" t="str">
        <f>IFERROR(VLOOKUP(E:E,'Item Data Support Sheet'!A:O,7,0),"")</f>
        <v>NIPPLE MOLDED</v>
      </c>
      <c r="E572" s="447" t="s">
        <v>74</v>
      </c>
      <c r="F572" s="500" t="s">
        <v>1678</v>
      </c>
      <c r="G572" s="497" t="s">
        <v>1691</v>
      </c>
      <c r="H572" s="602" t="str">
        <f>IFERROR(VLOOKUP(E:E,'Item Data Support Sheet'!A:O,2,0),"")</f>
        <v>NIPPLE S TYPE L SIZE INJECTION</v>
      </c>
      <c r="I572" s="501" t="s">
        <v>3181</v>
      </c>
      <c r="J572" s="501" t="s">
        <v>2826</v>
      </c>
      <c r="K572" s="438">
        <v>8</v>
      </c>
      <c r="L572" s="499">
        <v>4815</v>
      </c>
      <c r="M572" s="366">
        <f t="shared" si="175"/>
        <v>601.875</v>
      </c>
      <c r="N572" s="367">
        <f t="shared" si="159"/>
        <v>4583</v>
      </c>
      <c r="O572" s="61">
        <v>4500</v>
      </c>
      <c r="P572" s="368">
        <v>0</v>
      </c>
      <c r="Q572" s="368">
        <v>35</v>
      </c>
      <c r="R572" s="494">
        <v>0</v>
      </c>
      <c r="S572" s="493">
        <v>0</v>
      </c>
      <c r="T572" s="494">
        <v>40</v>
      </c>
      <c r="U572" s="493">
        <v>8</v>
      </c>
      <c r="V572" s="502">
        <v>1</v>
      </c>
      <c r="W572" s="453">
        <f t="shared" si="161"/>
        <v>4500</v>
      </c>
      <c r="X572" s="748">
        <f t="shared" si="162"/>
        <v>0.93457943925233644</v>
      </c>
      <c r="Y572" s="451" t="str">
        <f>IFERROR(VLOOKUP(E:E,'Item Data Support Sheet'!A:J,6,0),0)</f>
        <v>Silicon</v>
      </c>
      <c r="Z572" s="428">
        <f>IFERROR(VLOOKUP(E:E,'Item Data Support Sheet'!A:O,4,0),0)</f>
        <v>6.8</v>
      </c>
      <c r="AA572" s="428">
        <f t="shared" si="163"/>
        <v>31.164399999999997</v>
      </c>
      <c r="AB572" s="429">
        <f t="shared" si="164"/>
        <v>0.9818895919703251</v>
      </c>
      <c r="AC572" s="424">
        <f t="shared" si="165"/>
        <v>8.8105726872246704E-3</v>
      </c>
      <c r="AD572" s="371">
        <f t="shared" si="166"/>
        <v>7.5790385448245992E-3</v>
      </c>
      <c r="AE572" s="748">
        <f t="shared" si="167"/>
        <v>0.99127209251581938</v>
      </c>
      <c r="AF572" s="417">
        <f t="shared" si="168"/>
        <v>1</v>
      </c>
      <c r="AG572" s="416">
        <f t="shared" si="169"/>
        <v>7</v>
      </c>
      <c r="AH572" s="372">
        <f t="shared" si="170"/>
        <v>0.875</v>
      </c>
      <c r="AI572" s="373">
        <f t="shared" si="171"/>
        <v>562.5</v>
      </c>
      <c r="AJ572" s="418">
        <f>VLOOKUP(D572,'Standard Cycle time'!C:D,2,0)</f>
        <v>5.25</v>
      </c>
      <c r="AK572" s="418">
        <f t="shared" si="172"/>
        <v>5.6</v>
      </c>
      <c r="AL572" s="374">
        <f t="shared" si="173"/>
        <v>0.93750000000000011</v>
      </c>
      <c r="AM572" s="372">
        <f t="shared" si="174"/>
        <v>0.81315288839188316</v>
      </c>
      <c r="AN572" s="799">
        <v>3339</v>
      </c>
      <c r="AO572" s="448" t="s">
        <v>3182</v>
      </c>
      <c r="AP572" s="440">
        <v>0</v>
      </c>
      <c r="AQ572" s="440">
        <v>0</v>
      </c>
      <c r="AR572" s="440">
        <v>0</v>
      </c>
      <c r="AS572" s="440">
        <v>0</v>
      </c>
      <c r="AT572" s="440">
        <v>0</v>
      </c>
      <c r="AU572" s="440">
        <v>60</v>
      </c>
      <c r="AV572" s="440">
        <v>0</v>
      </c>
      <c r="AW572" s="440">
        <v>0</v>
      </c>
      <c r="AX572" s="440">
        <v>0</v>
      </c>
      <c r="AY572" s="440">
        <v>0</v>
      </c>
      <c r="AZ572" s="440">
        <v>0</v>
      </c>
      <c r="BA572" s="440">
        <v>0</v>
      </c>
      <c r="BB572" s="440">
        <v>0</v>
      </c>
      <c r="BC572" s="440">
        <v>0</v>
      </c>
      <c r="BD572" s="440">
        <v>0</v>
      </c>
      <c r="BE572" s="440">
        <v>0</v>
      </c>
      <c r="BF572" s="440">
        <v>0</v>
      </c>
      <c r="BG572" s="440">
        <v>0</v>
      </c>
      <c r="BH572" s="440">
        <v>0</v>
      </c>
      <c r="BI572" s="440">
        <v>0</v>
      </c>
      <c r="BJ572" s="440">
        <v>0</v>
      </c>
      <c r="BK572" s="440">
        <v>0</v>
      </c>
      <c r="BL572" s="440">
        <v>0</v>
      </c>
      <c r="BM572" s="440">
        <v>0</v>
      </c>
      <c r="BN572" s="440">
        <v>0</v>
      </c>
      <c r="BO572" s="440">
        <v>0</v>
      </c>
      <c r="BP572" s="440">
        <v>0</v>
      </c>
      <c r="BQ572" s="440">
        <v>0</v>
      </c>
      <c r="BR572" s="415">
        <v>1</v>
      </c>
      <c r="BS572" s="415">
        <v>1.0166666666666666</v>
      </c>
      <c r="BT572" s="935"/>
      <c r="BU572" s="935"/>
      <c r="BV572" s="935"/>
      <c r="BW572" s="935"/>
      <c r="BX572" s="935"/>
      <c r="BY572" s="935"/>
      <c r="BZ572" s="935"/>
      <c r="CA572" s="935"/>
      <c r="CB572" s="935"/>
      <c r="CC572" s="935"/>
      <c r="CD572" s="935"/>
      <c r="CE572" s="935"/>
      <c r="CF572" s="935"/>
      <c r="CG572" s="935"/>
      <c r="CH572" s="935"/>
      <c r="CI572" s="935"/>
      <c r="CJ572" s="935"/>
      <c r="CK572" s="935"/>
      <c r="CL572" s="935"/>
      <c r="CM572" s="935"/>
      <c r="CN572" s="935"/>
      <c r="CO572" s="935"/>
      <c r="CP572" s="935"/>
      <c r="CQ572" s="935"/>
      <c r="CR572" s="935"/>
      <c r="CS572" s="935"/>
      <c r="CT572" s="935"/>
      <c r="CU572" s="935"/>
      <c r="CV572" s="935"/>
    </row>
    <row r="573" spans="1:100" s="441" customFormat="1">
      <c r="A573" s="375">
        <f t="shared" si="160"/>
        <v>9</v>
      </c>
      <c r="B573" s="862">
        <v>44456</v>
      </c>
      <c r="C573" s="493" t="s">
        <v>2053</v>
      </c>
      <c r="D573" s="376" t="str">
        <f>IFERROR(VLOOKUP(E:E,'Item Data Support Sheet'!A:O,7,0),"")</f>
        <v>HOOD MOLDED</v>
      </c>
      <c r="E573" s="447" t="s">
        <v>1987</v>
      </c>
      <c r="F573" s="500"/>
      <c r="G573" s="497" t="s">
        <v>2729</v>
      </c>
      <c r="H573" s="602" t="str">
        <f>IFERROR(VLOOKUP(E:E,'Item Data Support Sheet'!A:O,2,0),"")</f>
        <v>HOOD S TYPE MOLDED</v>
      </c>
      <c r="I573" s="501" t="s">
        <v>3183</v>
      </c>
      <c r="J573" s="501" t="s">
        <v>2826</v>
      </c>
      <c r="K573" s="438">
        <v>8</v>
      </c>
      <c r="L573" s="499">
        <v>4137</v>
      </c>
      <c r="M573" s="366">
        <f t="shared" si="175"/>
        <v>517.125</v>
      </c>
      <c r="N573" s="367">
        <f t="shared" si="159"/>
        <v>5020</v>
      </c>
      <c r="O573" s="61">
        <v>5000</v>
      </c>
      <c r="P573" s="368">
        <v>0.2</v>
      </c>
      <c r="Q573" s="368">
        <v>0</v>
      </c>
      <c r="R573" s="494">
        <v>0</v>
      </c>
      <c r="S573" s="493">
        <v>0</v>
      </c>
      <c r="T573" s="494">
        <v>12</v>
      </c>
      <c r="U573" s="493">
        <v>8</v>
      </c>
      <c r="V573" s="502">
        <v>1</v>
      </c>
      <c r="W573" s="453">
        <f t="shared" si="161"/>
        <v>5000</v>
      </c>
      <c r="X573" s="748">
        <f t="shared" si="162"/>
        <v>1.2086052695189751</v>
      </c>
      <c r="Y573" s="451" t="str">
        <f>IFERROR(VLOOKUP(E:E,'Item Data Support Sheet'!A:J,6,0),0)</f>
        <v>HMC</v>
      </c>
      <c r="Z573" s="428">
        <f>IFERROR(VLOOKUP(E:E,'Item Data Support Sheet'!A:O,4,0),0)</f>
        <v>8.6</v>
      </c>
      <c r="AA573" s="428">
        <f t="shared" si="163"/>
        <v>43.372</v>
      </c>
      <c r="AB573" s="429">
        <f t="shared" si="164"/>
        <v>0.99142303790463893</v>
      </c>
      <c r="AC573" s="424">
        <f t="shared" si="165"/>
        <v>2.3942537909018356E-3</v>
      </c>
      <c r="AD573" s="371">
        <f t="shared" si="166"/>
        <v>0</v>
      </c>
      <c r="AE573" s="748">
        <f t="shared" si="167"/>
        <v>0.99760956175298809</v>
      </c>
      <c r="AF573" s="417">
        <f t="shared" si="168"/>
        <v>0</v>
      </c>
      <c r="AG573" s="416">
        <f t="shared" si="169"/>
        <v>8</v>
      </c>
      <c r="AH573" s="372">
        <f t="shared" si="170"/>
        <v>1</v>
      </c>
      <c r="AI573" s="373">
        <f t="shared" si="171"/>
        <v>625</v>
      </c>
      <c r="AJ573" s="418">
        <f>VLOOKUP(D573,'Standard Cycle time'!C:D,2,0)</f>
        <v>6</v>
      </c>
      <c r="AK573" s="418">
        <f t="shared" si="172"/>
        <v>5.76</v>
      </c>
      <c r="AL573" s="374">
        <f t="shared" si="173"/>
        <v>1.0416666666666667</v>
      </c>
      <c r="AM573" s="372">
        <f t="shared" si="174"/>
        <v>1.0391766268260294</v>
      </c>
      <c r="AN573" s="799">
        <v>3340</v>
      </c>
      <c r="AO573" s="448"/>
      <c r="AP573" s="440">
        <v>0</v>
      </c>
      <c r="AQ573" s="440">
        <v>0</v>
      </c>
      <c r="AR573" s="440">
        <v>0</v>
      </c>
      <c r="AS573" s="440">
        <v>0</v>
      </c>
      <c r="AT573" s="440">
        <v>0</v>
      </c>
      <c r="AU573" s="440">
        <v>0</v>
      </c>
      <c r="AV573" s="440">
        <v>0</v>
      </c>
      <c r="AW573" s="440">
        <v>0</v>
      </c>
      <c r="AX573" s="440">
        <v>0</v>
      </c>
      <c r="AY573" s="440">
        <v>0</v>
      </c>
      <c r="AZ573" s="440">
        <v>0</v>
      </c>
      <c r="BA573" s="440">
        <v>0</v>
      </c>
      <c r="BB573" s="440">
        <v>0</v>
      </c>
      <c r="BC573" s="440">
        <v>0</v>
      </c>
      <c r="BD573" s="440">
        <v>0</v>
      </c>
      <c r="BE573" s="440">
        <v>0</v>
      </c>
      <c r="BF573" s="440">
        <v>0</v>
      </c>
      <c r="BG573" s="440">
        <v>0</v>
      </c>
      <c r="BH573" s="440">
        <v>0</v>
      </c>
      <c r="BI573" s="440">
        <v>0</v>
      </c>
      <c r="BJ573" s="440">
        <v>0</v>
      </c>
      <c r="BK573" s="440">
        <v>0</v>
      </c>
      <c r="BL573" s="440">
        <v>0</v>
      </c>
      <c r="BM573" s="440">
        <v>0</v>
      </c>
      <c r="BN573" s="440">
        <v>0</v>
      </c>
      <c r="BO573" s="440">
        <v>0</v>
      </c>
      <c r="BP573" s="440">
        <v>0</v>
      </c>
      <c r="BQ573" s="440">
        <v>0</v>
      </c>
      <c r="BR573" s="415">
        <v>0</v>
      </c>
      <c r="BS573" s="415">
        <v>0</v>
      </c>
      <c r="BT573" s="935"/>
      <c r="BU573" s="935"/>
      <c r="BV573" s="935"/>
      <c r="BW573" s="935"/>
      <c r="BX573" s="935"/>
      <c r="BY573" s="935"/>
      <c r="BZ573" s="935"/>
      <c r="CA573" s="935"/>
      <c r="CB573" s="935"/>
      <c r="CC573" s="935"/>
      <c r="CD573" s="935"/>
      <c r="CE573" s="935"/>
      <c r="CF573" s="935"/>
      <c r="CG573" s="935"/>
      <c r="CH573" s="935"/>
      <c r="CI573" s="935"/>
      <c r="CJ573" s="935"/>
      <c r="CK573" s="935"/>
      <c r="CL573" s="935"/>
      <c r="CM573" s="935"/>
      <c r="CN573" s="935"/>
      <c r="CO573" s="935"/>
      <c r="CP573" s="935"/>
      <c r="CQ573" s="935"/>
      <c r="CR573" s="935"/>
      <c r="CS573" s="935"/>
      <c r="CT573" s="935"/>
      <c r="CU573" s="935"/>
      <c r="CV573" s="935"/>
    </row>
    <row r="574" spans="1:100" s="441" customFormat="1">
      <c r="A574" s="375">
        <f t="shared" si="160"/>
        <v>9</v>
      </c>
      <c r="B574" s="862">
        <v>44457</v>
      </c>
      <c r="C574" s="493" t="s">
        <v>1980</v>
      </c>
      <c r="D574" s="376" t="str">
        <f>IFERROR(VLOOKUP(E:E,'Item Data Support Sheet'!A:O,7,0),"")</f>
        <v>BOTTLE MOLDED</v>
      </c>
      <c r="E574" s="447" t="s">
        <v>65</v>
      </c>
      <c r="F574" s="500" t="s">
        <v>1679</v>
      </c>
      <c r="G574" s="497" t="s">
        <v>1888</v>
      </c>
      <c r="H574" s="602" t="str">
        <f>IFERROR(VLOOKUP(E:E,'Item Data Support Sheet'!A:O,2,0),"")</f>
        <v>KPP 120 ML BOTTLE MOLDED</v>
      </c>
      <c r="I574" s="501" t="s">
        <v>3184</v>
      </c>
      <c r="J574" s="501" t="s">
        <v>2808</v>
      </c>
      <c r="K574" s="438">
        <v>6</v>
      </c>
      <c r="L574" s="499">
        <v>1932</v>
      </c>
      <c r="M574" s="366">
        <f t="shared" si="175"/>
        <v>322</v>
      </c>
      <c r="N574" s="367">
        <f t="shared" si="159"/>
        <v>2217</v>
      </c>
      <c r="O574" s="61">
        <v>2160</v>
      </c>
      <c r="P574" s="368">
        <v>0.12</v>
      </c>
      <c r="Q574" s="368">
        <v>21</v>
      </c>
      <c r="R574" s="494">
        <v>0</v>
      </c>
      <c r="S574" s="493">
        <v>0</v>
      </c>
      <c r="T574" s="494">
        <v>28</v>
      </c>
      <c r="U574" s="493">
        <v>8</v>
      </c>
      <c r="V574" s="502">
        <v>1</v>
      </c>
      <c r="W574" s="453">
        <f t="shared" si="161"/>
        <v>2160</v>
      </c>
      <c r="X574" s="748">
        <f t="shared" si="162"/>
        <v>1.1180124223602483</v>
      </c>
      <c r="Y574" s="451" t="str">
        <f>IFERROR(VLOOKUP(E:E,'Item Data Support Sheet'!A:J,6,0),0)</f>
        <v>HMC</v>
      </c>
      <c r="Z574" s="428">
        <f>IFERROR(VLOOKUP(E:E,'Item Data Support Sheet'!A:O,4,0),0)</f>
        <v>21.3</v>
      </c>
      <c r="AA574" s="428">
        <f t="shared" si="163"/>
        <v>47.342099999999995</v>
      </c>
      <c r="AB574" s="429">
        <f t="shared" si="164"/>
        <v>0.97182000798443668</v>
      </c>
      <c r="AC574" s="424">
        <f t="shared" si="165"/>
        <v>1.2797074954296161E-2</v>
      </c>
      <c r="AD574" s="371">
        <f t="shared" si="166"/>
        <v>9.3833780160857902E-3</v>
      </c>
      <c r="AE574" s="748">
        <f t="shared" si="167"/>
        <v>0.98737032025259364</v>
      </c>
      <c r="AF574" s="417">
        <f t="shared" si="168"/>
        <v>0</v>
      </c>
      <c r="AG574" s="416">
        <f t="shared" si="169"/>
        <v>6</v>
      </c>
      <c r="AH574" s="372">
        <f t="shared" si="170"/>
        <v>1</v>
      </c>
      <c r="AI574" s="373">
        <f t="shared" si="171"/>
        <v>360</v>
      </c>
      <c r="AJ574" s="418">
        <f>VLOOKUP(D574,'Standard Cycle time'!C:D,2,0)</f>
        <v>9</v>
      </c>
      <c r="AK574" s="418">
        <f t="shared" si="172"/>
        <v>10</v>
      </c>
      <c r="AL574" s="374">
        <f t="shared" si="173"/>
        <v>0.9</v>
      </c>
      <c r="AM574" s="372">
        <f t="shared" si="174"/>
        <v>0.88863328822733434</v>
      </c>
      <c r="AN574" s="799">
        <v>3361</v>
      </c>
      <c r="AO574" s="448"/>
      <c r="AP574" s="440">
        <v>0</v>
      </c>
      <c r="AQ574" s="440">
        <v>0</v>
      </c>
      <c r="AR574" s="440">
        <v>0</v>
      </c>
      <c r="AS574" s="440">
        <v>0</v>
      </c>
      <c r="AT574" s="440">
        <v>0</v>
      </c>
      <c r="AU574" s="440">
        <v>0</v>
      </c>
      <c r="AV574" s="440">
        <v>0</v>
      </c>
      <c r="AW574" s="440">
        <v>0</v>
      </c>
      <c r="AX574" s="440">
        <v>0</v>
      </c>
      <c r="AY574" s="440">
        <v>0</v>
      </c>
      <c r="AZ574" s="440">
        <v>0</v>
      </c>
      <c r="BA574" s="440">
        <v>0</v>
      </c>
      <c r="BB574" s="440">
        <v>0</v>
      </c>
      <c r="BC574" s="440">
        <v>0</v>
      </c>
      <c r="BD574" s="440">
        <v>0</v>
      </c>
      <c r="BE574" s="440">
        <v>0</v>
      </c>
      <c r="BF574" s="440">
        <v>0</v>
      </c>
      <c r="BG574" s="440">
        <v>0</v>
      </c>
      <c r="BH574" s="440">
        <v>0</v>
      </c>
      <c r="BI574" s="440">
        <v>0</v>
      </c>
      <c r="BJ574" s="440">
        <v>0</v>
      </c>
      <c r="BK574" s="440">
        <v>0</v>
      </c>
      <c r="BL574" s="440">
        <v>0</v>
      </c>
      <c r="BM574" s="440">
        <v>0</v>
      </c>
      <c r="BN574" s="440">
        <v>0</v>
      </c>
      <c r="BO574" s="440">
        <v>0</v>
      </c>
      <c r="BP574" s="440">
        <v>0</v>
      </c>
      <c r="BQ574" s="440">
        <v>0</v>
      </c>
      <c r="BR574" s="415">
        <v>0</v>
      </c>
      <c r="BS574" s="415">
        <v>0</v>
      </c>
      <c r="BT574" s="935"/>
      <c r="BU574" s="935"/>
      <c r="BV574" s="935"/>
      <c r="BW574" s="935"/>
      <c r="BX574" s="935"/>
      <c r="BY574" s="935"/>
      <c r="BZ574" s="935"/>
      <c r="CA574" s="935"/>
      <c r="CB574" s="935"/>
      <c r="CC574" s="935"/>
      <c r="CD574" s="935"/>
      <c r="CE574" s="935"/>
      <c r="CF574" s="935"/>
      <c r="CG574" s="935"/>
      <c r="CH574" s="935"/>
      <c r="CI574" s="935"/>
      <c r="CJ574" s="935"/>
      <c r="CK574" s="935"/>
      <c r="CL574" s="935"/>
      <c r="CM574" s="935"/>
      <c r="CN574" s="935"/>
      <c r="CO574" s="935"/>
      <c r="CP574" s="935"/>
      <c r="CQ574" s="935"/>
      <c r="CR574" s="935"/>
      <c r="CS574" s="935"/>
      <c r="CT574" s="935"/>
      <c r="CU574" s="935"/>
      <c r="CV574" s="935"/>
    </row>
    <row r="575" spans="1:100" s="441" customFormat="1">
      <c r="A575" s="375">
        <f t="shared" si="160"/>
        <v>9</v>
      </c>
      <c r="B575" s="862">
        <v>44457</v>
      </c>
      <c r="C575" s="493" t="s">
        <v>1980</v>
      </c>
      <c r="D575" s="376" t="str">
        <f>IFERROR(VLOOKUP(E:E,'Item Data Support Sheet'!A:O,7,0),"")</f>
        <v>NIPPLE MOLDED</v>
      </c>
      <c r="E575" s="447" t="s">
        <v>74</v>
      </c>
      <c r="F575" s="500" t="s">
        <v>1678</v>
      </c>
      <c r="G575" s="497" t="s">
        <v>1691</v>
      </c>
      <c r="H575" s="602" t="str">
        <f>IFERROR(VLOOKUP(E:E,'Item Data Support Sheet'!A:O,2,0),"")</f>
        <v>NIPPLE S TYPE L SIZE INJECTION</v>
      </c>
      <c r="I575" s="501" t="s">
        <v>3185</v>
      </c>
      <c r="J575" s="501" t="s">
        <v>2808</v>
      </c>
      <c r="K575" s="438">
        <v>6</v>
      </c>
      <c r="L575" s="499">
        <v>3612</v>
      </c>
      <c r="M575" s="366">
        <f t="shared" si="175"/>
        <v>602</v>
      </c>
      <c r="N575" s="367">
        <f t="shared" si="159"/>
        <v>3429</v>
      </c>
      <c r="O575" s="61">
        <v>3365</v>
      </c>
      <c r="P575" s="368">
        <v>0.38</v>
      </c>
      <c r="Q575" s="368">
        <v>24</v>
      </c>
      <c r="R575" s="494">
        <v>0</v>
      </c>
      <c r="S575" s="493">
        <v>0</v>
      </c>
      <c r="T575" s="494">
        <v>32</v>
      </c>
      <c r="U575" s="493">
        <v>8</v>
      </c>
      <c r="V575" s="502">
        <v>1</v>
      </c>
      <c r="W575" s="453">
        <f t="shared" si="161"/>
        <v>3365</v>
      </c>
      <c r="X575" s="748">
        <f t="shared" si="162"/>
        <v>0.93161683277962348</v>
      </c>
      <c r="Y575" s="451" t="str">
        <f>IFERROR(VLOOKUP(E:E,'Item Data Support Sheet'!A:J,6,0),0)</f>
        <v>Silicon</v>
      </c>
      <c r="Z575" s="428">
        <f>IFERROR(VLOOKUP(E:E,'Item Data Support Sheet'!A:O,4,0),0)</f>
        <v>6.8</v>
      </c>
      <c r="AA575" s="428">
        <f t="shared" si="163"/>
        <v>23.697199999999999</v>
      </c>
      <c r="AB575" s="429">
        <f t="shared" si="164"/>
        <v>0.96559931131104093</v>
      </c>
      <c r="AC575" s="424">
        <f t="shared" si="165"/>
        <v>9.4200765381218729E-3</v>
      </c>
      <c r="AD575" s="371">
        <f t="shared" si="166"/>
        <v>6.9504778453518675E-3</v>
      </c>
      <c r="AE575" s="748">
        <f t="shared" si="167"/>
        <v>0.99066783318751828</v>
      </c>
      <c r="AF575" s="417">
        <f t="shared" si="168"/>
        <v>0</v>
      </c>
      <c r="AG575" s="416">
        <f t="shared" si="169"/>
        <v>6</v>
      </c>
      <c r="AH575" s="372">
        <f t="shared" si="170"/>
        <v>1</v>
      </c>
      <c r="AI575" s="373">
        <f t="shared" si="171"/>
        <v>560.83333333333337</v>
      </c>
      <c r="AJ575" s="418">
        <f>VLOOKUP(D575,'Standard Cycle time'!C:D,2,0)</f>
        <v>5.25</v>
      </c>
      <c r="AK575" s="418">
        <f t="shared" si="172"/>
        <v>6.4190193164933138</v>
      </c>
      <c r="AL575" s="374">
        <f t="shared" si="173"/>
        <v>0.8178819444444444</v>
      </c>
      <c r="AM575" s="372">
        <f t="shared" si="174"/>
        <v>0.81024933370597196</v>
      </c>
      <c r="AN575" s="799">
        <v>3358</v>
      </c>
      <c r="AO575" s="448"/>
      <c r="AP575" s="440">
        <v>0</v>
      </c>
      <c r="AQ575" s="440">
        <v>0</v>
      </c>
      <c r="AR575" s="440">
        <v>0</v>
      </c>
      <c r="AS575" s="440">
        <v>0</v>
      </c>
      <c r="AT575" s="440">
        <v>0</v>
      </c>
      <c r="AU575" s="440">
        <v>0</v>
      </c>
      <c r="AV575" s="440">
        <v>0</v>
      </c>
      <c r="AW575" s="440">
        <v>0</v>
      </c>
      <c r="AX575" s="440">
        <v>0</v>
      </c>
      <c r="AY575" s="440">
        <v>0</v>
      </c>
      <c r="AZ575" s="440">
        <v>0</v>
      </c>
      <c r="BA575" s="440">
        <v>0</v>
      </c>
      <c r="BB575" s="440">
        <v>0</v>
      </c>
      <c r="BC575" s="440">
        <v>0</v>
      </c>
      <c r="BD575" s="440">
        <v>0</v>
      </c>
      <c r="BE575" s="440">
        <v>0</v>
      </c>
      <c r="BF575" s="440">
        <v>0</v>
      </c>
      <c r="BG575" s="440">
        <v>0</v>
      </c>
      <c r="BH575" s="440">
        <v>0</v>
      </c>
      <c r="BI575" s="440">
        <v>0</v>
      </c>
      <c r="BJ575" s="440">
        <v>0</v>
      </c>
      <c r="BK575" s="440">
        <v>0</v>
      </c>
      <c r="BL575" s="440">
        <v>0</v>
      </c>
      <c r="BM575" s="440">
        <v>0</v>
      </c>
      <c r="BN575" s="440">
        <v>0</v>
      </c>
      <c r="BO575" s="440">
        <v>0</v>
      </c>
      <c r="BP575" s="440">
        <v>0</v>
      </c>
      <c r="BQ575" s="440">
        <v>0</v>
      </c>
      <c r="BR575" s="415">
        <v>0</v>
      </c>
      <c r="BS575" s="415">
        <v>0</v>
      </c>
      <c r="BT575" s="935"/>
      <c r="BU575" s="935"/>
      <c r="BV575" s="935"/>
      <c r="BW575" s="935"/>
      <c r="BX575" s="935"/>
      <c r="BY575" s="935"/>
      <c r="BZ575" s="935"/>
      <c r="CA575" s="935"/>
      <c r="CB575" s="935"/>
      <c r="CC575" s="935"/>
      <c r="CD575" s="935"/>
      <c r="CE575" s="935"/>
      <c r="CF575" s="935"/>
      <c r="CG575" s="935"/>
      <c r="CH575" s="935"/>
      <c r="CI575" s="935"/>
      <c r="CJ575" s="935"/>
      <c r="CK575" s="935"/>
      <c r="CL575" s="935"/>
      <c r="CM575" s="935"/>
      <c r="CN575" s="935"/>
      <c r="CO575" s="935"/>
      <c r="CP575" s="935"/>
      <c r="CQ575" s="935"/>
      <c r="CR575" s="935"/>
      <c r="CS575" s="935"/>
      <c r="CT575" s="935"/>
      <c r="CU575" s="935"/>
      <c r="CV575" s="935"/>
    </row>
    <row r="576" spans="1:100" s="441" customFormat="1">
      <c r="A576" s="375">
        <f t="shared" si="160"/>
        <v>9</v>
      </c>
      <c r="B576" s="862">
        <v>44457</v>
      </c>
      <c r="C576" s="493" t="s">
        <v>1980</v>
      </c>
      <c r="D576" s="376" t="str">
        <f>IFERROR(VLOOKUP(E:E,'Item Data Support Sheet'!A:O,7,0),"")</f>
        <v>HOOD MOLDED</v>
      </c>
      <c r="E576" s="447" t="s">
        <v>1987</v>
      </c>
      <c r="F576" s="500"/>
      <c r="G576" s="497" t="s">
        <v>2729</v>
      </c>
      <c r="H576" s="602" t="str">
        <f>IFERROR(VLOOKUP(E:E,'Item Data Support Sheet'!A:O,2,0),"")</f>
        <v>HOOD S TYPE MOLDED</v>
      </c>
      <c r="I576" s="501" t="s">
        <v>3186</v>
      </c>
      <c r="J576" s="501" t="s">
        <v>2808</v>
      </c>
      <c r="K576" s="438">
        <v>4</v>
      </c>
      <c r="L576" s="499">
        <v>2068.5</v>
      </c>
      <c r="M576" s="366">
        <f t="shared" si="175"/>
        <v>517.125</v>
      </c>
      <c r="N576" s="367">
        <f t="shared" si="159"/>
        <v>2546</v>
      </c>
      <c r="O576" s="61">
        <v>2523</v>
      </c>
      <c r="P576" s="368">
        <v>0</v>
      </c>
      <c r="Q576" s="368">
        <v>0</v>
      </c>
      <c r="R576" s="494">
        <v>0</v>
      </c>
      <c r="S576" s="493">
        <v>0</v>
      </c>
      <c r="T576" s="494">
        <v>15</v>
      </c>
      <c r="U576" s="493">
        <v>8</v>
      </c>
      <c r="V576" s="502">
        <v>1</v>
      </c>
      <c r="W576" s="453">
        <f t="shared" si="161"/>
        <v>2523</v>
      </c>
      <c r="X576" s="748">
        <f t="shared" si="162"/>
        <v>1.2197244379985497</v>
      </c>
      <c r="Y576" s="451" t="str">
        <f>IFERROR(VLOOKUP(E:E,'Item Data Support Sheet'!A:J,6,0),0)</f>
        <v>HMC</v>
      </c>
      <c r="Z576" s="428">
        <f>IFERROR(VLOOKUP(E:E,'Item Data Support Sheet'!A:O,4,0),0)</f>
        <v>8.6</v>
      </c>
      <c r="AA576" s="428">
        <f t="shared" si="163"/>
        <v>21.895600000000002</v>
      </c>
      <c r="AB576" s="429">
        <f t="shared" si="164"/>
        <v>0.99096622152395908</v>
      </c>
      <c r="AC576" s="424">
        <f t="shared" si="165"/>
        <v>5.9101654846335696E-3</v>
      </c>
      <c r="AD576" s="371">
        <f t="shared" si="166"/>
        <v>0</v>
      </c>
      <c r="AE576" s="748">
        <f t="shared" si="167"/>
        <v>0.99410840534171252</v>
      </c>
      <c r="AF576" s="417">
        <f t="shared" si="168"/>
        <v>0</v>
      </c>
      <c r="AG576" s="416">
        <f t="shared" si="169"/>
        <v>4</v>
      </c>
      <c r="AH576" s="372">
        <f t="shared" si="170"/>
        <v>1</v>
      </c>
      <c r="AI576" s="373">
        <f t="shared" si="171"/>
        <v>630.75</v>
      </c>
      <c r="AJ576" s="418">
        <f>VLOOKUP(D576,'Standard Cycle time'!C:D,2,0)</f>
        <v>6</v>
      </c>
      <c r="AK576" s="418">
        <f t="shared" si="172"/>
        <v>5.7074910820451841</v>
      </c>
      <c r="AL576" s="374">
        <f t="shared" si="173"/>
        <v>1.05125</v>
      </c>
      <c r="AM576" s="372">
        <f t="shared" si="174"/>
        <v>1.0450564611154753</v>
      </c>
      <c r="AN576" s="799">
        <v>3359</v>
      </c>
      <c r="AO576" s="448"/>
      <c r="AP576" s="440">
        <v>0</v>
      </c>
      <c r="AQ576" s="440">
        <v>0</v>
      </c>
      <c r="AR576" s="440">
        <v>0</v>
      </c>
      <c r="AS576" s="440">
        <v>0</v>
      </c>
      <c r="AT576" s="440">
        <v>0</v>
      </c>
      <c r="AU576" s="440">
        <v>0</v>
      </c>
      <c r="AV576" s="440">
        <v>0</v>
      </c>
      <c r="AW576" s="440">
        <v>0</v>
      </c>
      <c r="AX576" s="440">
        <v>0</v>
      </c>
      <c r="AY576" s="440">
        <v>0</v>
      </c>
      <c r="AZ576" s="440">
        <v>0</v>
      </c>
      <c r="BA576" s="440">
        <v>0</v>
      </c>
      <c r="BB576" s="440">
        <v>0</v>
      </c>
      <c r="BC576" s="440">
        <v>0</v>
      </c>
      <c r="BD576" s="440">
        <v>0</v>
      </c>
      <c r="BE576" s="440">
        <v>0</v>
      </c>
      <c r="BF576" s="440">
        <v>0</v>
      </c>
      <c r="BG576" s="440">
        <v>0</v>
      </c>
      <c r="BH576" s="440">
        <v>0</v>
      </c>
      <c r="BI576" s="440">
        <v>0</v>
      </c>
      <c r="BJ576" s="440">
        <v>0</v>
      </c>
      <c r="BK576" s="440">
        <v>0</v>
      </c>
      <c r="BL576" s="440">
        <v>0</v>
      </c>
      <c r="BM576" s="440">
        <v>0</v>
      </c>
      <c r="BN576" s="440">
        <v>0</v>
      </c>
      <c r="BO576" s="440">
        <v>0</v>
      </c>
      <c r="BP576" s="440">
        <v>0</v>
      </c>
      <c r="BQ576" s="440">
        <v>0</v>
      </c>
      <c r="BR576" s="415">
        <v>0</v>
      </c>
      <c r="BS576" s="415">
        <v>0</v>
      </c>
      <c r="BT576" s="935"/>
      <c r="BU576" s="935"/>
      <c r="BV576" s="935"/>
      <c r="BW576" s="935"/>
      <c r="BX576" s="935"/>
      <c r="BY576" s="935"/>
      <c r="BZ576" s="935"/>
      <c r="CA576" s="935"/>
      <c r="CB576" s="935"/>
      <c r="CC576" s="935"/>
      <c r="CD576" s="935"/>
      <c r="CE576" s="935"/>
      <c r="CF576" s="935"/>
      <c r="CG576" s="935"/>
      <c r="CH576" s="935"/>
      <c r="CI576" s="935"/>
      <c r="CJ576" s="935"/>
      <c r="CK576" s="935"/>
      <c r="CL576" s="935"/>
      <c r="CM576" s="935"/>
      <c r="CN576" s="935"/>
      <c r="CO576" s="935"/>
      <c r="CP576" s="935"/>
      <c r="CQ576" s="935"/>
      <c r="CR576" s="935"/>
      <c r="CS576" s="935"/>
      <c r="CT576" s="935"/>
      <c r="CU576" s="935"/>
      <c r="CV576" s="935"/>
    </row>
    <row r="577" spans="1:100" s="441" customFormat="1">
      <c r="A577" s="375">
        <f t="shared" si="160"/>
        <v>9</v>
      </c>
      <c r="B577" s="862">
        <v>44457</v>
      </c>
      <c r="C577" s="493" t="s">
        <v>1980</v>
      </c>
      <c r="D577" s="376" t="str">
        <f>IFERROR(VLOOKUP(E:E,'Item Data Support Sheet'!A:O,7,0),"")</f>
        <v>NIPPLE PUNCH</v>
      </c>
      <c r="E577" s="447" t="s">
        <v>82</v>
      </c>
      <c r="F577" s="500"/>
      <c r="G577" s="497" t="s">
        <v>1692</v>
      </c>
      <c r="H577" s="602" t="str">
        <f>IFERROR(VLOOKUP(E:E,'Item Data Support Sheet'!A:O,2,0),"")</f>
        <v>NIPPLE S TYPE L SIZE PUNCHED</v>
      </c>
      <c r="I577" s="501" t="s">
        <v>3187</v>
      </c>
      <c r="J577" s="501" t="s">
        <v>2808</v>
      </c>
      <c r="K577" s="438">
        <v>6</v>
      </c>
      <c r="L577" s="499">
        <v>5250</v>
      </c>
      <c r="M577" s="366">
        <f t="shared" si="175"/>
        <v>875</v>
      </c>
      <c r="N577" s="367">
        <f t="shared" si="159"/>
        <v>5300</v>
      </c>
      <c r="O577" s="61">
        <v>5288</v>
      </c>
      <c r="P577" s="368">
        <v>0</v>
      </c>
      <c r="Q577" s="368">
        <v>0</v>
      </c>
      <c r="R577" s="494">
        <v>0</v>
      </c>
      <c r="S577" s="493">
        <v>0</v>
      </c>
      <c r="T577" s="494">
        <v>12</v>
      </c>
      <c r="U577" s="493">
        <v>0</v>
      </c>
      <c r="V577" s="502">
        <v>1</v>
      </c>
      <c r="W577" s="453">
        <f t="shared" si="161"/>
        <v>5288</v>
      </c>
      <c r="X577" s="748">
        <f t="shared" si="162"/>
        <v>1.0072380952380953</v>
      </c>
      <c r="Y577" s="451" t="str">
        <f>IFERROR(VLOOKUP(E:E,'Item Data Support Sheet'!A:J,6,0),0)</f>
        <v>FO017</v>
      </c>
      <c r="Z577" s="428">
        <f>IFERROR(VLOOKUP(E:E,'Item Data Support Sheet'!A:O,4,0),0)</f>
        <v>0</v>
      </c>
      <c r="AA577" s="428">
        <f t="shared" si="163"/>
        <v>0</v>
      </c>
      <c r="AB577" s="429" t="str">
        <f t="shared" si="164"/>
        <v xml:space="preserve"> </v>
      </c>
      <c r="AC577" s="424">
        <f t="shared" si="165"/>
        <v>2.2641509433962265E-3</v>
      </c>
      <c r="AD577" s="371">
        <f t="shared" si="166"/>
        <v>0</v>
      </c>
      <c r="AE577" s="748">
        <f t="shared" si="167"/>
        <v>0.99773584905660373</v>
      </c>
      <c r="AF577" s="417">
        <f t="shared" si="168"/>
        <v>0</v>
      </c>
      <c r="AG577" s="416">
        <f t="shared" si="169"/>
        <v>6</v>
      </c>
      <c r="AH577" s="372">
        <f t="shared" si="170"/>
        <v>1</v>
      </c>
      <c r="AI577" s="373">
        <f t="shared" si="171"/>
        <v>881.33333333333337</v>
      </c>
      <c r="AJ577" s="418">
        <f>VLOOKUP(D577,'Standard Cycle time'!C:D,2,0)</f>
        <v>3.5</v>
      </c>
      <c r="AK577" s="418">
        <f t="shared" si="172"/>
        <v>4.0847201210287443</v>
      </c>
      <c r="AL577" s="374">
        <f t="shared" si="173"/>
        <v>0.85685185185185186</v>
      </c>
      <c r="AM577" s="372">
        <f t="shared" si="174"/>
        <v>0.85491180992313065</v>
      </c>
      <c r="AN577" s="799">
        <v>3360</v>
      </c>
      <c r="AO577" s="448"/>
      <c r="AP577" s="440">
        <v>0</v>
      </c>
      <c r="AQ577" s="440">
        <v>0</v>
      </c>
      <c r="AR577" s="440">
        <v>0</v>
      </c>
      <c r="AS577" s="440">
        <v>0</v>
      </c>
      <c r="AT577" s="440">
        <v>0</v>
      </c>
      <c r="AU577" s="440">
        <v>0</v>
      </c>
      <c r="AV577" s="440">
        <v>0</v>
      </c>
      <c r="AW577" s="440">
        <v>0</v>
      </c>
      <c r="AX577" s="440">
        <v>0</v>
      </c>
      <c r="AY577" s="440">
        <v>0</v>
      </c>
      <c r="AZ577" s="440">
        <v>0</v>
      </c>
      <c r="BA577" s="440">
        <v>0</v>
      </c>
      <c r="BB577" s="440">
        <v>0</v>
      </c>
      <c r="BC577" s="440">
        <v>0</v>
      </c>
      <c r="BD577" s="440">
        <v>0</v>
      </c>
      <c r="BE577" s="440">
        <v>0</v>
      </c>
      <c r="BF577" s="440">
        <v>0</v>
      </c>
      <c r="BG577" s="440">
        <v>0</v>
      </c>
      <c r="BH577" s="440">
        <v>0</v>
      </c>
      <c r="BI577" s="440">
        <v>0</v>
      </c>
      <c r="BJ577" s="440">
        <v>0</v>
      </c>
      <c r="BK577" s="440">
        <v>0</v>
      </c>
      <c r="BL577" s="440">
        <v>0</v>
      </c>
      <c r="BM577" s="440">
        <v>0</v>
      </c>
      <c r="BN577" s="440">
        <v>0</v>
      </c>
      <c r="BO577" s="440">
        <v>0</v>
      </c>
      <c r="BP577" s="440">
        <v>0</v>
      </c>
      <c r="BQ577" s="440">
        <v>0</v>
      </c>
      <c r="BR577" s="415">
        <v>0</v>
      </c>
      <c r="BS577" s="415">
        <v>0</v>
      </c>
      <c r="BT577" s="935"/>
      <c r="BU577" s="935"/>
      <c r="BV577" s="935"/>
      <c r="BW577" s="935"/>
      <c r="BX577" s="935"/>
      <c r="BY577" s="935"/>
      <c r="BZ577" s="935"/>
      <c r="CA577" s="935"/>
      <c r="CB577" s="935"/>
      <c r="CC577" s="935"/>
      <c r="CD577" s="935"/>
      <c r="CE577" s="935"/>
      <c r="CF577" s="935"/>
      <c r="CG577" s="935"/>
      <c r="CH577" s="935"/>
      <c r="CI577" s="935"/>
      <c r="CJ577" s="935"/>
      <c r="CK577" s="935"/>
      <c r="CL577" s="935"/>
      <c r="CM577" s="935"/>
      <c r="CN577" s="935"/>
      <c r="CO577" s="935"/>
      <c r="CP577" s="935"/>
      <c r="CQ577" s="935"/>
      <c r="CR577" s="935"/>
      <c r="CS577" s="935"/>
      <c r="CT577" s="935"/>
      <c r="CU577" s="935"/>
      <c r="CV577" s="935"/>
    </row>
    <row r="578" spans="1:100" s="441" customFormat="1">
      <c r="A578" s="375">
        <f t="shared" si="160"/>
        <v>9</v>
      </c>
      <c r="B578" s="862">
        <v>44457</v>
      </c>
      <c r="C578" s="493" t="s">
        <v>1980</v>
      </c>
      <c r="D578" s="376" t="str">
        <f>IFERROR(VLOOKUP(E:E,'Item Data Support Sheet'!A:O,7,0),"")</f>
        <v>BOTTLE PRINTED</v>
      </c>
      <c r="E578" s="447" t="s">
        <v>71</v>
      </c>
      <c r="F578" s="500"/>
      <c r="G578" s="497"/>
      <c r="H578" s="602" t="str">
        <f>IFERROR(VLOOKUP(E:E,'Item Data Support Sheet'!A:O,2,0),"")</f>
        <v>RPP 120 ML BOTTLE PRINTED</v>
      </c>
      <c r="I578" s="501" t="s">
        <v>3188</v>
      </c>
      <c r="J578" s="501" t="s">
        <v>2813</v>
      </c>
      <c r="K578" s="438">
        <v>5</v>
      </c>
      <c r="L578" s="499">
        <v>3300</v>
      </c>
      <c r="M578" s="366">
        <f t="shared" si="175"/>
        <v>660</v>
      </c>
      <c r="N578" s="367">
        <f t="shared" si="159"/>
        <v>2466</v>
      </c>
      <c r="O578" s="61">
        <v>2384</v>
      </c>
      <c r="P578" s="368">
        <v>0</v>
      </c>
      <c r="Q578" s="368">
        <v>0</v>
      </c>
      <c r="R578" s="494">
        <v>18</v>
      </c>
      <c r="S578" s="493">
        <v>0</v>
      </c>
      <c r="T578" s="494">
        <v>82</v>
      </c>
      <c r="U578" s="493">
        <v>0</v>
      </c>
      <c r="V578" s="502">
        <v>5</v>
      </c>
      <c r="W578" s="453">
        <f t="shared" si="161"/>
        <v>476.8</v>
      </c>
      <c r="X578" s="748">
        <f t="shared" si="162"/>
        <v>0.72242424242424241</v>
      </c>
      <c r="Y578" s="451" t="str">
        <f>IFERROR(VLOOKUP(E:E,'Item Data Support Sheet'!A:J,6,0),0)</f>
        <v>FO004</v>
      </c>
      <c r="Z578" s="428">
        <f>IFERROR(VLOOKUP(E:E,'Item Data Support Sheet'!A:O,4,0),0)</f>
        <v>0</v>
      </c>
      <c r="AA578" s="428">
        <f t="shared" si="163"/>
        <v>0</v>
      </c>
      <c r="AB578" s="429" t="str">
        <f t="shared" si="164"/>
        <v xml:space="preserve"> </v>
      </c>
      <c r="AC578" s="424">
        <f t="shared" si="165"/>
        <v>3.3252230332522302E-2</v>
      </c>
      <c r="AD578" s="371">
        <f t="shared" si="166"/>
        <v>0</v>
      </c>
      <c r="AE578" s="748">
        <f t="shared" si="167"/>
        <v>0.96674776966747766</v>
      </c>
      <c r="AF578" s="417">
        <f t="shared" si="168"/>
        <v>1.1666666666666667</v>
      </c>
      <c r="AG578" s="416">
        <f t="shared" si="169"/>
        <v>3.833333333333333</v>
      </c>
      <c r="AH578" s="372">
        <f t="shared" si="170"/>
        <v>0.76666666666666661</v>
      </c>
      <c r="AI578" s="373">
        <f t="shared" si="171"/>
        <v>476.8</v>
      </c>
      <c r="AJ578" s="418">
        <f>VLOOKUP(D578,'Standard Cycle time'!C:D,2,0)</f>
        <v>32.4</v>
      </c>
      <c r="AK578" s="418">
        <f t="shared" si="172"/>
        <v>28.942953020134222</v>
      </c>
      <c r="AL578" s="374">
        <f t="shared" si="173"/>
        <v>1.1194434782608698</v>
      </c>
      <c r="AM578" s="372">
        <f t="shared" si="174"/>
        <v>0.8297016058394161</v>
      </c>
      <c r="AN578" s="799" t="s">
        <v>3189</v>
      </c>
      <c r="AO578" s="448" t="s">
        <v>3190</v>
      </c>
      <c r="AP578" s="440">
        <v>0</v>
      </c>
      <c r="AQ578" s="440">
        <v>70</v>
      </c>
      <c r="AR578" s="440">
        <v>0</v>
      </c>
      <c r="AS578" s="440">
        <v>0</v>
      </c>
      <c r="AT578" s="440">
        <v>0</v>
      </c>
      <c r="AU578" s="440">
        <v>0</v>
      </c>
      <c r="AV578" s="440">
        <v>0</v>
      </c>
      <c r="AW578" s="440">
        <v>0</v>
      </c>
      <c r="AX578" s="440">
        <v>0</v>
      </c>
      <c r="AY578" s="440">
        <v>0</v>
      </c>
      <c r="AZ578" s="440">
        <v>0</v>
      </c>
      <c r="BA578" s="440">
        <v>0</v>
      </c>
      <c r="BB578" s="440">
        <v>0</v>
      </c>
      <c r="BC578" s="440">
        <v>0</v>
      </c>
      <c r="BD578" s="440">
        <v>0</v>
      </c>
      <c r="BE578" s="440">
        <v>0</v>
      </c>
      <c r="BF578" s="440">
        <v>0</v>
      </c>
      <c r="BG578" s="440">
        <v>0</v>
      </c>
      <c r="BH578" s="440">
        <v>0</v>
      </c>
      <c r="BI578" s="440">
        <v>0</v>
      </c>
      <c r="BJ578" s="440">
        <v>0</v>
      </c>
      <c r="BK578" s="440">
        <v>0</v>
      </c>
      <c r="BL578" s="440">
        <v>0</v>
      </c>
      <c r="BM578" s="440">
        <v>0</v>
      </c>
      <c r="BN578" s="440">
        <v>0</v>
      </c>
      <c r="BO578" s="440">
        <v>0</v>
      </c>
      <c r="BP578" s="440">
        <v>0</v>
      </c>
      <c r="BQ578" s="440">
        <v>0</v>
      </c>
      <c r="BR578" s="415">
        <v>1.1666666666666667</v>
      </c>
      <c r="BS578" s="415">
        <v>1.1861111111111111</v>
      </c>
      <c r="BT578" s="935"/>
      <c r="BU578" s="935"/>
      <c r="BV578" s="935"/>
      <c r="BW578" s="935"/>
      <c r="BX578" s="935"/>
      <c r="BY578" s="935"/>
      <c r="BZ578" s="935"/>
      <c r="CA578" s="935"/>
      <c r="CB578" s="935"/>
      <c r="CC578" s="935"/>
      <c r="CD578" s="935"/>
      <c r="CE578" s="935"/>
      <c r="CF578" s="935"/>
      <c r="CG578" s="935"/>
      <c r="CH578" s="935"/>
      <c r="CI578" s="935"/>
      <c r="CJ578" s="935"/>
      <c r="CK578" s="935"/>
      <c r="CL578" s="935"/>
      <c r="CM578" s="935"/>
      <c r="CN578" s="935"/>
      <c r="CO578" s="935"/>
      <c r="CP578" s="935"/>
      <c r="CQ578" s="935"/>
      <c r="CR578" s="935"/>
      <c r="CS578" s="935"/>
      <c r="CT578" s="935"/>
      <c r="CU578" s="935"/>
      <c r="CV578" s="935"/>
    </row>
    <row r="579" spans="1:100" s="441" customFormat="1">
      <c r="A579" s="375">
        <f t="shared" si="160"/>
        <v>9</v>
      </c>
      <c r="B579" s="862">
        <v>44457</v>
      </c>
      <c r="C579" s="493" t="s">
        <v>1980</v>
      </c>
      <c r="D579" s="376" t="str">
        <f>IFERROR(VLOOKUP(E:E,'Item Data Support Sheet'!A:O,7,0),"")</f>
        <v>BOTTLE PRINTED</v>
      </c>
      <c r="E579" s="447" t="s">
        <v>69</v>
      </c>
      <c r="F579" s="500"/>
      <c r="G579" s="497"/>
      <c r="H579" s="602" t="str">
        <f>IFERROR(VLOOKUP(E:E,'Item Data Support Sheet'!A:O,2,0),"")</f>
        <v>KPP 120 ML BOTTLE PRINTED</v>
      </c>
      <c r="I579" s="501" t="s">
        <v>3191</v>
      </c>
      <c r="J579" s="501" t="s">
        <v>2808</v>
      </c>
      <c r="K579" s="438">
        <v>2</v>
      </c>
      <c r="L579" s="499">
        <v>1200</v>
      </c>
      <c r="M579" s="366">
        <f t="shared" si="175"/>
        <v>600</v>
      </c>
      <c r="N579" s="367">
        <f t="shared" si="159"/>
        <v>1250</v>
      </c>
      <c r="O579" s="61">
        <v>1237</v>
      </c>
      <c r="P579" s="368">
        <v>0</v>
      </c>
      <c r="Q579" s="368">
        <v>0</v>
      </c>
      <c r="R579" s="494">
        <v>10</v>
      </c>
      <c r="S579" s="493">
        <v>0</v>
      </c>
      <c r="T579" s="494">
        <v>13</v>
      </c>
      <c r="U579" s="493">
        <v>0</v>
      </c>
      <c r="V579" s="502">
        <v>5</v>
      </c>
      <c r="W579" s="453">
        <f t="shared" si="161"/>
        <v>247.4</v>
      </c>
      <c r="X579" s="748">
        <f t="shared" si="162"/>
        <v>1.0308333333333333</v>
      </c>
      <c r="Y579" s="451" t="str">
        <f>IFERROR(VLOOKUP(E:E,'Item Data Support Sheet'!A:J,6,0),0)</f>
        <v>FO001</v>
      </c>
      <c r="Z579" s="428">
        <f>IFERROR(VLOOKUP(E:E,'Item Data Support Sheet'!A:O,4,0),0)</f>
        <v>0</v>
      </c>
      <c r="AA579" s="428">
        <f t="shared" si="163"/>
        <v>0</v>
      </c>
      <c r="AB579" s="429" t="str">
        <f t="shared" si="164"/>
        <v xml:space="preserve"> </v>
      </c>
      <c r="AC579" s="424">
        <f t="shared" si="165"/>
        <v>1.04E-2</v>
      </c>
      <c r="AD579" s="371">
        <f t="shared" si="166"/>
        <v>0</v>
      </c>
      <c r="AE579" s="748">
        <f t="shared" si="167"/>
        <v>0.98960000000000004</v>
      </c>
      <c r="AF579" s="417">
        <f t="shared" si="168"/>
        <v>0</v>
      </c>
      <c r="AG579" s="416">
        <f t="shared" si="169"/>
        <v>2</v>
      </c>
      <c r="AH579" s="372">
        <f t="shared" si="170"/>
        <v>1</v>
      </c>
      <c r="AI579" s="373">
        <f t="shared" si="171"/>
        <v>618.5</v>
      </c>
      <c r="AJ579" s="418">
        <f>VLOOKUP(D579,'Standard Cycle time'!C:D,2,0)</f>
        <v>32.4</v>
      </c>
      <c r="AK579" s="418">
        <f t="shared" si="172"/>
        <v>29.10266774454325</v>
      </c>
      <c r="AL579" s="374">
        <f t="shared" si="173"/>
        <v>1.1133</v>
      </c>
      <c r="AM579" s="372">
        <f t="shared" si="174"/>
        <v>1.10172168</v>
      </c>
      <c r="AN579" s="799" t="s">
        <v>2874</v>
      </c>
      <c r="AO579" s="448"/>
      <c r="AP579" s="440">
        <v>0</v>
      </c>
      <c r="AQ579" s="440">
        <v>0</v>
      </c>
      <c r="AR579" s="440">
        <v>0</v>
      </c>
      <c r="AS579" s="440">
        <v>0</v>
      </c>
      <c r="AT579" s="440">
        <v>0</v>
      </c>
      <c r="AU579" s="440">
        <v>0</v>
      </c>
      <c r="AV579" s="440">
        <v>0</v>
      </c>
      <c r="AW579" s="440">
        <v>0</v>
      </c>
      <c r="AX579" s="440">
        <v>0</v>
      </c>
      <c r="AY579" s="440">
        <v>0</v>
      </c>
      <c r="AZ579" s="440">
        <v>0</v>
      </c>
      <c r="BA579" s="440">
        <v>0</v>
      </c>
      <c r="BB579" s="440">
        <v>0</v>
      </c>
      <c r="BC579" s="440">
        <v>0</v>
      </c>
      <c r="BD579" s="440">
        <v>0</v>
      </c>
      <c r="BE579" s="440">
        <v>0</v>
      </c>
      <c r="BF579" s="440">
        <v>0</v>
      </c>
      <c r="BG579" s="440">
        <v>0</v>
      </c>
      <c r="BH579" s="440">
        <v>0</v>
      </c>
      <c r="BI579" s="440">
        <v>0</v>
      </c>
      <c r="BJ579" s="440">
        <v>0</v>
      </c>
      <c r="BK579" s="440">
        <v>0</v>
      </c>
      <c r="BL579" s="440">
        <v>0</v>
      </c>
      <c r="BM579" s="440">
        <v>0</v>
      </c>
      <c r="BN579" s="440">
        <v>0</v>
      </c>
      <c r="BO579" s="440">
        <v>0</v>
      </c>
      <c r="BP579" s="440">
        <v>0</v>
      </c>
      <c r="BQ579" s="440">
        <v>0</v>
      </c>
      <c r="BR579" s="415">
        <v>0</v>
      </c>
      <c r="BS579" s="415">
        <v>0</v>
      </c>
      <c r="BT579" s="935"/>
      <c r="BU579" s="935"/>
      <c r="BV579" s="935"/>
      <c r="BW579" s="935"/>
      <c r="BX579" s="935"/>
      <c r="BY579" s="935"/>
      <c r="BZ579" s="935"/>
      <c r="CA579" s="935"/>
      <c r="CB579" s="935"/>
      <c r="CC579" s="935"/>
      <c r="CD579" s="935"/>
      <c r="CE579" s="935"/>
      <c r="CF579" s="935"/>
      <c r="CG579" s="935"/>
      <c r="CH579" s="935"/>
      <c r="CI579" s="935"/>
      <c r="CJ579" s="935"/>
      <c r="CK579" s="935"/>
      <c r="CL579" s="935"/>
      <c r="CM579" s="935"/>
      <c r="CN579" s="935"/>
      <c r="CO579" s="935"/>
      <c r="CP579" s="935"/>
      <c r="CQ579" s="935"/>
      <c r="CR579" s="935"/>
      <c r="CS579" s="935"/>
      <c r="CT579" s="935"/>
      <c r="CU579" s="935"/>
      <c r="CV579" s="935"/>
    </row>
    <row r="580" spans="1:100" s="441" customFormat="1">
      <c r="A580" s="375">
        <f t="shared" si="160"/>
        <v>9</v>
      </c>
      <c r="B580" s="862">
        <v>44459</v>
      </c>
      <c r="C580" s="493" t="s">
        <v>1980</v>
      </c>
      <c r="D580" s="376" t="str">
        <f>IFERROR(VLOOKUP(E:E,'Item Data Support Sheet'!A:O,7,0),"")</f>
        <v>BOTTLE MOLDED</v>
      </c>
      <c r="E580" s="447" t="s">
        <v>65</v>
      </c>
      <c r="F580" s="500" t="s">
        <v>1679</v>
      </c>
      <c r="G580" s="497" t="s">
        <v>1888</v>
      </c>
      <c r="H580" s="602" t="str">
        <f>IFERROR(VLOOKUP(E:E,'Item Data Support Sheet'!A:O,2,0),"")</f>
        <v>KPP 120 ML BOTTLE MOLDED</v>
      </c>
      <c r="I580" s="501" t="s">
        <v>3192</v>
      </c>
      <c r="J580" s="501" t="s">
        <v>2808</v>
      </c>
      <c r="K580" s="438">
        <v>8</v>
      </c>
      <c r="L580" s="499">
        <v>2574</v>
      </c>
      <c r="M580" s="366">
        <f t="shared" si="175"/>
        <v>321.75</v>
      </c>
      <c r="N580" s="367">
        <f t="shared" ref="N580:N643" si="176">+O580+Q580+T580+U580</f>
        <v>2242</v>
      </c>
      <c r="O580" s="61">
        <v>2160</v>
      </c>
      <c r="P580" s="368">
        <v>0.12</v>
      </c>
      <c r="Q580" s="368">
        <v>42</v>
      </c>
      <c r="R580" s="494">
        <v>0</v>
      </c>
      <c r="S580" s="493">
        <v>0</v>
      </c>
      <c r="T580" s="494">
        <v>32</v>
      </c>
      <c r="U580" s="493">
        <v>8</v>
      </c>
      <c r="V580" s="502">
        <v>1</v>
      </c>
      <c r="W580" s="453">
        <f t="shared" si="161"/>
        <v>2160</v>
      </c>
      <c r="X580" s="748">
        <f t="shared" si="162"/>
        <v>0.83916083916083917</v>
      </c>
      <c r="Y580" s="451" t="str">
        <f>IFERROR(VLOOKUP(E:E,'Item Data Support Sheet'!A:J,6,0),0)</f>
        <v>HMC</v>
      </c>
      <c r="Z580" s="428">
        <f>IFERROR(VLOOKUP(E:E,'Item Data Support Sheet'!A:O,4,0),0)</f>
        <v>21.3</v>
      </c>
      <c r="AA580" s="428">
        <f t="shared" si="163"/>
        <v>47.874599999999994</v>
      </c>
      <c r="AB580" s="429">
        <f t="shared" si="164"/>
        <v>0.96101064029777794</v>
      </c>
      <c r="AC580" s="424">
        <f t="shared" si="165"/>
        <v>1.4598540145985401E-2</v>
      </c>
      <c r="AD580" s="371">
        <f t="shared" si="166"/>
        <v>1.8388791593695272E-2</v>
      </c>
      <c r="AE580" s="748">
        <f t="shared" si="167"/>
        <v>0.98572702943800183</v>
      </c>
      <c r="AF580" s="417">
        <f t="shared" si="168"/>
        <v>1.75</v>
      </c>
      <c r="AG580" s="416">
        <f t="shared" si="169"/>
        <v>6.25</v>
      </c>
      <c r="AH580" s="372">
        <f t="shared" si="170"/>
        <v>0.78125</v>
      </c>
      <c r="AI580" s="373">
        <f t="shared" si="171"/>
        <v>270</v>
      </c>
      <c r="AJ580" s="418">
        <f>VLOOKUP(D580,'Standard Cycle time'!C:D,2,0)</f>
        <v>9</v>
      </c>
      <c r="AK580" s="418">
        <f t="shared" si="172"/>
        <v>10.416666666666666</v>
      </c>
      <c r="AL580" s="374">
        <f t="shared" si="173"/>
        <v>0.8640000000000001</v>
      </c>
      <c r="AM580" s="372">
        <f t="shared" si="174"/>
        <v>0.66536574487065137</v>
      </c>
      <c r="AN580" s="799">
        <v>3369</v>
      </c>
      <c r="AO580" s="448" t="s">
        <v>3193</v>
      </c>
      <c r="AP580" s="440">
        <v>0</v>
      </c>
      <c r="AQ580" s="440">
        <v>0</v>
      </c>
      <c r="AR580" s="440">
        <v>70</v>
      </c>
      <c r="AS580" s="440">
        <v>0</v>
      </c>
      <c r="AT580" s="440">
        <v>0</v>
      </c>
      <c r="AU580" s="440">
        <v>0</v>
      </c>
      <c r="AV580" s="440">
        <v>0</v>
      </c>
      <c r="AW580" s="440">
        <v>0</v>
      </c>
      <c r="AX580" s="440">
        <v>0</v>
      </c>
      <c r="AY580" s="440">
        <v>0</v>
      </c>
      <c r="AZ580" s="440">
        <v>15</v>
      </c>
      <c r="BA580" s="440">
        <v>0</v>
      </c>
      <c r="BB580" s="440">
        <v>20</v>
      </c>
      <c r="BC580" s="440">
        <v>0</v>
      </c>
      <c r="BD580" s="440">
        <v>0</v>
      </c>
      <c r="BE580" s="440">
        <v>0</v>
      </c>
      <c r="BF580" s="440">
        <v>0</v>
      </c>
      <c r="BG580" s="440">
        <v>0</v>
      </c>
      <c r="BH580" s="440">
        <v>0</v>
      </c>
      <c r="BI580" s="440">
        <v>0</v>
      </c>
      <c r="BJ580" s="440">
        <v>0</v>
      </c>
      <c r="BK580" s="440">
        <v>0</v>
      </c>
      <c r="BL580" s="440">
        <v>0</v>
      </c>
      <c r="BM580" s="440">
        <v>0</v>
      </c>
      <c r="BN580" s="440">
        <v>0</v>
      </c>
      <c r="BO580" s="440">
        <v>0</v>
      </c>
      <c r="BP580" s="440">
        <v>0</v>
      </c>
      <c r="BQ580" s="440">
        <v>0</v>
      </c>
      <c r="BR580" s="415">
        <v>1.75</v>
      </c>
      <c r="BS580" s="415">
        <v>1.7791666666666666</v>
      </c>
      <c r="BT580" s="935"/>
      <c r="BU580" s="935"/>
      <c r="BV580" s="935"/>
      <c r="BW580" s="935"/>
      <c r="BX580" s="935"/>
      <c r="BY580" s="935"/>
      <c r="BZ580" s="935"/>
      <c r="CA580" s="935"/>
      <c r="CB580" s="935"/>
      <c r="CC580" s="935"/>
      <c r="CD580" s="935"/>
      <c r="CE580" s="935"/>
      <c r="CF580" s="935"/>
      <c r="CG580" s="935"/>
      <c r="CH580" s="935"/>
      <c r="CI580" s="935"/>
      <c r="CJ580" s="935"/>
      <c r="CK580" s="935"/>
      <c r="CL580" s="935"/>
      <c r="CM580" s="935"/>
      <c r="CN580" s="935"/>
      <c r="CO580" s="935"/>
      <c r="CP580" s="935"/>
      <c r="CQ580" s="935"/>
      <c r="CR580" s="935"/>
      <c r="CS580" s="935"/>
      <c r="CT580" s="935"/>
      <c r="CU580" s="935"/>
      <c r="CV580" s="935"/>
    </row>
    <row r="581" spans="1:100" s="441" customFormat="1">
      <c r="A581" s="375">
        <f t="shared" ref="A581:A644" si="177">MONTH(B581)</f>
        <v>9</v>
      </c>
      <c r="B581" s="862">
        <v>44459</v>
      </c>
      <c r="C581" s="493" t="s">
        <v>1980</v>
      </c>
      <c r="D581" s="376" t="str">
        <f>IFERROR(VLOOKUP(E:E,'Item Data Support Sheet'!A:O,7,0),"")</f>
        <v>NIPPLE MOLDED</v>
      </c>
      <c r="E581" s="447" t="s">
        <v>74</v>
      </c>
      <c r="F581" s="500" t="s">
        <v>1678</v>
      </c>
      <c r="G581" s="497" t="s">
        <v>1691</v>
      </c>
      <c r="H581" s="602" t="str">
        <f>IFERROR(VLOOKUP(E:E,'Item Data Support Sheet'!A:O,2,0),"")</f>
        <v>NIPPLE S TYPE L SIZE INJECTION</v>
      </c>
      <c r="I581" s="501" t="s">
        <v>3194</v>
      </c>
      <c r="J581" s="501" t="s">
        <v>2808</v>
      </c>
      <c r="K581" s="438">
        <v>8</v>
      </c>
      <c r="L581" s="499">
        <v>3600</v>
      </c>
      <c r="M581" s="366">
        <f t="shared" si="175"/>
        <v>450</v>
      </c>
      <c r="N581" s="367">
        <f t="shared" si="176"/>
        <v>3940</v>
      </c>
      <c r="O581" s="61">
        <v>3800</v>
      </c>
      <c r="P581" s="368">
        <v>1.2</v>
      </c>
      <c r="Q581" s="368">
        <v>78</v>
      </c>
      <c r="R581" s="494">
        <v>0</v>
      </c>
      <c r="S581" s="493">
        <v>0</v>
      </c>
      <c r="T581" s="494">
        <v>54</v>
      </c>
      <c r="U581" s="493">
        <v>8</v>
      </c>
      <c r="V581" s="502">
        <v>1</v>
      </c>
      <c r="W581" s="453">
        <f t="shared" ref="W581:W644" si="178">IFERROR(O581/V581,0)</f>
        <v>3800</v>
      </c>
      <c r="X581" s="748">
        <f t="shared" ref="X581:X644" si="179">O581/L581</f>
        <v>1.0555555555555556</v>
      </c>
      <c r="Y581" s="451" t="str">
        <f>IFERROR(VLOOKUP(E:E,'Item Data Support Sheet'!A:J,6,0),0)</f>
        <v>Silicon</v>
      </c>
      <c r="Z581" s="428">
        <f>IFERROR(VLOOKUP(E:E,'Item Data Support Sheet'!A:O,4,0),0)</f>
        <v>6.8</v>
      </c>
      <c r="AA581" s="428">
        <f t="shared" ref="AA581:AA644" si="180">IFERROR(((N581)*(Z581/1000))+P581,0)</f>
        <v>27.991999999999997</v>
      </c>
      <c r="AB581" s="429">
        <f t="shared" ref="AB581:AB644" si="181">IFERROR((O581*(Z581/1000)/(AA581))," ")</f>
        <v>0.92312089168333822</v>
      </c>
      <c r="AC581" s="424">
        <f t="shared" ref="AC581:AC644" si="182">IFERROR((T581)/((T581)+O581),0)</f>
        <v>1.4011416709911779E-2</v>
      </c>
      <c r="AD581" s="371">
        <f t="shared" ref="AD581:AD644" si="183">IFERROR(Q581/(Q581+N581),0)</f>
        <v>1.9412643106022896E-2</v>
      </c>
      <c r="AE581" s="748">
        <f t="shared" ref="AE581:AE644" si="184">(N581-T581)/N581</f>
        <v>0.98629441624365477</v>
      </c>
      <c r="AF581" s="417">
        <f t="shared" ref="AF581:AF644" si="185">BR581</f>
        <v>2</v>
      </c>
      <c r="AG581" s="416">
        <f t="shared" ref="AG581:AG644" si="186">K581-AF581</f>
        <v>6</v>
      </c>
      <c r="AH581" s="372">
        <f t="shared" ref="AH581:AH644" si="187">IFERROR(AG581/K581," ")</f>
        <v>0.75</v>
      </c>
      <c r="AI581" s="373">
        <f t="shared" ref="AI581:AI644" si="188">IFERROR(O581/K581,0)</f>
        <v>475</v>
      </c>
      <c r="AJ581" s="418">
        <f>VLOOKUP(D581,'Standard Cycle time'!C:D,2,0)</f>
        <v>5.25</v>
      </c>
      <c r="AK581" s="418">
        <f t="shared" ref="AK581:AK644" si="189">AG581*V581*3600/O581</f>
        <v>5.6842105263157894</v>
      </c>
      <c r="AL581" s="374">
        <f t="shared" ref="AL581:AL644" si="190">AJ581/AK581</f>
        <v>0.92361111111111116</v>
      </c>
      <c r="AM581" s="372">
        <f t="shared" ref="AM581:AM644" si="191">AE581*AL581*AH581</f>
        <v>0.6832143612521151</v>
      </c>
      <c r="AN581" s="799">
        <v>3370</v>
      </c>
      <c r="AO581" s="448" t="s">
        <v>3195</v>
      </c>
      <c r="AP581" s="440">
        <v>0</v>
      </c>
      <c r="AQ581" s="440">
        <v>0</v>
      </c>
      <c r="AR581" s="440">
        <v>0</v>
      </c>
      <c r="AS581" s="440">
        <v>0</v>
      </c>
      <c r="AT581" s="440">
        <v>0</v>
      </c>
      <c r="AU581" s="440">
        <v>30</v>
      </c>
      <c r="AV581" s="440">
        <v>0</v>
      </c>
      <c r="AW581" s="440">
        <v>0</v>
      </c>
      <c r="AX581" s="440">
        <v>0</v>
      </c>
      <c r="AY581" s="440">
        <v>0</v>
      </c>
      <c r="AZ581" s="440">
        <v>0</v>
      </c>
      <c r="BA581" s="440">
        <v>0</v>
      </c>
      <c r="BB581" s="440">
        <v>90</v>
      </c>
      <c r="BC581" s="440">
        <v>0</v>
      </c>
      <c r="BD581" s="440">
        <v>0</v>
      </c>
      <c r="BE581" s="440">
        <v>0</v>
      </c>
      <c r="BF581" s="440">
        <v>0</v>
      </c>
      <c r="BG581" s="440">
        <v>0</v>
      </c>
      <c r="BH581" s="440">
        <v>0</v>
      </c>
      <c r="BI581" s="440">
        <v>0</v>
      </c>
      <c r="BJ581" s="440">
        <v>0</v>
      </c>
      <c r="BK581" s="440">
        <v>0</v>
      </c>
      <c r="BL581" s="440">
        <v>0</v>
      </c>
      <c r="BM581" s="440">
        <v>0</v>
      </c>
      <c r="BN581" s="440">
        <v>0</v>
      </c>
      <c r="BO581" s="440">
        <v>0</v>
      </c>
      <c r="BP581" s="440">
        <v>0</v>
      </c>
      <c r="BQ581" s="440">
        <v>0</v>
      </c>
      <c r="BR581" s="415">
        <v>2</v>
      </c>
      <c r="BS581" s="415">
        <v>2.0333333333333332</v>
      </c>
      <c r="BT581" s="935"/>
      <c r="BU581" s="935"/>
      <c r="BV581" s="935"/>
      <c r="BW581" s="935"/>
      <c r="BX581" s="935"/>
      <c r="BY581" s="935"/>
      <c r="BZ581" s="935"/>
      <c r="CA581" s="935"/>
      <c r="CB581" s="935"/>
      <c r="CC581" s="935"/>
      <c r="CD581" s="935"/>
      <c r="CE581" s="935"/>
      <c r="CF581" s="935"/>
      <c r="CG581" s="935"/>
      <c r="CH581" s="935"/>
      <c r="CI581" s="935"/>
      <c r="CJ581" s="935"/>
      <c r="CK581" s="935"/>
      <c r="CL581" s="935"/>
      <c r="CM581" s="935"/>
      <c r="CN581" s="935"/>
      <c r="CO581" s="935"/>
      <c r="CP581" s="935"/>
      <c r="CQ581" s="935"/>
      <c r="CR581" s="935"/>
      <c r="CS581" s="935"/>
      <c r="CT581" s="935"/>
      <c r="CU581" s="935"/>
      <c r="CV581" s="935"/>
    </row>
    <row r="582" spans="1:100" s="441" customFormat="1">
      <c r="A582" s="375">
        <f t="shared" si="177"/>
        <v>9</v>
      </c>
      <c r="B582" s="862">
        <v>44459</v>
      </c>
      <c r="C582" s="493" t="s">
        <v>1980</v>
      </c>
      <c r="D582" s="376" t="str">
        <f>IFERROR(VLOOKUP(E:E,'Item Data Support Sheet'!A:O,7,0),"")</f>
        <v>NIPPLE PUNCH</v>
      </c>
      <c r="E582" s="447" t="s">
        <v>82</v>
      </c>
      <c r="F582" s="500" t="s">
        <v>1679</v>
      </c>
      <c r="G582" s="497" t="s">
        <v>1888</v>
      </c>
      <c r="H582" s="602" t="str">
        <f>IFERROR(VLOOKUP(E:E,'Item Data Support Sheet'!A:O,2,0),"")</f>
        <v>NIPPLE S TYPE L SIZE PUNCHED</v>
      </c>
      <c r="I582" s="501" t="s">
        <v>3196</v>
      </c>
      <c r="J582" s="501" t="s">
        <v>2808</v>
      </c>
      <c r="K582" s="438">
        <v>8</v>
      </c>
      <c r="L582" s="499">
        <v>7000</v>
      </c>
      <c r="M582" s="366">
        <f t="shared" si="175"/>
        <v>875</v>
      </c>
      <c r="N582" s="367">
        <f t="shared" si="176"/>
        <v>6200</v>
      </c>
      <c r="O582" s="61">
        <v>6200</v>
      </c>
      <c r="P582" s="368">
        <v>0</v>
      </c>
      <c r="Q582" s="368">
        <v>0</v>
      </c>
      <c r="R582" s="494">
        <v>0</v>
      </c>
      <c r="S582" s="493">
        <v>0</v>
      </c>
      <c r="T582" s="494">
        <v>0</v>
      </c>
      <c r="U582" s="493">
        <v>0</v>
      </c>
      <c r="V582" s="502">
        <v>1</v>
      </c>
      <c r="W582" s="453">
        <f t="shared" si="178"/>
        <v>6200</v>
      </c>
      <c r="X582" s="748">
        <f t="shared" si="179"/>
        <v>0.88571428571428568</v>
      </c>
      <c r="Y582" s="451" t="str">
        <f>IFERROR(VLOOKUP(E:E,'Item Data Support Sheet'!A:J,6,0),0)</f>
        <v>FO017</v>
      </c>
      <c r="Z582" s="428">
        <f>IFERROR(VLOOKUP(E:E,'Item Data Support Sheet'!A:O,4,0),0)</f>
        <v>0</v>
      </c>
      <c r="AA582" s="428">
        <f t="shared" si="180"/>
        <v>0</v>
      </c>
      <c r="AB582" s="429" t="str">
        <f t="shared" si="181"/>
        <v xml:space="preserve"> </v>
      </c>
      <c r="AC582" s="424">
        <f t="shared" si="182"/>
        <v>0</v>
      </c>
      <c r="AD582" s="371">
        <f t="shared" si="183"/>
        <v>0</v>
      </c>
      <c r="AE582" s="748">
        <f t="shared" si="184"/>
        <v>1</v>
      </c>
      <c r="AF582" s="417">
        <f t="shared" si="185"/>
        <v>0.75</v>
      </c>
      <c r="AG582" s="416">
        <f t="shared" si="186"/>
        <v>7.25</v>
      </c>
      <c r="AH582" s="372">
        <f t="shared" si="187"/>
        <v>0.90625</v>
      </c>
      <c r="AI582" s="373">
        <f t="shared" si="188"/>
        <v>775</v>
      </c>
      <c r="AJ582" s="418">
        <f>VLOOKUP(D582,'Standard Cycle time'!C:D,2,0)</f>
        <v>3.5</v>
      </c>
      <c r="AK582" s="418">
        <f t="shared" si="189"/>
        <v>4.209677419354839</v>
      </c>
      <c r="AL582" s="374">
        <f t="shared" si="190"/>
        <v>0.83141762452107271</v>
      </c>
      <c r="AM582" s="372">
        <f t="shared" si="191"/>
        <v>0.7534722222222221</v>
      </c>
      <c r="AN582" s="799" t="s">
        <v>3197</v>
      </c>
      <c r="AO582" s="448" t="s">
        <v>3198</v>
      </c>
      <c r="AP582" s="440">
        <v>0</v>
      </c>
      <c r="AQ582" s="440">
        <v>0</v>
      </c>
      <c r="AR582" s="440">
        <v>0</v>
      </c>
      <c r="AS582" s="440">
        <v>0</v>
      </c>
      <c r="AT582" s="440">
        <v>0</v>
      </c>
      <c r="AU582" s="440">
        <v>0</v>
      </c>
      <c r="AV582" s="440">
        <v>0</v>
      </c>
      <c r="AW582" s="440">
        <v>0</v>
      </c>
      <c r="AX582" s="440">
        <v>0</v>
      </c>
      <c r="AY582" s="440">
        <v>0</v>
      </c>
      <c r="AZ582" s="440">
        <v>0</v>
      </c>
      <c r="BA582" s="440">
        <v>0</v>
      </c>
      <c r="BB582" s="440">
        <v>0</v>
      </c>
      <c r="BC582" s="440">
        <v>0</v>
      </c>
      <c r="BD582" s="440">
        <v>0</v>
      </c>
      <c r="BE582" s="440">
        <v>0</v>
      </c>
      <c r="BF582" s="440">
        <v>30</v>
      </c>
      <c r="BG582" s="440">
        <v>0</v>
      </c>
      <c r="BH582" s="440">
        <v>0</v>
      </c>
      <c r="BI582" s="440">
        <v>0</v>
      </c>
      <c r="BJ582" s="440">
        <v>0</v>
      </c>
      <c r="BK582" s="440">
        <v>0</v>
      </c>
      <c r="BL582" s="440">
        <v>15</v>
      </c>
      <c r="BM582" s="440">
        <v>0</v>
      </c>
      <c r="BN582" s="440">
        <v>0</v>
      </c>
      <c r="BO582" s="440">
        <v>0</v>
      </c>
      <c r="BP582" s="440">
        <v>0</v>
      </c>
      <c r="BQ582" s="440">
        <v>0</v>
      </c>
      <c r="BR582" s="415">
        <v>0.75</v>
      </c>
      <c r="BS582" s="415">
        <v>0.76249999999999996</v>
      </c>
      <c r="BT582" s="935"/>
      <c r="BU582" s="935"/>
      <c r="BV582" s="935"/>
      <c r="BW582" s="935"/>
      <c r="BX582" s="935"/>
      <c r="BY582" s="935"/>
      <c r="BZ582" s="935"/>
      <c r="CA582" s="935"/>
      <c r="CB582" s="935"/>
      <c r="CC582" s="935"/>
      <c r="CD582" s="935"/>
      <c r="CE582" s="935"/>
      <c r="CF582" s="935"/>
      <c r="CG582" s="935"/>
      <c r="CH582" s="935"/>
      <c r="CI582" s="935"/>
      <c r="CJ582" s="935"/>
      <c r="CK582" s="935"/>
      <c r="CL582" s="935"/>
      <c r="CM582" s="935"/>
      <c r="CN582" s="935"/>
      <c r="CO582" s="935"/>
      <c r="CP582" s="935"/>
      <c r="CQ582" s="935"/>
      <c r="CR582" s="935"/>
      <c r="CS582" s="935"/>
      <c r="CT582" s="935"/>
      <c r="CU582" s="935"/>
      <c r="CV582" s="935"/>
    </row>
    <row r="583" spans="1:100" s="441" customFormat="1">
      <c r="A583" s="375">
        <f t="shared" si="177"/>
        <v>9</v>
      </c>
      <c r="B583" s="862">
        <v>44459</v>
      </c>
      <c r="C583" s="493" t="s">
        <v>1980</v>
      </c>
      <c r="D583" s="376" t="str">
        <f>IFERROR(VLOOKUP(E:E,'Item Data Support Sheet'!A:O,7,0),"")</f>
        <v>BOTTLE PRINTED</v>
      </c>
      <c r="E583" s="447" t="s">
        <v>69</v>
      </c>
      <c r="F583" s="500"/>
      <c r="G583" s="497"/>
      <c r="H583" s="602" t="str">
        <f>IFERROR(VLOOKUP(E:E,'Item Data Support Sheet'!A:O,2,0),"")</f>
        <v>KPP 120 ML BOTTLE PRINTED</v>
      </c>
      <c r="I583" s="501" t="s">
        <v>3199</v>
      </c>
      <c r="J583" s="501" t="s">
        <v>2813</v>
      </c>
      <c r="K583" s="438">
        <v>8</v>
      </c>
      <c r="L583" s="499">
        <v>5100</v>
      </c>
      <c r="M583" s="366">
        <f t="shared" si="175"/>
        <v>637.5</v>
      </c>
      <c r="N583" s="367">
        <f t="shared" si="176"/>
        <v>4897</v>
      </c>
      <c r="O583" s="61">
        <v>4860</v>
      </c>
      <c r="P583" s="368">
        <v>0</v>
      </c>
      <c r="Q583" s="368">
        <v>0</v>
      </c>
      <c r="R583" s="494">
        <v>34</v>
      </c>
      <c r="S583" s="493">
        <v>0</v>
      </c>
      <c r="T583" s="494">
        <v>37</v>
      </c>
      <c r="U583" s="493">
        <v>0</v>
      </c>
      <c r="V583" s="502">
        <v>5</v>
      </c>
      <c r="W583" s="453">
        <f t="shared" si="178"/>
        <v>972</v>
      </c>
      <c r="X583" s="748">
        <f t="shared" si="179"/>
        <v>0.95294117647058818</v>
      </c>
      <c r="Y583" s="451" t="str">
        <f>IFERROR(VLOOKUP(E:E,'Item Data Support Sheet'!A:J,6,0),0)</f>
        <v>FO001</v>
      </c>
      <c r="Z583" s="428">
        <f>IFERROR(VLOOKUP(E:E,'Item Data Support Sheet'!A:O,4,0),0)</f>
        <v>0</v>
      </c>
      <c r="AA583" s="428">
        <f t="shared" si="180"/>
        <v>0</v>
      </c>
      <c r="AB583" s="429" t="str">
        <f t="shared" si="181"/>
        <v xml:space="preserve"> </v>
      </c>
      <c r="AC583" s="424">
        <f t="shared" si="182"/>
        <v>7.5556463140698388E-3</v>
      </c>
      <c r="AD583" s="371">
        <f t="shared" si="183"/>
        <v>0</v>
      </c>
      <c r="AE583" s="748">
        <f t="shared" si="184"/>
        <v>0.9924443536859302</v>
      </c>
      <c r="AF583" s="417">
        <f t="shared" si="185"/>
        <v>1</v>
      </c>
      <c r="AG583" s="416">
        <f t="shared" si="186"/>
        <v>7</v>
      </c>
      <c r="AH583" s="372">
        <f t="shared" si="187"/>
        <v>0.875</v>
      </c>
      <c r="AI583" s="373">
        <f t="shared" si="188"/>
        <v>607.5</v>
      </c>
      <c r="AJ583" s="418">
        <f>VLOOKUP(D583,'Standard Cycle time'!C:D,2,0)</f>
        <v>32.4</v>
      </c>
      <c r="AK583" s="418">
        <f t="shared" si="189"/>
        <v>25.925925925925927</v>
      </c>
      <c r="AL583" s="374">
        <f t="shared" si="190"/>
        <v>1.2497142857142856</v>
      </c>
      <c r="AM583" s="372">
        <f t="shared" si="191"/>
        <v>1.0852379007555646</v>
      </c>
      <c r="AN583" s="799" t="s">
        <v>2874</v>
      </c>
      <c r="AO583" s="448" t="s">
        <v>3200</v>
      </c>
      <c r="AP583" s="440">
        <v>40</v>
      </c>
      <c r="AQ583" s="440">
        <v>0</v>
      </c>
      <c r="AR583" s="440">
        <v>0</v>
      </c>
      <c r="AS583" s="440">
        <v>0</v>
      </c>
      <c r="AT583" s="440">
        <v>0</v>
      </c>
      <c r="AU583" s="440">
        <v>0</v>
      </c>
      <c r="AV583" s="440">
        <v>20</v>
      </c>
      <c r="AW583" s="440">
        <v>0</v>
      </c>
      <c r="AX583" s="440">
        <v>0</v>
      </c>
      <c r="AY583" s="440">
        <v>0</v>
      </c>
      <c r="AZ583" s="440">
        <v>0</v>
      </c>
      <c r="BA583" s="440">
        <v>0</v>
      </c>
      <c r="BB583" s="440">
        <v>0</v>
      </c>
      <c r="BC583" s="440">
        <v>0</v>
      </c>
      <c r="BD583" s="440">
        <v>0</v>
      </c>
      <c r="BE583" s="440">
        <v>0</v>
      </c>
      <c r="BF583" s="440">
        <v>0</v>
      </c>
      <c r="BG583" s="440">
        <v>0</v>
      </c>
      <c r="BH583" s="440">
        <v>0</v>
      </c>
      <c r="BI583" s="440">
        <v>0</v>
      </c>
      <c r="BJ583" s="440">
        <v>0</v>
      </c>
      <c r="BK583" s="440">
        <v>0</v>
      </c>
      <c r="BL583" s="440">
        <v>0</v>
      </c>
      <c r="BM583" s="440">
        <v>0</v>
      </c>
      <c r="BN583" s="440">
        <v>0</v>
      </c>
      <c r="BO583" s="440">
        <v>0</v>
      </c>
      <c r="BP583" s="440">
        <v>0</v>
      </c>
      <c r="BQ583" s="440">
        <v>0</v>
      </c>
      <c r="BR583" s="415">
        <v>1</v>
      </c>
      <c r="BS583" s="415">
        <v>1.0166666666666666</v>
      </c>
      <c r="BT583" s="935"/>
      <c r="BU583" s="935"/>
      <c r="BV583" s="935"/>
      <c r="BW583" s="935"/>
      <c r="BX583" s="935"/>
      <c r="BY583" s="935"/>
      <c r="BZ583" s="935"/>
      <c r="CA583" s="935"/>
      <c r="CB583" s="935"/>
      <c r="CC583" s="935"/>
      <c r="CD583" s="935"/>
      <c r="CE583" s="935"/>
      <c r="CF583" s="935"/>
      <c r="CG583" s="935"/>
      <c r="CH583" s="935"/>
      <c r="CI583" s="935"/>
      <c r="CJ583" s="935"/>
      <c r="CK583" s="935"/>
      <c r="CL583" s="935"/>
      <c r="CM583" s="935"/>
      <c r="CN583" s="935"/>
      <c r="CO583" s="935"/>
      <c r="CP583" s="935"/>
      <c r="CQ583" s="935"/>
      <c r="CR583" s="935"/>
      <c r="CS583" s="935"/>
      <c r="CT583" s="935"/>
      <c r="CU583" s="935"/>
      <c r="CV583" s="935"/>
    </row>
    <row r="584" spans="1:100" s="441" customFormat="1">
      <c r="A584" s="375">
        <f t="shared" si="177"/>
        <v>9</v>
      </c>
      <c r="B584" s="862">
        <v>44459</v>
      </c>
      <c r="C584" s="493" t="s">
        <v>2000</v>
      </c>
      <c r="D584" s="376" t="str">
        <f>IFERROR(VLOOKUP(E:E,'Item Data Support Sheet'!A:O,7,0),"")</f>
        <v>NIPPLE WRAP PRINTED</v>
      </c>
      <c r="E584" s="447" t="s">
        <v>109</v>
      </c>
      <c r="F584" s="500"/>
      <c r="G584" s="497"/>
      <c r="H584" s="602" t="str">
        <f>IFERROR(VLOOKUP(E:E,'Item Data Support Sheet'!A:O,2,0),"")</f>
        <v>NIPPLE S TYPE M SIZE WITH PRINTED WRAP</v>
      </c>
      <c r="I584" s="501"/>
      <c r="J584" s="501" t="s">
        <v>2811</v>
      </c>
      <c r="K584" s="438">
        <v>8</v>
      </c>
      <c r="L584" s="499">
        <v>16132</v>
      </c>
      <c r="M584" s="366">
        <f t="shared" si="175"/>
        <v>2016.5</v>
      </c>
      <c r="N584" s="367">
        <f t="shared" si="176"/>
        <v>16188</v>
      </c>
      <c r="O584" s="61">
        <v>16186</v>
      </c>
      <c r="P584" s="368">
        <v>0</v>
      </c>
      <c r="Q584" s="368">
        <v>0</v>
      </c>
      <c r="R584" s="494">
        <v>0</v>
      </c>
      <c r="S584" s="493">
        <v>0</v>
      </c>
      <c r="T584" s="494">
        <v>2</v>
      </c>
      <c r="U584" s="493">
        <v>0</v>
      </c>
      <c r="V584" s="502">
        <v>2</v>
      </c>
      <c r="W584" s="453">
        <f t="shared" si="178"/>
        <v>8093</v>
      </c>
      <c r="X584" s="748">
        <f t="shared" si="179"/>
        <v>1.003347384081329</v>
      </c>
      <c r="Y584" s="451" t="str">
        <f>IFERROR(VLOOKUP(E:E,'Item Data Support Sheet'!A:J,6,0),0)</f>
        <v>FO020</v>
      </c>
      <c r="Z584" s="428">
        <f>IFERROR(VLOOKUP(E:E,'Item Data Support Sheet'!A:O,4,0),0)</f>
        <v>0</v>
      </c>
      <c r="AA584" s="428">
        <f t="shared" si="180"/>
        <v>0</v>
      </c>
      <c r="AB584" s="429" t="str">
        <f t="shared" si="181"/>
        <v xml:space="preserve"> </v>
      </c>
      <c r="AC584" s="424">
        <f t="shared" si="182"/>
        <v>1.2354830738818879E-4</v>
      </c>
      <c r="AD584" s="371">
        <f t="shared" si="183"/>
        <v>0</v>
      </c>
      <c r="AE584" s="748">
        <f t="shared" si="184"/>
        <v>0.99987645169261186</v>
      </c>
      <c r="AF584" s="417">
        <f t="shared" si="185"/>
        <v>0.66666666666666663</v>
      </c>
      <c r="AG584" s="416">
        <f t="shared" si="186"/>
        <v>7.333333333333333</v>
      </c>
      <c r="AH584" s="372">
        <f t="shared" si="187"/>
        <v>0.91666666666666663</v>
      </c>
      <c r="AI584" s="373">
        <f t="shared" si="188"/>
        <v>2023.25</v>
      </c>
      <c r="AJ584" s="418">
        <f>VLOOKUP(D584,'Standard Cycle time'!C:D,2,0)</f>
        <v>2.5</v>
      </c>
      <c r="AK584" s="418">
        <f t="shared" si="189"/>
        <v>3.2620783393055728</v>
      </c>
      <c r="AL584" s="374">
        <f t="shared" si="190"/>
        <v>0.76638257575757573</v>
      </c>
      <c r="AM584" s="372">
        <f t="shared" si="191"/>
        <v>0.70243056628023492</v>
      </c>
      <c r="AN584" s="799" t="s">
        <v>3201</v>
      </c>
      <c r="AO584" s="448"/>
      <c r="AP584" s="440">
        <v>40</v>
      </c>
      <c r="AQ584" s="440">
        <v>0</v>
      </c>
      <c r="AR584" s="440">
        <v>0</v>
      </c>
      <c r="AS584" s="440">
        <v>0</v>
      </c>
      <c r="AT584" s="440">
        <v>0</v>
      </c>
      <c r="AU584" s="440">
        <v>0</v>
      </c>
      <c r="AV584" s="440">
        <v>0</v>
      </c>
      <c r="AW584" s="440">
        <v>0</v>
      </c>
      <c r="AX584" s="440">
        <v>0</v>
      </c>
      <c r="AY584" s="440">
        <v>0</v>
      </c>
      <c r="AZ584" s="440">
        <v>0</v>
      </c>
      <c r="BA584" s="440">
        <v>0</v>
      </c>
      <c r="BB584" s="440">
        <v>0</v>
      </c>
      <c r="BC584" s="440">
        <v>0</v>
      </c>
      <c r="BD584" s="440">
        <v>0</v>
      </c>
      <c r="BE584" s="440">
        <v>0</v>
      </c>
      <c r="BF584" s="440">
        <v>0</v>
      </c>
      <c r="BG584" s="440">
        <v>0</v>
      </c>
      <c r="BH584" s="440">
        <v>0</v>
      </c>
      <c r="BI584" s="440">
        <v>0</v>
      </c>
      <c r="BJ584" s="440">
        <v>0</v>
      </c>
      <c r="BK584" s="440">
        <v>0</v>
      </c>
      <c r="BL584" s="440">
        <v>0</v>
      </c>
      <c r="BM584" s="440">
        <v>0</v>
      </c>
      <c r="BN584" s="440">
        <v>0</v>
      </c>
      <c r="BO584" s="440">
        <v>0</v>
      </c>
      <c r="BP584" s="440">
        <v>0</v>
      </c>
      <c r="BQ584" s="440">
        <v>0</v>
      </c>
      <c r="BR584" s="415">
        <v>0.66666666666666663</v>
      </c>
      <c r="BS584" s="415">
        <v>0.6777777777777777</v>
      </c>
      <c r="BT584" s="935"/>
      <c r="BU584" s="935"/>
      <c r="BV584" s="935"/>
      <c r="BW584" s="935"/>
      <c r="BX584" s="935"/>
      <c r="BY584" s="935"/>
      <c r="BZ584" s="935"/>
      <c r="CA584" s="935"/>
      <c r="CB584" s="935"/>
      <c r="CC584" s="935"/>
      <c r="CD584" s="935"/>
      <c r="CE584" s="935"/>
      <c r="CF584" s="935"/>
      <c r="CG584" s="935"/>
      <c r="CH584" s="935"/>
      <c r="CI584" s="935"/>
      <c r="CJ584" s="935"/>
      <c r="CK584" s="935"/>
      <c r="CL584" s="935"/>
      <c r="CM584" s="935"/>
      <c r="CN584" s="935"/>
      <c r="CO584" s="935"/>
      <c r="CP584" s="935"/>
      <c r="CQ584" s="935"/>
      <c r="CR584" s="935"/>
      <c r="CS584" s="935"/>
      <c r="CT584" s="935"/>
      <c r="CU584" s="935"/>
      <c r="CV584" s="935"/>
    </row>
    <row r="585" spans="1:100" s="441" customFormat="1">
      <c r="A585" s="375">
        <f t="shared" si="177"/>
        <v>9</v>
      </c>
      <c r="B585" s="862">
        <v>44459</v>
      </c>
      <c r="C585" s="493" t="s">
        <v>2001</v>
      </c>
      <c r="D585" s="376" t="str">
        <f>IFERROR(VLOOKUP(E:E,'Item Data Support Sheet'!A:O,7,0),"")</f>
        <v>NIPPLE PUNCH</v>
      </c>
      <c r="E585" s="447" t="s">
        <v>82</v>
      </c>
      <c r="F585" s="500"/>
      <c r="G585" s="497"/>
      <c r="H585" s="602" t="str">
        <f>IFERROR(VLOOKUP(E:E,'Item Data Support Sheet'!A:O,2,0),"")</f>
        <v>NIPPLE S TYPE L SIZE PUNCHED</v>
      </c>
      <c r="I585" s="501" t="s">
        <v>3202</v>
      </c>
      <c r="J585" s="501" t="s">
        <v>2811</v>
      </c>
      <c r="K585" s="438">
        <v>8</v>
      </c>
      <c r="L585" s="499">
        <v>7000</v>
      </c>
      <c r="M585" s="366">
        <f t="shared" si="175"/>
        <v>875</v>
      </c>
      <c r="N585" s="367">
        <f t="shared" si="176"/>
        <v>6300</v>
      </c>
      <c r="O585" s="61">
        <v>6300</v>
      </c>
      <c r="P585" s="368">
        <v>0</v>
      </c>
      <c r="Q585" s="368">
        <v>0</v>
      </c>
      <c r="R585" s="494">
        <v>0</v>
      </c>
      <c r="S585" s="493">
        <v>0</v>
      </c>
      <c r="T585" s="494">
        <v>0</v>
      </c>
      <c r="U585" s="493">
        <v>0</v>
      </c>
      <c r="V585" s="502">
        <v>1</v>
      </c>
      <c r="W585" s="453">
        <f t="shared" si="178"/>
        <v>6300</v>
      </c>
      <c r="X585" s="748">
        <f t="shared" si="179"/>
        <v>0.9</v>
      </c>
      <c r="Y585" s="451" t="str">
        <f>IFERROR(VLOOKUP(E:E,'Item Data Support Sheet'!A:J,6,0),0)</f>
        <v>FO017</v>
      </c>
      <c r="Z585" s="428">
        <f>IFERROR(VLOOKUP(E:E,'Item Data Support Sheet'!A:O,4,0),0)</f>
        <v>0</v>
      </c>
      <c r="AA585" s="428">
        <f t="shared" si="180"/>
        <v>0</v>
      </c>
      <c r="AB585" s="429" t="str">
        <f t="shared" si="181"/>
        <v xml:space="preserve"> </v>
      </c>
      <c r="AC585" s="424">
        <f t="shared" si="182"/>
        <v>0</v>
      </c>
      <c r="AD585" s="371">
        <f t="shared" si="183"/>
        <v>0</v>
      </c>
      <c r="AE585" s="748">
        <f t="shared" si="184"/>
        <v>1</v>
      </c>
      <c r="AF585" s="417">
        <f t="shared" si="185"/>
        <v>0.66666666666666663</v>
      </c>
      <c r="AG585" s="416">
        <f t="shared" si="186"/>
        <v>7.333333333333333</v>
      </c>
      <c r="AH585" s="372">
        <f t="shared" si="187"/>
        <v>0.91666666666666663</v>
      </c>
      <c r="AI585" s="373">
        <f t="shared" si="188"/>
        <v>787.5</v>
      </c>
      <c r="AJ585" s="418">
        <f>VLOOKUP(D585,'Standard Cycle time'!C:D,2,0)</f>
        <v>3.5</v>
      </c>
      <c r="AK585" s="418">
        <f t="shared" si="189"/>
        <v>4.1904761904761907</v>
      </c>
      <c r="AL585" s="374">
        <f t="shared" si="190"/>
        <v>0.83522727272727271</v>
      </c>
      <c r="AM585" s="372">
        <f t="shared" si="191"/>
        <v>0.765625</v>
      </c>
      <c r="AN585" s="799" t="s">
        <v>3203</v>
      </c>
      <c r="AO585" s="448" t="s">
        <v>3204</v>
      </c>
      <c r="AP585" s="440">
        <v>40</v>
      </c>
      <c r="AQ585" s="440">
        <v>0</v>
      </c>
      <c r="AR585" s="440">
        <v>0</v>
      </c>
      <c r="AS585" s="440">
        <v>0</v>
      </c>
      <c r="AT585" s="440">
        <v>0</v>
      </c>
      <c r="AU585" s="440">
        <v>0</v>
      </c>
      <c r="AV585" s="440">
        <v>0</v>
      </c>
      <c r="AW585" s="440">
        <v>0</v>
      </c>
      <c r="AX585" s="440">
        <v>0</v>
      </c>
      <c r="AY585" s="440">
        <v>0</v>
      </c>
      <c r="AZ585" s="440">
        <v>0</v>
      </c>
      <c r="BA585" s="440">
        <v>0</v>
      </c>
      <c r="BB585" s="440">
        <v>0</v>
      </c>
      <c r="BC585" s="440">
        <v>0</v>
      </c>
      <c r="BD585" s="440">
        <v>0</v>
      </c>
      <c r="BE585" s="440">
        <v>0</v>
      </c>
      <c r="BF585" s="440">
        <v>0</v>
      </c>
      <c r="BG585" s="440">
        <v>0</v>
      </c>
      <c r="BH585" s="440">
        <v>0</v>
      </c>
      <c r="BI585" s="440">
        <v>0</v>
      </c>
      <c r="BJ585" s="440">
        <v>0</v>
      </c>
      <c r="BK585" s="440">
        <v>0</v>
      </c>
      <c r="BL585" s="440">
        <v>0</v>
      </c>
      <c r="BM585" s="440">
        <v>0</v>
      </c>
      <c r="BN585" s="440">
        <v>0</v>
      </c>
      <c r="BO585" s="440">
        <v>0</v>
      </c>
      <c r="BP585" s="440">
        <v>0</v>
      </c>
      <c r="BQ585" s="440">
        <v>0</v>
      </c>
      <c r="BR585" s="415">
        <v>0.66666666666666663</v>
      </c>
      <c r="BS585" s="415">
        <v>0.6777777777777777</v>
      </c>
      <c r="BT585" s="935"/>
      <c r="BU585" s="935"/>
      <c r="BV585" s="935"/>
      <c r="BW585" s="935"/>
      <c r="BX585" s="935"/>
      <c r="BY585" s="935"/>
      <c r="BZ585" s="935"/>
      <c r="CA585" s="935"/>
      <c r="CB585" s="935"/>
      <c r="CC585" s="935"/>
      <c r="CD585" s="935"/>
      <c r="CE585" s="935"/>
      <c r="CF585" s="935"/>
      <c r="CG585" s="935"/>
      <c r="CH585" s="935"/>
      <c r="CI585" s="935"/>
      <c r="CJ585" s="935"/>
      <c r="CK585" s="935"/>
      <c r="CL585" s="935"/>
      <c r="CM585" s="935"/>
      <c r="CN585" s="935"/>
      <c r="CO585" s="935"/>
      <c r="CP585" s="935"/>
      <c r="CQ585" s="935"/>
      <c r="CR585" s="935"/>
      <c r="CS585" s="935"/>
      <c r="CT585" s="935"/>
      <c r="CU585" s="935"/>
      <c r="CV585" s="935"/>
    </row>
    <row r="586" spans="1:100" s="441" customFormat="1">
      <c r="A586" s="375">
        <f t="shared" si="177"/>
        <v>9</v>
      </c>
      <c r="B586" s="862">
        <v>44459</v>
      </c>
      <c r="C586" s="493" t="s">
        <v>2001</v>
      </c>
      <c r="D586" s="376" t="str">
        <f>IFERROR(VLOOKUP(E:E,'Item Data Support Sheet'!A:O,7,0),"")</f>
        <v>NIPPLE LASER MARKING</v>
      </c>
      <c r="E586" s="447" t="s">
        <v>1816</v>
      </c>
      <c r="F586" s="500"/>
      <c r="G586" s="497"/>
      <c r="H586" s="602" t="str">
        <f>IFERROR(VLOOKUP(E:E,'Item Data Support Sheet'!A:O,2,0),"")</f>
        <v>NIPPLE S TYPE L SIZE PUNCHED LASER MARKED</v>
      </c>
      <c r="I586" s="501" t="s">
        <v>3147</v>
      </c>
      <c r="J586" s="501" t="s">
        <v>2811</v>
      </c>
      <c r="K586" s="438">
        <v>8</v>
      </c>
      <c r="L586" s="499">
        <v>7000</v>
      </c>
      <c r="M586" s="366">
        <f t="shared" si="175"/>
        <v>875</v>
      </c>
      <c r="N586" s="367">
        <f t="shared" si="176"/>
        <v>7000</v>
      </c>
      <c r="O586" s="61">
        <v>7000</v>
      </c>
      <c r="P586" s="368">
        <v>0</v>
      </c>
      <c r="Q586" s="368">
        <v>0</v>
      </c>
      <c r="R586" s="494">
        <v>0</v>
      </c>
      <c r="S586" s="493">
        <v>0</v>
      </c>
      <c r="T586" s="494">
        <v>0</v>
      </c>
      <c r="U586" s="493">
        <v>0</v>
      </c>
      <c r="V586" s="502">
        <v>1</v>
      </c>
      <c r="W586" s="453">
        <f t="shared" si="178"/>
        <v>7000</v>
      </c>
      <c r="X586" s="748">
        <f t="shared" si="179"/>
        <v>1</v>
      </c>
      <c r="Y586" s="451" t="str">
        <f>IFERROR(VLOOKUP(E:E,'Item Data Support Sheet'!A:J,6,0),0)</f>
        <v>FO021</v>
      </c>
      <c r="Z586" s="428">
        <f>IFERROR(VLOOKUP(E:E,'Item Data Support Sheet'!A:O,4,0),0)</f>
        <v>0</v>
      </c>
      <c r="AA586" s="428">
        <f t="shared" si="180"/>
        <v>0</v>
      </c>
      <c r="AB586" s="429" t="str">
        <f t="shared" si="181"/>
        <v xml:space="preserve"> </v>
      </c>
      <c r="AC586" s="424">
        <f t="shared" si="182"/>
        <v>0</v>
      </c>
      <c r="AD586" s="371">
        <f t="shared" si="183"/>
        <v>0</v>
      </c>
      <c r="AE586" s="748">
        <f t="shared" si="184"/>
        <v>1</v>
      </c>
      <c r="AF586" s="417">
        <f t="shared" si="185"/>
        <v>0.66666666666666663</v>
      </c>
      <c r="AG586" s="416">
        <f t="shared" si="186"/>
        <v>7.333333333333333</v>
      </c>
      <c r="AH586" s="372">
        <f t="shared" si="187"/>
        <v>0.91666666666666663</v>
      </c>
      <c r="AI586" s="373">
        <f t="shared" si="188"/>
        <v>875</v>
      </c>
      <c r="AJ586" s="418">
        <f>VLOOKUP(D586,'Standard Cycle time'!C:D,2,0)</f>
        <v>3.5</v>
      </c>
      <c r="AK586" s="418">
        <f t="shared" si="189"/>
        <v>3.7714285714285714</v>
      </c>
      <c r="AL586" s="374">
        <f t="shared" si="190"/>
        <v>0.92803030303030309</v>
      </c>
      <c r="AM586" s="372">
        <f t="shared" si="191"/>
        <v>0.85069444444444442</v>
      </c>
      <c r="AN586" s="799" t="s">
        <v>3205</v>
      </c>
      <c r="AO586" s="448"/>
      <c r="AP586" s="440">
        <v>40</v>
      </c>
      <c r="AQ586" s="440">
        <v>0</v>
      </c>
      <c r="AR586" s="440">
        <v>0</v>
      </c>
      <c r="AS586" s="440">
        <v>0</v>
      </c>
      <c r="AT586" s="440">
        <v>0</v>
      </c>
      <c r="AU586" s="440">
        <v>0</v>
      </c>
      <c r="AV586" s="440">
        <v>0</v>
      </c>
      <c r="AW586" s="440">
        <v>0</v>
      </c>
      <c r="AX586" s="440">
        <v>0</v>
      </c>
      <c r="AY586" s="440">
        <v>0</v>
      </c>
      <c r="AZ586" s="440">
        <v>0</v>
      </c>
      <c r="BA586" s="440">
        <v>0</v>
      </c>
      <c r="BB586" s="440">
        <v>0</v>
      </c>
      <c r="BC586" s="440">
        <v>0</v>
      </c>
      <c r="BD586" s="440">
        <v>0</v>
      </c>
      <c r="BE586" s="440">
        <v>0</v>
      </c>
      <c r="BF586" s="440">
        <v>0</v>
      </c>
      <c r="BG586" s="440">
        <v>0</v>
      </c>
      <c r="BH586" s="440">
        <v>0</v>
      </c>
      <c r="BI586" s="440">
        <v>0</v>
      </c>
      <c r="BJ586" s="440">
        <v>0</v>
      </c>
      <c r="BK586" s="440">
        <v>0</v>
      </c>
      <c r="BL586" s="440">
        <v>0</v>
      </c>
      <c r="BM586" s="440">
        <v>0</v>
      </c>
      <c r="BN586" s="440">
        <v>0</v>
      </c>
      <c r="BO586" s="440">
        <v>0</v>
      </c>
      <c r="BP586" s="440">
        <v>0</v>
      </c>
      <c r="BQ586" s="440">
        <v>0</v>
      </c>
      <c r="BR586" s="415">
        <v>0.66666666666666663</v>
      </c>
      <c r="BS586" s="415">
        <v>0.6777777777777777</v>
      </c>
      <c r="BT586" s="935"/>
      <c r="BU586" s="935"/>
      <c r="BV586" s="935"/>
      <c r="BW586" s="935"/>
      <c r="BX586" s="935"/>
      <c r="BY586" s="935"/>
      <c r="BZ586" s="935"/>
      <c r="CA586" s="935"/>
      <c r="CB586" s="935"/>
      <c r="CC586" s="935"/>
      <c r="CD586" s="935"/>
      <c r="CE586" s="935"/>
      <c r="CF586" s="935"/>
      <c r="CG586" s="935"/>
      <c r="CH586" s="935"/>
      <c r="CI586" s="935"/>
      <c r="CJ586" s="935"/>
      <c r="CK586" s="935"/>
      <c r="CL586" s="935"/>
      <c r="CM586" s="935"/>
      <c r="CN586" s="935"/>
      <c r="CO586" s="935"/>
      <c r="CP586" s="935"/>
      <c r="CQ586" s="935"/>
      <c r="CR586" s="935"/>
      <c r="CS586" s="935"/>
      <c r="CT586" s="935"/>
      <c r="CU586" s="935"/>
      <c r="CV586" s="935"/>
    </row>
    <row r="587" spans="1:100" s="441" customFormat="1">
      <c r="A587" s="375">
        <f t="shared" si="177"/>
        <v>9</v>
      </c>
      <c r="B587" s="862">
        <v>44459</v>
      </c>
      <c r="C587" s="493" t="s">
        <v>2001</v>
      </c>
      <c r="D587" s="376" t="str">
        <f>IFERROR(VLOOKUP(E:E,'Item Data Support Sheet'!A:O,7,0),"")</f>
        <v>BOTTLE MOLDED</v>
      </c>
      <c r="E587" s="447" t="s">
        <v>65</v>
      </c>
      <c r="F587" s="500"/>
      <c r="G587" s="497" t="s">
        <v>1888</v>
      </c>
      <c r="H587" s="602" t="str">
        <f>IFERROR(VLOOKUP(E:E,'Item Data Support Sheet'!A:O,2,0),"")</f>
        <v>KPP 120 ML BOTTLE MOLDED</v>
      </c>
      <c r="I587" s="501" t="s">
        <v>3206</v>
      </c>
      <c r="J587" s="501" t="s">
        <v>2811</v>
      </c>
      <c r="K587" s="438">
        <v>8</v>
      </c>
      <c r="L587" s="499">
        <v>2574</v>
      </c>
      <c r="M587" s="366">
        <f t="shared" si="175"/>
        <v>321.75</v>
      </c>
      <c r="N587" s="367">
        <f t="shared" si="176"/>
        <v>3141</v>
      </c>
      <c r="O587" s="61">
        <v>3060</v>
      </c>
      <c r="P587" s="368">
        <v>0</v>
      </c>
      <c r="Q587" s="368">
        <v>30</v>
      </c>
      <c r="R587" s="494">
        <v>0</v>
      </c>
      <c r="S587" s="493">
        <v>0</v>
      </c>
      <c r="T587" s="494">
        <v>51</v>
      </c>
      <c r="U587" s="493">
        <v>0</v>
      </c>
      <c r="V587" s="502">
        <v>1</v>
      </c>
      <c r="W587" s="453">
        <f t="shared" si="178"/>
        <v>3060</v>
      </c>
      <c r="X587" s="748">
        <f t="shared" si="179"/>
        <v>1.1888111888111887</v>
      </c>
      <c r="Y587" s="451" t="str">
        <f>IFERROR(VLOOKUP(E:E,'Item Data Support Sheet'!A:J,6,0),0)</f>
        <v>HMC</v>
      </c>
      <c r="Z587" s="428">
        <f>IFERROR(VLOOKUP(E:E,'Item Data Support Sheet'!A:O,4,0),0)</f>
        <v>21.3</v>
      </c>
      <c r="AA587" s="428">
        <f t="shared" si="180"/>
        <v>66.903300000000002</v>
      </c>
      <c r="AB587" s="429">
        <f t="shared" si="181"/>
        <v>0.9742120343839541</v>
      </c>
      <c r="AC587" s="424">
        <f t="shared" si="182"/>
        <v>1.6393442622950821E-2</v>
      </c>
      <c r="AD587" s="371">
        <f t="shared" si="183"/>
        <v>9.4607379375591296E-3</v>
      </c>
      <c r="AE587" s="748">
        <f t="shared" si="184"/>
        <v>0.98376313276026739</v>
      </c>
      <c r="AF587" s="417">
        <f t="shared" si="185"/>
        <v>0</v>
      </c>
      <c r="AG587" s="416">
        <f t="shared" si="186"/>
        <v>8</v>
      </c>
      <c r="AH587" s="372">
        <f t="shared" si="187"/>
        <v>1</v>
      </c>
      <c r="AI587" s="373">
        <f t="shared" si="188"/>
        <v>382.5</v>
      </c>
      <c r="AJ587" s="418">
        <f>VLOOKUP(D587,'Standard Cycle time'!C:D,2,0)</f>
        <v>9</v>
      </c>
      <c r="AK587" s="418">
        <f t="shared" si="189"/>
        <v>9.4117647058823533</v>
      </c>
      <c r="AL587" s="374">
        <f t="shared" si="190"/>
        <v>0.95624999999999993</v>
      </c>
      <c r="AM587" s="372">
        <f t="shared" si="191"/>
        <v>0.94072349570200564</v>
      </c>
      <c r="AN587" s="799">
        <v>3388</v>
      </c>
      <c r="AO587" s="448"/>
      <c r="AP587" s="440">
        <v>0</v>
      </c>
      <c r="AQ587" s="440">
        <v>0</v>
      </c>
      <c r="AR587" s="440">
        <v>0</v>
      </c>
      <c r="AS587" s="440">
        <v>0</v>
      </c>
      <c r="AT587" s="440">
        <v>0</v>
      </c>
      <c r="AU587" s="440">
        <v>0</v>
      </c>
      <c r="AV587" s="440">
        <v>0</v>
      </c>
      <c r="AW587" s="440">
        <v>0</v>
      </c>
      <c r="AX587" s="440">
        <v>0</v>
      </c>
      <c r="AY587" s="440">
        <v>0</v>
      </c>
      <c r="AZ587" s="440">
        <v>0</v>
      </c>
      <c r="BA587" s="440">
        <v>0</v>
      </c>
      <c r="BB587" s="440">
        <v>0</v>
      </c>
      <c r="BC587" s="440">
        <v>0</v>
      </c>
      <c r="BD587" s="440">
        <v>0</v>
      </c>
      <c r="BE587" s="440">
        <v>0</v>
      </c>
      <c r="BF587" s="440">
        <v>0</v>
      </c>
      <c r="BG587" s="440">
        <v>0</v>
      </c>
      <c r="BH587" s="440">
        <v>0</v>
      </c>
      <c r="BI587" s="440">
        <v>0</v>
      </c>
      <c r="BJ587" s="440">
        <v>0</v>
      </c>
      <c r="BK587" s="440">
        <v>0</v>
      </c>
      <c r="BL587" s="440">
        <v>0</v>
      </c>
      <c r="BM587" s="440">
        <v>0</v>
      </c>
      <c r="BN587" s="440">
        <v>0</v>
      </c>
      <c r="BO587" s="440">
        <v>0</v>
      </c>
      <c r="BP587" s="440">
        <v>0</v>
      </c>
      <c r="BQ587" s="440">
        <v>0</v>
      </c>
      <c r="BR587" s="415">
        <v>0</v>
      </c>
      <c r="BS587" s="415">
        <v>0</v>
      </c>
      <c r="BT587" s="935"/>
      <c r="BU587" s="935"/>
      <c r="BV587" s="935"/>
      <c r="BW587" s="935"/>
      <c r="BX587" s="935"/>
      <c r="BY587" s="935"/>
      <c r="BZ587" s="935"/>
      <c r="CA587" s="935"/>
      <c r="CB587" s="935"/>
      <c r="CC587" s="935"/>
      <c r="CD587" s="935"/>
      <c r="CE587" s="935"/>
      <c r="CF587" s="935"/>
      <c r="CG587" s="935"/>
      <c r="CH587" s="935"/>
      <c r="CI587" s="935"/>
      <c r="CJ587" s="935"/>
      <c r="CK587" s="935"/>
      <c r="CL587" s="935"/>
      <c r="CM587" s="935"/>
      <c r="CN587" s="935"/>
      <c r="CO587" s="935"/>
      <c r="CP587" s="935"/>
      <c r="CQ587" s="935"/>
      <c r="CR587" s="935"/>
      <c r="CS587" s="935"/>
      <c r="CT587" s="935"/>
      <c r="CU587" s="935"/>
      <c r="CV587" s="935"/>
    </row>
    <row r="588" spans="1:100" s="441" customFormat="1">
      <c r="A588" s="375">
        <f t="shared" si="177"/>
        <v>9</v>
      </c>
      <c r="B588" s="862">
        <v>44459</v>
      </c>
      <c r="C588" s="493" t="s">
        <v>2001</v>
      </c>
      <c r="D588" s="376" t="str">
        <f>IFERROR(VLOOKUP(E:E,'Item Data Support Sheet'!A:O,7,0),"")</f>
        <v>NIPPLE MOLDED</v>
      </c>
      <c r="E588" s="447" t="s">
        <v>74</v>
      </c>
      <c r="F588" s="500" t="s">
        <v>1678</v>
      </c>
      <c r="G588" s="497" t="s">
        <v>1691</v>
      </c>
      <c r="H588" s="602" t="str">
        <f>IFERROR(VLOOKUP(E:E,'Item Data Support Sheet'!A:O,2,0),"")</f>
        <v>NIPPLE S TYPE L SIZE INJECTION</v>
      </c>
      <c r="I588" s="501" t="s">
        <v>3207</v>
      </c>
      <c r="J588" s="501" t="s">
        <v>2811</v>
      </c>
      <c r="K588" s="438">
        <v>8</v>
      </c>
      <c r="L588" s="499">
        <v>4815</v>
      </c>
      <c r="M588" s="366">
        <f t="shared" si="175"/>
        <v>601.875</v>
      </c>
      <c r="N588" s="367">
        <f t="shared" si="176"/>
        <v>5580</v>
      </c>
      <c r="O588" s="61">
        <v>5500</v>
      </c>
      <c r="P588" s="368">
        <v>0</v>
      </c>
      <c r="Q588" s="368">
        <v>33</v>
      </c>
      <c r="R588" s="494">
        <v>0</v>
      </c>
      <c r="S588" s="493">
        <v>0</v>
      </c>
      <c r="T588" s="494">
        <v>47</v>
      </c>
      <c r="U588" s="493">
        <v>0</v>
      </c>
      <c r="V588" s="502">
        <v>1</v>
      </c>
      <c r="W588" s="453">
        <f t="shared" si="178"/>
        <v>5500</v>
      </c>
      <c r="X588" s="748">
        <f t="shared" si="179"/>
        <v>1.142263759086189</v>
      </c>
      <c r="Y588" s="451" t="str">
        <f>IFERROR(VLOOKUP(E:E,'Item Data Support Sheet'!A:J,6,0),0)</f>
        <v>Silicon</v>
      </c>
      <c r="Z588" s="428">
        <f>IFERROR(VLOOKUP(E:E,'Item Data Support Sheet'!A:O,4,0),0)</f>
        <v>6.8</v>
      </c>
      <c r="AA588" s="428">
        <f t="shared" si="180"/>
        <v>37.943999999999996</v>
      </c>
      <c r="AB588" s="429">
        <f t="shared" si="181"/>
        <v>0.98566308243727607</v>
      </c>
      <c r="AC588" s="424">
        <f t="shared" si="182"/>
        <v>8.4730484946818098E-3</v>
      </c>
      <c r="AD588" s="371">
        <f t="shared" si="183"/>
        <v>5.8792089791555322E-3</v>
      </c>
      <c r="AE588" s="748">
        <f t="shared" si="184"/>
        <v>0.99157706093189968</v>
      </c>
      <c r="AF588" s="417">
        <f t="shared" si="185"/>
        <v>0</v>
      </c>
      <c r="AG588" s="416">
        <f t="shared" si="186"/>
        <v>8</v>
      </c>
      <c r="AH588" s="372">
        <f t="shared" si="187"/>
        <v>1</v>
      </c>
      <c r="AI588" s="373">
        <f t="shared" si="188"/>
        <v>687.5</v>
      </c>
      <c r="AJ588" s="418">
        <f>VLOOKUP(D588,'Standard Cycle time'!C:D,2,0)</f>
        <v>5.25</v>
      </c>
      <c r="AK588" s="418">
        <f t="shared" si="189"/>
        <v>5.2363636363636363</v>
      </c>
      <c r="AL588" s="374">
        <f t="shared" si="190"/>
        <v>1.0026041666666667</v>
      </c>
      <c r="AM588" s="372">
        <f t="shared" si="191"/>
        <v>0.99415929286140992</v>
      </c>
      <c r="AN588" s="799">
        <v>3389</v>
      </c>
      <c r="AO588" s="448"/>
      <c r="AP588" s="440">
        <v>0</v>
      </c>
      <c r="AQ588" s="440">
        <v>0</v>
      </c>
      <c r="AR588" s="440">
        <v>0</v>
      </c>
      <c r="AS588" s="440">
        <v>0</v>
      </c>
      <c r="AT588" s="440">
        <v>0</v>
      </c>
      <c r="AU588" s="440">
        <v>0</v>
      </c>
      <c r="AV588" s="440">
        <v>0</v>
      </c>
      <c r="AW588" s="440">
        <v>0</v>
      </c>
      <c r="AX588" s="440">
        <v>0</v>
      </c>
      <c r="AY588" s="440">
        <v>0</v>
      </c>
      <c r="AZ588" s="440">
        <v>0</v>
      </c>
      <c r="BA588" s="440">
        <v>0</v>
      </c>
      <c r="BB588" s="440">
        <v>0</v>
      </c>
      <c r="BC588" s="440">
        <v>0</v>
      </c>
      <c r="BD588" s="440">
        <v>0</v>
      </c>
      <c r="BE588" s="440">
        <v>0</v>
      </c>
      <c r="BF588" s="440">
        <v>0</v>
      </c>
      <c r="BG588" s="440">
        <v>0</v>
      </c>
      <c r="BH588" s="440">
        <v>0</v>
      </c>
      <c r="BI588" s="440">
        <v>0</v>
      </c>
      <c r="BJ588" s="440">
        <v>0</v>
      </c>
      <c r="BK588" s="440">
        <v>0</v>
      </c>
      <c r="BL588" s="440">
        <v>0</v>
      </c>
      <c r="BM588" s="440">
        <v>0</v>
      </c>
      <c r="BN588" s="440">
        <v>0</v>
      </c>
      <c r="BO588" s="440">
        <v>0</v>
      </c>
      <c r="BP588" s="440">
        <v>0</v>
      </c>
      <c r="BQ588" s="440">
        <v>0</v>
      </c>
      <c r="BR588" s="415">
        <v>0</v>
      </c>
      <c r="BS588" s="415">
        <v>0</v>
      </c>
      <c r="BT588" s="935"/>
      <c r="BU588" s="935"/>
      <c r="BV588" s="935"/>
      <c r="BW588" s="935"/>
      <c r="BX588" s="935"/>
      <c r="BY588" s="935"/>
      <c r="BZ588" s="935"/>
      <c r="CA588" s="935"/>
      <c r="CB588" s="935"/>
      <c r="CC588" s="935"/>
      <c r="CD588" s="935"/>
      <c r="CE588" s="935"/>
      <c r="CF588" s="935"/>
      <c r="CG588" s="935"/>
      <c r="CH588" s="935"/>
      <c r="CI588" s="935"/>
      <c r="CJ588" s="935"/>
      <c r="CK588" s="935"/>
      <c r="CL588" s="935"/>
      <c r="CM588" s="935"/>
      <c r="CN588" s="935"/>
      <c r="CO588" s="935"/>
      <c r="CP588" s="935"/>
      <c r="CQ588" s="935"/>
      <c r="CR588" s="935"/>
      <c r="CS588" s="935"/>
      <c r="CT588" s="935"/>
      <c r="CU588" s="935"/>
      <c r="CV588" s="935"/>
    </row>
    <row r="589" spans="1:100" s="441" customFormat="1">
      <c r="A589" s="375">
        <f t="shared" si="177"/>
        <v>9</v>
      </c>
      <c r="B589" s="862">
        <v>44459</v>
      </c>
      <c r="C589" s="493" t="s">
        <v>2001</v>
      </c>
      <c r="D589" s="376" t="str">
        <f>IFERROR(VLOOKUP(E:E,'Item Data Support Sheet'!A:O,7,0),"")</f>
        <v>CAP MOLDED</v>
      </c>
      <c r="E589" s="447" t="s">
        <v>2107</v>
      </c>
      <c r="F589" s="500"/>
      <c r="G589" s="497" t="s">
        <v>3208</v>
      </c>
      <c r="H589" s="602" t="str">
        <f>IFERROR(VLOOKUP(E:E,'Item Data Support Sheet'!A:O,2,0),"")</f>
        <v>CAP S TYPE MOLDED PINK</v>
      </c>
      <c r="I589" s="501" t="s">
        <v>3209</v>
      </c>
      <c r="J589" s="501" t="s">
        <v>2811</v>
      </c>
      <c r="K589" s="438">
        <v>8</v>
      </c>
      <c r="L589" s="499">
        <v>4137</v>
      </c>
      <c r="M589" s="366">
        <f t="shared" ref="M589:M652" si="192">IFERROR(L589/K589,0)</f>
        <v>517.125</v>
      </c>
      <c r="N589" s="367">
        <f t="shared" si="176"/>
        <v>5004</v>
      </c>
      <c r="O589" s="61">
        <v>5000</v>
      </c>
      <c r="P589" s="368">
        <v>0.5</v>
      </c>
      <c r="Q589" s="368">
        <v>0</v>
      </c>
      <c r="R589" s="494">
        <v>0</v>
      </c>
      <c r="S589" s="493">
        <v>0</v>
      </c>
      <c r="T589" s="494">
        <v>4</v>
      </c>
      <c r="U589" s="493">
        <v>0</v>
      </c>
      <c r="V589" s="502">
        <v>1</v>
      </c>
      <c r="W589" s="453">
        <f t="shared" si="178"/>
        <v>5000</v>
      </c>
      <c r="X589" s="748">
        <f t="shared" si="179"/>
        <v>1.2086052695189751</v>
      </c>
      <c r="Y589" s="451" t="str">
        <f>IFERROR(VLOOKUP(E:E,'Item Data Support Sheet'!A:J,6,0),0)</f>
        <v>RM000123</v>
      </c>
      <c r="Z589" s="428">
        <f>IFERROR(VLOOKUP(E:E,'Item Data Support Sheet'!A:O,4,0),0)</f>
        <v>7.3</v>
      </c>
      <c r="AA589" s="428">
        <f t="shared" si="180"/>
        <v>37.029200000000003</v>
      </c>
      <c r="AB589" s="429">
        <f t="shared" si="181"/>
        <v>0.98570857593466765</v>
      </c>
      <c r="AC589" s="424">
        <f t="shared" si="182"/>
        <v>7.993605115907274E-4</v>
      </c>
      <c r="AD589" s="371">
        <f t="shared" si="183"/>
        <v>0</v>
      </c>
      <c r="AE589" s="748">
        <f t="shared" si="184"/>
        <v>0.99920063948840931</v>
      </c>
      <c r="AF589" s="417">
        <f t="shared" si="185"/>
        <v>0</v>
      </c>
      <c r="AG589" s="416">
        <f t="shared" si="186"/>
        <v>8</v>
      </c>
      <c r="AH589" s="372">
        <f t="shared" si="187"/>
        <v>1</v>
      </c>
      <c r="AI589" s="373">
        <f t="shared" si="188"/>
        <v>625</v>
      </c>
      <c r="AJ589" s="418">
        <f>VLOOKUP(D589,'Standard Cycle time'!C:D,2,0)</f>
        <v>6</v>
      </c>
      <c r="AK589" s="418">
        <f t="shared" si="189"/>
        <v>5.76</v>
      </c>
      <c r="AL589" s="374">
        <f t="shared" si="190"/>
        <v>1.0416666666666667</v>
      </c>
      <c r="AM589" s="372">
        <f t="shared" si="191"/>
        <v>1.0408339994670932</v>
      </c>
      <c r="AN589" s="799">
        <v>3402</v>
      </c>
      <c r="AO589" s="448"/>
      <c r="AP589" s="440">
        <v>0</v>
      </c>
      <c r="AQ589" s="440">
        <v>0</v>
      </c>
      <c r="AR589" s="440">
        <v>0</v>
      </c>
      <c r="AS589" s="440">
        <v>0</v>
      </c>
      <c r="AT589" s="440">
        <v>0</v>
      </c>
      <c r="AU589" s="440">
        <v>0</v>
      </c>
      <c r="AV589" s="440">
        <v>0</v>
      </c>
      <c r="AW589" s="440">
        <v>0</v>
      </c>
      <c r="AX589" s="440">
        <v>0</v>
      </c>
      <c r="AY589" s="440">
        <v>0</v>
      </c>
      <c r="AZ589" s="440">
        <v>0</v>
      </c>
      <c r="BA589" s="440">
        <v>0</v>
      </c>
      <c r="BB589" s="440">
        <v>0</v>
      </c>
      <c r="BC589" s="440">
        <v>0</v>
      </c>
      <c r="BD589" s="440">
        <v>0</v>
      </c>
      <c r="BE589" s="440">
        <v>0</v>
      </c>
      <c r="BF589" s="440">
        <v>0</v>
      </c>
      <c r="BG589" s="440">
        <v>0</v>
      </c>
      <c r="BH589" s="440">
        <v>0</v>
      </c>
      <c r="BI589" s="440">
        <v>0</v>
      </c>
      <c r="BJ589" s="440">
        <v>0</v>
      </c>
      <c r="BK589" s="440">
        <v>0</v>
      </c>
      <c r="BL589" s="440">
        <v>0</v>
      </c>
      <c r="BM589" s="440">
        <v>0</v>
      </c>
      <c r="BN589" s="440">
        <v>0</v>
      </c>
      <c r="BO589" s="440">
        <v>0</v>
      </c>
      <c r="BP589" s="440">
        <v>0</v>
      </c>
      <c r="BQ589" s="440">
        <v>0</v>
      </c>
      <c r="BR589" s="415">
        <v>0</v>
      </c>
      <c r="BS589" s="415">
        <v>0</v>
      </c>
      <c r="BT589" s="935"/>
      <c r="BU589" s="935"/>
      <c r="BV589" s="935"/>
      <c r="BW589" s="935"/>
      <c r="BX589" s="935"/>
      <c r="BY589" s="935"/>
      <c r="BZ589" s="935"/>
      <c r="CA589" s="935"/>
      <c r="CB589" s="935"/>
      <c r="CC589" s="935"/>
      <c r="CD589" s="935"/>
      <c r="CE589" s="935"/>
      <c r="CF589" s="935"/>
      <c r="CG589" s="935"/>
      <c r="CH589" s="935"/>
      <c r="CI589" s="935"/>
      <c r="CJ589" s="935"/>
      <c r="CK589" s="935"/>
      <c r="CL589" s="935"/>
      <c r="CM589" s="935"/>
      <c r="CN589" s="935"/>
      <c r="CO589" s="935"/>
      <c r="CP589" s="935"/>
      <c r="CQ589" s="935"/>
      <c r="CR589" s="935"/>
      <c r="CS589" s="935"/>
      <c r="CT589" s="935"/>
      <c r="CU589" s="935"/>
      <c r="CV589" s="935"/>
    </row>
    <row r="590" spans="1:100" s="441" customFormat="1">
      <c r="A590" s="375">
        <f t="shared" si="177"/>
        <v>9</v>
      </c>
      <c r="B590" s="862">
        <v>44459</v>
      </c>
      <c r="C590" s="493" t="s">
        <v>2001</v>
      </c>
      <c r="D590" s="376" t="str">
        <f>IFERROR(VLOOKUP(E:E,'Item Data Support Sheet'!A:O,7,0),"")</f>
        <v>BOTTLE PRINTED</v>
      </c>
      <c r="E590" s="447" t="s">
        <v>69</v>
      </c>
      <c r="F590" s="500"/>
      <c r="G590" s="497"/>
      <c r="H590" s="602" t="str">
        <f>IFERROR(VLOOKUP(E:E,'Item Data Support Sheet'!A:O,2,0),"")</f>
        <v>KPP 120 ML BOTTLE PRINTED</v>
      </c>
      <c r="I590" s="501" t="s">
        <v>3210</v>
      </c>
      <c r="J590" s="501" t="s">
        <v>2811</v>
      </c>
      <c r="K590" s="438">
        <v>8</v>
      </c>
      <c r="L590" s="499">
        <v>5100</v>
      </c>
      <c r="M590" s="366">
        <f t="shared" si="192"/>
        <v>637.5</v>
      </c>
      <c r="N590" s="367">
        <f t="shared" si="176"/>
        <v>5524</v>
      </c>
      <c r="O590" s="61">
        <v>5484</v>
      </c>
      <c r="P590" s="368">
        <v>0</v>
      </c>
      <c r="Q590" s="368">
        <v>0</v>
      </c>
      <c r="R590" s="494">
        <v>40</v>
      </c>
      <c r="S590" s="493">
        <v>0</v>
      </c>
      <c r="T590" s="494">
        <v>40</v>
      </c>
      <c r="U590" s="493">
        <v>0</v>
      </c>
      <c r="V590" s="502">
        <v>5</v>
      </c>
      <c r="W590" s="453">
        <f t="shared" si="178"/>
        <v>1096.8</v>
      </c>
      <c r="X590" s="748">
        <f t="shared" si="179"/>
        <v>1.0752941176470587</v>
      </c>
      <c r="Y590" s="451" t="str">
        <f>IFERROR(VLOOKUP(E:E,'Item Data Support Sheet'!A:J,6,0),0)</f>
        <v>FO001</v>
      </c>
      <c r="Z590" s="428">
        <f>IFERROR(VLOOKUP(E:E,'Item Data Support Sheet'!A:O,4,0),0)</f>
        <v>0</v>
      </c>
      <c r="AA590" s="428">
        <f t="shared" si="180"/>
        <v>0</v>
      </c>
      <c r="AB590" s="429" t="str">
        <f t="shared" si="181"/>
        <v xml:space="preserve"> </v>
      </c>
      <c r="AC590" s="424">
        <f t="shared" si="182"/>
        <v>7.2411296162201303E-3</v>
      </c>
      <c r="AD590" s="371">
        <f t="shared" si="183"/>
        <v>0</v>
      </c>
      <c r="AE590" s="748">
        <f t="shared" si="184"/>
        <v>0.99275887038377986</v>
      </c>
      <c r="AF590" s="417">
        <f t="shared" si="185"/>
        <v>0.66666666666666663</v>
      </c>
      <c r="AG590" s="416">
        <f t="shared" si="186"/>
        <v>7.333333333333333</v>
      </c>
      <c r="AH590" s="372">
        <f t="shared" si="187"/>
        <v>0.91666666666666663</v>
      </c>
      <c r="AI590" s="373">
        <f t="shared" si="188"/>
        <v>685.5</v>
      </c>
      <c r="AJ590" s="418">
        <f>VLOOKUP(D590,'Standard Cycle time'!C:D,2,0)</f>
        <v>32.4</v>
      </c>
      <c r="AK590" s="418">
        <f t="shared" si="189"/>
        <v>24.070021881838073</v>
      </c>
      <c r="AL590" s="374">
        <f t="shared" si="190"/>
        <v>1.3460727272727273</v>
      </c>
      <c r="AM590" s="372">
        <f t="shared" si="191"/>
        <v>1.224965170166546</v>
      </c>
      <c r="AN590" s="799" t="s">
        <v>3138</v>
      </c>
      <c r="AO590" s="448"/>
      <c r="AP590" s="440">
        <v>40</v>
      </c>
      <c r="AQ590" s="440">
        <v>0</v>
      </c>
      <c r="AR590" s="440">
        <v>0</v>
      </c>
      <c r="AS590" s="440">
        <v>0</v>
      </c>
      <c r="AT590" s="440">
        <v>0</v>
      </c>
      <c r="AU590" s="440">
        <v>0</v>
      </c>
      <c r="AV590" s="440">
        <v>0</v>
      </c>
      <c r="AW590" s="440">
        <v>0</v>
      </c>
      <c r="AX590" s="440">
        <v>0</v>
      </c>
      <c r="AY590" s="440">
        <v>0</v>
      </c>
      <c r="AZ590" s="440">
        <v>0</v>
      </c>
      <c r="BA590" s="440">
        <v>0</v>
      </c>
      <c r="BB590" s="440">
        <v>0</v>
      </c>
      <c r="BC590" s="440">
        <v>0</v>
      </c>
      <c r="BD590" s="440">
        <v>0</v>
      </c>
      <c r="BE590" s="440">
        <v>0</v>
      </c>
      <c r="BF590" s="440">
        <v>0</v>
      </c>
      <c r="BG590" s="440">
        <v>0</v>
      </c>
      <c r="BH590" s="440">
        <v>0</v>
      </c>
      <c r="BI590" s="440">
        <v>0</v>
      </c>
      <c r="BJ590" s="440">
        <v>0</v>
      </c>
      <c r="BK590" s="440">
        <v>0</v>
      </c>
      <c r="BL590" s="440">
        <v>0</v>
      </c>
      <c r="BM590" s="440">
        <v>0</v>
      </c>
      <c r="BN590" s="440">
        <v>0</v>
      </c>
      <c r="BO590" s="440">
        <v>0</v>
      </c>
      <c r="BP590" s="440">
        <v>0</v>
      </c>
      <c r="BQ590" s="440">
        <v>0</v>
      </c>
      <c r="BR590" s="415">
        <v>0.66666666666666663</v>
      </c>
      <c r="BS590" s="415">
        <v>0.6777777777777777</v>
      </c>
      <c r="BT590" s="935"/>
      <c r="BU590" s="935"/>
      <c r="BV590" s="935"/>
      <c r="BW590" s="935"/>
      <c r="BX590" s="935"/>
      <c r="BY590" s="935"/>
      <c r="BZ590" s="935"/>
      <c r="CA590" s="935"/>
      <c r="CB590" s="935"/>
      <c r="CC590" s="935"/>
      <c r="CD590" s="935"/>
      <c r="CE590" s="935"/>
      <c r="CF590" s="935"/>
      <c r="CG590" s="935"/>
      <c r="CH590" s="935"/>
      <c r="CI590" s="935"/>
      <c r="CJ590" s="935"/>
      <c r="CK590" s="935"/>
      <c r="CL590" s="935"/>
      <c r="CM590" s="935"/>
      <c r="CN590" s="935"/>
      <c r="CO590" s="935"/>
      <c r="CP590" s="935"/>
      <c r="CQ590" s="935"/>
      <c r="CR590" s="935"/>
      <c r="CS590" s="935"/>
      <c r="CT590" s="935"/>
      <c r="CU590" s="935"/>
      <c r="CV590" s="935"/>
    </row>
    <row r="591" spans="1:100" s="441" customFormat="1">
      <c r="A591" s="375">
        <f t="shared" si="177"/>
        <v>9</v>
      </c>
      <c r="B591" s="862">
        <v>44459</v>
      </c>
      <c r="C591" s="493" t="s">
        <v>2053</v>
      </c>
      <c r="D591" s="376" t="str">
        <f>IFERROR(VLOOKUP(E:E,'Item Data Support Sheet'!A:O,7,0),"")</f>
        <v>CAP MOLDED</v>
      </c>
      <c r="E591" s="447" t="s">
        <v>2107</v>
      </c>
      <c r="F591" s="500"/>
      <c r="G591" s="497" t="s">
        <v>3208</v>
      </c>
      <c r="H591" s="602" t="str">
        <f>IFERROR(VLOOKUP(E:E,'Item Data Support Sheet'!A:O,2,0),"")</f>
        <v>CAP S TYPE MOLDED PINK</v>
      </c>
      <c r="I591" s="501" t="s">
        <v>3211</v>
      </c>
      <c r="J591" s="501" t="s">
        <v>2826</v>
      </c>
      <c r="K591" s="438">
        <v>3.5</v>
      </c>
      <c r="L591" s="499">
        <v>1800</v>
      </c>
      <c r="M591" s="366">
        <f t="shared" si="192"/>
        <v>514.28571428571433</v>
      </c>
      <c r="N591" s="367">
        <f t="shared" si="176"/>
        <v>1860</v>
      </c>
      <c r="O591" s="61">
        <v>1860</v>
      </c>
      <c r="P591" s="368">
        <v>0</v>
      </c>
      <c r="Q591" s="368">
        <v>0</v>
      </c>
      <c r="R591" s="494">
        <v>0</v>
      </c>
      <c r="S591" s="493">
        <v>0</v>
      </c>
      <c r="T591" s="494">
        <v>0</v>
      </c>
      <c r="U591" s="493">
        <v>0</v>
      </c>
      <c r="V591" s="502">
        <v>1</v>
      </c>
      <c r="W591" s="453">
        <f t="shared" si="178"/>
        <v>1860</v>
      </c>
      <c r="X591" s="748">
        <f t="shared" si="179"/>
        <v>1.0333333333333334</v>
      </c>
      <c r="Y591" s="451" t="str">
        <f>IFERROR(VLOOKUP(E:E,'Item Data Support Sheet'!A:J,6,0),0)</f>
        <v>RM000123</v>
      </c>
      <c r="Z591" s="428">
        <f>IFERROR(VLOOKUP(E:E,'Item Data Support Sheet'!A:O,4,0),0)</f>
        <v>7.3</v>
      </c>
      <c r="AA591" s="428">
        <f t="shared" si="180"/>
        <v>13.577999999999999</v>
      </c>
      <c r="AB591" s="429">
        <f t="shared" si="181"/>
        <v>1</v>
      </c>
      <c r="AC591" s="424">
        <f t="shared" si="182"/>
        <v>0</v>
      </c>
      <c r="AD591" s="371">
        <f t="shared" si="183"/>
        <v>0</v>
      </c>
      <c r="AE591" s="748">
        <f t="shared" si="184"/>
        <v>1</v>
      </c>
      <c r="AF591" s="417">
        <f t="shared" si="185"/>
        <v>0</v>
      </c>
      <c r="AG591" s="416">
        <f t="shared" si="186"/>
        <v>3.5</v>
      </c>
      <c r="AH591" s="372">
        <f t="shared" si="187"/>
        <v>1</v>
      </c>
      <c r="AI591" s="373">
        <f t="shared" si="188"/>
        <v>531.42857142857144</v>
      </c>
      <c r="AJ591" s="418">
        <f>VLOOKUP(D591,'Standard Cycle time'!C:D,2,0)</f>
        <v>6</v>
      </c>
      <c r="AK591" s="418">
        <f t="shared" si="189"/>
        <v>6.774193548387097</v>
      </c>
      <c r="AL591" s="374">
        <f t="shared" si="190"/>
        <v>0.88571428571428568</v>
      </c>
      <c r="AM591" s="372">
        <f t="shared" si="191"/>
        <v>0.88571428571428568</v>
      </c>
      <c r="AN591" s="799">
        <v>3402</v>
      </c>
      <c r="AO591" s="448"/>
      <c r="AP591" s="440">
        <v>0</v>
      </c>
      <c r="AQ591" s="440">
        <v>0</v>
      </c>
      <c r="AR591" s="440">
        <v>0</v>
      </c>
      <c r="AS591" s="440">
        <v>0</v>
      </c>
      <c r="AT591" s="440">
        <v>0</v>
      </c>
      <c r="AU591" s="440">
        <v>0</v>
      </c>
      <c r="AV591" s="440">
        <v>0</v>
      </c>
      <c r="AW591" s="440">
        <v>0</v>
      </c>
      <c r="AX591" s="440">
        <v>0</v>
      </c>
      <c r="AY591" s="440">
        <v>0</v>
      </c>
      <c r="AZ591" s="440">
        <v>0</v>
      </c>
      <c r="BA591" s="440">
        <v>0</v>
      </c>
      <c r="BB591" s="440">
        <v>0</v>
      </c>
      <c r="BC591" s="440">
        <v>0</v>
      </c>
      <c r="BD591" s="440">
        <v>0</v>
      </c>
      <c r="BE591" s="440">
        <v>0</v>
      </c>
      <c r="BF591" s="440">
        <v>0</v>
      </c>
      <c r="BG591" s="440">
        <v>0</v>
      </c>
      <c r="BH591" s="440">
        <v>0</v>
      </c>
      <c r="BI591" s="440">
        <v>0</v>
      </c>
      <c r="BJ591" s="440">
        <v>0</v>
      </c>
      <c r="BK591" s="440">
        <v>0</v>
      </c>
      <c r="BL591" s="440">
        <v>0</v>
      </c>
      <c r="BM591" s="440">
        <v>0</v>
      </c>
      <c r="BN591" s="440">
        <v>0</v>
      </c>
      <c r="BO591" s="440">
        <v>0</v>
      </c>
      <c r="BP591" s="440">
        <v>0</v>
      </c>
      <c r="BQ591" s="440">
        <v>0</v>
      </c>
      <c r="BR591" s="415">
        <v>0</v>
      </c>
      <c r="BS591" s="415">
        <v>0</v>
      </c>
      <c r="BT591" s="935"/>
      <c r="BU591" s="935"/>
      <c r="BV591" s="935"/>
      <c r="BW591" s="935"/>
      <c r="BX591" s="935"/>
      <c r="BY591" s="935"/>
      <c r="BZ591" s="935"/>
      <c r="CA591" s="935"/>
      <c r="CB591" s="935"/>
      <c r="CC591" s="935"/>
      <c r="CD591" s="935"/>
      <c r="CE591" s="935"/>
      <c r="CF591" s="935"/>
      <c r="CG591" s="935"/>
      <c r="CH591" s="935"/>
      <c r="CI591" s="935"/>
      <c r="CJ591" s="935"/>
      <c r="CK591" s="935"/>
      <c r="CL591" s="935"/>
      <c r="CM591" s="935"/>
      <c r="CN591" s="935"/>
      <c r="CO591" s="935"/>
      <c r="CP591" s="935"/>
      <c r="CQ591" s="935"/>
      <c r="CR591" s="935"/>
      <c r="CS591" s="935"/>
      <c r="CT591" s="935"/>
      <c r="CU591" s="935"/>
      <c r="CV591" s="935"/>
    </row>
    <row r="592" spans="1:100" s="441" customFormat="1">
      <c r="A592" s="375">
        <f t="shared" si="177"/>
        <v>9</v>
      </c>
      <c r="B592" s="862">
        <v>44459</v>
      </c>
      <c r="C592" s="493" t="s">
        <v>2053</v>
      </c>
      <c r="D592" s="376" t="str">
        <f>IFERROR(VLOOKUP(E:E,'Item Data Support Sheet'!A:O,7,0),"")</f>
        <v>CAP MOLDED</v>
      </c>
      <c r="E592" s="447" t="s">
        <v>2107</v>
      </c>
      <c r="F592" s="500"/>
      <c r="G592" s="497" t="s">
        <v>3212</v>
      </c>
      <c r="H592" s="602" t="str">
        <f>IFERROR(VLOOKUP(E:E,'Item Data Support Sheet'!A:O,2,0),"")</f>
        <v>CAP S TYPE MOLDED PINK</v>
      </c>
      <c r="I592" s="501" t="s">
        <v>3213</v>
      </c>
      <c r="J592" s="501" t="s">
        <v>2826</v>
      </c>
      <c r="K592" s="438">
        <v>4.5</v>
      </c>
      <c r="L592" s="499">
        <v>2337</v>
      </c>
      <c r="M592" s="366">
        <f t="shared" si="192"/>
        <v>519.33333333333337</v>
      </c>
      <c r="N592" s="367">
        <f t="shared" si="176"/>
        <v>2312</v>
      </c>
      <c r="O592" s="61">
        <v>2300</v>
      </c>
      <c r="P592" s="368">
        <v>0</v>
      </c>
      <c r="Q592" s="368">
        <v>0</v>
      </c>
      <c r="R592" s="494">
        <v>0</v>
      </c>
      <c r="S592" s="493">
        <v>0</v>
      </c>
      <c r="T592" s="494">
        <v>4</v>
      </c>
      <c r="U592" s="493">
        <v>8</v>
      </c>
      <c r="V592" s="502">
        <v>1</v>
      </c>
      <c r="W592" s="453">
        <f t="shared" si="178"/>
        <v>2300</v>
      </c>
      <c r="X592" s="748">
        <f t="shared" si="179"/>
        <v>0.9841677364142063</v>
      </c>
      <c r="Y592" s="451" t="str">
        <f>IFERROR(VLOOKUP(E:E,'Item Data Support Sheet'!A:J,6,0),0)</f>
        <v>RM000123</v>
      </c>
      <c r="Z592" s="428">
        <f>IFERROR(VLOOKUP(E:E,'Item Data Support Sheet'!A:O,4,0),0)</f>
        <v>7.3</v>
      </c>
      <c r="AA592" s="428">
        <f t="shared" si="180"/>
        <v>16.877600000000001</v>
      </c>
      <c r="AB592" s="429">
        <f t="shared" si="181"/>
        <v>0.9948096885813148</v>
      </c>
      <c r="AC592" s="424">
        <f t="shared" si="182"/>
        <v>1.736111111111111E-3</v>
      </c>
      <c r="AD592" s="371">
        <f t="shared" si="183"/>
        <v>0</v>
      </c>
      <c r="AE592" s="748">
        <f t="shared" si="184"/>
        <v>0.9982698961937716</v>
      </c>
      <c r="AF592" s="417">
        <f t="shared" si="185"/>
        <v>0</v>
      </c>
      <c r="AG592" s="416">
        <f t="shared" si="186"/>
        <v>4.5</v>
      </c>
      <c r="AH592" s="372">
        <f t="shared" si="187"/>
        <v>1</v>
      </c>
      <c r="AI592" s="373">
        <f t="shared" si="188"/>
        <v>511.11111111111109</v>
      </c>
      <c r="AJ592" s="418">
        <f>VLOOKUP(D592,'Standard Cycle time'!C:D,2,0)</f>
        <v>6</v>
      </c>
      <c r="AK592" s="418">
        <f t="shared" si="189"/>
        <v>7.0434782608695654</v>
      </c>
      <c r="AL592" s="374">
        <f t="shared" si="190"/>
        <v>0.85185185185185186</v>
      </c>
      <c r="AM592" s="372">
        <f t="shared" si="191"/>
        <v>0.85037805972062031</v>
      </c>
      <c r="AN592" s="799">
        <v>3408</v>
      </c>
      <c r="AO592" s="448"/>
      <c r="AP592" s="440">
        <v>0</v>
      </c>
      <c r="AQ592" s="440">
        <v>0</v>
      </c>
      <c r="AR592" s="440">
        <v>0</v>
      </c>
      <c r="AS592" s="440">
        <v>0</v>
      </c>
      <c r="AT592" s="440">
        <v>0</v>
      </c>
      <c r="AU592" s="440">
        <v>0</v>
      </c>
      <c r="AV592" s="440">
        <v>0</v>
      </c>
      <c r="AW592" s="440">
        <v>0</v>
      </c>
      <c r="AX592" s="440">
        <v>0</v>
      </c>
      <c r="AY592" s="440">
        <v>0</v>
      </c>
      <c r="AZ592" s="440">
        <v>0</v>
      </c>
      <c r="BA592" s="440">
        <v>0</v>
      </c>
      <c r="BB592" s="440">
        <v>0</v>
      </c>
      <c r="BC592" s="440">
        <v>0</v>
      </c>
      <c r="BD592" s="440">
        <v>0</v>
      </c>
      <c r="BE592" s="440">
        <v>0</v>
      </c>
      <c r="BF592" s="440">
        <v>0</v>
      </c>
      <c r="BG592" s="440">
        <v>0</v>
      </c>
      <c r="BH592" s="440">
        <v>0</v>
      </c>
      <c r="BI592" s="440">
        <v>0</v>
      </c>
      <c r="BJ592" s="440">
        <v>0</v>
      </c>
      <c r="BK592" s="440">
        <v>0</v>
      </c>
      <c r="BL592" s="440">
        <v>0</v>
      </c>
      <c r="BM592" s="440">
        <v>0</v>
      </c>
      <c r="BN592" s="440">
        <v>0</v>
      </c>
      <c r="BO592" s="440">
        <v>0</v>
      </c>
      <c r="BP592" s="440">
        <v>0</v>
      </c>
      <c r="BQ592" s="440">
        <v>0</v>
      </c>
      <c r="BR592" s="415">
        <v>0</v>
      </c>
      <c r="BS592" s="415">
        <v>0</v>
      </c>
      <c r="BT592" s="935"/>
      <c r="BU592" s="935"/>
      <c r="BV592" s="935"/>
      <c r="BW592" s="935"/>
      <c r="BX592" s="935"/>
      <c r="BY592" s="935"/>
      <c r="BZ592" s="935"/>
      <c r="CA592" s="935"/>
      <c r="CB592" s="935"/>
      <c r="CC592" s="935"/>
      <c r="CD592" s="935"/>
      <c r="CE592" s="935"/>
      <c r="CF592" s="935"/>
      <c r="CG592" s="935"/>
      <c r="CH592" s="935"/>
      <c r="CI592" s="935"/>
      <c r="CJ592" s="935"/>
      <c r="CK592" s="935"/>
      <c r="CL592" s="935"/>
      <c r="CM592" s="935"/>
      <c r="CN592" s="935"/>
      <c r="CO592" s="935"/>
      <c r="CP592" s="935"/>
      <c r="CQ592" s="935"/>
      <c r="CR592" s="935"/>
      <c r="CS592" s="935"/>
      <c r="CT592" s="935"/>
      <c r="CU592" s="935"/>
      <c r="CV592" s="935"/>
    </row>
    <row r="593" spans="1:100" s="441" customFormat="1">
      <c r="A593" s="375">
        <f t="shared" si="177"/>
        <v>9</v>
      </c>
      <c r="B593" s="862">
        <v>44459</v>
      </c>
      <c r="C593" s="493" t="s">
        <v>2053</v>
      </c>
      <c r="D593" s="376" t="str">
        <f>IFERROR(VLOOKUP(E:E,'Item Data Support Sheet'!A:O,7,0),"")</f>
        <v>NIPPLE MOLDED</v>
      </c>
      <c r="E593" s="447" t="s">
        <v>74</v>
      </c>
      <c r="F593" s="500" t="s">
        <v>1678</v>
      </c>
      <c r="G593" s="497" t="s">
        <v>1691</v>
      </c>
      <c r="H593" s="602" t="str">
        <f>IFERROR(VLOOKUP(E:E,'Item Data Support Sheet'!A:O,2,0),"")</f>
        <v>NIPPLE S TYPE L SIZE INJECTION</v>
      </c>
      <c r="I593" s="501" t="s">
        <v>3214</v>
      </c>
      <c r="J593" s="501" t="s">
        <v>2826</v>
      </c>
      <c r="K593" s="438">
        <v>8</v>
      </c>
      <c r="L593" s="499">
        <v>4815</v>
      </c>
      <c r="M593" s="366">
        <f t="shared" si="192"/>
        <v>601.875</v>
      </c>
      <c r="N593" s="367">
        <f t="shared" si="176"/>
        <v>4130</v>
      </c>
      <c r="O593" s="61">
        <v>4050</v>
      </c>
      <c r="P593" s="368">
        <v>0</v>
      </c>
      <c r="Q593" s="368">
        <v>34</v>
      </c>
      <c r="R593" s="494">
        <v>0</v>
      </c>
      <c r="S593" s="493">
        <v>0</v>
      </c>
      <c r="T593" s="494">
        <v>38</v>
      </c>
      <c r="U593" s="493">
        <v>8</v>
      </c>
      <c r="V593" s="502">
        <v>1</v>
      </c>
      <c r="W593" s="453">
        <f t="shared" si="178"/>
        <v>4050</v>
      </c>
      <c r="X593" s="748">
        <f t="shared" si="179"/>
        <v>0.84112149532710279</v>
      </c>
      <c r="Y593" s="451" t="str">
        <f>IFERROR(VLOOKUP(E:E,'Item Data Support Sheet'!A:J,6,0),0)</f>
        <v>Silicon</v>
      </c>
      <c r="Z593" s="428">
        <f>IFERROR(VLOOKUP(E:E,'Item Data Support Sheet'!A:O,4,0),0)</f>
        <v>6.8</v>
      </c>
      <c r="AA593" s="428">
        <f t="shared" si="180"/>
        <v>28.084</v>
      </c>
      <c r="AB593" s="429">
        <f t="shared" si="181"/>
        <v>0.98062953995157387</v>
      </c>
      <c r="AC593" s="424">
        <f t="shared" si="182"/>
        <v>9.2954990215264183E-3</v>
      </c>
      <c r="AD593" s="371">
        <f t="shared" si="183"/>
        <v>8.1652257444764648E-3</v>
      </c>
      <c r="AE593" s="748">
        <f t="shared" si="184"/>
        <v>0.99079903147699755</v>
      </c>
      <c r="AF593" s="417">
        <f t="shared" si="185"/>
        <v>1</v>
      </c>
      <c r="AG593" s="416">
        <f t="shared" si="186"/>
        <v>7</v>
      </c>
      <c r="AH593" s="372">
        <f t="shared" si="187"/>
        <v>0.875</v>
      </c>
      <c r="AI593" s="373">
        <f t="shared" si="188"/>
        <v>506.25</v>
      </c>
      <c r="AJ593" s="418">
        <f>VLOOKUP(D593,'Standard Cycle time'!C:D,2,0)</f>
        <v>5.25</v>
      </c>
      <c r="AK593" s="418">
        <f t="shared" si="189"/>
        <v>6.2222222222222223</v>
      </c>
      <c r="AL593" s="374">
        <f t="shared" si="190"/>
        <v>0.84375</v>
      </c>
      <c r="AM593" s="372">
        <f t="shared" si="191"/>
        <v>0.73148834745762714</v>
      </c>
      <c r="AN593" s="799">
        <v>3392</v>
      </c>
      <c r="AO593" s="448"/>
      <c r="AP593" s="440">
        <v>0</v>
      </c>
      <c r="AQ593" s="440">
        <v>0</v>
      </c>
      <c r="AR593" s="440">
        <v>0</v>
      </c>
      <c r="AS593" s="440">
        <v>0</v>
      </c>
      <c r="AT593" s="440">
        <v>0</v>
      </c>
      <c r="AU593" s="440">
        <v>30</v>
      </c>
      <c r="AV593" s="440">
        <v>30</v>
      </c>
      <c r="AW593" s="440">
        <v>0</v>
      </c>
      <c r="AX593" s="440">
        <v>0</v>
      </c>
      <c r="AY593" s="440">
        <v>0</v>
      </c>
      <c r="AZ593" s="440">
        <v>0</v>
      </c>
      <c r="BA593" s="440">
        <v>0</v>
      </c>
      <c r="BB593" s="440">
        <v>0</v>
      </c>
      <c r="BC593" s="440">
        <v>0</v>
      </c>
      <c r="BD593" s="440">
        <v>0</v>
      </c>
      <c r="BE593" s="440">
        <v>0</v>
      </c>
      <c r="BF593" s="440">
        <v>0</v>
      </c>
      <c r="BG593" s="440">
        <v>0</v>
      </c>
      <c r="BH593" s="440">
        <v>0</v>
      </c>
      <c r="BI593" s="440">
        <v>0</v>
      </c>
      <c r="BJ593" s="440">
        <v>0</v>
      </c>
      <c r="BK593" s="440">
        <v>0</v>
      </c>
      <c r="BL593" s="440">
        <v>0</v>
      </c>
      <c r="BM593" s="440">
        <v>0</v>
      </c>
      <c r="BN593" s="440">
        <v>0</v>
      </c>
      <c r="BO593" s="440">
        <v>0</v>
      </c>
      <c r="BP593" s="440">
        <v>0</v>
      </c>
      <c r="BQ593" s="440">
        <v>0</v>
      </c>
      <c r="BR593" s="415">
        <v>1</v>
      </c>
      <c r="BS593" s="415">
        <v>1.0166666666666666</v>
      </c>
      <c r="BT593" s="935"/>
      <c r="BU593" s="935"/>
      <c r="BV593" s="935"/>
      <c r="BW593" s="935"/>
      <c r="BX593" s="935"/>
      <c r="BY593" s="935"/>
      <c r="BZ593" s="935"/>
      <c r="CA593" s="935"/>
      <c r="CB593" s="935"/>
      <c r="CC593" s="935"/>
      <c r="CD593" s="935"/>
      <c r="CE593" s="935"/>
      <c r="CF593" s="935"/>
      <c r="CG593" s="935"/>
      <c r="CH593" s="935"/>
      <c r="CI593" s="935"/>
      <c r="CJ593" s="935"/>
      <c r="CK593" s="935"/>
      <c r="CL593" s="935"/>
      <c r="CM593" s="935"/>
      <c r="CN593" s="935"/>
      <c r="CO593" s="935"/>
      <c r="CP593" s="935"/>
      <c r="CQ593" s="935"/>
      <c r="CR593" s="935"/>
      <c r="CS593" s="935"/>
      <c r="CT593" s="935"/>
      <c r="CU593" s="935"/>
      <c r="CV593" s="935"/>
    </row>
    <row r="594" spans="1:100" s="441" customFormat="1">
      <c r="A594" s="375">
        <f t="shared" si="177"/>
        <v>9</v>
      </c>
      <c r="B594" s="862">
        <v>44459</v>
      </c>
      <c r="C594" s="493" t="s">
        <v>2053</v>
      </c>
      <c r="D594" s="376" t="str">
        <f>IFERROR(VLOOKUP(E:E,'Item Data Support Sheet'!A:O,7,0),"")</f>
        <v>BOTTLE MOLDED</v>
      </c>
      <c r="E594" s="447" t="s">
        <v>65</v>
      </c>
      <c r="F594" s="500" t="s">
        <v>1679</v>
      </c>
      <c r="G594" s="497" t="s">
        <v>1888</v>
      </c>
      <c r="H594" s="602" t="str">
        <f>IFERROR(VLOOKUP(E:E,'Item Data Support Sheet'!A:O,2,0),"")</f>
        <v>KPP 120 ML BOTTLE MOLDED</v>
      </c>
      <c r="I594" s="501" t="s">
        <v>3215</v>
      </c>
      <c r="J594" s="501" t="s">
        <v>2826</v>
      </c>
      <c r="K594" s="438">
        <v>8</v>
      </c>
      <c r="L594" s="499">
        <v>2574</v>
      </c>
      <c r="M594" s="366">
        <f t="shared" si="192"/>
        <v>321.75</v>
      </c>
      <c r="N594" s="367">
        <f t="shared" si="176"/>
        <v>3120</v>
      </c>
      <c r="O594" s="61">
        <v>3060</v>
      </c>
      <c r="P594" s="368">
        <v>0</v>
      </c>
      <c r="Q594" s="368">
        <v>27</v>
      </c>
      <c r="R594" s="494">
        <v>0</v>
      </c>
      <c r="S594" s="493">
        <v>0</v>
      </c>
      <c r="T594" s="494">
        <v>25</v>
      </c>
      <c r="U594" s="493">
        <v>8</v>
      </c>
      <c r="V594" s="502">
        <v>1</v>
      </c>
      <c r="W594" s="453">
        <f t="shared" si="178"/>
        <v>3060</v>
      </c>
      <c r="X594" s="748">
        <f t="shared" si="179"/>
        <v>1.1888111888111887</v>
      </c>
      <c r="Y594" s="451" t="str">
        <f>IFERROR(VLOOKUP(E:E,'Item Data Support Sheet'!A:J,6,0),0)</f>
        <v>HMC</v>
      </c>
      <c r="Z594" s="428">
        <f>IFERROR(VLOOKUP(E:E,'Item Data Support Sheet'!A:O,4,0),0)</f>
        <v>21.3</v>
      </c>
      <c r="AA594" s="428">
        <f t="shared" si="180"/>
        <v>66.456000000000003</v>
      </c>
      <c r="AB594" s="429">
        <f t="shared" si="181"/>
        <v>0.98076923076923073</v>
      </c>
      <c r="AC594" s="424">
        <f t="shared" si="182"/>
        <v>8.1037277147487843E-3</v>
      </c>
      <c r="AD594" s="371">
        <f t="shared" si="183"/>
        <v>8.5795996186844616E-3</v>
      </c>
      <c r="AE594" s="748">
        <f t="shared" si="184"/>
        <v>0.99198717948717952</v>
      </c>
      <c r="AF594" s="417">
        <f t="shared" si="185"/>
        <v>0</v>
      </c>
      <c r="AG594" s="416">
        <f t="shared" si="186"/>
        <v>8</v>
      </c>
      <c r="AH594" s="372">
        <f t="shared" si="187"/>
        <v>1</v>
      </c>
      <c r="AI594" s="373">
        <f t="shared" si="188"/>
        <v>382.5</v>
      </c>
      <c r="AJ594" s="418">
        <f>VLOOKUP(D594,'Standard Cycle time'!C:D,2,0)</f>
        <v>9</v>
      </c>
      <c r="AK594" s="418">
        <f t="shared" si="189"/>
        <v>9.4117647058823533</v>
      </c>
      <c r="AL594" s="374">
        <f t="shared" si="190"/>
        <v>0.95624999999999993</v>
      </c>
      <c r="AM594" s="372">
        <f t="shared" si="191"/>
        <v>0.94858774038461535</v>
      </c>
      <c r="AN594" s="799">
        <v>3393</v>
      </c>
      <c r="AO594" s="448"/>
      <c r="AP594" s="440">
        <v>0</v>
      </c>
      <c r="AQ594" s="440">
        <v>0</v>
      </c>
      <c r="AR594" s="440">
        <v>0</v>
      </c>
      <c r="AS594" s="440">
        <v>0</v>
      </c>
      <c r="AT594" s="440">
        <v>0</v>
      </c>
      <c r="AU594" s="440">
        <v>0</v>
      </c>
      <c r="AV594" s="440">
        <v>0</v>
      </c>
      <c r="AW594" s="440">
        <v>0</v>
      </c>
      <c r="AX594" s="440">
        <v>0</v>
      </c>
      <c r="AY594" s="440">
        <v>0</v>
      </c>
      <c r="AZ594" s="440">
        <v>0</v>
      </c>
      <c r="BA594" s="440">
        <v>0</v>
      </c>
      <c r="BB594" s="440">
        <v>0</v>
      </c>
      <c r="BC594" s="440">
        <v>0</v>
      </c>
      <c r="BD594" s="440">
        <v>0</v>
      </c>
      <c r="BE594" s="440">
        <v>0</v>
      </c>
      <c r="BF594" s="440">
        <v>0</v>
      </c>
      <c r="BG594" s="440">
        <v>0</v>
      </c>
      <c r="BH594" s="440">
        <v>0</v>
      </c>
      <c r="BI594" s="440">
        <v>0</v>
      </c>
      <c r="BJ594" s="440">
        <v>0</v>
      </c>
      <c r="BK594" s="440">
        <v>0</v>
      </c>
      <c r="BL594" s="440">
        <v>0</v>
      </c>
      <c r="BM594" s="440">
        <v>0</v>
      </c>
      <c r="BN594" s="440">
        <v>0</v>
      </c>
      <c r="BO594" s="440">
        <v>0</v>
      </c>
      <c r="BP594" s="440">
        <v>0</v>
      </c>
      <c r="BQ594" s="440">
        <v>0</v>
      </c>
      <c r="BR594" s="415">
        <v>0</v>
      </c>
      <c r="BS594" s="415">
        <v>0</v>
      </c>
      <c r="BT594" s="935"/>
      <c r="BU594" s="935"/>
      <c r="BV594" s="935"/>
      <c r="BW594" s="935"/>
      <c r="BX594" s="935"/>
      <c r="BY594" s="935"/>
      <c r="BZ594" s="935"/>
      <c r="CA594" s="935"/>
      <c r="CB594" s="935"/>
      <c r="CC594" s="935"/>
      <c r="CD594" s="935"/>
      <c r="CE594" s="935"/>
      <c r="CF594" s="935"/>
      <c r="CG594" s="935"/>
      <c r="CH594" s="935"/>
      <c r="CI594" s="935"/>
      <c r="CJ594" s="935"/>
      <c r="CK594" s="935"/>
      <c r="CL594" s="935"/>
      <c r="CM594" s="935"/>
      <c r="CN594" s="935"/>
      <c r="CO594" s="935"/>
      <c r="CP594" s="935"/>
      <c r="CQ594" s="935"/>
      <c r="CR594" s="935"/>
      <c r="CS594" s="935"/>
      <c r="CT594" s="935"/>
      <c r="CU594" s="935"/>
      <c r="CV594" s="935"/>
    </row>
    <row r="595" spans="1:100" s="441" customFormat="1">
      <c r="A595" s="375">
        <f t="shared" si="177"/>
        <v>9</v>
      </c>
      <c r="B595" s="862">
        <v>44460</v>
      </c>
      <c r="C595" s="493" t="s">
        <v>1980</v>
      </c>
      <c r="D595" s="376" t="str">
        <f>IFERROR(VLOOKUP(E:E,'Item Data Support Sheet'!A:O,7,0),"")</f>
        <v>BOTTLE MOLDED</v>
      </c>
      <c r="E595" s="447" t="s">
        <v>65</v>
      </c>
      <c r="F595" s="500" t="s">
        <v>1679</v>
      </c>
      <c r="G595" s="497" t="s">
        <v>1888</v>
      </c>
      <c r="H595" s="602" t="str">
        <f>IFERROR(VLOOKUP(E:E,'Item Data Support Sheet'!A:O,2,0),"")</f>
        <v>KPP 120 ML BOTTLE MOLDED</v>
      </c>
      <c r="I595" s="501" t="s">
        <v>3216</v>
      </c>
      <c r="J595" s="501" t="s">
        <v>2808</v>
      </c>
      <c r="K595" s="438">
        <v>8</v>
      </c>
      <c r="L595" s="499">
        <v>2574</v>
      </c>
      <c r="M595" s="366">
        <f t="shared" si="192"/>
        <v>321.75</v>
      </c>
      <c r="N595" s="367">
        <f t="shared" si="176"/>
        <v>3140</v>
      </c>
      <c r="O595" s="61">
        <v>3060</v>
      </c>
      <c r="P595" s="368">
        <v>0</v>
      </c>
      <c r="Q595" s="368">
        <v>32</v>
      </c>
      <c r="R595" s="494">
        <v>0</v>
      </c>
      <c r="S595" s="493">
        <v>0</v>
      </c>
      <c r="T595" s="494">
        <v>40</v>
      </c>
      <c r="U595" s="493">
        <v>8</v>
      </c>
      <c r="V595" s="502">
        <v>1</v>
      </c>
      <c r="W595" s="453">
        <f t="shared" si="178"/>
        <v>3060</v>
      </c>
      <c r="X595" s="748">
        <f t="shared" si="179"/>
        <v>1.1888111888111887</v>
      </c>
      <c r="Y595" s="451" t="str">
        <f>IFERROR(VLOOKUP(E:E,'Item Data Support Sheet'!A:J,6,0),0)</f>
        <v>HMC</v>
      </c>
      <c r="Z595" s="428">
        <f>IFERROR(VLOOKUP(E:E,'Item Data Support Sheet'!A:O,4,0),0)</f>
        <v>21.3</v>
      </c>
      <c r="AA595" s="428">
        <f t="shared" si="180"/>
        <v>66.882000000000005</v>
      </c>
      <c r="AB595" s="429">
        <f t="shared" si="181"/>
        <v>0.97452229299363047</v>
      </c>
      <c r="AC595" s="424">
        <f t="shared" si="182"/>
        <v>1.2903225806451613E-2</v>
      </c>
      <c r="AD595" s="371">
        <f t="shared" si="183"/>
        <v>1.0088272383354351E-2</v>
      </c>
      <c r="AE595" s="748">
        <f t="shared" si="184"/>
        <v>0.98726114649681529</v>
      </c>
      <c r="AF595" s="417">
        <f t="shared" si="185"/>
        <v>0</v>
      </c>
      <c r="AG595" s="416">
        <f t="shared" si="186"/>
        <v>8</v>
      </c>
      <c r="AH595" s="372">
        <f t="shared" si="187"/>
        <v>1</v>
      </c>
      <c r="AI595" s="373">
        <f t="shared" si="188"/>
        <v>382.5</v>
      </c>
      <c r="AJ595" s="418">
        <f>VLOOKUP(D595,'Standard Cycle time'!C:D,2,0)</f>
        <v>9</v>
      </c>
      <c r="AK595" s="418">
        <f t="shared" si="189"/>
        <v>9.4117647058823533</v>
      </c>
      <c r="AL595" s="374">
        <f t="shared" si="190"/>
        <v>0.95624999999999993</v>
      </c>
      <c r="AM595" s="372">
        <f t="shared" si="191"/>
        <v>0.94406847133757954</v>
      </c>
      <c r="AN595" s="799">
        <v>3414</v>
      </c>
      <c r="AO595" s="448" t="s">
        <v>2454</v>
      </c>
      <c r="AP595" s="440">
        <v>0</v>
      </c>
      <c r="AQ595" s="440">
        <v>0</v>
      </c>
      <c r="AR595" s="440">
        <v>0</v>
      </c>
      <c r="AS595" s="440">
        <v>0</v>
      </c>
      <c r="AT595" s="440">
        <v>0</v>
      </c>
      <c r="AU595" s="440">
        <v>0</v>
      </c>
      <c r="AV595" s="440">
        <v>0</v>
      </c>
      <c r="AW595" s="440">
        <v>0</v>
      </c>
      <c r="AX595" s="440">
        <v>0</v>
      </c>
      <c r="AY595" s="440">
        <v>0</v>
      </c>
      <c r="AZ595" s="440">
        <v>0</v>
      </c>
      <c r="BA595" s="440">
        <v>0</v>
      </c>
      <c r="BB595" s="440">
        <v>0</v>
      </c>
      <c r="BC595" s="440">
        <v>0</v>
      </c>
      <c r="BD595" s="440">
        <v>0</v>
      </c>
      <c r="BE595" s="440">
        <v>0</v>
      </c>
      <c r="BF595" s="440">
        <v>0</v>
      </c>
      <c r="BG595" s="440">
        <v>0</v>
      </c>
      <c r="BH595" s="440">
        <v>0</v>
      </c>
      <c r="BI595" s="440">
        <v>0</v>
      </c>
      <c r="BJ595" s="440">
        <v>0</v>
      </c>
      <c r="BK595" s="440">
        <v>0</v>
      </c>
      <c r="BL595" s="440">
        <v>0</v>
      </c>
      <c r="BM595" s="440">
        <v>0</v>
      </c>
      <c r="BN595" s="440">
        <v>0</v>
      </c>
      <c r="BO595" s="440">
        <v>0</v>
      </c>
      <c r="BP595" s="440">
        <v>0</v>
      </c>
      <c r="BQ595" s="440">
        <v>0</v>
      </c>
      <c r="BR595" s="415">
        <v>0</v>
      </c>
      <c r="BS595" s="415">
        <v>0</v>
      </c>
      <c r="BT595" s="935"/>
      <c r="BU595" s="935"/>
      <c r="BV595" s="935"/>
      <c r="BW595" s="935"/>
      <c r="BX595" s="935"/>
      <c r="BY595" s="935"/>
      <c r="BZ595" s="935"/>
      <c r="CA595" s="935"/>
      <c r="CB595" s="935"/>
      <c r="CC595" s="935"/>
      <c r="CD595" s="935"/>
      <c r="CE595" s="935"/>
      <c r="CF595" s="935"/>
      <c r="CG595" s="935"/>
      <c r="CH595" s="935"/>
      <c r="CI595" s="935"/>
      <c r="CJ595" s="935"/>
      <c r="CK595" s="935"/>
      <c r="CL595" s="935"/>
      <c r="CM595" s="935"/>
      <c r="CN595" s="935"/>
      <c r="CO595" s="935"/>
      <c r="CP595" s="935"/>
      <c r="CQ595" s="935"/>
      <c r="CR595" s="935"/>
      <c r="CS595" s="935"/>
      <c r="CT595" s="935"/>
      <c r="CU595" s="935"/>
      <c r="CV595" s="935"/>
    </row>
    <row r="596" spans="1:100" s="441" customFormat="1">
      <c r="A596" s="375">
        <f t="shared" si="177"/>
        <v>9</v>
      </c>
      <c r="B596" s="862">
        <v>44460</v>
      </c>
      <c r="C596" s="493" t="s">
        <v>1980</v>
      </c>
      <c r="D596" s="376" t="str">
        <f>IFERROR(VLOOKUP(E:E,'Item Data Support Sheet'!A:O,7,0),"")</f>
        <v>NIPPLE MOLDED</v>
      </c>
      <c r="E596" s="447" t="s">
        <v>75</v>
      </c>
      <c r="F596" s="500" t="s">
        <v>1678</v>
      </c>
      <c r="G596" s="497" t="s">
        <v>1691</v>
      </c>
      <c r="H596" s="602" t="str">
        <f>IFERROR(VLOOKUP(E:E,'Item Data Support Sheet'!A:O,2,0),"")</f>
        <v>NIPPLE S TYPE Y SIZE INJECTION</v>
      </c>
      <c r="I596" s="501" t="s">
        <v>3217</v>
      </c>
      <c r="J596" s="501" t="s">
        <v>2808</v>
      </c>
      <c r="K596" s="438">
        <v>8</v>
      </c>
      <c r="L596" s="499">
        <v>4815</v>
      </c>
      <c r="M596" s="366">
        <f t="shared" si="192"/>
        <v>601.875</v>
      </c>
      <c r="N596" s="367">
        <f t="shared" si="176"/>
        <v>5120</v>
      </c>
      <c r="O596" s="61">
        <v>5000</v>
      </c>
      <c r="P596" s="368">
        <v>0</v>
      </c>
      <c r="Q596" s="368">
        <v>52</v>
      </c>
      <c r="R596" s="494">
        <v>0</v>
      </c>
      <c r="S596" s="493">
        <v>0</v>
      </c>
      <c r="T596" s="494">
        <v>60</v>
      </c>
      <c r="U596" s="493">
        <v>8</v>
      </c>
      <c r="V596" s="502">
        <v>1</v>
      </c>
      <c r="W596" s="453">
        <f t="shared" si="178"/>
        <v>5000</v>
      </c>
      <c r="X596" s="748">
        <f t="shared" si="179"/>
        <v>1.0384215991692627</v>
      </c>
      <c r="Y596" s="451" t="str">
        <f>IFERROR(VLOOKUP(E:E,'Item Data Support Sheet'!A:J,6,0),0)</f>
        <v>Silicon</v>
      </c>
      <c r="Z596" s="428">
        <f>IFERROR(VLOOKUP(E:E,'Item Data Support Sheet'!A:O,4,0),0)</f>
        <v>6.8</v>
      </c>
      <c r="AA596" s="428">
        <f t="shared" si="180"/>
        <v>34.815999999999995</v>
      </c>
      <c r="AB596" s="429">
        <f t="shared" si="181"/>
        <v>0.97656250000000011</v>
      </c>
      <c r="AC596" s="424">
        <f t="shared" si="182"/>
        <v>1.1857707509881422E-2</v>
      </c>
      <c r="AD596" s="371">
        <f t="shared" si="183"/>
        <v>1.0054137664346482E-2</v>
      </c>
      <c r="AE596" s="748">
        <f t="shared" si="184"/>
        <v>0.98828125</v>
      </c>
      <c r="AF596" s="417">
        <f t="shared" si="185"/>
        <v>0.5</v>
      </c>
      <c r="AG596" s="416">
        <f t="shared" si="186"/>
        <v>7.5</v>
      </c>
      <c r="AH596" s="372">
        <f t="shared" si="187"/>
        <v>0.9375</v>
      </c>
      <c r="AI596" s="373">
        <f t="shared" si="188"/>
        <v>625</v>
      </c>
      <c r="AJ596" s="418">
        <f>VLOOKUP(D596,'Standard Cycle time'!C:D,2,0)</f>
        <v>5.25</v>
      </c>
      <c r="AK596" s="418">
        <f t="shared" si="189"/>
        <v>5.4</v>
      </c>
      <c r="AL596" s="374">
        <f t="shared" si="190"/>
        <v>0.97222222222222221</v>
      </c>
      <c r="AM596" s="372">
        <f t="shared" si="191"/>
        <v>0.90077718098958337</v>
      </c>
      <c r="AN596" s="799">
        <v>3417</v>
      </c>
      <c r="AO596" s="448" t="s">
        <v>3218</v>
      </c>
      <c r="AP596" s="440">
        <v>0</v>
      </c>
      <c r="AQ596" s="440">
        <v>0</v>
      </c>
      <c r="AR596" s="440">
        <v>0</v>
      </c>
      <c r="AS596" s="440">
        <v>0</v>
      </c>
      <c r="AT596" s="440">
        <v>30</v>
      </c>
      <c r="AU596" s="440">
        <v>0</v>
      </c>
      <c r="AV596" s="440">
        <v>0</v>
      </c>
      <c r="AW596" s="440">
        <v>0</v>
      </c>
      <c r="AX596" s="440">
        <v>0</v>
      </c>
      <c r="AY596" s="440">
        <v>0</v>
      </c>
      <c r="AZ596" s="440">
        <v>0</v>
      </c>
      <c r="BA596" s="440">
        <v>0</v>
      </c>
      <c r="BB596" s="440">
        <v>0</v>
      </c>
      <c r="BC596" s="440">
        <v>0</v>
      </c>
      <c r="BD596" s="440">
        <v>0</v>
      </c>
      <c r="BE596" s="440">
        <v>0</v>
      </c>
      <c r="BF596" s="440">
        <v>0</v>
      </c>
      <c r="BG596" s="440">
        <v>0</v>
      </c>
      <c r="BH596" s="440">
        <v>0</v>
      </c>
      <c r="BI596" s="440">
        <v>0</v>
      </c>
      <c r="BJ596" s="440">
        <v>0</v>
      </c>
      <c r="BK596" s="440">
        <v>0</v>
      </c>
      <c r="BL596" s="440">
        <v>0</v>
      </c>
      <c r="BM596" s="440">
        <v>0</v>
      </c>
      <c r="BN596" s="440">
        <v>0</v>
      </c>
      <c r="BO596" s="440">
        <v>0</v>
      </c>
      <c r="BP596" s="440">
        <v>0</v>
      </c>
      <c r="BQ596" s="440">
        <v>0</v>
      </c>
      <c r="BR596" s="415">
        <v>0.5</v>
      </c>
      <c r="BS596" s="415">
        <v>0.5083333333333333</v>
      </c>
      <c r="BT596" s="935"/>
      <c r="BU596" s="935"/>
      <c r="BV596" s="935"/>
      <c r="BW596" s="935"/>
      <c r="BX596" s="935"/>
      <c r="BY596" s="935"/>
      <c r="BZ596" s="935"/>
      <c r="CA596" s="935"/>
      <c r="CB596" s="935"/>
      <c r="CC596" s="935"/>
      <c r="CD596" s="935"/>
      <c r="CE596" s="935"/>
      <c r="CF596" s="935"/>
      <c r="CG596" s="935"/>
      <c r="CH596" s="935"/>
      <c r="CI596" s="935"/>
      <c r="CJ596" s="935"/>
      <c r="CK596" s="935"/>
      <c r="CL596" s="935"/>
      <c r="CM596" s="935"/>
      <c r="CN596" s="935"/>
      <c r="CO596" s="935"/>
      <c r="CP596" s="935"/>
      <c r="CQ596" s="935"/>
      <c r="CR596" s="935"/>
      <c r="CS596" s="935"/>
      <c r="CT596" s="935"/>
      <c r="CU596" s="935"/>
      <c r="CV596" s="935"/>
    </row>
    <row r="597" spans="1:100" s="441" customFormat="1">
      <c r="A597" s="375">
        <f t="shared" si="177"/>
        <v>9</v>
      </c>
      <c r="B597" s="862">
        <v>44460</v>
      </c>
      <c r="C597" s="493" t="s">
        <v>1980</v>
      </c>
      <c r="D597" s="376" t="str">
        <f>IFERROR(VLOOKUP(E:E,'Item Data Support Sheet'!A:O,7,0),"")</f>
        <v>NIPPLE PUNCH</v>
      </c>
      <c r="E597" s="447" t="s">
        <v>82</v>
      </c>
      <c r="F597" s="500"/>
      <c r="G597" s="497" t="s">
        <v>1692</v>
      </c>
      <c r="H597" s="602" t="str">
        <f>IFERROR(VLOOKUP(E:E,'Item Data Support Sheet'!A:O,2,0),"")</f>
        <v>NIPPLE S TYPE L SIZE PUNCHED</v>
      </c>
      <c r="I597" s="501" t="s">
        <v>3219</v>
      </c>
      <c r="J597" s="501" t="s">
        <v>2808</v>
      </c>
      <c r="K597" s="438">
        <v>8</v>
      </c>
      <c r="L597" s="499">
        <v>7000</v>
      </c>
      <c r="M597" s="366">
        <f t="shared" si="192"/>
        <v>875</v>
      </c>
      <c r="N597" s="367">
        <f t="shared" si="176"/>
        <v>6865</v>
      </c>
      <c r="O597" s="61">
        <v>6865</v>
      </c>
      <c r="P597" s="368">
        <v>0</v>
      </c>
      <c r="Q597" s="368">
        <v>0</v>
      </c>
      <c r="R597" s="494">
        <v>0</v>
      </c>
      <c r="S597" s="493">
        <v>0</v>
      </c>
      <c r="T597" s="494">
        <v>0</v>
      </c>
      <c r="U597" s="493">
        <v>0</v>
      </c>
      <c r="V597" s="502">
        <v>1</v>
      </c>
      <c r="W597" s="453">
        <f t="shared" si="178"/>
        <v>6865</v>
      </c>
      <c r="X597" s="748">
        <f t="shared" si="179"/>
        <v>0.98071428571428576</v>
      </c>
      <c r="Y597" s="451" t="str">
        <f>IFERROR(VLOOKUP(E:E,'Item Data Support Sheet'!A:J,6,0),0)</f>
        <v>FO017</v>
      </c>
      <c r="Z597" s="428">
        <f>IFERROR(VLOOKUP(E:E,'Item Data Support Sheet'!A:O,4,0),0)</f>
        <v>0</v>
      </c>
      <c r="AA597" s="428">
        <f t="shared" si="180"/>
        <v>0</v>
      </c>
      <c r="AB597" s="429" t="str">
        <f t="shared" si="181"/>
        <v xml:space="preserve"> </v>
      </c>
      <c r="AC597" s="424">
        <f t="shared" si="182"/>
        <v>0</v>
      </c>
      <c r="AD597" s="371">
        <f t="shared" si="183"/>
        <v>0</v>
      </c>
      <c r="AE597" s="748">
        <f t="shared" si="184"/>
        <v>1</v>
      </c>
      <c r="AF597" s="417">
        <f t="shared" si="185"/>
        <v>0.66666666666666663</v>
      </c>
      <c r="AG597" s="416">
        <f t="shared" si="186"/>
        <v>7.333333333333333</v>
      </c>
      <c r="AH597" s="372">
        <f t="shared" si="187"/>
        <v>0.91666666666666663</v>
      </c>
      <c r="AI597" s="373">
        <f t="shared" si="188"/>
        <v>858.125</v>
      </c>
      <c r="AJ597" s="418">
        <f>VLOOKUP(D597,'Standard Cycle time'!C:D,2,0)</f>
        <v>3.5</v>
      </c>
      <c r="AK597" s="418">
        <f t="shared" si="189"/>
        <v>3.8455935906773488</v>
      </c>
      <c r="AL597" s="374">
        <f t="shared" si="190"/>
        <v>0.91013257575757578</v>
      </c>
      <c r="AM597" s="372">
        <f t="shared" si="191"/>
        <v>0.83428819444444446</v>
      </c>
      <c r="AN597" s="799" t="s">
        <v>3220</v>
      </c>
      <c r="AO597" s="448" t="s">
        <v>2745</v>
      </c>
      <c r="AP597" s="440">
        <v>40</v>
      </c>
      <c r="AQ597" s="440">
        <v>0</v>
      </c>
      <c r="AR597" s="440">
        <v>0</v>
      </c>
      <c r="AS597" s="440">
        <v>0</v>
      </c>
      <c r="AT597" s="440">
        <v>0</v>
      </c>
      <c r="AU597" s="440">
        <v>0</v>
      </c>
      <c r="AV597" s="440">
        <v>0</v>
      </c>
      <c r="AW597" s="440">
        <v>0</v>
      </c>
      <c r="AX597" s="440">
        <v>0</v>
      </c>
      <c r="AY597" s="440">
        <v>0</v>
      </c>
      <c r="AZ597" s="440">
        <v>0</v>
      </c>
      <c r="BA597" s="440">
        <v>0</v>
      </c>
      <c r="BB597" s="440">
        <v>0</v>
      </c>
      <c r="BC597" s="440">
        <v>0</v>
      </c>
      <c r="BD597" s="440">
        <v>0</v>
      </c>
      <c r="BE597" s="440">
        <v>0</v>
      </c>
      <c r="BF597" s="440">
        <v>0</v>
      </c>
      <c r="BG597" s="440">
        <v>0</v>
      </c>
      <c r="BH597" s="440">
        <v>0</v>
      </c>
      <c r="BI597" s="440">
        <v>0</v>
      </c>
      <c r="BJ597" s="440">
        <v>0</v>
      </c>
      <c r="BK597" s="440">
        <v>0</v>
      </c>
      <c r="BL597" s="440">
        <v>0</v>
      </c>
      <c r="BM597" s="440">
        <v>0</v>
      </c>
      <c r="BN597" s="440">
        <v>0</v>
      </c>
      <c r="BO597" s="440">
        <v>0</v>
      </c>
      <c r="BP597" s="440">
        <v>0</v>
      </c>
      <c r="BQ597" s="440">
        <v>0</v>
      </c>
      <c r="BR597" s="415">
        <v>0.66666666666666663</v>
      </c>
      <c r="BS597" s="415">
        <v>0.6777777777777777</v>
      </c>
      <c r="BT597" s="935"/>
      <c r="BU597" s="935"/>
      <c r="BV597" s="935"/>
      <c r="BW597" s="935"/>
      <c r="BX597" s="935"/>
      <c r="BY597" s="935"/>
      <c r="BZ597" s="935"/>
      <c r="CA597" s="935"/>
      <c r="CB597" s="935"/>
      <c r="CC597" s="935"/>
      <c r="CD597" s="935"/>
      <c r="CE597" s="935"/>
      <c r="CF597" s="935"/>
      <c r="CG597" s="935"/>
      <c r="CH597" s="935"/>
      <c r="CI597" s="935"/>
      <c r="CJ597" s="935"/>
      <c r="CK597" s="935"/>
      <c r="CL597" s="935"/>
      <c r="CM597" s="935"/>
      <c r="CN597" s="935"/>
      <c r="CO597" s="935"/>
      <c r="CP597" s="935"/>
      <c r="CQ597" s="935"/>
      <c r="CR597" s="935"/>
      <c r="CS597" s="935"/>
      <c r="CT597" s="935"/>
      <c r="CU597" s="935"/>
      <c r="CV597" s="935"/>
    </row>
    <row r="598" spans="1:100" s="441" customFormat="1">
      <c r="A598" s="375">
        <f t="shared" si="177"/>
        <v>9</v>
      </c>
      <c r="B598" s="862">
        <v>44460</v>
      </c>
      <c r="C598" s="493" t="s">
        <v>1980</v>
      </c>
      <c r="D598" s="376" t="str">
        <f>IFERROR(VLOOKUP(E:E,'Item Data Support Sheet'!A:O,7,0),"")</f>
        <v>NIPPLE LASER MARKING</v>
      </c>
      <c r="E598" s="447" t="s">
        <v>1816</v>
      </c>
      <c r="F598" s="500"/>
      <c r="G598" s="497" t="s">
        <v>1812</v>
      </c>
      <c r="H598" s="602" t="str">
        <f>IFERROR(VLOOKUP(E:E,'Item Data Support Sheet'!A:O,2,0),"")</f>
        <v>NIPPLE S TYPE L SIZE PUNCHED LASER MARKED</v>
      </c>
      <c r="I598" s="501" t="s">
        <v>3221</v>
      </c>
      <c r="J598" s="501" t="s">
        <v>2808</v>
      </c>
      <c r="K598" s="438">
        <v>8</v>
      </c>
      <c r="L598" s="499">
        <v>7000</v>
      </c>
      <c r="M598" s="366">
        <f t="shared" si="192"/>
        <v>875</v>
      </c>
      <c r="N598" s="367">
        <f t="shared" si="176"/>
        <v>6850</v>
      </c>
      <c r="O598" s="61">
        <v>6850</v>
      </c>
      <c r="P598" s="368">
        <v>0</v>
      </c>
      <c r="Q598" s="368">
        <v>0</v>
      </c>
      <c r="R598" s="494">
        <v>0</v>
      </c>
      <c r="S598" s="493">
        <v>0</v>
      </c>
      <c r="T598" s="494">
        <v>0</v>
      </c>
      <c r="U598" s="493">
        <v>0</v>
      </c>
      <c r="V598" s="502">
        <v>1</v>
      </c>
      <c r="W598" s="453">
        <f t="shared" si="178"/>
        <v>6850</v>
      </c>
      <c r="X598" s="748">
        <f t="shared" si="179"/>
        <v>0.97857142857142854</v>
      </c>
      <c r="Y598" s="451" t="str">
        <f>IFERROR(VLOOKUP(E:E,'Item Data Support Sheet'!A:J,6,0),0)</f>
        <v>FO021</v>
      </c>
      <c r="Z598" s="428">
        <f>IFERROR(VLOOKUP(E:E,'Item Data Support Sheet'!A:O,4,0),0)</f>
        <v>0</v>
      </c>
      <c r="AA598" s="428">
        <f t="shared" si="180"/>
        <v>0</v>
      </c>
      <c r="AB598" s="429" t="str">
        <f t="shared" si="181"/>
        <v xml:space="preserve"> </v>
      </c>
      <c r="AC598" s="424">
        <f t="shared" si="182"/>
        <v>0</v>
      </c>
      <c r="AD598" s="371">
        <f t="shared" si="183"/>
        <v>0</v>
      </c>
      <c r="AE598" s="748">
        <f t="shared" si="184"/>
        <v>1</v>
      </c>
      <c r="AF598" s="417">
        <f t="shared" si="185"/>
        <v>0.66666666666666663</v>
      </c>
      <c r="AG598" s="416">
        <f t="shared" si="186"/>
        <v>7.333333333333333</v>
      </c>
      <c r="AH598" s="372">
        <f t="shared" si="187"/>
        <v>0.91666666666666663</v>
      </c>
      <c r="AI598" s="373">
        <f t="shared" si="188"/>
        <v>856.25</v>
      </c>
      <c r="AJ598" s="418">
        <f>VLOOKUP(D598,'Standard Cycle time'!C:D,2,0)</f>
        <v>3.5</v>
      </c>
      <c r="AK598" s="418">
        <f t="shared" si="189"/>
        <v>3.8540145985401462</v>
      </c>
      <c r="AL598" s="374">
        <f t="shared" si="190"/>
        <v>0.90814393939393934</v>
      </c>
      <c r="AM598" s="372">
        <f t="shared" si="191"/>
        <v>0.83246527777777768</v>
      </c>
      <c r="AN598" s="799" t="s">
        <v>3222</v>
      </c>
      <c r="AO598" s="448" t="s">
        <v>2745</v>
      </c>
      <c r="AP598" s="440">
        <v>40</v>
      </c>
      <c r="AQ598" s="440">
        <v>0</v>
      </c>
      <c r="AR598" s="440">
        <v>0</v>
      </c>
      <c r="AS598" s="440">
        <v>0</v>
      </c>
      <c r="AT598" s="440">
        <v>0</v>
      </c>
      <c r="AU598" s="440">
        <v>0</v>
      </c>
      <c r="AV598" s="440">
        <v>0</v>
      </c>
      <c r="AW598" s="440">
        <v>0</v>
      </c>
      <c r="AX598" s="440">
        <v>0</v>
      </c>
      <c r="AY598" s="440">
        <v>0</v>
      </c>
      <c r="AZ598" s="440">
        <v>0</v>
      </c>
      <c r="BA598" s="440">
        <v>0</v>
      </c>
      <c r="BB598" s="440">
        <v>0</v>
      </c>
      <c r="BC598" s="440">
        <v>0</v>
      </c>
      <c r="BD598" s="440">
        <v>0</v>
      </c>
      <c r="BE598" s="440">
        <v>0</v>
      </c>
      <c r="BF598" s="440">
        <v>0</v>
      </c>
      <c r="BG598" s="440">
        <v>0</v>
      </c>
      <c r="BH598" s="440">
        <v>0</v>
      </c>
      <c r="BI598" s="440">
        <v>0</v>
      </c>
      <c r="BJ598" s="440">
        <v>0</v>
      </c>
      <c r="BK598" s="440">
        <v>0</v>
      </c>
      <c r="BL598" s="440">
        <v>0</v>
      </c>
      <c r="BM598" s="440">
        <v>0</v>
      </c>
      <c r="BN598" s="440">
        <v>0</v>
      </c>
      <c r="BO598" s="440">
        <v>0</v>
      </c>
      <c r="BP598" s="440">
        <v>0</v>
      </c>
      <c r="BQ598" s="440">
        <v>0</v>
      </c>
      <c r="BR598" s="415">
        <v>0.66666666666666663</v>
      </c>
      <c r="BS598" s="415">
        <v>0.6777777777777777</v>
      </c>
      <c r="BT598" s="935"/>
      <c r="BU598" s="935"/>
      <c r="BV598" s="935"/>
      <c r="BW598" s="935"/>
      <c r="BX598" s="935"/>
      <c r="BY598" s="935"/>
      <c r="BZ598" s="935"/>
      <c r="CA598" s="935"/>
      <c r="CB598" s="935"/>
      <c r="CC598" s="935"/>
      <c r="CD598" s="935"/>
      <c r="CE598" s="935"/>
      <c r="CF598" s="935"/>
      <c r="CG598" s="935"/>
      <c r="CH598" s="935"/>
      <c r="CI598" s="935"/>
      <c r="CJ598" s="935"/>
      <c r="CK598" s="935"/>
      <c r="CL598" s="935"/>
      <c r="CM598" s="935"/>
      <c r="CN598" s="935"/>
      <c r="CO598" s="935"/>
      <c r="CP598" s="935"/>
      <c r="CQ598" s="935"/>
      <c r="CR598" s="935"/>
      <c r="CS598" s="935"/>
      <c r="CT598" s="935"/>
      <c r="CU598" s="935"/>
      <c r="CV598" s="935"/>
    </row>
    <row r="599" spans="1:100" s="441" customFormat="1">
      <c r="A599" s="375">
        <f t="shared" si="177"/>
        <v>9</v>
      </c>
      <c r="B599" s="862">
        <v>44460</v>
      </c>
      <c r="C599" s="493" t="s">
        <v>1980</v>
      </c>
      <c r="D599" s="376" t="str">
        <f>IFERROR(VLOOKUP(E:E,'Item Data Support Sheet'!A:O,7,0),"")</f>
        <v>CAP MOLDED</v>
      </c>
      <c r="E599" s="447" t="s">
        <v>2107</v>
      </c>
      <c r="F599" s="500"/>
      <c r="G599" s="497" t="s">
        <v>3212</v>
      </c>
      <c r="H599" s="602" t="str">
        <f>IFERROR(VLOOKUP(E:E,'Item Data Support Sheet'!A:O,2,0),"")</f>
        <v>CAP S TYPE MOLDED PINK</v>
      </c>
      <c r="I599" s="501" t="s">
        <v>3223</v>
      </c>
      <c r="J599" s="501" t="s">
        <v>2808</v>
      </c>
      <c r="K599" s="438">
        <v>8</v>
      </c>
      <c r="L599" s="499">
        <v>4137</v>
      </c>
      <c r="M599" s="366">
        <f t="shared" si="192"/>
        <v>517.125</v>
      </c>
      <c r="N599" s="367">
        <f t="shared" si="176"/>
        <v>4014</v>
      </c>
      <c r="O599" s="61">
        <v>4000</v>
      </c>
      <c r="P599" s="368">
        <v>0</v>
      </c>
      <c r="Q599" s="368">
        <v>0</v>
      </c>
      <c r="R599" s="494">
        <v>0</v>
      </c>
      <c r="S599" s="493">
        <v>0</v>
      </c>
      <c r="T599" s="494">
        <v>6</v>
      </c>
      <c r="U599" s="493">
        <v>8</v>
      </c>
      <c r="V599" s="502">
        <v>1</v>
      </c>
      <c r="W599" s="453">
        <f t="shared" si="178"/>
        <v>4000</v>
      </c>
      <c r="X599" s="748">
        <f t="shared" si="179"/>
        <v>0.96688421561518012</v>
      </c>
      <c r="Y599" s="451" t="str">
        <f>IFERROR(VLOOKUP(E:E,'Item Data Support Sheet'!A:J,6,0),0)</f>
        <v>RM000123</v>
      </c>
      <c r="Z599" s="428">
        <f>IFERROR(VLOOKUP(E:E,'Item Data Support Sheet'!A:O,4,0),0)</f>
        <v>7.3</v>
      </c>
      <c r="AA599" s="428">
        <f t="shared" si="180"/>
        <v>29.302199999999999</v>
      </c>
      <c r="AB599" s="429">
        <f t="shared" si="181"/>
        <v>0.99651220727453915</v>
      </c>
      <c r="AC599" s="424">
        <f t="shared" si="182"/>
        <v>1.4977533699450823E-3</v>
      </c>
      <c r="AD599" s="371">
        <f t="shared" si="183"/>
        <v>0</v>
      </c>
      <c r="AE599" s="748">
        <f t="shared" si="184"/>
        <v>0.99850523168908822</v>
      </c>
      <c r="AF599" s="417">
        <f t="shared" si="185"/>
        <v>0</v>
      </c>
      <c r="AG599" s="416">
        <f t="shared" si="186"/>
        <v>8</v>
      </c>
      <c r="AH599" s="372">
        <f t="shared" si="187"/>
        <v>1</v>
      </c>
      <c r="AI599" s="373">
        <f t="shared" si="188"/>
        <v>500</v>
      </c>
      <c r="AJ599" s="418">
        <f>VLOOKUP(D599,'Standard Cycle time'!C:D,2,0)</f>
        <v>6</v>
      </c>
      <c r="AK599" s="418">
        <f t="shared" si="189"/>
        <v>7.2</v>
      </c>
      <c r="AL599" s="374">
        <f t="shared" si="190"/>
        <v>0.83333333333333326</v>
      </c>
      <c r="AM599" s="372">
        <f t="shared" si="191"/>
        <v>0.83208769307424013</v>
      </c>
      <c r="AN599" s="799">
        <v>3415</v>
      </c>
      <c r="AO599" s="448"/>
      <c r="AP599" s="440">
        <v>0</v>
      </c>
      <c r="AQ599" s="440">
        <v>0</v>
      </c>
      <c r="AR599" s="440">
        <v>0</v>
      </c>
      <c r="AS599" s="440">
        <v>0</v>
      </c>
      <c r="AT599" s="440">
        <v>0</v>
      </c>
      <c r="AU599" s="440">
        <v>0</v>
      </c>
      <c r="AV599" s="440">
        <v>0</v>
      </c>
      <c r="AW599" s="440">
        <v>0</v>
      </c>
      <c r="AX599" s="440">
        <v>0</v>
      </c>
      <c r="AY599" s="440">
        <v>0</v>
      </c>
      <c r="AZ599" s="440">
        <v>0</v>
      </c>
      <c r="BA599" s="440">
        <v>0</v>
      </c>
      <c r="BB599" s="440">
        <v>0</v>
      </c>
      <c r="BC599" s="440">
        <v>0</v>
      </c>
      <c r="BD599" s="440">
        <v>0</v>
      </c>
      <c r="BE599" s="440">
        <v>0</v>
      </c>
      <c r="BF599" s="440">
        <v>0</v>
      </c>
      <c r="BG599" s="440">
        <v>0</v>
      </c>
      <c r="BH599" s="440">
        <v>0</v>
      </c>
      <c r="BI599" s="440">
        <v>0</v>
      </c>
      <c r="BJ599" s="440">
        <v>0</v>
      </c>
      <c r="BK599" s="440">
        <v>0</v>
      </c>
      <c r="BL599" s="440">
        <v>0</v>
      </c>
      <c r="BM599" s="440">
        <v>0</v>
      </c>
      <c r="BN599" s="440">
        <v>0</v>
      </c>
      <c r="BO599" s="440">
        <v>0</v>
      </c>
      <c r="BP599" s="440">
        <v>0</v>
      </c>
      <c r="BQ599" s="440">
        <v>0</v>
      </c>
      <c r="BR599" s="415">
        <v>0</v>
      </c>
      <c r="BS599" s="415">
        <v>0</v>
      </c>
      <c r="BT599" s="935"/>
      <c r="BU599" s="935"/>
      <c r="BV599" s="935"/>
      <c r="BW599" s="935"/>
      <c r="BX599" s="935"/>
      <c r="BY599" s="935"/>
      <c r="BZ599" s="935"/>
      <c r="CA599" s="935"/>
      <c r="CB599" s="935"/>
      <c r="CC599" s="935"/>
      <c r="CD599" s="935"/>
      <c r="CE599" s="935"/>
      <c r="CF599" s="935"/>
      <c r="CG599" s="935"/>
      <c r="CH599" s="935"/>
      <c r="CI599" s="935"/>
      <c r="CJ599" s="935"/>
      <c r="CK599" s="935"/>
      <c r="CL599" s="935"/>
      <c r="CM599" s="935"/>
      <c r="CN599" s="935"/>
      <c r="CO599" s="935"/>
      <c r="CP599" s="935"/>
      <c r="CQ599" s="935"/>
      <c r="CR599" s="935"/>
      <c r="CS599" s="935"/>
      <c r="CT599" s="935"/>
      <c r="CU599" s="935"/>
      <c r="CV599" s="935"/>
    </row>
    <row r="600" spans="1:100" s="441" customFormat="1">
      <c r="A600" s="375">
        <f t="shared" si="177"/>
        <v>9</v>
      </c>
      <c r="B600" s="862">
        <v>44460</v>
      </c>
      <c r="C600" s="493" t="s">
        <v>1980</v>
      </c>
      <c r="D600" s="376" t="str">
        <f>IFERROR(VLOOKUP(E:E,'Item Data Support Sheet'!A:O,7,0),"")</f>
        <v>BOTTLE MOLDED</v>
      </c>
      <c r="E600" s="447" t="s">
        <v>68</v>
      </c>
      <c r="F600" s="500" t="s">
        <v>1664</v>
      </c>
      <c r="G600" s="497" t="s">
        <v>1665</v>
      </c>
      <c r="H600" s="602" t="str">
        <f>IFERROR(VLOOKUP(E:E,'Item Data Support Sheet'!A:O,2,0),"")</f>
        <v>RPP 240 ML BOTTLE MOLDED</v>
      </c>
      <c r="I600" s="501" t="s">
        <v>3224</v>
      </c>
      <c r="J600" s="501" t="s">
        <v>2808</v>
      </c>
      <c r="K600" s="438">
        <v>4</v>
      </c>
      <c r="L600" s="499">
        <v>1287</v>
      </c>
      <c r="M600" s="366">
        <f t="shared" si="192"/>
        <v>321.75</v>
      </c>
      <c r="N600" s="367">
        <f t="shared" si="176"/>
        <v>1494</v>
      </c>
      <c r="O600" s="61">
        <v>1440</v>
      </c>
      <c r="P600" s="368">
        <v>0.12</v>
      </c>
      <c r="Q600" s="368">
        <v>24</v>
      </c>
      <c r="R600" s="494">
        <v>0</v>
      </c>
      <c r="S600" s="493">
        <v>0</v>
      </c>
      <c r="T600" s="494">
        <v>22</v>
      </c>
      <c r="U600" s="493">
        <v>8</v>
      </c>
      <c r="V600" s="502">
        <v>1</v>
      </c>
      <c r="W600" s="453">
        <f t="shared" si="178"/>
        <v>1440</v>
      </c>
      <c r="X600" s="748">
        <f t="shared" si="179"/>
        <v>1.118881118881119</v>
      </c>
      <c r="Y600" s="451" t="str">
        <f>IFERROR(VLOOKUP(E:E,'Item Data Support Sheet'!A:J,6,0),0)</f>
        <v>HMC</v>
      </c>
      <c r="Z600" s="428">
        <f>IFERROR(VLOOKUP(E:E,'Item Data Support Sheet'!A:O,4,0),0)</f>
        <v>32.1</v>
      </c>
      <c r="AA600" s="428">
        <f t="shared" si="180"/>
        <v>48.077400000000004</v>
      </c>
      <c r="AB600" s="429">
        <f t="shared" si="181"/>
        <v>0.96144966241934882</v>
      </c>
      <c r="AC600" s="424">
        <f t="shared" si="182"/>
        <v>1.5047879616963064E-2</v>
      </c>
      <c r="AD600" s="371">
        <f t="shared" si="183"/>
        <v>1.5810276679841896E-2</v>
      </c>
      <c r="AE600" s="748">
        <f t="shared" si="184"/>
        <v>0.98527443105756363</v>
      </c>
      <c r="AF600" s="417">
        <f t="shared" si="185"/>
        <v>0</v>
      </c>
      <c r="AG600" s="416">
        <f t="shared" si="186"/>
        <v>4</v>
      </c>
      <c r="AH600" s="372">
        <f t="shared" si="187"/>
        <v>1</v>
      </c>
      <c r="AI600" s="373">
        <f t="shared" si="188"/>
        <v>360</v>
      </c>
      <c r="AJ600" s="418">
        <f>VLOOKUP(D600,'Standard Cycle time'!C:D,2,0)</f>
        <v>9</v>
      </c>
      <c r="AK600" s="418">
        <f t="shared" si="189"/>
        <v>10</v>
      </c>
      <c r="AL600" s="374">
        <f t="shared" si="190"/>
        <v>0.9</v>
      </c>
      <c r="AM600" s="372">
        <f t="shared" si="191"/>
        <v>0.88674698795180729</v>
      </c>
      <c r="AN600" s="799">
        <v>3416</v>
      </c>
      <c r="AO600" s="448" t="s">
        <v>3225</v>
      </c>
      <c r="AP600" s="440">
        <v>0</v>
      </c>
      <c r="AQ600" s="440">
        <v>0</v>
      </c>
      <c r="AR600" s="440">
        <v>0</v>
      </c>
      <c r="AS600" s="440">
        <v>0</v>
      </c>
      <c r="AT600" s="440">
        <v>0</v>
      </c>
      <c r="AU600" s="440">
        <v>0</v>
      </c>
      <c r="AV600" s="440">
        <v>0</v>
      </c>
      <c r="AW600" s="440">
        <v>0</v>
      </c>
      <c r="AX600" s="440">
        <v>0</v>
      </c>
      <c r="AY600" s="440">
        <v>0</v>
      </c>
      <c r="AZ600" s="440">
        <v>0</v>
      </c>
      <c r="BA600" s="440">
        <v>0</v>
      </c>
      <c r="BB600" s="440">
        <v>0</v>
      </c>
      <c r="BC600" s="440">
        <v>0</v>
      </c>
      <c r="BD600" s="440">
        <v>0</v>
      </c>
      <c r="BE600" s="440">
        <v>0</v>
      </c>
      <c r="BF600" s="440">
        <v>0</v>
      </c>
      <c r="BG600" s="440">
        <v>0</v>
      </c>
      <c r="BH600" s="440">
        <v>0</v>
      </c>
      <c r="BI600" s="440">
        <v>0</v>
      </c>
      <c r="BJ600" s="440">
        <v>0</v>
      </c>
      <c r="BK600" s="440">
        <v>0</v>
      </c>
      <c r="BL600" s="440">
        <v>0</v>
      </c>
      <c r="BM600" s="440">
        <v>0</v>
      </c>
      <c r="BN600" s="440">
        <v>0</v>
      </c>
      <c r="BO600" s="440">
        <v>0</v>
      </c>
      <c r="BP600" s="440">
        <v>0</v>
      </c>
      <c r="BQ600" s="440">
        <v>0</v>
      </c>
      <c r="BR600" s="415">
        <v>0</v>
      </c>
      <c r="BS600" s="415">
        <v>0</v>
      </c>
      <c r="BT600" s="935"/>
      <c r="BU600" s="935"/>
      <c r="BV600" s="935"/>
      <c r="BW600" s="935"/>
      <c r="BX600" s="935"/>
      <c r="BY600" s="935"/>
      <c r="BZ600" s="935"/>
      <c r="CA600" s="935"/>
      <c r="CB600" s="935"/>
      <c r="CC600" s="935"/>
      <c r="CD600" s="935"/>
      <c r="CE600" s="935"/>
      <c r="CF600" s="935"/>
      <c r="CG600" s="935"/>
      <c r="CH600" s="935"/>
      <c r="CI600" s="935"/>
      <c r="CJ600" s="935"/>
      <c r="CK600" s="935"/>
      <c r="CL600" s="935"/>
      <c r="CM600" s="935"/>
      <c r="CN600" s="935"/>
      <c r="CO600" s="935"/>
      <c r="CP600" s="935"/>
      <c r="CQ600" s="935"/>
      <c r="CR600" s="935"/>
      <c r="CS600" s="935"/>
      <c r="CT600" s="935"/>
      <c r="CU600" s="935"/>
      <c r="CV600" s="935"/>
    </row>
    <row r="601" spans="1:100" s="441" customFormat="1">
      <c r="A601" s="375">
        <f t="shared" si="177"/>
        <v>9</v>
      </c>
      <c r="B601" s="862">
        <v>44460</v>
      </c>
      <c r="C601" s="493" t="s">
        <v>1980</v>
      </c>
      <c r="D601" s="376" t="str">
        <f>IFERROR(VLOOKUP(E:E,'Item Data Support Sheet'!A:O,7,0),"")</f>
        <v>BOTTLE PRINTED</v>
      </c>
      <c r="E601" s="447" t="s">
        <v>69</v>
      </c>
      <c r="F601" s="500"/>
      <c r="G601" s="497"/>
      <c r="H601" s="602" t="str">
        <f>IFERROR(VLOOKUP(E:E,'Item Data Support Sheet'!A:O,2,0),"")</f>
        <v>KPP 120 ML BOTTLE PRINTED</v>
      </c>
      <c r="I601" s="501" t="s">
        <v>3226</v>
      </c>
      <c r="J601" s="501" t="s">
        <v>2813</v>
      </c>
      <c r="K601" s="438">
        <v>8</v>
      </c>
      <c r="L601" s="499">
        <v>5134</v>
      </c>
      <c r="M601" s="366">
        <f t="shared" si="192"/>
        <v>641.75</v>
      </c>
      <c r="N601" s="367">
        <f t="shared" si="176"/>
        <v>4787</v>
      </c>
      <c r="O601" s="61">
        <v>4770</v>
      </c>
      <c r="P601" s="368">
        <v>0</v>
      </c>
      <c r="Q601" s="368">
        <v>0</v>
      </c>
      <c r="R601" s="494">
        <v>29</v>
      </c>
      <c r="S601" s="493">
        <v>0</v>
      </c>
      <c r="T601" s="494">
        <v>17</v>
      </c>
      <c r="U601" s="493">
        <v>0</v>
      </c>
      <c r="V601" s="502">
        <v>5</v>
      </c>
      <c r="W601" s="453">
        <f t="shared" si="178"/>
        <v>954</v>
      </c>
      <c r="X601" s="748">
        <f t="shared" si="179"/>
        <v>0.92910011686793925</v>
      </c>
      <c r="Y601" s="451" t="str">
        <f>IFERROR(VLOOKUP(E:E,'Item Data Support Sheet'!A:J,6,0),0)</f>
        <v>FO001</v>
      </c>
      <c r="Z601" s="428">
        <f>IFERROR(VLOOKUP(E:E,'Item Data Support Sheet'!A:O,4,0),0)</f>
        <v>0</v>
      </c>
      <c r="AA601" s="428">
        <f t="shared" si="180"/>
        <v>0</v>
      </c>
      <c r="AB601" s="429" t="str">
        <f t="shared" si="181"/>
        <v xml:space="preserve"> </v>
      </c>
      <c r="AC601" s="424">
        <f t="shared" si="182"/>
        <v>3.5512847294756631E-3</v>
      </c>
      <c r="AD601" s="371">
        <f t="shared" si="183"/>
        <v>0</v>
      </c>
      <c r="AE601" s="748">
        <f t="shared" si="184"/>
        <v>0.99644871527052437</v>
      </c>
      <c r="AF601" s="417">
        <f t="shared" si="185"/>
        <v>1</v>
      </c>
      <c r="AG601" s="416">
        <f t="shared" si="186"/>
        <v>7</v>
      </c>
      <c r="AH601" s="372">
        <f t="shared" si="187"/>
        <v>0.875</v>
      </c>
      <c r="AI601" s="373">
        <f t="shared" si="188"/>
        <v>596.25</v>
      </c>
      <c r="AJ601" s="418">
        <f>VLOOKUP(D601,'Standard Cycle time'!C:D,2,0)</f>
        <v>32.4</v>
      </c>
      <c r="AK601" s="418">
        <f t="shared" si="189"/>
        <v>26.415094339622641</v>
      </c>
      <c r="AL601" s="374">
        <f t="shared" si="190"/>
        <v>1.2265714285714286</v>
      </c>
      <c r="AM601" s="372">
        <f t="shared" si="191"/>
        <v>1.0694385836640903</v>
      </c>
      <c r="AN601" s="799" t="s">
        <v>2874</v>
      </c>
      <c r="AO601" s="448" t="s">
        <v>3227</v>
      </c>
      <c r="AP601" s="440">
        <v>40</v>
      </c>
      <c r="AQ601" s="440">
        <v>20</v>
      </c>
      <c r="AR601" s="440">
        <v>0</v>
      </c>
      <c r="AS601" s="440">
        <v>0</v>
      </c>
      <c r="AT601" s="440">
        <v>0</v>
      </c>
      <c r="AU601" s="440">
        <v>0</v>
      </c>
      <c r="AV601" s="440">
        <v>0</v>
      </c>
      <c r="AW601" s="440">
        <v>0</v>
      </c>
      <c r="AX601" s="440">
        <v>0</v>
      </c>
      <c r="AY601" s="440">
        <v>0</v>
      </c>
      <c r="AZ601" s="440">
        <v>0</v>
      </c>
      <c r="BA601" s="440">
        <v>0</v>
      </c>
      <c r="BB601" s="440">
        <v>0</v>
      </c>
      <c r="BC601" s="440">
        <v>0</v>
      </c>
      <c r="BD601" s="440">
        <v>0</v>
      </c>
      <c r="BE601" s="440">
        <v>0</v>
      </c>
      <c r="BF601" s="440">
        <v>0</v>
      </c>
      <c r="BG601" s="440">
        <v>0</v>
      </c>
      <c r="BH601" s="440">
        <v>0</v>
      </c>
      <c r="BI601" s="440">
        <v>0</v>
      </c>
      <c r="BJ601" s="440">
        <v>0</v>
      </c>
      <c r="BK601" s="440">
        <v>0</v>
      </c>
      <c r="BL601" s="440">
        <v>0</v>
      </c>
      <c r="BM601" s="440">
        <v>0</v>
      </c>
      <c r="BN601" s="440">
        <v>0</v>
      </c>
      <c r="BO601" s="440">
        <v>0</v>
      </c>
      <c r="BP601" s="440">
        <v>0</v>
      </c>
      <c r="BQ601" s="440">
        <v>0</v>
      </c>
      <c r="BR601" s="415">
        <v>1</v>
      </c>
      <c r="BS601" s="415">
        <v>1.0166666666666666</v>
      </c>
      <c r="BT601" s="935"/>
      <c r="BU601" s="935"/>
      <c r="BV601" s="935"/>
      <c r="BW601" s="935"/>
      <c r="BX601" s="935"/>
      <c r="BY601" s="935"/>
      <c r="BZ601" s="935"/>
      <c r="CA601" s="935"/>
      <c r="CB601" s="935"/>
      <c r="CC601" s="935"/>
      <c r="CD601" s="935"/>
      <c r="CE601" s="935"/>
      <c r="CF601" s="935"/>
      <c r="CG601" s="935"/>
      <c r="CH601" s="935"/>
      <c r="CI601" s="935"/>
      <c r="CJ601" s="935"/>
      <c r="CK601" s="935"/>
      <c r="CL601" s="935"/>
      <c r="CM601" s="935"/>
      <c r="CN601" s="935"/>
      <c r="CO601" s="935"/>
      <c r="CP601" s="935"/>
      <c r="CQ601" s="935"/>
      <c r="CR601" s="935"/>
      <c r="CS601" s="935"/>
      <c r="CT601" s="935"/>
      <c r="CU601" s="935"/>
      <c r="CV601" s="935"/>
    </row>
    <row r="602" spans="1:100" s="441" customFormat="1">
      <c r="A602" s="375">
        <f t="shared" si="177"/>
        <v>9</v>
      </c>
      <c r="B602" s="862">
        <v>44460</v>
      </c>
      <c r="C602" s="493" t="s">
        <v>2000</v>
      </c>
      <c r="D602" s="376" t="str">
        <f>IFERROR(VLOOKUP(E:E,'Item Data Support Sheet'!A:O,7,0),"")</f>
        <v>NIPPLE PUNCH INSPECTED</v>
      </c>
      <c r="E602" s="447" t="s">
        <v>1820</v>
      </c>
      <c r="F602" s="500"/>
      <c r="G602" s="497"/>
      <c r="H602" s="602" t="str">
        <f>IFERROR(VLOOKUP(E:E,'Item Data Support Sheet'!A:O,2,0),"")</f>
        <v>NIPPLE S TYPE L SIZE PUNCHED INSPECTED</v>
      </c>
      <c r="I602" s="501" t="s">
        <v>3147</v>
      </c>
      <c r="J602" s="501" t="s">
        <v>2811</v>
      </c>
      <c r="K602" s="438">
        <v>8</v>
      </c>
      <c r="L602" s="499">
        <v>14182</v>
      </c>
      <c r="M602" s="366">
        <f t="shared" si="192"/>
        <v>1772.75</v>
      </c>
      <c r="N602" s="367">
        <f t="shared" si="176"/>
        <v>15850</v>
      </c>
      <c r="O602" s="61">
        <v>15747</v>
      </c>
      <c r="P602" s="368">
        <v>0</v>
      </c>
      <c r="Q602" s="368">
        <v>0</v>
      </c>
      <c r="R602" s="494">
        <v>0</v>
      </c>
      <c r="S602" s="493">
        <v>0</v>
      </c>
      <c r="T602" s="494">
        <v>103</v>
      </c>
      <c r="U602" s="493">
        <v>0</v>
      </c>
      <c r="V602" s="502">
        <v>2</v>
      </c>
      <c r="W602" s="453">
        <f t="shared" si="178"/>
        <v>7873.5</v>
      </c>
      <c r="X602" s="748">
        <f t="shared" si="179"/>
        <v>1.1103511493442393</v>
      </c>
      <c r="Y602" s="451" t="str">
        <f>IFERROR(VLOOKUP(E:E,'Item Data Support Sheet'!A:J,6,0),0)</f>
        <v>FO106</v>
      </c>
      <c r="Z602" s="428">
        <f>IFERROR(VLOOKUP(E:E,'Item Data Support Sheet'!A:O,4,0),0)</f>
        <v>0</v>
      </c>
      <c r="AA602" s="428">
        <f t="shared" si="180"/>
        <v>0</v>
      </c>
      <c r="AB602" s="429" t="str">
        <f t="shared" si="181"/>
        <v xml:space="preserve"> </v>
      </c>
      <c r="AC602" s="424">
        <f t="shared" si="182"/>
        <v>6.4984227129337539E-3</v>
      </c>
      <c r="AD602" s="371">
        <f t="shared" si="183"/>
        <v>0</v>
      </c>
      <c r="AE602" s="748">
        <f t="shared" si="184"/>
        <v>0.99350157728706623</v>
      </c>
      <c r="AF602" s="417">
        <f t="shared" si="185"/>
        <v>0.66666666666666663</v>
      </c>
      <c r="AG602" s="416">
        <f t="shared" si="186"/>
        <v>7.333333333333333</v>
      </c>
      <c r="AH602" s="372">
        <f t="shared" si="187"/>
        <v>0.91666666666666663</v>
      </c>
      <c r="AI602" s="373">
        <f t="shared" si="188"/>
        <v>1968.375</v>
      </c>
      <c r="AJ602" s="418">
        <f>VLOOKUP(D602,'Standard Cycle time'!C:D,2,0)</f>
        <v>4</v>
      </c>
      <c r="AK602" s="418">
        <f t="shared" si="189"/>
        <v>3.3530196227852924</v>
      </c>
      <c r="AL602" s="374">
        <f t="shared" si="190"/>
        <v>1.1929545454545454</v>
      </c>
      <c r="AM602" s="372">
        <f t="shared" si="191"/>
        <v>1.0864353706624605</v>
      </c>
      <c r="AN602" s="799" t="s">
        <v>3228</v>
      </c>
      <c r="AO602" s="448"/>
      <c r="AP602" s="440">
        <v>40</v>
      </c>
      <c r="AQ602" s="440">
        <v>0</v>
      </c>
      <c r="AR602" s="440">
        <v>0</v>
      </c>
      <c r="AS602" s="440">
        <v>0</v>
      </c>
      <c r="AT602" s="440">
        <v>0</v>
      </c>
      <c r="AU602" s="440">
        <v>0</v>
      </c>
      <c r="AV602" s="440">
        <v>0</v>
      </c>
      <c r="AW602" s="440">
        <v>0</v>
      </c>
      <c r="AX602" s="440">
        <v>0</v>
      </c>
      <c r="AY602" s="440">
        <v>0</v>
      </c>
      <c r="AZ602" s="440">
        <v>0</v>
      </c>
      <c r="BA602" s="440">
        <v>0</v>
      </c>
      <c r="BB602" s="440">
        <v>0</v>
      </c>
      <c r="BC602" s="440">
        <v>0</v>
      </c>
      <c r="BD602" s="440">
        <v>0</v>
      </c>
      <c r="BE602" s="440">
        <v>0</v>
      </c>
      <c r="BF602" s="440">
        <v>0</v>
      </c>
      <c r="BG602" s="440">
        <v>0</v>
      </c>
      <c r="BH602" s="440">
        <v>0</v>
      </c>
      <c r="BI602" s="440">
        <v>0</v>
      </c>
      <c r="BJ602" s="440">
        <v>0</v>
      </c>
      <c r="BK602" s="440">
        <v>0</v>
      </c>
      <c r="BL602" s="440">
        <v>0</v>
      </c>
      <c r="BM602" s="440">
        <v>0</v>
      </c>
      <c r="BN602" s="440">
        <v>0</v>
      </c>
      <c r="BO602" s="440">
        <v>0</v>
      </c>
      <c r="BP602" s="440">
        <v>0</v>
      </c>
      <c r="BQ602" s="440">
        <v>0</v>
      </c>
      <c r="BR602" s="415">
        <v>0.66666666666666663</v>
      </c>
      <c r="BS602" s="415">
        <v>0.6777777777777777</v>
      </c>
      <c r="BT602" s="935"/>
      <c r="BU602" s="935"/>
      <c r="BV602" s="935"/>
      <c r="BW602" s="935"/>
      <c r="BX602" s="935"/>
      <c r="BY602" s="935"/>
      <c r="BZ602" s="935"/>
      <c r="CA602" s="935"/>
      <c r="CB602" s="935"/>
      <c r="CC602" s="935"/>
      <c r="CD602" s="935"/>
      <c r="CE602" s="935"/>
      <c r="CF602" s="935"/>
      <c r="CG602" s="935"/>
      <c r="CH602" s="935"/>
      <c r="CI602" s="935"/>
      <c r="CJ602" s="935"/>
      <c r="CK602" s="935"/>
      <c r="CL602" s="935"/>
      <c r="CM602" s="935"/>
      <c r="CN602" s="935"/>
      <c r="CO602" s="935"/>
      <c r="CP602" s="935"/>
      <c r="CQ602" s="935"/>
      <c r="CR602" s="935"/>
      <c r="CS602" s="935"/>
      <c r="CT602" s="935"/>
      <c r="CU602" s="935"/>
      <c r="CV602" s="935"/>
    </row>
    <row r="603" spans="1:100" s="441" customFormat="1">
      <c r="A603" s="375">
        <f t="shared" si="177"/>
        <v>9</v>
      </c>
      <c r="B603" s="862">
        <v>44460</v>
      </c>
      <c r="C603" s="493" t="s">
        <v>2000</v>
      </c>
      <c r="D603" s="376" t="str">
        <f>IFERROR(VLOOKUP(E:E,'Item Data Support Sheet'!A:O,7,0),"")</f>
        <v>NIPPLE WRAP PRINTED</v>
      </c>
      <c r="E603" s="447" t="s">
        <v>111</v>
      </c>
      <c r="F603" s="500"/>
      <c r="G603" s="497"/>
      <c r="H603" s="602" t="str">
        <f>IFERROR(VLOOKUP(E:E,'Item Data Support Sheet'!A:O,2,0),"")</f>
        <v>NIPPLE S TYPE Y SIZE WITH PRINTED WRAP</v>
      </c>
      <c r="I603" s="501" t="s">
        <v>2936</v>
      </c>
      <c r="J603" s="501" t="s">
        <v>2811</v>
      </c>
      <c r="K603" s="438">
        <v>2.5</v>
      </c>
      <c r="L603" s="499">
        <v>5100</v>
      </c>
      <c r="M603" s="366">
        <f t="shared" si="192"/>
        <v>2040</v>
      </c>
      <c r="N603" s="367">
        <f t="shared" si="176"/>
        <v>5181</v>
      </c>
      <c r="O603" s="61">
        <v>5180</v>
      </c>
      <c r="P603" s="368">
        <v>0</v>
      </c>
      <c r="Q603" s="368">
        <v>0</v>
      </c>
      <c r="R603" s="494">
        <v>0</v>
      </c>
      <c r="S603" s="493">
        <v>0</v>
      </c>
      <c r="T603" s="494">
        <v>1</v>
      </c>
      <c r="U603" s="493">
        <v>0</v>
      </c>
      <c r="V603" s="502">
        <v>2</v>
      </c>
      <c r="W603" s="453">
        <f t="shared" si="178"/>
        <v>2590</v>
      </c>
      <c r="X603" s="748">
        <f t="shared" si="179"/>
        <v>1.0156862745098039</v>
      </c>
      <c r="Y603" s="451" t="str">
        <f>IFERROR(VLOOKUP(E:E,'Item Data Support Sheet'!A:J,6,0),0)</f>
        <v>FO022</v>
      </c>
      <c r="Z603" s="428">
        <f>IFERROR(VLOOKUP(E:E,'Item Data Support Sheet'!A:O,4,0),0)</f>
        <v>0</v>
      </c>
      <c r="AA603" s="428">
        <f t="shared" si="180"/>
        <v>0</v>
      </c>
      <c r="AB603" s="429" t="str">
        <f t="shared" si="181"/>
        <v xml:space="preserve"> </v>
      </c>
      <c r="AC603" s="424">
        <f t="shared" si="182"/>
        <v>1.9301293186643504E-4</v>
      </c>
      <c r="AD603" s="371">
        <f t="shared" si="183"/>
        <v>0</v>
      </c>
      <c r="AE603" s="748">
        <f t="shared" si="184"/>
        <v>0.99980698706813353</v>
      </c>
      <c r="AF603" s="417">
        <f t="shared" si="185"/>
        <v>0.66666666666666663</v>
      </c>
      <c r="AG603" s="416">
        <f t="shared" si="186"/>
        <v>1.8333333333333335</v>
      </c>
      <c r="AH603" s="372">
        <f t="shared" si="187"/>
        <v>0.73333333333333339</v>
      </c>
      <c r="AI603" s="373">
        <f t="shared" si="188"/>
        <v>2072</v>
      </c>
      <c r="AJ603" s="418">
        <f>VLOOKUP(D603,'Standard Cycle time'!C:D,2,0)</f>
        <v>2.5</v>
      </c>
      <c r="AK603" s="418">
        <f t="shared" si="189"/>
        <v>2.5482625482625485</v>
      </c>
      <c r="AL603" s="374">
        <f t="shared" si="190"/>
        <v>0.98106060606060597</v>
      </c>
      <c r="AM603" s="372">
        <f t="shared" si="191"/>
        <v>0.7193055823629072</v>
      </c>
      <c r="AN603" s="799" t="s">
        <v>3229</v>
      </c>
      <c r="AO603" s="448"/>
      <c r="AP603" s="440">
        <v>40</v>
      </c>
      <c r="AQ603" s="440">
        <v>0</v>
      </c>
      <c r="AR603" s="440">
        <v>0</v>
      </c>
      <c r="AS603" s="440">
        <v>0</v>
      </c>
      <c r="AT603" s="440">
        <v>0</v>
      </c>
      <c r="AU603" s="440">
        <v>0</v>
      </c>
      <c r="AV603" s="440">
        <v>0</v>
      </c>
      <c r="AW603" s="440">
        <v>0</v>
      </c>
      <c r="AX603" s="440">
        <v>0</v>
      </c>
      <c r="AY603" s="440">
        <v>0</v>
      </c>
      <c r="AZ603" s="440">
        <v>0</v>
      </c>
      <c r="BA603" s="440">
        <v>0</v>
      </c>
      <c r="BB603" s="440">
        <v>0</v>
      </c>
      <c r="BC603" s="440">
        <v>0</v>
      </c>
      <c r="BD603" s="440">
        <v>0</v>
      </c>
      <c r="BE603" s="440">
        <v>0</v>
      </c>
      <c r="BF603" s="440">
        <v>0</v>
      </c>
      <c r="BG603" s="440">
        <v>0</v>
      </c>
      <c r="BH603" s="440">
        <v>0</v>
      </c>
      <c r="BI603" s="440">
        <v>0</v>
      </c>
      <c r="BJ603" s="440">
        <v>0</v>
      </c>
      <c r="BK603" s="440">
        <v>0</v>
      </c>
      <c r="BL603" s="440">
        <v>0</v>
      </c>
      <c r="BM603" s="440">
        <v>0</v>
      </c>
      <c r="BN603" s="440">
        <v>0</v>
      </c>
      <c r="BO603" s="440">
        <v>0</v>
      </c>
      <c r="BP603" s="440">
        <v>0</v>
      </c>
      <c r="BQ603" s="440">
        <v>0</v>
      </c>
      <c r="BR603" s="415">
        <v>0.66666666666666663</v>
      </c>
      <c r="BS603" s="415">
        <v>0.6777777777777777</v>
      </c>
      <c r="BT603" s="935"/>
      <c r="BU603" s="935"/>
      <c r="BV603" s="935"/>
      <c r="BW603" s="935"/>
      <c r="BX603" s="935"/>
      <c r="BY603" s="935"/>
      <c r="BZ603" s="935"/>
      <c r="CA603" s="935"/>
      <c r="CB603" s="935"/>
      <c r="CC603" s="935"/>
      <c r="CD603" s="935"/>
      <c r="CE603" s="935"/>
      <c r="CF603" s="935"/>
      <c r="CG603" s="935"/>
      <c r="CH603" s="935"/>
      <c r="CI603" s="935"/>
      <c r="CJ603" s="935"/>
      <c r="CK603" s="935"/>
      <c r="CL603" s="935"/>
      <c r="CM603" s="935"/>
      <c r="CN603" s="935"/>
      <c r="CO603" s="935"/>
      <c r="CP603" s="935"/>
      <c r="CQ603" s="935"/>
      <c r="CR603" s="935"/>
      <c r="CS603" s="935"/>
      <c r="CT603" s="935"/>
      <c r="CU603" s="935"/>
      <c r="CV603" s="935"/>
    </row>
    <row r="604" spans="1:100" s="441" customFormat="1">
      <c r="A604" s="375">
        <f t="shared" si="177"/>
        <v>9</v>
      </c>
      <c r="B604" s="862">
        <v>44460</v>
      </c>
      <c r="C604" s="493" t="s">
        <v>2001</v>
      </c>
      <c r="D604" s="376" t="str">
        <f>IFERROR(VLOOKUP(E:E,'Item Data Support Sheet'!A:O,7,0),"")</f>
        <v>NIPPLE PUNCH</v>
      </c>
      <c r="E604" s="447" t="s">
        <v>82</v>
      </c>
      <c r="F604" s="500"/>
      <c r="G604" s="497"/>
      <c r="H604" s="602" t="str">
        <f>IFERROR(VLOOKUP(E:E,'Item Data Support Sheet'!A:O,2,0),"")</f>
        <v>NIPPLE S TYPE L SIZE PUNCHED</v>
      </c>
      <c r="I604" s="501" t="s">
        <v>3230</v>
      </c>
      <c r="J604" s="501" t="s">
        <v>2811</v>
      </c>
      <c r="K604" s="438">
        <v>8</v>
      </c>
      <c r="L604" s="499">
        <v>7000</v>
      </c>
      <c r="M604" s="366">
        <f t="shared" si="192"/>
        <v>875</v>
      </c>
      <c r="N604" s="367">
        <f t="shared" si="176"/>
        <v>7300</v>
      </c>
      <c r="O604" s="61">
        <v>7300</v>
      </c>
      <c r="P604" s="368">
        <v>0</v>
      </c>
      <c r="Q604" s="368">
        <v>0</v>
      </c>
      <c r="R604" s="494">
        <v>0</v>
      </c>
      <c r="S604" s="493">
        <v>0</v>
      </c>
      <c r="T604" s="494">
        <v>0</v>
      </c>
      <c r="U604" s="493">
        <v>0</v>
      </c>
      <c r="V604" s="502">
        <v>1</v>
      </c>
      <c r="W604" s="453">
        <f t="shared" si="178"/>
        <v>7300</v>
      </c>
      <c r="X604" s="748">
        <f t="shared" si="179"/>
        <v>1.0428571428571429</v>
      </c>
      <c r="Y604" s="451" t="str">
        <f>IFERROR(VLOOKUP(E:E,'Item Data Support Sheet'!A:J,6,0),0)</f>
        <v>FO017</v>
      </c>
      <c r="Z604" s="428">
        <f>IFERROR(VLOOKUP(E:E,'Item Data Support Sheet'!A:O,4,0),0)</f>
        <v>0</v>
      </c>
      <c r="AA604" s="428">
        <f t="shared" si="180"/>
        <v>0</v>
      </c>
      <c r="AB604" s="429" t="str">
        <f t="shared" si="181"/>
        <v xml:space="preserve"> </v>
      </c>
      <c r="AC604" s="424">
        <f t="shared" si="182"/>
        <v>0</v>
      </c>
      <c r="AD604" s="371">
        <f t="shared" si="183"/>
        <v>0</v>
      </c>
      <c r="AE604" s="748">
        <f t="shared" si="184"/>
        <v>1</v>
      </c>
      <c r="AF604" s="417">
        <f t="shared" si="185"/>
        <v>0.66666666666666663</v>
      </c>
      <c r="AG604" s="416">
        <f t="shared" si="186"/>
        <v>7.333333333333333</v>
      </c>
      <c r="AH604" s="372">
        <f t="shared" si="187"/>
        <v>0.91666666666666663</v>
      </c>
      <c r="AI604" s="373">
        <f t="shared" si="188"/>
        <v>912.5</v>
      </c>
      <c r="AJ604" s="418">
        <f>VLOOKUP(D604,'Standard Cycle time'!C:D,2,0)</f>
        <v>3.5</v>
      </c>
      <c r="AK604" s="418">
        <f t="shared" si="189"/>
        <v>3.6164383561643834</v>
      </c>
      <c r="AL604" s="374">
        <f t="shared" si="190"/>
        <v>0.96780303030303039</v>
      </c>
      <c r="AM604" s="372">
        <f t="shared" si="191"/>
        <v>0.88715277777777779</v>
      </c>
      <c r="AN604" s="799" t="s">
        <v>3231</v>
      </c>
      <c r="AO604" s="448"/>
      <c r="AP604" s="440">
        <v>40</v>
      </c>
      <c r="AQ604" s="440">
        <v>0</v>
      </c>
      <c r="AR604" s="440">
        <v>0</v>
      </c>
      <c r="AS604" s="440">
        <v>0</v>
      </c>
      <c r="AT604" s="440">
        <v>0</v>
      </c>
      <c r="AU604" s="440">
        <v>0</v>
      </c>
      <c r="AV604" s="440">
        <v>0</v>
      </c>
      <c r="AW604" s="440">
        <v>0</v>
      </c>
      <c r="AX604" s="440">
        <v>0</v>
      </c>
      <c r="AY604" s="440">
        <v>0</v>
      </c>
      <c r="AZ604" s="440">
        <v>0</v>
      </c>
      <c r="BA604" s="440">
        <v>0</v>
      </c>
      <c r="BB604" s="440">
        <v>0</v>
      </c>
      <c r="BC604" s="440">
        <v>0</v>
      </c>
      <c r="BD604" s="440">
        <v>0</v>
      </c>
      <c r="BE604" s="440">
        <v>0</v>
      </c>
      <c r="BF604" s="440">
        <v>0</v>
      </c>
      <c r="BG604" s="440">
        <v>0</v>
      </c>
      <c r="BH604" s="440">
        <v>0</v>
      </c>
      <c r="BI604" s="440">
        <v>0</v>
      </c>
      <c r="BJ604" s="440">
        <v>0</v>
      </c>
      <c r="BK604" s="440">
        <v>0</v>
      </c>
      <c r="BL604" s="440">
        <v>0</v>
      </c>
      <c r="BM604" s="440">
        <v>0</v>
      </c>
      <c r="BN604" s="440">
        <v>0</v>
      </c>
      <c r="BO604" s="440">
        <v>0</v>
      </c>
      <c r="BP604" s="440">
        <v>0</v>
      </c>
      <c r="BQ604" s="440">
        <v>0</v>
      </c>
      <c r="BR604" s="415">
        <v>0.66666666666666663</v>
      </c>
      <c r="BS604" s="415">
        <v>0.6777777777777777</v>
      </c>
      <c r="BT604" s="935"/>
      <c r="BU604" s="935"/>
      <c r="BV604" s="935"/>
      <c r="BW604" s="935"/>
      <c r="BX604" s="935"/>
      <c r="BY604" s="935"/>
      <c r="BZ604" s="935"/>
      <c r="CA604" s="935"/>
      <c r="CB604" s="935"/>
      <c r="CC604" s="935"/>
      <c r="CD604" s="935"/>
      <c r="CE604" s="935"/>
      <c r="CF604" s="935"/>
      <c r="CG604" s="935"/>
      <c r="CH604" s="935"/>
      <c r="CI604" s="935"/>
      <c r="CJ604" s="935"/>
      <c r="CK604" s="935"/>
      <c r="CL604" s="935"/>
      <c r="CM604" s="935"/>
      <c r="CN604" s="935"/>
      <c r="CO604" s="935"/>
      <c r="CP604" s="935"/>
      <c r="CQ604" s="935"/>
      <c r="CR604" s="935"/>
      <c r="CS604" s="935"/>
      <c r="CT604" s="935"/>
      <c r="CU604" s="935"/>
      <c r="CV604" s="935"/>
    </row>
    <row r="605" spans="1:100" s="441" customFormat="1">
      <c r="A605" s="375">
        <f t="shared" si="177"/>
        <v>9</v>
      </c>
      <c r="B605" s="862">
        <v>44460</v>
      </c>
      <c r="C605" s="493" t="s">
        <v>2001</v>
      </c>
      <c r="D605" s="376" t="str">
        <f>IFERROR(VLOOKUP(E:E,'Item Data Support Sheet'!A:O,7,0),"")</f>
        <v>NIPPLE LASER MARKING</v>
      </c>
      <c r="E605" s="447" t="s">
        <v>1816</v>
      </c>
      <c r="F605" s="500"/>
      <c r="G605" s="497"/>
      <c r="H605" s="602" t="str">
        <f>IFERROR(VLOOKUP(E:E,'Item Data Support Sheet'!A:O,2,0),"")</f>
        <v>NIPPLE S TYPE L SIZE PUNCHED LASER MARKED</v>
      </c>
      <c r="I605" s="501" t="s">
        <v>3232</v>
      </c>
      <c r="J605" s="501" t="s">
        <v>2811</v>
      </c>
      <c r="K605" s="438">
        <v>8</v>
      </c>
      <c r="L605" s="499">
        <v>7000</v>
      </c>
      <c r="M605" s="366">
        <f t="shared" si="192"/>
        <v>875</v>
      </c>
      <c r="N605" s="367">
        <f t="shared" si="176"/>
        <v>7000</v>
      </c>
      <c r="O605" s="61">
        <v>7000</v>
      </c>
      <c r="P605" s="368">
        <v>0</v>
      </c>
      <c r="Q605" s="368">
        <v>0</v>
      </c>
      <c r="R605" s="494">
        <v>0</v>
      </c>
      <c r="S605" s="493">
        <v>0</v>
      </c>
      <c r="T605" s="494">
        <v>0</v>
      </c>
      <c r="U605" s="493">
        <v>0</v>
      </c>
      <c r="V605" s="502">
        <v>1</v>
      </c>
      <c r="W605" s="453">
        <f t="shared" si="178"/>
        <v>7000</v>
      </c>
      <c r="X605" s="748">
        <f t="shared" si="179"/>
        <v>1</v>
      </c>
      <c r="Y605" s="451" t="str">
        <f>IFERROR(VLOOKUP(E:E,'Item Data Support Sheet'!A:J,6,0),0)</f>
        <v>FO021</v>
      </c>
      <c r="Z605" s="428">
        <f>IFERROR(VLOOKUP(E:E,'Item Data Support Sheet'!A:O,4,0),0)</f>
        <v>0</v>
      </c>
      <c r="AA605" s="428">
        <f t="shared" si="180"/>
        <v>0</v>
      </c>
      <c r="AB605" s="429" t="str">
        <f t="shared" si="181"/>
        <v xml:space="preserve"> </v>
      </c>
      <c r="AC605" s="424">
        <f t="shared" si="182"/>
        <v>0</v>
      </c>
      <c r="AD605" s="371">
        <f t="shared" si="183"/>
        <v>0</v>
      </c>
      <c r="AE605" s="748">
        <f t="shared" si="184"/>
        <v>1</v>
      </c>
      <c r="AF605" s="417">
        <f t="shared" si="185"/>
        <v>0.66666666666666663</v>
      </c>
      <c r="AG605" s="416">
        <f t="shared" si="186"/>
        <v>7.333333333333333</v>
      </c>
      <c r="AH605" s="372">
        <f t="shared" si="187"/>
        <v>0.91666666666666663</v>
      </c>
      <c r="AI605" s="373">
        <f t="shared" si="188"/>
        <v>875</v>
      </c>
      <c r="AJ605" s="418">
        <f>VLOOKUP(D605,'Standard Cycle time'!C:D,2,0)</f>
        <v>3.5</v>
      </c>
      <c r="AK605" s="418">
        <f t="shared" si="189"/>
        <v>3.7714285714285714</v>
      </c>
      <c r="AL605" s="374">
        <f t="shared" si="190"/>
        <v>0.92803030303030309</v>
      </c>
      <c r="AM605" s="372">
        <f t="shared" si="191"/>
        <v>0.85069444444444442</v>
      </c>
      <c r="AN605" s="799" t="s">
        <v>3233</v>
      </c>
      <c r="AO605" s="448"/>
      <c r="AP605" s="440">
        <v>40</v>
      </c>
      <c r="AQ605" s="440">
        <v>0</v>
      </c>
      <c r="AR605" s="440">
        <v>0</v>
      </c>
      <c r="AS605" s="440">
        <v>0</v>
      </c>
      <c r="AT605" s="440">
        <v>0</v>
      </c>
      <c r="AU605" s="440">
        <v>0</v>
      </c>
      <c r="AV605" s="440">
        <v>0</v>
      </c>
      <c r="AW605" s="440">
        <v>0</v>
      </c>
      <c r="AX605" s="440">
        <v>0</v>
      </c>
      <c r="AY605" s="440">
        <v>0</v>
      </c>
      <c r="AZ605" s="440">
        <v>0</v>
      </c>
      <c r="BA605" s="440">
        <v>0</v>
      </c>
      <c r="BB605" s="440">
        <v>0</v>
      </c>
      <c r="BC605" s="440">
        <v>0</v>
      </c>
      <c r="BD605" s="440">
        <v>0</v>
      </c>
      <c r="BE605" s="440">
        <v>0</v>
      </c>
      <c r="BF605" s="440">
        <v>0</v>
      </c>
      <c r="BG605" s="440">
        <v>0</v>
      </c>
      <c r="BH605" s="440">
        <v>0</v>
      </c>
      <c r="BI605" s="440">
        <v>0</v>
      </c>
      <c r="BJ605" s="440">
        <v>0</v>
      </c>
      <c r="BK605" s="440">
        <v>0</v>
      </c>
      <c r="BL605" s="440">
        <v>0</v>
      </c>
      <c r="BM605" s="440">
        <v>0</v>
      </c>
      <c r="BN605" s="440">
        <v>0</v>
      </c>
      <c r="BO605" s="440">
        <v>0</v>
      </c>
      <c r="BP605" s="440">
        <v>0</v>
      </c>
      <c r="BQ605" s="440">
        <v>0</v>
      </c>
      <c r="BR605" s="415">
        <v>0.66666666666666663</v>
      </c>
      <c r="BS605" s="415">
        <v>0.6777777777777777</v>
      </c>
      <c r="BT605" s="935"/>
      <c r="BU605" s="935"/>
      <c r="BV605" s="935"/>
      <c r="BW605" s="935"/>
      <c r="BX605" s="935"/>
      <c r="BY605" s="935"/>
      <c r="BZ605" s="935"/>
      <c r="CA605" s="935"/>
      <c r="CB605" s="935"/>
      <c r="CC605" s="935"/>
      <c r="CD605" s="935"/>
      <c r="CE605" s="935"/>
      <c r="CF605" s="935"/>
      <c r="CG605" s="935"/>
      <c r="CH605" s="935"/>
      <c r="CI605" s="935"/>
      <c r="CJ605" s="935"/>
      <c r="CK605" s="935"/>
      <c r="CL605" s="935"/>
      <c r="CM605" s="935"/>
      <c r="CN605" s="935"/>
      <c r="CO605" s="935"/>
      <c r="CP605" s="935"/>
      <c r="CQ605" s="935"/>
      <c r="CR605" s="935"/>
      <c r="CS605" s="935"/>
      <c r="CT605" s="935"/>
      <c r="CU605" s="935"/>
      <c r="CV605" s="935"/>
    </row>
    <row r="606" spans="1:100" s="441" customFormat="1">
      <c r="A606" s="375">
        <f t="shared" si="177"/>
        <v>9</v>
      </c>
      <c r="B606" s="862">
        <v>44460</v>
      </c>
      <c r="C606" s="493" t="s">
        <v>2001</v>
      </c>
      <c r="D606" s="376" t="str">
        <f>IFERROR(VLOOKUP(E:E,'Item Data Support Sheet'!A:O,7,0),"")</f>
        <v>NIPPLE MOLDED</v>
      </c>
      <c r="E606" s="447" t="s">
        <v>75</v>
      </c>
      <c r="F606" s="500" t="s">
        <v>1678</v>
      </c>
      <c r="G606" s="497" t="s">
        <v>1691</v>
      </c>
      <c r="H606" s="602" t="str">
        <f>IFERROR(VLOOKUP(E:E,'Item Data Support Sheet'!A:O,2,0),"")</f>
        <v>NIPPLE S TYPE Y SIZE INJECTION</v>
      </c>
      <c r="I606" s="501" t="s">
        <v>3234</v>
      </c>
      <c r="J606" s="501" t="s">
        <v>2811</v>
      </c>
      <c r="K606" s="438">
        <v>8</v>
      </c>
      <c r="L606" s="499">
        <v>4815</v>
      </c>
      <c r="M606" s="366">
        <f t="shared" si="192"/>
        <v>601.875</v>
      </c>
      <c r="N606" s="367">
        <f t="shared" si="176"/>
        <v>5482</v>
      </c>
      <c r="O606" s="61">
        <v>5400</v>
      </c>
      <c r="P606" s="368">
        <v>0</v>
      </c>
      <c r="Q606" s="368">
        <v>30</v>
      </c>
      <c r="R606" s="494">
        <v>0</v>
      </c>
      <c r="S606" s="493">
        <v>0</v>
      </c>
      <c r="T606" s="494">
        <v>52</v>
      </c>
      <c r="U606" s="493">
        <v>0</v>
      </c>
      <c r="V606" s="502">
        <v>1</v>
      </c>
      <c r="W606" s="453">
        <f t="shared" si="178"/>
        <v>5400</v>
      </c>
      <c r="X606" s="748">
        <f t="shared" si="179"/>
        <v>1.1214953271028036</v>
      </c>
      <c r="Y606" s="451" t="str">
        <f>IFERROR(VLOOKUP(E:E,'Item Data Support Sheet'!A:J,6,0),0)</f>
        <v>Silicon</v>
      </c>
      <c r="Z606" s="428">
        <f>IFERROR(VLOOKUP(E:E,'Item Data Support Sheet'!A:O,4,0),0)</f>
        <v>6.8</v>
      </c>
      <c r="AA606" s="428">
        <f t="shared" si="180"/>
        <v>37.2776</v>
      </c>
      <c r="AB606" s="429">
        <f t="shared" si="181"/>
        <v>0.98504195549069684</v>
      </c>
      <c r="AC606" s="424">
        <f t="shared" si="182"/>
        <v>9.5377842993396925E-3</v>
      </c>
      <c r="AD606" s="371">
        <f t="shared" si="183"/>
        <v>5.4426705370101596E-3</v>
      </c>
      <c r="AE606" s="748">
        <f t="shared" si="184"/>
        <v>0.99051441079897851</v>
      </c>
      <c r="AF606" s="417">
        <f t="shared" si="185"/>
        <v>0</v>
      </c>
      <c r="AG606" s="416">
        <f t="shared" si="186"/>
        <v>8</v>
      </c>
      <c r="AH606" s="372">
        <f t="shared" si="187"/>
        <v>1</v>
      </c>
      <c r="AI606" s="373">
        <f t="shared" si="188"/>
        <v>675</v>
      </c>
      <c r="AJ606" s="418">
        <f>VLOOKUP(D606,'Standard Cycle time'!C:D,2,0)</f>
        <v>5.25</v>
      </c>
      <c r="AK606" s="418">
        <f t="shared" si="189"/>
        <v>5.333333333333333</v>
      </c>
      <c r="AL606" s="374">
        <f t="shared" si="190"/>
        <v>0.984375</v>
      </c>
      <c r="AM606" s="372">
        <f t="shared" si="191"/>
        <v>0.97503762313024445</v>
      </c>
      <c r="AN606" s="799">
        <v>3424</v>
      </c>
      <c r="AO606" s="448"/>
      <c r="AP606" s="440">
        <v>0</v>
      </c>
      <c r="AQ606" s="440">
        <v>0</v>
      </c>
      <c r="AR606" s="440">
        <v>0</v>
      </c>
      <c r="AS606" s="440">
        <v>0</v>
      </c>
      <c r="AT606" s="440">
        <v>0</v>
      </c>
      <c r="AU606" s="440">
        <v>0</v>
      </c>
      <c r="AV606" s="440">
        <v>0</v>
      </c>
      <c r="AW606" s="440">
        <v>0</v>
      </c>
      <c r="AX606" s="440">
        <v>0</v>
      </c>
      <c r="AY606" s="440">
        <v>0</v>
      </c>
      <c r="AZ606" s="440">
        <v>0</v>
      </c>
      <c r="BA606" s="440">
        <v>0</v>
      </c>
      <c r="BB606" s="440">
        <v>0</v>
      </c>
      <c r="BC606" s="440">
        <v>0</v>
      </c>
      <c r="BD606" s="440">
        <v>0</v>
      </c>
      <c r="BE606" s="440">
        <v>0</v>
      </c>
      <c r="BF606" s="440">
        <v>0</v>
      </c>
      <c r="BG606" s="440">
        <v>0</v>
      </c>
      <c r="BH606" s="440">
        <v>0</v>
      </c>
      <c r="BI606" s="440">
        <v>0</v>
      </c>
      <c r="BJ606" s="440">
        <v>0</v>
      </c>
      <c r="BK606" s="440">
        <v>0</v>
      </c>
      <c r="BL606" s="440">
        <v>0</v>
      </c>
      <c r="BM606" s="440">
        <v>0</v>
      </c>
      <c r="BN606" s="440">
        <v>0</v>
      </c>
      <c r="BO606" s="440">
        <v>0</v>
      </c>
      <c r="BP606" s="440">
        <v>0</v>
      </c>
      <c r="BQ606" s="440">
        <v>0</v>
      </c>
      <c r="BR606" s="415">
        <v>0</v>
      </c>
      <c r="BS606" s="415">
        <v>0</v>
      </c>
      <c r="BT606" s="935"/>
      <c r="BU606" s="935"/>
      <c r="BV606" s="935"/>
      <c r="BW606" s="935"/>
      <c r="BX606" s="935"/>
      <c r="BY606" s="935"/>
      <c r="BZ606" s="935"/>
      <c r="CA606" s="935"/>
      <c r="CB606" s="935"/>
      <c r="CC606" s="935"/>
      <c r="CD606" s="935"/>
      <c r="CE606" s="935"/>
      <c r="CF606" s="935"/>
      <c r="CG606" s="935"/>
      <c r="CH606" s="935"/>
      <c r="CI606" s="935"/>
      <c r="CJ606" s="935"/>
      <c r="CK606" s="935"/>
      <c r="CL606" s="935"/>
      <c r="CM606" s="935"/>
      <c r="CN606" s="935"/>
      <c r="CO606" s="935"/>
      <c r="CP606" s="935"/>
      <c r="CQ606" s="935"/>
      <c r="CR606" s="935"/>
      <c r="CS606" s="935"/>
      <c r="CT606" s="935"/>
      <c r="CU606" s="935"/>
      <c r="CV606" s="935"/>
    </row>
    <row r="607" spans="1:100" s="441" customFormat="1">
      <c r="A607" s="375">
        <f t="shared" si="177"/>
        <v>9</v>
      </c>
      <c r="B607" s="862">
        <v>44460</v>
      </c>
      <c r="C607" s="493" t="s">
        <v>2001</v>
      </c>
      <c r="D607" s="376" t="str">
        <f>IFERROR(VLOOKUP(E:E,'Item Data Support Sheet'!A:O,7,0),"")</f>
        <v>CAP MOLDED</v>
      </c>
      <c r="E607" s="447" t="s">
        <v>2107</v>
      </c>
      <c r="F607" s="500"/>
      <c r="G607" s="497" t="s">
        <v>3212</v>
      </c>
      <c r="H607" s="602" t="str">
        <f>IFERROR(VLOOKUP(E:E,'Item Data Support Sheet'!A:O,2,0),"")</f>
        <v>CAP S TYPE MOLDED PINK</v>
      </c>
      <c r="I607" s="501" t="s">
        <v>3235</v>
      </c>
      <c r="J607" s="501" t="s">
        <v>2811</v>
      </c>
      <c r="K607" s="438">
        <v>4</v>
      </c>
      <c r="L607" s="499">
        <v>2065</v>
      </c>
      <c r="M607" s="366">
        <f t="shared" si="192"/>
        <v>516.25</v>
      </c>
      <c r="N607" s="367">
        <f t="shared" si="176"/>
        <v>2290</v>
      </c>
      <c r="O607" s="61">
        <v>2290</v>
      </c>
      <c r="P607" s="368">
        <v>0.5</v>
      </c>
      <c r="Q607" s="368">
        <v>0</v>
      </c>
      <c r="R607" s="494">
        <v>0</v>
      </c>
      <c r="S607" s="493">
        <v>0</v>
      </c>
      <c r="T607" s="494">
        <v>0</v>
      </c>
      <c r="U607" s="493">
        <v>0</v>
      </c>
      <c r="V607" s="502">
        <v>1</v>
      </c>
      <c r="W607" s="453">
        <f t="shared" si="178"/>
        <v>2290</v>
      </c>
      <c r="X607" s="748">
        <f t="shared" si="179"/>
        <v>1.1089588377723971</v>
      </c>
      <c r="Y607" s="451" t="str">
        <f>IFERROR(VLOOKUP(E:E,'Item Data Support Sheet'!A:J,6,0),0)</f>
        <v>RM000123</v>
      </c>
      <c r="Z607" s="428">
        <f>IFERROR(VLOOKUP(E:E,'Item Data Support Sheet'!A:O,4,0),0)</f>
        <v>7.3</v>
      </c>
      <c r="AA607" s="428">
        <f t="shared" si="180"/>
        <v>17.216999999999999</v>
      </c>
      <c r="AB607" s="429">
        <f t="shared" si="181"/>
        <v>0.97095893593541271</v>
      </c>
      <c r="AC607" s="424">
        <f t="shared" si="182"/>
        <v>0</v>
      </c>
      <c r="AD607" s="371">
        <f t="shared" si="183"/>
        <v>0</v>
      </c>
      <c r="AE607" s="748">
        <f t="shared" si="184"/>
        <v>1</v>
      </c>
      <c r="AF607" s="417">
        <f t="shared" si="185"/>
        <v>0</v>
      </c>
      <c r="AG607" s="416">
        <f t="shared" si="186"/>
        <v>4</v>
      </c>
      <c r="AH607" s="372">
        <f t="shared" si="187"/>
        <v>1</v>
      </c>
      <c r="AI607" s="373">
        <f t="shared" si="188"/>
        <v>572.5</v>
      </c>
      <c r="AJ607" s="418">
        <f>VLOOKUP(D607,'Standard Cycle time'!C:D,2,0)</f>
        <v>6</v>
      </c>
      <c r="AK607" s="418">
        <f t="shared" si="189"/>
        <v>6.2882096069868991</v>
      </c>
      <c r="AL607" s="374">
        <f t="shared" si="190"/>
        <v>0.95416666666666672</v>
      </c>
      <c r="AM607" s="372">
        <f t="shared" si="191"/>
        <v>0.95416666666666672</v>
      </c>
      <c r="AN607" s="799">
        <v>3427</v>
      </c>
      <c r="AO607" s="448"/>
      <c r="AP607" s="440">
        <v>0</v>
      </c>
      <c r="AQ607" s="440">
        <v>0</v>
      </c>
      <c r="AR607" s="440">
        <v>0</v>
      </c>
      <c r="AS607" s="440">
        <v>0</v>
      </c>
      <c r="AT607" s="440">
        <v>0</v>
      </c>
      <c r="AU607" s="440">
        <v>0</v>
      </c>
      <c r="AV607" s="440">
        <v>0</v>
      </c>
      <c r="AW607" s="440">
        <v>0</v>
      </c>
      <c r="AX607" s="440">
        <v>0</v>
      </c>
      <c r="AY607" s="440">
        <v>0</v>
      </c>
      <c r="AZ607" s="440">
        <v>0</v>
      </c>
      <c r="BA607" s="440">
        <v>0</v>
      </c>
      <c r="BB607" s="440">
        <v>0</v>
      </c>
      <c r="BC607" s="440">
        <v>0</v>
      </c>
      <c r="BD607" s="440">
        <v>0</v>
      </c>
      <c r="BE607" s="440">
        <v>0</v>
      </c>
      <c r="BF607" s="440">
        <v>0</v>
      </c>
      <c r="BG607" s="440">
        <v>0</v>
      </c>
      <c r="BH607" s="440">
        <v>0</v>
      </c>
      <c r="BI607" s="440">
        <v>0</v>
      </c>
      <c r="BJ607" s="440">
        <v>0</v>
      </c>
      <c r="BK607" s="440">
        <v>0</v>
      </c>
      <c r="BL607" s="440">
        <v>0</v>
      </c>
      <c r="BM607" s="440">
        <v>0</v>
      </c>
      <c r="BN607" s="440">
        <v>0</v>
      </c>
      <c r="BO607" s="440">
        <v>0</v>
      </c>
      <c r="BP607" s="440">
        <v>0</v>
      </c>
      <c r="BQ607" s="440">
        <v>0</v>
      </c>
      <c r="BR607" s="415">
        <v>0</v>
      </c>
      <c r="BS607" s="415">
        <v>0</v>
      </c>
      <c r="BT607" s="935"/>
      <c r="BU607" s="935"/>
      <c r="BV607" s="935"/>
      <c r="BW607" s="935"/>
      <c r="BX607" s="935"/>
      <c r="BY607" s="935"/>
      <c r="BZ607" s="935"/>
      <c r="CA607" s="935"/>
      <c r="CB607" s="935"/>
      <c r="CC607" s="935"/>
      <c r="CD607" s="935"/>
      <c r="CE607" s="935"/>
      <c r="CF607" s="935"/>
      <c r="CG607" s="935"/>
      <c r="CH607" s="935"/>
      <c r="CI607" s="935"/>
      <c r="CJ607" s="935"/>
      <c r="CK607" s="935"/>
      <c r="CL607" s="935"/>
      <c r="CM607" s="935"/>
      <c r="CN607" s="935"/>
      <c r="CO607" s="935"/>
      <c r="CP607" s="935"/>
      <c r="CQ607" s="935"/>
      <c r="CR607" s="935"/>
      <c r="CS607" s="935"/>
      <c r="CT607" s="935"/>
      <c r="CU607" s="935"/>
      <c r="CV607" s="935"/>
    </row>
    <row r="608" spans="1:100" s="441" customFormat="1">
      <c r="A608" s="375">
        <f t="shared" si="177"/>
        <v>9</v>
      </c>
      <c r="B608" s="862">
        <v>44460</v>
      </c>
      <c r="C608" s="493" t="s">
        <v>2001</v>
      </c>
      <c r="D608" s="376" t="str">
        <f>IFERROR(VLOOKUP(E:E,'Item Data Support Sheet'!A:O,7,0),"")</f>
        <v>CAP MOLDED</v>
      </c>
      <c r="E608" s="447" t="s">
        <v>2107</v>
      </c>
      <c r="F608" s="500"/>
      <c r="G608" s="497" t="s">
        <v>3208</v>
      </c>
      <c r="H608" s="602" t="str">
        <f>IFERROR(VLOOKUP(E:E,'Item Data Support Sheet'!A:O,2,0),"")</f>
        <v>CAP S TYPE MOLDED PINK</v>
      </c>
      <c r="I608" s="501" t="s">
        <v>3236</v>
      </c>
      <c r="J608" s="501" t="s">
        <v>2811</v>
      </c>
      <c r="K608" s="438">
        <v>4</v>
      </c>
      <c r="L608" s="499">
        <v>2000</v>
      </c>
      <c r="M608" s="366">
        <f t="shared" si="192"/>
        <v>500</v>
      </c>
      <c r="N608" s="367">
        <f t="shared" si="176"/>
        <v>1420</v>
      </c>
      <c r="O608" s="61">
        <v>1420</v>
      </c>
      <c r="P608" s="368">
        <v>0</v>
      </c>
      <c r="Q608" s="368">
        <v>0</v>
      </c>
      <c r="R608" s="494">
        <v>0</v>
      </c>
      <c r="S608" s="493">
        <v>0</v>
      </c>
      <c r="T608" s="494">
        <v>0</v>
      </c>
      <c r="U608" s="493">
        <v>0</v>
      </c>
      <c r="V608" s="502">
        <v>1</v>
      </c>
      <c r="W608" s="453">
        <f t="shared" si="178"/>
        <v>1420</v>
      </c>
      <c r="X608" s="748">
        <f t="shared" si="179"/>
        <v>0.71</v>
      </c>
      <c r="Y608" s="451" t="str">
        <f>IFERROR(VLOOKUP(E:E,'Item Data Support Sheet'!A:J,6,0),0)</f>
        <v>RM000123</v>
      </c>
      <c r="Z608" s="428">
        <f>IFERROR(VLOOKUP(E:E,'Item Data Support Sheet'!A:O,4,0),0)</f>
        <v>7.3</v>
      </c>
      <c r="AA608" s="428">
        <f t="shared" si="180"/>
        <v>10.366</v>
      </c>
      <c r="AB608" s="429">
        <f t="shared" si="181"/>
        <v>1</v>
      </c>
      <c r="AC608" s="424">
        <f t="shared" si="182"/>
        <v>0</v>
      </c>
      <c r="AD608" s="371">
        <f t="shared" si="183"/>
        <v>0</v>
      </c>
      <c r="AE608" s="748">
        <f t="shared" si="184"/>
        <v>1</v>
      </c>
      <c r="AF608" s="417">
        <f t="shared" si="185"/>
        <v>1.5</v>
      </c>
      <c r="AG608" s="416">
        <f t="shared" si="186"/>
        <v>2.5</v>
      </c>
      <c r="AH608" s="372">
        <f t="shared" si="187"/>
        <v>0.625</v>
      </c>
      <c r="AI608" s="373">
        <f t="shared" si="188"/>
        <v>355</v>
      </c>
      <c r="AJ608" s="418">
        <f>VLOOKUP(D608,'Standard Cycle time'!C:D,2,0)</f>
        <v>6</v>
      </c>
      <c r="AK608" s="418">
        <f t="shared" si="189"/>
        <v>6.3380281690140849</v>
      </c>
      <c r="AL608" s="374">
        <f t="shared" si="190"/>
        <v>0.94666666666666666</v>
      </c>
      <c r="AM608" s="372">
        <f t="shared" si="191"/>
        <v>0.59166666666666667</v>
      </c>
      <c r="AN608" s="799">
        <v>3484</v>
      </c>
      <c r="AO608" s="448"/>
      <c r="AP608" s="440">
        <v>0</v>
      </c>
      <c r="AQ608" s="440">
        <v>0</v>
      </c>
      <c r="AR608" s="440">
        <v>0</v>
      </c>
      <c r="AS608" s="440">
        <v>0</v>
      </c>
      <c r="AT608" s="440">
        <v>0</v>
      </c>
      <c r="AU608" s="440">
        <v>0</v>
      </c>
      <c r="AV608" s="440">
        <v>60</v>
      </c>
      <c r="AW608" s="440">
        <v>30</v>
      </c>
      <c r="AX608" s="440">
        <v>0</v>
      </c>
      <c r="AY608" s="440">
        <v>0</v>
      </c>
      <c r="AZ608" s="440">
        <v>0</v>
      </c>
      <c r="BA608" s="440">
        <v>0</v>
      </c>
      <c r="BB608" s="440">
        <v>0</v>
      </c>
      <c r="BC608" s="440">
        <v>0</v>
      </c>
      <c r="BD608" s="440">
        <v>0</v>
      </c>
      <c r="BE608" s="440">
        <v>0</v>
      </c>
      <c r="BF608" s="440">
        <v>0</v>
      </c>
      <c r="BG608" s="440">
        <v>0</v>
      </c>
      <c r="BH608" s="440">
        <v>0</v>
      </c>
      <c r="BI608" s="440">
        <v>0</v>
      </c>
      <c r="BJ608" s="440">
        <v>0</v>
      </c>
      <c r="BK608" s="440">
        <v>0</v>
      </c>
      <c r="BL608" s="440">
        <v>0</v>
      </c>
      <c r="BM608" s="440">
        <v>0</v>
      </c>
      <c r="BN608" s="440">
        <v>0</v>
      </c>
      <c r="BO608" s="440">
        <v>0</v>
      </c>
      <c r="BP608" s="440">
        <v>0</v>
      </c>
      <c r="BQ608" s="440">
        <v>0</v>
      </c>
      <c r="BR608" s="415">
        <v>1.5</v>
      </c>
      <c r="BS608" s="415">
        <v>1.5249999999999999</v>
      </c>
      <c r="BT608" s="935"/>
      <c r="BU608" s="935"/>
      <c r="BV608" s="935"/>
      <c r="BW608" s="935"/>
      <c r="BX608" s="935"/>
      <c r="BY608" s="935"/>
      <c r="BZ608" s="935"/>
      <c r="CA608" s="935"/>
      <c r="CB608" s="935"/>
      <c r="CC608" s="935"/>
      <c r="CD608" s="935"/>
      <c r="CE608" s="935"/>
      <c r="CF608" s="935"/>
      <c r="CG608" s="935"/>
      <c r="CH608" s="935"/>
      <c r="CI608" s="935"/>
      <c r="CJ608" s="935"/>
      <c r="CK608" s="935"/>
      <c r="CL608" s="935"/>
      <c r="CM608" s="935"/>
      <c r="CN608" s="935"/>
      <c r="CO608" s="935"/>
      <c r="CP608" s="935"/>
      <c r="CQ608" s="935"/>
      <c r="CR608" s="935"/>
      <c r="CS608" s="935"/>
      <c r="CT608" s="935"/>
      <c r="CU608" s="935"/>
      <c r="CV608" s="935"/>
    </row>
    <row r="609" spans="1:100" s="441" customFormat="1">
      <c r="A609" s="375">
        <f t="shared" si="177"/>
        <v>9</v>
      </c>
      <c r="B609" s="862">
        <v>44460</v>
      </c>
      <c r="C609" s="493" t="s">
        <v>2001</v>
      </c>
      <c r="D609" s="376" t="str">
        <f>IFERROR(VLOOKUP(E:E,'Item Data Support Sheet'!A:O,7,0),"")</f>
        <v>BOTTLE MOLDED</v>
      </c>
      <c r="E609" s="447" t="s">
        <v>68</v>
      </c>
      <c r="F609" s="500"/>
      <c r="G609" s="497" t="s">
        <v>1665</v>
      </c>
      <c r="H609" s="602" t="str">
        <f>IFERROR(VLOOKUP(E:E,'Item Data Support Sheet'!A:O,2,0),"")</f>
        <v>RPP 240 ML BOTTLE MOLDED</v>
      </c>
      <c r="I609" s="501" t="s">
        <v>3237</v>
      </c>
      <c r="J609" s="501" t="s">
        <v>2811</v>
      </c>
      <c r="K609" s="438">
        <v>8</v>
      </c>
      <c r="L609" s="499">
        <v>2574</v>
      </c>
      <c r="M609" s="366">
        <f t="shared" si="192"/>
        <v>321.75</v>
      </c>
      <c r="N609" s="367">
        <f t="shared" si="176"/>
        <v>3410</v>
      </c>
      <c r="O609" s="61">
        <v>3360</v>
      </c>
      <c r="P609" s="368">
        <v>0</v>
      </c>
      <c r="Q609" s="368">
        <v>10</v>
      </c>
      <c r="R609" s="494">
        <v>0</v>
      </c>
      <c r="S609" s="493">
        <v>0</v>
      </c>
      <c r="T609" s="494">
        <v>40</v>
      </c>
      <c r="U609" s="493">
        <v>0</v>
      </c>
      <c r="V609" s="502">
        <v>1</v>
      </c>
      <c r="W609" s="453">
        <f t="shared" si="178"/>
        <v>3360</v>
      </c>
      <c r="X609" s="748">
        <f t="shared" si="179"/>
        <v>1.3053613053613053</v>
      </c>
      <c r="Y609" s="451" t="str">
        <f>IFERROR(VLOOKUP(E:E,'Item Data Support Sheet'!A:J,6,0),0)</f>
        <v>HMC</v>
      </c>
      <c r="Z609" s="428">
        <f>IFERROR(VLOOKUP(E:E,'Item Data Support Sheet'!A:O,4,0),0)</f>
        <v>32.1</v>
      </c>
      <c r="AA609" s="428">
        <f t="shared" si="180"/>
        <v>109.46100000000001</v>
      </c>
      <c r="AB609" s="429">
        <f t="shared" si="181"/>
        <v>0.98533724340175954</v>
      </c>
      <c r="AC609" s="424">
        <f t="shared" si="182"/>
        <v>1.1764705882352941E-2</v>
      </c>
      <c r="AD609" s="371">
        <f t="shared" si="183"/>
        <v>2.9239766081871343E-3</v>
      </c>
      <c r="AE609" s="748">
        <f t="shared" si="184"/>
        <v>0.98826979472140764</v>
      </c>
      <c r="AF609" s="417">
        <f t="shared" si="185"/>
        <v>0</v>
      </c>
      <c r="AG609" s="416">
        <f t="shared" si="186"/>
        <v>8</v>
      </c>
      <c r="AH609" s="372">
        <f t="shared" si="187"/>
        <v>1</v>
      </c>
      <c r="AI609" s="373">
        <f t="shared" si="188"/>
        <v>420</v>
      </c>
      <c r="AJ609" s="418">
        <f>VLOOKUP(D609,'Standard Cycle time'!C:D,2,0)</f>
        <v>9</v>
      </c>
      <c r="AK609" s="418">
        <f t="shared" si="189"/>
        <v>8.5714285714285712</v>
      </c>
      <c r="AL609" s="374">
        <f t="shared" si="190"/>
        <v>1.05</v>
      </c>
      <c r="AM609" s="372">
        <f t="shared" si="191"/>
        <v>1.0376832844574782</v>
      </c>
      <c r="AN609" s="799">
        <v>3426</v>
      </c>
      <c r="AO609" s="448"/>
      <c r="AP609" s="440">
        <v>0</v>
      </c>
      <c r="AQ609" s="440">
        <v>0</v>
      </c>
      <c r="AR609" s="440">
        <v>0</v>
      </c>
      <c r="AS609" s="440">
        <v>0</v>
      </c>
      <c r="AT609" s="440">
        <v>0</v>
      </c>
      <c r="AU609" s="440">
        <v>0</v>
      </c>
      <c r="AV609" s="440">
        <v>0</v>
      </c>
      <c r="AW609" s="440">
        <v>0</v>
      </c>
      <c r="AX609" s="440">
        <v>0</v>
      </c>
      <c r="AY609" s="440">
        <v>0</v>
      </c>
      <c r="AZ609" s="440">
        <v>0</v>
      </c>
      <c r="BA609" s="440">
        <v>0</v>
      </c>
      <c r="BB609" s="440">
        <v>0</v>
      </c>
      <c r="BC609" s="440">
        <v>0</v>
      </c>
      <c r="BD609" s="440">
        <v>0</v>
      </c>
      <c r="BE609" s="440">
        <v>0</v>
      </c>
      <c r="BF609" s="440">
        <v>0</v>
      </c>
      <c r="BG609" s="440">
        <v>0</v>
      </c>
      <c r="BH609" s="440">
        <v>0</v>
      </c>
      <c r="BI609" s="440">
        <v>0</v>
      </c>
      <c r="BJ609" s="440">
        <v>0</v>
      </c>
      <c r="BK609" s="440">
        <v>0</v>
      </c>
      <c r="BL609" s="440">
        <v>0</v>
      </c>
      <c r="BM609" s="440">
        <v>0</v>
      </c>
      <c r="BN609" s="440">
        <v>0</v>
      </c>
      <c r="BO609" s="440">
        <v>0</v>
      </c>
      <c r="BP609" s="440">
        <v>0</v>
      </c>
      <c r="BQ609" s="440">
        <v>0</v>
      </c>
      <c r="BR609" s="415">
        <v>0</v>
      </c>
      <c r="BS609" s="415">
        <v>0</v>
      </c>
      <c r="BT609" s="935"/>
      <c r="BU609" s="935"/>
      <c r="BV609" s="935"/>
      <c r="BW609" s="935"/>
      <c r="BX609" s="935"/>
      <c r="BY609" s="935"/>
      <c r="BZ609" s="935"/>
      <c r="CA609" s="935"/>
      <c r="CB609" s="935"/>
      <c r="CC609" s="935"/>
      <c r="CD609" s="935"/>
      <c r="CE609" s="935"/>
      <c r="CF609" s="935"/>
      <c r="CG609" s="935"/>
      <c r="CH609" s="935"/>
      <c r="CI609" s="935"/>
      <c r="CJ609" s="935"/>
      <c r="CK609" s="935"/>
      <c r="CL609" s="935"/>
      <c r="CM609" s="935"/>
      <c r="CN609" s="935"/>
      <c r="CO609" s="935"/>
      <c r="CP609" s="935"/>
      <c r="CQ609" s="935"/>
      <c r="CR609" s="935"/>
      <c r="CS609" s="935"/>
      <c r="CT609" s="935"/>
      <c r="CU609" s="935"/>
      <c r="CV609" s="935"/>
    </row>
    <row r="610" spans="1:100" s="441" customFormat="1">
      <c r="A610" s="375">
        <f t="shared" si="177"/>
        <v>9</v>
      </c>
      <c r="B610" s="862">
        <v>44460</v>
      </c>
      <c r="C610" s="493" t="s">
        <v>2001</v>
      </c>
      <c r="D610" s="376" t="str">
        <f>IFERROR(VLOOKUP(E:E,'Item Data Support Sheet'!A:O,7,0),"")</f>
        <v>BOTTLE MOLDED</v>
      </c>
      <c r="E610" s="447" t="s">
        <v>65</v>
      </c>
      <c r="F610" s="500"/>
      <c r="G610" s="497" t="s">
        <v>1888</v>
      </c>
      <c r="H610" s="602" t="str">
        <f>IFERROR(VLOOKUP(E:E,'Item Data Support Sheet'!A:O,2,0),"")</f>
        <v>KPP 120 ML BOTTLE MOLDED</v>
      </c>
      <c r="I610" s="501" t="s">
        <v>3238</v>
      </c>
      <c r="J610" s="501" t="s">
        <v>2811</v>
      </c>
      <c r="K610" s="438">
        <v>8</v>
      </c>
      <c r="L610" s="499">
        <v>2574</v>
      </c>
      <c r="M610" s="366">
        <f t="shared" si="192"/>
        <v>321.75</v>
      </c>
      <c r="N610" s="367">
        <f t="shared" si="176"/>
        <v>3340</v>
      </c>
      <c r="O610" s="61">
        <v>3240</v>
      </c>
      <c r="P610" s="368">
        <v>0.3</v>
      </c>
      <c r="Q610" s="368">
        <v>40</v>
      </c>
      <c r="R610" s="494">
        <v>0</v>
      </c>
      <c r="S610" s="493">
        <v>0</v>
      </c>
      <c r="T610" s="494">
        <v>60</v>
      </c>
      <c r="U610" s="493">
        <v>0</v>
      </c>
      <c r="V610" s="502">
        <v>1</v>
      </c>
      <c r="W610" s="453">
        <f t="shared" si="178"/>
        <v>3240</v>
      </c>
      <c r="X610" s="748">
        <f t="shared" si="179"/>
        <v>1.2587412587412588</v>
      </c>
      <c r="Y610" s="451" t="str">
        <f>IFERROR(VLOOKUP(E:E,'Item Data Support Sheet'!A:J,6,0),0)</f>
        <v>HMC</v>
      </c>
      <c r="Z610" s="428">
        <f>IFERROR(VLOOKUP(E:E,'Item Data Support Sheet'!A:O,4,0),0)</f>
        <v>21.3</v>
      </c>
      <c r="AA610" s="428">
        <f t="shared" si="180"/>
        <v>71.441999999999993</v>
      </c>
      <c r="AB610" s="429">
        <f t="shared" si="181"/>
        <v>0.9659863945578232</v>
      </c>
      <c r="AC610" s="424">
        <f t="shared" si="182"/>
        <v>1.8181818181818181E-2</v>
      </c>
      <c r="AD610" s="371">
        <f t="shared" si="183"/>
        <v>1.1834319526627219E-2</v>
      </c>
      <c r="AE610" s="748">
        <f t="shared" si="184"/>
        <v>0.98203592814371254</v>
      </c>
      <c r="AF610" s="417">
        <f t="shared" si="185"/>
        <v>0</v>
      </c>
      <c r="AG610" s="416">
        <f t="shared" si="186"/>
        <v>8</v>
      </c>
      <c r="AH610" s="372">
        <f t="shared" si="187"/>
        <v>1</v>
      </c>
      <c r="AI610" s="373">
        <f t="shared" si="188"/>
        <v>405</v>
      </c>
      <c r="AJ610" s="418">
        <f>VLOOKUP(D610,'Standard Cycle time'!C:D,2,0)</f>
        <v>9</v>
      </c>
      <c r="AK610" s="418">
        <f t="shared" si="189"/>
        <v>8.8888888888888893</v>
      </c>
      <c r="AL610" s="374">
        <f t="shared" si="190"/>
        <v>1.0125</v>
      </c>
      <c r="AM610" s="372">
        <f t="shared" si="191"/>
        <v>0.99431137724550889</v>
      </c>
      <c r="AN610" s="799">
        <v>3425</v>
      </c>
      <c r="AO610" s="448"/>
      <c r="AP610" s="440">
        <v>0</v>
      </c>
      <c r="AQ610" s="440">
        <v>0</v>
      </c>
      <c r="AR610" s="440">
        <v>0</v>
      </c>
      <c r="AS610" s="440">
        <v>0</v>
      </c>
      <c r="AT610" s="440">
        <v>0</v>
      </c>
      <c r="AU610" s="440">
        <v>0</v>
      </c>
      <c r="AV610" s="440">
        <v>0</v>
      </c>
      <c r="AW610" s="440">
        <v>0</v>
      </c>
      <c r="AX610" s="440">
        <v>0</v>
      </c>
      <c r="AY610" s="440">
        <v>0</v>
      </c>
      <c r="AZ610" s="440">
        <v>0</v>
      </c>
      <c r="BA610" s="440">
        <v>0</v>
      </c>
      <c r="BB610" s="440">
        <v>0</v>
      </c>
      <c r="BC610" s="440">
        <v>0</v>
      </c>
      <c r="BD610" s="440">
        <v>0</v>
      </c>
      <c r="BE610" s="440">
        <v>0</v>
      </c>
      <c r="BF610" s="440">
        <v>0</v>
      </c>
      <c r="BG610" s="440">
        <v>0</v>
      </c>
      <c r="BH610" s="440">
        <v>0</v>
      </c>
      <c r="BI610" s="440">
        <v>0</v>
      </c>
      <c r="BJ610" s="440">
        <v>0</v>
      </c>
      <c r="BK610" s="440">
        <v>0</v>
      </c>
      <c r="BL610" s="440">
        <v>0</v>
      </c>
      <c r="BM610" s="440">
        <v>0</v>
      </c>
      <c r="BN610" s="440">
        <v>0</v>
      </c>
      <c r="BO610" s="440">
        <v>0</v>
      </c>
      <c r="BP610" s="440">
        <v>0</v>
      </c>
      <c r="BQ610" s="440">
        <v>0</v>
      </c>
      <c r="BR610" s="415">
        <v>0</v>
      </c>
      <c r="BS610" s="415">
        <v>0</v>
      </c>
      <c r="BT610" s="935"/>
      <c r="BU610" s="935"/>
      <c r="BV610" s="935"/>
      <c r="BW610" s="935"/>
      <c r="BX610" s="935"/>
      <c r="BY610" s="935"/>
      <c r="BZ610" s="935"/>
      <c r="CA610" s="935"/>
      <c r="CB610" s="935"/>
      <c r="CC610" s="935"/>
      <c r="CD610" s="935"/>
      <c r="CE610" s="935"/>
      <c r="CF610" s="935"/>
      <c r="CG610" s="935"/>
      <c r="CH610" s="935"/>
      <c r="CI610" s="935"/>
      <c r="CJ610" s="935"/>
      <c r="CK610" s="935"/>
      <c r="CL610" s="935"/>
      <c r="CM610" s="935"/>
      <c r="CN610" s="935"/>
      <c r="CO610" s="935"/>
      <c r="CP610" s="935"/>
      <c r="CQ610" s="935"/>
      <c r="CR610" s="935"/>
      <c r="CS610" s="935"/>
      <c r="CT610" s="935"/>
      <c r="CU610" s="935"/>
      <c r="CV610" s="935"/>
    </row>
    <row r="611" spans="1:100" s="441" customFormat="1">
      <c r="A611" s="375">
        <f t="shared" si="177"/>
        <v>9</v>
      </c>
      <c r="B611" s="862">
        <v>44460</v>
      </c>
      <c r="C611" s="493" t="s">
        <v>2001</v>
      </c>
      <c r="D611" s="376" t="str">
        <f>IFERROR(VLOOKUP(E:E,'Item Data Support Sheet'!A:O,7,0),"")</f>
        <v>BOTTLE PRINTED</v>
      </c>
      <c r="E611" s="447" t="s">
        <v>15</v>
      </c>
      <c r="F611" s="500"/>
      <c r="G611" s="497"/>
      <c r="H611" s="602" t="str">
        <f>IFERROR(VLOOKUP(E:E,'Item Data Support Sheet'!A:O,2,0),"")</f>
        <v>RPP 240 ML BOTTLE PRINTED</v>
      </c>
      <c r="I611" s="501" t="s">
        <v>3239</v>
      </c>
      <c r="J611" s="501" t="s">
        <v>2811</v>
      </c>
      <c r="K611" s="438">
        <v>8</v>
      </c>
      <c r="L611" s="499">
        <v>5800</v>
      </c>
      <c r="M611" s="366">
        <f t="shared" si="192"/>
        <v>725</v>
      </c>
      <c r="N611" s="367">
        <f t="shared" si="176"/>
        <v>5911</v>
      </c>
      <c r="O611" s="61">
        <v>5880</v>
      </c>
      <c r="P611" s="368">
        <v>0</v>
      </c>
      <c r="Q611" s="368">
        <v>0</v>
      </c>
      <c r="R611" s="494">
        <v>48</v>
      </c>
      <c r="S611" s="493">
        <v>0</v>
      </c>
      <c r="T611" s="494">
        <v>31</v>
      </c>
      <c r="U611" s="493">
        <v>0</v>
      </c>
      <c r="V611" s="502">
        <v>5</v>
      </c>
      <c r="W611" s="453">
        <f t="shared" si="178"/>
        <v>1176</v>
      </c>
      <c r="X611" s="748">
        <f t="shared" si="179"/>
        <v>1.0137931034482759</v>
      </c>
      <c r="Y611" s="451" t="str">
        <f>IFERROR(VLOOKUP(E:E,'Item Data Support Sheet'!A:J,6,0),0)</f>
        <v>FO005</v>
      </c>
      <c r="Z611" s="428">
        <f>IFERROR(VLOOKUP(E:E,'Item Data Support Sheet'!A:O,4,0),0)</f>
        <v>0</v>
      </c>
      <c r="AA611" s="428">
        <f t="shared" si="180"/>
        <v>0</v>
      </c>
      <c r="AB611" s="429" t="str">
        <f t="shared" si="181"/>
        <v xml:space="preserve"> </v>
      </c>
      <c r="AC611" s="424">
        <f t="shared" si="182"/>
        <v>5.2444594823210962E-3</v>
      </c>
      <c r="AD611" s="371">
        <f t="shared" si="183"/>
        <v>0</v>
      </c>
      <c r="AE611" s="748">
        <f t="shared" si="184"/>
        <v>0.99475554051767889</v>
      </c>
      <c r="AF611" s="417">
        <f t="shared" si="185"/>
        <v>0.66666666666666663</v>
      </c>
      <c r="AG611" s="416">
        <f t="shared" si="186"/>
        <v>7.333333333333333</v>
      </c>
      <c r="AH611" s="372">
        <f t="shared" si="187"/>
        <v>0.91666666666666663</v>
      </c>
      <c r="AI611" s="373">
        <f t="shared" si="188"/>
        <v>735</v>
      </c>
      <c r="AJ611" s="418">
        <f>VLOOKUP(D611,'Standard Cycle time'!C:D,2,0)</f>
        <v>32.4</v>
      </c>
      <c r="AK611" s="418">
        <f t="shared" si="189"/>
        <v>22.448979591836736</v>
      </c>
      <c r="AL611" s="374">
        <f t="shared" si="190"/>
        <v>1.443272727272727</v>
      </c>
      <c r="AM611" s="372">
        <f t="shared" si="191"/>
        <v>1.3160615801048889</v>
      </c>
      <c r="AN611" s="799" t="s">
        <v>2874</v>
      </c>
      <c r="AO611" s="448"/>
      <c r="AP611" s="440">
        <v>40</v>
      </c>
      <c r="AQ611" s="440">
        <v>0</v>
      </c>
      <c r="AR611" s="440">
        <v>0</v>
      </c>
      <c r="AS611" s="440">
        <v>0</v>
      </c>
      <c r="AT611" s="440">
        <v>0</v>
      </c>
      <c r="AU611" s="440">
        <v>0</v>
      </c>
      <c r="AV611" s="440">
        <v>0</v>
      </c>
      <c r="AW611" s="440">
        <v>0</v>
      </c>
      <c r="AX611" s="440">
        <v>0</v>
      </c>
      <c r="AY611" s="440">
        <v>0</v>
      </c>
      <c r="AZ611" s="440">
        <v>0</v>
      </c>
      <c r="BA611" s="440">
        <v>0</v>
      </c>
      <c r="BB611" s="440">
        <v>0</v>
      </c>
      <c r="BC611" s="440">
        <v>0</v>
      </c>
      <c r="BD611" s="440">
        <v>0</v>
      </c>
      <c r="BE611" s="440">
        <v>0</v>
      </c>
      <c r="BF611" s="440">
        <v>0</v>
      </c>
      <c r="BG611" s="440">
        <v>0</v>
      </c>
      <c r="BH611" s="440">
        <v>0</v>
      </c>
      <c r="BI611" s="440">
        <v>0</v>
      </c>
      <c r="BJ611" s="440">
        <v>0</v>
      </c>
      <c r="BK611" s="440">
        <v>0</v>
      </c>
      <c r="BL611" s="440">
        <v>0</v>
      </c>
      <c r="BM611" s="440">
        <v>0</v>
      </c>
      <c r="BN611" s="440">
        <v>0</v>
      </c>
      <c r="BO611" s="440">
        <v>0</v>
      </c>
      <c r="BP611" s="440">
        <v>0</v>
      </c>
      <c r="BQ611" s="440">
        <v>0</v>
      </c>
      <c r="BR611" s="415">
        <v>0.66666666666666663</v>
      </c>
      <c r="BS611" s="415">
        <v>0.6777777777777777</v>
      </c>
      <c r="BT611" s="935"/>
      <c r="BU611" s="935"/>
      <c r="BV611" s="935"/>
      <c r="BW611" s="935"/>
      <c r="BX611" s="935"/>
      <c r="BY611" s="935"/>
      <c r="BZ611" s="935"/>
      <c r="CA611" s="935"/>
      <c r="CB611" s="935"/>
      <c r="CC611" s="935"/>
      <c r="CD611" s="935"/>
      <c r="CE611" s="935"/>
      <c r="CF611" s="935"/>
      <c r="CG611" s="935"/>
      <c r="CH611" s="935"/>
      <c r="CI611" s="935"/>
      <c r="CJ611" s="935"/>
      <c r="CK611" s="935"/>
      <c r="CL611" s="935"/>
      <c r="CM611" s="935"/>
      <c r="CN611" s="935"/>
      <c r="CO611" s="935"/>
      <c r="CP611" s="935"/>
      <c r="CQ611" s="935"/>
      <c r="CR611" s="935"/>
      <c r="CS611" s="935"/>
      <c r="CT611" s="935"/>
      <c r="CU611" s="935"/>
      <c r="CV611" s="935"/>
    </row>
    <row r="612" spans="1:100" s="441" customFormat="1">
      <c r="A612" s="375">
        <f t="shared" si="177"/>
        <v>9</v>
      </c>
      <c r="B612" s="862">
        <v>44460</v>
      </c>
      <c r="C612" s="493" t="s">
        <v>2053</v>
      </c>
      <c r="D612" s="376" t="str">
        <f>IFERROR(VLOOKUP(E:E,'Item Data Support Sheet'!A:O,7,0),"")</f>
        <v>BOTTLE MOLDED</v>
      </c>
      <c r="E612" s="447" t="s">
        <v>65</v>
      </c>
      <c r="F612" s="500" t="s">
        <v>1679</v>
      </c>
      <c r="G612" s="497" t="s">
        <v>1888</v>
      </c>
      <c r="H612" s="602" t="str">
        <f>IFERROR(VLOOKUP(E:E,'Item Data Support Sheet'!A:O,2,0),"")</f>
        <v>KPP 120 ML BOTTLE MOLDED</v>
      </c>
      <c r="I612" s="501" t="s">
        <v>3240</v>
      </c>
      <c r="J612" s="501" t="s">
        <v>2826</v>
      </c>
      <c r="K612" s="438">
        <v>8</v>
      </c>
      <c r="L612" s="499">
        <v>2574</v>
      </c>
      <c r="M612" s="366">
        <f t="shared" si="192"/>
        <v>321.75</v>
      </c>
      <c r="N612" s="367">
        <f t="shared" si="176"/>
        <v>3308</v>
      </c>
      <c r="O612" s="61">
        <v>3240</v>
      </c>
      <c r="P612" s="368">
        <v>0.21</v>
      </c>
      <c r="Q612" s="368">
        <v>20</v>
      </c>
      <c r="R612" s="494">
        <v>0</v>
      </c>
      <c r="S612" s="493">
        <v>0</v>
      </c>
      <c r="T612" s="494">
        <v>40</v>
      </c>
      <c r="U612" s="493">
        <v>8</v>
      </c>
      <c r="V612" s="502">
        <v>1</v>
      </c>
      <c r="W612" s="453">
        <f t="shared" si="178"/>
        <v>3240</v>
      </c>
      <c r="X612" s="748">
        <f t="shared" si="179"/>
        <v>1.2587412587412588</v>
      </c>
      <c r="Y612" s="451" t="str">
        <f>IFERROR(VLOOKUP(E:E,'Item Data Support Sheet'!A:J,6,0),0)</f>
        <v>HMC</v>
      </c>
      <c r="Z612" s="428">
        <f>IFERROR(VLOOKUP(E:E,'Item Data Support Sheet'!A:O,4,0),0)</f>
        <v>21.3</v>
      </c>
      <c r="AA612" s="428">
        <f t="shared" si="180"/>
        <v>70.670399999999987</v>
      </c>
      <c r="AB612" s="429">
        <f t="shared" si="181"/>
        <v>0.97653331522108289</v>
      </c>
      <c r="AC612" s="424">
        <f t="shared" si="182"/>
        <v>1.2195121951219513E-2</v>
      </c>
      <c r="AD612" s="371">
        <f t="shared" si="183"/>
        <v>6.0096153846153849E-3</v>
      </c>
      <c r="AE612" s="748">
        <f t="shared" si="184"/>
        <v>0.98790810157194675</v>
      </c>
      <c r="AF612" s="417">
        <f t="shared" si="185"/>
        <v>0</v>
      </c>
      <c r="AG612" s="416">
        <f t="shared" si="186"/>
        <v>8</v>
      </c>
      <c r="AH612" s="372">
        <f t="shared" si="187"/>
        <v>1</v>
      </c>
      <c r="AI612" s="373">
        <f t="shared" si="188"/>
        <v>405</v>
      </c>
      <c r="AJ612" s="418">
        <f>VLOOKUP(D612,'Standard Cycle time'!C:D,2,0)</f>
        <v>9</v>
      </c>
      <c r="AK612" s="418">
        <f t="shared" si="189"/>
        <v>8.8888888888888893</v>
      </c>
      <c r="AL612" s="374">
        <f t="shared" si="190"/>
        <v>1.0125</v>
      </c>
      <c r="AM612" s="372">
        <f t="shared" si="191"/>
        <v>1.0002569528415961</v>
      </c>
      <c r="AN612" s="799">
        <v>3432</v>
      </c>
      <c r="AO612" s="448"/>
      <c r="AP612" s="440">
        <v>0</v>
      </c>
      <c r="AQ612" s="440">
        <v>0</v>
      </c>
      <c r="AR612" s="440">
        <v>0</v>
      </c>
      <c r="AS612" s="440">
        <v>0</v>
      </c>
      <c r="AT612" s="440">
        <v>0</v>
      </c>
      <c r="AU612" s="440">
        <v>0</v>
      </c>
      <c r="AV612" s="440">
        <v>0</v>
      </c>
      <c r="AW612" s="440">
        <v>0</v>
      </c>
      <c r="AX612" s="440">
        <v>0</v>
      </c>
      <c r="AY612" s="440">
        <v>0</v>
      </c>
      <c r="AZ612" s="440">
        <v>0</v>
      </c>
      <c r="BA612" s="440">
        <v>0</v>
      </c>
      <c r="BB612" s="440">
        <v>0</v>
      </c>
      <c r="BC612" s="440">
        <v>0</v>
      </c>
      <c r="BD612" s="440">
        <v>0</v>
      </c>
      <c r="BE612" s="440">
        <v>0</v>
      </c>
      <c r="BF612" s="440">
        <v>0</v>
      </c>
      <c r="BG612" s="440">
        <v>0</v>
      </c>
      <c r="BH612" s="440">
        <v>0</v>
      </c>
      <c r="BI612" s="440">
        <v>0</v>
      </c>
      <c r="BJ612" s="440">
        <v>0</v>
      </c>
      <c r="BK612" s="440">
        <v>0</v>
      </c>
      <c r="BL612" s="440">
        <v>0</v>
      </c>
      <c r="BM612" s="440">
        <v>0</v>
      </c>
      <c r="BN612" s="440">
        <v>0</v>
      </c>
      <c r="BO612" s="440">
        <v>0</v>
      </c>
      <c r="BP612" s="440">
        <v>0</v>
      </c>
      <c r="BQ612" s="440">
        <v>0</v>
      </c>
      <c r="BR612" s="415">
        <v>0</v>
      </c>
      <c r="BS612" s="415">
        <v>0</v>
      </c>
      <c r="BT612" s="935"/>
      <c r="BU612" s="935"/>
      <c r="BV612" s="935"/>
      <c r="BW612" s="935"/>
      <c r="BX612" s="935"/>
      <c r="BY612" s="935"/>
      <c r="BZ612" s="935"/>
      <c r="CA612" s="935"/>
      <c r="CB612" s="935"/>
      <c r="CC612" s="935"/>
      <c r="CD612" s="935"/>
      <c r="CE612" s="935"/>
      <c r="CF612" s="935"/>
      <c r="CG612" s="935"/>
      <c r="CH612" s="935"/>
      <c r="CI612" s="935"/>
      <c r="CJ612" s="935"/>
      <c r="CK612" s="935"/>
      <c r="CL612" s="935"/>
      <c r="CM612" s="935"/>
      <c r="CN612" s="935"/>
      <c r="CO612" s="935"/>
      <c r="CP612" s="935"/>
      <c r="CQ612" s="935"/>
      <c r="CR612" s="935"/>
      <c r="CS612" s="935"/>
      <c r="CT612" s="935"/>
      <c r="CU612" s="935"/>
      <c r="CV612" s="935"/>
    </row>
    <row r="613" spans="1:100" s="441" customFormat="1">
      <c r="A613" s="375">
        <f t="shared" si="177"/>
        <v>9</v>
      </c>
      <c r="B613" s="862">
        <v>44460</v>
      </c>
      <c r="C613" s="493" t="s">
        <v>2053</v>
      </c>
      <c r="D613" s="376" t="str">
        <f>IFERROR(VLOOKUP(E:E,'Item Data Support Sheet'!A:O,7,0),"")</f>
        <v>BOTTLE MOLDED</v>
      </c>
      <c r="E613" s="447" t="s">
        <v>68</v>
      </c>
      <c r="F613" s="500" t="s">
        <v>1664</v>
      </c>
      <c r="G613" s="497" t="s">
        <v>1665</v>
      </c>
      <c r="H613" s="602" t="str">
        <f>IFERROR(VLOOKUP(E:E,'Item Data Support Sheet'!A:O,2,0),"")</f>
        <v>RPP 240 ML BOTTLE MOLDED</v>
      </c>
      <c r="I613" s="501" t="s">
        <v>3241</v>
      </c>
      <c r="J613" s="501" t="s">
        <v>2826</v>
      </c>
      <c r="K613" s="438">
        <v>8</v>
      </c>
      <c r="L613" s="499">
        <v>2574</v>
      </c>
      <c r="M613" s="366">
        <f t="shared" si="192"/>
        <v>321.75</v>
      </c>
      <c r="N613" s="367">
        <f t="shared" si="176"/>
        <v>3302</v>
      </c>
      <c r="O613" s="61">
        <v>3240</v>
      </c>
      <c r="P613" s="368">
        <v>0.3</v>
      </c>
      <c r="Q613" s="368">
        <v>18</v>
      </c>
      <c r="R613" s="494">
        <v>0</v>
      </c>
      <c r="S613" s="493">
        <v>0</v>
      </c>
      <c r="T613" s="494">
        <v>36</v>
      </c>
      <c r="U613" s="493">
        <v>8</v>
      </c>
      <c r="V613" s="502">
        <v>1</v>
      </c>
      <c r="W613" s="453">
        <f t="shared" si="178"/>
        <v>3240</v>
      </c>
      <c r="X613" s="748">
        <f t="shared" si="179"/>
        <v>1.2587412587412588</v>
      </c>
      <c r="Y613" s="451" t="str">
        <f>IFERROR(VLOOKUP(E:E,'Item Data Support Sheet'!A:J,6,0),0)</f>
        <v>HMC</v>
      </c>
      <c r="Z613" s="428">
        <f>IFERROR(VLOOKUP(E:E,'Item Data Support Sheet'!A:O,4,0),0)</f>
        <v>32.1</v>
      </c>
      <c r="AA613" s="428">
        <f t="shared" si="180"/>
        <v>106.2942</v>
      </c>
      <c r="AB613" s="429">
        <f t="shared" si="181"/>
        <v>0.97845413954853611</v>
      </c>
      <c r="AC613" s="424">
        <f t="shared" si="182"/>
        <v>1.098901098901099E-2</v>
      </c>
      <c r="AD613" s="371">
        <f t="shared" si="183"/>
        <v>5.4216867469879517E-3</v>
      </c>
      <c r="AE613" s="748">
        <f t="shared" si="184"/>
        <v>0.98909751665657175</v>
      </c>
      <c r="AF613" s="417">
        <f t="shared" si="185"/>
        <v>0</v>
      </c>
      <c r="AG613" s="416">
        <f t="shared" si="186"/>
        <v>8</v>
      </c>
      <c r="AH613" s="372">
        <f t="shared" si="187"/>
        <v>1</v>
      </c>
      <c r="AI613" s="373">
        <f t="shared" si="188"/>
        <v>405</v>
      </c>
      <c r="AJ613" s="418">
        <f>VLOOKUP(D613,'Standard Cycle time'!C:D,2,0)</f>
        <v>9</v>
      </c>
      <c r="AK613" s="418">
        <f t="shared" si="189"/>
        <v>8.8888888888888893</v>
      </c>
      <c r="AL613" s="374">
        <f t="shared" si="190"/>
        <v>1.0125</v>
      </c>
      <c r="AM613" s="372">
        <f t="shared" si="191"/>
        <v>1.001461235614779</v>
      </c>
      <c r="AN613" s="799">
        <v>3433</v>
      </c>
      <c r="AO613" s="448"/>
      <c r="AP613" s="440">
        <v>0</v>
      </c>
      <c r="AQ613" s="440">
        <v>0</v>
      </c>
      <c r="AR613" s="440">
        <v>0</v>
      </c>
      <c r="AS613" s="440">
        <v>0</v>
      </c>
      <c r="AT613" s="440">
        <v>0</v>
      </c>
      <c r="AU613" s="440">
        <v>0</v>
      </c>
      <c r="AV613" s="440">
        <v>0</v>
      </c>
      <c r="AW613" s="440">
        <v>0</v>
      </c>
      <c r="AX613" s="440">
        <v>0</v>
      </c>
      <c r="AY613" s="440">
        <v>0</v>
      </c>
      <c r="AZ613" s="440">
        <v>0</v>
      </c>
      <c r="BA613" s="440">
        <v>0</v>
      </c>
      <c r="BB613" s="440">
        <v>0</v>
      </c>
      <c r="BC613" s="440">
        <v>0</v>
      </c>
      <c r="BD613" s="440">
        <v>0</v>
      </c>
      <c r="BE613" s="440">
        <v>0</v>
      </c>
      <c r="BF613" s="440">
        <v>0</v>
      </c>
      <c r="BG613" s="440">
        <v>0</v>
      </c>
      <c r="BH613" s="440">
        <v>0</v>
      </c>
      <c r="BI613" s="440">
        <v>0</v>
      </c>
      <c r="BJ613" s="440">
        <v>0</v>
      </c>
      <c r="BK613" s="440">
        <v>0</v>
      </c>
      <c r="BL613" s="440">
        <v>0</v>
      </c>
      <c r="BM613" s="440">
        <v>0</v>
      </c>
      <c r="BN613" s="440">
        <v>0</v>
      </c>
      <c r="BO613" s="440">
        <v>0</v>
      </c>
      <c r="BP613" s="440">
        <v>0</v>
      </c>
      <c r="BQ613" s="440">
        <v>0</v>
      </c>
      <c r="BR613" s="415">
        <v>0</v>
      </c>
      <c r="BS613" s="415">
        <v>0</v>
      </c>
      <c r="BT613" s="935"/>
      <c r="BU613" s="935"/>
      <c r="BV613" s="935"/>
      <c r="BW613" s="935"/>
      <c r="BX613" s="935"/>
      <c r="BY613" s="935"/>
      <c r="BZ613" s="935"/>
      <c r="CA613" s="935"/>
      <c r="CB613" s="935"/>
      <c r="CC613" s="935"/>
      <c r="CD613" s="935"/>
      <c r="CE613" s="935"/>
      <c r="CF613" s="935"/>
      <c r="CG613" s="935"/>
      <c r="CH613" s="935"/>
      <c r="CI613" s="935"/>
      <c r="CJ613" s="935"/>
      <c r="CK613" s="935"/>
      <c r="CL613" s="935"/>
      <c r="CM613" s="935"/>
      <c r="CN613" s="935"/>
      <c r="CO613" s="935"/>
      <c r="CP613" s="935"/>
      <c r="CQ613" s="935"/>
      <c r="CR613" s="935"/>
      <c r="CS613" s="935"/>
      <c r="CT613" s="935"/>
      <c r="CU613" s="935"/>
      <c r="CV613" s="935"/>
    </row>
    <row r="614" spans="1:100" s="441" customFormat="1">
      <c r="A614" s="375">
        <f t="shared" si="177"/>
        <v>9</v>
      </c>
      <c r="B614" s="862">
        <v>44460</v>
      </c>
      <c r="C614" s="493" t="s">
        <v>2053</v>
      </c>
      <c r="D614" s="376" t="str">
        <f>IFERROR(VLOOKUP(E:E,'Item Data Support Sheet'!A:O,7,0),"")</f>
        <v>NIPPLE MOLDED</v>
      </c>
      <c r="E614" s="447" t="s">
        <v>75</v>
      </c>
      <c r="F614" s="500" t="s">
        <v>1678</v>
      </c>
      <c r="G614" s="497" t="s">
        <v>1691</v>
      </c>
      <c r="H614" s="602" t="str">
        <f>IFERROR(VLOOKUP(E:E,'Item Data Support Sheet'!A:O,2,0),"")</f>
        <v>NIPPLE S TYPE Y SIZE INJECTION</v>
      </c>
      <c r="I614" s="501" t="s">
        <v>3242</v>
      </c>
      <c r="J614" s="501" t="s">
        <v>2826</v>
      </c>
      <c r="K614" s="438">
        <v>8</v>
      </c>
      <c r="L614" s="499">
        <v>4815</v>
      </c>
      <c r="M614" s="366">
        <f t="shared" si="192"/>
        <v>601.875</v>
      </c>
      <c r="N614" s="367">
        <f t="shared" si="176"/>
        <v>5304</v>
      </c>
      <c r="O614" s="61">
        <v>5200</v>
      </c>
      <c r="P614" s="368">
        <v>0</v>
      </c>
      <c r="Q614" s="368">
        <v>34</v>
      </c>
      <c r="R614" s="494">
        <v>0</v>
      </c>
      <c r="S614" s="493">
        <v>0</v>
      </c>
      <c r="T614" s="494">
        <v>62</v>
      </c>
      <c r="U614" s="493">
        <v>8</v>
      </c>
      <c r="V614" s="502">
        <v>1</v>
      </c>
      <c r="W614" s="453">
        <f t="shared" si="178"/>
        <v>5200</v>
      </c>
      <c r="X614" s="748">
        <f t="shared" si="179"/>
        <v>1.0799584631360333</v>
      </c>
      <c r="Y614" s="451" t="str">
        <f>IFERROR(VLOOKUP(E:E,'Item Data Support Sheet'!A:J,6,0),0)</f>
        <v>Silicon</v>
      </c>
      <c r="Z614" s="428">
        <f>IFERROR(VLOOKUP(E:E,'Item Data Support Sheet'!A:O,4,0),0)</f>
        <v>6.8</v>
      </c>
      <c r="AA614" s="428">
        <f t="shared" si="180"/>
        <v>36.0672</v>
      </c>
      <c r="AB614" s="429">
        <f t="shared" si="181"/>
        <v>0.98039215686274506</v>
      </c>
      <c r="AC614" s="424">
        <f t="shared" si="182"/>
        <v>1.178259217027746E-2</v>
      </c>
      <c r="AD614" s="371">
        <f t="shared" si="183"/>
        <v>6.369426751592357E-3</v>
      </c>
      <c r="AE614" s="748">
        <f t="shared" si="184"/>
        <v>0.98831070889894423</v>
      </c>
      <c r="AF614" s="417">
        <f t="shared" si="185"/>
        <v>0</v>
      </c>
      <c r="AG614" s="416">
        <f t="shared" si="186"/>
        <v>8</v>
      </c>
      <c r="AH614" s="372">
        <f t="shared" si="187"/>
        <v>1</v>
      </c>
      <c r="AI614" s="373">
        <f t="shared" si="188"/>
        <v>650</v>
      </c>
      <c r="AJ614" s="418">
        <f>VLOOKUP(D614,'Standard Cycle time'!C:D,2,0)</f>
        <v>5.25</v>
      </c>
      <c r="AK614" s="418">
        <f t="shared" si="189"/>
        <v>5.5384615384615383</v>
      </c>
      <c r="AL614" s="374">
        <f t="shared" si="190"/>
        <v>0.94791666666666674</v>
      </c>
      <c r="AM614" s="372">
        <f t="shared" si="191"/>
        <v>0.9368361928104576</v>
      </c>
      <c r="AN614" s="799">
        <v>3434</v>
      </c>
      <c r="AO614" s="448"/>
      <c r="AP614" s="440">
        <v>0</v>
      </c>
      <c r="AQ614" s="440">
        <v>0</v>
      </c>
      <c r="AR614" s="440">
        <v>0</v>
      </c>
      <c r="AS614" s="440">
        <v>0</v>
      </c>
      <c r="AT614" s="440">
        <v>0</v>
      </c>
      <c r="AU614" s="440">
        <v>0</v>
      </c>
      <c r="AV614" s="440">
        <v>0</v>
      </c>
      <c r="AW614" s="440">
        <v>0</v>
      </c>
      <c r="AX614" s="440">
        <v>0</v>
      </c>
      <c r="AY614" s="440">
        <v>0</v>
      </c>
      <c r="AZ614" s="440">
        <v>0</v>
      </c>
      <c r="BA614" s="440">
        <v>0</v>
      </c>
      <c r="BB614" s="440">
        <v>0</v>
      </c>
      <c r="BC614" s="440">
        <v>0</v>
      </c>
      <c r="BD614" s="440">
        <v>0</v>
      </c>
      <c r="BE614" s="440">
        <v>0</v>
      </c>
      <c r="BF614" s="440">
        <v>0</v>
      </c>
      <c r="BG614" s="440">
        <v>0</v>
      </c>
      <c r="BH614" s="440">
        <v>0</v>
      </c>
      <c r="BI614" s="440">
        <v>0</v>
      </c>
      <c r="BJ614" s="440">
        <v>0</v>
      </c>
      <c r="BK614" s="440">
        <v>0</v>
      </c>
      <c r="BL614" s="440">
        <v>0</v>
      </c>
      <c r="BM614" s="440">
        <v>0</v>
      </c>
      <c r="BN614" s="440">
        <v>0</v>
      </c>
      <c r="BO614" s="440">
        <v>0</v>
      </c>
      <c r="BP614" s="440">
        <v>0</v>
      </c>
      <c r="BQ614" s="440">
        <v>0</v>
      </c>
      <c r="BR614" s="415">
        <v>0</v>
      </c>
      <c r="BS614" s="415">
        <v>0</v>
      </c>
      <c r="BT614" s="935"/>
      <c r="BU614" s="935"/>
      <c r="BV614" s="935"/>
      <c r="BW614" s="935"/>
      <c r="BX614" s="935"/>
      <c r="BY614" s="935"/>
      <c r="BZ614" s="935"/>
      <c r="CA614" s="935"/>
      <c r="CB614" s="935"/>
      <c r="CC614" s="935"/>
      <c r="CD614" s="935"/>
      <c r="CE614" s="935"/>
      <c r="CF614" s="935"/>
      <c r="CG614" s="935"/>
      <c r="CH614" s="935"/>
      <c r="CI614" s="935"/>
      <c r="CJ614" s="935"/>
      <c r="CK614" s="935"/>
      <c r="CL614" s="935"/>
      <c r="CM614" s="935"/>
      <c r="CN614" s="935"/>
      <c r="CO614" s="935"/>
      <c r="CP614" s="935"/>
      <c r="CQ614" s="935"/>
      <c r="CR614" s="935"/>
      <c r="CS614" s="935"/>
      <c r="CT614" s="935"/>
      <c r="CU614" s="935"/>
      <c r="CV614" s="935"/>
    </row>
    <row r="615" spans="1:100" s="441" customFormat="1">
      <c r="A615" s="375">
        <f t="shared" si="177"/>
        <v>9</v>
      </c>
      <c r="B615" s="862">
        <v>44460</v>
      </c>
      <c r="C615" s="493" t="s">
        <v>2053</v>
      </c>
      <c r="D615" s="376" t="str">
        <f>IFERROR(VLOOKUP(E:E,'Item Data Support Sheet'!A:O,7,0),"")</f>
        <v>CAP MOLDED</v>
      </c>
      <c r="E615" s="447" t="s">
        <v>2107</v>
      </c>
      <c r="F615" s="500"/>
      <c r="G615" s="497" t="s">
        <v>3208</v>
      </c>
      <c r="H615" s="602" t="str">
        <f>IFERROR(VLOOKUP(E:E,'Item Data Support Sheet'!A:O,2,0),"")</f>
        <v>CAP S TYPE MOLDED PINK</v>
      </c>
      <c r="I615" s="501" t="s">
        <v>3243</v>
      </c>
      <c r="J615" s="501" t="s">
        <v>2826</v>
      </c>
      <c r="K615" s="438">
        <v>8</v>
      </c>
      <c r="L615" s="499">
        <v>4137</v>
      </c>
      <c r="M615" s="366">
        <f t="shared" si="192"/>
        <v>517.125</v>
      </c>
      <c r="N615" s="367">
        <f t="shared" si="176"/>
        <v>4213</v>
      </c>
      <c r="O615" s="61">
        <v>4200</v>
      </c>
      <c r="P615" s="368">
        <v>0</v>
      </c>
      <c r="Q615" s="368">
        <v>0</v>
      </c>
      <c r="R615" s="494">
        <v>0</v>
      </c>
      <c r="S615" s="493">
        <v>0</v>
      </c>
      <c r="T615" s="494">
        <v>5</v>
      </c>
      <c r="U615" s="493">
        <v>8</v>
      </c>
      <c r="V615" s="502">
        <v>1</v>
      </c>
      <c r="W615" s="453">
        <f t="shared" si="178"/>
        <v>4200</v>
      </c>
      <c r="X615" s="748">
        <f t="shared" si="179"/>
        <v>1.015228426395939</v>
      </c>
      <c r="Y615" s="451" t="str">
        <f>IFERROR(VLOOKUP(E:E,'Item Data Support Sheet'!A:J,6,0),0)</f>
        <v>RM000123</v>
      </c>
      <c r="Z615" s="428">
        <f>IFERROR(VLOOKUP(E:E,'Item Data Support Sheet'!A:O,4,0),0)</f>
        <v>7.3</v>
      </c>
      <c r="AA615" s="428">
        <f t="shared" si="180"/>
        <v>30.754899999999999</v>
      </c>
      <c r="AB615" s="429">
        <f t="shared" si="181"/>
        <v>0.9969143128412058</v>
      </c>
      <c r="AC615" s="424">
        <f t="shared" si="182"/>
        <v>1.1890606420927466E-3</v>
      </c>
      <c r="AD615" s="371">
        <f t="shared" si="183"/>
        <v>0</v>
      </c>
      <c r="AE615" s="748">
        <f t="shared" si="184"/>
        <v>0.99881319724661766</v>
      </c>
      <c r="AF615" s="417">
        <f t="shared" si="185"/>
        <v>0</v>
      </c>
      <c r="AG615" s="416">
        <f t="shared" si="186"/>
        <v>8</v>
      </c>
      <c r="AH615" s="372">
        <f t="shared" si="187"/>
        <v>1</v>
      </c>
      <c r="AI615" s="373">
        <f t="shared" si="188"/>
        <v>525</v>
      </c>
      <c r="AJ615" s="418">
        <f>VLOOKUP(D615,'Standard Cycle time'!C:D,2,0)</f>
        <v>6</v>
      </c>
      <c r="AK615" s="418">
        <f t="shared" si="189"/>
        <v>6.8571428571428568</v>
      </c>
      <c r="AL615" s="374">
        <f t="shared" si="190"/>
        <v>0.875</v>
      </c>
      <c r="AM615" s="372">
        <f t="shared" si="191"/>
        <v>0.87396154759079048</v>
      </c>
      <c r="AN615" s="799">
        <v>3485</v>
      </c>
      <c r="AO615" s="448"/>
      <c r="AP615" s="440">
        <v>0</v>
      </c>
      <c r="AQ615" s="440">
        <v>0</v>
      </c>
      <c r="AR615" s="440">
        <v>0</v>
      </c>
      <c r="AS615" s="440">
        <v>0</v>
      </c>
      <c r="AT615" s="440">
        <v>0</v>
      </c>
      <c r="AU615" s="440">
        <v>0</v>
      </c>
      <c r="AV615" s="440">
        <v>0</v>
      </c>
      <c r="AW615" s="440">
        <v>0</v>
      </c>
      <c r="AX615" s="440">
        <v>0</v>
      </c>
      <c r="AY615" s="440">
        <v>0</v>
      </c>
      <c r="AZ615" s="440">
        <v>0</v>
      </c>
      <c r="BA615" s="440">
        <v>0</v>
      </c>
      <c r="BB615" s="440">
        <v>0</v>
      </c>
      <c r="BC615" s="440">
        <v>0</v>
      </c>
      <c r="BD615" s="440">
        <v>0</v>
      </c>
      <c r="BE615" s="440">
        <v>0</v>
      </c>
      <c r="BF615" s="440">
        <v>0</v>
      </c>
      <c r="BG615" s="440">
        <v>0</v>
      </c>
      <c r="BH615" s="440">
        <v>0</v>
      </c>
      <c r="BI615" s="440">
        <v>0</v>
      </c>
      <c r="BJ615" s="440">
        <v>0</v>
      </c>
      <c r="BK615" s="440">
        <v>0</v>
      </c>
      <c r="BL615" s="440">
        <v>0</v>
      </c>
      <c r="BM615" s="440">
        <v>0</v>
      </c>
      <c r="BN615" s="440">
        <v>0</v>
      </c>
      <c r="BO615" s="440">
        <v>0</v>
      </c>
      <c r="BP615" s="440">
        <v>0</v>
      </c>
      <c r="BQ615" s="440">
        <v>0</v>
      </c>
      <c r="BR615" s="415">
        <v>0</v>
      </c>
      <c r="BS615" s="415">
        <v>0</v>
      </c>
      <c r="BT615" s="935"/>
      <c r="BU615" s="935"/>
      <c r="BV615" s="935"/>
      <c r="BW615" s="935"/>
      <c r="BX615" s="935"/>
      <c r="BY615" s="935"/>
      <c r="BZ615" s="935"/>
      <c r="CA615" s="935"/>
      <c r="CB615" s="935"/>
      <c r="CC615" s="935"/>
      <c r="CD615" s="935"/>
      <c r="CE615" s="935"/>
      <c r="CF615" s="935"/>
      <c r="CG615" s="935"/>
      <c r="CH615" s="935"/>
      <c r="CI615" s="935"/>
      <c r="CJ615" s="935"/>
      <c r="CK615" s="935"/>
      <c r="CL615" s="935"/>
      <c r="CM615" s="935"/>
      <c r="CN615" s="935"/>
      <c r="CO615" s="935"/>
      <c r="CP615" s="935"/>
      <c r="CQ615" s="935"/>
      <c r="CR615" s="935"/>
      <c r="CS615" s="935"/>
      <c r="CT615" s="935"/>
      <c r="CU615" s="935"/>
      <c r="CV615" s="935"/>
    </row>
    <row r="616" spans="1:100" s="441" customFormat="1">
      <c r="A616" s="375">
        <f t="shared" si="177"/>
        <v>9</v>
      </c>
      <c r="B616" s="862">
        <v>44461</v>
      </c>
      <c r="C616" s="493" t="s">
        <v>1980</v>
      </c>
      <c r="D616" s="376" t="str">
        <f>IFERROR(VLOOKUP(E:E,'Item Data Support Sheet'!A:O,7,0),"")</f>
        <v>BOTTLE MOLDED</v>
      </c>
      <c r="E616" s="447" t="s">
        <v>65</v>
      </c>
      <c r="F616" s="500" t="s">
        <v>1679</v>
      </c>
      <c r="G616" s="497" t="s">
        <v>1888</v>
      </c>
      <c r="H616" s="602" t="str">
        <f>IFERROR(VLOOKUP(E:E,'Item Data Support Sheet'!A:O,2,0),"")</f>
        <v>KPP 120 ML BOTTLE MOLDED</v>
      </c>
      <c r="I616" s="501" t="s">
        <v>3244</v>
      </c>
      <c r="J616" s="501" t="s">
        <v>2808</v>
      </c>
      <c r="K616" s="438">
        <v>8</v>
      </c>
      <c r="L616" s="499">
        <v>2574</v>
      </c>
      <c r="M616" s="366">
        <f t="shared" si="192"/>
        <v>321.75</v>
      </c>
      <c r="N616" s="367">
        <f t="shared" si="176"/>
        <v>3214</v>
      </c>
      <c r="O616" s="61">
        <v>3132</v>
      </c>
      <c r="P616" s="368">
        <v>0</v>
      </c>
      <c r="Q616" s="368">
        <v>24</v>
      </c>
      <c r="R616" s="494">
        <v>0</v>
      </c>
      <c r="S616" s="493">
        <v>0</v>
      </c>
      <c r="T616" s="494">
        <v>50</v>
      </c>
      <c r="U616" s="493">
        <v>8</v>
      </c>
      <c r="V616" s="502">
        <v>1</v>
      </c>
      <c r="W616" s="453">
        <f t="shared" si="178"/>
        <v>3132</v>
      </c>
      <c r="X616" s="748">
        <f t="shared" si="179"/>
        <v>1.2167832167832169</v>
      </c>
      <c r="Y616" s="451" t="str">
        <f>IFERROR(VLOOKUP(E:E,'Item Data Support Sheet'!A:J,6,0),0)</f>
        <v>HMC</v>
      </c>
      <c r="Z616" s="428">
        <f>IFERROR(VLOOKUP(E:E,'Item Data Support Sheet'!A:O,4,0),0)</f>
        <v>21.3</v>
      </c>
      <c r="AA616" s="428">
        <f t="shared" si="180"/>
        <v>68.458200000000005</v>
      </c>
      <c r="AB616" s="429">
        <f t="shared" si="181"/>
        <v>0.97448662103298067</v>
      </c>
      <c r="AC616" s="424">
        <f t="shared" si="182"/>
        <v>1.5713387806411062E-2</v>
      </c>
      <c r="AD616" s="371">
        <f t="shared" si="183"/>
        <v>7.4119827053736875E-3</v>
      </c>
      <c r="AE616" s="748">
        <f t="shared" si="184"/>
        <v>0.98444306160547601</v>
      </c>
      <c r="AF616" s="417">
        <f t="shared" si="185"/>
        <v>0</v>
      </c>
      <c r="AG616" s="416">
        <f t="shared" si="186"/>
        <v>8</v>
      </c>
      <c r="AH616" s="372">
        <f t="shared" si="187"/>
        <v>1</v>
      </c>
      <c r="AI616" s="373">
        <f t="shared" si="188"/>
        <v>391.5</v>
      </c>
      <c r="AJ616" s="418">
        <f>VLOOKUP(D616,'Standard Cycle time'!C:D,2,0)</f>
        <v>9</v>
      </c>
      <c r="AK616" s="418">
        <f t="shared" si="189"/>
        <v>9.1954022988505741</v>
      </c>
      <c r="AL616" s="374">
        <f t="shared" si="190"/>
        <v>0.97875000000000001</v>
      </c>
      <c r="AM616" s="372">
        <f t="shared" si="191"/>
        <v>0.96352364654635969</v>
      </c>
      <c r="AN616" s="799" t="s">
        <v>3245</v>
      </c>
      <c r="AO616" s="448"/>
      <c r="AP616" s="440">
        <v>0</v>
      </c>
      <c r="AQ616" s="440">
        <v>0</v>
      </c>
      <c r="AR616" s="440">
        <v>0</v>
      </c>
      <c r="AS616" s="440">
        <v>0</v>
      </c>
      <c r="AT616" s="440">
        <v>0</v>
      </c>
      <c r="AU616" s="440">
        <v>0</v>
      </c>
      <c r="AV616" s="440">
        <v>0</v>
      </c>
      <c r="AW616" s="440">
        <v>0</v>
      </c>
      <c r="AX616" s="440">
        <v>0</v>
      </c>
      <c r="AY616" s="440">
        <v>0</v>
      </c>
      <c r="AZ616" s="440">
        <v>0</v>
      </c>
      <c r="BA616" s="440">
        <v>0</v>
      </c>
      <c r="BB616" s="440">
        <v>0</v>
      </c>
      <c r="BC616" s="440">
        <v>0</v>
      </c>
      <c r="BD616" s="440">
        <v>0</v>
      </c>
      <c r="BE616" s="440">
        <v>0</v>
      </c>
      <c r="BF616" s="440">
        <v>0</v>
      </c>
      <c r="BG616" s="440">
        <v>0</v>
      </c>
      <c r="BH616" s="440">
        <v>0</v>
      </c>
      <c r="BI616" s="440">
        <v>0</v>
      </c>
      <c r="BJ616" s="440">
        <v>0</v>
      </c>
      <c r="BK616" s="440">
        <v>0</v>
      </c>
      <c r="BL616" s="440">
        <v>0</v>
      </c>
      <c r="BM616" s="440">
        <v>0</v>
      </c>
      <c r="BN616" s="440">
        <v>0</v>
      </c>
      <c r="BO616" s="440">
        <v>0</v>
      </c>
      <c r="BP616" s="440">
        <v>0</v>
      </c>
      <c r="BQ616" s="440">
        <v>0</v>
      </c>
      <c r="BR616" s="415">
        <v>0</v>
      </c>
      <c r="BS616" s="415">
        <v>0</v>
      </c>
      <c r="BT616" s="935"/>
      <c r="BU616" s="935"/>
      <c r="BV616" s="935"/>
      <c r="BW616" s="935"/>
      <c r="BX616" s="935"/>
      <c r="BY616" s="935"/>
      <c r="BZ616" s="935"/>
      <c r="CA616" s="935"/>
      <c r="CB616" s="935"/>
      <c r="CC616" s="935"/>
      <c r="CD616" s="935"/>
      <c r="CE616" s="935"/>
      <c r="CF616" s="935"/>
      <c r="CG616" s="935"/>
      <c r="CH616" s="935"/>
      <c r="CI616" s="935"/>
      <c r="CJ616" s="935"/>
      <c r="CK616" s="935"/>
      <c r="CL616" s="935"/>
      <c r="CM616" s="935"/>
      <c r="CN616" s="935"/>
      <c r="CO616" s="935"/>
      <c r="CP616" s="935"/>
      <c r="CQ616" s="935"/>
      <c r="CR616" s="935"/>
      <c r="CS616" s="935"/>
      <c r="CT616" s="935"/>
      <c r="CU616" s="935"/>
      <c r="CV616" s="935"/>
    </row>
    <row r="617" spans="1:100" s="441" customFormat="1">
      <c r="A617" s="375">
        <f t="shared" si="177"/>
        <v>9</v>
      </c>
      <c r="B617" s="862">
        <v>44461</v>
      </c>
      <c r="C617" s="493" t="s">
        <v>1980</v>
      </c>
      <c r="D617" s="376" t="str">
        <f>IFERROR(VLOOKUP(E:E,'Item Data Support Sheet'!A:O,7,0),"")</f>
        <v>NIPPLE MOLDED</v>
      </c>
      <c r="E617" s="447" t="s">
        <v>75</v>
      </c>
      <c r="F617" s="500" t="s">
        <v>1678</v>
      </c>
      <c r="G617" s="497" t="s">
        <v>1691</v>
      </c>
      <c r="H617" s="602" t="str">
        <f>IFERROR(VLOOKUP(E:E,'Item Data Support Sheet'!A:O,2,0),"")</f>
        <v>NIPPLE S TYPE Y SIZE INJECTION</v>
      </c>
      <c r="I617" s="501" t="s">
        <v>3246</v>
      </c>
      <c r="J617" s="501" t="s">
        <v>2808</v>
      </c>
      <c r="K617" s="438">
        <v>8</v>
      </c>
      <c r="L617" s="499">
        <v>4815</v>
      </c>
      <c r="M617" s="366">
        <f t="shared" si="192"/>
        <v>601.875</v>
      </c>
      <c r="N617" s="367">
        <f t="shared" si="176"/>
        <v>5288</v>
      </c>
      <c r="O617" s="61">
        <v>5200</v>
      </c>
      <c r="P617" s="368">
        <v>0</v>
      </c>
      <c r="Q617" s="368">
        <v>28</v>
      </c>
      <c r="R617" s="494">
        <v>0</v>
      </c>
      <c r="S617" s="493">
        <v>0</v>
      </c>
      <c r="T617" s="494">
        <v>52</v>
      </c>
      <c r="U617" s="493">
        <v>8</v>
      </c>
      <c r="V617" s="502">
        <v>1</v>
      </c>
      <c r="W617" s="453">
        <f t="shared" si="178"/>
        <v>5200</v>
      </c>
      <c r="X617" s="748">
        <f t="shared" si="179"/>
        <v>1.0799584631360333</v>
      </c>
      <c r="Y617" s="451" t="str">
        <f>IFERROR(VLOOKUP(E:E,'Item Data Support Sheet'!A:J,6,0),0)</f>
        <v>Silicon</v>
      </c>
      <c r="Z617" s="428">
        <f>IFERROR(VLOOKUP(E:E,'Item Data Support Sheet'!A:O,4,0),0)</f>
        <v>6.8</v>
      </c>
      <c r="AA617" s="428">
        <f t="shared" si="180"/>
        <v>35.958399999999997</v>
      </c>
      <c r="AB617" s="429">
        <f t="shared" si="181"/>
        <v>0.98335854765506814</v>
      </c>
      <c r="AC617" s="424">
        <f t="shared" si="182"/>
        <v>9.9009900990099011E-3</v>
      </c>
      <c r="AD617" s="371">
        <f t="shared" si="183"/>
        <v>5.2671181339352894E-3</v>
      </c>
      <c r="AE617" s="748">
        <f t="shared" si="184"/>
        <v>0.99016641452344933</v>
      </c>
      <c r="AF617" s="417">
        <f t="shared" si="185"/>
        <v>0</v>
      </c>
      <c r="AG617" s="416">
        <f t="shared" si="186"/>
        <v>8</v>
      </c>
      <c r="AH617" s="372">
        <f t="shared" si="187"/>
        <v>1</v>
      </c>
      <c r="AI617" s="373">
        <f t="shared" si="188"/>
        <v>650</v>
      </c>
      <c r="AJ617" s="418">
        <f>VLOOKUP(D617,'Standard Cycle time'!C:D,2,0)</f>
        <v>5.25</v>
      </c>
      <c r="AK617" s="418">
        <f t="shared" si="189"/>
        <v>5.5384615384615383</v>
      </c>
      <c r="AL617" s="374">
        <f t="shared" si="190"/>
        <v>0.94791666666666674</v>
      </c>
      <c r="AM617" s="372">
        <f t="shared" si="191"/>
        <v>0.93859524710035314</v>
      </c>
      <c r="AN617" s="799" t="s">
        <v>3247</v>
      </c>
      <c r="AO617" s="448"/>
      <c r="AP617" s="440">
        <v>0</v>
      </c>
      <c r="AQ617" s="440">
        <v>0</v>
      </c>
      <c r="AR617" s="440">
        <v>0</v>
      </c>
      <c r="AS617" s="440">
        <v>0</v>
      </c>
      <c r="AT617" s="440">
        <v>0</v>
      </c>
      <c r="AU617" s="440">
        <v>0</v>
      </c>
      <c r="AV617" s="440">
        <v>0</v>
      </c>
      <c r="AW617" s="440">
        <v>0</v>
      </c>
      <c r="AX617" s="440">
        <v>0</v>
      </c>
      <c r="AY617" s="440">
        <v>0</v>
      </c>
      <c r="AZ617" s="440">
        <v>0</v>
      </c>
      <c r="BA617" s="440">
        <v>0</v>
      </c>
      <c r="BB617" s="440">
        <v>0</v>
      </c>
      <c r="BC617" s="440">
        <v>0</v>
      </c>
      <c r="BD617" s="440">
        <v>0</v>
      </c>
      <c r="BE617" s="440">
        <v>0</v>
      </c>
      <c r="BF617" s="440">
        <v>0</v>
      </c>
      <c r="BG617" s="440">
        <v>0</v>
      </c>
      <c r="BH617" s="440">
        <v>0</v>
      </c>
      <c r="BI617" s="440">
        <v>0</v>
      </c>
      <c r="BJ617" s="440">
        <v>0</v>
      </c>
      <c r="BK617" s="440">
        <v>0</v>
      </c>
      <c r="BL617" s="440">
        <v>0</v>
      </c>
      <c r="BM617" s="440">
        <v>0</v>
      </c>
      <c r="BN617" s="440">
        <v>0</v>
      </c>
      <c r="BO617" s="440">
        <v>0</v>
      </c>
      <c r="BP617" s="440">
        <v>0</v>
      </c>
      <c r="BQ617" s="440">
        <v>0</v>
      </c>
      <c r="BR617" s="415">
        <v>0</v>
      </c>
      <c r="BS617" s="415">
        <v>0</v>
      </c>
      <c r="BT617" s="935"/>
      <c r="BU617" s="935"/>
      <c r="BV617" s="935"/>
      <c r="BW617" s="935"/>
      <c r="BX617" s="935"/>
      <c r="BY617" s="935"/>
      <c r="BZ617" s="935"/>
      <c r="CA617" s="935"/>
      <c r="CB617" s="935"/>
      <c r="CC617" s="935"/>
      <c r="CD617" s="935"/>
      <c r="CE617" s="935"/>
      <c r="CF617" s="935"/>
      <c r="CG617" s="935"/>
      <c r="CH617" s="935"/>
      <c r="CI617" s="935"/>
      <c r="CJ617" s="935"/>
      <c r="CK617" s="935"/>
      <c r="CL617" s="935"/>
      <c r="CM617" s="935"/>
      <c r="CN617" s="935"/>
      <c r="CO617" s="935"/>
      <c r="CP617" s="935"/>
      <c r="CQ617" s="935"/>
      <c r="CR617" s="935"/>
      <c r="CS617" s="935"/>
      <c r="CT617" s="935"/>
      <c r="CU617" s="935"/>
      <c r="CV617" s="935"/>
    </row>
    <row r="618" spans="1:100" s="441" customFormat="1">
      <c r="A618" s="375">
        <f t="shared" si="177"/>
        <v>9</v>
      </c>
      <c r="B618" s="862">
        <v>44461</v>
      </c>
      <c r="C618" s="493" t="s">
        <v>1980</v>
      </c>
      <c r="D618" s="376" t="str">
        <f>IFERROR(VLOOKUP(E:E,'Item Data Support Sheet'!A:O,7,0),"")</f>
        <v>CAP MOLDED</v>
      </c>
      <c r="E618" s="447" t="s">
        <v>2107</v>
      </c>
      <c r="F618" s="500"/>
      <c r="G618" s="497" t="s">
        <v>3208</v>
      </c>
      <c r="H618" s="602" t="str">
        <f>IFERROR(VLOOKUP(E:E,'Item Data Support Sheet'!A:O,2,0),"")</f>
        <v>CAP S TYPE MOLDED PINK</v>
      </c>
      <c r="I618" s="501" t="s">
        <v>3248</v>
      </c>
      <c r="J618" s="501" t="s">
        <v>2808</v>
      </c>
      <c r="K618" s="438">
        <v>3</v>
      </c>
      <c r="L618" s="499">
        <v>1337</v>
      </c>
      <c r="M618" s="366">
        <f t="shared" si="192"/>
        <v>445.66666666666669</v>
      </c>
      <c r="N618" s="367">
        <f t="shared" si="176"/>
        <v>1230</v>
      </c>
      <c r="O618" s="61">
        <v>1230</v>
      </c>
      <c r="P618" s="368">
        <v>0</v>
      </c>
      <c r="Q618" s="368">
        <v>0</v>
      </c>
      <c r="R618" s="494">
        <v>0</v>
      </c>
      <c r="S618" s="493">
        <v>0</v>
      </c>
      <c r="T618" s="494">
        <v>0</v>
      </c>
      <c r="U618" s="493">
        <v>0</v>
      </c>
      <c r="V618" s="502">
        <v>1</v>
      </c>
      <c r="W618" s="453">
        <f t="shared" si="178"/>
        <v>1230</v>
      </c>
      <c r="X618" s="748">
        <f t="shared" si="179"/>
        <v>0.91997008227374721</v>
      </c>
      <c r="Y618" s="451" t="str">
        <f>IFERROR(VLOOKUP(E:E,'Item Data Support Sheet'!A:J,6,0),0)</f>
        <v>RM000123</v>
      </c>
      <c r="Z618" s="428">
        <f>IFERROR(VLOOKUP(E:E,'Item Data Support Sheet'!A:O,4,0),0)</f>
        <v>7.3</v>
      </c>
      <c r="AA618" s="428">
        <f t="shared" si="180"/>
        <v>8.9789999999999992</v>
      </c>
      <c r="AB618" s="429">
        <f t="shared" si="181"/>
        <v>1</v>
      </c>
      <c r="AC618" s="424">
        <f t="shared" si="182"/>
        <v>0</v>
      </c>
      <c r="AD618" s="371">
        <f t="shared" si="183"/>
        <v>0</v>
      </c>
      <c r="AE618" s="748">
        <f t="shared" si="184"/>
        <v>1</v>
      </c>
      <c r="AF618" s="417">
        <f t="shared" si="185"/>
        <v>0.75</v>
      </c>
      <c r="AG618" s="416">
        <f t="shared" si="186"/>
        <v>2.25</v>
      </c>
      <c r="AH618" s="372">
        <f t="shared" si="187"/>
        <v>0.75</v>
      </c>
      <c r="AI618" s="373">
        <f t="shared" si="188"/>
        <v>410</v>
      </c>
      <c r="AJ618" s="418">
        <f>VLOOKUP(D618,'Standard Cycle time'!C:D,2,0)</f>
        <v>6</v>
      </c>
      <c r="AK618" s="418">
        <f t="shared" si="189"/>
        <v>6.5853658536585362</v>
      </c>
      <c r="AL618" s="374">
        <f t="shared" si="190"/>
        <v>0.9111111111111112</v>
      </c>
      <c r="AM618" s="372">
        <f t="shared" si="191"/>
        <v>0.68333333333333335</v>
      </c>
      <c r="AN618" s="799">
        <v>3464</v>
      </c>
      <c r="AO618" s="448"/>
      <c r="AP618" s="440">
        <v>0</v>
      </c>
      <c r="AQ618" s="440">
        <v>0</v>
      </c>
      <c r="AR618" s="440">
        <v>0</v>
      </c>
      <c r="AS618" s="440">
        <v>0</v>
      </c>
      <c r="AT618" s="440">
        <v>0</v>
      </c>
      <c r="AU618" s="440">
        <v>0</v>
      </c>
      <c r="AV618" s="440">
        <v>0</v>
      </c>
      <c r="AW618" s="440">
        <v>0</v>
      </c>
      <c r="AX618" s="440">
        <v>0</v>
      </c>
      <c r="AY618" s="440">
        <v>0</v>
      </c>
      <c r="AZ618" s="440">
        <v>0</v>
      </c>
      <c r="BA618" s="440">
        <v>0</v>
      </c>
      <c r="BB618" s="440">
        <v>0</v>
      </c>
      <c r="BC618" s="440">
        <v>0</v>
      </c>
      <c r="BD618" s="440">
        <v>0</v>
      </c>
      <c r="BE618" s="440">
        <v>0</v>
      </c>
      <c r="BF618" s="440">
        <v>0</v>
      </c>
      <c r="BG618" s="440">
        <v>0</v>
      </c>
      <c r="BH618" s="440">
        <v>0</v>
      </c>
      <c r="BI618" s="440">
        <v>0</v>
      </c>
      <c r="BJ618" s="440">
        <v>0</v>
      </c>
      <c r="BK618" s="440">
        <v>0</v>
      </c>
      <c r="BL618" s="440">
        <v>0</v>
      </c>
      <c r="BM618" s="440">
        <v>45</v>
      </c>
      <c r="BN618" s="440">
        <v>0</v>
      </c>
      <c r="BO618" s="440">
        <v>0</v>
      </c>
      <c r="BP618" s="440">
        <v>0</v>
      </c>
      <c r="BQ618" s="440">
        <v>0</v>
      </c>
      <c r="BR618" s="415">
        <v>0.75</v>
      </c>
      <c r="BS618" s="415">
        <v>0.76249999999999996</v>
      </c>
      <c r="BT618" s="935"/>
      <c r="BU618" s="935"/>
      <c r="BV618" s="935"/>
      <c r="BW618" s="935"/>
      <c r="BX618" s="935"/>
      <c r="BY618" s="935"/>
      <c r="BZ618" s="935"/>
      <c r="CA618" s="935"/>
      <c r="CB618" s="935"/>
      <c r="CC618" s="935"/>
      <c r="CD618" s="935"/>
      <c r="CE618" s="935"/>
      <c r="CF618" s="935"/>
      <c r="CG618" s="935"/>
      <c r="CH618" s="935"/>
      <c r="CI618" s="935"/>
      <c r="CJ618" s="935"/>
      <c r="CK618" s="935"/>
      <c r="CL618" s="935"/>
      <c r="CM618" s="935"/>
      <c r="CN618" s="935"/>
      <c r="CO618" s="935"/>
      <c r="CP618" s="935"/>
      <c r="CQ618" s="935"/>
      <c r="CR618" s="935"/>
      <c r="CS618" s="935"/>
      <c r="CT618" s="935"/>
      <c r="CU618" s="935"/>
      <c r="CV618" s="935"/>
    </row>
    <row r="619" spans="1:100" s="441" customFormat="1">
      <c r="A619" s="375">
        <f t="shared" si="177"/>
        <v>9</v>
      </c>
      <c r="B619" s="862">
        <v>44461</v>
      </c>
      <c r="C619" s="493" t="s">
        <v>1980</v>
      </c>
      <c r="D619" s="376" t="str">
        <f>IFERROR(VLOOKUP(E:E,'Item Data Support Sheet'!A:O,7,0),"")</f>
        <v>CAP MOLDED</v>
      </c>
      <c r="E619" s="447" t="s">
        <v>2107</v>
      </c>
      <c r="F619" s="500"/>
      <c r="G619" s="497" t="s">
        <v>3212</v>
      </c>
      <c r="H619" s="602" t="str">
        <f>IFERROR(VLOOKUP(E:E,'Item Data Support Sheet'!A:O,2,0),"")</f>
        <v>CAP S TYPE MOLDED PINK</v>
      </c>
      <c r="I619" s="501" t="s">
        <v>3249</v>
      </c>
      <c r="J619" s="501" t="s">
        <v>2808</v>
      </c>
      <c r="K619" s="438">
        <v>5</v>
      </c>
      <c r="L619" s="499">
        <v>2800</v>
      </c>
      <c r="M619" s="366">
        <f t="shared" si="192"/>
        <v>560</v>
      </c>
      <c r="N619" s="367">
        <f t="shared" si="176"/>
        <v>2812</v>
      </c>
      <c r="O619" s="61">
        <v>2800</v>
      </c>
      <c r="P619" s="368">
        <v>0</v>
      </c>
      <c r="Q619" s="368">
        <v>0</v>
      </c>
      <c r="R619" s="494">
        <v>0</v>
      </c>
      <c r="S619" s="493">
        <v>0</v>
      </c>
      <c r="T619" s="494">
        <v>4</v>
      </c>
      <c r="U619" s="493">
        <v>8</v>
      </c>
      <c r="V619" s="502">
        <v>1</v>
      </c>
      <c r="W619" s="453">
        <f t="shared" si="178"/>
        <v>2800</v>
      </c>
      <c r="X619" s="748">
        <f t="shared" si="179"/>
        <v>1</v>
      </c>
      <c r="Y619" s="451" t="str">
        <f>IFERROR(VLOOKUP(E:E,'Item Data Support Sheet'!A:J,6,0),0)</f>
        <v>RM000123</v>
      </c>
      <c r="Z619" s="428">
        <f>IFERROR(VLOOKUP(E:E,'Item Data Support Sheet'!A:O,4,0),0)</f>
        <v>7.3</v>
      </c>
      <c r="AA619" s="428">
        <f t="shared" si="180"/>
        <v>20.5276</v>
      </c>
      <c r="AB619" s="429">
        <f t="shared" si="181"/>
        <v>0.99573257467994314</v>
      </c>
      <c r="AC619" s="424">
        <f t="shared" si="182"/>
        <v>1.4265335235378032E-3</v>
      </c>
      <c r="AD619" s="371">
        <f t="shared" si="183"/>
        <v>0</v>
      </c>
      <c r="AE619" s="748">
        <f t="shared" si="184"/>
        <v>0.99857752489331442</v>
      </c>
      <c r="AF619" s="417">
        <f t="shared" si="185"/>
        <v>0</v>
      </c>
      <c r="AG619" s="416">
        <f t="shared" si="186"/>
        <v>5</v>
      </c>
      <c r="AH619" s="372">
        <f t="shared" si="187"/>
        <v>1</v>
      </c>
      <c r="AI619" s="373">
        <f t="shared" si="188"/>
        <v>560</v>
      </c>
      <c r="AJ619" s="418">
        <f>VLOOKUP(D619,'Standard Cycle time'!C:D,2,0)</f>
        <v>6</v>
      </c>
      <c r="AK619" s="418">
        <f t="shared" si="189"/>
        <v>6.4285714285714288</v>
      </c>
      <c r="AL619" s="374">
        <f t="shared" si="190"/>
        <v>0.93333333333333335</v>
      </c>
      <c r="AM619" s="372">
        <f t="shared" si="191"/>
        <v>0.93200568990042676</v>
      </c>
      <c r="AN619" s="799" t="s">
        <v>3250</v>
      </c>
      <c r="AO619" s="448"/>
      <c r="AP619" s="440">
        <v>0</v>
      </c>
      <c r="AQ619" s="440">
        <v>0</v>
      </c>
      <c r="AR619" s="440">
        <v>0</v>
      </c>
      <c r="AS619" s="440">
        <v>0</v>
      </c>
      <c r="AT619" s="440">
        <v>0</v>
      </c>
      <c r="AU619" s="440">
        <v>0</v>
      </c>
      <c r="AV619" s="440">
        <v>0</v>
      </c>
      <c r="AW619" s="440">
        <v>0</v>
      </c>
      <c r="AX619" s="440">
        <v>0</v>
      </c>
      <c r="AY619" s="440">
        <v>0</v>
      </c>
      <c r="AZ619" s="440">
        <v>0</v>
      </c>
      <c r="BA619" s="440">
        <v>0</v>
      </c>
      <c r="BB619" s="440">
        <v>0</v>
      </c>
      <c r="BC619" s="440">
        <v>0</v>
      </c>
      <c r="BD619" s="440">
        <v>0</v>
      </c>
      <c r="BE619" s="440">
        <v>0</v>
      </c>
      <c r="BF619" s="440">
        <v>0</v>
      </c>
      <c r="BG619" s="440">
        <v>0</v>
      </c>
      <c r="BH619" s="440">
        <v>0</v>
      </c>
      <c r="BI619" s="440">
        <v>0</v>
      </c>
      <c r="BJ619" s="440">
        <v>0</v>
      </c>
      <c r="BK619" s="440">
        <v>0</v>
      </c>
      <c r="BL619" s="440">
        <v>0</v>
      </c>
      <c r="BM619" s="440">
        <v>0</v>
      </c>
      <c r="BN619" s="440">
        <v>0</v>
      </c>
      <c r="BO619" s="440">
        <v>0</v>
      </c>
      <c r="BP619" s="440">
        <v>0</v>
      </c>
      <c r="BQ619" s="440">
        <v>0</v>
      </c>
      <c r="BR619" s="415">
        <v>0</v>
      </c>
      <c r="BS619" s="415">
        <v>0</v>
      </c>
      <c r="BT619" s="935"/>
      <c r="BU619" s="935"/>
      <c r="BV619" s="935"/>
      <c r="BW619" s="935"/>
      <c r="BX619" s="935"/>
      <c r="BY619" s="935"/>
      <c r="BZ619" s="935"/>
      <c r="CA619" s="935"/>
      <c r="CB619" s="935"/>
      <c r="CC619" s="935"/>
      <c r="CD619" s="935"/>
      <c r="CE619" s="935"/>
      <c r="CF619" s="935"/>
      <c r="CG619" s="935"/>
      <c r="CH619" s="935"/>
      <c r="CI619" s="935"/>
      <c r="CJ619" s="935"/>
      <c r="CK619" s="935"/>
      <c r="CL619" s="935"/>
      <c r="CM619" s="935"/>
      <c r="CN619" s="935"/>
      <c r="CO619" s="935"/>
      <c r="CP619" s="935"/>
      <c r="CQ619" s="935"/>
      <c r="CR619" s="935"/>
      <c r="CS619" s="935"/>
      <c r="CT619" s="935"/>
      <c r="CU619" s="935"/>
      <c r="CV619" s="935"/>
    </row>
    <row r="620" spans="1:100" s="441" customFormat="1">
      <c r="A620" s="375">
        <f t="shared" si="177"/>
        <v>9</v>
      </c>
      <c r="B620" s="862">
        <v>44461</v>
      </c>
      <c r="C620" s="493" t="s">
        <v>1980</v>
      </c>
      <c r="D620" s="376" t="str">
        <f>IFERROR(VLOOKUP(E:E,'Item Data Support Sheet'!A:O,7,0),"")</f>
        <v>NIPPLE LASER MARKING</v>
      </c>
      <c r="E620" s="447" t="s">
        <v>1816</v>
      </c>
      <c r="F620" s="500"/>
      <c r="G620" s="497" t="s">
        <v>1812</v>
      </c>
      <c r="H620" s="602" t="str">
        <f>IFERROR(VLOOKUP(E:E,'Item Data Support Sheet'!A:O,2,0),"")</f>
        <v>NIPPLE S TYPE L SIZE PUNCHED LASER MARKED</v>
      </c>
      <c r="I620" s="501" t="s">
        <v>3251</v>
      </c>
      <c r="J620" s="501" t="s">
        <v>2808</v>
      </c>
      <c r="K620" s="438">
        <v>8</v>
      </c>
      <c r="L620" s="499">
        <v>7000</v>
      </c>
      <c r="M620" s="366">
        <f t="shared" si="192"/>
        <v>875</v>
      </c>
      <c r="N620" s="367">
        <f t="shared" si="176"/>
        <v>7300</v>
      </c>
      <c r="O620" s="61">
        <v>7300</v>
      </c>
      <c r="P620" s="368">
        <v>0</v>
      </c>
      <c r="Q620" s="368">
        <v>0</v>
      </c>
      <c r="R620" s="494">
        <v>0</v>
      </c>
      <c r="S620" s="493">
        <v>0</v>
      </c>
      <c r="T620" s="494">
        <v>0</v>
      </c>
      <c r="U620" s="493">
        <v>0</v>
      </c>
      <c r="V620" s="502">
        <v>1</v>
      </c>
      <c r="W620" s="453">
        <f t="shared" si="178"/>
        <v>7300</v>
      </c>
      <c r="X620" s="748">
        <f t="shared" si="179"/>
        <v>1.0428571428571429</v>
      </c>
      <c r="Y620" s="451" t="str">
        <f>IFERROR(VLOOKUP(E:E,'Item Data Support Sheet'!A:J,6,0),0)</f>
        <v>FO021</v>
      </c>
      <c r="Z620" s="428">
        <f>IFERROR(VLOOKUP(E:E,'Item Data Support Sheet'!A:O,4,0),0)</f>
        <v>0</v>
      </c>
      <c r="AA620" s="428">
        <f t="shared" si="180"/>
        <v>0</v>
      </c>
      <c r="AB620" s="429" t="str">
        <f t="shared" si="181"/>
        <v xml:space="preserve"> </v>
      </c>
      <c r="AC620" s="424">
        <f t="shared" si="182"/>
        <v>0</v>
      </c>
      <c r="AD620" s="371">
        <f t="shared" si="183"/>
        <v>0</v>
      </c>
      <c r="AE620" s="748">
        <f t="shared" si="184"/>
        <v>1</v>
      </c>
      <c r="AF620" s="417">
        <f t="shared" si="185"/>
        <v>0.66666666666666663</v>
      </c>
      <c r="AG620" s="416">
        <f t="shared" si="186"/>
        <v>7.333333333333333</v>
      </c>
      <c r="AH620" s="372">
        <f t="shared" si="187"/>
        <v>0.91666666666666663</v>
      </c>
      <c r="AI620" s="373">
        <f t="shared" si="188"/>
        <v>912.5</v>
      </c>
      <c r="AJ620" s="418">
        <f>VLOOKUP(D620,'Standard Cycle time'!C:D,2,0)</f>
        <v>3.5</v>
      </c>
      <c r="AK620" s="418">
        <f t="shared" si="189"/>
        <v>3.6164383561643834</v>
      </c>
      <c r="AL620" s="374">
        <f t="shared" si="190"/>
        <v>0.96780303030303039</v>
      </c>
      <c r="AM620" s="372">
        <f t="shared" si="191"/>
        <v>0.88715277777777779</v>
      </c>
      <c r="AN620" s="799" t="s">
        <v>3252</v>
      </c>
      <c r="AO620" s="448"/>
      <c r="AP620" s="440">
        <v>40</v>
      </c>
      <c r="AQ620" s="440">
        <v>0</v>
      </c>
      <c r="AR620" s="440">
        <v>0</v>
      </c>
      <c r="AS620" s="440">
        <v>0</v>
      </c>
      <c r="AT620" s="440">
        <v>0</v>
      </c>
      <c r="AU620" s="440">
        <v>0</v>
      </c>
      <c r="AV620" s="440">
        <v>0</v>
      </c>
      <c r="AW620" s="440">
        <v>0</v>
      </c>
      <c r="AX620" s="440">
        <v>0</v>
      </c>
      <c r="AY620" s="440">
        <v>0</v>
      </c>
      <c r="AZ620" s="440">
        <v>0</v>
      </c>
      <c r="BA620" s="440">
        <v>0</v>
      </c>
      <c r="BB620" s="440">
        <v>0</v>
      </c>
      <c r="BC620" s="440">
        <v>0</v>
      </c>
      <c r="BD620" s="440">
        <v>0</v>
      </c>
      <c r="BE620" s="440">
        <v>0</v>
      </c>
      <c r="BF620" s="440">
        <v>0</v>
      </c>
      <c r="BG620" s="440">
        <v>0</v>
      </c>
      <c r="BH620" s="440">
        <v>0</v>
      </c>
      <c r="BI620" s="440">
        <v>0</v>
      </c>
      <c r="BJ620" s="440">
        <v>0</v>
      </c>
      <c r="BK620" s="440">
        <v>0</v>
      </c>
      <c r="BL620" s="440">
        <v>0</v>
      </c>
      <c r="BM620" s="440">
        <v>0</v>
      </c>
      <c r="BN620" s="440">
        <v>0</v>
      </c>
      <c r="BO620" s="440">
        <v>0</v>
      </c>
      <c r="BP620" s="440">
        <v>0</v>
      </c>
      <c r="BQ620" s="440">
        <v>0</v>
      </c>
      <c r="BR620" s="415">
        <v>0.66666666666666663</v>
      </c>
      <c r="BS620" s="415">
        <v>0.6777777777777777</v>
      </c>
      <c r="BT620" s="935"/>
      <c r="BU620" s="935"/>
      <c r="BV620" s="935"/>
      <c r="BW620" s="935"/>
      <c r="BX620" s="935"/>
      <c r="BY620" s="935"/>
      <c r="BZ620" s="935"/>
      <c r="CA620" s="935"/>
      <c r="CB620" s="935"/>
      <c r="CC620" s="935"/>
      <c r="CD620" s="935"/>
      <c r="CE620" s="935"/>
      <c r="CF620" s="935"/>
      <c r="CG620" s="935"/>
      <c r="CH620" s="935"/>
      <c r="CI620" s="935"/>
      <c r="CJ620" s="935"/>
      <c r="CK620" s="935"/>
      <c r="CL620" s="935"/>
      <c r="CM620" s="935"/>
      <c r="CN620" s="935"/>
      <c r="CO620" s="935"/>
      <c r="CP620" s="935"/>
      <c r="CQ620" s="935"/>
      <c r="CR620" s="935"/>
      <c r="CS620" s="935"/>
      <c r="CT620" s="935"/>
      <c r="CU620" s="935"/>
      <c r="CV620" s="935"/>
    </row>
    <row r="621" spans="1:100" s="441" customFormat="1">
      <c r="A621" s="375">
        <f t="shared" si="177"/>
        <v>9</v>
      </c>
      <c r="B621" s="862">
        <v>44461</v>
      </c>
      <c r="C621" s="493" t="s">
        <v>1980</v>
      </c>
      <c r="D621" s="376" t="str">
        <f>IFERROR(VLOOKUP(E:E,'Item Data Support Sheet'!A:O,7,0),"")</f>
        <v>NIPPLE PUNCH</v>
      </c>
      <c r="E621" s="447" t="s">
        <v>82</v>
      </c>
      <c r="F621" s="500"/>
      <c r="G621" s="497" t="s">
        <v>1692</v>
      </c>
      <c r="H621" s="602" t="str">
        <f>IFERROR(VLOOKUP(E:E,'Item Data Support Sheet'!A:O,2,0),"")</f>
        <v>NIPPLE S TYPE L SIZE PUNCHED</v>
      </c>
      <c r="I621" s="501" t="s">
        <v>3253</v>
      </c>
      <c r="J621" s="501" t="s">
        <v>2808</v>
      </c>
      <c r="K621" s="438">
        <v>8</v>
      </c>
      <c r="L621" s="499">
        <v>7000</v>
      </c>
      <c r="M621" s="366">
        <f t="shared" si="192"/>
        <v>875</v>
      </c>
      <c r="N621" s="367">
        <f t="shared" si="176"/>
        <v>7000</v>
      </c>
      <c r="O621" s="61">
        <v>7000</v>
      </c>
      <c r="P621" s="368">
        <v>0</v>
      </c>
      <c r="Q621" s="368">
        <v>0</v>
      </c>
      <c r="R621" s="494">
        <v>0</v>
      </c>
      <c r="S621" s="493">
        <v>0</v>
      </c>
      <c r="T621" s="494">
        <v>0</v>
      </c>
      <c r="U621" s="493">
        <v>0</v>
      </c>
      <c r="V621" s="502">
        <v>1</v>
      </c>
      <c r="W621" s="453">
        <f t="shared" si="178"/>
        <v>7000</v>
      </c>
      <c r="X621" s="748">
        <f t="shared" si="179"/>
        <v>1</v>
      </c>
      <c r="Y621" s="451" t="str">
        <f>IFERROR(VLOOKUP(E:E,'Item Data Support Sheet'!A:J,6,0),0)</f>
        <v>FO017</v>
      </c>
      <c r="Z621" s="428">
        <f>IFERROR(VLOOKUP(E:E,'Item Data Support Sheet'!A:O,4,0),0)</f>
        <v>0</v>
      </c>
      <c r="AA621" s="428">
        <f t="shared" si="180"/>
        <v>0</v>
      </c>
      <c r="AB621" s="429" t="str">
        <f t="shared" si="181"/>
        <v xml:space="preserve"> </v>
      </c>
      <c r="AC621" s="424">
        <f t="shared" si="182"/>
        <v>0</v>
      </c>
      <c r="AD621" s="371">
        <f t="shared" si="183"/>
        <v>0</v>
      </c>
      <c r="AE621" s="748">
        <f t="shared" si="184"/>
        <v>1</v>
      </c>
      <c r="AF621" s="417">
        <f t="shared" si="185"/>
        <v>0.66666666666666663</v>
      </c>
      <c r="AG621" s="416">
        <f t="shared" si="186"/>
        <v>7.333333333333333</v>
      </c>
      <c r="AH621" s="372">
        <f t="shared" si="187"/>
        <v>0.91666666666666663</v>
      </c>
      <c r="AI621" s="373">
        <f t="shared" si="188"/>
        <v>875</v>
      </c>
      <c r="AJ621" s="418">
        <f>VLOOKUP(D621,'Standard Cycle time'!C:D,2,0)</f>
        <v>3.5</v>
      </c>
      <c r="AK621" s="418">
        <f t="shared" si="189"/>
        <v>3.7714285714285714</v>
      </c>
      <c r="AL621" s="374">
        <f t="shared" si="190"/>
        <v>0.92803030303030309</v>
      </c>
      <c r="AM621" s="372">
        <f t="shared" si="191"/>
        <v>0.85069444444444442</v>
      </c>
      <c r="AN621" s="799" t="s">
        <v>3254</v>
      </c>
      <c r="AO621" s="448"/>
      <c r="AP621" s="440">
        <v>40</v>
      </c>
      <c r="AQ621" s="440">
        <v>0</v>
      </c>
      <c r="AR621" s="440">
        <v>0</v>
      </c>
      <c r="AS621" s="440">
        <v>0</v>
      </c>
      <c r="AT621" s="440">
        <v>0</v>
      </c>
      <c r="AU621" s="440">
        <v>0</v>
      </c>
      <c r="AV621" s="440">
        <v>0</v>
      </c>
      <c r="AW621" s="440">
        <v>0</v>
      </c>
      <c r="AX621" s="440">
        <v>0</v>
      </c>
      <c r="AY621" s="440">
        <v>0</v>
      </c>
      <c r="AZ621" s="440">
        <v>0</v>
      </c>
      <c r="BA621" s="440">
        <v>0</v>
      </c>
      <c r="BB621" s="440">
        <v>0</v>
      </c>
      <c r="BC621" s="440">
        <v>0</v>
      </c>
      <c r="BD621" s="440">
        <v>0</v>
      </c>
      <c r="BE621" s="440">
        <v>0</v>
      </c>
      <c r="BF621" s="440">
        <v>0</v>
      </c>
      <c r="BG621" s="440">
        <v>0</v>
      </c>
      <c r="BH621" s="440">
        <v>0</v>
      </c>
      <c r="BI621" s="440">
        <v>0</v>
      </c>
      <c r="BJ621" s="440">
        <v>0</v>
      </c>
      <c r="BK621" s="440">
        <v>0</v>
      </c>
      <c r="BL621" s="440">
        <v>0</v>
      </c>
      <c r="BM621" s="440">
        <v>0</v>
      </c>
      <c r="BN621" s="440">
        <v>0</v>
      </c>
      <c r="BO621" s="440">
        <v>0</v>
      </c>
      <c r="BP621" s="440">
        <v>0</v>
      </c>
      <c r="BQ621" s="440">
        <v>0</v>
      </c>
      <c r="BR621" s="415">
        <v>0.66666666666666663</v>
      </c>
      <c r="BS621" s="415">
        <v>0.6777777777777777</v>
      </c>
      <c r="BT621" s="935"/>
      <c r="BU621" s="935"/>
      <c r="BV621" s="935"/>
      <c r="BW621" s="935"/>
      <c r="BX621" s="935"/>
      <c r="BY621" s="935"/>
      <c r="BZ621" s="935"/>
      <c r="CA621" s="935"/>
      <c r="CB621" s="935"/>
      <c r="CC621" s="935"/>
      <c r="CD621" s="935"/>
      <c r="CE621" s="935"/>
      <c r="CF621" s="935"/>
      <c r="CG621" s="935"/>
      <c r="CH621" s="935"/>
      <c r="CI621" s="935"/>
      <c r="CJ621" s="935"/>
      <c r="CK621" s="935"/>
      <c r="CL621" s="935"/>
      <c r="CM621" s="935"/>
      <c r="CN621" s="935"/>
      <c r="CO621" s="935"/>
      <c r="CP621" s="935"/>
      <c r="CQ621" s="935"/>
      <c r="CR621" s="935"/>
      <c r="CS621" s="935"/>
      <c r="CT621" s="935"/>
      <c r="CU621" s="935"/>
      <c r="CV621" s="935"/>
    </row>
    <row r="622" spans="1:100" s="441" customFormat="1">
      <c r="A622" s="375">
        <f t="shared" si="177"/>
        <v>9</v>
      </c>
      <c r="B622" s="862">
        <v>44461</v>
      </c>
      <c r="C622" s="493" t="s">
        <v>1980</v>
      </c>
      <c r="D622" s="376" t="str">
        <f>IFERROR(VLOOKUP(E:E,'Item Data Support Sheet'!A:O,7,0),"")</f>
        <v>BOTTLE PRINTED</v>
      </c>
      <c r="E622" s="447" t="s">
        <v>15</v>
      </c>
      <c r="F622" s="500"/>
      <c r="G622" s="497" t="s">
        <v>1692</v>
      </c>
      <c r="H622" s="602" t="str">
        <f>IFERROR(VLOOKUP(E:E,'Item Data Support Sheet'!A:O,2,0),"")</f>
        <v>RPP 240 ML BOTTLE PRINTED</v>
      </c>
      <c r="I622" s="501" t="s">
        <v>3253</v>
      </c>
      <c r="J622" s="501" t="s">
        <v>2808</v>
      </c>
      <c r="K622" s="438">
        <v>8</v>
      </c>
      <c r="L622" s="499">
        <v>5134</v>
      </c>
      <c r="M622" s="366">
        <f t="shared" si="192"/>
        <v>641.75</v>
      </c>
      <c r="N622" s="367">
        <f t="shared" si="176"/>
        <v>5932</v>
      </c>
      <c r="O622" s="61">
        <v>5840</v>
      </c>
      <c r="P622" s="368">
        <v>0</v>
      </c>
      <c r="Q622" s="368">
        <v>0</v>
      </c>
      <c r="R622" s="494">
        <v>31</v>
      </c>
      <c r="S622" s="493">
        <v>0</v>
      </c>
      <c r="T622" s="494">
        <v>92</v>
      </c>
      <c r="U622" s="493">
        <v>0</v>
      </c>
      <c r="V622" s="502">
        <v>1</v>
      </c>
      <c r="W622" s="453">
        <f t="shared" si="178"/>
        <v>5840</v>
      </c>
      <c r="X622" s="748">
        <f t="shared" si="179"/>
        <v>1.1375146084924035</v>
      </c>
      <c r="Y622" s="451" t="str">
        <f>IFERROR(VLOOKUP(E:E,'Item Data Support Sheet'!A:J,6,0),0)</f>
        <v>FO005</v>
      </c>
      <c r="Z622" s="428">
        <f>IFERROR(VLOOKUP(E:E,'Item Data Support Sheet'!A:O,4,0),0)</f>
        <v>0</v>
      </c>
      <c r="AA622" s="428">
        <f t="shared" si="180"/>
        <v>0</v>
      </c>
      <c r="AB622" s="429" t="str">
        <f t="shared" si="181"/>
        <v xml:space="preserve"> </v>
      </c>
      <c r="AC622" s="424">
        <f t="shared" si="182"/>
        <v>1.5509103169251517E-2</v>
      </c>
      <c r="AD622" s="371">
        <f t="shared" si="183"/>
        <v>0</v>
      </c>
      <c r="AE622" s="748">
        <f t="shared" si="184"/>
        <v>0.98449089683074853</v>
      </c>
      <c r="AF622" s="417">
        <f t="shared" si="185"/>
        <v>0</v>
      </c>
      <c r="AG622" s="416">
        <f t="shared" si="186"/>
        <v>8</v>
      </c>
      <c r="AH622" s="372">
        <f t="shared" si="187"/>
        <v>1</v>
      </c>
      <c r="AI622" s="373">
        <f t="shared" si="188"/>
        <v>730</v>
      </c>
      <c r="AJ622" s="418">
        <f>VLOOKUP(D622,'Standard Cycle time'!C:D,2,0)</f>
        <v>32.4</v>
      </c>
      <c r="AK622" s="418">
        <f t="shared" si="189"/>
        <v>4.9315068493150687</v>
      </c>
      <c r="AL622" s="374">
        <f t="shared" si="190"/>
        <v>6.5699999999999994</v>
      </c>
      <c r="AM622" s="372">
        <f t="shared" si="191"/>
        <v>6.468105192178017</v>
      </c>
      <c r="AN622" s="799" t="s">
        <v>2874</v>
      </c>
      <c r="AO622" s="448"/>
      <c r="AP622" s="440">
        <v>0</v>
      </c>
      <c r="AQ622" s="440">
        <v>0</v>
      </c>
      <c r="AR622" s="440">
        <v>0</v>
      </c>
      <c r="AS622" s="440">
        <v>0</v>
      </c>
      <c r="AT622" s="440">
        <v>0</v>
      </c>
      <c r="AU622" s="440">
        <v>0</v>
      </c>
      <c r="AV622" s="440">
        <v>0</v>
      </c>
      <c r="AW622" s="440">
        <v>0</v>
      </c>
      <c r="AX622" s="440">
        <v>0</v>
      </c>
      <c r="AY622" s="440">
        <v>0</v>
      </c>
      <c r="AZ622" s="440">
        <v>0</v>
      </c>
      <c r="BA622" s="440">
        <v>0</v>
      </c>
      <c r="BB622" s="440">
        <v>0</v>
      </c>
      <c r="BC622" s="440">
        <v>0</v>
      </c>
      <c r="BD622" s="440">
        <v>0</v>
      </c>
      <c r="BE622" s="440">
        <v>0</v>
      </c>
      <c r="BF622" s="440">
        <v>0</v>
      </c>
      <c r="BG622" s="440">
        <v>0</v>
      </c>
      <c r="BH622" s="440">
        <v>0</v>
      </c>
      <c r="BI622" s="440">
        <v>0</v>
      </c>
      <c r="BJ622" s="440">
        <v>0</v>
      </c>
      <c r="BK622" s="440">
        <v>0</v>
      </c>
      <c r="BL622" s="440">
        <v>0</v>
      </c>
      <c r="BM622" s="440">
        <v>0</v>
      </c>
      <c r="BN622" s="440">
        <v>0</v>
      </c>
      <c r="BO622" s="440">
        <v>0</v>
      </c>
      <c r="BP622" s="440">
        <v>0</v>
      </c>
      <c r="BQ622" s="440">
        <v>0</v>
      </c>
      <c r="BR622" s="415">
        <v>0</v>
      </c>
      <c r="BS622" s="415">
        <v>0</v>
      </c>
      <c r="BT622" s="935"/>
      <c r="BU622" s="935"/>
      <c r="BV622" s="935"/>
      <c r="BW622" s="935"/>
      <c r="BX622" s="935"/>
      <c r="BY622" s="935"/>
      <c r="BZ622" s="935"/>
      <c r="CA622" s="935"/>
      <c r="CB622" s="935"/>
      <c r="CC622" s="935"/>
      <c r="CD622" s="935"/>
      <c r="CE622" s="935"/>
      <c r="CF622" s="935"/>
      <c r="CG622" s="935"/>
      <c r="CH622" s="935"/>
      <c r="CI622" s="935"/>
      <c r="CJ622" s="935"/>
      <c r="CK622" s="935"/>
      <c r="CL622" s="935"/>
      <c r="CM622" s="935"/>
      <c r="CN622" s="935"/>
      <c r="CO622" s="935"/>
      <c r="CP622" s="935"/>
      <c r="CQ622" s="935"/>
      <c r="CR622" s="935"/>
      <c r="CS622" s="935"/>
      <c r="CT622" s="935"/>
      <c r="CU622" s="935"/>
      <c r="CV622" s="935"/>
    </row>
    <row r="623" spans="1:100" s="441" customFormat="1">
      <c r="A623" s="375">
        <f t="shared" si="177"/>
        <v>9</v>
      </c>
      <c r="B623" s="862">
        <v>44461</v>
      </c>
      <c r="C623" s="493" t="s">
        <v>2000</v>
      </c>
      <c r="D623" s="376" t="str">
        <f>IFERROR(VLOOKUP(E:E,'Item Data Support Sheet'!A:O,7,0),"")</f>
        <v>NIPPLE PUNCH INSPECTED</v>
      </c>
      <c r="E623" s="447" t="s">
        <v>1820</v>
      </c>
      <c r="F623" s="500"/>
      <c r="G623" s="497"/>
      <c r="H623" s="602" t="str">
        <f>IFERROR(VLOOKUP(E:E,'Item Data Support Sheet'!A:O,2,0),"")</f>
        <v>NIPPLE S TYPE L SIZE PUNCHED INSPECTED</v>
      </c>
      <c r="I623" s="501" t="s">
        <v>3255</v>
      </c>
      <c r="J623" s="501" t="s">
        <v>2811</v>
      </c>
      <c r="K623" s="438">
        <v>8</v>
      </c>
      <c r="L623" s="499">
        <v>14182</v>
      </c>
      <c r="M623" s="366">
        <f t="shared" si="192"/>
        <v>1772.75</v>
      </c>
      <c r="N623" s="367">
        <f t="shared" si="176"/>
        <v>14300</v>
      </c>
      <c r="O623" s="61">
        <v>14228</v>
      </c>
      <c r="P623" s="368">
        <v>0</v>
      </c>
      <c r="Q623" s="368">
        <v>0</v>
      </c>
      <c r="R623" s="494">
        <v>0</v>
      </c>
      <c r="S623" s="493">
        <v>0</v>
      </c>
      <c r="T623" s="494">
        <v>72</v>
      </c>
      <c r="U623" s="493">
        <v>0</v>
      </c>
      <c r="V623" s="502">
        <v>2</v>
      </c>
      <c r="W623" s="453">
        <f t="shared" si="178"/>
        <v>7114</v>
      </c>
      <c r="X623" s="748">
        <f t="shared" si="179"/>
        <v>1.0032435481596389</v>
      </c>
      <c r="Y623" s="451" t="str">
        <f>IFERROR(VLOOKUP(E:E,'Item Data Support Sheet'!A:J,6,0),0)</f>
        <v>FO106</v>
      </c>
      <c r="Z623" s="428">
        <f>IFERROR(VLOOKUP(E:E,'Item Data Support Sheet'!A:O,4,0),0)</f>
        <v>0</v>
      </c>
      <c r="AA623" s="428">
        <f t="shared" si="180"/>
        <v>0</v>
      </c>
      <c r="AB623" s="429" t="str">
        <f t="shared" si="181"/>
        <v xml:space="preserve"> </v>
      </c>
      <c r="AC623" s="424">
        <f t="shared" si="182"/>
        <v>5.034965034965035E-3</v>
      </c>
      <c r="AD623" s="371">
        <f t="shared" si="183"/>
        <v>0</v>
      </c>
      <c r="AE623" s="748">
        <f t="shared" si="184"/>
        <v>0.99496503496503497</v>
      </c>
      <c r="AF623" s="417">
        <f t="shared" si="185"/>
        <v>0.66666666666666663</v>
      </c>
      <c r="AG623" s="416">
        <f t="shared" si="186"/>
        <v>7.333333333333333</v>
      </c>
      <c r="AH623" s="372">
        <f t="shared" si="187"/>
        <v>0.91666666666666663</v>
      </c>
      <c r="AI623" s="373">
        <f t="shared" si="188"/>
        <v>1778.5</v>
      </c>
      <c r="AJ623" s="418">
        <f>VLOOKUP(D623,'Standard Cycle time'!C:D,2,0)</f>
        <v>4</v>
      </c>
      <c r="AK623" s="418">
        <f t="shared" si="189"/>
        <v>3.7109924093337083</v>
      </c>
      <c r="AL623" s="374">
        <f t="shared" si="190"/>
        <v>1.0778787878787879</v>
      </c>
      <c r="AM623" s="372">
        <f t="shared" si="191"/>
        <v>0.98308073038073029</v>
      </c>
      <c r="AN623" s="799" t="s">
        <v>3256</v>
      </c>
      <c r="AO623" s="448"/>
      <c r="AP623" s="440">
        <v>40</v>
      </c>
      <c r="AQ623" s="440">
        <v>0</v>
      </c>
      <c r="AR623" s="440">
        <v>0</v>
      </c>
      <c r="AS623" s="440">
        <v>0</v>
      </c>
      <c r="AT623" s="440">
        <v>0</v>
      </c>
      <c r="AU623" s="440">
        <v>0</v>
      </c>
      <c r="AV623" s="440">
        <v>0</v>
      </c>
      <c r="AW623" s="440">
        <v>0</v>
      </c>
      <c r="AX623" s="440">
        <v>0</v>
      </c>
      <c r="AY623" s="440">
        <v>0</v>
      </c>
      <c r="AZ623" s="440">
        <v>0</v>
      </c>
      <c r="BA623" s="440">
        <v>0</v>
      </c>
      <c r="BB623" s="440">
        <v>0</v>
      </c>
      <c r="BC623" s="440">
        <v>0</v>
      </c>
      <c r="BD623" s="440">
        <v>0</v>
      </c>
      <c r="BE623" s="440">
        <v>0</v>
      </c>
      <c r="BF623" s="440">
        <v>0</v>
      </c>
      <c r="BG623" s="440">
        <v>0</v>
      </c>
      <c r="BH623" s="440">
        <v>0</v>
      </c>
      <c r="BI623" s="440">
        <v>0</v>
      </c>
      <c r="BJ623" s="440">
        <v>0</v>
      </c>
      <c r="BK623" s="440">
        <v>0</v>
      </c>
      <c r="BL623" s="440">
        <v>0</v>
      </c>
      <c r="BM623" s="440">
        <v>0</v>
      </c>
      <c r="BN623" s="440">
        <v>0</v>
      </c>
      <c r="BO623" s="440">
        <v>0</v>
      </c>
      <c r="BP623" s="440">
        <v>0</v>
      </c>
      <c r="BQ623" s="440">
        <v>0</v>
      </c>
      <c r="BR623" s="415">
        <v>0.66666666666666663</v>
      </c>
      <c r="BS623" s="415">
        <v>0.6777777777777777</v>
      </c>
      <c r="BT623" s="935"/>
      <c r="BU623" s="935"/>
      <c r="BV623" s="935"/>
      <c r="BW623" s="935"/>
      <c r="BX623" s="935"/>
      <c r="BY623" s="935"/>
      <c r="BZ623" s="935"/>
      <c r="CA623" s="935"/>
      <c r="CB623" s="935"/>
      <c r="CC623" s="935"/>
      <c r="CD623" s="935"/>
      <c r="CE623" s="935"/>
      <c r="CF623" s="935"/>
      <c r="CG623" s="935"/>
      <c r="CH623" s="935"/>
      <c r="CI623" s="935"/>
      <c r="CJ623" s="935"/>
      <c r="CK623" s="935"/>
      <c r="CL623" s="935"/>
      <c r="CM623" s="935"/>
      <c r="CN623" s="935"/>
      <c r="CO623" s="935"/>
      <c r="CP623" s="935"/>
      <c r="CQ623" s="935"/>
      <c r="CR623" s="935"/>
      <c r="CS623" s="935"/>
      <c r="CT623" s="935"/>
      <c r="CU623" s="935"/>
      <c r="CV623" s="935"/>
    </row>
    <row r="624" spans="1:100" s="441" customFormat="1">
      <c r="A624" s="375">
        <f t="shared" si="177"/>
        <v>9</v>
      </c>
      <c r="B624" s="862">
        <v>44461</v>
      </c>
      <c r="C624" s="493" t="s">
        <v>2001</v>
      </c>
      <c r="D624" s="376" t="str">
        <f>IFERROR(VLOOKUP(E:E,'Item Data Support Sheet'!A:O,7,0),"")</f>
        <v>NIPPLE MOLDED</v>
      </c>
      <c r="E624" s="447" t="s">
        <v>75</v>
      </c>
      <c r="F624" s="500" t="s">
        <v>1678</v>
      </c>
      <c r="G624" s="497" t="s">
        <v>1691</v>
      </c>
      <c r="H624" s="602" t="str">
        <f>IFERROR(VLOOKUP(E:E,'Item Data Support Sheet'!A:O,2,0),"")</f>
        <v>NIPPLE S TYPE Y SIZE INJECTION</v>
      </c>
      <c r="I624" s="501" t="s">
        <v>3257</v>
      </c>
      <c r="J624" s="501" t="s">
        <v>2811</v>
      </c>
      <c r="K624" s="438">
        <v>6</v>
      </c>
      <c r="L624" s="499">
        <v>3612</v>
      </c>
      <c r="M624" s="366">
        <f t="shared" si="192"/>
        <v>602</v>
      </c>
      <c r="N624" s="367">
        <f t="shared" si="176"/>
        <v>4095</v>
      </c>
      <c r="O624" s="61">
        <v>4040</v>
      </c>
      <c r="P624" s="368">
        <v>0</v>
      </c>
      <c r="Q624" s="368">
        <v>0</v>
      </c>
      <c r="R624" s="494">
        <v>0</v>
      </c>
      <c r="S624" s="493">
        <v>0</v>
      </c>
      <c r="T624" s="494">
        <v>55</v>
      </c>
      <c r="U624" s="493">
        <v>0</v>
      </c>
      <c r="V624" s="502">
        <v>1</v>
      </c>
      <c r="W624" s="453">
        <f t="shared" si="178"/>
        <v>4040</v>
      </c>
      <c r="X624" s="748">
        <f t="shared" si="179"/>
        <v>1.1184939091915835</v>
      </c>
      <c r="Y624" s="451" t="str">
        <f>IFERROR(VLOOKUP(E:E,'Item Data Support Sheet'!A:J,6,0),0)</f>
        <v>Silicon</v>
      </c>
      <c r="Z624" s="428">
        <f>IFERROR(VLOOKUP(E:E,'Item Data Support Sheet'!A:O,4,0),0)</f>
        <v>6.8</v>
      </c>
      <c r="AA624" s="428">
        <f t="shared" si="180"/>
        <v>27.846</v>
      </c>
      <c r="AB624" s="429">
        <f t="shared" si="181"/>
        <v>0.98656898656898651</v>
      </c>
      <c r="AC624" s="424">
        <f t="shared" si="182"/>
        <v>1.3431013431013432E-2</v>
      </c>
      <c r="AD624" s="371">
        <f t="shared" si="183"/>
        <v>0</v>
      </c>
      <c r="AE624" s="748">
        <f t="shared" si="184"/>
        <v>0.98656898656898662</v>
      </c>
      <c r="AF624" s="417">
        <f t="shared" si="185"/>
        <v>0</v>
      </c>
      <c r="AG624" s="416">
        <f t="shared" si="186"/>
        <v>6</v>
      </c>
      <c r="AH624" s="372">
        <f t="shared" si="187"/>
        <v>1</v>
      </c>
      <c r="AI624" s="373">
        <f t="shared" si="188"/>
        <v>673.33333333333337</v>
      </c>
      <c r="AJ624" s="418">
        <f>VLOOKUP(D624,'Standard Cycle time'!C:D,2,0)</f>
        <v>5.25</v>
      </c>
      <c r="AK624" s="418">
        <f t="shared" si="189"/>
        <v>5.3465346534653468</v>
      </c>
      <c r="AL624" s="374">
        <f t="shared" si="190"/>
        <v>0.9819444444444444</v>
      </c>
      <c r="AM624" s="372">
        <f t="shared" si="191"/>
        <v>0.96875593542260208</v>
      </c>
      <c r="AN624" s="799">
        <v>3467</v>
      </c>
      <c r="AO624" s="448"/>
      <c r="AP624" s="440">
        <v>0</v>
      </c>
      <c r="AQ624" s="440">
        <v>0</v>
      </c>
      <c r="AR624" s="440">
        <v>0</v>
      </c>
      <c r="AS624" s="440">
        <v>0</v>
      </c>
      <c r="AT624" s="440">
        <v>0</v>
      </c>
      <c r="AU624" s="440">
        <v>0</v>
      </c>
      <c r="AV624" s="440">
        <v>0</v>
      </c>
      <c r="AW624" s="440">
        <v>0</v>
      </c>
      <c r="AX624" s="440">
        <v>0</v>
      </c>
      <c r="AY624" s="440">
        <v>0</v>
      </c>
      <c r="AZ624" s="440">
        <v>0</v>
      </c>
      <c r="BA624" s="440">
        <v>0</v>
      </c>
      <c r="BB624" s="440">
        <v>0</v>
      </c>
      <c r="BC624" s="440">
        <v>0</v>
      </c>
      <c r="BD624" s="440">
        <v>0</v>
      </c>
      <c r="BE624" s="440">
        <v>0</v>
      </c>
      <c r="BF624" s="440">
        <v>0</v>
      </c>
      <c r="BG624" s="440">
        <v>0</v>
      </c>
      <c r="BH624" s="440">
        <v>0</v>
      </c>
      <c r="BI624" s="440">
        <v>0</v>
      </c>
      <c r="BJ624" s="440">
        <v>0</v>
      </c>
      <c r="BK624" s="440">
        <v>0</v>
      </c>
      <c r="BL624" s="440">
        <v>0</v>
      </c>
      <c r="BM624" s="440">
        <v>0</v>
      </c>
      <c r="BN624" s="440">
        <v>0</v>
      </c>
      <c r="BO624" s="440">
        <v>0</v>
      </c>
      <c r="BP624" s="440">
        <v>0</v>
      </c>
      <c r="BQ624" s="440">
        <v>0</v>
      </c>
      <c r="BR624" s="415">
        <v>0</v>
      </c>
      <c r="BS624" s="415">
        <v>0</v>
      </c>
      <c r="BT624" s="935"/>
      <c r="BU624" s="935"/>
      <c r="BV624" s="935"/>
      <c r="BW624" s="935"/>
      <c r="BX624" s="935"/>
      <c r="BY624" s="935"/>
      <c r="BZ624" s="935"/>
      <c r="CA624" s="935"/>
      <c r="CB624" s="935"/>
      <c r="CC624" s="935"/>
      <c r="CD624" s="935"/>
      <c r="CE624" s="935"/>
      <c r="CF624" s="935"/>
      <c r="CG624" s="935"/>
      <c r="CH624" s="935"/>
      <c r="CI624" s="935"/>
      <c r="CJ624" s="935"/>
      <c r="CK624" s="935"/>
      <c r="CL624" s="935"/>
      <c r="CM624" s="935"/>
      <c r="CN624" s="935"/>
      <c r="CO624" s="935"/>
      <c r="CP624" s="935"/>
      <c r="CQ624" s="935"/>
      <c r="CR624" s="935"/>
      <c r="CS624" s="935"/>
      <c r="CT624" s="935"/>
      <c r="CU624" s="935"/>
      <c r="CV624" s="935"/>
    </row>
    <row r="625" spans="1:100" s="441" customFormat="1">
      <c r="A625" s="375">
        <f t="shared" si="177"/>
        <v>9</v>
      </c>
      <c r="B625" s="862">
        <v>44461</v>
      </c>
      <c r="C625" s="493" t="s">
        <v>2001</v>
      </c>
      <c r="D625" s="376" t="str">
        <f>IFERROR(VLOOKUP(E:E,'Item Data Support Sheet'!A:O,7,0),"")</f>
        <v>CAP MOLDED</v>
      </c>
      <c r="E625" s="447" t="s">
        <v>2107</v>
      </c>
      <c r="F625" s="500"/>
      <c r="G625" s="497" t="s">
        <v>3212</v>
      </c>
      <c r="H625" s="602" t="str">
        <f>IFERROR(VLOOKUP(E:E,'Item Data Support Sheet'!A:O,2,0),"")</f>
        <v>CAP S TYPE MOLDED PINK</v>
      </c>
      <c r="I625" s="501" t="s">
        <v>3258</v>
      </c>
      <c r="J625" s="501" t="s">
        <v>2811</v>
      </c>
      <c r="K625" s="438">
        <v>3</v>
      </c>
      <c r="L625" s="499">
        <v>1551</v>
      </c>
      <c r="M625" s="366">
        <f t="shared" si="192"/>
        <v>517</v>
      </c>
      <c r="N625" s="367">
        <f t="shared" si="176"/>
        <v>1565</v>
      </c>
      <c r="O625" s="61">
        <v>1565</v>
      </c>
      <c r="P625" s="368">
        <v>0</v>
      </c>
      <c r="Q625" s="368">
        <v>0</v>
      </c>
      <c r="R625" s="494">
        <v>0</v>
      </c>
      <c r="S625" s="493">
        <v>0</v>
      </c>
      <c r="T625" s="494">
        <v>0</v>
      </c>
      <c r="U625" s="493">
        <v>0</v>
      </c>
      <c r="V625" s="502">
        <v>1</v>
      </c>
      <c r="W625" s="453">
        <f t="shared" si="178"/>
        <v>1565</v>
      </c>
      <c r="X625" s="748">
        <f t="shared" si="179"/>
        <v>1.0090264345583495</v>
      </c>
      <c r="Y625" s="451" t="str">
        <f>IFERROR(VLOOKUP(E:E,'Item Data Support Sheet'!A:J,6,0),0)</f>
        <v>RM000123</v>
      </c>
      <c r="Z625" s="428">
        <f>IFERROR(VLOOKUP(E:E,'Item Data Support Sheet'!A:O,4,0),0)</f>
        <v>7.3</v>
      </c>
      <c r="AA625" s="428">
        <f t="shared" si="180"/>
        <v>11.4245</v>
      </c>
      <c r="AB625" s="429">
        <f t="shared" si="181"/>
        <v>1</v>
      </c>
      <c r="AC625" s="424">
        <f t="shared" si="182"/>
        <v>0</v>
      </c>
      <c r="AD625" s="371">
        <f t="shared" si="183"/>
        <v>0</v>
      </c>
      <c r="AE625" s="748">
        <f t="shared" si="184"/>
        <v>1</v>
      </c>
      <c r="AF625" s="417">
        <f t="shared" si="185"/>
        <v>0</v>
      </c>
      <c r="AG625" s="416">
        <f t="shared" si="186"/>
        <v>3</v>
      </c>
      <c r="AH625" s="372">
        <f t="shared" si="187"/>
        <v>1</v>
      </c>
      <c r="AI625" s="373">
        <f t="shared" si="188"/>
        <v>521.66666666666663</v>
      </c>
      <c r="AJ625" s="418">
        <f>VLOOKUP(D625,'Standard Cycle time'!C:D,2,0)</f>
        <v>6</v>
      </c>
      <c r="AK625" s="418">
        <f t="shared" si="189"/>
        <v>6.9009584664536741</v>
      </c>
      <c r="AL625" s="374">
        <f t="shared" si="190"/>
        <v>0.86944444444444446</v>
      </c>
      <c r="AM625" s="372">
        <f t="shared" si="191"/>
        <v>0.86944444444444446</v>
      </c>
      <c r="AN625" s="799">
        <v>3468</v>
      </c>
      <c r="AO625" s="448"/>
      <c r="AP625" s="440">
        <v>0</v>
      </c>
      <c r="AQ625" s="440">
        <v>0</v>
      </c>
      <c r="AR625" s="440">
        <v>0</v>
      </c>
      <c r="AS625" s="440">
        <v>0</v>
      </c>
      <c r="AT625" s="440">
        <v>0</v>
      </c>
      <c r="AU625" s="440">
        <v>0</v>
      </c>
      <c r="AV625" s="440">
        <v>0</v>
      </c>
      <c r="AW625" s="440">
        <v>0</v>
      </c>
      <c r="AX625" s="440">
        <v>0</v>
      </c>
      <c r="AY625" s="440">
        <v>0</v>
      </c>
      <c r="AZ625" s="440">
        <v>0</v>
      </c>
      <c r="BA625" s="440">
        <v>0</v>
      </c>
      <c r="BB625" s="440">
        <v>0</v>
      </c>
      <c r="BC625" s="440">
        <v>0</v>
      </c>
      <c r="BD625" s="440">
        <v>0</v>
      </c>
      <c r="BE625" s="440">
        <v>0</v>
      </c>
      <c r="BF625" s="440">
        <v>0</v>
      </c>
      <c r="BG625" s="440">
        <v>0</v>
      </c>
      <c r="BH625" s="440">
        <v>0</v>
      </c>
      <c r="BI625" s="440">
        <v>0</v>
      </c>
      <c r="BJ625" s="440">
        <v>0</v>
      </c>
      <c r="BK625" s="440">
        <v>0</v>
      </c>
      <c r="BL625" s="440">
        <v>0</v>
      </c>
      <c r="BM625" s="440">
        <v>0</v>
      </c>
      <c r="BN625" s="440">
        <v>0</v>
      </c>
      <c r="BO625" s="440">
        <v>0</v>
      </c>
      <c r="BP625" s="440">
        <v>0</v>
      </c>
      <c r="BQ625" s="440">
        <v>0</v>
      </c>
      <c r="BR625" s="415">
        <v>0</v>
      </c>
      <c r="BS625" s="415">
        <v>0</v>
      </c>
      <c r="BT625" s="935"/>
      <c r="BU625" s="935"/>
      <c r="BV625" s="935"/>
      <c r="BW625" s="935"/>
      <c r="BX625" s="935"/>
      <c r="BY625" s="935"/>
      <c r="BZ625" s="935"/>
      <c r="CA625" s="935"/>
      <c r="CB625" s="935"/>
      <c r="CC625" s="935"/>
      <c r="CD625" s="935"/>
      <c r="CE625" s="935"/>
      <c r="CF625" s="935"/>
      <c r="CG625" s="935"/>
      <c r="CH625" s="935"/>
      <c r="CI625" s="935"/>
      <c r="CJ625" s="935"/>
      <c r="CK625" s="935"/>
      <c r="CL625" s="935"/>
      <c r="CM625" s="935"/>
      <c r="CN625" s="935"/>
      <c r="CO625" s="935"/>
      <c r="CP625" s="935"/>
      <c r="CQ625" s="935"/>
      <c r="CR625" s="935"/>
      <c r="CS625" s="935"/>
      <c r="CT625" s="935"/>
      <c r="CU625" s="935"/>
      <c r="CV625" s="935"/>
    </row>
    <row r="626" spans="1:100" s="441" customFormat="1">
      <c r="A626" s="375">
        <f t="shared" si="177"/>
        <v>9</v>
      </c>
      <c r="B626" s="862">
        <v>44461</v>
      </c>
      <c r="C626" s="493" t="s">
        <v>2001</v>
      </c>
      <c r="D626" s="376" t="str">
        <f>IFERROR(VLOOKUP(E:E,'Item Data Support Sheet'!A:O,7,0),"")</f>
        <v>NIPPLE PUNCH</v>
      </c>
      <c r="E626" s="447" t="s">
        <v>83</v>
      </c>
      <c r="F626" s="500"/>
      <c r="G626" s="497"/>
      <c r="H626" s="602" t="str">
        <f>IFERROR(VLOOKUP(E:E,'Item Data Support Sheet'!A:O,2,0),"")</f>
        <v>NIPPLE S TYPE Y SIZE PUNCHED</v>
      </c>
      <c r="I626" s="501" t="s">
        <v>3259</v>
      </c>
      <c r="J626" s="501" t="s">
        <v>2811</v>
      </c>
      <c r="K626" s="438">
        <v>4</v>
      </c>
      <c r="L626" s="499">
        <v>3500</v>
      </c>
      <c r="M626" s="366">
        <f t="shared" si="192"/>
        <v>875</v>
      </c>
      <c r="N626" s="367">
        <f t="shared" si="176"/>
        <v>3643</v>
      </c>
      <c r="O626" s="61">
        <v>3643</v>
      </c>
      <c r="P626" s="368">
        <v>0</v>
      </c>
      <c r="Q626" s="368">
        <v>0</v>
      </c>
      <c r="R626" s="494">
        <v>0</v>
      </c>
      <c r="S626" s="493">
        <v>0</v>
      </c>
      <c r="T626" s="494">
        <v>0</v>
      </c>
      <c r="U626" s="493">
        <v>0</v>
      </c>
      <c r="V626" s="502">
        <v>1</v>
      </c>
      <c r="W626" s="453">
        <f t="shared" si="178"/>
        <v>3643</v>
      </c>
      <c r="X626" s="748">
        <f t="shared" si="179"/>
        <v>1.0408571428571429</v>
      </c>
      <c r="Y626" s="451" t="str">
        <f>IFERROR(VLOOKUP(E:E,'Item Data Support Sheet'!A:J,6,0),0)</f>
        <v>FO018</v>
      </c>
      <c r="Z626" s="428">
        <f>IFERROR(VLOOKUP(E:E,'Item Data Support Sheet'!A:O,4,0),0)</f>
        <v>0</v>
      </c>
      <c r="AA626" s="428">
        <f t="shared" si="180"/>
        <v>0</v>
      </c>
      <c r="AB626" s="429" t="str">
        <f t="shared" si="181"/>
        <v xml:space="preserve"> </v>
      </c>
      <c r="AC626" s="424">
        <f t="shared" si="182"/>
        <v>0</v>
      </c>
      <c r="AD626" s="371">
        <f t="shared" si="183"/>
        <v>0</v>
      </c>
      <c r="AE626" s="748">
        <f t="shared" si="184"/>
        <v>1</v>
      </c>
      <c r="AF626" s="417">
        <f t="shared" si="185"/>
        <v>0.66666666666666663</v>
      </c>
      <c r="AG626" s="416">
        <f t="shared" si="186"/>
        <v>3.3333333333333335</v>
      </c>
      <c r="AH626" s="372">
        <f t="shared" si="187"/>
        <v>0.83333333333333337</v>
      </c>
      <c r="AI626" s="373">
        <f t="shared" si="188"/>
        <v>910.75</v>
      </c>
      <c r="AJ626" s="418">
        <f>VLOOKUP(D626,'Standard Cycle time'!C:D,2,0)</f>
        <v>3.5</v>
      </c>
      <c r="AK626" s="418">
        <f t="shared" si="189"/>
        <v>3.2939884710403513</v>
      </c>
      <c r="AL626" s="374">
        <f t="shared" si="190"/>
        <v>1.0625416666666667</v>
      </c>
      <c r="AM626" s="372">
        <f t="shared" si="191"/>
        <v>0.88545138888888897</v>
      </c>
      <c r="AN626" s="799">
        <v>3469</v>
      </c>
      <c r="AO626" s="448"/>
      <c r="AP626" s="440">
        <v>40</v>
      </c>
      <c r="AQ626" s="440">
        <v>0</v>
      </c>
      <c r="AR626" s="440">
        <v>0</v>
      </c>
      <c r="AS626" s="440">
        <v>0</v>
      </c>
      <c r="AT626" s="440">
        <v>0</v>
      </c>
      <c r="AU626" s="440">
        <v>0</v>
      </c>
      <c r="AV626" s="440">
        <v>0</v>
      </c>
      <c r="AW626" s="440">
        <v>0</v>
      </c>
      <c r="AX626" s="440">
        <v>0</v>
      </c>
      <c r="AY626" s="440">
        <v>0</v>
      </c>
      <c r="AZ626" s="440">
        <v>0</v>
      </c>
      <c r="BA626" s="440">
        <v>0</v>
      </c>
      <c r="BB626" s="440">
        <v>0</v>
      </c>
      <c r="BC626" s="440">
        <v>0</v>
      </c>
      <c r="BD626" s="440">
        <v>0</v>
      </c>
      <c r="BE626" s="440">
        <v>0</v>
      </c>
      <c r="BF626" s="440">
        <v>0</v>
      </c>
      <c r="BG626" s="440">
        <v>0</v>
      </c>
      <c r="BH626" s="440">
        <v>0</v>
      </c>
      <c r="BI626" s="440">
        <v>0</v>
      </c>
      <c r="BJ626" s="440">
        <v>0</v>
      </c>
      <c r="BK626" s="440">
        <v>0</v>
      </c>
      <c r="BL626" s="440">
        <v>0</v>
      </c>
      <c r="BM626" s="440">
        <v>0</v>
      </c>
      <c r="BN626" s="440">
        <v>0</v>
      </c>
      <c r="BO626" s="440">
        <v>0</v>
      </c>
      <c r="BP626" s="440">
        <v>0</v>
      </c>
      <c r="BQ626" s="440">
        <v>0</v>
      </c>
      <c r="BR626" s="415">
        <v>0.66666666666666663</v>
      </c>
      <c r="BS626" s="415">
        <v>0.6777777777777777</v>
      </c>
      <c r="BT626" s="935"/>
      <c r="BU626" s="935"/>
      <c r="BV626" s="935"/>
      <c r="BW626" s="935"/>
      <c r="BX626" s="935"/>
      <c r="BY626" s="935"/>
      <c r="BZ626" s="935"/>
      <c r="CA626" s="935"/>
      <c r="CB626" s="935"/>
      <c r="CC626" s="935"/>
      <c r="CD626" s="935"/>
      <c r="CE626" s="935"/>
      <c r="CF626" s="935"/>
      <c r="CG626" s="935"/>
      <c r="CH626" s="935"/>
      <c r="CI626" s="935"/>
      <c r="CJ626" s="935"/>
      <c r="CK626" s="935"/>
      <c r="CL626" s="935"/>
      <c r="CM626" s="935"/>
      <c r="CN626" s="935"/>
      <c r="CO626" s="935"/>
      <c r="CP626" s="935"/>
      <c r="CQ626" s="935"/>
      <c r="CR626" s="935"/>
      <c r="CS626" s="935"/>
      <c r="CT626" s="935"/>
      <c r="CU626" s="935"/>
      <c r="CV626" s="935"/>
    </row>
    <row r="627" spans="1:100" s="441" customFormat="1">
      <c r="A627" s="375">
        <f t="shared" si="177"/>
        <v>9</v>
      </c>
      <c r="B627" s="862">
        <v>44461</v>
      </c>
      <c r="C627" s="493" t="s">
        <v>2001</v>
      </c>
      <c r="D627" s="376" t="str">
        <f>IFERROR(VLOOKUP(E:E,'Item Data Support Sheet'!A:O,7,0),"")</f>
        <v>NIPPLE PUNCH</v>
      </c>
      <c r="E627" s="447" t="s">
        <v>82</v>
      </c>
      <c r="F627" s="500"/>
      <c r="G627" s="497"/>
      <c r="H627" s="602" t="str">
        <f>IFERROR(VLOOKUP(E:E,'Item Data Support Sheet'!A:O,2,0),"")</f>
        <v>NIPPLE S TYPE L SIZE PUNCHED</v>
      </c>
      <c r="I627" s="501" t="s">
        <v>3260</v>
      </c>
      <c r="J627" s="501" t="s">
        <v>2811</v>
      </c>
      <c r="K627" s="438">
        <v>4</v>
      </c>
      <c r="L627" s="499">
        <v>3500</v>
      </c>
      <c r="M627" s="366">
        <f t="shared" si="192"/>
        <v>875</v>
      </c>
      <c r="N627" s="367">
        <f t="shared" si="176"/>
        <v>2050</v>
      </c>
      <c r="O627" s="61">
        <v>2050</v>
      </c>
      <c r="P627" s="368">
        <v>0</v>
      </c>
      <c r="Q627" s="368">
        <v>0</v>
      </c>
      <c r="R627" s="494">
        <v>0</v>
      </c>
      <c r="S627" s="493">
        <v>0</v>
      </c>
      <c r="T627" s="494">
        <v>0</v>
      </c>
      <c r="U627" s="493">
        <v>0</v>
      </c>
      <c r="V627" s="502">
        <v>1</v>
      </c>
      <c r="W627" s="453">
        <f t="shared" si="178"/>
        <v>2050</v>
      </c>
      <c r="X627" s="748">
        <f t="shared" si="179"/>
        <v>0.58571428571428574</v>
      </c>
      <c r="Y627" s="451" t="str">
        <f>IFERROR(VLOOKUP(E:E,'Item Data Support Sheet'!A:J,6,0),0)</f>
        <v>FO017</v>
      </c>
      <c r="Z627" s="428">
        <f>IFERROR(VLOOKUP(E:E,'Item Data Support Sheet'!A:O,4,0),0)</f>
        <v>0</v>
      </c>
      <c r="AA627" s="428">
        <f t="shared" si="180"/>
        <v>0</v>
      </c>
      <c r="AB627" s="429" t="str">
        <f t="shared" si="181"/>
        <v xml:space="preserve"> </v>
      </c>
      <c r="AC627" s="424">
        <f t="shared" si="182"/>
        <v>0</v>
      </c>
      <c r="AD627" s="371">
        <f t="shared" si="183"/>
        <v>0</v>
      </c>
      <c r="AE627" s="748">
        <f t="shared" si="184"/>
        <v>1</v>
      </c>
      <c r="AF627" s="417">
        <f t="shared" si="185"/>
        <v>2</v>
      </c>
      <c r="AG627" s="416">
        <f t="shared" si="186"/>
        <v>2</v>
      </c>
      <c r="AH627" s="372">
        <f t="shared" si="187"/>
        <v>0.5</v>
      </c>
      <c r="AI627" s="373">
        <f t="shared" si="188"/>
        <v>512.5</v>
      </c>
      <c r="AJ627" s="418">
        <f>VLOOKUP(D627,'Standard Cycle time'!C:D,2,0)</f>
        <v>3.5</v>
      </c>
      <c r="AK627" s="418">
        <f t="shared" si="189"/>
        <v>3.5121951219512195</v>
      </c>
      <c r="AL627" s="374">
        <f t="shared" si="190"/>
        <v>0.99652777777777779</v>
      </c>
      <c r="AM627" s="372">
        <f t="shared" si="191"/>
        <v>0.4982638888888889</v>
      </c>
      <c r="AN627" s="799">
        <v>3470</v>
      </c>
      <c r="AO627" s="448" t="s">
        <v>3261</v>
      </c>
      <c r="AP627" s="440">
        <v>0</v>
      </c>
      <c r="AQ627" s="440">
        <v>0</v>
      </c>
      <c r="AR627" s="440">
        <v>0</v>
      </c>
      <c r="AS627" s="440">
        <v>0</v>
      </c>
      <c r="AT627" s="440">
        <v>0</v>
      </c>
      <c r="AU627" s="440">
        <v>0</v>
      </c>
      <c r="AV627" s="440">
        <v>120</v>
      </c>
      <c r="AW627" s="440">
        <v>0</v>
      </c>
      <c r="AX627" s="440">
        <v>0</v>
      </c>
      <c r="AY627" s="440">
        <v>0</v>
      </c>
      <c r="AZ627" s="440">
        <v>0</v>
      </c>
      <c r="BA627" s="440">
        <v>0</v>
      </c>
      <c r="BB627" s="440">
        <v>0</v>
      </c>
      <c r="BC627" s="440">
        <v>0</v>
      </c>
      <c r="BD627" s="440">
        <v>0</v>
      </c>
      <c r="BE627" s="440">
        <v>0</v>
      </c>
      <c r="BF627" s="440">
        <v>0</v>
      </c>
      <c r="BG627" s="440">
        <v>0</v>
      </c>
      <c r="BH627" s="440">
        <v>0</v>
      </c>
      <c r="BI627" s="440">
        <v>0</v>
      </c>
      <c r="BJ627" s="440">
        <v>0</v>
      </c>
      <c r="BK627" s="440">
        <v>0</v>
      </c>
      <c r="BL627" s="440">
        <v>0</v>
      </c>
      <c r="BM627" s="440">
        <v>0</v>
      </c>
      <c r="BN627" s="440">
        <v>0</v>
      </c>
      <c r="BO627" s="440">
        <v>0</v>
      </c>
      <c r="BP627" s="440">
        <v>0</v>
      </c>
      <c r="BQ627" s="440">
        <v>0</v>
      </c>
      <c r="BR627" s="415">
        <v>2</v>
      </c>
      <c r="BS627" s="415">
        <v>2.0333333333333332</v>
      </c>
      <c r="BT627" s="935"/>
      <c r="BU627" s="935"/>
      <c r="BV627" s="935"/>
      <c r="BW627" s="935"/>
      <c r="BX627" s="935"/>
      <c r="BY627" s="935"/>
      <c r="BZ627" s="935"/>
      <c r="CA627" s="935"/>
      <c r="CB627" s="935"/>
      <c r="CC627" s="935"/>
      <c r="CD627" s="935"/>
      <c r="CE627" s="935"/>
      <c r="CF627" s="935"/>
      <c r="CG627" s="935"/>
      <c r="CH627" s="935"/>
      <c r="CI627" s="935"/>
      <c r="CJ627" s="935"/>
      <c r="CK627" s="935"/>
      <c r="CL627" s="935"/>
      <c r="CM627" s="935"/>
      <c r="CN627" s="935"/>
      <c r="CO627" s="935"/>
      <c r="CP627" s="935"/>
      <c r="CQ627" s="935"/>
      <c r="CR627" s="935"/>
      <c r="CS627" s="935"/>
      <c r="CT627" s="935"/>
      <c r="CU627" s="935"/>
      <c r="CV627" s="935"/>
    </row>
    <row r="628" spans="1:100" s="441" customFormat="1">
      <c r="A628" s="375">
        <f t="shared" si="177"/>
        <v>9</v>
      </c>
      <c r="B628" s="862">
        <v>44461</v>
      </c>
      <c r="C628" s="493" t="s">
        <v>2001</v>
      </c>
      <c r="D628" s="376" t="str">
        <f>IFERROR(VLOOKUP(E:E,'Item Data Support Sheet'!A:O,7,0),"")</f>
        <v>NIPPLE LASER MARKING</v>
      </c>
      <c r="E628" s="447" t="s">
        <v>1816</v>
      </c>
      <c r="F628" s="500"/>
      <c r="G628" s="497"/>
      <c r="H628" s="602" t="str">
        <f>IFERROR(VLOOKUP(E:E,'Item Data Support Sheet'!A:O,2,0),"")</f>
        <v>NIPPLE S TYPE L SIZE PUNCHED LASER MARKED</v>
      </c>
      <c r="I628" s="501" t="s">
        <v>3251</v>
      </c>
      <c r="J628" s="501" t="s">
        <v>2811</v>
      </c>
      <c r="K628" s="438">
        <v>8</v>
      </c>
      <c r="L628" s="499">
        <v>7000</v>
      </c>
      <c r="M628" s="366">
        <f t="shared" si="192"/>
        <v>875</v>
      </c>
      <c r="N628" s="367">
        <f t="shared" si="176"/>
        <v>7288</v>
      </c>
      <c r="O628" s="61">
        <v>7288</v>
      </c>
      <c r="P628" s="368">
        <v>0</v>
      </c>
      <c r="Q628" s="368">
        <v>0</v>
      </c>
      <c r="R628" s="494">
        <v>0</v>
      </c>
      <c r="S628" s="493">
        <v>0</v>
      </c>
      <c r="T628" s="494">
        <v>0</v>
      </c>
      <c r="U628" s="493">
        <v>0</v>
      </c>
      <c r="V628" s="502">
        <v>1</v>
      </c>
      <c r="W628" s="453">
        <f t="shared" si="178"/>
        <v>7288</v>
      </c>
      <c r="X628" s="748">
        <f t="shared" si="179"/>
        <v>1.0411428571428571</v>
      </c>
      <c r="Y628" s="451" t="str">
        <f>IFERROR(VLOOKUP(E:E,'Item Data Support Sheet'!A:J,6,0),0)</f>
        <v>FO021</v>
      </c>
      <c r="Z628" s="428">
        <f>IFERROR(VLOOKUP(E:E,'Item Data Support Sheet'!A:O,4,0),0)</f>
        <v>0</v>
      </c>
      <c r="AA628" s="428">
        <f t="shared" si="180"/>
        <v>0</v>
      </c>
      <c r="AB628" s="429" t="str">
        <f t="shared" si="181"/>
        <v xml:space="preserve"> </v>
      </c>
      <c r="AC628" s="424">
        <f t="shared" si="182"/>
        <v>0</v>
      </c>
      <c r="AD628" s="371">
        <f t="shared" si="183"/>
        <v>0</v>
      </c>
      <c r="AE628" s="748">
        <f t="shared" si="184"/>
        <v>1</v>
      </c>
      <c r="AF628" s="417">
        <f t="shared" si="185"/>
        <v>0</v>
      </c>
      <c r="AG628" s="416">
        <f t="shared" si="186"/>
        <v>8</v>
      </c>
      <c r="AH628" s="372">
        <f t="shared" si="187"/>
        <v>1</v>
      </c>
      <c r="AI628" s="373">
        <f t="shared" si="188"/>
        <v>911</v>
      </c>
      <c r="AJ628" s="418">
        <f>VLOOKUP(D628,'Standard Cycle time'!C:D,2,0)</f>
        <v>3.5</v>
      </c>
      <c r="AK628" s="418">
        <f t="shared" si="189"/>
        <v>3.9517014270032931</v>
      </c>
      <c r="AL628" s="374">
        <f t="shared" si="190"/>
        <v>0.88569444444444445</v>
      </c>
      <c r="AM628" s="372">
        <f t="shared" si="191"/>
        <v>0.88569444444444445</v>
      </c>
      <c r="AN628" s="799" t="s">
        <v>3262</v>
      </c>
      <c r="AO628" s="448"/>
      <c r="AP628" s="440">
        <v>0</v>
      </c>
      <c r="AQ628" s="440">
        <v>0</v>
      </c>
      <c r="AR628" s="440">
        <v>0</v>
      </c>
      <c r="AS628" s="440">
        <v>0</v>
      </c>
      <c r="AT628" s="440">
        <v>0</v>
      </c>
      <c r="AU628" s="440">
        <v>0</v>
      </c>
      <c r="AV628" s="440">
        <v>0</v>
      </c>
      <c r="AW628" s="440">
        <v>0</v>
      </c>
      <c r="AX628" s="440">
        <v>0</v>
      </c>
      <c r="AY628" s="440">
        <v>0</v>
      </c>
      <c r="AZ628" s="440">
        <v>0</v>
      </c>
      <c r="BA628" s="440">
        <v>0</v>
      </c>
      <c r="BB628" s="440">
        <v>0</v>
      </c>
      <c r="BC628" s="440">
        <v>0</v>
      </c>
      <c r="BD628" s="440">
        <v>0</v>
      </c>
      <c r="BE628" s="440">
        <v>0</v>
      </c>
      <c r="BF628" s="440">
        <v>0</v>
      </c>
      <c r="BG628" s="440">
        <v>0</v>
      </c>
      <c r="BH628" s="440">
        <v>0</v>
      </c>
      <c r="BI628" s="440">
        <v>0</v>
      </c>
      <c r="BJ628" s="440">
        <v>0</v>
      </c>
      <c r="BK628" s="440">
        <v>0</v>
      </c>
      <c r="BL628" s="440">
        <v>0</v>
      </c>
      <c r="BM628" s="440">
        <v>0</v>
      </c>
      <c r="BN628" s="440">
        <v>0</v>
      </c>
      <c r="BO628" s="440">
        <v>0</v>
      </c>
      <c r="BP628" s="440">
        <v>0</v>
      </c>
      <c r="BQ628" s="440">
        <v>0</v>
      </c>
      <c r="BR628" s="415">
        <v>0</v>
      </c>
      <c r="BS628" s="415">
        <v>0</v>
      </c>
      <c r="BT628" s="935"/>
      <c r="BU628" s="935"/>
      <c r="BV628" s="935"/>
      <c r="BW628" s="935"/>
      <c r="BX628" s="935"/>
      <c r="BY628" s="935"/>
      <c r="BZ628" s="935"/>
      <c r="CA628" s="935"/>
      <c r="CB628" s="935"/>
      <c r="CC628" s="935"/>
      <c r="CD628" s="935"/>
      <c r="CE628" s="935"/>
      <c r="CF628" s="935"/>
      <c r="CG628" s="935"/>
      <c r="CH628" s="935"/>
      <c r="CI628" s="935"/>
      <c r="CJ628" s="935"/>
      <c r="CK628" s="935"/>
      <c r="CL628" s="935"/>
      <c r="CM628" s="935"/>
      <c r="CN628" s="935"/>
      <c r="CO628" s="935"/>
      <c r="CP628" s="935"/>
      <c r="CQ628" s="935"/>
      <c r="CR628" s="935"/>
      <c r="CS628" s="935"/>
      <c r="CT628" s="935"/>
      <c r="CU628" s="935"/>
      <c r="CV628" s="935"/>
    </row>
    <row r="629" spans="1:100" s="441" customFormat="1">
      <c r="A629" s="375">
        <f t="shared" si="177"/>
        <v>9</v>
      </c>
      <c r="B629" s="862">
        <v>44461</v>
      </c>
      <c r="C629" s="493" t="s">
        <v>2001</v>
      </c>
      <c r="D629" s="376" t="str">
        <f>IFERROR(VLOOKUP(E:E,'Item Data Support Sheet'!A:O,7,0),"")</f>
        <v>BOTTLE MOLDED</v>
      </c>
      <c r="E629" s="447" t="s">
        <v>65</v>
      </c>
      <c r="F629" s="500"/>
      <c r="G629" s="497" t="s">
        <v>1888</v>
      </c>
      <c r="H629" s="602" t="str">
        <f>IFERROR(VLOOKUP(E:E,'Item Data Support Sheet'!A:O,2,0),"")</f>
        <v>KPP 120 ML BOTTLE MOLDED</v>
      </c>
      <c r="I629" s="501" t="s">
        <v>3263</v>
      </c>
      <c r="J629" s="501" t="s">
        <v>2811</v>
      </c>
      <c r="K629" s="438">
        <v>8</v>
      </c>
      <c r="L629" s="499">
        <v>2574</v>
      </c>
      <c r="M629" s="366">
        <f t="shared" si="192"/>
        <v>321.75</v>
      </c>
      <c r="N629" s="367">
        <f t="shared" si="176"/>
        <v>3160</v>
      </c>
      <c r="O629" s="61">
        <v>3060</v>
      </c>
      <c r="P629" s="368">
        <v>0.1</v>
      </c>
      <c r="Q629" s="368">
        <v>35</v>
      </c>
      <c r="R629" s="494">
        <v>0</v>
      </c>
      <c r="S629" s="493">
        <v>0</v>
      </c>
      <c r="T629" s="494">
        <v>65</v>
      </c>
      <c r="U629" s="493">
        <v>0</v>
      </c>
      <c r="V629" s="502">
        <v>1</v>
      </c>
      <c r="W629" s="453">
        <f t="shared" si="178"/>
        <v>3060</v>
      </c>
      <c r="X629" s="748">
        <f t="shared" si="179"/>
        <v>1.1888111888111887</v>
      </c>
      <c r="Y629" s="451" t="str">
        <f>IFERROR(VLOOKUP(E:E,'Item Data Support Sheet'!A:J,6,0),0)</f>
        <v>HMC</v>
      </c>
      <c r="Z629" s="428">
        <f>IFERROR(VLOOKUP(E:E,'Item Data Support Sheet'!A:O,4,0),0)</f>
        <v>21.3</v>
      </c>
      <c r="AA629" s="428">
        <f t="shared" si="180"/>
        <v>67.407999999999987</v>
      </c>
      <c r="AB629" s="429">
        <f t="shared" si="181"/>
        <v>0.9669178732494661</v>
      </c>
      <c r="AC629" s="424">
        <f t="shared" si="182"/>
        <v>2.0799999999999999E-2</v>
      </c>
      <c r="AD629" s="371">
        <f t="shared" si="183"/>
        <v>1.0954616588419406E-2</v>
      </c>
      <c r="AE629" s="748">
        <f t="shared" si="184"/>
        <v>0.97943037974683544</v>
      </c>
      <c r="AF629" s="417">
        <f t="shared" si="185"/>
        <v>0</v>
      </c>
      <c r="AG629" s="416">
        <f t="shared" si="186"/>
        <v>8</v>
      </c>
      <c r="AH629" s="372">
        <f t="shared" si="187"/>
        <v>1</v>
      </c>
      <c r="AI629" s="373">
        <f t="shared" si="188"/>
        <v>382.5</v>
      </c>
      <c r="AJ629" s="418">
        <f>VLOOKUP(D629,'Standard Cycle time'!C:D,2,0)</f>
        <v>9</v>
      </c>
      <c r="AK629" s="418">
        <f t="shared" si="189"/>
        <v>9.4117647058823533</v>
      </c>
      <c r="AL629" s="374">
        <f t="shared" si="190"/>
        <v>0.95624999999999993</v>
      </c>
      <c r="AM629" s="372">
        <f t="shared" si="191"/>
        <v>0.93658030063291131</v>
      </c>
      <c r="AN629" s="799">
        <v>3474</v>
      </c>
      <c r="AO629" s="448"/>
      <c r="AP629" s="440">
        <v>0</v>
      </c>
      <c r="AQ629" s="440">
        <v>0</v>
      </c>
      <c r="AR629" s="440">
        <v>0</v>
      </c>
      <c r="AS629" s="440">
        <v>0</v>
      </c>
      <c r="AT629" s="440">
        <v>0</v>
      </c>
      <c r="AU629" s="440">
        <v>0</v>
      </c>
      <c r="AV629" s="440">
        <v>0</v>
      </c>
      <c r="AW629" s="440">
        <v>0</v>
      </c>
      <c r="AX629" s="440">
        <v>0</v>
      </c>
      <c r="AY629" s="440">
        <v>0</v>
      </c>
      <c r="AZ629" s="440">
        <v>0</v>
      </c>
      <c r="BA629" s="440">
        <v>0</v>
      </c>
      <c r="BB629" s="440">
        <v>0</v>
      </c>
      <c r="BC629" s="440">
        <v>0</v>
      </c>
      <c r="BD629" s="440">
        <v>0</v>
      </c>
      <c r="BE629" s="440">
        <v>0</v>
      </c>
      <c r="BF629" s="440">
        <v>0</v>
      </c>
      <c r="BG629" s="440">
        <v>0</v>
      </c>
      <c r="BH629" s="440">
        <v>0</v>
      </c>
      <c r="BI629" s="440">
        <v>0</v>
      </c>
      <c r="BJ629" s="440">
        <v>0</v>
      </c>
      <c r="BK629" s="440">
        <v>0</v>
      </c>
      <c r="BL629" s="440">
        <v>0</v>
      </c>
      <c r="BM629" s="440">
        <v>0</v>
      </c>
      <c r="BN629" s="440">
        <v>0</v>
      </c>
      <c r="BO629" s="440">
        <v>0</v>
      </c>
      <c r="BP629" s="440">
        <v>0</v>
      </c>
      <c r="BQ629" s="440">
        <v>0</v>
      </c>
      <c r="BR629" s="415">
        <v>0</v>
      </c>
      <c r="BS629" s="415">
        <v>0</v>
      </c>
      <c r="BT629" s="935"/>
      <c r="BU629" s="935"/>
      <c r="BV629" s="935"/>
      <c r="BW629" s="935"/>
      <c r="BX629" s="935"/>
      <c r="BY629" s="935"/>
      <c r="BZ629" s="935"/>
      <c r="CA629" s="935"/>
      <c r="CB629" s="935"/>
      <c r="CC629" s="935"/>
      <c r="CD629" s="935"/>
      <c r="CE629" s="935"/>
      <c r="CF629" s="935"/>
      <c r="CG629" s="935"/>
      <c r="CH629" s="935"/>
      <c r="CI629" s="935"/>
      <c r="CJ629" s="935"/>
      <c r="CK629" s="935"/>
      <c r="CL629" s="935"/>
      <c r="CM629" s="935"/>
      <c r="CN629" s="935"/>
      <c r="CO629" s="935"/>
      <c r="CP629" s="935"/>
      <c r="CQ629" s="935"/>
      <c r="CR629" s="935"/>
      <c r="CS629" s="935"/>
      <c r="CT629" s="935"/>
      <c r="CU629" s="935"/>
      <c r="CV629" s="935"/>
    </row>
    <row r="630" spans="1:100" s="441" customFormat="1">
      <c r="A630" s="375">
        <f t="shared" si="177"/>
        <v>9</v>
      </c>
      <c r="B630" s="862">
        <v>44461</v>
      </c>
      <c r="C630" s="493" t="s">
        <v>2001</v>
      </c>
      <c r="D630" s="376" t="str">
        <f>IFERROR(VLOOKUP(E:E,'Item Data Support Sheet'!A:O,7,0),"")</f>
        <v>CAP MOLDED</v>
      </c>
      <c r="E630" s="447" t="s">
        <v>2107</v>
      </c>
      <c r="F630" s="500"/>
      <c r="G630" s="497" t="s">
        <v>3208</v>
      </c>
      <c r="H630" s="602" t="str">
        <f>IFERROR(VLOOKUP(E:E,'Item Data Support Sheet'!A:O,2,0),"")</f>
        <v>CAP S TYPE MOLDED PINK</v>
      </c>
      <c r="I630" s="501" t="s">
        <v>3264</v>
      </c>
      <c r="J630" s="501" t="s">
        <v>2811</v>
      </c>
      <c r="K630" s="438">
        <v>5</v>
      </c>
      <c r="L630" s="499">
        <v>2586</v>
      </c>
      <c r="M630" s="366">
        <f t="shared" si="192"/>
        <v>517.20000000000005</v>
      </c>
      <c r="N630" s="367">
        <f t="shared" si="176"/>
        <v>3004</v>
      </c>
      <c r="O630" s="61">
        <v>3000</v>
      </c>
      <c r="P630" s="368">
        <v>0</v>
      </c>
      <c r="Q630" s="368">
        <v>0</v>
      </c>
      <c r="R630" s="494">
        <v>0</v>
      </c>
      <c r="S630" s="493">
        <v>0</v>
      </c>
      <c r="T630" s="494">
        <v>4</v>
      </c>
      <c r="U630" s="493">
        <v>0</v>
      </c>
      <c r="V630" s="502">
        <v>1</v>
      </c>
      <c r="W630" s="453">
        <f t="shared" si="178"/>
        <v>3000</v>
      </c>
      <c r="X630" s="748">
        <f t="shared" si="179"/>
        <v>1.160092807424594</v>
      </c>
      <c r="Y630" s="451" t="str">
        <f>IFERROR(VLOOKUP(E:E,'Item Data Support Sheet'!A:J,6,0),0)</f>
        <v>RM000123</v>
      </c>
      <c r="Z630" s="428">
        <f>IFERROR(VLOOKUP(E:E,'Item Data Support Sheet'!A:O,4,0),0)</f>
        <v>7.3</v>
      </c>
      <c r="AA630" s="428">
        <f t="shared" si="180"/>
        <v>21.929200000000002</v>
      </c>
      <c r="AB630" s="429">
        <f t="shared" si="181"/>
        <v>0.99866844207723027</v>
      </c>
      <c r="AC630" s="424">
        <f t="shared" si="182"/>
        <v>1.3315579227696406E-3</v>
      </c>
      <c r="AD630" s="371">
        <f t="shared" si="183"/>
        <v>0</v>
      </c>
      <c r="AE630" s="748">
        <f t="shared" si="184"/>
        <v>0.99866844207723038</v>
      </c>
      <c r="AF630" s="417">
        <f t="shared" si="185"/>
        <v>0</v>
      </c>
      <c r="AG630" s="416">
        <f t="shared" si="186"/>
        <v>5</v>
      </c>
      <c r="AH630" s="372">
        <f t="shared" si="187"/>
        <v>1</v>
      </c>
      <c r="AI630" s="373">
        <f t="shared" si="188"/>
        <v>600</v>
      </c>
      <c r="AJ630" s="418">
        <f>VLOOKUP(D630,'Standard Cycle time'!C:D,2,0)</f>
        <v>6</v>
      </c>
      <c r="AK630" s="418">
        <f t="shared" si="189"/>
        <v>6</v>
      </c>
      <c r="AL630" s="374">
        <f t="shared" si="190"/>
        <v>1</v>
      </c>
      <c r="AM630" s="372">
        <f t="shared" si="191"/>
        <v>0.99866844207723038</v>
      </c>
      <c r="AN630" s="799">
        <v>3487</v>
      </c>
      <c r="AO630" s="448"/>
      <c r="AP630" s="440"/>
      <c r="AQ630" s="440">
        <v>0</v>
      </c>
      <c r="AR630" s="440">
        <v>0</v>
      </c>
      <c r="AS630" s="440">
        <v>0</v>
      </c>
      <c r="AT630" s="440">
        <v>0</v>
      </c>
      <c r="AU630" s="440">
        <v>0</v>
      </c>
      <c r="AV630" s="440">
        <v>0</v>
      </c>
      <c r="AW630" s="440">
        <v>0</v>
      </c>
      <c r="AX630" s="440">
        <v>0</v>
      </c>
      <c r="AY630" s="440">
        <v>0</v>
      </c>
      <c r="AZ630" s="440">
        <v>0</v>
      </c>
      <c r="BA630" s="440">
        <v>0</v>
      </c>
      <c r="BB630" s="440">
        <v>0</v>
      </c>
      <c r="BC630" s="440">
        <v>0</v>
      </c>
      <c r="BD630" s="440">
        <v>0</v>
      </c>
      <c r="BE630" s="440">
        <v>0</v>
      </c>
      <c r="BF630" s="440">
        <v>0</v>
      </c>
      <c r="BG630" s="440">
        <v>0</v>
      </c>
      <c r="BH630" s="440">
        <v>0</v>
      </c>
      <c r="BI630" s="440">
        <v>0</v>
      </c>
      <c r="BJ630" s="440">
        <v>0</v>
      </c>
      <c r="BK630" s="440">
        <v>0</v>
      </c>
      <c r="BL630" s="440">
        <v>0</v>
      </c>
      <c r="BM630" s="440">
        <v>0</v>
      </c>
      <c r="BN630" s="440">
        <v>0</v>
      </c>
      <c r="BO630" s="440">
        <v>0</v>
      </c>
      <c r="BP630" s="440">
        <v>0</v>
      </c>
      <c r="BQ630" s="440">
        <v>0</v>
      </c>
      <c r="BR630" s="415">
        <v>0</v>
      </c>
      <c r="BS630" s="415">
        <v>0</v>
      </c>
      <c r="BT630" s="935"/>
      <c r="BU630" s="935"/>
      <c r="BV630" s="935"/>
      <c r="BW630" s="935"/>
      <c r="BX630" s="935"/>
      <c r="BY630" s="935"/>
      <c r="BZ630" s="935"/>
      <c r="CA630" s="935"/>
      <c r="CB630" s="935"/>
      <c r="CC630" s="935"/>
      <c r="CD630" s="935"/>
      <c r="CE630" s="935"/>
      <c r="CF630" s="935"/>
      <c r="CG630" s="935"/>
      <c r="CH630" s="935"/>
      <c r="CI630" s="935"/>
      <c r="CJ630" s="935"/>
      <c r="CK630" s="935"/>
      <c r="CL630" s="935"/>
      <c r="CM630" s="935"/>
      <c r="CN630" s="935"/>
      <c r="CO630" s="935"/>
      <c r="CP630" s="935"/>
      <c r="CQ630" s="935"/>
      <c r="CR630" s="935"/>
      <c r="CS630" s="935"/>
      <c r="CT630" s="935"/>
      <c r="CU630" s="935"/>
      <c r="CV630" s="935"/>
    </row>
    <row r="631" spans="1:100" s="441" customFormat="1">
      <c r="A631" s="375">
        <f t="shared" si="177"/>
        <v>9</v>
      </c>
      <c r="B631" s="862">
        <v>44461</v>
      </c>
      <c r="C631" s="493" t="s">
        <v>2001</v>
      </c>
      <c r="D631" s="376" t="str">
        <f>IFERROR(VLOOKUP(E:E,'Item Data Support Sheet'!A:O,7,0),"")</f>
        <v>BOTTLE PRINTED</v>
      </c>
      <c r="E631" s="447" t="s">
        <v>231</v>
      </c>
      <c r="F631" s="500"/>
      <c r="G631" s="497"/>
      <c r="H631" s="602" t="str">
        <f>IFERROR(VLOOKUP(E:E,'Item Data Support Sheet'!A:O,2,0),"")</f>
        <v>RPP 120ML GRL PNK BOTLE PNTD WM3GB W/BIS LOGO</v>
      </c>
      <c r="I631" s="501"/>
      <c r="J631" s="501" t="s">
        <v>2811</v>
      </c>
      <c r="K631" s="438">
        <v>6</v>
      </c>
      <c r="L631" s="499">
        <v>1860</v>
      </c>
      <c r="M631" s="366">
        <f t="shared" si="192"/>
        <v>310</v>
      </c>
      <c r="N631" s="367">
        <f t="shared" si="176"/>
        <v>1860</v>
      </c>
      <c r="O631" s="61">
        <v>1838</v>
      </c>
      <c r="P631" s="368">
        <v>0</v>
      </c>
      <c r="Q631" s="368">
        <v>0</v>
      </c>
      <c r="R631" s="494">
        <v>29</v>
      </c>
      <c r="S631" s="493">
        <v>0</v>
      </c>
      <c r="T631" s="494">
        <v>22</v>
      </c>
      <c r="U631" s="493">
        <v>0</v>
      </c>
      <c r="V631" s="502">
        <v>5</v>
      </c>
      <c r="W631" s="453">
        <f t="shared" si="178"/>
        <v>367.6</v>
      </c>
      <c r="X631" s="748">
        <f t="shared" si="179"/>
        <v>0.98817204301075268</v>
      </c>
      <c r="Y631" s="451" t="str">
        <f>IFERROR(VLOOKUP(E:E,'Item Data Support Sheet'!A:J,6,0),0)</f>
        <v>FO052</v>
      </c>
      <c r="Z631" s="428">
        <f>IFERROR(VLOOKUP(E:E,'Item Data Support Sheet'!A:O,4,0),0)</f>
        <v>0</v>
      </c>
      <c r="AA631" s="428">
        <f t="shared" si="180"/>
        <v>0</v>
      </c>
      <c r="AB631" s="429" t="str">
        <f t="shared" si="181"/>
        <v xml:space="preserve"> </v>
      </c>
      <c r="AC631" s="424">
        <f t="shared" si="182"/>
        <v>1.1827956989247311E-2</v>
      </c>
      <c r="AD631" s="371">
        <f t="shared" si="183"/>
        <v>0</v>
      </c>
      <c r="AE631" s="748">
        <f t="shared" si="184"/>
        <v>0.98817204301075268</v>
      </c>
      <c r="AF631" s="417">
        <f t="shared" si="185"/>
        <v>2.6666666666666665</v>
      </c>
      <c r="AG631" s="416">
        <f t="shared" si="186"/>
        <v>3.3333333333333335</v>
      </c>
      <c r="AH631" s="372">
        <f t="shared" si="187"/>
        <v>0.55555555555555558</v>
      </c>
      <c r="AI631" s="373">
        <f t="shared" si="188"/>
        <v>306.33333333333331</v>
      </c>
      <c r="AJ631" s="418">
        <f>VLOOKUP(D631,'Standard Cycle time'!C:D,2,0)</f>
        <v>32.4</v>
      </c>
      <c r="AK631" s="418">
        <f t="shared" si="189"/>
        <v>32.644178454842226</v>
      </c>
      <c r="AL631" s="374">
        <f t="shared" si="190"/>
        <v>0.99251999999999974</v>
      </c>
      <c r="AM631" s="372">
        <f t="shared" si="191"/>
        <v>0.54487806451612886</v>
      </c>
      <c r="AN631" s="799">
        <v>3475</v>
      </c>
      <c r="AO631" s="448" t="s">
        <v>3265</v>
      </c>
      <c r="AP631" s="440">
        <v>40</v>
      </c>
      <c r="AQ631" s="440">
        <v>120</v>
      </c>
      <c r="AR631" s="440">
        <v>0</v>
      </c>
      <c r="AS631" s="440">
        <v>0</v>
      </c>
      <c r="AT631" s="440">
        <v>0</v>
      </c>
      <c r="AU631" s="440">
        <v>0</v>
      </c>
      <c r="AV631" s="440">
        <v>0</v>
      </c>
      <c r="AW631" s="440">
        <v>0</v>
      </c>
      <c r="AX631" s="440">
        <v>0</v>
      </c>
      <c r="AY631" s="440">
        <v>0</v>
      </c>
      <c r="AZ631" s="440">
        <v>0</v>
      </c>
      <c r="BA631" s="440">
        <v>0</v>
      </c>
      <c r="BB631" s="440">
        <v>0</v>
      </c>
      <c r="BC631" s="440">
        <v>0</v>
      </c>
      <c r="BD631" s="440">
        <v>0</v>
      </c>
      <c r="BE631" s="440">
        <v>0</v>
      </c>
      <c r="BF631" s="440">
        <v>0</v>
      </c>
      <c r="BG631" s="440">
        <v>0</v>
      </c>
      <c r="BH631" s="440">
        <v>0</v>
      </c>
      <c r="BI631" s="440">
        <v>0</v>
      </c>
      <c r="BJ631" s="440">
        <v>0</v>
      </c>
      <c r="BK631" s="440">
        <v>0</v>
      </c>
      <c r="BL631" s="440">
        <v>0</v>
      </c>
      <c r="BM631" s="440">
        <v>0</v>
      </c>
      <c r="BN631" s="440">
        <v>0</v>
      </c>
      <c r="BO631" s="440">
        <v>0</v>
      </c>
      <c r="BP631" s="440">
        <v>0</v>
      </c>
      <c r="BQ631" s="440">
        <v>0</v>
      </c>
      <c r="BR631" s="415">
        <v>2.6666666666666665</v>
      </c>
      <c r="BS631" s="415">
        <v>2.7111111111111108</v>
      </c>
      <c r="BT631" s="935"/>
      <c r="BU631" s="935"/>
      <c r="BV631" s="935"/>
      <c r="BW631" s="935"/>
      <c r="BX631" s="935"/>
      <c r="BY631" s="935"/>
      <c r="BZ631" s="935"/>
      <c r="CA631" s="935"/>
      <c r="CB631" s="935"/>
      <c r="CC631" s="935"/>
      <c r="CD631" s="935"/>
      <c r="CE631" s="935"/>
      <c r="CF631" s="935"/>
      <c r="CG631" s="935"/>
      <c r="CH631" s="935"/>
      <c r="CI631" s="935"/>
      <c r="CJ631" s="935"/>
      <c r="CK631" s="935"/>
      <c r="CL631" s="935"/>
      <c r="CM631" s="935"/>
      <c r="CN631" s="935"/>
      <c r="CO631" s="935"/>
      <c r="CP631" s="935"/>
      <c r="CQ631" s="935"/>
      <c r="CR631" s="935"/>
      <c r="CS631" s="935"/>
      <c r="CT631" s="935"/>
      <c r="CU631" s="935"/>
      <c r="CV631" s="935"/>
    </row>
    <row r="632" spans="1:100" s="441" customFormat="1">
      <c r="A632" s="375">
        <f t="shared" si="177"/>
        <v>9</v>
      </c>
      <c r="B632" s="862">
        <v>44461</v>
      </c>
      <c r="C632" s="493" t="s">
        <v>2001</v>
      </c>
      <c r="D632" s="376" t="str">
        <f>IFERROR(VLOOKUP(E:E,'Item Data Support Sheet'!A:O,7,0),"")</f>
        <v>BOTTLE PRINTED</v>
      </c>
      <c r="E632" s="447" t="s">
        <v>232</v>
      </c>
      <c r="F632" s="500"/>
      <c r="G632" s="497"/>
      <c r="H632" s="602" t="str">
        <f>IFERROR(VLOOKUP(E:E,'Item Data Support Sheet'!A:O,2,0),"")</f>
        <v>RPP 120ML BOY BLUE BOTLE PNTD WM3GB W/BIS LOGO</v>
      </c>
      <c r="I632" s="501" t="s">
        <v>3266</v>
      </c>
      <c r="J632" s="501" t="s">
        <v>2811</v>
      </c>
      <c r="K632" s="438">
        <v>2</v>
      </c>
      <c r="L632" s="499">
        <v>1031</v>
      </c>
      <c r="M632" s="366">
        <f t="shared" si="192"/>
        <v>515.5</v>
      </c>
      <c r="N632" s="367">
        <f t="shared" si="176"/>
        <v>1031</v>
      </c>
      <c r="O632" s="61">
        <v>1020</v>
      </c>
      <c r="P632" s="368">
        <v>0</v>
      </c>
      <c r="Q632" s="368">
        <v>0</v>
      </c>
      <c r="R632" s="494">
        <v>14</v>
      </c>
      <c r="S632" s="493">
        <v>0</v>
      </c>
      <c r="T632" s="494">
        <v>11</v>
      </c>
      <c r="U632" s="493">
        <v>0</v>
      </c>
      <c r="V632" s="502">
        <v>5</v>
      </c>
      <c r="W632" s="453">
        <f t="shared" si="178"/>
        <v>204</v>
      </c>
      <c r="X632" s="748">
        <f t="shared" si="179"/>
        <v>0.98933074684772071</v>
      </c>
      <c r="Y632" s="451" t="str">
        <f>IFERROR(VLOOKUP(E:E,'Item Data Support Sheet'!A:J,6,0),0)</f>
        <v>FO054</v>
      </c>
      <c r="Z632" s="428">
        <f>IFERROR(VLOOKUP(E:E,'Item Data Support Sheet'!A:O,4,0),0)</f>
        <v>0</v>
      </c>
      <c r="AA632" s="428">
        <f t="shared" si="180"/>
        <v>0</v>
      </c>
      <c r="AB632" s="429" t="str">
        <f t="shared" si="181"/>
        <v xml:space="preserve"> </v>
      </c>
      <c r="AC632" s="424">
        <f t="shared" si="182"/>
        <v>1.066925315227934E-2</v>
      </c>
      <c r="AD632" s="371">
        <f t="shared" si="183"/>
        <v>0</v>
      </c>
      <c r="AE632" s="748">
        <f t="shared" si="184"/>
        <v>0.98933074684772071</v>
      </c>
      <c r="AF632" s="417">
        <f t="shared" si="185"/>
        <v>0</v>
      </c>
      <c r="AG632" s="416">
        <f t="shared" si="186"/>
        <v>2</v>
      </c>
      <c r="AH632" s="372">
        <f t="shared" si="187"/>
        <v>1</v>
      </c>
      <c r="AI632" s="373">
        <f t="shared" si="188"/>
        <v>510</v>
      </c>
      <c r="AJ632" s="418">
        <f>VLOOKUP(D632,'Standard Cycle time'!C:D,2,0)</f>
        <v>32.4</v>
      </c>
      <c r="AK632" s="418">
        <f t="shared" si="189"/>
        <v>35.294117647058826</v>
      </c>
      <c r="AL632" s="374">
        <f t="shared" si="190"/>
        <v>0.91799999999999993</v>
      </c>
      <c r="AM632" s="372">
        <f t="shared" si="191"/>
        <v>0.90820562560620754</v>
      </c>
      <c r="AN632" s="799" t="s">
        <v>2874</v>
      </c>
      <c r="AO632" s="448" t="s">
        <v>3267</v>
      </c>
      <c r="AP632" s="440">
        <v>0</v>
      </c>
      <c r="AQ632" s="440">
        <v>0</v>
      </c>
      <c r="AR632" s="440">
        <v>0</v>
      </c>
      <c r="AS632" s="440">
        <v>0</v>
      </c>
      <c r="AT632" s="440">
        <v>0</v>
      </c>
      <c r="AU632" s="440">
        <v>0</v>
      </c>
      <c r="AV632" s="440">
        <v>0</v>
      </c>
      <c r="AW632" s="440">
        <v>0</v>
      </c>
      <c r="AX632" s="440">
        <v>0</v>
      </c>
      <c r="AY632" s="440">
        <v>0</v>
      </c>
      <c r="AZ632" s="440">
        <v>0</v>
      </c>
      <c r="BA632" s="440">
        <v>0</v>
      </c>
      <c r="BB632" s="440">
        <v>0</v>
      </c>
      <c r="BC632" s="440">
        <v>0</v>
      </c>
      <c r="BD632" s="440">
        <v>0</v>
      </c>
      <c r="BE632" s="440">
        <v>0</v>
      </c>
      <c r="BF632" s="440">
        <v>0</v>
      </c>
      <c r="BG632" s="440">
        <v>0</v>
      </c>
      <c r="BH632" s="440">
        <v>0</v>
      </c>
      <c r="BI632" s="440">
        <v>0</v>
      </c>
      <c r="BJ632" s="440">
        <v>0</v>
      </c>
      <c r="BK632" s="440">
        <v>0</v>
      </c>
      <c r="BL632" s="440">
        <v>0</v>
      </c>
      <c r="BM632" s="440">
        <v>0</v>
      </c>
      <c r="BN632" s="440">
        <v>0</v>
      </c>
      <c r="BO632" s="440">
        <v>0</v>
      </c>
      <c r="BP632" s="440">
        <v>0</v>
      </c>
      <c r="BQ632" s="440">
        <v>0</v>
      </c>
      <c r="BR632" s="415">
        <v>0</v>
      </c>
      <c r="BS632" s="415">
        <v>0</v>
      </c>
      <c r="BT632" s="935"/>
      <c r="BU632" s="935"/>
      <c r="BV632" s="935"/>
      <c r="BW632" s="935"/>
      <c r="BX632" s="935"/>
      <c r="BY632" s="935"/>
      <c r="BZ632" s="935"/>
      <c r="CA632" s="935"/>
      <c r="CB632" s="935"/>
      <c r="CC632" s="935"/>
      <c r="CD632" s="935"/>
      <c r="CE632" s="935"/>
      <c r="CF632" s="935"/>
      <c r="CG632" s="935"/>
      <c r="CH632" s="935"/>
      <c r="CI632" s="935"/>
      <c r="CJ632" s="935"/>
      <c r="CK632" s="935"/>
      <c r="CL632" s="935"/>
      <c r="CM632" s="935"/>
      <c r="CN632" s="935"/>
      <c r="CO632" s="935"/>
      <c r="CP632" s="935"/>
      <c r="CQ632" s="935"/>
      <c r="CR632" s="935"/>
      <c r="CS632" s="935"/>
      <c r="CT632" s="935"/>
      <c r="CU632" s="935"/>
      <c r="CV632" s="935"/>
    </row>
    <row r="633" spans="1:100" s="441" customFormat="1">
      <c r="A633" s="375">
        <f t="shared" si="177"/>
        <v>9</v>
      </c>
      <c r="B633" s="862">
        <v>44461</v>
      </c>
      <c r="C633" s="493" t="s">
        <v>2053</v>
      </c>
      <c r="D633" s="376" t="str">
        <f>IFERROR(VLOOKUP(E:E,'Item Data Support Sheet'!A:O,7,0),"")</f>
        <v>NIPPLE MOLDED</v>
      </c>
      <c r="E633" s="447" t="s">
        <v>72</v>
      </c>
      <c r="F633" s="500" t="s">
        <v>1678</v>
      </c>
      <c r="G633" s="497" t="s">
        <v>1691</v>
      </c>
      <c r="H633" s="602" t="str">
        <f>IFERROR(VLOOKUP(E:E,'Item Data Support Sheet'!A:O,2,0),"")</f>
        <v>NIPPLE S TYPE S SIZE INJECTION</v>
      </c>
      <c r="I633" s="501" t="s">
        <v>3268</v>
      </c>
      <c r="J633" s="501" t="s">
        <v>2826</v>
      </c>
      <c r="K633" s="438">
        <v>8</v>
      </c>
      <c r="L633" s="499">
        <v>3600</v>
      </c>
      <c r="M633" s="366">
        <f t="shared" si="192"/>
        <v>450</v>
      </c>
      <c r="N633" s="367">
        <f t="shared" si="176"/>
        <v>2797</v>
      </c>
      <c r="O633" s="61">
        <v>2700</v>
      </c>
      <c r="P633" s="368">
        <v>5.4</v>
      </c>
      <c r="Q633" s="368">
        <v>44</v>
      </c>
      <c r="R633" s="494">
        <v>0</v>
      </c>
      <c r="S633" s="493">
        <v>0</v>
      </c>
      <c r="T633" s="494">
        <v>37</v>
      </c>
      <c r="U633" s="493">
        <v>16</v>
      </c>
      <c r="V633" s="502">
        <v>1</v>
      </c>
      <c r="W633" s="453">
        <f t="shared" si="178"/>
        <v>2700</v>
      </c>
      <c r="X633" s="748">
        <f t="shared" si="179"/>
        <v>0.75</v>
      </c>
      <c r="Y633" s="451" t="str">
        <f>IFERROR(VLOOKUP(E:E,'Item Data Support Sheet'!A:J,6,0),0)</f>
        <v>Silicon</v>
      </c>
      <c r="Z633" s="428">
        <f>IFERROR(VLOOKUP(E:E,'Item Data Support Sheet'!A:O,4,0),0)</f>
        <v>6.8</v>
      </c>
      <c r="AA633" s="428">
        <f t="shared" si="180"/>
        <v>24.419600000000003</v>
      </c>
      <c r="AB633" s="429">
        <f t="shared" si="181"/>
        <v>0.75185506724106854</v>
      </c>
      <c r="AC633" s="424">
        <f t="shared" si="182"/>
        <v>1.351845085860431E-2</v>
      </c>
      <c r="AD633" s="371">
        <f t="shared" si="183"/>
        <v>1.5487504399859204E-2</v>
      </c>
      <c r="AE633" s="748">
        <f t="shared" si="184"/>
        <v>0.98677154093671793</v>
      </c>
      <c r="AF633" s="417">
        <f t="shared" si="185"/>
        <v>3</v>
      </c>
      <c r="AG633" s="416">
        <f t="shared" si="186"/>
        <v>5</v>
      </c>
      <c r="AH633" s="372">
        <f t="shared" si="187"/>
        <v>0.625</v>
      </c>
      <c r="AI633" s="373">
        <f t="shared" si="188"/>
        <v>337.5</v>
      </c>
      <c r="AJ633" s="418">
        <f>VLOOKUP(D633,'Standard Cycle time'!C:D,2,0)</f>
        <v>5.25</v>
      </c>
      <c r="AK633" s="418">
        <f t="shared" si="189"/>
        <v>6.666666666666667</v>
      </c>
      <c r="AL633" s="374">
        <f t="shared" si="190"/>
        <v>0.78749999999999998</v>
      </c>
      <c r="AM633" s="372">
        <f t="shared" si="191"/>
        <v>0.48567661780479082</v>
      </c>
      <c r="AN633" s="799">
        <v>3479</v>
      </c>
      <c r="AO633" s="448" t="s">
        <v>3269</v>
      </c>
      <c r="AP633" s="440">
        <v>0</v>
      </c>
      <c r="AQ633" s="440">
        <v>40</v>
      </c>
      <c r="AR633" s="440">
        <v>0</v>
      </c>
      <c r="AS633" s="440">
        <v>0</v>
      </c>
      <c r="AT633" s="440">
        <v>0</v>
      </c>
      <c r="AU633" s="440">
        <v>0</v>
      </c>
      <c r="AV633" s="440">
        <v>0</v>
      </c>
      <c r="AW633" s="440">
        <v>0</v>
      </c>
      <c r="AX633" s="440">
        <v>30</v>
      </c>
      <c r="AY633" s="440">
        <v>0</v>
      </c>
      <c r="AZ633" s="440">
        <v>0</v>
      </c>
      <c r="BA633" s="440">
        <v>110</v>
      </c>
      <c r="BB633" s="440">
        <v>0</v>
      </c>
      <c r="BC633" s="440">
        <v>0</v>
      </c>
      <c r="BD633" s="440">
        <v>0</v>
      </c>
      <c r="BE633" s="440">
        <v>0</v>
      </c>
      <c r="BF633" s="440">
        <v>0</v>
      </c>
      <c r="BG633" s="440">
        <v>0</v>
      </c>
      <c r="BH633" s="440">
        <v>0</v>
      </c>
      <c r="BI633" s="440">
        <v>0</v>
      </c>
      <c r="BJ633" s="440">
        <v>0</v>
      </c>
      <c r="BK633" s="440">
        <v>0</v>
      </c>
      <c r="BL633" s="440">
        <v>0</v>
      </c>
      <c r="BM633" s="440">
        <v>0</v>
      </c>
      <c r="BN633" s="440">
        <v>0</v>
      </c>
      <c r="BO633" s="440">
        <v>0</v>
      </c>
      <c r="BP633" s="440">
        <v>0</v>
      </c>
      <c r="BQ633" s="440">
        <v>0</v>
      </c>
      <c r="BR633" s="415">
        <v>3</v>
      </c>
      <c r="BS633" s="415">
        <v>3.05</v>
      </c>
      <c r="BT633" s="935"/>
      <c r="BU633" s="935"/>
      <c r="BV633" s="935"/>
      <c r="BW633" s="935"/>
      <c r="BX633" s="935"/>
      <c r="BY633" s="935"/>
      <c r="BZ633" s="935"/>
      <c r="CA633" s="935"/>
      <c r="CB633" s="935"/>
      <c r="CC633" s="935"/>
      <c r="CD633" s="935"/>
      <c r="CE633" s="935"/>
      <c r="CF633" s="935"/>
      <c r="CG633" s="935"/>
      <c r="CH633" s="935"/>
      <c r="CI633" s="935"/>
      <c r="CJ633" s="935"/>
      <c r="CK633" s="935"/>
      <c r="CL633" s="935"/>
      <c r="CM633" s="935"/>
      <c r="CN633" s="935"/>
      <c r="CO633" s="935"/>
      <c r="CP633" s="935"/>
      <c r="CQ633" s="935"/>
      <c r="CR633" s="935"/>
      <c r="CS633" s="935"/>
      <c r="CT633" s="935"/>
      <c r="CU633" s="935"/>
      <c r="CV633" s="935"/>
    </row>
    <row r="634" spans="1:100" s="441" customFormat="1">
      <c r="A634" s="375">
        <f t="shared" si="177"/>
        <v>9</v>
      </c>
      <c r="B634" s="862">
        <v>44461</v>
      </c>
      <c r="C634" s="493" t="s">
        <v>2053</v>
      </c>
      <c r="D634" s="376" t="str">
        <f>IFERROR(VLOOKUP(E:E,'Item Data Support Sheet'!A:O,7,0),"")</f>
        <v>BOTTLE MOLDED</v>
      </c>
      <c r="E634" s="447" t="s">
        <v>65</v>
      </c>
      <c r="F634" s="500" t="s">
        <v>1679</v>
      </c>
      <c r="G634" s="497" t="s">
        <v>1888</v>
      </c>
      <c r="H634" s="602" t="str">
        <f>IFERROR(VLOOKUP(E:E,'Item Data Support Sheet'!A:O,2,0),"")</f>
        <v>KPP 120 ML BOTTLE MOLDED</v>
      </c>
      <c r="I634" s="501" t="s">
        <v>3270</v>
      </c>
      <c r="J634" s="501" t="s">
        <v>2826</v>
      </c>
      <c r="K634" s="438">
        <v>8</v>
      </c>
      <c r="L634" s="499">
        <v>2574</v>
      </c>
      <c r="M634" s="366">
        <f t="shared" si="192"/>
        <v>321.75</v>
      </c>
      <c r="N634" s="367">
        <f t="shared" si="176"/>
        <v>3123</v>
      </c>
      <c r="O634" s="61">
        <v>3060</v>
      </c>
      <c r="P634" s="368">
        <v>0.22</v>
      </c>
      <c r="Q634" s="368">
        <v>18</v>
      </c>
      <c r="R634" s="494">
        <v>0</v>
      </c>
      <c r="S634" s="493">
        <v>0</v>
      </c>
      <c r="T634" s="494">
        <v>37</v>
      </c>
      <c r="U634" s="493">
        <v>8</v>
      </c>
      <c r="V634" s="502">
        <v>1</v>
      </c>
      <c r="W634" s="453">
        <f t="shared" si="178"/>
        <v>3060</v>
      </c>
      <c r="X634" s="748">
        <f t="shared" si="179"/>
        <v>1.1888111888111887</v>
      </c>
      <c r="Y634" s="451" t="str">
        <f>IFERROR(VLOOKUP(E:E,'Item Data Support Sheet'!A:J,6,0),0)</f>
        <v>HMC</v>
      </c>
      <c r="Z634" s="428">
        <f>IFERROR(VLOOKUP(E:E,'Item Data Support Sheet'!A:O,4,0),0)</f>
        <v>21.3</v>
      </c>
      <c r="AA634" s="428">
        <f t="shared" si="180"/>
        <v>66.739899999999992</v>
      </c>
      <c r="AB634" s="429">
        <f t="shared" si="181"/>
        <v>0.9765972079670483</v>
      </c>
      <c r="AC634" s="424">
        <f t="shared" si="182"/>
        <v>1.1947045527930255E-2</v>
      </c>
      <c r="AD634" s="371">
        <f t="shared" si="183"/>
        <v>5.7306590257879654E-3</v>
      </c>
      <c r="AE634" s="748">
        <f t="shared" si="184"/>
        <v>0.98815241754723027</v>
      </c>
      <c r="AF634" s="417">
        <f t="shared" si="185"/>
        <v>0</v>
      </c>
      <c r="AG634" s="416">
        <f t="shared" si="186"/>
        <v>8</v>
      </c>
      <c r="AH634" s="372">
        <f t="shared" si="187"/>
        <v>1</v>
      </c>
      <c r="AI634" s="373">
        <f t="shared" si="188"/>
        <v>382.5</v>
      </c>
      <c r="AJ634" s="418">
        <f>VLOOKUP(D634,'Standard Cycle time'!C:D,2,0)</f>
        <v>9</v>
      </c>
      <c r="AK634" s="418">
        <f t="shared" si="189"/>
        <v>9.4117647058823533</v>
      </c>
      <c r="AL634" s="374">
        <f t="shared" si="190"/>
        <v>0.95624999999999993</v>
      </c>
      <c r="AM634" s="372">
        <f t="shared" si="191"/>
        <v>0.94492074927953884</v>
      </c>
      <c r="AN634" s="799">
        <v>3478</v>
      </c>
      <c r="AO634" s="448"/>
      <c r="AP634" s="440">
        <v>0</v>
      </c>
      <c r="AQ634" s="440">
        <v>0</v>
      </c>
      <c r="AR634" s="440">
        <v>0</v>
      </c>
      <c r="AS634" s="440">
        <v>0</v>
      </c>
      <c r="AT634" s="440">
        <v>0</v>
      </c>
      <c r="AU634" s="440">
        <v>0</v>
      </c>
      <c r="AV634" s="440">
        <v>0</v>
      </c>
      <c r="AW634" s="440">
        <v>0</v>
      </c>
      <c r="AX634" s="440">
        <v>0</v>
      </c>
      <c r="AY634" s="440">
        <v>0</v>
      </c>
      <c r="AZ634" s="440">
        <v>0</v>
      </c>
      <c r="BA634" s="440">
        <v>0</v>
      </c>
      <c r="BB634" s="440">
        <v>0</v>
      </c>
      <c r="BC634" s="440">
        <v>0</v>
      </c>
      <c r="BD634" s="440">
        <v>0</v>
      </c>
      <c r="BE634" s="440">
        <v>0</v>
      </c>
      <c r="BF634" s="440">
        <v>0</v>
      </c>
      <c r="BG634" s="440">
        <v>0</v>
      </c>
      <c r="BH634" s="440">
        <v>0</v>
      </c>
      <c r="BI634" s="440">
        <v>0</v>
      </c>
      <c r="BJ634" s="440">
        <v>0</v>
      </c>
      <c r="BK634" s="440">
        <v>0</v>
      </c>
      <c r="BL634" s="440">
        <v>0</v>
      </c>
      <c r="BM634" s="440">
        <v>0</v>
      </c>
      <c r="BN634" s="440">
        <v>0</v>
      </c>
      <c r="BO634" s="440">
        <v>0</v>
      </c>
      <c r="BP634" s="440">
        <v>0</v>
      </c>
      <c r="BQ634" s="440">
        <v>0</v>
      </c>
      <c r="BR634" s="415">
        <v>0</v>
      </c>
      <c r="BS634" s="415">
        <v>0</v>
      </c>
      <c r="BT634" s="935"/>
      <c r="BU634" s="935"/>
      <c r="BV634" s="935"/>
      <c r="BW634" s="935"/>
      <c r="BX634" s="935"/>
      <c r="BY634" s="935"/>
      <c r="BZ634" s="935"/>
      <c r="CA634" s="935"/>
      <c r="CB634" s="935"/>
      <c r="CC634" s="935"/>
      <c r="CD634" s="935"/>
      <c r="CE634" s="935"/>
      <c r="CF634" s="935"/>
      <c r="CG634" s="935"/>
      <c r="CH634" s="935"/>
      <c r="CI634" s="935"/>
      <c r="CJ634" s="935"/>
      <c r="CK634" s="935"/>
      <c r="CL634" s="935"/>
      <c r="CM634" s="935"/>
      <c r="CN634" s="935"/>
      <c r="CO634" s="935"/>
      <c r="CP634" s="935"/>
      <c r="CQ634" s="935"/>
      <c r="CR634" s="935"/>
      <c r="CS634" s="935"/>
      <c r="CT634" s="935"/>
      <c r="CU634" s="935"/>
      <c r="CV634" s="935"/>
    </row>
    <row r="635" spans="1:100" s="441" customFormat="1">
      <c r="A635" s="375">
        <f t="shared" si="177"/>
        <v>9</v>
      </c>
      <c r="B635" s="862">
        <v>44461</v>
      </c>
      <c r="C635" s="493" t="s">
        <v>2053</v>
      </c>
      <c r="D635" s="376" t="str">
        <f>IFERROR(VLOOKUP(E:E,'Item Data Support Sheet'!A:O,7,0),"")</f>
        <v>CAP MOLDED</v>
      </c>
      <c r="E635" s="447" t="s">
        <v>2107</v>
      </c>
      <c r="F635" s="500"/>
      <c r="G635" s="497" t="s">
        <v>3212</v>
      </c>
      <c r="H635" s="602" t="str">
        <f>IFERROR(VLOOKUP(E:E,'Item Data Support Sheet'!A:O,2,0),"")</f>
        <v>CAP S TYPE MOLDED PINK</v>
      </c>
      <c r="I635" s="501" t="s">
        <v>3271</v>
      </c>
      <c r="J635" s="501" t="s">
        <v>2826</v>
      </c>
      <c r="K635" s="438">
        <v>1</v>
      </c>
      <c r="L635" s="499">
        <v>500</v>
      </c>
      <c r="M635" s="366">
        <f t="shared" si="192"/>
        <v>500</v>
      </c>
      <c r="N635" s="367">
        <f t="shared" si="176"/>
        <v>500</v>
      </c>
      <c r="O635" s="61">
        <v>500</v>
      </c>
      <c r="P635" s="368">
        <v>0</v>
      </c>
      <c r="Q635" s="368">
        <v>0</v>
      </c>
      <c r="R635" s="494">
        <v>0</v>
      </c>
      <c r="S635" s="493">
        <v>0</v>
      </c>
      <c r="T635" s="494">
        <v>0</v>
      </c>
      <c r="U635" s="493">
        <v>0</v>
      </c>
      <c r="V635" s="502">
        <v>1</v>
      </c>
      <c r="W635" s="453">
        <f t="shared" si="178"/>
        <v>500</v>
      </c>
      <c r="X635" s="748">
        <f t="shared" si="179"/>
        <v>1</v>
      </c>
      <c r="Y635" s="451" t="str">
        <f>IFERROR(VLOOKUP(E:E,'Item Data Support Sheet'!A:J,6,0),0)</f>
        <v>RM000123</v>
      </c>
      <c r="Z635" s="428">
        <f>IFERROR(VLOOKUP(E:E,'Item Data Support Sheet'!A:O,4,0),0)</f>
        <v>7.3</v>
      </c>
      <c r="AA635" s="428">
        <f t="shared" si="180"/>
        <v>3.65</v>
      </c>
      <c r="AB635" s="429">
        <f t="shared" si="181"/>
        <v>1</v>
      </c>
      <c r="AC635" s="424">
        <f t="shared" si="182"/>
        <v>0</v>
      </c>
      <c r="AD635" s="371">
        <f t="shared" si="183"/>
        <v>0</v>
      </c>
      <c r="AE635" s="748">
        <f t="shared" si="184"/>
        <v>1</v>
      </c>
      <c r="AF635" s="417">
        <f t="shared" si="185"/>
        <v>0</v>
      </c>
      <c r="AG635" s="416">
        <f t="shared" si="186"/>
        <v>1</v>
      </c>
      <c r="AH635" s="372">
        <f t="shared" si="187"/>
        <v>1</v>
      </c>
      <c r="AI635" s="373">
        <f t="shared" si="188"/>
        <v>500</v>
      </c>
      <c r="AJ635" s="418">
        <f>VLOOKUP(D635,'Standard Cycle time'!C:D,2,0)</f>
        <v>6</v>
      </c>
      <c r="AK635" s="418">
        <f t="shared" si="189"/>
        <v>7.2</v>
      </c>
      <c r="AL635" s="374">
        <f t="shared" si="190"/>
        <v>0.83333333333333326</v>
      </c>
      <c r="AM635" s="372">
        <f t="shared" si="191"/>
        <v>0.83333333333333326</v>
      </c>
      <c r="AN635" s="799">
        <v>3483</v>
      </c>
      <c r="AO635" s="448"/>
      <c r="AP635" s="440">
        <v>0</v>
      </c>
      <c r="AQ635" s="440">
        <v>0</v>
      </c>
      <c r="AR635" s="440">
        <v>0</v>
      </c>
      <c r="AS635" s="440">
        <v>0</v>
      </c>
      <c r="AT635" s="440">
        <v>0</v>
      </c>
      <c r="AU635" s="440">
        <v>0</v>
      </c>
      <c r="AV635" s="440">
        <v>0</v>
      </c>
      <c r="AW635" s="440">
        <v>0</v>
      </c>
      <c r="AX635" s="440">
        <v>0</v>
      </c>
      <c r="AY635" s="440">
        <v>0</v>
      </c>
      <c r="AZ635" s="440">
        <v>0</v>
      </c>
      <c r="BA635" s="440">
        <v>0</v>
      </c>
      <c r="BB635" s="440">
        <v>0</v>
      </c>
      <c r="BC635" s="440">
        <v>0</v>
      </c>
      <c r="BD635" s="440">
        <v>0</v>
      </c>
      <c r="BE635" s="440">
        <v>0</v>
      </c>
      <c r="BF635" s="440">
        <v>0</v>
      </c>
      <c r="BG635" s="440">
        <v>0</v>
      </c>
      <c r="BH635" s="440">
        <v>0</v>
      </c>
      <c r="BI635" s="440">
        <v>0</v>
      </c>
      <c r="BJ635" s="440">
        <v>0</v>
      </c>
      <c r="BK635" s="440">
        <v>0</v>
      </c>
      <c r="BL635" s="440">
        <v>0</v>
      </c>
      <c r="BM635" s="440">
        <v>0</v>
      </c>
      <c r="BN635" s="440">
        <v>0</v>
      </c>
      <c r="BO635" s="440">
        <v>0</v>
      </c>
      <c r="BP635" s="440">
        <v>0</v>
      </c>
      <c r="BQ635" s="440">
        <v>0</v>
      </c>
      <c r="BR635" s="415">
        <v>0</v>
      </c>
      <c r="BS635" s="415">
        <v>0</v>
      </c>
      <c r="BT635" s="935"/>
      <c r="BU635" s="935"/>
      <c r="BV635" s="935"/>
      <c r="BW635" s="935"/>
      <c r="BX635" s="935"/>
      <c r="BY635" s="935"/>
      <c r="BZ635" s="935"/>
      <c r="CA635" s="935"/>
      <c r="CB635" s="935"/>
      <c r="CC635" s="935"/>
      <c r="CD635" s="935"/>
      <c r="CE635" s="935"/>
      <c r="CF635" s="935"/>
      <c r="CG635" s="935"/>
      <c r="CH635" s="935"/>
      <c r="CI635" s="935"/>
      <c r="CJ635" s="935"/>
      <c r="CK635" s="935"/>
      <c r="CL635" s="935"/>
      <c r="CM635" s="935"/>
      <c r="CN635" s="935"/>
      <c r="CO635" s="935"/>
      <c r="CP635" s="935"/>
      <c r="CQ635" s="935"/>
      <c r="CR635" s="935"/>
      <c r="CS635" s="935"/>
      <c r="CT635" s="935"/>
      <c r="CU635" s="935"/>
      <c r="CV635" s="935"/>
    </row>
    <row r="636" spans="1:100" s="441" customFormat="1">
      <c r="A636" s="375">
        <f t="shared" si="177"/>
        <v>9</v>
      </c>
      <c r="B636" s="862">
        <v>44461</v>
      </c>
      <c r="C636" s="493" t="s">
        <v>2053</v>
      </c>
      <c r="D636" s="376" t="str">
        <f>IFERROR(VLOOKUP(E:E,'Item Data Support Sheet'!A:O,7,0),"")</f>
        <v>CAP MOLDED</v>
      </c>
      <c r="E636" s="447" t="s">
        <v>2107</v>
      </c>
      <c r="F636" s="500"/>
      <c r="G636" s="497" t="s">
        <v>3208</v>
      </c>
      <c r="H636" s="602" t="str">
        <f>IFERROR(VLOOKUP(E:E,'Item Data Support Sheet'!A:O,2,0),"")</f>
        <v>CAP S TYPE MOLDED PINK</v>
      </c>
      <c r="I636" s="501" t="s">
        <v>3272</v>
      </c>
      <c r="J636" s="501" t="s">
        <v>2826</v>
      </c>
      <c r="K636" s="438">
        <v>7</v>
      </c>
      <c r="L636" s="499">
        <v>3637</v>
      </c>
      <c r="M636" s="366">
        <f t="shared" si="192"/>
        <v>519.57142857142856</v>
      </c>
      <c r="N636" s="367">
        <f t="shared" si="176"/>
        <v>4013</v>
      </c>
      <c r="O636" s="61">
        <v>4000</v>
      </c>
      <c r="P636" s="368">
        <v>0</v>
      </c>
      <c r="Q636" s="368">
        <v>0</v>
      </c>
      <c r="R636" s="494">
        <v>0</v>
      </c>
      <c r="S636" s="493">
        <v>0</v>
      </c>
      <c r="T636" s="494">
        <v>5</v>
      </c>
      <c r="U636" s="493">
        <v>8</v>
      </c>
      <c r="V636" s="502">
        <v>1</v>
      </c>
      <c r="W636" s="453">
        <f t="shared" si="178"/>
        <v>4000</v>
      </c>
      <c r="X636" s="748">
        <f t="shared" si="179"/>
        <v>1.0998075336816058</v>
      </c>
      <c r="Y636" s="451" t="str">
        <f>IFERROR(VLOOKUP(E:E,'Item Data Support Sheet'!A:J,6,0),0)</f>
        <v>RM000123</v>
      </c>
      <c r="Z636" s="428">
        <f>IFERROR(VLOOKUP(E:E,'Item Data Support Sheet'!A:O,4,0),0)</f>
        <v>7.3</v>
      </c>
      <c r="AA636" s="428">
        <f t="shared" si="180"/>
        <v>29.294900000000002</v>
      </c>
      <c r="AB636" s="429">
        <f t="shared" si="181"/>
        <v>0.99676052828307993</v>
      </c>
      <c r="AC636" s="424">
        <f t="shared" si="182"/>
        <v>1.2484394506866417E-3</v>
      </c>
      <c r="AD636" s="371">
        <f t="shared" si="183"/>
        <v>0</v>
      </c>
      <c r="AE636" s="748">
        <f t="shared" si="184"/>
        <v>0.99875404933964618</v>
      </c>
      <c r="AF636" s="417">
        <f t="shared" si="185"/>
        <v>0</v>
      </c>
      <c r="AG636" s="416">
        <f t="shared" si="186"/>
        <v>7</v>
      </c>
      <c r="AH636" s="372">
        <f t="shared" si="187"/>
        <v>1</v>
      </c>
      <c r="AI636" s="373">
        <f t="shared" si="188"/>
        <v>571.42857142857144</v>
      </c>
      <c r="AJ636" s="418">
        <f>VLOOKUP(D636,'Standard Cycle time'!C:D,2,0)</f>
        <v>6</v>
      </c>
      <c r="AK636" s="418">
        <f t="shared" si="189"/>
        <v>6.3</v>
      </c>
      <c r="AL636" s="374">
        <f t="shared" si="190"/>
        <v>0.95238095238095244</v>
      </c>
      <c r="AM636" s="372">
        <f t="shared" si="191"/>
        <v>0.95119433270442499</v>
      </c>
      <c r="AN636" s="799">
        <v>3488</v>
      </c>
      <c r="AO636" s="448"/>
      <c r="AP636" s="440">
        <v>0</v>
      </c>
      <c r="AQ636" s="440">
        <v>0</v>
      </c>
      <c r="AR636" s="440">
        <v>0</v>
      </c>
      <c r="AS636" s="440">
        <v>0</v>
      </c>
      <c r="AT636" s="440">
        <v>0</v>
      </c>
      <c r="AU636" s="440">
        <v>0</v>
      </c>
      <c r="AV636" s="440">
        <v>0</v>
      </c>
      <c r="AW636" s="440">
        <v>0</v>
      </c>
      <c r="AX636" s="440">
        <v>0</v>
      </c>
      <c r="AY636" s="440">
        <v>0</v>
      </c>
      <c r="AZ636" s="440">
        <v>0</v>
      </c>
      <c r="BA636" s="440">
        <v>0</v>
      </c>
      <c r="BB636" s="440">
        <v>0</v>
      </c>
      <c r="BC636" s="440">
        <v>0</v>
      </c>
      <c r="BD636" s="440">
        <v>0</v>
      </c>
      <c r="BE636" s="440">
        <v>0</v>
      </c>
      <c r="BF636" s="440">
        <v>0</v>
      </c>
      <c r="BG636" s="440">
        <v>0</v>
      </c>
      <c r="BH636" s="440">
        <v>0</v>
      </c>
      <c r="BI636" s="440">
        <v>0</v>
      </c>
      <c r="BJ636" s="440">
        <v>0</v>
      </c>
      <c r="BK636" s="440">
        <v>0</v>
      </c>
      <c r="BL636" s="440">
        <v>0</v>
      </c>
      <c r="BM636" s="440">
        <v>0</v>
      </c>
      <c r="BN636" s="440">
        <v>0</v>
      </c>
      <c r="BO636" s="440">
        <v>0</v>
      </c>
      <c r="BP636" s="440">
        <v>0</v>
      </c>
      <c r="BQ636" s="440">
        <v>0</v>
      </c>
      <c r="BR636" s="415">
        <v>0</v>
      </c>
      <c r="BS636" s="415">
        <v>0</v>
      </c>
      <c r="BT636" s="935"/>
      <c r="BU636" s="935"/>
      <c r="BV636" s="935"/>
      <c r="BW636" s="935"/>
      <c r="BX636" s="935"/>
      <c r="BY636" s="935"/>
      <c r="BZ636" s="935"/>
      <c r="CA636" s="935"/>
      <c r="CB636" s="935"/>
      <c r="CC636" s="935"/>
      <c r="CD636" s="935"/>
      <c r="CE636" s="935"/>
      <c r="CF636" s="935"/>
      <c r="CG636" s="935"/>
      <c r="CH636" s="935"/>
      <c r="CI636" s="935"/>
      <c r="CJ636" s="935"/>
      <c r="CK636" s="935"/>
      <c r="CL636" s="935"/>
      <c r="CM636" s="935"/>
      <c r="CN636" s="935"/>
      <c r="CO636" s="935"/>
      <c r="CP636" s="935"/>
      <c r="CQ636" s="935"/>
      <c r="CR636" s="935"/>
      <c r="CS636" s="935"/>
      <c r="CT636" s="935"/>
      <c r="CU636" s="935"/>
      <c r="CV636" s="935"/>
    </row>
    <row r="637" spans="1:100" s="441" customFormat="1">
      <c r="A637" s="375">
        <f t="shared" si="177"/>
        <v>9</v>
      </c>
      <c r="B637" s="862">
        <v>44462</v>
      </c>
      <c r="C637" s="493" t="s">
        <v>1980</v>
      </c>
      <c r="D637" s="376" t="str">
        <f>IFERROR(VLOOKUP(E:E,'Item Data Support Sheet'!A:O,7,0),"")</f>
        <v>CAP MOLDED</v>
      </c>
      <c r="E637" s="447" t="s">
        <v>2107</v>
      </c>
      <c r="F637" s="500"/>
      <c r="G637" s="497" t="s">
        <v>3208</v>
      </c>
      <c r="H637" s="602" t="str">
        <f>IFERROR(VLOOKUP(E:E,'Item Data Support Sheet'!A:O,2,0),"")</f>
        <v>CAP S TYPE MOLDED PINK</v>
      </c>
      <c r="I637" s="501" t="s">
        <v>3273</v>
      </c>
      <c r="J637" s="501" t="s">
        <v>2808</v>
      </c>
      <c r="K637" s="438">
        <v>7</v>
      </c>
      <c r="L637" s="499">
        <v>3137</v>
      </c>
      <c r="M637" s="366">
        <f t="shared" si="192"/>
        <v>448.14285714285717</v>
      </c>
      <c r="N637" s="367">
        <f t="shared" si="176"/>
        <v>3580</v>
      </c>
      <c r="O637" s="61">
        <v>3580</v>
      </c>
      <c r="P637" s="368">
        <v>0</v>
      </c>
      <c r="Q637" s="368">
        <v>0</v>
      </c>
      <c r="R637" s="494">
        <v>0</v>
      </c>
      <c r="S637" s="493">
        <v>0</v>
      </c>
      <c r="T637" s="494">
        <v>0</v>
      </c>
      <c r="U637" s="493">
        <v>0</v>
      </c>
      <c r="V637" s="502">
        <v>1</v>
      </c>
      <c r="W637" s="453">
        <f t="shared" si="178"/>
        <v>3580</v>
      </c>
      <c r="X637" s="748">
        <f t="shared" si="179"/>
        <v>1.14121772394007</v>
      </c>
      <c r="Y637" s="451" t="str">
        <f>IFERROR(VLOOKUP(E:E,'Item Data Support Sheet'!A:J,6,0),0)</f>
        <v>RM000123</v>
      </c>
      <c r="Z637" s="428">
        <f>IFERROR(VLOOKUP(E:E,'Item Data Support Sheet'!A:O,4,0),0)</f>
        <v>7.3</v>
      </c>
      <c r="AA637" s="428">
        <f t="shared" si="180"/>
        <v>26.134</v>
      </c>
      <c r="AB637" s="429">
        <f t="shared" si="181"/>
        <v>1</v>
      </c>
      <c r="AC637" s="424">
        <f t="shared" si="182"/>
        <v>0</v>
      </c>
      <c r="AD637" s="371">
        <f t="shared" si="183"/>
        <v>0</v>
      </c>
      <c r="AE637" s="748">
        <f t="shared" si="184"/>
        <v>1</v>
      </c>
      <c r="AF637" s="417">
        <f t="shared" si="185"/>
        <v>0</v>
      </c>
      <c r="AG637" s="416">
        <f t="shared" si="186"/>
        <v>7</v>
      </c>
      <c r="AH637" s="372">
        <f t="shared" si="187"/>
        <v>1</v>
      </c>
      <c r="AI637" s="373">
        <f t="shared" si="188"/>
        <v>511.42857142857144</v>
      </c>
      <c r="AJ637" s="418">
        <f>VLOOKUP(D637,'Standard Cycle time'!C:D,2,0)</f>
        <v>6</v>
      </c>
      <c r="AK637" s="418">
        <f t="shared" si="189"/>
        <v>7.039106145251397</v>
      </c>
      <c r="AL637" s="374">
        <f t="shared" si="190"/>
        <v>0.85238095238095235</v>
      </c>
      <c r="AM637" s="372">
        <f t="shared" si="191"/>
        <v>0.85238095238095235</v>
      </c>
      <c r="AN637" s="799">
        <v>3494</v>
      </c>
      <c r="AO637" s="448"/>
      <c r="AP637" s="440">
        <v>0</v>
      </c>
      <c r="AQ637" s="440">
        <v>0</v>
      </c>
      <c r="AR637" s="440">
        <v>0</v>
      </c>
      <c r="AS637" s="440">
        <v>0</v>
      </c>
      <c r="AT637" s="440">
        <v>0</v>
      </c>
      <c r="AU637" s="440">
        <v>0</v>
      </c>
      <c r="AV637" s="440">
        <v>0</v>
      </c>
      <c r="AW637" s="440">
        <v>0</v>
      </c>
      <c r="AX637" s="440">
        <v>0</v>
      </c>
      <c r="AY637" s="440">
        <v>0</v>
      </c>
      <c r="AZ637" s="440">
        <v>0</v>
      </c>
      <c r="BA637" s="440">
        <v>0</v>
      </c>
      <c r="BB637" s="440">
        <v>0</v>
      </c>
      <c r="BC637" s="440">
        <v>0</v>
      </c>
      <c r="BD637" s="440">
        <v>0</v>
      </c>
      <c r="BE637" s="440">
        <v>0</v>
      </c>
      <c r="BF637" s="440">
        <v>0</v>
      </c>
      <c r="BG637" s="440">
        <v>0</v>
      </c>
      <c r="BH637" s="440">
        <v>0</v>
      </c>
      <c r="BI637" s="440">
        <v>0</v>
      </c>
      <c r="BJ637" s="440">
        <v>0</v>
      </c>
      <c r="BK637" s="440">
        <v>0</v>
      </c>
      <c r="BL637" s="440">
        <v>0</v>
      </c>
      <c r="BM637" s="440">
        <v>0</v>
      </c>
      <c r="BN637" s="440">
        <v>0</v>
      </c>
      <c r="BO637" s="440">
        <v>0</v>
      </c>
      <c r="BP637" s="440">
        <v>0</v>
      </c>
      <c r="BQ637" s="440">
        <v>0</v>
      </c>
      <c r="BR637" s="415">
        <v>0</v>
      </c>
      <c r="BS637" s="415">
        <v>0</v>
      </c>
      <c r="BT637" s="935"/>
      <c r="BU637" s="935"/>
      <c r="BV637" s="935"/>
      <c r="BW637" s="935"/>
      <c r="BX637" s="935"/>
      <c r="BY637" s="935"/>
      <c r="BZ637" s="935"/>
      <c r="CA637" s="935"/>
      <c r="CB637" s="935"/>
      <c r="CC637" s="935"/>
      <c r="CD637" s="935"/>
      <c r="CE637" s="935"/>
      <c r="CF637" s="935"/>
      <c r="CG637" s="935"/>
      <c r="CH637" s="935"/>
      <c r="CI637" s="935"/>
      <c r="CJ637" s="935"/>
      <c r="CK637" s="935"/>
      <c r="CL637" s="935"/>
      <c r="CM637" s="935"/>
      <c r="CN637" s="935"/>
      <c r="CO637" s="935"/>
      <c r="CP637" s="935"/>
      <c r="CQ637" s="935"/>
      <c r="CR637" s="935"/>
      <c r="CS637" s="935"/>
      <c r="CT637" s="935"/>
      <c r="CU637" s="935"/>
      <c r="CV637" s="935"/>
    </row>
    <row r="638" spans="1:100" s="441" customFormat="1">
      <c r="A638" s="375">
        <f t="shared" si="177"/>
        <v>9</v>
      </c>
      <c r="B638" s="862">
        <v>44462</v>
      </c>
      <c r="C638" s="493" t="s">
        <v>1980</v>
      </c>
      <c r="D638" s="376" t="str">
        <f>IFERROR(VLOOKUP(E:E,'Item Data Support Sheet'!A:O,7,0),"")</f>
        <v>CAP MOLDED</v>
      </c>
      <c r="E638" s="447" t="s">
        <v>2107</v>
      </c>
      <c r="F638" s="500"/>
      <c r="G638" s="497" t="s">
        <v>3212</v>
      </c>
      <c r="H638" s="602" t="str">
        <f>IFERROR(VLOOKUP(E:E,'Item Data Support Sheet'!A:O,2,0),"")</f>
        <v>CAP S TYPE MOLDED PINK</v>
      </c>
      <c r="I638" s="501" t="s">
        <v>3274</v>
      </c>
      <c r="J638" s="501" t="s">
        <v>2808</v>
      </c>
      <c r="K638" s="438">
        <v>1</v>
      </c>
      <c r="L638" s="499">
        <v>1000</v>
      </c>
      <c r="M638" s="366">
        <f t="shared" si="192"/>
        <v>1000</v>
      </c>
      <c r="N638" s="367">
        <f t="shared" si="176"/>
        <v>1008</v>
      </c>
      <c r="O638" s="61">
        <v>1000</v>
      </c>
      <c r="P638" s="368">
        <v>0</v>
      </c>
      <c r="Q638" s="368">
        <v>0</v>
      </c>
      <c r="R638" s="494">
        <v>0</v>
      </c>
      <c r="S638" s="493">
        <v>0</v>
      </c>
      <c r="T638" s="494">
        <v>8</v>
      </c>
      <c r="U638" s="493">
        <v>0</v>
      </c>
      <c r="V638" s="502">
        <v>1</v>
      </c>
      <c r="W638" s="453">
        <f t="shared" si="178"/>
        <v>1000</v>
      </c>
      <c r="X638" s="748">
        <f t="shared" si="179"/>
        <v>1</v>
      </c>
      <c r="Y638" s="451" t="str">
        <f>IFERROR(VLOOKUP(E:E,'Item Data Support Sheet'!A:J,6,0),0)</f>
        <v>RM000123</v>
      </c>
      <c r="Z638" s="428">
        <f>IFERROR(VLOOKUP(E:E,'Item Data Support Sheet'!A:O,4,0),0)</f>
        <v>7.3</v>
      </c>
      <c r="AA638" s="428">
        <f t="shared" si="180"/>
        <v>7.3584000000000005</v>
      </c>
      <c r="AB638" s="429">
        <f t="shared" si="181"/>
        <v>0.99206349206349198</v>
      </c>
      <c r="AC638" s="424">
        <f t="shared" si="182"/>
        <v>7.9365079365079361E-3</v>
      </c>
      <c r="AD638" s="371">
        <f t="shared" si="183"/>
        <v>0</v>
      </c>
      <c r="AE638" s="748">
        <f t="shared" si="184"/>
        <v>0.99206349206349209</v>
      </c>
      <c r="AF638" s="417">
        <f t="shared" si="185"/>
        <v>0</v>
      </c>
      <c r="AG638" s="416">
        <f t="shared" si="186"/>
        <v>1</v>
      </c>
      <c r="AH638" s="372">
        <f t="shared" si="187"/>
        <v>1</v>
      </c>
      <c r="AI638" s="373">
        <f t="shared" si="188"/>
        <v>1000</v>
      </c>
      <c r="AJ638" s="418">
        <f>VLOOKUP(D638,'Standard Cycle time'!C:D,2,0)</f>
        <v>6</v>
      </c>
      <c r="AK638" s="418">
        <f t="shared" si="189"/>
        <v>3.6</v>
      </c>
      <c r="AL638" s="374">
        <f t="shared" si="190"/>
        <v>1.6666666666666665</v>
      </c>
      <c r="AM638" s="372">
        <f t="shared" si="191"/>
        <v>1.6534391534391533</v>
      </c>
      <c r="AN638" s="799">
        <v>3495</v>
      </c>
      <c r="AO638" s="448"/>
      <c r="AP638" s="440">
        <v>0</v>
      </c>
      <c r="AQ638" s="440">
        <v>0</v>
      </c>
      <c r="AR638" s="440">
        <v>0</v>
      </c>
      <c r="AS638" s="440">
        <v>0</v>
      </c>
      <c r="AT638" s="440">
        <v>0</v>
      </c>
      <c r="AU638" s="440">
        <v>0</v>
      </c>
      <c r="AV638" s="440">
        <v>0</v>
      </c>
      <c r="AW638" s="440">
        <v>0</v>
      </c>
      <c r="AX638" s="440">
        <v>0</v>
      </c>
      <c r="AY638" s="440">
        <v>0</v>
      </c>
      <c r="AZ638" s="440">
        <v>0</v>
      </c>
      <c r="BA638" s="440">
        <v>0</v>
      </c>
      <c r="BB638" s="440">
        <v>0</v>
      </c>
      <c r="BC638" s="440">
        <v>0</v>
      </c>
      <c r="BD638" s="440">
        <v>0</v>
      </c>
      <c r="BE638" s="440">
        <v>0</v>
      </c>
      <c r="BF638" s="440">
        <v>0</v>
      </c>
      <c r="BG638" s="440">
        <v>0</v>
      </c>
      <c r="BH638" s="440">
        <v>0</v>
      </c>
      <c r="BI638" s="440">
        <v>0</v>
      </c>
      <c r="BJ638" s="440">
        <v>0</v>
      </c>
      <c r="BK638" s="440">
        <v>0</v>
      </c>
      <c r="BL638" s="440">
        <v>0</v>
      </c>
      <c r="BM638" s="440">
        <v>0</v>
      </c>
      <c r="BN638" s="440">
        <v>0</v>
      </c>
      <c r="BO638" s="440">
        <v>0</v>
      </c>
      <c r="BP638" s="440">
        <v>0</v>
      </c>
      <c r="BQ638" s="440">
        <v>0</v>
      </c>
      <c r="BR638" s="415">
        <v>0</v>
      </c>
      <c r="BS638" s="415">
        <v>0</v>
      </c>
      <c r="BT638" s="935"/>
      <c r="BU638" s="935"/>
      <c r="BV638" s="935"/>
      <c r="BW638" s="935"/>
      <c r="BX638" s="935"/>
      <c r="BY638" s="935"/>
      <c r="BZ638" s="935"/>
      <c r="CA638" s="935"/>
      <c r="CB638" s="935"/>
      <c r="CC638" s="935"/>
      <c r="CD638" s="935"/>
      <c r="CE638" s="935"/>
      <c r="CF638" s="935"/>
      <c r="CG638" s="935"/>
      <c r="CH638" s="935"/>
      <c r="CI638" s="935"/>
      <c r="CJ638" s="935"/>
      <c r="CK638" s="935"/>
      <c r="CL638" s="935"/>
      <c r="CM638" s="935"/>
      <c r="CN638" s="935"/>
      <c r="CO638" s="935"/>
      <c r="CP638" s="935"/>
      <c r="CQ638" s="935"/>
      <c r="CR638" s="935"/>
      <c r="CS638" s="935"/>
      <c r="CT638" s="935"/>
      <c r="CU638" s="935"/>
      <c r="CV638" s="935"/>
    </row>
    <row r="639" spans="1:100" s="441" customFormat="1">
      <c r="A639" s="375">
        <f t="shared" si="177"/>
        <v>9</v>
      </c>
      <c r="B639" s="862">
        <v>44462</v>
      </c>
      <c r="C639" s="493" t="s">
        <v>1980</v>
      </c>
      <c r="D639" s="376" t="str">
        <f>IFERROR(VLOOKUP(E:E,'Item Data Support Sheet'!A:O,7,0),"")</f>
        <v>NIPPLE MOLDED</v>
      </c>
      <c r="E639" s="447" t="s">
        <v>72</v>
      </c>
      <c r="F639" s="500" t="s">
        <v>1678</v>
      </c>
      <c r="G639" s="497" t="s">
        <v>1691</v>
      </c>
      <c r="H639" s="602" t="str">
        <f>IFERROR(VLOOKUP(E:E,'Item Data Support Sheet'!A:O,2,0),"")</f>
        <v>NIPPLE S TYPE S SIZE INJECTION</v>
      </c>
      <c r="I639" s="501" t="s">
        <v>3275</v>
      </c>
      <c r="J639" s="501" t="s">
        <v>2808</v>
      </c>
      <c r="K639" s="438">
        <v>8</v>
      </c>
      <c r="L639" s="499">
        <v>4815</v>
      </c>
      <c r="M639" s="366">
        <f t="shared" si="192"/>
        <v>601.875</v>
      </c>
      <c r="N639" s="367">
        <f t="shared" si="176"/>
        <v>4410</v>
      </c>
      <c r="O639" s="61">
        <v>4300</v>
      </c>
      <c r="P639" s="368">
        <v>0</v>
      </c>
      <c r="Q639" s="368">
        <v>48</v>
      </c>
      <c r="R639" s="494">
        <v>0</v>
      </c>
      <c r="S639" s="493">
        <v>0</v>
      </c>
      <c r="T639" s="494">
        <v>54</v>
      </c>
      <c r="U639" s="493">
        <v>8</v>
      </c>
      <c r="V639" s="502">
        <v>1</v>
      </c>
      <c r="W639" s="453">
        <f t="shared" si="178"/>
        <v>4300</v>
      </c>
      <c r="X639" s="748">
        <f t="shared" si="179"/>
        <v>0.89304257528556596</v>
      </c>
      <c r="Y639" s="451" t="str">
        <f>IFERROR(VLOOKUP(E:E,'Item Data Support Sheet'!A:J,6,0),0)</f>
        <v>Silicon</v>
      </c>
      <c r="Z639" s="428">
        <f>IFERROR(VLOOKUP(E:E,'Item Data Support Sheet'!A:O,4,0),0)</f>
        <v>6.8</v>
      </c>
      <c r="AA639" s="428">
        <f t="shared" si="180"/>
        <v>29.988</v>
      </c>
      <c r="AB639" s="429">
        <f t="shared" si="181"/>
        <v>0.97505668934240364</v>
      </c>
      <c r="AC639" s="424">
        <f t="shared" si="182"/>
        <v>1.240238860817639E-2</v>
      </c>
      <c r="AD639" s="371">
        <f t="shared" si="183"/>
        <v>1.0767160161507403E-2</v>
      </c>
      <c r="AE639" s="748">
        <f t="shared" si="184"/>
        <v>0.98775510204081629</v>
      </c>
      <c r="AF639" s="417">
        <f t="shared" si="185"/>
        <v>0.5</v>
      </c>
      <c r="AG639" s="416">
        <f t="shared" si="186"/>
        <v>7.5</v>
      </c>
      <c r="AH639" s="372">
        <f t="shared" si="187"/>
        <v>0.9375</v>
      </c>
      <c r="AI639" s="373">
        <f t="shared" si="188"/>
        <v>537.5</v>
      </c>
      <c r="AJ639" s="418">
        <f>VLOOKUP(D639,'Standard Cycle time'!C:D,2,0)</f>
        <v>5.25</v>
      </c>
      <c r="AK639" s="418">
        <f t="shared" si="189"/>
        <v>6.2790697674418601</v>
      </c>
      <c r="AL639" s="374">
        <f t="shared" si="190"/>
        <v>0.83611111111111114</v>
      </c>
      <c r="AM639" s="372">
        <f t="shared" si="191"/>
        <v>0.77425595238095235</v>
      </c>
      <c r="AN639" s="799">
        <v>3497</v>
      </c>
      <c r="AO639" s="448" t="s">
        <v>3276</v>
      </c>
      <c r="AP639" s="440">
        <v>0</v>
      </c>
      <c r="AQ639" s="440">
        <v>0</v>
      </c>
      <c r="AR639" s="440">
        <v>0</v>
      </c>
      <c r="AS639" s="440">
        <v>0</v>
      </c>
      <c r="AT639" s="440">
        <v>0</v>
      </c>
      <c r="AU639" s="440">
        <v>30</v>
      </c>
      <c r="AV639" s="440">
        <v>0</v>
      </c>
      <c r="AW639" s="440">
        <v>0</v>
      </c>
      <c r="AX639" s="440">
        <v>0</v>
      </c>
      <c r="AY639" s="440">
        <v>0</v>
      </c>
      <c r="AZ639" s="440">
        <v>0</v>
      </c>
      <c r="BA639" s="440">
        <v>0</v>
      </c>
      <c r="BB639" s="440">
        <v>0</v>
      </c>
      <c r="BC639" s="440">
        <v>0</v>
      </c>
      <c r="BD639" s="440">
        <v>0</v>
      </c>
      <c r="BE639" s="440">
        <v>0</v>
      </c>
      <c r="BF639" s="440">
        <v>0</v>
      </c>
      <c r="BG639" s="440">
        <v>0</v>
      </c>
      <c r="BH639" s="440">
        <v>0</v>
      </c>
      <c r="BI639" s="440">
        <v>0</v>
      </c>
      <c r="BJ639" s="440">
        <v>0</v>
      </c>
      <c r="BK639" s="440">
        <v>0</v>
      </c>
      <c r="BL639" s="440">
        <v>0</v>
      </c>
      <c r="BM639" s="440">
        <v>0</v>
      </c>
      <c r="BN639" s="440">
        <v>0</v>
      </c>
      <c r="BO639" s="440">
        <v>0</v>
      </c>
      <c r="BP639" s="440">
        <v>0</v>
      </c>
      <c r="BQ639" s="440">
        <v>0</v>
      </c>
      <c r="BR639" s="415">
        <v>0.5</v>
      </c>
      <c r="BS639" s="415">
        <v>0.5083333333333333</v>
      </c>
      <c r="BT639" s="935"/>
      <c r="BU639" s="935"/>
      <c r="BV639" s="935"/>
      <c r="BW639" s="935"/>
      <c r="BX639" s="935"/>
      <c r="BY639" s="935"/>
      <c r="BZ639" s="935"/>
      <c r="CA639" s="935"/>
      <c r="CB639" s="935"/>
      <c r="CC639" s="935"/>
      <c r="CD639" s="935"/>
      <c r="CE639" s="935"/>
      <c r="CF639" s="935"/>
      <c r="CG639" s="935"/>
      <c r="CH639" s="935"/>
      <c r="CI639" s="935"/>
      <c r="CJ639" s="935"/>
      <c r="CK639" s="935"/>
      <c r="CL639" s="935"/>
      <c r="CM639" s="935"/>
      <c r="CN639" s="935"/>
      <c r="CO639" s="935"/>
      <c r="CP639" s="935"/>
      <c r="CQ639" s="935"/>
      <c r="CR639" s="935"/>
      <c r="CS639" s="935"/>
      <c r="CT639" s="935"/>
      <c r="CU639" s="935"/>
      <c r="CV639" s="935"/>
    </row>
    <row r="640" spans="1:100" s="441" customFormat="1">
      <c r="A640" s="375">
        <f t="shared" si="177"/>
        <v>9</v>
      </c>
      <c r="B640" s="862">
        <v>44462</v>
      </c>
      <c r="C640" s="493" t="s">
        <v>1980</v>
      </c>
      <c r="D640" s="376" t="str">
        <f>IFERROR(VLOOKUP(E:E,'Item Data Support Sheet'!A:O,7,0),"")</f>
        <v>NIPPLE PUNCH</v>
      </c>
      <c r="E640" s="447" t="s">
        <v>83</v>
      </c>
      <c r="F640" s="500"/>
      <c r="G640" s="497" t="s">
        <v>1692</v>
      </c>
      <c r="H640" s="602" t="str">
        <f>IFERROR(VLOOKUP(E:E,'Item Data Support Sheet'!A:O,2,0),"")</f>
        <v>NIPPLE S TYPE Y SIZE PUNCHED</v>
      </c>
      <c r="I640" s="501" t="s">
        <v>3277</v>
      </c>
      <c r="J640" s="501" t="s">
        <v>2808</v>
      </c>
      <c r="K640" s="438">
        <v>7</v>
      </c>
      <c r="L640" s="499">
        <v>6300</v>
      </c>
      <c r="M640" s="366">
        <f t="shared" si="192"/>
        <v>900</v>
      </c>
      <c r="N640" s="367">
        <f t="shared" si="176"/>
        <v>6400</v>
      </c>
      <c r="O640" s="61">
        <v>6400</v>
      </c>
      <c r="P640" s="368">
        <v>0</v>
      </c>
      <c r="Q640" s="368">
        <v>0</v>
      </c>
      <c r="R640" s="494">
        <v>0</v>
      </c>
      <c r="S640" s="493">
        <v>0</v>
      </c>
      <c r="T640" s="494">
        <v>0</v>
      </c>
      <c r="U640" s="493">
        <v>0</v>
      </c>
      <c r="V640" s="502">
        <v>1</v>
      </c>
      <c r="W640" s="453">
        <f t="shared" si="178"/>
        <v>6400</v>
      </c>
      <c r="X640" s="748">
        <f t="shared" si="179"/>
        <v>1.0158730158730158</v>
      </c>
      <c r="Y640" s="451" t="str">
        <f>IFERROR(VLOOKUP(E:E,'Item Data Support Sheet'!A:J,6,0),0)</f>
        <v>FO018</v>
      </c>
      <c r="Z640" s="428">
        <f>IFERROR(VLOOKUP(E:E,'Item Data Support Sheet'!A:O,4,0),0)</f>
        <v>0</v>
      </c>
      <c r="AA640" s="428">
        <f t="shared" si="180"/>
        <v>0</v>
      </c>
      <c r="AB640" s="429" t="str">
        <f t="shared" si="181"/>
        <v xml:space="preserve"> </v>
      </c>
      <c r="AC640" s="424">
        <f t="shared" si="182"/>
        <v>0</v>
      </c>
      <c r="AD640" s="371">
        <f t="shared" si="183"/>
        <v>0</v>
      </c>
      <c r="AE640" s="748">
        <f t="shared" si="184"/>
        <v>1</v>
      </c>
      <c r="AF640" s="417">
        <f t="shared" si="185"/>
        <v>0.66666666666666663</v>
      </c>
      <c r="AG640" s="416">
        <f t="shared" si="186"/>
        <v>6.333333333333333</v>
      </c>
      <c r="AH640" s="372">
        <f t="shared" si="187"/>
        <v>0.90476190476190477</v>
      </c>
      <c r="AI640" s="373">
        <f t="shared" si="188"/>
        <v>914.28571428571433</v>
      </c>
      <c r="AJ640" s="418">
        <f>VLOOKUP(D640,'Standard Cycle time'!C:D,2,0)</f>
        <v>3.5</v>
      </c>
      <c r="AK640" s="418">
        <f t="shared" si="189"/>
        <v>3.5625</v>
      </c>
      <c r="AL640" s="374">
        <f t="shared" si="190"/>
        <v>0.98245614035087714</v>
      </c>
      <c r="AM640" s="372">
        <f t="shared" si="191"/>
        <v>0.88888888888888884</v>
      </c>
      <c r="AN640" s="799">
        <v>3490</v>
      </c>
      <c r="AO640" s="448"/>
      <c r="AP640" s="440">
        <v>40</v>
      </c>
      <c r="AQ640" s="440">
        <v>0</v>
      </c>
      <c r="AR640" s="440">
        <v>0</v>
      </c>
      <c r="AS640" s="440">
        <v>0</v>
      </c>
      <c r="AT640" s="440">
        <v>0</v>
      </c>
      <c r="AU640" s="440">
        <v>0</v>
      </c>
      <c r="AV640" s="440">
        <v>0</v>
      </c>
      <c r="AW640" s="440">
        <v>0</v>
      </c>
      <c r="AX640" s="440">
        <v>0</v>
      </c>
      <c r="AY640" s="440">
        <v>0</v>
      </c>
      <c r="AZ640" s="440">
        <v>0</v>
      </c>
      <c r="BA640" s="440">
        <v>0</v>
      </c>
      <c r="BB640" s="440">
        <v>0</v>
      </c>
      <c r="BC640" s="440">
        <v>0</v>
      </c>
      <c r="BD640" s="440">
        <v>0</v>
      </c>
      <c r="BE640" s="440">
        <v>0</v>
      </c>
      <c r="BF640" s="440">
        <v>0</v>
      </c>
      <c r="BG640" s="440">
        <v>0</v>
      </c>
      <c r="BH640" s="440">
        <v>0</v>
      </c>
      <c r="BI640" s="440">
        <v>0</v>
      </c>
      <c r="BJ640" s="440">
        <v>0</v>
      </c>
      <c r="BK640" s="440">
        <v>0</v>
      </c>
      <c r="BL640" s="440">
        <v>0</v>
      </c>
      <c r="BM640" s="440">
        <v>0</v>
      </c>
      <c r="BN640" s="440">
        <v>0</v>
      </c>
      <c r="BO640" s="440">
        <v>0</v>
      </c>
      <c r="BP640" s="440">
        <v>0</v>
      </c>
      <c r="BQ640" s="440">
        <v>0</v>
      </c>
      <c r="BR640" s="415">
        <v>0.66666666666666663</v>
      </c>
      <c r="BS640" s="415">
        <v>0.6777777777777777</v>
      </c>
      <c r="BT640" s="935"/>
      <c r="BU640" s="935"/>
      <c r="BV640" s="935"/>
      <c r="BW640" s="935"/>
      <c r="BX640" s="935"/>
      <c r="BY640" s="935"/>
      <c r="BZ640" s="935"/>
      <c r="CA640" s="935"/>
      <c r="CB640" s="935"/>
      <c r="CC640" s="935"/>
      <c r="CD640" s="935"/>
      <c r="CE640" s="935"/>
      <c r="CF640" s="935"/>
      <c r="CG640" s="935"/>
      <c r="CH640" s="935"/>
      <c r="CI640" s="935"/>
      <c r="CJ640" s="935"/>
      <c r="CK640" s="935"/>
      <c r="CL640" s="935"/>
      <c r="CM640" s="935"/>
      <c r="CN640" s="935"/>
      <c r="CO640" s="935"/>
      <c r="CP640" s="935"/>
      <c r="CQ640" s="935"/>
      <c r="CR640" s="935"/>
      <c r="CS640" s="935"/>
      <c r="CT640" s="935"/>
      <c r="CU640" s="935"/>
      <c r="CV640" s="935"/>
    </row>
    <row r="641" spans="1:100" s="441" customFormat="1">
      <c r="A641" s="375">
        <f t="shared" si="177"/>
        <v>9</v>
      </c>
      <c r="B641" s="862">
        <v>44462</v>
      </c>
      <c r="C641" s="493" t="s">
        <v>1980</v>
      </c>
      <c r="D641" s="376" t="str">
        <f>IFERROR(VLOOKUP(E:E,'Item Data Support Sheet'!A:O,7,0),"")</f>
        <v>NIPPLE PUNCH</v>
      </c>
      <c r="E641" s="447" t="s">
        <v>80</v>
      </c>
      <c r="F641" s="500"/>
      <c r="G641" s="497" t="s">
        <v>1692</v>
      </c>
      <c r="H641" s="602" t="str">
        <f>IFERROR(VLOOKUP(E:E,'Item Data Support Sheet'!A:O,2,0),"")</f>
        <v>NIPPLE S TYPE S SIZE PUNCHED</v>
      </c>
      <c r="I641" s="501" t="s">
        <v>3278</v>
      </c>
      <c r="J641" s="501" t="s">
        <v>2808</v>
      </c>
      <c r="K641" s="438">
        <v>1</v>
      </c>
      <c r="L641" s="499">
        <v>700</v>
      </c>
      <c r="M641" s="366">
        <f t="shared" si="192"/>
        <v>700</v>
      </c>
      <c r="N641" s="367">
        <f t="shared" si="176"/>
        <v>700</v>
      </c>
      <c r="O641" s="61">
        <v>700</v>
      </c>
      <c r="P641" s="368">
        <v>0</v>
      </c>
      <c r="Q641" s="368">
        <v>0</v>
      </c>
      <c r="R641" s="494">
        <v>0</v>
      </c>
      <c r="S641" s="493">
        <v>0</v>
      </c>
      <c r="T641" s="494">
        <v>0</v>
      </c>
      <c r="U641" s="493">
        <v>0</v>
      </c>
      <c r="V641" s="502">
        <v>1</v>
      </c>
      <c r="W641" s="453">
        <f t="shared" si="178"/>
        <v>700</v>
      </c>
      <c r="X641" s="748">
        <f t="shared" si="179"/>
        <v>1</v>
      </c>
      <c r="Y641" s="451" t="str">
        <f>IFERROR(VLOOKUP(E:E,'Item Data Support Sheet'!A:J,6,0),0)</f>
        <v>FO015</v>
      </c>
      <c r="Z641" s="428">
        <f>IFERROR(VLOOKUP(E:E,'Item Data Support Sheet'!A:O,4,0),0)</f>
        <v>0</v>
      </c>
      <c r="AA641" s="428">
        <f t="shared" si="180"/>
        <v>0</v>
      </c>
      <c r="AB641" s="429" t="str">
        <f t="shared" si="181"/>
        <v xml:space="preserve"> </v>
      </c>
      <c r="AC641" s="424">
        <f t="shared" si="182"/>
        <v>0</v>
      </c>
      <c r="AD641" s="371">
        <f t="shared" si="183"/>
        <v>0</v>
      </c>
      <c r="AE641" s="748">
        <f t="shared" si="184"/>
        <v>1</v>
      </c>
      <c r="AF641" s="417">
        <f t="shared" si="185"/>
        <v>0.25</v>
      </c>
      <c r="AG641" s="416">
        <f t="shared" si="186"/>
        <v>0.75</v>
      </c>
      <c r="AH641" s="372">
        <f t="shared" si="187"/>
        <v>0.75</v>
      </c>
      <c r="AI641" s="373">
        <f t="shared" si="188"/>
        <v>700</v>
      </c>
      <c r="AJ641" s="418">
        <f>VLOOKUP(D641,'Standard Cycle time'!C:D,2,0)</f>
        <v>3.5</v>
      </c>
      <c r="AK641" s="418">
        <f t="shared" si="189"/>
        <v>3.8571428571428572</v>
      </c>
      <c r="AL641" s="374">
        <f t="shared" si="190"/>
        <v>0.90740740740740744</v>
      </c>
      <c r="AM641" s="372">
        <f t="shared" si="191"/>
        <v>0.68055555555555558</v>
      </c>
      <c r="AN641" s="799">
        <v>3491</v>
      </c>
      <c r="AO641" s="448"/>
      <c r="AP641" s="440">
        <v>0</v>
      </c>
      <c r="AQ641" s="440">
        <v>15</v>
      </c>
      <c r="AR641" s="440">
        <v>0</v>
      </c>
      <c r="AS641" s="440">
        <v>0</v>
      </c>
      <c r="AT641" s="440">
        <v>0</v>
      </c>
      <c r="AU641" s="440">
        <v>0</v>
      </c>
      <c r="AV641" s="440">
        <v>0</v>
      </c>
      <c r="AW641" s="440">
        <v>0</v>
      </c>
      <c r="AX641" s="440">
        <v>0</v>
      </c>
      <c r="AY641" s="440">
        <v>0</v>
      </c>
      <c r="AZ641" s="440">
        <v>0</v>
      </c>
      <c r="BA641" s="440">
        <v>0</v>
      </c>
      <c r="BB641" s="440">
        <v>0</v>
      </c>
      <c r="BC641" s="440">
        <v>0</v>
      </c>
      <c r="BD641" s="440">
        <v>0</v>
      </c>
      <c r="BE641" s="440">
        <v>0</v>
      </c>
      <c r="BF641" s="440">
        <v>0</v>
      </c>
      <c r="BG641" s="440">
        <v>0</v>
      </c>
      <c r="BH641" s="440">
        <v>0</v>
      </c>
      <c r="BI641" s="440">
        <v>0</v>
      </c>
      <c r="BJ641" s="440">
        <v>0</v>
      </c>
      <c r="BK641" s="440">
        <v>0</v>
      </c>
      <c r="BL641" s="440">
        <v>0</v>
      </c>
      <c r="BM641" s="440">
        <v>0</v>
      </c>
      <c r="BN641" s="440">
        <v>0</v>
      </c>
      <c r="BO641" s="440">
        <v>0</v>
      </c>
      <c r="BP641" s="440">
        <v>0</v>
      </c>
      <c r="BQ641" s="440">
        <v>0</v>
      </c>
      <c r="BR641" s="415">
        <v>0.25</v>
      </c>
      <c r="BS641" s="415">
        <v>0.25416666666666665</v>
      </c>
      <c r="BT641" s="935"/>
      <c r="BU641" s="935"/>
      <c r="BV641" s="935"/>
      <c r="BW641" s="935"/>
      <c r="BX641" s="935"/>
      <c r="BY641" s="935"/>
      <c r="BZ641" s="935"/>
      <c r="CA641" s="935"/>
      <c r="CB641" s="935"/>
      <c r="CC641" s="935"/>
      <c r="CD641" s="935"/>
      <c r="CE641" s="935"/>
      <c r="CF641" s="935"/>
      <c r="CG641" s="935"/>
      <c r="CH641" s="935"/>
      <c r="CI641" s="935"/>
      <c r="CJ641" s="935"/>
      <c r="CK641" s="935"/>
      <c r="CL641" s="935"/>
      <c r="CM641" s="935"/>
      <c r="CN641" s="935"/>
      <c r="CO641" s="935"/>
      <c r="CP641" s="935"/>
      <c r="CQ641" s="935"/>
      <c r="CR641" s="935"/>
      <c r="CS641" s="935"/>
      <c r="CT641" s="935"/>
      <c r="CU641" s="935"/>
      <c r="CV641" s="935"/>
    </row>
    <row r="642" spans="1:100" s="441" customFormat="1">
      <c r="A642" s="375">
        <f t="shared" si="177"/>
        <v>9</v>
      </c>
      <c r="B642" s="862">
        <v>44462</v>
      </c>
      <c r="C642" s="493" t="s">
        <v>1980</v>
      </c>
      <c r="D642" s="376" t="str">
        <f>IFERROR(VLOOKUP(E:E,'Item Data Support Sheet'!A:O,7,0),"")</f>
        <v>NIPPLE LASER MARKING</v>
      </c>
      <c r="E642" s="447" t="s">
        <v>1816</v>
      </c>
      <c r="F642" s="500"/>
      <c r="G642" s="497" t="s">
        <v>1812</v>
      </c>
      <c r="H642" s="602" t="str">
        <f>IFERROR(VLOOKUP(E:E,'Item Data Support Sheet'!A:O,2,0),"")</f>
        <v>NIPPLE S TYPE L SIZE PUNCHED LASER MARKED</v>
      </c>
      <c r="I642" s="501" t="s">
        <v>3279</v>
      </c>
      <c r="J642" s="501" t="s">
        <v>2808</v>
      </c>
      <c r="K642" s="438">
        <v>8</v>
      </c>
      <c r="L642" s="499">
        <v>7000</v>
      </c>
      <c r="M642" s="366">
        <f t="shared" si="192"/>
        <v>875</v>
      </c>
      <c r="N642" s="367">
        <f t="shared" si="176"/>
        <v>6000</v>
      </c>
      <c r="O642" s="61">
        <v>6000</v>
      </c>
      <c r="P642" s="368">
        <v>0</v>
      </c>
      <c r="Q642" s="368">
        <v>0</v>
      </c>
      <c r="R642" s="494">
        <v>0</v>
      </c>
      <c r="S642" s="493">
        <v>0</v>
      </c>
      <c r="T642" s="494">
        <v>0</v>
      </c>
      <c r="U642" s="493">
        <v>0</v>
      </c>
      <c r="V642" s="502">
        <v>1</v>
      </c>
      <c r="W642" s="453">
        <f t="shared" si="178"/>
        <v>6000</v>
      </c>
      <c r="X642" s="748">
        <f t="shared" si="179"/>
        <v>0.8571428571428571</v>
      </c>
      <c r="Y642" s="451" t="str">
        <f>IFERROR(VLOOKUP(E:E,'Item Data Support Sheet'!A:J,6,0),0)</f>
        <v>FO021</v>
      </c>
      <c r="Z642" s="428">
        <f>IFERROR(VLOOKUP(E:E,'Item Data Support Sheet'!A:O,4,0),0)</f>
        <v>0</v>
      </c>
      <c r="AA642" s="428">
        <f t="shared" si="180"/>
        <v>0</v>
      </c>
      <c r="AB642" s="429" t="str">
        <f t="shared" si="181"/>
        <v xml:space="preserve"> </v>
      </c>
      <c r="AC642" s="424">
        <f t="shared" si="182"/>
        <v>0</v>
      </c>
      <c r="AD642" s="371">
        <f t="shared" si="183"/>
        <v>0</v>
      </c>
      <c r="AE642" s="748">
        <f t="shared" si="184"/>
        <v>1</v>
      </c>
      <c r="AF642" s="417">
        <f t="shared" si="185"/>
        <v>1.1666666666666667</v>
      </c>
      <c r="AG642" s="416">
        <f t="shared" si="186"/>
        <v>6.833333333333333</v>
      </c>
      <c r="AH642" s="372">
        <f t="shared" si="187"/>
        <v>0.85416666666666663</v>
      </c>
      <c r="AI642" s="373">
        <f t="shared" si="188"/>
        <v>750</v>
      </c>
      <c r="AJ642" s="418">
        <f>VLOOKUP(D642,'Standard Cycle time'!C:D,2,0)</f>
        <v>3.5</v>
      </c>
      <c r="AK642" s="418">
        <f t="shared" si="189"/>
        <v>4.0999999999999996</v>
      </c>
      <c r="AL642" s="374">
        <f t="shared" si="190"/>
        <v>0.85365853658536595</v>
      </c>
      <c r="AM642" s="372">
        <f t="shared" si="191"/>
        <v>0.72916666666666674</v>
      </c>
      <c r="AN642" s="799" t="s">
        <v>3280</v>
      </c>
      <c r="AO642" s="448" t="s">
        <v>3281</v>
      </c>
      <c r="AP642" s="440">
        <v>40</v>
      </c>
      <c r="AQ642" s="440">
        <v>30</v>
      </c>
      <c r="AR642" s="440">
        <v>0</v>
      </c>
      <c r="AS642" s="440">
        <v>0</v>
      </c>
      <c r="AT642" s="440">
        <v>0</v>
      </c>
      <c r="AU642" s="440">
        <v>0</v>
      </c>
      <c r="AV642" s="440">
        <v>0</v>
      </c>
      <c r="AW642" s="440">
        <v>0</v>
      </c>
      <c r="AX642" s="440">
        <v>0</v>
      </c>
      <c r="AY642" s="440">
        <v>0</v>
      </c>
      <c r="AZ642" s="440">
        <v>0</v>
      </c>
      <c r="BA642" s="440">
        <v>0</v>
      </c>
      <c r="BB642" s="440">
        <v>0</v>
      </c>
      <c r="BC642" s="440">
        <v>0</v>
      </c>
      <c r="BD642" s="440">
        <v>0</v>
      </c>
      <c r="BE642" s="440">
        <v>0</v>
      </c>
      <c r="BF642" s="440">
        <v>0</v>
      </c>
      <c r="BG642" s="440">
        <v>0</v>
      </c>
      <c r="BH642" s="440">
        <v>0</v>
      </c>
      <c r="BI642" s="440">
        <v>0</v>
      </c>
      <c r="BJ642" s="440">
        <v>0</v>
      </c>
      <c r="BK642" s="440">
        <v>0</v>
      </c>
      <c r="BL642" s="440">
        <v>0</v>
      </c>
      <c r="BM642" s="440">
        <v>0</v>
      </c>
      <c r="BN642" s="440">
        <v>0</v>
      </c>
      <c r="BO642" s="440">
        <v>0</v>
      </c>
      <c r="BP642" s="440">
        <v>0</v>
      </c>
      <c r="BQ642" s="440">
        <v>0</v>
      </c>
      <c r="BR642" s="415">
        <v>1.1666666666666667</v>
      </c>
      <c r="BS642" s="415">
        <v>1.1861111111111111</v>
      </c>
      <c r="BT642" s="935"/>
      <c r="BU642" s="935"/>
      <c r="BV642" s="935"/>
      <c r="BW642" s="935"/>
      <c r="BX642" s="935"/>
      <c r="BY642" s="935"/>
      <c r="BZ642" s="935"/>
      <c r="CA642" s="935"/>
      <c r="CB642" s="935"/>
      <c r="CC642" s="935"/>
      <c r="CD642" s="935"/>
      <c r="CE642" s="935"/>
      <c r="CF642" s="935"/>
      <c r="CG642" s="935"/>
      <c r="CH642" s="935"/>
      <c r="CI642" s="935"/>
      <c r="CJ642" s="935"/>
      <c r="CK642" s="935"/>
      <c r="CL642" s="935"/>
      <c r="CM642" s="935"/>
      <c r="CN642" s="935"/>
      <c r="CO642" s="935"/>
      <c r="CP642" s="935"/>
      <c r="CQ642" s="935"/>
      <c r="CR642" s="935"/>
      <c r="CS642" s="935"/>
      <c r="CT642" s="935"/>
      <c r="CU642" s="935"/>
      <c r="CV642" s="935"/>
    </row>
    <row r="643" spans="1:100" s="441" customFormat="1">
      <c r="A643" s="375">
        <f t="shared" si="177"/>
        <v>9</v>
      </c>
      <c r="B643" s="862">
        <v>44462</v>
      </c>
      <c r="C643" s="493" t="s">
        <v>1980</v>
      </c>
      <c r="D643" s="376" t="str">
        <f>IFERROR(VLOOKUP(E:E,'Item Data Support Sheet'!A:O,7,0),"")</f>
        <v>BOTTLE MOLDED</v>
      </c>
      <c r="E643" s="447" t="s">
        <v>65</v>
      </c>
      <c r="F643" s="500" t="s">
        <v>1679</v>
      </c>
      <c r="G643" s="497" t="s">
        <v>1888</v>
      </c>
      <c r="H643" s="602" t="str">
        <f>IFERROR(VLOOKUP(E:E,'Item Data Support Sheet'!A:O,2,0),"")</f>
        <v>KPP 120 ML BOTTLE MOLDED</v>
      </c>
      <c r="I643" s="501" t="s">
        <v>3282</v>
      </c>
      <c r="J643" s="501" t="s">
        <v>2808</v>
      </c>
      <c r="K643" s="438">
        <v>8</v>
      </c>
      <c r="L643" s="499">
        <v>2574</v>
      </c>
      <c r="M643" s="366">
        <f t="shared" si="192"/>
        <v>321.75</v>
      </c>
      <c r="N643" s="367">
        <f t="shared" si="176"/>
        <v>2970</v>
      </c>
      <c r="O643" s="61">
        <v>2880</v>
      </c>
      <c r="P643" s="368">
        <v>0</v>
      </c>
      <c r="Q643" s="368">
        <v>35</v>
      </c>
      <c r="R643" s="494">
        <v>0</v>
      </c>
      <c r="S643" s="493">
        <v>0</v>
      </c>
      <c r="T643" s="494">
        <v>47</v>
      </c>
      <c r="U643" s="493">
        <v>8</v>
      </c>
      <c r="V643" s="502">
        <v>1</v>
      </c>
      <c r="W643" s="453">
        <f t="shared" si="178"/>
        <v>2880</v>
      </c>
      <c r="X643" s="748">
        <f t="shared" si="179"/>
        <v>1.118881118881119</v>
      </c>
      <c r="Y643" s="451" t="str">
        <f>IFERROR(VLOOKUP(E:E,'Item Data Support Sheet'!A:J,6,0),0)</f>
        <v>HMC</v>
      </c>
      <c r="Z643" s="428">
        <f>IFERROR(VLOOKUP(E:E,'Item Data Support Sheet'!A:O,4,0),0)</f>
        <v>21.3</v>
      </c>
      <c r="AA643" s="428">
        <f t="shared" si="180"/>
        <v>63.260999999999996</v>
      </c>
      <c r="AB643" s="429">
        <f t="shared" si="181"/>
        <v>0.96969696969696983</v>
      </c>
      <c r="AC643" s="424">
        <f t="shared" si="182"/>
        <v>1.6057396651861976E-2</v>
      </c>
      <c r="AD643" s="371">
        <f t="shared" si="183"/>
        <v>1.1647254575707155E-2</v>
      </c>
      <c r="AE643" s="748">
        <f t="shared" si="184"/>
        <v>0.98417508417508415</v>
      </c>
      <c r="AF643" s="417">
        <f t="shared" si="185"/>
        <v>0</v>
      </c>
      <c r="AG643" s="416">
        <f t="shared" si="186"/>
        <v>8</v>
      </c>
      <c r="AH643" s="372">
        <f t="shared" si="187"/>
        <v>1</v>
      </c>
      <c r="AI643" s="373">
        <f t="shared" si="188"/>
        <v>360</v>
      </c>
      <c r="AJ643" s="418">
        <f>VLOOKUP(D643,'Standard Cycle time'!C:D,2,0)</f>
        <v>9</v>
      </c>
      <c r="AK643" s="418">
        <f t="shared" si="189"/>
        <v>10</v>
      </c>
      <c r="AL643" s="374">
        <f t="shared" si="190"/>
        <v>0.9</v>
      </c>
      <c r="AM643" s="372">
        <f t="shared" si="191"/>
        <v>0.88575757575757574</v>
      </c>
      <c r="AN643" s="799">
        <v>3496</v>
      </c>
      <c r="AO643" s="448"/>
      <c r="AP643" s="440">
        <v>0</v>
      </c>
      <c r="AQ643" s="440">
        <v>0</v>
      </c>
      <c r="AR643" s="440">
        <v>0</v>
      </c>
      <c r="AS643" s="440">
        <v>0</v>
      </c>
      <c r="AT643" s="440">
        <v>0</v>
      </c>
      <c r="AU643" s="440">
        <v>0</v>
      </c>
      <c r="AV643" s="440">
        <v>0</v>
      </c>
      <c r="AW643" s="440">
        <v>0</v>
      </c>
      <c r="AX643" s="440">
        <v>0</v>
      </c>
      <c r="AY643" s="440">
        <v>0</v>
      </c>
      <c r="AZ643" s="440">
        <v>0</v>
      </c>
      <c r="BA643" s="440">
        <v>0</v>
      </c>
      <c r="BB643" s="440">
        <v>0</v>
      </c>
      <c r="BC643" s="440">
        <v>0</v>
      </c>
      <c r="BD643" s="440">
        <v>0</v>
      </c>
      <c r="BE643" s="440">
        <v>0</v>
      </c>
      <c r="BF643" s="440">
        <v>0</v>
      </c>
      <c r="BG643" s="440">
        <v>0</v>
      </c>
      <c r="BH643" s="440">
        <v>0</v>
      </c>
      <c r="BI643" s="440">
        <v>0</v>
      </c>
      <c r="BJ643" s="440">
        <v>0</v>
      </c>
      <c r="BK643" s="440">
        <v>0</v>
      </c>
      <c r="BL643" s="440">
        <v>0</v>
      </c>
      <c r="BM643" s="440">
        <v>0</v>
      </c>
      <c r="BN643" s="440">
        <v>0</v>
      </c>
      <c r="BO643" s="440">
        <v>0</v>
      </c>
      <c r="BP643" s="440">
        <v>0</v>
      </c>
      <c r="BQ643" s="440">
        <v>0</v>
      </c>
      <c r="BR643" s="415">
        <v>0</v>
      </c>
      <c r="BS643" s="415">
        <v>0</v>
      </c>
      <c r="BT643" s="935"/>
      <c r="BU643" s="935"/>
      <c r="BV643" s="935"/>
      <c r="BW643" s="935"/>
      <c r="BX643" s="935"/>
      <c r="BY643" s="935"/>
      <c r="BZ643" s="935"/>
      <c r="CA643" s="935"/>
      <c r="CB643" s="935"/>
      <c r="CC643" s="935"/>
      <c r="CD643" s="935"/>
      <c r="CE643" s="935"/>
      <c r="CF643" s="935"/>
      <c r="CG643" s="935"/>
      <c r="CH643" s="935"/>
      <c r="CI643" s="935"/>
      <c r="CJ643" s="935"/>
      <c r="CK643" s="935"/>
      <c r="CL643" s="935"/>
      <c r="CM643" s="935"/>
      <c r="CN643" s="935"/>
      <c r="CO643" s="935"/>
      <c r="CP643" s="935"/>
      <c r="CQ643" s="935"/>
      <c r="CR643" s="935"/>
      <c r="CS643" s="935"/>
      <c r="CT643" s="935"/>
      <c r="CU643" s="935"/>
      <c r="CV643" s="935"/>
    </row>
    <row r="644" spans="1:100" s="441" customFormat="1">
      <c r="A644" s="375">
        <f t="shared" si="177"/>
        <v>9</v>
      </c>
      <c r="B644" s="862">
        <v>44462</v>
      </c>
      <c r="C644" s="493" t="s">
        <v>1980</v>
      </c>
      <c r="D644" s="376" t="str">
        <f>IFERROR(VLOOKUP(E:E,'Item Data Support Sheet'!A:O,7,0),"")</f>
        <v>NIPPLE MOLDED</v>
      </c>
      <c r="E644" s="447" t="s">
        <v>72</v>
      </c>
      <c r="F644" s="500" t="s">
        <v>1677</v>
      </c>
      <c r="G644" s="497" t="s">
        <v>1690</v>
      </c>
      <c r="H644" s="602" t="str">
        <f>IFERROR(VLOOKUP(E:E,'Item Data Support Sheet'!A:O,2,0),"")</f>
        <v>NIPPLE S TYPE S SIZE INJECTION</v>
      </c>
      <c r="I644" s="501" t="s">
        <v>3275</v>
      </c>
      <c r="J644" s="501" t="s">
        <v>2809</v>
      </c>
      <c r="K644" s="438">
        <v>4</v>
      </c>
      <c r="L644" s="499">
        <v>1200</v>
      </c>
      <c r="M644" s="366">
        <f t="shared" si="192"/>
        <v>300</v>
      </c>
      <c r="N644" s="367">
        <f t="shared" ref="N644:N707" si="193">+O644+Q644+T644+U644</f>
        <v>1378</v>
      </c>
      <c r="O644" s="61">
        <v>592</v>
      </c>
      <c r="P644" s="368">
        <v>4</v>
      </c>
      <c r="Q644" s="368">
        <v>128</v>
      </c>
      <c r="R644" s="494">
        <v>0</v>
      </c>
      <c r="S644" s="493">
        <v>0</v>
      </c>
      <c r="T644" s="494">
        <v>658</v>
      </c>
      <c r="U644" s="493">
        <v>0</v>
      </c>
      <c r="V644" s="502">
        <v>1</v>
      </c>
      <c r="W644" s="453">
        <f t="shared" si="178"/>
        <v>592</v>
      </c>
      <c r="X644" s="748">
        <f t="shared" si="179"/>
        <v>0.49333333333333335</v>
      </c>
      <c r="Y644" s="451" t="str">
        <f>IFERROR(VLOOKUP(E:E,'Item Data Support Sheet'!A:J,6,0),0)</f>
        <v>Silicon</v>
      </c>
      <c r="Z644" s="428">
        <f>IFERROR(VLOOKUP(E:E,'Item Data Support Sheet'!A:O,4,0),0)</f>
        <v>6.8</v>
      </c>
      <c r="AA644" s="428">
        <f t="shared" si="180"/>
        <v>13.3704</v>
      </c>
      <c r="AB644" s="429">
        <f t="shared" si="181"/>
        <v>0.30108298928977439</v>
      </c>
      <c r="AC644" s="424">
        <f t="shared" si="182"/>
        <v>0.52639999999999998</v>
      </c>
      <c r="AD644" s="371">
        <f t="shared" si="183"/>
        <v>8.4993359893758294E-2</v>
      </c>
      <c r="AE644" s="748">
        <f t="shared" si="184"/>
        <v>0.52249637155297535</v>
      </c>
      <c r="AF644" s="417">
        <f t="shared" si="185"/>
        <v>0</v>
      </c>
      <c r="AG644" s="416">
        <f t="shared" si="186"/>
        <v>4</v>
      </c>
      <c r="AH644" s="372">
        <f t="shared" si="187"/>
        <v>1</v>
      </c>
      <c r="AI644" s="373">
        <f t="shared" si="188"/>
        <v>148</v>
      </c>
      <c r="AJ644" s="418">
        <f>VLOOKUP(D644,'Standard Cycle time'!C:D,2,0)</f>
        <v>5.25</v>
      </c>
      <c r="AK644" s="418">
        <f t="shared" si="189"/>
        <v>24.324324324324323</v>
      </c>
      <c r="AL644" s="374">
        <f t="shared" si="190"/>
        <v>0.21583333333333335</v>
      </c>
      <c r="AM644" s="372">
        <f t="shared" si="191"/>
        <v>0.11277213352685052</v>
      </c>
      <c r="AN644" s="799">
        <v>3720</v>
      </c>
      <c r="AO644" s="448"/>
      <c r="AP644" s="440"/>
      <c r="AQ644" s="440"/>
      <c r="AR644" s="440"/>
      <c r="AS644" s="440"/>
      <c r="AT644" s="440"/>
      <c r="AU644" s="440">
        <v>30</v>
      </c>
      <c r="AV644" s="440">
        <v>30</v>
      </c>
      <c r="AW644" s="440">
        <v>240</v>
      </c>
      <c r="AX644" s="440"/>
      <c r="AY644" s="440"/>
      <c r="AZ644" s="440"/>
      <c r="BA644" s="440"/>
      <c r="BB644" s="440"/>
      <c r="BC644" s="440"/>
      <c r="BD644" s="440"/>
      <c r="BE644" s="440"/>
      <c r="BF644" s="440"/>
      <c r="BG644" s="440"/>
      <c r="BH644" s="440"/>
      <c r="BI644" s="440"/>
      <c r="BJ644" s="440"/>
      <c r="BK644" s="440"/>
      <c r="BL644" s="440"/>
      <c r="BM644" s="440"/>
      <c r="BN644" s="440"/>
      <c r="BO644" s="440"/>
      <c r="BP644" s="440"/>
      <c r="BQ644" s="440"/>
      <c r="BR644" s="415"/>
      <c r="BS644" s="415"/>
      <c r="BT644" s="935"/>
      <c r="BU644" s="935"/>
      <c r="BV644" s="935"/>
      <c r="BW644" s="935"/>
      <c r="BX644" s="935"/>
      <c r="BY644" s="935"/>
      <c r="BZ644" s="935"/>
      <c r="CA644" s="935"/>
      <c r="CB644" s="935"/>
      <c r="CC644" s="935"/>
      <c r="CD644" s="935"/>
      <c r="CE644" s="935"/>
      <c r="CF644" s="935"/>
      <c r="CG644" s="935"/>
      <c r="CH644" s="935"/>
      <c r="CI644" s="935"/>
      <c r="CJ644" s="935"/>
      <c r="CK644" s="935"/>
      <c r="CL644" s="935"/>
      <c r="CM644" s="935"/>
      <c r="CN644" s="935"/>
      <c r="CO644" s="935"/>
      <c r="CP644" s="935"/>
      <c r="CQ644" s="935"/>
      <c r="CR644" s="935"/>
      <c r="CS644" s="935"/>
      <c r="CT644" s="935"/>
      <c r="CU644" s="935"/>
      <c r="CV644" s="935"/>
    </row>
    <row r="645" spans="1:100" s="441" customFormat="1">
      <c r="A645" s="375">
        <f t="shared" ref="A645:A708" si="194">MONTH(B645)</f>
        <v>9</v>
      </c>
      <c r="B645" s="862">
        <v>44462</v>
      </c>
      <c r="C645" s="493" t="s">
        <v>2000</v>
      </c>
      <c r="D645" s="376" t="str">
        <f>IFERROR(VLOOKUP(E:E,'Item Data Support Sheet'!A:O,7,0),"")</f>
        <v>BOTTLE PRINTED</v>
      </c>
      <c r="E645" s="447" t="s">
        <v>232</v>
      </c>
      <c r="F645" s="500"/>
      <c r="G645" s="497"/>
      <c r="H645" s="602" t="str">
        <f>IFERROR(VLOOKUP(E:E,'Item Data Support Sheet'!A:O,2,0),"")</f>
        <v>RPP 120ML BOY BLUE BOTLE PNTD WM3GB W/BIS LOGO</v>
      </c>
      <c r="I645" s="501" t="s">
        <v>3283</v>
      </c>
      <c r="J645" s="501" t="s">
        <v>2813</v>
      </c>
      <c r="K645" s="438">
        <v>1</v>
      </c>
      <c r="L645" s="499">
        <v>400</v>
      </c>
      <c r="M645" s="366">
        <f t="shared" si="192"/>
        <v>400</v>
      </c>
      <c r="N645" s="367">
        <f t="shared" si="193"/>
        <v>496</v>
      </c>
      <c r="O645" s="61">
        <v>488</v>
      </c>
      <c r="P645" s="368">
        <v>0</v>
      </c>
      <c r="Q645" s="368">
        <v>0</v>
      </c>
      <c r="R645" s="494">
        <v>5</v>
      </c>
      <c r="S645" s="493">
        <v>0</v>
      </c>
      <c r="T645" s="494">
        <v>8</v>
      </c>
      <c r="U645" s="493">
        <v>0</v>
      </c>
      <c r="V645" s="502">
        <v>5</v>
      </c>
      <c r="W645" s="453">
        <f t="shared" ref="W645:W708" si="195">IFERROR(O645/V645,0)</f>
        <v>97.6</v>
      </c>
      <c r="X645" s="748">
        <f t="shared" ref="X645:X708" si="196">O645/L645</f>
        <v>1.22</v>
      </c>
      <c r="Y645" s="451" t="str">
        <f>IFERROR(VLOOKUP(E:E,'Item Data Support Sheet'!A:J,6,0),0)</f>
        <v>FO054</v>
      </c>
      <c r="Z645" s="428">
        <f>IFERROR(VLOOKUP(E:E,'Item Data Support Sheet'!A:O,4,0),0)</f>
        <v>0</v>
      </c>
      <c r="AA645" s="428">
        <f t="shared" ref="AA645:AA708" si="197">IFERROR(((N645)*(Z645/1000))+P645,0)</f>
        <v>0</v>
      </c>
      <c r="AB645" s="429" t="str">
        <f t="shared" ref="AB645:AB708" si="198">IFERROR((O645*(Z645/1000)/(AA645))," ")</f>
        <v xml:space="preserve"> </v>
      </c>
      <c r="AC645" s="424">
        <f t="shared" ref="AC645:AC708" si="199">IFERROR((T645)/((T645)+O645),0)</f>
        <v>1.6129032258064516E-2</v>
      </c>
      <c r="AD645" s="371">
        <f t="shared" ref="AD645:AD708" si="200">IFERROR(Q645/(Q645+N645),0)</f>
        <v>0</v>
      </c>
      <c r="AE645" s="748">
        <f t="shared" ref="AE645:AE708" si="201">(N645-T645)/N645</f>
        <v>0.9838709677419355</v>
      </c>
      <c r="AF645" s="417">
        <f t="shared" ref="AF645:AF708" si="202">BR645</f>
        <v>0</v>
      </c>
      <c r="AG645" s="416">
        <f t="shared" ref="AG645:AG708" si="203">K645-AF645</f>
        <v>1</v>
      </c>
      <c r="AH645" s="372">
        <f t="shared" ref="AH645:AH708" si="204">IFERROR(AG645/K645," ")</f>
        <v>1</v>
      </c>
      <c r="AI645" s="373">
        <f t="shared" ref="AI645:AI708" si="205">IFERROR(O645/K645,0)</f>
        <v>488</v>
      </c>
      <c r="AJ645" s="418">
        <f>VLOOKUP(D645,'Standard Cycle time'!C:D,2,0)</f>
        <v>32.4</v>
      </c>
      <c r="AK645" s="418">
        <f t="shared" ref="AK645:AK708" si="206">AG645*V645*3600/O645</f>
        <v>36.885245901639344</v>
      </c>
      <c r="AL645" s="374">
        <f t="shared" ref="AL645:AL708" si="207">AJ645/AK645</f>
        <v>0.87839999999999996</v>
      </c>
      <c r="AM645" s="372">
        <f t="shared" ref="AM645:AM708" si="208">AE645*AL645*AH645</f>
        <v>0.86423225806451609</v>
      </c>
      <c r="AN645" s="799">
        <v>3489</v>
      </c>
      <c r="AO645" s="448" t="s">
        <v>3284</v>
      </c>
      <c r="AP645" s="440">
        <v>0</v>
      </c>
      <c r="AQ645" s="440">
        <v>0</v>
      </c>
      <c r="AR645" s="440">
        <v>0</v>
      </c>
      <c r="AS645" s="440">
        <v>0</v>
      </c>
      <c r="AT645" s="440">
        <v>0</v>
      </c>
      <c r="AU645" s="440">
        <v>0</v>
      </c>
      <c r="AV645" s="440">
        <v>0</v>
      </c>
      <c r="AW645" s="440">
        <v>0</v>
      </c>
      <c r="AX645" s="440">
        <v>0</v>
      </c>
      <c r="AY645" s="440">
        <v>0</v>
      </c>
      <c r="AZ645" s="440">
        <v>0</v>
      </c>
      <c r="BA645" s="440">
        <v>0</v>
      </c>
      <c r="BB645" s="440">
        <v>0</v>
      </c>
      <c r="BC645" s="440">
        <v>0</v>
      </c>
      <c r="BD645" s="440">
        <v>0</v>
      </c>
      <c r="BE645" s="440">
        <v>0</v>
      </c>
      <c r="BF645" s="440">
        <v>0</v>
      </c>
      <c r="BG645" s="440">
        <v>0</v>
      </c>
      <c r="BH645" s="440">
        <v>0</v>
      </c>
      <c r="BI645" s="440">
        <v>0</v>
      </c>
      <c r="BJ645" s="440">
        <v>0</v>
      </c>
      <c r="BK645" s="440">
        <v>0</v>
      </c>
      <c r="BL645" s="440">
        <v>0</v>
      </c>
      <c r="BM645" s="440">
        <v>0</v>
      </c>
      <c r="BN645" s="440">
        <v>0</v>
      </c>
      <c r="BO645" s="440">
        <v>0</v>
      </c>
      <c r="BP645" s="440">
        <v>0</v>
      </c>
      <c r="BQ645" s="440">
        <v>0</v>
      </c>
      <c r="BR645" s="415">
        <v>0</v>
      </c>
      <c r="BS645" s="415">
        <v>0</v>
      </c>
      <c r="BT645" s="935"/>
      <c r="BU645" s="935"/>
      <c r="BV645" s="935"/>
      <c r="BW645" s="935"/>
      <c r="BX645" s="935"/>
      <c r="BY645" s="935"/>
      <c r="BZ645" s="935"/>
      <c r="CA645" s="935"/>
      <c r="CB645" s="935"/>
      <c r="CC645" s="935"/>
      <c r="CD645" s="935"/>
      <c r="CE645" s="935"/>
      <c r="CF645" s="935"/>
      <c r="CG645" s="935"/>
      <c r="CH645" s="935"/>
      <c r="CI645" s="935"/>
      <c r="CJ645" s="935"/>
      <c r="CK645" s="935"/>
      <c r="CL645" s="935"/>
      <c r="CM645" s="935"/>
      <c r="CN645" s="935"/>
      <c r="CO645" s="935"/>
      <c r="CP645" s="935"/>
      <c r="CQ645" s="935"/>
      <c r="CR645" s="935"/>
      <c r="CS645" s="935"/>
      <c r="CT645" s="935"/>
      <c r="CU645" s="935"/>
      <c r="CV645" s="935"/>
    </row>
    <row r="646" spans="1:100" s="441" customFormat="1">
      <c r="A646" s="375">
        <f t="shared" si="194"/>
        <v>9</v>
      </c>
      <c r="B646" s="862">
        <v>44462</v>
      </c>
      <c r="C646" s="493" t="s">
        <v>2000</v>
      </c>
      <c r="D646" s="376" t="str">
        <f>IFERROR(VLOOKUP(E:E,'Item Data Support Sheet'!A:O,7,0),"")</f>
        <v>BOTTLE PRINTED</v>
      </c>
      <c r="E646" s="447" t="s">
        <v>230</v>
      </c>
      <c r="F646" s="500"/>
      <c r="G646" s="497"/>
      <c r="H646" s="602" t="str">
        <f>IFERROR(VLOOKUP(E:E,'Item Data Support Sheet'!A:O,2,0),"")</f>
        <v>RPP 240ML BOY BLUE BOTLE PNTD WM3GB W/BIS LOGO</v>
      </c>
      <c r="I646" s="501" t="s">
        <v>3285</v>
      </c>
      <c r="J646" s="501" t="s">
        <v>2813</v>
      </c>
      <c r="K646" s="438">
        <v>4</v>
      </c>
      <c r="L646" s="499">
        <v>1700</v>
      </c>
      <c r="M646" s="366">
        <f t="shared" si="192"/>
        <v>425</v>
      </c>
      <c r="N646" s="367">
        <f t="shared" si="193"/>
        <v>1453</v>
      </c>
      <c r="O646" s="61">
        <v>1440</v>
      </c>
      <c r="P646" s="368">
        <v>0</v>
      </c>
      <c r="Q646" s="368">
        <v>0</v>
      </c>
      <c r="R646" s="494">
        <v>22</v>
      </c>
      <c r="S646" s="493">
        <v>0</v>
      </c>
      <c r="T646" s="494">
        <v>13</v>
      </c>
      <c r="U646" s="493">
        <v>0</v>
      </c>
      <c r="V646" s="502">
        <v>5</v>
      </c>
      <c r="W646" s="453">
        <f t="shared" si="195"/>
        <v>288</v>
      </c>
      <c r="X646" s="748">
        <f t="shared" si="196"/>
        <v>0.84705882352941175</v>
      </c>
      <c r="Y646" s="451" t="str">
        <f>IFERROR(VLOOKUP(E:E,'Item Data Support Sheet'!A:J,6,0),0)</f>
        <v>FO055</v>
      </c>
      <c r="Z646" s="428">
        <f>IFERROR(VLOOKUP(E:E,'Item Data Support Sheet'!A:O,4,0),0)</f>
        <v>0</v>
      </c>
      <c r="AA646" s="428">
        <f t="shared" si="197"/>
        <v>0</v>
      </c>
      <c r="AB646" s="429" t="str">
        <f t="shared" si="198"/>
        <v xml:space="preserve"> </v>
      </c>
      <c r="AC646" s="424">
        <f t="shared" si="199"/>
        <v>8.9470061940812116E-3</v>
      </c>
      <c r="AD646" s="371">
        <f t="shared" si="200"/>
        <v>0</v>
      </c>
      <c r="AE646" s="748">
        <f t="shared" si="201"/>
        <v>0.99105299380591882</v>
      </c>
      <c r="AF646" s="417">
        <f t="shared" si="202"/>
        <v>0.83333333333333337</v>
      </c>
      <c r="AG646" s="416">
        <f t="shared" si="203"/>
        <v>3.1666666666666665</v>
      </c>
      <c r="AH646" s="372">
        <f t="shared" si="204"/>
        <v>0.79166666666666663</v>
      </c>
      <c r="AI646" s="373">
        <f t="shared" si="205"/>
        <v>360</v>
      </c>
      <c r="AJ646" s="418">
        <f>VLOOKUP(D646,'Standard Cycle time'!C:D,2,0)</f>
        <v>32.4</v>
      </c>
      <c r="AK646" s="418">
        <f t="shared" si="206"/>
        <v>39.583333333333329</v>
      </c>
      <c r="AL646" s="374">
        <f t="shared" si="207"/>
        <v>0.81852631578947377</v>
      </c>
      <c r="AM646" s="372">
        <f t="shared" si="208"/>
        <v>0.64220233998623544</v>
      </c>
      <c r="AN646" s="799" t="s">
        <v>3286</v>
      </c>
      <c r="AO646" s="448" t="s">
        <v>3287</v>
      </c>
      <c r="AP646" s="440">
        <v>50</v>
      </c>
      <c r="AQ646" s="440">
        <v>0</v>
      </c>
      <c r="AR646" s="440">
        <v>0</v>
      </c>
      <c r="AS646" s="440">
        <v>0</v>
      </c>
      <c r="AT646" s="440">
        <v>0</v>
      </c>
      <c r="AU646" s="440">
        <v>0</v>
      </c>
      <c r="AV646" s="440">
        <v>0</v>
      </c>
      <c r="AW646" s="440">
        <v>0</v>
      </c>
      <c r="AX646" s="440">
        <v>0</v>
      </c>
      <c r="AY646" s="440">
        <v>0</v>
      </c>
      <c r="AZ646" s="440">
        <v>0</v>
      </c>
      <c r="BA646" s="440">
        <v>0</v>
      </c>
      <c r="BB646" s="440">
        <v>0</v>
      </c>
      <c r="BC646" s="440">
        <v>0</v>
      </c>
      <c r="BD646" s="440">
        <v>0</v>
      </c>
      <c r="BE646" s="440">
        <v>0</v>
      </c>
      <c r="BF646" s="440">
        <v>0</v>
      </c>
      <c r="BG646" s="440">
        <v>0</v>
      </c>
      <c r="BH646" s="440">
        <v>0</v>
      </c>
      <c r="BI646" s="440">
        <v>0</v>
      </c>
      <c r="BJ646" s="440">
        <v>0</v>
      </c>
      <c r="BK646" s="440">
        <v>0</v>
      </c>
      <c r="BL646" s="440">
        <v>0</v>
      </c>
      <c r="BM646" s="440">
        <v>0</v>
      </c>
      <c r="BN646" s="440">
        <v>0</v>
      </c>
      <c r="BO646" s="440">
        <v>0</v>
      </c>
      <c r="BP646" s="440">
        <v>0</v>
      </c>
      <c r="BQ646" s="440">
        <v>0</v>
      </c>
      <c r="BR646" s="415">
        <v>0.83333333333333337</v>
      </c>
      <c r="BS646" s="415">
        <v>0.84722222222222221</v>
      </c>
      <c r="BT646" s="935"/>
      <c r="BU646" s="935"/>
      <c r="BV646" s="935"/>
      <c r="BW646" s="935"/>
      <c r="BX646" s="935"/>
      <c r="BY646" s="935"/>
      <c r="BZ646" s="935"/>
      <c r="CA646" s="935"/>
      <c r="CB646" s="935"/>
      <c r="CC646" s="935"/>
      <c r="CD646" s="935"/>
      <c r="CE646" s="935"/>
      <c r="CF646" s="935"/>
      <c r="CG646" s="935"/>
      <c r="CH646" s="935"/>
      <c r="CI646" s="935"/>
      <c r="CJ646" s="935"/>
      <c r="CK646" s="935"/>
      <c r="CL646" s="935"/>
      <c r="CM646" s="935"/>
      <c r="CN646" s="935"/>
      <c r="CO646" s="935"/>
      <c r="CP646" s="935"/>
      <c r="CQ646" s="935"/>
      <c r="CR646" s="935"/>
      <c r="CS646" s="935"/>
      <c r="CT646" s="935"/>
      <c r="CU646" s="935"/>
      <c r="CV646" s="935"/>
    </row>
    <row r="647" spans="1:100" s="441" customFormat="1">
      <c r="A647" s="375">
        <f t="shared" si="194"/>
        <v>9</v>
      </c>
      <c r="B647" s="862">
        <v>44462</v>
      </c>
      <c r="C647" s="493" t="s">
        <v>2000</v>
      </c>
      <c r="D647" s="376" t="str">
        <f>IFERROR(VLOOKUP(E:E,'Item Data Support Sheet'!A:O,7,0),"")</f>
        <v>BOTTLE PRINTED</v>
      </c>
      <c r="E647" s="447" t="s">
        <v>355</v>
      </c>
      <c r="F647" s="500"/>
      <c r="G647" s="497"/>
      <c r="H647" s="602" t="str">
        <f>IFERROR(VLOOKUP(E:E,'Item Data Support Sheet'!A:O,2,0),"")</f>
        <v>RPP 240ML GRL PNK BOTLE PNTD WM3GB W/BIS LOGO</v>
      </c>
      <c r="I647" s="501" t="s">
        <v>3288</v>
      </c>
      <c r="J647" s="501" t="s">
        <v>2813</v>
      </c>
      <c r="K647" s="438">
        <v>3</v>
      </c>
      <c r="L647" s="499">
        <v>1300</v>
      </c>
      <c r="M647" s="366">
        <f t="shared" si="192"/>
        <v>433.33333333333331</v>
      </c>
      <c r="N647" s="367">
        <f t="shared" si="193"/>
        <v>1582</v>
      </c>
      <c r="O647" s="61">
        <v>1560</v>
      </c>
      <c r="P647" s="368">
        <v>0</v>
      </c>
      <c r="Q647" s="368">
        <v>0</v>
      </c>
      <c r="R647" s="494">
        <v>18</v>
      </c>
      <c r="S647" s="493">
        <v>0</v>
      </c>
      <c r="T647" s="494">
        <v>22</v>
      </c>
      <c r="U647" s="493">
        <v>0</v>
      </c>
      <c r="V647" s="502">
        <v>5</v>
      </c>
      <c r="W647" s="453">
        <f t="shared" si="195"/>
        <v>312</v>
      </c>
      <c r="X647" s="748">
        <f t="shared" si="196"/>
        <v>1.2</v>
      </c>
      <c r="Y647" s="451" t="str">
        <f>IFERROR(VLOOKUP(E:E,'Item Data Support Sheet'!A:J,6,0),0)</f>
        <v>FO057</v>
      </c>
      <c r="Z647" s="428">
        <f>IFERROR(VLOOKUP(E:E,'Item Data Support Sheet'!A:O,4,0),0)</f>
        <v>0</v>
      </c>
      <c r="AA647" s="428">
        <f t="shared" si="197"/>
        <v>0</v>
      </c>
      <c r="AB647" s="429" t="str">
        <f t="shared" si="198"/>
        <v xml:space="preserve"> </v>
      </c>
      <c r="AC647" s="424">
        <f t="shared" si="199"/>
        <v>1.3906447534766119E-2</v>
      </c>
      <c r="AD647" s="371">
        <f t="shared" si="200"/>
        <v>0</v>
      </c>
      <c r="AE647" s="748">
        <f t="shared" si="201"/>
        <v>0.98609355246523389</v>
      </c>
      <c r="AF647" s="417">
        <f t="shared" si="202"/>
        <v>0</v>
      </c>
      <c r="AG647" s="416">
        <f t="shared" si="203"/>
        <v>3</v>
      </c>
      <c r="AH647" s="372">
        <f t="shared" si="204"/>
        <v>1</v>
      </c>
      <c r="AI647" s="373">
        <f t="shared" si="205"/>
        <v>520</v>
      </c>
      <c r="AJ647" s="418">
        <f>VLOOKUP(D647,'Standard Cycle time'!C:D,2,0)</f>
        <v>32.4</v>
      </c>
      <c r="AK647" s="418">
        <f t="shared" si="206"/>
        <v>34.615384615384613</v>
      </c>
      <c r="AL647" s="374">
        <f t="shared" si="207"/>
        <v>0.93600000000000005</v>
      </c>
      <c r="AM647" s="372">
        <f t="shared" si="208"/>
        <v>0.92298356510745894</v>
      </c>
      <c r="AN647" s="799" t="s">
        <v>2874</v>
      </c>
      <c r="AO647" s="448"/>
      <c r="AP647" s="440">
        <v>0</v>
      </c>
      <c r="AQ647" s="440">
        <v>0</v>
      </c>
      <c r="AR647" s="440">
        <v>0</v>
      </c>
      <c r="AS647" s="440">
        <v>0</v>
      </c>
      <c r="AT647" s="440">
        <v>0</v>
      </c>
      <c r="AU647" s="440">
        <v>0</v>
      </c>
      <c r="AV647" s="440">
        <v>0</v>
      </c>
      <c r="AW647" s="440">
        <v>0</v>
      </c>
      <c r="AX647" s="440">
        <v>0</v>
      </c>
      <c r="AY647" s="440">
        <v>0</v>
      </c>
      <c r="AZ647" s="440">
        <v>0</v>
      </c>
      <c r="BA647" s="440">
        <v>0</v>
      </c>
      <c r="BB647" s="440">
        <v>0</v>
      </c>
      <c r="BC647" s="440">
        <v>0</v>
      </c>
      <c r="BD647" s="440">
        <v>0</v>
      </c>
      <c r="BE647" s="440">
        <v>0</v>
      </c>
      <c r="BF647" s="440">
        <v>0</v>
      </c>
      <c r="BG647" s="440">
        <v>0</v>
      </c>
      <c r="BH647" s="440">
        <v>0</v>
      </c>
      <c r="BI647" s="440">
        <v>0</v>
      </c>
      <c r="BJ647" s="440">
        <v>0</v>
      </c>
      <c r="BK647" s="440">
        <v>0</v>
      </c>
      <c r="BL647" s="440">
        <v>0</v>
      </c>
      <c r="BM647" s="440">
        <v>0</v>
      </c>
      <c r="BN647" s="440">
        <v>0</v>
      </c>
      <c r="BO647" s="440">
        <v>0</v>
      </c>
      <c r="BP647" s="440">
        <v>0</v>
      </c>
      <c r="BQ647" s="440">
        <v>0</v>
      </c>
      <c r="BR647" s="415">
        <v>0</v>
      </c>
      <c r="BS647" s="415">
        <v>0</v>
      </c>
      <c r="BT647" s="935"/>
      <c r="BU647" s="935"/>
      <c r="BV647" s="935"/>
      <c r="BW647" s="935"/>
      <c r="BX647" s="935"/>
      <c r="BY647" s="935"/>
      <c r="BZ647" s="935"/>
      <c r="CA647" s="935"/>
      <c r="CB647" s="935"/>
      <c r="CC647" s="935"/>
      <c r="CD647" s="935"/>
      <c r="CE647" s="935"/>
      <c r="CF647" s="935"/>
      <c r="CG647" s="935"/>
      <c r="CH647" s="935"/>
      <c r="CI647" s="935"/>
      <c r="CJ647" s="935"/>
      <c r="CK647" s="935"/>
      <c r="CL647" s="935"/>
      <c r="CM647" s="935"/>
      <c r="CN647" s="935"/>
      <c r="CO647" s="935"/>
      <c r="CP647" s="935"/>
      <c r="CQ647" s="935"/>
      <c r="CR647" s="935"/>
      <c r="CS647" s="935"/>
      <c r="CT647" s="935"/>
      <c r="CU647" s="935"/>
      <c r="CV647" s="935"/>
    </row>
    <row r="648" spans="1:100" s="441" customFormat="1">
      <c r="A648" s="375">
        <f t="shared" si="194"/>
        <v>9</v>
      </c>
      <c r="B648" s="862">
        <v>44462</v>
      </c>
      <c r="C648" s="493" t="s">
        <v>2000</v>
      </c>
      <c r="D648" s="376" t="str">
        <f>IFERROR(VLOOKUP(E:E,'Item Data Support Sheet'!A:O,7,0),"")</f>
        <v>NIPPLE WRAP PRINTED</v>
      </c>
      <c r="E648" s="447" t="s">
        <v>110</v>
      </c>
      <c r="F648" s="500"/>
      <c r="G648" s="497"/>
      <c r="H648" s="602" t="str">
        <f>IFERROR(VLOOKUP(E:E,'Item Data Support Sheet'!A:O,2,0),"")</f>
        <v>NIPPLE S TYPE L SIZE WITH PRINTED WRAP</v>
      </c>
      <c r="I648" s="501" t="s">
        <v>3289</v>
      </c>
      <c r="J648" s="501" t="s">
        <v>2811</v>
      </c>
      <c r="K648" s="438">
        <v>7</v>
      </c>
      <c r="L648" s="499">
        <v>13861</v>
      </c>
      <c r="M648" s="366">
        <f t="shared" si="192"/>
        <v>1980.1428571428571</v>
      </c>
      <c r="N648" s="367">
        <f t="shared" si="193"/>
        <v>12873</v>
      </c>
      <c r="O648" s="61">
        <v>12861</v>
      </c>
      <c r="P648" s="368">
        <v>0</v>
      </c>
      <c r="Q648" s="368">
        <v>0</v>
      </c>
      <c r="R648" s="494">
        <v>0</v>
      </c>
      <c r="S648" s="493">
        <v>0</v>
      </c>
      <c r="T648" s="494">
        <v>12</v>
      </c>
      <c r="U648" s="493">
        <v>0</v>
      </c>
      <c r="V648" s="502">
        <v>2</v>
      </c>
      <c r="W648" s="453">
        <f t="shared" si="195"/>
        <v>6430.5</v>
      </c>
      <c r="X648" s="748">
        <f t="shared" si="196"/>
        <v>0.92785513310727941</v>
      </c>
      <c r="Y648" s="451" t="str">
        <f>IFERROR(VLOOKUP(E:E,'Item Data Support Sheet'!A:J,6,0),0)</f>
        <v>FO021</v>
      </c>
      <c r="Z648" s="428">
        <f>IFERROR(VLOOKUP(E:E,'Item Data Support Sheet'!A:O,4,0),0)</f>
        <v>0</v>
      </c>
      <c r="AA648" s="428">
        <f t="shared" si="197"/>
        <v>0</v>
      </c>
      <c r="AB648" s="429" t="str">
        <f t="shared" si="198"/>
        <v xml:space="preserve"> </v>
      </c>
      <c r="AC648" s="424">
        <f t="shared" si="199"/>
        <v>9.3218364017711493E-4</v>
      </c>
      <c r="AD648" s="371">
        <f t="shared" si="200"/>
        <v>0</v>
      </c>
      <c r="AE648" s="748">
        <f t="shared" si="201"/>
        <v>0.99906781635982289</v>
      </c>
      <c r="AF648" s="417">
        <f t="shared" si="202"/>
        <v>0.83333333333333337</v>
      </c>
      <c r="AG648" s="416">
        <f t="shared" si="203"/>
        <v>6.166666666666667</v>
      </c>
      <c r="AH648" s="372">
        <f t="shared" si="204"/>
        <v>0.88095238095238104</v>
      </c>
      <c r="AI648" s="373">
        <f t="shared" si="205"/>
        <v>1837.2857142857142</v>
      </c>
      <c r="AJ648" s="418">
        <f>VLOOKUP(D648,'Standard Cycle time'!C:D,2,0)</f>
        <v>2.5</v>
      </c>
      <c r="AK648" s="418">
        <f t="shared" si="206"/>
        <v>3.4522976440401214</v>
      </c>
      <c r="AL648" s="374">
        <f t="shared" si="207"/>
        <v>0.72415540540540535</v>
      </c>
      <c r="AM648" s="372">
        <f t="shared" si="208"/>
        <v>0.63735174534740491</v>
      </c>
      <c r="AN648" s="799" t="s">
        <v>3290</v>
      </c>
      <c r="AO648" s="448" t="s">
        <v>3291</v>
      </c>
      <c r="AP648" s="440">
        <v>50</v>
      </c>
      <c r="AQ648" s="440">
        <v>0</v>
      </c>
      <c r="AR648" s="440">
        <v>0</v>
      </c>
      <c r="AS648" s="440">
        <v>0</v>
      </c>
      <c r="AT648" s="440">
        <v>0</v>
      </c>
      <c r="AU648" s="440">
        <v>0</v>
      </c>
      <c r="AV648" s="440">
        <v>0</v>
      </c>
      <c r="AW648" s="440">
        <v>0</v>
      </c>
      <c r="AX648" s="440">
        <v>0</v>
      </c>
      <c r="AY648" s="440">
        <v>0</v>
      </c>
      <c r="AZ648" s="440">
        <v>0</v>
      </c>
      <c r="BA648" s="440">
        <v>0</v>
      </c>
      <c r="BB648" s="440">
        <v>0</v>
      </c>
      <c r="BC648" s="440">
        <v>0</v>
      </c>
      <c r="BD648" s="440">
        <v>0</v>
      </c>
      <c r="BE648" s="440">
        <v>0</v>
      </c>
      <c r="BF648" s="440">
        <v>0</v>
      </c>
      <c r="BG648" s="440">
        <v>0</v>
      </c>
      <c r="BH648" s="440">
        <v>0</v>
      </c>
      <c r="BI648" s="440">
        <v>0</v>
      </c>
      <c r="BJ648" s="440">
        <v>0</v>
      </c>
      <c r="BK648" s="440">
        <v>0</v>
      </c>
      <c r="BL648" s="440">
        <v>0</v>
      </c>
      <c r="BM648" s="440">
        <v>0</v>
      </c>
      <c r="BN648" s="440">
        <v>0</v>
      </c>
      <c r="BO648" s="440">
        <v>0</v>
      </c>
      <c r="BP648" s="440">
        <v>0</v>
      </c>
      <c r="BQ648" s="440">
        <v>0</v>
      </c>
      <c r="BR648" s="415">
        <v>0.83333333333333337</v>
      </c>
      <c r="BS648" s="415">
        <v>0.84722222222222221</v>
      </c>
      <c r="BT648" s="935"/>
      <c r="BU648" s="935"/>
      <c r="BV648" s="935"/>
      <c r="BW648" s="935"/>
      <c r="BX648" s="935"/>
      <c r="BY648" s="935"/>
      <c r="BZ648" s="935"/>
      <c r="CA648" s="935"/>
      <c r="CB648" s="935"/>
      <c r="CC648" s="935"/>
      <c r="CD648" s="935"/>
      <c r="CE648" s="935"/>
      <c r="CF648" s="935"/>
      <c r="CG648" s="935"/>
      <c r="CH648" s="935"/>
      <c r="CI648" s="935"/>
      <c r="CJ648" s="935"/>
      <c r="CK648" s="935"/>
      <c r="CL648" s="935"/>
      <c r="CM648" s="935"/>
      <c r="CN648" s="935"/>
      <c r="CO648" s="935"/>
      <c r="CP648" s="935"/>
      <c r="CQ648" s="935"/>
      <c r="CR648" s="935"/>
      <c r="CS648" s="935"/>
      <c r="CT648" s="935"/>
      <c r="CU648" s="935"/>
      <c r="CV648" s="935"/>
    </row>
    <row r="649" spans="1:100" s="441" customFormat="1">
      <c r="A649" s="375">
        <f t="shared" si="194"/>
        <v>9</v>
      </c>
      <c r="B649" s="862">
        <v>44462</v>
      </c>
      <c r="C649" s="493" t="s">
        <v>2000</v>
      </c>
      <c r="D649" s="376" t="str">
        <f>IFERROR(VLOOKUP(E:E,'Item Data Support Sheet'!A:O,7,0),"")</f>
        <v>NIPPLE PUNCH INSPECTED</v>
      </c>
      <c r="E649" s="447" t="s">
        <v>1820</v>
      </c>
      <c r="F649" s="500"/>
      <c r="G649" s="497"/>
      <c r="H649" s="602" t="str">
        <f>IFERROR(VLOOKUP(E:E,'Item Data Support Sheet'!A:O,2,0),"")</f>
        <v>NIPPLE S TYPE L SIZE PUNCHED INSPECTED</v>
      </c>
      <c r="I649" s="501" t="s">
        <v>3292</v>
      </c>
      <c r="J649" s="501" t="s">
        <v>2811</v>
      </c>
      <c r="K649" s="438">
        <v>7</v>
      </c>
      <c r="L649" s="499">
        <v>12409</v>
      </c>
      <c r="M649" s="366">
        <f t="shared" si="192"/>
        <v>1772.7142857142858</v>
      </c>
      <c r="N649" s="367">
        <f t="shared" si="193"/>
        <v>11288</v>
      </c>
      <c r="O649" s="61">
        <v>11254</v>
      </c>
      <c r="P649" s="368">
        <v>0</v>
      </c>
      <c r="Q649" s="368">
        <v>0</v>
      </c>
      <c r="R649" s="494">
        <v>0</v>
      </c>
      <c r="S649" s="493">
        <v>0</v>
      </c>
      <c r="T649" s="494">
        <v>34</v>
      </c>
      <c r="U649" s="493">
        <v>0</v>
      </c>
      <c r="V649" s="502">
        <v>1</v>
      </c>
      <c r="W649" s="453">
        <f t="shared" si="195"/>
        <v>11254</v>
      </c>
      <c r="X649" s="748">
        <f t="shared" si="196"/>
        <v>0.90692239503586103</v>
      </c>
      <c r="Y649" s="451" t="str">
        <f>IFERROR(VLOOKUP(E:E,'Item Data Support Sheet'!A:J,6,0),0)</f>
        <v>FO106</v>
      </c>
      <c r="Z649" s="428">
        <f>IFERROR(VLOOKUP(E:E,'Item Data Support Sheet'!A:O,4,0),0)</f>
        <v>0</v>
      </c>
      <c r="AA649" s="428">
        <f t="shared" si="197"/>
        <v>0</v>
      </c>
      <c r="AB649" s="429" t="str">
        <f t="shared" si="198"/>
        <v xml:space="preserve"> </v>
      </c>
      <c r="AC649" s="424">
        <f t="shared" si="199"/>
        <v>3.0120481927710845E-3</v>
      </c>
      <c r="AD649" s="371">
        <f t="shared" si="200"/>
        <v>0</v>
      </c>
      <c r="AE649" s="748">
        <f t="shared" si="201"/>
        <v>0.99698795180722888</v>
      </c>
      <c r="AF649" s="417">
        <f t="shared" si="202"/>
        <v>0.83333333333333337</v>
      </c>
      <c r="AG649" s="416">
        <f t="shared" si="203"/>
        <v>6.166666666666667</v>
      </c>
      <c r="AH649" s="372">
        <f t="shared" si="204"/>
        <v>0.88095238095238104</v>
      </c>
      <c r="AI649" s="373">
        <f t="shared" si="205"/>
        <v>1607.7142857142858</v>
      </c>
      <c r="AJ649" s="418">
        <f>VLOOKUP(D649,'Standard Cycle time'!C:D,2,0)</f>
        <v>4</v>
      </c>
      <c r="AK649" s="418">
        <f t="shared" si="206"/>
        <v>1.972631953083348</v>
      </c>
      <c r="AL649" s="374">
        <f t="shared" si="207"/>
        <v>2.0277477477477479</v>
      </c>
      <c r="AM649" s="372">
        <f t="shared" si="208"/>
        <v>1.7809686364505644</v>
      </c>
      <c r="AN649" s="799" t="s">
        <v>3293</v>
      </c>
      <c r="AO649" s="448"/>
      <c r="AP649" s="440">
        <v>50</v>
      </c>
      <c r="AQ649" s="440">
        <v>0</v>
      </c>
      <c r="AR649" s="440">
        <v>0</v>
      </c>
      <c r="AS649" s="440">
        <v>0</v>
      </c>
      <c r="AT649" s="440">
        <v>0</v>
      </c>
      <c r="AU649" s="440">
        <v>0</v>
      </c>
      <c r="AV649" s="440">
        <v>0</v>
      </c>
      <c r="AW649" s="440">
        <v>0</v>
      </c>
      <c r="AX649" s="440">
        <v>0</v>
      </c>
      <c r="AY649" s="440">
        <v>0</v>
      </c>
      <c r="AZ649" s="440">
        <v>0</v>
      </c>
      <c r="BA649" s="440">
        <v>0</v>
      </c>
      <c r="BB649" s="440">
        <v>0</v>
      </c>
      <c r="BC649" s="440">
        <v>0</v>
      </c>
      <c r="BD649" s="440">
        <v>0</v>
      </c>
      <c r="BE649" s="440">
        <v>0</v>
      </c>
      <c r="BF649" s="440">
        <v>0</v>
      </c>
      <c r="BG649" s="440">
        <v>0</v>
      </c>
      <c r="BH649" s="440">
        <v>0</v>
      </c>
      <c r="BI649" s="440">
        <v>0</v>
      </c>
      <c r="BJ649" s="440">
        <v>0</v>
      </c>
      <c r="BK649" s="440">
        <v>0</v>
      </c>
      <c r="BL649" s="440">
        <v>0</v>
      </c>
      <c r="BM649" s="440">
        <v>0</v>
      </c>
      <c r="BN649" s="440">
        <v>0</v>
      </c>
      <c r="BO649" s="440">
        <v>0</v>
      </c>
      <c r="BP649" s="440">
        <v>0</v>
      </c>
      <c r="BQ649" s="440">
        <v>0</v>
      </c>
      <c r="BR649" s="415">
        <v>0.83333333333333337</v>
      </c>
      <c r="BS649" s="415">
        <v>0.84722222222222221</v>
      </c>
      <c r="BT649" s="935"/>
      <c r="BU649" s="935"/>
      <c r="BV649" s="935"/>
      <c r="BW649" s="935"/>
      <c r="BX649" s="935"/>
      <c r="BY649" s="935"/>
      <c r="BZ649" s="935"/>
      <c r="CA649" s="935"/>
      <c r="CB649" s="935"/>
      <c r="CC649" s="935"/>
      <c r="CD649" s="935"/>
      <c r="CE649" s="935"/>
      <c r="CF649" s="935"/>
      <c r="CG649" s="935"/>
      <c r="CH649" s="935"/>
      <c r="CI649" s="935"/>
      <c r="CJ649" s="935"/>
      <c r="CK649" s="935"/>
      <c r="CL649" s="935"/>
      <c r="CM649" s="935"/>
      <c r="CN649" s="935"/>
      <c r="CO649" s="935"/>
      <c r="CP649" s="935"/>
      <c r="CQ649" s="935"/>
      <c r="CR649" s="935"/>
      <c r="CS649" s="935"/>
      <c r="CT649" s="935"/>
      <c r="CU649" s="935"/>
      <c r="CV649" s="935"/>
    </row>
    <row r="650" spans="1:100" s="441" customFormat="1">
      <c r="A650" s="375">
        <f t="shared" si="194"/>
        <v>9</v>
      </c>
      <c r="B650" s="862">
        <v>44462</v>
      </c>
      <c r="C650" s="493" t="s">
        <v>2000</v>
      </c>
      <c r="D650" s="376" t="str">
        <f>IFERROR(VLOOKUP(E:E,'Item Data Support Sheet'!A:O,7,0),"")</f>
        <v>NIPPLE PUNCH INSPECTED</v>
      </c>
      <c r="E650" s="447" t="s">
        <v>1821</v>
      </c>
      <c r="F650" s="500"/>
      <c r="G650" s="497"/>
      <c r="H650" s="602" t="str">
        <f>IFERROR(VLOOKUP(E:E,'Item Data Support Sheet'!A:O,2,0),"")</f>
        <v>NIPPLE S TYPE Y SIZE PUNCHED INSPECTED</v>
      </c>
      <c r="I650" s="501" t="s">
        <v>3294</v>
      </c>
      <c r="J650" s="501" t="s">
        <v>2811</v>
      </c>
      <c r="K650" s="438">
        <v>1</v>
      </c>
      <c r="L650" s="499">
        <v>1773</v>
      </c>
      <c r="M650" s="366">
        <f t="shared" si="192"/>
        <v>1773</v>
      </c>
      <c r="N650" s="367">
        <f t="shared" si="193"/>
        <v>2000</v>
      </c>
      <c r="O650" s="61">
        <v>1983</v>
      </c>
      <c r="P650" s="368">
        <v>0</v>
      </c>
      <c r="Q650" s="368">
        <v>0</v>
      </c>
      <c r="R650" s="494">
        <v>0</v>
      </c>
      <c r="S650" s="493">
        <v>0</v>
      </c>
      <c r="T650" s="494">
        <v>17</v>
      </c>
      <c r="U650" s="493">
        <v>0</v>
      </c>
      <c r="V650" s="502">
        <v>1</v>
      </c>
      <c r="W650" s="453">
        <f t="shared" si="195"/>
        <v>1983</v>
      </c>
      <c r="X650" s="748">
        <f t="shared" si="196"/>
        <v>1.1184433164128595</v>
      </c>
      <c r="Y650" s="451" t="str">
        <f>IFERROR(VLOOKUP(E:E,'Item Data Support Sheet'!A:J,6,0),0)</f>
        <v>FO107</v>
      </c>
      <c r="Z650" s="428">
        <f>IFERROR(VLOOKUP(E:E,'Item Data Support Sheet'!A:O,4,0),0)</f>
        <v>0</v>
      </c>
      <c r="AA650" s="428">
        <f t="shared" si="197"/>
        <v>0</v>
      </c>
      <c r="AB650" s="429" t="str">
        <f t="shared" si="198"/>
        <v xml:space="preserve"> </v>
      </c>
      <c r="AC650" s="424">
        <f t="shared" si="199"/>
        <v>8.5000000000000006E-3</v>
      </c>
      <c r="AD650" s="371">
        <f t="shared" si="200"/>
        <v>0</v>
      </c>
      <c r="AE650" s="748">
        <f t="shared" si="201"/>
        <v>0.99150000000000005</v>
      </c>
      <c r="AF650" s="417">
        <f t="shared" si="202"/>
        <v>0</v>
      </c>
      <c r="AG650" s="416">
        <f t="shared" si="203"/>
        <v>1</v>
      </c>
      <c r="AH650" s="372">
        <f t="shared" si="204"/>
        <v>1</v>
      </c>
      <c r="AI650" s="373">
        <f t="shared" si="205"/>
        <v>1983</v>
      </c>
      <c r="AJ650" s="418">
        <f>VLOOKUP(D650,'Standard Cycle time'!C:D,2,0)</f>
        <v>4</v>
      </c>
      <c r="AK650" s="418">
        <f t="shared" si="206"/>
        <v>1.8154311649016641</v>
      </c>
      <c r="AL650" s="374">
        <f t="shared" si="207"/>
        <v>2.2033333333333336</v>
      </c>
      <c r="AM650" s="372">
        <f t="shared" si="208"/>
        <v>2.1846050000000004</v>
      </c>
      <c r="AN650" s="799">
        <v>3524</v>
      </c>
      <c r="AO650" s="448"/>
      <c r="AP650" s="440">
        <v>0</v>
      </c>
      <c r="AQ650" s="440">
        <v>0</v>
      </c>
      <c r="AR650" s="440">
        <v>0</v>
      </c>
      <c r="AS650" s="440">
        <v>0</v>
      </c>
      <c r="AT650" s="440">
        <v>0</v>
      </c>
      <c r="AU650" s="440">
        <v>0</v>
      </c>
      <c r="AV650" s="440">
        <v>0</v>
      </c>
      <c r="AW650" s="440">
        <v>0</v>
      </c>
      <c r="AX650" s="440">
        <v>0</v>
      </c>
      <c r="AY650" s="440">
        <v>0</v>
      </c>
      <c r="AZ650" s="440">
        <v>0</v>
      </c>
      <c r="BA650" s="440">
        <v>0</v>
      </c>
      <c r="BB650" s="440">
        <v>0</v>
      </c>
      <c r="BC650" s="440">
        <v>0</v>
      </c>
      <c r="BD650" s="440">
        <v>0</v>
      </c>
      <c r="BE650" s="440">
        <v>0</v>
      </c>
      <c r="BF650" s="440">
        <v>0</v>
      </c>
      <c r="BG650" s="440">
        <v>0</v>
      </c>
      <c r="BH650" s="440">
        <v>0</v>
      </c>
      <c r="BI650" s="440">
        <v>0</v>
      </c>
      <c r="BJ650" s="440">
        <v>0</v>
      </c>
      <c r="BK650" s="440">
        <v>0</v>
      </c>
      <c r="BL650" s="440">
        <v>0</v>
      </c>
      <c r="BM650" s="440">
        <v>0</v>
      </c>
      <c r="BN650" s="440">
        <v>0</v>
      </c>
      <c r="BO650" s="440">
        <v>0</v>
      </c>
      <c r="BP650" s="440">
        <v>0</v>
      </c>
      <c r="BQ650" s="440">
        <v>0</v>
      </c>
      <c r="BR650" s="415">
        <v>0</v>
      </c>
      <c r="BS650" s="415">
        <v>0</v>
      </c>
      <c r="BT650" s="935"/>
      <c r="BU650" s="935"/>
      <c r="BV650" s="935"/>
      <c r="BW650" s="935"/>
      <c r="BX650" s="935"/>
      <c r="BY650" s="935"/>
      <c r="BZ650" s="935"/>
      <c r="CA650" s="935"/>
      <c r="CB650" s="935"/>
      <c r="CC650" s="935"/>
      <c r="CD650" s="935"/>
      <c r="CE650" s="935"/>
      <c r="CF650" s="935"/>
      <c r="CG650" s="935"/>
      <c r="CH650" s="935"/>
      <c r="CI650" s="935"/>
      <c r="CJ650" s="935"/>
      <c r="CK650" s="935"/>
      <c r="CL650" s="935"/>
      <c r="CM650" s="935"/>
      <c r="CN650" s="935"/>
      <c r="CO650" s="935"/>
      <c r="CP650" s="935"/>
      <c r="CQ650" s="935"/>
      <c r="CR650" s="935"/>
      <c r="CS650" s="935"/>
      <c r="CT650" s="935"/>
      <c r="CU650" s="935"/>
      <c r="CV650" s="935"/>
    </row>
    <row r="651" spans="1:100" s="441" customFormat="1">
      <c r="A651" s="375">
        <f t="shared" si="194"/>
        <v>9</v>
      </c>
      <c r="B651" s="862">
        <v>44462</v>
      </c>
      <c r="C651" s="493" t="s">
        <v>2001</v>
      </c>
      <c r="D651" s="376" t="str">
        <f>IFERROR(VLOOKUP(E:E,'Item Data Support Sheet'!A:O,7,0),"")</f>
        <v>NIPPLE PUNCH</v>
      </c>
      <c r="E651" s="447" t="s">
        <v>80</v>
      </c>
      <c r="F651" s="500"/>
      <c r="G651" s="497"/>
      <c r="H651" s="602" t="str">
        <f>IFERROR(VLOOKUP(E:E,'Item Data Support Sheet'!A:O,2,0),"")</f>
        <v>NIPPLE S TYPE S SIZE PUNCHED</v>
      </c>
      <c r="I651" s="501" t="s">
        <v>3295</v>
      </c>
      <c r="J651" s="501" t="s">
        <v>2811</v>
      </c>
      <c r="K651" s="438">
        <v>8</v>
      </c>
      <c r="L651" s="499">
        <v>7000</v>
      </c>
      <c r="M651" s="366">
        <f t="shared" si="192"/>
        <v>875</v>
      </c>
      <c r="N651" s="367">
        <f t="shared" si="193"/>
        <v>6300</v>
      </c>
      <c r="O651" s="61">
        <v>6300</v>
      </c>
      <c r="P651" s="368">
        <v>0</v>
      </c>
      <c r="Q651" s="368">
        <v>0</v>
      </c>
      <c r="R651" s="494">
        <v>0</v>
      </c>
      <c r="S651" s="493">
        <v>0</v>
      </c>
      <c r="T651" s="494">
        <v>0</v>
      </c>
      <c r="U651" s="493">
        <v>0</v>
      </c>
      <c r="V651" s="502">
        <v>1</v>
      </c>
      <c r="W651" s="453">
        <f t="shared" si="195"/>
        <v>6300</v>
      </c>
      <c r="X651" s="748">
        <f t="shared" si="196"/>
        <v>0.9</v>
      </c>
      <c r="Y651" s="451" t="str">
        <f>IFERROR(VLOOKUP(E:E,'Item Data Support Sheet'!A:J,6,0),0)</f>
        <v>FO015</v>
      </c>
      <c r="Z651" s="428">
        <f>IFERROR(VLOOKUP(E:E,'Item Data Support Sheet'!A:O,4,0),0)</f>
        <v>0</v>
      </c>
      <c r="AA651" s="428">
        <f t="shared" si="197"/>
        <v>0</v>
      </c>
      <c r="AB651" s="429" t="str">
        <f t="shared" si="198"/>
        <v xml:space="preserve"> </v>
      </c>
      <c r="AC651" s="424">
        <f t="shared" si="199"/>
        <v>0</v>
      </c>
      <c r="AD651" s="371">
        <f t="shared" si="200"/>
        <v>0</v>
      </c>
      <c r="AE651" s="748">
        <f t="shared" si="201"/>
        <v>1</v>
      </c>
      <c r="AF651" s="417">
        <f t="shared" si="202"/>
        <v>0</v>
      </c>
      <c r="AG651" s="416">
        <f t="shared" si="203"/>
        <v>8</v>
      </c>
      <c r="AH651" s="372">
        <f t="shared" si="204"/>
        <v>1</v>
      </c>
      <c r="AI651" s="373">
        <f t="shared" si="205"/>
        <v>787.5</v>
      </c>
      <c r="AJ651" s="418">
        <f>VLOOKUP(D651,'Standard Cycle time'!C:D,2,0)</f>
        <v>3.5</v>
      </c>
      <c r="AK651" s="418">
        <f t="shared" si="206"/>
        <v>4.5714285714285712</v>
      </c>
      <c r="AL651" s="374">
        <f t="shared" si="207"/>
        <v>0.765625</v>
      </c>
      <c r="AM651" s="372">
        <f t="shared" si="208"/>
        <v>0.765625</v>
      </c>
      <c r="AN651" s="799" t="s">
        <v>3296</v>
      </c>
      <c r="AO651" s="448"/>
      <c r="AP651" s="440">
        <v>0</v>
      </c>
      <c r="AQ651" s="440">
        <v>0</v>
      </c>
      <c r="AR651" s="440">
        <v>0</v>
      </c>
      <c r="AS651" s="440">
        <v>0</v>
      </c>
      <c r="AT651" s="440">
        <v>0</v>
      </c>
      <c r="AU651" s="440">
        <v>0</v>
      </c>
      <c r="AV651" s="440">
        <v>0</v>
      </c>
      <c r="AW651" s="440">
        <v>0</v>
      </c>
      <c r="AX651" s="440">
        <v>0</v>
      </c>
      <c r="AY651" s="440">
        <v>0</v>
      </c>
      <c r="AZ651" s="440">
        <v>0</v>
      </c>
      <c r="BA651" s="440">
        <v>0</v>
      </c>
      <c r="BB651" s="440">
        <v>0</v>
      </c>
      <c r="BC651" s="440">
        <v>0</v>
      </c>
      <c r="BD651" s="440">
        <v>0</v>
      </c>
      <c r="BE651" s="440">
        <v>0</v>
      </c>
      <c r="BF651" s="440">
        <v>0</v>
      </c>
      <c r="BG651" s="440">
        <v>0</v>
      </c>
      <c r="BH651" s="440">
        <v>0</v>
      </c>
      <c r="BI651" s="440">
        <v>0</v>
      </c>
      <c r="BJ651" s="440">
        <v>0</v>
      </c>
      <c r="BK651" s="440">
        <v>0</v>
      </c>
      <c r="BL651" s="440">
        <v>0</v>
      </c>
      <c r="BM651" s="440">
        <v>0</v>
      </c>
      <c r="BN651" s="440">
        <v>0</v>
      </c>
      <c r="BO651" s="440">
        <v>0</v>
      </c>
      <c r="BP651" s="440">
        <v>0</v>
      </c>
      <c r="BQ651" s="440">
        <v>0</v>
      </c>
      <c r="BR651" s="415">
        <v>0</v>
      </c>
      <c r="BS651" s="415">
        <v>0</v>
      </c>
      <c r="BT651" s="935"/>
      <c r="BU651" s="935"/>
      <c r="BV651" s="935"/>
      <c r="BW651" s="935"/>
      <c r="BX651" s="935"/>
      <c r="BY651" s="935"/>
      <c r="BZ651" s="935"/>
      <c r="CA651" s="935"/>
      <c r="CB651" s="935"/>
      <c r="CC651" s="935"/>
      <c r="CD651" s="935"/>
      <c r="CE651" s="935"/>
      <c r="CF651" s="935"/>
      <c r="CG651" s="935"/>
      <c r="CH651" s="935"/>
      <c r="CI651" s="935"/>
      <c r="CJ651" s="935"/>
      <c r="CK651" s="935"/>
      <c r="CL651" s="935"/>
      <c r="CM651" s="935"/>
      <c r="CN651" s="935"/>
      <c r="CO651" s="935"/>
      <c r="CP651" s="935"/>
      <c r="CQ651" s="935"/>
      <c r="CR651" s="935"/>
      <c r="CS651" s="935"/>
      <c r="CT651" s="935"/>
      <c r="CU651" s="935"/>
      <c r="CV651" s="935"/>
    </row>
    <row r="652" spans="1:100" s="441" customFormat="1">
      <c r="A652" s="375">
        <f t="shared" si="194"/>
        <v>9</v>
      </c>
      <c r="B652" s="862">
        <v>44462</v>
      </c>
      <c r="C652" s="493" t="s">
        <v>2001</v>
      </c>
      <c r="D652" s="376" t="str">
        <f>IFERROR(VLOOKUP(E:E,'Item Data Support Sheet'!A:O,7,0),"")</f>
        <v>NIPPLE MOLDED</v>
      </c>
      <c r="E652" s="447" t="s">
        <v>72</v>
      </c>
      <c r="F652" s="500" t="s">
        <v>1678</v>
      </c>
      <c r="G652" s="497" t="s">
        <v>1691</v>
      </c>
      <c r="H652" s="602" t="str">
        <f>IFERROR(VLOOKUP(E:E,'Item Data Support Sheet'!A:O,2,0),"")</f>
        <v>NIPPLE S TYPE S SIZE INJECTION</v>
      </c>
      <c r="I652" s="501" t="s">
        <v>3297</v>
      </c>
      <c r="J652" s="501" t="s">
        <v>2811</v>
      </c>
      <c r="K652" s="438">
        <v>8</v>
      </c>
      <c r="L652" s="499">
        <v>4815</v>
      </c>
      <c r="M652" s="366">
        <f t="shared" si="192"/>
        <v>601.875</v>
      </c>
      <c r="N652" s="367">
        <f t="shared" si="193"/>
        <v>5486</v>
      </c>
      <c r="O652" s="61">
        <v>5400</v>
      </c>
      <c r="P652" s="368">
        <v>0</v>
      </c>
      <c r="Q652" s="368">
        <v>51</v>
      </c>
      <c r="R652" s="494">
        <v>0</v>
      </c>
      <c r="S652" s="493">
        <v>0</v>
      </c>
      <c r="T652" s="494">
        <v>35</v>
      </c>
      <c r="U652" s="493">
        <v>0</v>
      </c>
      <c r="V652" s="502">
        <v>1</v>
      </c>
      <c r="W652" s="453">
        <f t="shared" si="195"/>
        <v>5400</v>
      </c>
      <c r="X652" s="748">
        <f t="shared" si="196"/>
        <v>1.1214953271028036</v>
      </c>
      <c r="Y652" s="451" t="str">
        <f>IFERROR(VLOOKUP(E:E,'Item Data Support Sheet'!A:J,6,0),0)</f>
        <v>Silicon</v>
      </c>
      <c r="Z652" s="428">
        <f>IFERROR(VLOOKUP(E:E,'Item Data Support Sheet'!A:O,4,0),0)</f>
        <v>6.8</v>
      </c>
      <c r="AA652" s="428">
        <f t="shared" si="197"/>
        <v>37.3048</v>
      </c>
      <c r="AB652" s="429">
        <f t="shared" si="198"/>
        <v>0.98432373313889898</v>
      </c>
      <c r="AC652" s="424">
        <f t="shared" si="199"/>
        <v>6.439742410303588E-3</v>
      </c>
      <c r="AD652" s="371">
        <f t="shared" si="200"/>
        <v>9.2107639515983386E-3</v>
      </c>
      <c r="AE652" s="748">
        <f t="shared" si="201"/>
        <v>0.99362012395187749</v>
      </c>
      <c r="AF652" s="417">
        <f t="shared" si="202"/>
        <v>0</v>
      </c>
      <c r="AG652" s="416">
        <f t="shared" si="203"/>
        <v>8</v>
      </c>
      <c r="AH652" s="372">
        <f t="shared" si="204"/>
        <v>1</v>
      </c>
      <c r="AI652" s="373">
        <f t="shared" si="205"/>
        <v>675</v>
      </c>
      <c r="AJ652" s="418">
        <f>VLOOKUP(D652,'Standard Cycle time'!C:D,2,0)</f>
        <v>5.25</v>
      </c>
      <c r="AK652" s="418">
        <f t="shared" si="206"/>
        <v>5.333333333333333</v>
      </c>
      <c r="AL652" s="374">
        <f t="shared" si="207"/>
        <v>0.984375</v>
      </c>
      <c r="AM652" s="372">
        <f t="shared" si="208"/>
        <v>0.97809480951512939</v>
      </c>
      <c r="AN652" s="799">
        <v>3518</v>
      </c>
      <c r="AO652" s="448"/>
      <c r="AP652" s="440">
        <v>0</v>
      </c>
      <c r="AQ652" s="440">
        <v>0</v>
      </c>
      <c r="AR652" s="440">
        <v>0</v>
      </c>
      <c r="AS652" s="440">
        <v>0</v>
      </c>
      <c r="AT652" s="440">
        <v>0</v>
      </c>
      <c r="AU652" s="440">
        <v>0</v>
      </c>
      <c r="AV652" s="440">
        <v>0</v>
      </c>
      <c r="AW652" s="440">
        <v>0</v>
      </c>
      <c r="AX652" s="440">
        <v>0</v>
      </c>
      <c r="AY652" s="440">
        <v>0</v>
      </c>
      <c r="AZ652" s="440">
        <v>0</v>
      </c>
      <c r="BA652" s="440">
        <v>0</v>
      </c>
      <c r="BB652" s="440">
        <v>0</v>
      </c>
      <c r="BC652" s="440">
        <v>0</v>
      </c>
      <c r="BD652" s="440">
        <v>0</v>
      </c>
      <c r="BE652" s="440">
        <v>0</v>
      </c>
      <c r="BF652" s="440">
        <v>0</v>
      </c>
      <c r="BG652" s="440">
        <v>0</v>
      </c>
      <c r="BH652" s="440">
        <v>0</v>
      </c>
      <c r="BI652" s="440">
        <v>0</v>
      </c>
      <c r="BJ652" s="440">
        <v>0</v>
      </c>
      <c r="BK652" s="440">
        <v>0</v>
      </c>
      <c r="BL652" s="440">
        <v>0</v>
      </c>
      <c r="BM652" s="440">
        <v>0</v>
      </c>
      <c r="BN652" s="440">
        <v>0</v>
      </c>
      <c r="BO652" s="440">
        <v>0</v>
      </c>
      <c r="BP652" s="440">
        <v>0</v>
      </c>
      <c r="BQ652" s="440">
        <v>0</v>
      </c>
      <c r="BR652" s="415">
        <v>0</v>
      </c>
      <c r="BS652" s="415">
        <v>0</v>
      </c>
      <c r="BT652" s="935"/>
      <c r="BU652" s="935"/>
      <c r="BV652" s="935"/>
      <c r="BW652" s="935"/>
      <c r="BX652" s="935"/>
      <c r="BY652" s="935"/>
      <c r="BZ652" s="935"/>
      <c r="CA652" s="935"/>
      <c r="CB652" s="935"/>
      <c r="CC652" s="935"/>
      <c r="CD652" s="935"/>
      <c r="CE652" s="935"/>
      <c r="CF652" s="935"/>
      <c r="CG652" s="935"/>
      <c r="CH652" s="935"/>
      <c r="CI652" s="935"/>
      <c r="CJ652" s="935"/>
      <c r="CK652" s="935"/>
      <c r="CL652" s="935"/>
      <c r="CM652" s="935"/>
      <c r="CN652" s="935"/>
      <c r="CO652" s="935"/>
      <c r="CP652" s="935"/>
      <c r="CQ652" s="935"/>
      <c r="CR652" s="935"/>
      <c r="CS652" s="935"/>
      <c r="CT652" s="935"/>
      <c r="CU652" s="935"/>
      <c r="CV652" s="935"/>
    </row>
    <row r="653" spans="1:100" s="441" customFormat="1">
      <c r="A653" s="375">
        <f t="shared" si="194"/>
        <v>9</v>
      </c>
      <c r="B653" s="862">
        <v>44462</v>
      </c>
      <c r="C653" s="493" t="s">
        <v>2001</v>
      </c>
      <c r="D653" s="376" t="str">
        <f>IFERROR(VLOOKUP(E:E,'Item Data Support Sheet'!A:O,7,0),"")</f>
        <v>CAP MOLDED</v>
      </c>
      <c r="E653" s="447" t="s">
        <v>2107</v>
      </c>
      <c r="F653" s="500"/>
      <c r="G653" s="497" t="s">
        <v>3212</v>
      </c>
      <c r="H653" s="602" t="str">
        <f>IFERROR(VLOOKUP(E:E,'Item Data Support Sheet'!A:O,2,0),"")</f>
        <v>CAP S TYPE MOLDED PINK</v>
      </c>
      <c r="I653" s="501" t="s">
        <v>3298</v>
      </c>
      <c r="J653" s="501" t="s">
        <v>2811</v>
      </c>
      <c r="K653" s="438">
        <v>6</v>
      </c>
      <c r="L653" s="499">
        <v>3108</v>
      </c>
      <c r="M653" s="366">
        <f t="shared" ref="M653:M716" si="209">IFERROR(L653/K653,0)</f>
        <v>518</v>
      </c>
      <c r="N653" s="367">
        <f t="shared" si="193"/>
        <v>3334</v>
      </c>
      <c r="O653" s="61">
        <v>3334</v>
      </c>
      <c r="P653" s="368">
        <v>0</v>
      </c>
      <c r="Q653" s="368">
        <v>0</v>
      </c>
      <c r="R653" s="494">
        <v>0</v>
      </c>
      <c r="S653" s="493">
        <v>0</v>
      </c>
      <c r="T653" s="494">
        <v>0</v>
      </c>
      <c r="U653" s="493">
        <v>0</v>
      </c>
      <c r="V653" s="502">
        <v>1</v>
      </c>
      <c r="W653" s="453">
        <f t="shared" si="195"/>
        <v>3334</v>
      </c>
      <c r="X653" s="748">
        <f t="shared" si="196"/>
        <v>1.0727155727155726</v>
      </c>
      <c r="Y653" s="451" t="str">
        <f>IFERROR(VLOOKUP(E:E,'Item Data Support Sheet'!A:J,6,0),0)</f>
        <v>RM000123</v>
      </c>
      <c r="Z653" s="428">
        <f>IFERROR(VLOOKUP(E:E,'Item Data Support Sheet'!A:O,4,0),0)</f>
        <v>7.3</v>
      </c>
      <c r="AA653" s="428">
        <f t="shared" si="197"/>
        <v>24.338200000000001</v>
      </c>
      <c r="AB653" s="429">
        <f t="shared" si="198"/>
        <v>1</v>
      </c>
      <c r="AC653" s="424">
        <f t="shared" si="199"/>
        <v>0</v>
      </c>
      <c r="AD653" s="371">
        <f t="shared" si="200"/>
        <v>0</v>
      </c>
      <c r="AE653" s="748">
        <f t="shared" si="201"/>
        <v>1</v>
      </c>
      <c r="AF653" s="417">
        <f t="shared" si="202"/>
        <v>0</v>
      </c>
      <c r="AG653" s="416">
        <f t="shared" si="203"/>
        <v>6</v>
      </c>
      <c r="AH653" s="372">
        <f t="shared" si="204"/>
        <v>1</v>
      </c>
      <c r="AI653" s="373">
        <f t="shared" si="205"/>
        <v>555.66666666666663</v>
      </c>
      <c r="AJ653" s="418">
        <f>VLOOKUP(D653,'Standard Cycle time'!C:D,2,0)</f>
        <v>6</v>
      </c>
      <c r="AK653" s="418">
        <f t="shared" si="206"/>
        <v>6.4787042591481701</v>
      </c>
      <c r="AL653" s="374">
        <f t="shared" si="207"/>
        <v>0.92611111111111111</v>
      </c>
      <c r="AM653" s="372">
        <f t="shared" si="208"/>
        <v>0.92611111111111111</v>
      </c>
      <c r="AN653" s="799">
        <v>3580</v>
      </c>
      <c r="AO653" s="448" t="s">
        <v>3299</v>
      </c>
      <c r="AP653" s="440">
        <v>0</v>
      </c>
      <c r="AQ653" s="440">
        <v>0</v>
      </c>
      <c r="AR653" s="440">
        <v>0</v>
      </c>
      <c r="AS653" s="440">
        <v>0</v>
      </c>
      <c r="AT653" s="440">
        <v>0</v>
      </c>
      <c r="AU653" s="440">
        <v>0</v>
      </c>
      <c r="AV653" s="440">
        <v>0</v>
      </c>
      <c r="AW653" s="440">
        <v>0</v>
      </c>
      <c r="AX653" s="440">
        <v>0</v>
      </c>
      <c r="AY653" s="440">
        <v>0</v>
      </c>
      <c r="AZ653" s="440">
        <v>0</v>
      </c>
      <c r="BA653" s="440">
        <v>0</v>
      </c>
      <c r="BB653" s="440">
        <v>0</v>
      </c>
      <c r="BC653" s="440">
        <v>0</v>
      </c>
      <c r="BD653" s="440">
        <v>0</v>
      </c>
      <c r="BE653" s="440">
        <v>0</v>
      </c>
      <c r="BF653" s="440">
        <v>0</v>
      </c>
      <c r="BG653" s="440">
        <v>0</v>
      </c>
      <c r="BH653" s="440">
        <v>0</v>
      </c>
      <c r="BI653" s="440">
        <v>0</v>
      </c>
      <c r="BJ653" s="440">
        <v>0</v>
      </c>
      <c r="BK653" s="440">
        <v>0</v>
      </c>
      <c r="BL653" s="440">
        <v>0</v>
      </c>
      <c r="BM653" s="440">
        <v>0</v>
      </c>
      <c r="BN653" s="440">
        <v>0</v>
      </c>
      <c r="BO653" s="440">
        <v>0</v>
      </c>
      <c r="BP653" s="440">
        <v>0</v>
      </c>
      <c r="BQ653" s="440">
        <v>0</v>
      </c>
      <c r="BR653" s="415">
        <v>0</v>
      </c>
      <c r="BS653" s="415">
        <v>0</v>
      </c>
      <c r="BT653" s="935"/>
      <c r="BU653" s="935"/>
      <c r="BV653" s="935"/>
      <c r="BW653" s="935"/>
      <c r="BX653" s="935"/>
      <c r="BY653" s="935"/>
      <c r="BZ653" s="935"/>
      <c r="CA653" s="935"/>
      <c r="CB653" s="935"/>
      <c r="CC653" s="935"/>
      <c r="CD653" s="935"/>
      <c r="CE653" s="935"/>
      <c r="CF653" s="935"/>
      <c r="CG653" s="935"/>
      <c r="CH653" s="935"/>
      <c r="CI653" s="935"/>
      <c r="CJ653" s="935"/>
      <c r="CK653" s="935"/>
      <c r="CL653" s="935"/>
      <c r="CM653" s="935"/>
      <c r="CN653" s="935"/>
      <c r="CO653" s="935"/>
      <c r="CP653" s="935"/>
      <c r="CQ653" s="935"/>
      <c r="CR653" s="935"/>
      <c r="CS653" s="935"/>
      <c r="CT653" s="935"/>
      <c r="CU653" s="935"/>
      <c r="CV653" s="935"/>
    </row>
    <row r="654" spans="1:100" s="441" customFormat="1">
      <c r="A654" s="375">
        <f t="shared" si="194"/>
        <v>9</v>
      </c>
      <c r="B654" s="862">
        <v>44462</v>
      </c>
      <c r="C654" s="493" t="s">
        <v>2001</v>
      </c>
      <c r="D654" s="376" t="str">
        <f>IFERROR(VLOOKUP(E:E,'Item Data Support Sheet'!A:O,7,0),"")</f>
        <v>BOTTLE MOLDED</v>
      </c>
      <c r="E654" s="447" t="s">
        <v>65</v>
      </c>
      <c r="F654" s="500"/>
      <c r="G654" s="497" t="s">
        <v>1888</v>
      </c>
      <c r="H654" s="602" t="str">
        <f>IFERROR(VLOOKUP(E:E,'Item Data Support Sheet'!A:O,2,0),"")</f>
        <v>KPP 120 ML BOTTLE MOLDED</v>
      </c>
      <c r="I654" s="501" t="s">
        <v>3300</v>
      </c>
      <c r="J654" s="501" t="s">
        <v>2811</v>
      </c>
      <c r="K654" s="438">
        <v>8</v>
      </c>
      <c r="L654" s="499">
        <v>2574</v>
      </c>
      <c r="M654" s="366">
        <f t="shared" si="209"/>
        <v>321.75</v>
      </c>
      <c r="N654" s="367">
        <f t="shared" si="193"/>
        <v>3109</v>
      </c>
      <c r="O654" s="61">
        <v>3060</v>
      </c>
      <c r="P654" s="368">
        <v>0.15</v>
      </c>
      <c r="Q654" s="368">
        <v>19</v>
      </c>
      <c r="R654" s="494">
        <v>0</v>
      </c>
      <c r="S654" s="493">
        <v>0</v>
      </c>
      <c r="T654" s="494">
        <v>30</v>
      </c>
      <c r="U654" s="493">
        <v>0</v>
      </c>
      <c r="V654" s="502">
        <v>1</v>
      </c>
      <c r="W654" s="453">
        <f t="shared" si="195"/>
        <v>3060</v>
      </c>
      <c r="X654" s="748">
        <f t="shared" si="196"/>
        <v>1.1888111888111887</v>
      </c>
      <c r="Y654" s="451" t="str">
        <f>IFERROR(VLOOKUP(E:E,'Item Data Support Sheet'!A:J,6,0),0)</f>
        <v>HMC</v>
      </c>
      <c r="Z654" s="428">
        <f>IFERROR(VLOOKUP(E:E,'Item Data Support Sheet'!A:O,4,0),0)</f>
        <v>21.3</v>
      </c>
      <c r="AA654" s="428">
        <f t="shared" si="197"/>
        <v>66.371700000000004</v>
      </c>
      <c r="AB654" s="429">
        <f t="shared" si="198"/>
        <v>0.98201492503582088</v>
      </c>
      <c r="AC654" s="424">
        <f t="shared" si="199"/>
        <v>9.7087378640776691E-3</v>
      </c>
      <c r="AD654" s="371">
        <f t="shared" si="200"/>
        <v>6.0741687979539638E-3</v>
      </c>
      <c r="AE654" s="748">
        <f t="shared" si="201"/>
        <v>0.9903505950466388</v>
      </c>
      <c r="AF654" s="417">
        <f t="shared" si="202"/>
        <v>0</v>
      </c>
      <c r="AG654" s="416">
        <f t="shared" si="203"/>
        <v>8</v>
      </c>
      <c r="AH654" s="372">
        <f t="shared" si="204"/>
        <v>1</v>
      </c>
      <c r="AI654" s="373">
        <f t="shared" si="205"/>
        <v>382.5</v>
      </c>
      <c r="AJ654" s="418">
        <f>VLOOKUP(D654,'Standard Cycle time'!C:D,2,0)</f>
        <v>9</v>
      </c>
      <c r="AK654" s="418">
        <f t="shared" si="206"/>
        <v>9.4117647058823533</v>
      </c>
      <c r="AL654" s="374">
        <f t="shared" si="207"/>
        <v>0.95624999999999993</v>
      </c>
      <c r="AM654" s="372">
        <f t="shared" si="208"/>
        <v>0.94702275651334833</v>
      </c>
      <c r="AN654" s="799">
        <v>3521</v>
      </c>
      <c r="AO654" s="448"/>
      <c r="AP654" s="440">
        <v>0</v>
      </c>
      <c r="AQ654" s="440">
        <v>0</v>
      </c>
      <c r="AR654" s="440">
        <v>0</v>
      </c>
      <c r="AS654" s="440">
        <v>0</v>
      </c>
      <c r="AT654" s="440">
        <v>0</v>
      </c>
      <c r="AU654" s="440">
        <v>0</v>
      </c>
      <c r="AV654" s="440">
        <v>0</v>
      </c>
      <c r="AW654" s="440">
        <v>0</v>
      </c>
      <c r="AX654" s="440">
        <v>0</v>
      </c>
      <c r="AY654" s="440">
        <v>0</v>
      </c>
      <c r="AZ654" s="440">
        <v>0</v>
      </c>
      <c r="BA654" s="440">
        <v>0</v>
      </c>
      <c r="BB654" s="440">
        <v>0</v>
      </c>
      <c r="BC654" s="440">
        <v>0</v>
      </c>
      <c r="BD654" s="440">
        <v>0</v>
      </c>
      <c r="BE654" s="440">
        <v>0</v>
      </c>
      <c r="BF654" s="440">
        <v>0</v>
      </c>
      <c r="BG654" s="440">
        <v>0</v>
      </c>
      <c r="BH654" s="440">
        <v>0</v>
      </c>
      <c r="BI654" s="440">
        <v>0</v>
      </c>
      <c r="BJ654" s="440">
        <v>0</v>
      </c>
      <c r="BK654" s="440">
        <v>0</v>
      </c>
      <c r="BL654" s="440">
        <v>0</v>
      </c>
      <c r="BM654" s="440">
        <v>0</v>
      </c>
      <c r="BN654" s="440">
        <v>0</v>
      </c>
      <c r="BO654" s="440">
        <v>0</v>
      </c>
      <c r="BP654" s="440">
        <v>0</v>
      </c>
      <c r="BQ654" s="440">
        <v>0</v>
      </c>
      <c r="BR654" s="415">
        <v>0</v>
      </c>
      <c r="BS654" s="415">
        <v>0</v>
      </c>
      <c r="BT654" s="935"/>
      <c r="BU654" s="935"/>
      <c r="BV654" s="935"/>
      <c r="BW654" s="935"/>
      <c r="BX654" s="935"/>
      <c r="BY654" s="935"/>
      <c r="BZ654" s="935"/>
      <c r="CA654" s="935"/>
      <c r="CB654" s="935"/>
      <c r="CC654" s="935"/>
      <c r="CD654" s="935"/>
      <c r="CE654" s="935"/>
      <c r="CF654" s="935"/>
      <c r="CG654" s="935"/>
      <c r="CH654" s="935"/>
      <c r="CI654" s="935"/>
      <c r="CJ654" s="935"/>
      <c r="CK654" s="935"/>
      <c r="CL654" s="935"/>
      <c r="CM654" s="935"/>
      <c r="CN654" s="935"/>
      <c r="CO654" s="935"/>
      <c r="CP654" s="935"/>
      <c r="CQ654" s="935"/>
      <c r="CR654" s="935"/>
      <c r="CS654" s="935"/>
      <c r="CT654" s="935"/>
      <c r="CU654" s="935"/>
      <c r="CV654" s="935"/>
    </row>
    <row r="655" spans="1:100" s="441" customFormat="1">
      <c r="A655" s="375">
        <f t="shared" si="194"/>
        <v>9</v>
      </c>
      <c r="B655" s="862">
        <v>44462</v>
      </c>
      <c r="C655" s="493" t="s">
        <v>2001</v>
      </c>
      <c r="D655" s="376" t="str">
        <f>IFERROR(VLOOKUP(E:E,'Item Data Support Sheet'!A:O,7,0),"")</f>
        <v>NIPPLE LASER MARKING</v>
      </c>
      <c r="E655" s="447" t="s">
        <v>1817</v>
      </c>
      <c r="F655" s="500"/>
      <c r="G655" s="497"/>
      <c r="H655" s="602" t="str">
        <f>IFERROR(VLOOKUP(E:E,'Item Data Support Sheet'!A:O,2,0),"")</f>
        <v>NIPPLE S TYPE Y SIZE PUNCHED LASER MARKED</v>
      </c>
      <c r="I655" s="501" t="s">
        <v>3294</v>
      </c>
      <c r="J655" s="501" t="s">
        <v>2811</v>
      </c>
      <c r="K655" s="438">
        <v>8</v>
      </c>
      <c r="L655" s="499">
        <v>7000</v>
      </c>
      <c r="M655" s="366">
        <f t="shared" si="209"/>
        <v>875</v>
      </c>
      <c r="N655" s="367">
        <f t="shared" si="193"/>
        <v>6643</v>
      </c>
      <c r="O655" s="61">
        <v>6643</v>
      </c>
      <c r="P655" s="368">
        <v>0</v>
      </c>
      <c r="Q655" s="368">
        <v>0</v>
      </c>
      <c r="R655" s="494">
        <v>0</v>
      </c>
      <c r="S655" s="493">
        <v>0</v>
      </c>
      <c r="T655" s="494">
        <v>0</v>
      </c>
      <c r="U655" s="493">
        <v>0</v>
      </c>
      <c r="V655" s="502">
        <v>1</v>
      </c>
      <c r="W655" s="453">
        <f t="shared" si="195"/>
        <v>6643</v>
      </c>
      <c r="X655" s="748">
        <f t="shared" si="196"/>
        <v>0.94899999999999995</v>
      </c>
      <c r="Y655" s="451" t="str">
        <f>IFERROR(VLOOKUP(E:E,'Item Data Support Sheet'!A:J,6,0),0)</f>
        <v>FO022</v>
      </c>
      <c r="Z655" s="428">
        <f>IFERROR(VLOOKUP(E:E,'Item Data Support Sheet'!A:O,4,0),0)</f>
        <v>0</v>
      </c>
      <c r="AA655" s="428">
        <f t="shared" si="197"/>
        <v>0</v>
      </c>
      <c r="AB655" s="429" t="str">
        <f t="shared" si="198"/>
        <v xml:space="preserve"> </v>
      </c>
      <c r="AC655" s="424">
        <f t="shared" si="199"/>
        <v>0</v>
      </c>
      <c r="AD655" s="371">
        <f t="shared" si="200"/>
        <v>0</v>
      </c>
      <c r="AE655" s="748">
        <f t="shared" si="201"/>
        <v>1</v>
      </c>
      <c r="AF655" s="417">
        <f t="shared" si="202"/>
        <v>0.66666666666666663</v>
      </c>
      <c r="AG655" s="416">
        <f t="shared" si="203"/>
        <v>7.333333333333333</v>
      </c>
      <c r="AH655" s="372">
        <f t="shared" si="204"/>
        <v>0.91666666666666663</v>
      </c>
      <c r="AI655" s="373">
        <f t="shared" si="205"/>
        <v>830.375</v>
      </c>
      <c r="AJ655" s="418">
        <f>VLOOKUP(D655,'Standard Cycle time'!C:D,2,0)</f>
        <v>3.5</v>
      </c>
      <c r="AK655" s="418">
        <f t="shared" si="206"/>
        <v>3.974108083697125</v>
      </c>
      <c r="AL655" s="374">
        <f t="shared" si="207"/>
        <v>0.8807007575757575</v>
      </c>
      <c r="AM655" s="372">
        <f t="shared" si="208"/>
        <v>0.80730902777777769</v>
      </c>
      <c r="AN655" s="799" t="s">
        <v>3301</v>
      </c>
      <c r="AO655" s="448"/>
      <c r="AP655" s="440">
        <v>40</v>
      </c>
      <c r="AQ655" s="440">
        <v>0</v>
      </c>
      <c r="AR655" s="440">
        <v>0</v>
      </c>
      <c r="AS655" s="440">
        <v>0</v>
      </c>
      <c r="AT655" s="440">
        <v>0</v>
      </c>
      <c r="AU655" s="440">
        <v>0</v>
      </c>
      <c r="AV655" s="440">
        <v>0</v>
      </c>
      <c r="AW655" s="440">
        <v>0</v>
      </c>
      <c r="AX655" s="440">
        <v>0</v>
      </c>
      <c r="AY655" s="440">
        <v>0</v>
      </c>
      <c r="AZ655" s="440">
        <v>0</v>
      </c>
      <c r="BA655" s="440">
        <v>0</v>
      </c>
      <c r="BB655" s="440">
        <v>0</v>
      </c>
      <c r="BC655" s="440">
        <v>0</v>
      </c>
      <c r="BD655" s="440">
        <v>0</v>
      </c>
      <c r="BE655" s="440">
        <v>0</v>
      </c>
      <c r="BF655" s="440">
        <v>0</v>
      </c>
      <c r="BG655" s="440">
        <v>0</v>
      </c>
      <c r="BH655" s="440">
        <v>0</v>
      </c>
      <c r="BI655" s="440">
        <v>0</v>
      </c>
      <c r="BJ655" s="440">
        <v>0</v>
      </c>
      <c r="BK655" s="440">
        <v>0</v>
      </c>
      <c r="BL655" s="440">
        <v>0</v>
      </c>
      <c r="BM655" s="440">
        <v>0</v>
      </c>
      <c r="BN655" s="440">
        <v>0</v>
      </c>
      <c r="BO655" s="440">
        <v>0</v>
      </c>
      <c r="BP655" s="440">
        <v>0</v>
      </c>
      <c r="BQ655" s="440">
        <v>0</v>
      </c>
      <c r="BR655" s="415">
        <v>0.66666666666666663</v>
      </c>
      <c r="BS655" s="415">
        <v>0.6777777777777777</v>
      </c>
      <c r="BT655" s="935"/>
      <c r="BU655" s="935"/>
      <c r="BV655" s="935"/>
      <c r="BW655" s="935"/>
      <c r="BX655" s="935"/>
      <c r="BY655" s="935"/>
      <c r="BZ655" s="935"/>
      <c r="CA655" s="935"/>
      <c r="CB655" s="935"/>
      <c r="CC655" s="935"/>
      <c r="CD655" s="935"/>
      <c r="CE655" s="935"/>
      <c r="CF655" s="935"/>
      <c r="CG655" s="935"/>
      <c r="CH655" s="935"/>
      <c r="CI655" s="935"/>
      <c r="CJ655" s="935"/>
      <c r="CK655" s="935"/>
      <c r="CL655" s="935"/>
      <c r="CM655" s="935"/>
      <c r="CN655" s="935"/>
      <c r="CO655" s="935"/>
      <c r="CP655" s="935"/>
      <c r="CQ655" s="935"/>
      <c r="CR655" s="935"/>
      <c r="CS655" s="935"/>
      <c r="CT655" s="935"/>
      <c r="CU655" s="935"/>
      <c r="CV655" s="935"/>
    </row>
    <row r="656" spans="1:100" s="441" customFormat="1">
      <c r="A656" s="375">
        <f t="shared" si="194"/>
        <v>9</v>
      </c>
      <c r="B656" s="862">
        <v>44462</v>
      </c>
      <c r="C656" s="493" t="s">
        <v>2001</v>
      </c>
      <c r="D656" s="376" t="str">
        <f>IFERROR(VLOOKUP(E:E,'Item Data Support Sheet'!A:O,7,0),"")</f>
        <v>CAP MOLDED</v>
      </c>
      <c r="E656" s="447" t="s">
        <v>2107</v>
      </c>
      <c r="F656" s="500"/>
      <c r="G656" s="497" t="s">
        <v>3208</v>
      </c>
      <c r="H656" s="602" t="str">
        <f>IFERROR(VLOOKUP(E:E,'Item Data Support Sheet'!A:O,2,0),"")</f>
        <v>CAP S TYPE MOLDED PINK</v>
      </c>
      <c r="I656" s="501" t="s">
        <v>3302</v>
      </c>
      <c r="J656" s="501" t="s">
        <v>2811</v>
      </c>
      <c r="K656" s="438">
        <v>2</v>
      </c>
      <c r="L656" s="499">
        <v>1036</v>
      </c>
      <c r="M656" s="366">
        <f t="shared" si="209"/>
        <v>518</v>
      </c>
      <c r="N656" s="367">
        <f t="shared" si="193"/>
        <v>1200</v>
      </c>
      <c r="O656" s="61">
        <v>1200</v>
      </c>
      <c r="P656" s="368">
        <v>0</v>
      </c>
      <c r="Q656" s="368">
        <v>0</v>
      </c>
      <c r="R656" s="494">
        <v>0</v>
      </c>
      <c r="S656" s="493">
        <v>0</v>
      </c>
      <c r="T656" s="494">
        <v>0</v>
      </c>
      <c r="U656" s="493">
        <v>0</v>
      </c>
      <c r="V656" s="502">
        <v>1</v>
      </c>
      <c r="W656" s="453">
        <f t="shared" si="195"/>
        <v>1200</v>
      </c>
      <c r="X656" s="748">
        <f t="shared" si="196"/>
        <v>1.1583011583011582</v>
      </c>
      <c r="Y656" s="451" t="str">
        <f>IFERROR(VLOOKUP(E:E,'Item Data Support Sheet'!A:J,6,0),0)</f>
        <v>RM000123</v>
      </c>
      <c r="Z656" s="428">
        <f>IFERROR(VLOOKUP(E:E,'Item Data Support Sheet'!A:O,4,0),0)</f>
        <v>7.3</v>
      </c>
      <c r="AA656" s="428">
        <f t="shared" si="197"/>
        <v>8.76</v>
      </c>
      <c r="AB656" s="429">
        <f t="shared" si="198"/>
        <v>1</v>
      </c>
      <c r="AC656" s="424">
        <f t="shared" si="199"/>
        <v>0</v>
      </c>
      <c r="AD656" s="371">
        <f t="shared" si="200"/>
        <v>0</v>
      </c>
      <c r="AE656" s="748">
        <f t="shared" si="201"/>
        <v>1</v>
      </c>
      <c r="AF656" s="417">
        <f t="shared" si="202"/>
        <v>0</v>
      </c>
      <c r="AG656" s="416">
        <f t="shared" si="203"/>
        <v>2</v>
      </c>
      <c r="AH656" s="372">
        <f t="shared" si="204"/>
        <v>1</v>
      </c>
      <c r="AI656" s="373">
        <f t="shared" si="205"/>
        <v>600</v>
      </c>
      <c r="AJ656" s="418">
        <f>VLOOKUP(D656,'Standard Cycle time'!C:D,2,0)</f>
        <v>6</v>
      </c>
      <c r="AK656" s="418">
        <f t="shared" si="206"/>
        <v>6</v>
      </c>
      <c r="AL656" s="374">
        <f t="shared" si="207"/>
        <v>1</v>
      </c>
      <c r="AM656" s="372">
        <f t="shared" si="208"/>
        <v>1</v>
      </c>
      <c r="AN656" s="799">
        <v>3581</v>
      </c>
      <c r="AO656" s="448"/>
      <c r="AP656" s="440">
        <v>0</v>
      </c>
      <c r="AQ656" s="440">
        <v>0</v>
      </c>
      <c r="AR656" s="440">
        <v>0</v>
      </c>
      <c r="AS656" s="440">
        <v>0</v>
      </c>
      <c r="AT656" s="440">
        <v>0</v>
      </c>
      <c r="AU656" s="440">
        <v>0</v>
      </c>
      <c r="AV656" s="440">
        <v>0</v>
      </c>
      <c r="AW656" s="440">
        <v>0</v>
      </c>
      <c r="AX656" s="440">
        <v>0</v>
      </c>
      <c r="AY656" s="440">
        <v>0</v>
      </c>
      <c r="AZ656" s="440">
        <v>0</v>
      </c>
      <c r="BA656" s="440">
        <v>0</v>
      </c>
      <c r="BB656" s="440">
        <v>0</v>
      </c>
      <c r="BC656" s="440">
        <v>0</v>
      </c>
      <c r="BD656" s="440">
        <v>0</v>
      </c>
      <c r="BE656" s="440">
        <v>0</v>
      </c>
      <c r="BF656" s="440">
        <v>0</v>
      </c>
      <c r="BG656" s="440">
        <v>0</v>
      </c>
      <c r="BH656" s="440">
        <v>0</v>
      </c>
      <c r="BI656" s="440">
        <v>0</v>
      </c>
      <c r="BJ656" s="440">
        <v>0</v>
      </c>
      <c r="BK656" s="440">
        <v>0</v>
      </c>
      <c r="BL656" s="440">
        <v>0</v>
      </c>
      <c r="BM656" s="440">
        <v>0</v>
      </c>
      <c r="BN656" s="440">
        <v>0</v>
      </c>
      <c r="BO656" s="440">
        <v>0</v>
      </c>
      <c r="BP656" s="440">
        <v>0</v>
      </c>
      <c r="BQ656" s="440">
        <v>0</v>
      </c>
      <c r="BR656" s="415">
        <v>0</v>
      </c>
      <c r="BS656" s="415">
        <v>0</v>
      </c>
      <c r="BT656" s="935"/>
      <c r="BU656" s="935"/>
      <c r="BV656" s="935"/>
      <c r="BW656" s="935"/>
      <c r="BX656" s="935"/>
      <c r="BY656" s="935"/>
      <c r="BZ656" s="935"/>
      <c r="CA656" s="935"/>
      <c r="CB656" s="935"/>
      <c r="CC656" s="935"/>
      <c r="CD656" s="935"/>
      <c r="CE656" s="935"/>
      <c r="CF656" s="935"/>
      <c r="CG656" s="935"/>
      <c r="CH656" s="935"/>
      <c r="CI656" s="935"/>
      <c r="CJ656" s="935"/>
      <c r="CK656" s="935"/>
      <c r="CL656" s="935"/>
      <c r="CM656" s="935"/>
      <c r="CN656" s="935"/>
      <c r="CO656" s="935"/>
      <c r="CP656" s="935"/>
      <c r="CQ656" s="935"/>
      <c r="CR656" s="935"/>
      <c r="CS656" s="935"/>
      <c r="CT656" s="935"/>
      <c r="CU656" s="935"/>
      <c r="CV656" s="935"/>
    </row>
    <row r="657" spans="1:100" s="441" customFormat="1">
      <c r="A657" s="375">
        <f t="shared" si="194"/>
        <v>9</v>
      </c>
      <c r="B657" s="862">
        <v>44462</v>
      </c>
      <c r="C657" s="493" t="s">
        <v>2053</v>
      </c>
      <c r="D657" s="376" t="str">
        <f>IFERROR(VLOOKUP(E:E,'Item Data Support Sheet'!A:O,7,0),"")</f>
        <v>CAP MOLDED</v>
      </c>
      <c r="E657" s="447" t="s">
        <v>2107</v>
      </c>
      <c r="F657" s="500"/>
      <c r="G657" s="497" t="s">
        <v>3208</v>
      </c>
      <c r="H657" s="602" t="str">
        <f>IFERROR(VLOOKUP(E:E,'Item Data Support Sheet'!A:O,2,0),"")</f>
        <v>CAP S TYPE MOLDED PINK</v>
      </c>
      <c r="I657" s="501" t="s">
        <v>3303</v>
      </c>
      <c r="J657" s="501" t="s">
        <v>2826</v>
      </c>
      <c r="K657" s="438">
        <v>4</v>
      </c>
      <c r="L657" s="499">
        <v>2000</v>
      </c>
      <c r="M657" s="366">
        <f t="shared" si="209"/>
        <v>500</v>
      </c>
      <c r="N657" s="367">
        <f t="shared" si="193"/>
        <v>2000</v>
      </c>
      <c r="O657" s="61">
        <v>2000</v>
      </c>
      <c r="P657" s="368">
        <v>0</v>
      </c>
      <c r="Q657" s="368">
        <v>0</v>
      </c>
      <c r="R657" s="494">
        <v>0</v>
      </c>
      <c r="S657" s="493">
        <v>0</v>
      </c>
      <c r="T657" s="494">
        <v>0</v>
      </c>
      <c r="U657" s="493">
        <v>0</v>
      </c>
      <c r="V657" s="502">
        <v>1</v>
      </c>
      <c r="W657" s="453">
        <f t="shared" si="195"/>
        <v>2000</v>
      </c>
      <c r="X657" s="748">
        <f t="shared" si="196"/>
        <v>1</v>
      </c>
      <c r="Y657" s="451" t="str">
        <f>IFERROR(VLOOKUP(E:E,'Item Data Support Sheet'!A:J,6,0),0)</f>
        <v>RM000123</v>
      </c>
      <c r="Z657" s="428">
        <f>IFERROR(VLOOKUP(E:E,'Item Data Support Sheet'!A:O,4,0),0)</f>
        <v>7.3</v>
      </c>
      <c r="AA657" s="428">
        <f t="shared" si="197"/>
        <v>14.6</v>
      </c>
      <c r="AB657" s="429">
        <f t="shared" si="198"/>
        <v>1</v>
      </c>
      <c r="AC657" s="424">
        <f t="shared" si="199"/>
        <v>0</v>
      </c>
      <c r="AD657" s="371">
        <f t="shared" si="200"/>
        <v>0</v>
      </c>
      <c r="AE657" s="748">
        <f t="shared" si="201"/>
        <v>1</v>
      </c>
      <c r="AF657" s="417">
        <f t="shared" si="202"/>
        <v>0</v>
      </c>
      <c r="AG657" s="416">
        <f t="shared" si="203"/>
        <v>4</v>
      </c>
      <c r="AH657" s="372">
        <f t="shared" si="204"/>
        <v>1</v>
      </c>
      <c r="AI657" s="373">
        <f t="shared" si="205"/>
        <v>500</v>
      </c>
      <c r="AJ657" s="418">
        <f>VLOOKUP(D657,'Standard Cycle time'!C:D,2,0)</f>
        <v>6</v>
      </c>
      <c r="AK657" s="418">
        <f t="shared" si="206"/>
        <v>7.2</v>
      </c>
      <c r="AL657" s="374">
        <f t="shared" si="207"/>
        <v>0.83333333333333326</v>
      </c>
      <c r="AM657" s="372">
        <f t="shared" si="208"/>
        <v>0.83333333333333326</v>
      </c>
      <c r="AN657" s="799">
        <v>3582</v>
      </c>
      <c r="AO657" s="448"/>
      <c r="AP657" s="440">
        <v>0</v>
      </c>
      <c r="AQ657" s="440">
        <v>0</v>
      </c>
      <c r="AR657" s="440">
        <v>0</v>
      </c>
      <c r="AS657" s="440">
        <v>0</v>
      </c>
      <c r="AT657" s="440">
        <v>0</v>
      </c>
      <c r="AU657" s="440">
        <v>0</v>
      </c>
      <c r="AV657" s="440">
        <v>0</v>
      </c>
      <c r="AW657" s="440">
        <v>0</v>
      </c>
      <c r="AX657" s="440">
        <v>0</v>
      </c>
      <c r="AY657" s="440">
        <v>0</v>
      </c>
      <c r="AZ657" s="440">
        <v>0</v>
      </c>
      <c r="BA657" s="440">
        <v>0</v>
      </c>
      <c r="BB657" s="440">
        <v>0</v>
      </c>
      <c r="BC657" s="440">
        <v>0</v>
      </c>
      <c r="BD657" s="440">
        <v>0</v>
      </c>
      <c r="BE657" s="440">
        <v>0</v>
      </c>
      <c r="BF657" s="440">
        <v>0</v>
      </c>
      <c r="BG657" s="440">
        <v>0</v>
      </c>
      <c r="BH657" s="440">
        <v>0</v>
      </c>
      <c r="BI657" s="440">
        <v>0</v>
      </c>
      <c r="BJ657" s="440">
        <v>0</v>
      </c>
      <c r="BK657" s="440">
        <v>0</v>
      </c>
      <c r="BL657" s="440">
        <v>0</v>
      </c>
      <c r="BM657" s="440">
        <v>0</v>
      </c>
      <c r="BN657" s="440">
        <v>0</v>
      </c>
      <c r="BO657" s="440">
        <v>0</v>
      </c>
      <c r="BP657" s="440">
        <v>0</v>
      </c>
      <c r="BQ657" s="440">
        <v>0</v>
      </c>
      <c r="BR657" s="415">
        <v>0</v>
      </c>
      <c r="BS657" s="415">
        <v>0</v>
      </c>
      <c r="BT657" s="935"/>
      <c r="BU657" s="935"/>
      <c r="BV657" s="935"/>
      <c r="BW657" s="935"/>
      <c r="BX657" s="935"/>
      <c r="BY657" s="935"/>
      <c r="BZ657" s="935"/>
      <c r="CA657" s="935"/>
      <c r="CB657" s="935"/>
      <c r="CC657" s="935"/>
      <c r="CD657" s="935"/>
      <c r="CE657" s="935"/>
      <c r="CF657" s="935"/>
      <c r="CG657" s="935"/>
      <c r="CH657" s="935"/>
      <c r="CI657" s="935"/>
      <c r="CJ657" s="935"/>
      <c r="CK657" s="935"/>
      <c r="CL657" s="935"/>
      <c r="CM657" s="935"/>
      <c r="CN657" s="935"/>
      <c r="CO657" s="935"/>
      <c r="CP657" s="935"/>
      <c r="CQ657" s="935"/>
      <c r="CR657" s="935"/>
      <c r="CS657" s="935"/>
      <c r="CT657" s="935"/>
      <c r="CU657" s="935"/>
      <c r="CV657" s="935"/>
    </row>
    <row r="658" spans="1:100" s="441" customFormat="1">
      <c r="A658" s="375">
        <f t="shared" si="194"/>
        <v>9</v>
      </c>
      <c r="B658" s="862">
        <v>44462</v>
      </c>
      <c r="C658" s="493" t="s">
        <v>2053</v>
      </c>
      <c r="D658" s="376" t="str">
        <f>IFERROR(VLOOKUP(E:E,'Item Data Support Sheet'!A:O,7,0),"")</f>
        <v>CAP MOLDED</v>
      </c>
      <c r="E658" s="447" t="s">
        <v>2107</v>
      </c>
      <c r="F658" s="500"/>
      <c r="G658" s="497" t="s">
        <v>3212</v>
      </c>
      <c r="H658" s="602" t="str">
        <f>IFERROR(VLOOKUP(E:E,'Item Data Support Sheet'!A:O,2,0),"")</f>
        <v>CAP S TYPE MOLDED PINK</v>
      </c>
      <c r="I658" s="501" t="s">
        <v>3304</v>
      </c>
      <c r="J658" s="501" t="s">
        <v>2826</v>
      </c>
      <c r="K658" s="438">
        <v>4</v>
      </c>
      <c r="L658" s="499">
        <v>2137</v>
      </c>
      <c r="M658" s="366">
        <f t="shared" si="209"/>
        <v>534.25</v>
      </c>
      <c r="N658" s="367">
        <f t="shared" si="193"/>
        <v>2511</v>
      </c>
      <c r="O658" s="61">
        <v>2500</v>
      </c>
      <c r="P658" s="368">
        <v>0</v>
      </c>
      <c r="Q658" s="368">
        <v>0</v>
      </c>
      <c r="R658" s="494">
        <v>0</v>
      </c>
      <c r="S658" s="493">
        <v>0</v>
      </c>
      <c r="T658" s="494">
        <v>3</v>
      </c>
      <c r="U658" s="493">
        <v>8</v>
      </c>
      <c r="V658" s="502">
        <v>1</v>
      </c>
      <c r="W658" s="453">
        <f t="shared" si="195"/>
        <v>2500</v>
      </c>
      <c r="X658" s="748">
        <f t="shared" si="196"/>
        <v>1.169864295741694</v>
      </c>
      <c r="Y658" s="451" t="str">
        <f>IFERROR(VLOOKUP(E:E,'Item Data Support Sheet'!A:J,6,0),0)</f>
        <v>RM000123</v>
      </c>
      <c r="Z658" s="428">
        <f>IFERROR(VLOOKUP(E:E,'Item Data Support Sheet'!A:O,4,0),0)</f>
        <v>7.3</v>
      </c>
      <c r="AA658" s="428">
        <f t="shared" si="197"/>
        <v>18.330300000000001</v>
      </c>
      <c r="AB658" s="429">
        <f t="shared" si="198"/>
        <v>0.9956192751891676</v>
      </c>
      <c r="AC658" s="424">
        <f t="shared" si="199"/>
        <v>1.1985617259288853E-3</v>
      </c>
      <c r="AD658" s="371">
        <f t="shared" si="200"/>
        <v>0</v>
      </c>
      <c r="AE658" s="748">
        <f t="shared" si="201"/>
        <v>0.99880525686977295</v>
      </c>
      <c r="AF658" s="417">
        <f t="shared" si="202"/>
        <v>0</v>
      </c>
      <c r="AG658" s="416">
        <f t="shared" si="203"/>
        <v>4</v>
      </c>
      <c r="AH658" s="372">
        <f t="shared" si="204"/>
        <v>1</v>
      </c>
      <c r="AI658" s="373">
        <f t="shared" si="205"/>
        <v>625</v>
      </c>
      <c r="AJ658" s="418">
        <f>VLOOKUP(D658,'Standard Cycle time'!C:D,2,0)</f>
        <v>6</v>
      </c>
      <c r="AK658" s="418">
        <f t="shared" si="206"/>
        <v>5.76</v>
      </c>
      <c r="AL658" s="374">
        <f t="shared" si="207"/>
        <v>1.0416666666666667</v>
      </c>
      <c r="AM658" s="372">
        <f t="shared" si="208"/>
        <v>1.0404221425726803</v>
      </c>
      <c r="AN658" s="799">
        <v>3583</v>
      </c>
      <c r="AO658" s="448"/>
      <c r="AP658" s="440">
        <v>0</v>
      </c>
      <c r="AQ658" s="440">
        <v>0</v>
      </c>
      <c r="AR658" s="440">
        <v>0</v>
      </c>
      <c r="AS658" s="440">
        <v>0</v>
      </c>
      <c r="AT658" s="440">
        <v>0</v>
      </c>
      <c r="AU658" s="440">
        <v>0</v>
      </c>
      <c r="AV658" s="440">
        <v>0</v>
      </c>
      <c r="AW658" s="440">
        <v>0</v>
      </c>
      <c r="AX658" s="440">
        <v>0</v>
      </c>
      <c r="AY658" s="440">
        <v>0</v>
      </c>
      <c r="AZ658" s="440">
        <v>0</v>
      </c>
      <c r="BA658" s="440">
        <v>0</v>
      </c>
      <c r="BB658" s="440">
        <v>0</v>
      </c>
      <c r="BC658" s="440">
        <v>0</v>
      </c>
      <c r="BD658" s="440">
        <v>0</v>
      </c>
      <c r="BE658" s="440">
        <v>0</v>
      </c>
      <c r="BF658" s="440">
        <v>0</v>
      </c>
      <c r="BG658" s="440">
        <v>0</v>
      </c>
      <c r="BH658" s="440">
        <v>0</v>
      </c>
      <c r="BI658" s="440">
        <v>0</v>
      </c>
      <c r="BJ658" s="440">
        <v>0</v>
      </c>
      <c r="BK658" s="440">
        <v>0</v>
      </c>
      <c r="BL658" s="440">
        <v>0</v>
      </c>
      <c r="BM658" s="440">
        <v>0</v>
      </c>
      <c r="BN658" s="440">
        <v>0</v>
      </c>
      <c r="BO658" s="440">
        <v>0</v>
      </c>
      <c r="BP658" s="440">
        <v>0</v>
      </c>
      <c r="BQ658" s="440">
        <v>0</v>
      </c>
      <c r="BR658" s="415">
        <v>0</v>
      </c>
      <c r="BS658" s="415">
        <v>0</v>
      </c>
      <c r="BT658" s="935"/>
      <c r="BU658" s="935"/>
      <c r="BV658" s="935"/>
      <c r="BW658" s="935"/>
      <c r="BX658" s="935"/>
      <c r="BY658" s="935"/>
      <c r="BZ658" s="935"/>
      <c r="CA658" s="935"/>
      <c r="CB658" s="935"/>
      <c r="CC658" s="935"/>
      <c r="CD658" s="935"/>
      <c r="CE658" s="935"/>
      <c r="CF658" s="935"/>
      <c r="CG658" s="935"/>
      <c r="CH658" s="935"/>
      <c r="CI658" s="935"/>
      <c r="CJ658" s="935"/>
      <c r="CK658" s="935"/>
      <c r="CL658" s="935"/>
      <c r="CM658" s="935"/>
      <c r="CN658" s="935"/>
      <c r="CO658" s="935"/>
      <c r="CP658" s="935"/>
      <c r="CQ658" s="935"/>
      <c r="CR658" s="935"/>
      <c r="CS658" s="935"/>
      <c r="CT658" s="935"/>
      <c r="CU658" s="935"/>
      <c r="CV658" s="935"/>
    </row>
    <row r="659" spans="1:100" s="441" customFormat="1">
      <c r="A659" s="375">
        <f t="shared" si="194"/>
        <v>9</v>
      </c>
      <c r="B659" s="862">
        <v>44462</v>
      </c>
      <c r="C659" s="493" t="s">
        <v>2053</v>
      </c>
      <c r="D659" s="376" t="str">
        <f>IFERROR(VLOOKUP(E:E,'Item Data Support Sheet'!A:O,7,0),"")</f>
        <v>NIPPLE MOLDED</v>
      </c>
      <c r="E659" s="447" t="s">
        <v>72</v>
      </c>
      <c r="F659" s="500" t="s">
        <v>1678</v>
      </c>
      <c r="G659" s="497" t="s">
        <v>1691</v>
      </c>
      <c r="H659" s="602" t="str">
        <f>IFERROR(VLOOKUP(E:E,'Item Data Support Sheet'!A:O,2,0),"")</f>
        <v>NIPPLE S TYPE S SIZE INJECTION</v>
      </c>
      <c r="I659" s="501" t="s">
        <v>3305</v>
      </c>
      <c r="J659" s="501" t="s">
        <v>2826</v>
      </c>
      <c r="K659" s="438">
        <v>8</v>
      </c>
      <c r="L659" s="499">
        <v>4815</v>
      </c>
      <c r="M659" s="366">
        <f t="shared" si="209"/>
        <v>601.875</v>
      </c>
      <c r="N659" s="367">
        <f t="shared" si="193"/>
        <v>5411</v>
      </c>
      <c r="O659" s="61">
        <v>5300</v>
      </c>
      <c r="P659" s="368">
        <v>0</v>
      </c>
      <c r="Q659" s="368">
        <v>32</v>
      </c>
      <c r="R659" s="494">
        <v>0</v>
      </c>
      <c r="S659" s="493">
        <v>0</v>
      </c>
      <c r="T659" s="494">
        <v>71</v>
      </c>
      <c r="U659" s="493">
        <v>8</v>
      </c>
      <c r="V659" s="502">
        <v>1</v>
      </c>
      <c r="W659" s="453">
        <f t="shared" si="195"/>
        <v>5300</v>
      </c>
      <c r="X659" s="748">
        <f t="shared" si="196"/>
        <v>1.1007268951194185</v>
      </c>
      <c r="Y659" s="451" t="str">
        <f>IFERROR(VLOOKUP(E:E,'Item Data Support Sheet'!A:J,6,0),0)</f>
        <v>Silicon</v>
      </c>
      <c r="Z659" s="428">
        <f>IFERROR(VLOOKUP(E:E,'Item Data Support Sheet'!A:O,4,0),0)</f>
        <v>6.8</v>
      </c>
      <c r="AA659" s="428">
        <f t="shared" si="197"/>
        <v>36.794799999999995</v>
      </c>
      <c r="AB659" s="429">
        <f t="shared" si="198"/>
        <v>0.97948623175013871</v>
      </c>
      <c r="AC659" s="424">
        <f t="shared" si="199"/>
        <v>1.3219139824986036E-2</v>
      </c>
      <c r="AD659" s="371">
        <f t="shared" si="200"/>
        <v>5.8791107844938456E-3</v>
      </c>
      <c r="AE659" s="748">
        <f t="shared" si="201"/>
        <v>0.98687858066900758</v>
      </c>
      <c r="AF659" s="417">
        <f t="shared" si="202"/>
        <v>0</v>
      </c>
      <c r="AG659" s="416">
        <f t="shared" si="203"/>
        <v>8</v>
      </c>
      <c r="AH659" s="372">
        <f t="shared" si="204"/>
        <v>1</v>
      </c>
      <c r="AI659" s="373">
        <f t="shared" si="205"/>
        <v>662.5</v>
      </c>
      <c r="AJ659" s="418">
        <f>VLOOKUP(D659,'Standard Cycle time'!C:D,2,0)</f>
        <v>5.25</v>
      </c>
      <c r="AK659" s="418">
        <f t="shared" si="206"/>
        <v>5.4339622641509431</v>
      </c>
      <c r="AL659" s="374">
        <f t="shared" si="207"/>
        <v>0.96614583333333337</v>
      </c>
      <c r="AM659" s="372">
        <f t="shared" si="208"/>
        <v>0.95346862871927562</v>
      </c>
      <c r="AN659" s="799">
        <v>3525</v>
      </c>
      <c r="AO659" s="448"/>
      <c r="AP659" s="440">
        <v>0</v>
      </c>
      <c r="AQ659" s="440">
        <v>0</v>
      </c>
      <c r="AR659" s="440">
        <v>0</v>
      </c>
      <c r="AS659" s="440">
        <v>0</v>
      </c>
      <c r="AT659" s="440">
        <v>0</v>
      </c>
      <c r="AU659" s="440">
        <v>0</v>
      </c>
      <c r="AV659" s="440">
        <v>0</v>
      </c>
      <c r="AW659" s="440">
        <v>0</v>
      </c>
      <c r="AX659" s="440">
        <v>0</v>
      </c>
      <c r="AY659" s="440">
        <v>0</v>
      </c>
      <c r="AZ659" s="440">
        <v>0</v>
      </c>
      <c r="BA659" s="440">
        <v>0</v>
      </c>
      <c r="BB659" s="440">
        <v>0</v>
      </c>
      <c r="BC659" s="440">
        <v>0</v>
      </c>
      <c r="BD659" s="440">
        <v>0</v>
      </c>
      <c r="BE659" s="440">
        <v>0</v>
      </c>
      <c r="BF659" s="440">
        <v>0</v>
      </c>
      <c r="BG659" s="440">
        <v>0</v>
      </c>
      <c r="BH659" s="440">
        <v>0</v>
      </c>
      <c r="BI659" s="440">
        <v>0</v>
      </c>
      <c r="BJ659" s="440">
        <v>0</v>
      </c>
      <c r="BK659" s="440">
        <v>0</v>
      </c>
      <c r="BL659" s="440">
        <v>0</v>
      </c>
      <c r="BM659" s="440">
        <v>0</v>
      </c>
      <c r="BN659" s="440">
        <v>0</v>
      </c>
      <c r="BO659" s="440">
        <v>0</v>
      </c>
      <c r="BP659" s="440">
        <v>0</v>
      </c>
      <c r="BQ659" s="440">
        <v>0</v>
      </c>
      <c r="BR659" s="415">
        <v>0</v>
      </c>
      <c r="BS659" s="415">
        <v>0</v>
      </c>
      <c r="BT659" s="935"/>
      <c r="BU659" s="935"/>
      <c r="BV659" s="935"/>
      <c r="BW659" s="935"/>
      <c r="BX659" s="935"/>
      <c r="BY659" s="935"/>
      <c r="BZ659" s="935"/>
      <c r="CA659" s="935"/>
      <c r="CB659" s="935"/>
      <c r="CC659" s="935"/>
      <c r="CD659" s="935"/>
      <c r="CE659" s="935"/>
      <c r="CF659" s="935"/>
      <c r="CG659" s="935"/>
      <c r="CH659" s="935"/>
      <c r="CI659" s="935"/>
      <c r="CJ659" s="935"/>
      <c r="CK659" s="935"/>
      <c r="CL659" s="935"/>
      <c r="CM659" s="935"/>
      <c r="CN659" s="935"/>
      <c r="CO659" s="935"/>
      <c r="CP659" s="935"/>
      <c r="CQ659" s="935"/>
      <c r="CR659" s="935"/>
      <c r="CS659" s="935"/>
      <c r="CT659" s="935"/>
      <c r="CU659" s="935"/>
      <c r="CV659" s="935"/>
    </row>
    <row r="660" spans="1:100" s="441" customFormat="1">
      <c r="A660" s="375">
        <f t="shared" si="194"/>
        <v>9</v>
      </c>
      <c r="B660" s="862">
        <v>44462</v>
      </c>
      <c r="C660" s="493" t="s">
        <v>2053</v>
      </c>
      <c r="D660" s="376" t="str">
        <f>IFERROR(VLOOKUP(E:E,'Item Data Support Sheet'!A:O,7,0),"")</f>
        <v>BOTTLE MOLDED</v>
      </c>
      <c r="E660" s="447" t="s">
        <v>65</v>
      </c>
      <c r="F660" s="500" t="s">
        <v>1679</v>
      </c>
      <c r="G660" s="497" t="s">
        <v>1888</v>
      </c>
      <c r="H660" s="602" t="str">
        <f>IFERROR(VLOOKUP(E:E,'Item Data Support Sheet'!A:O,2,0),"")</f>
        <v>KPP 120 ML BOTTLE MOLDED</v>
      </c>
      <c r="I660" s="501" t="s">
        <v>3306</v>
      </c>
      <c r="J660" s="501" t="s">
        <v>2826</v>
      </c>
      <c r="K660" s="438">
        <v>8</v>
      </c>
      <c r="L660" s="499">
        <v>2574</v>
      </c>
      <c r="M660" s="366">
        <f t="shared" si="209"/>
        <v>321.75</v>
      </c>
      <c r="N660" s="367">
        <f t="shared" si="193"/>
        <v>2951</v>
      </c>
      <c r="O660" s="61">
        <v>2880</v>
      </c>
      <c r="P660" s="368">
        <v>0.2</v>
      </c>
      <c r="Q660" s="368">
        <v>25</v>
      </c>
      <c r="R660" s="494">
        <v>0</v>
      </c>
      <c r="S660" s="493">
        <v>0</v>
      </c>
      <c r="T660" s="494">
        <v>38</v>
      </c>
      <c r="U660" s="493">
        <v>8</v>
      </c>
      <c r="V660" s="502">
        <v>1</v>
      </c>
      <c r="W660" s="453">
        <f t="shared" si="195"/>
        <v>2880</v>
      </c>
      <c r="X660" s="748">
        <f t="shared" si="196"/>
        <v>1.118881118881119</v>
      </c>
      <c r="Y660" s="451" t="str">
        <f>IFERROR(VLOOKUP(E:E,'Item Data Support Sheet'!A:J,6,0),0)</f>
        <v>HMC</v>
      </c>
      <c r="Z660" s="428">
        <f>IFERROR(VLOOKUP(E:E,'Item Data Support Sheet'!A:O,4,0),0)</f>
        <v>21.3</v>
      </c>
      <c r="AA660" s="428">
        <f t="shared" si="197"/>
        <v>63.0563</v>
      </c>
      <c r="AB660" s="429">
        <f t="shared" si="198"/>
        <v>0.97284490209542906</v>
      </c>
      <c r="AC660" s="424">
        <f t="shared" si="199"/>
        <v>1.3022618231665525E-2</v>
      </c>
      <c r="AD660" s="371">
        <f t="shared" si="200"/>
        <v>8.4005376344086016E-3</v>
      </c>
      <c r="AE660" s="748">
        <f t="shared" si="201"/>
        <v>0.98712300914944084</v>
      </c>
      <c r="AF660" s="417">
        <f t="shared" si="202"/>
        <v>0</v>
      </c>
      <c r="AG660" s="416">
        <f t="shared" si="203"/>
        <v>8</v>
      </c>
      <c r="AH660" s="372">
        <f t="shared" si="204"/>
        <v>1</v>
      </c>
      <c r="AI660" s="373">
        <f t="shared" si="205"/>
        <v>360</v>
      </c>
      <c r="AJ660" s="418">
        <f>VLOOKUP(D660,'Standard Cycle time'!C:D,2,0)</f>
        <v>9</v>
      </c>
      <c r="AK660" s="418">
        <f t="shared" si="206"/>
        <v>10</v>
      </c>
      <c r="AL660" s="374">
        <f t="shared" si="207"/>
        <v>0.9</v>
      </c>
      <c r="AM660" s="372">
        <f t="shared" si="208"/>
        <v>0.88841070823449675</v>
      </c>
      <c r="AN660" s="799">
        <v>3526</v>
      </c>
      <c r="AO660" s="448"/>
      <c r="AP660" s="440">
        <v>0</v>
      </c>
      <c r="AQ660" s="440">
        <v>0</v>
      </c>
      <c r="AR660" s="440">
        <v>0</v>
      </c>
      <c r="AS660" s="440">
        <v>0</v>
      </c>
      <c r="AT660" s="440">
        <v>0</v>
      </c>
      <c r="AU660" s="440">
        <v>0</v>
      </c>
      <c r="AV660" s="440">
        <v>0</v>
      </c>
      <c r="AW660" s="440">
        <v>0</v>
      </c>
      <c r="AX660" s="440">
        <v>0</v>
      </c>
      <c r="AY660" s="440">
        <v>0</v>
      </c>
      <c r="AZ660" s="440">
        <v>0</v>
      </c>
      <c r="BA660" s="440">
        <v>0</v>
      </c>
      <c r="BB660" s="440">
        <v>0</v>
      </c>
      <c r="BC660" s="440">
        <v>0</v>
      </c>
      <c r="BD660" s="440">
        <v>0</v>
      </c>
      <c r="BE660" s="440">
        <v>0</v>
      </c>
      <c r="BF660" s="440">
        <v>0</v>
      </c>
      <c r="BG660" s="440">
        <v>0</v>
      </c>
      <c r="BH660" s="440">
        <v>0</v>
      </c>
      <c r="BI660" s="440">
        <v>0</v>
      </c>
      <c r="BJ660" s="440">
        <v>0</v>
      </c>
      <c r="BK660" s="440">
        <v>0</v>
      </c>
      <c r="BL660" s="440">
        <v>0</v>
      </c>
      <c r="BM660" s="440">
        <v>0</v>
      </c>
      <c r="BN660" s="440">
        <v>0</v>
      </c>
      <c r="BO660" s="440">
        <v>0</v>
      </c>
      <c r="BP660" s="440">
        <v>0</v>
      </c>
      <c r="BQ660" s="440">
        <v>0</v>
      </c>
      <c r="BR660" s="415">
        <v>0</v>
      </c>
      <c r="BS660" s="415">
        <v>0</v>
      </c>
      <c r="BT660" s="935"/>
      <c r="BU660" s="935"/>
      <c r="BV660" s="935"/>
      <c r="BW660" s="935"/>
      <c r="BX660" s="935"/>
      <c r="BY660" s="935"/>
      <c r="BZ660" s="935"/>
      <c r="CA660" s="935"/>
      <c r="CB660" s="935"/>
      <c r="CC660" s="935"/>
      <c r="CD660" s="935"/>
      <c r="CE660" s="935"/>
      <c r="CF660" s="935"/>
      <c r="CG660" s="935"/>
      <c r="CH660" s="935"/>
      <c r="CI660" s="935"/>
      <c r="CJ660" s="935"/>
      <c r="CK660" s="935"/>
      <c r="CL660" s="935"/>
      <c r="CM660" s="935"/>
      <c r="CN660" s="935"/>
      <c r="CO660" s="935"/>
      <c r="CP660" s="935"/>
      <c r="CQ660" s="935"/>
      <c r="CR660" s="935"/>
      <c r="CS660" s="935"/>
      <c r="CT660" s="935"/>
      <c r="CU660" s="935"/>
      <c r="CV660" s="935"/>
    </row>
    <row r="661" spans="1:100" s="441" customFormat="1">
      <c r="A661" s="375">
        <f t="shared" si="194"/>
        <v>9</v>
      </c>
      <c r="B661" s="862">
        <v>44463</v>
      </c>
      <c r="C661" s="493" t="s">
        <v>1980</v>
      </c>
      <c r="D661" s="376" t="str">
        <f>IFERROR(VLOOKUP(E:E,'Item Data Support Sheet'!A:O,7,0),"")</f>
        <v>NIPPLE PUNCH</v>
      </c>
      <c r="E661" s="447" t="s">
        <v>80</v>
      </c>
      <c r="F661" s="500"/>
      <c r="G661" s="497" t="s">
        <v>1692</v>
      </c>
      <c r="H661" s="602" t="str">
        <f>IFERROR(VLOOKUP(E:E,'Item Data Support Sheet'!A:O,2,0),"")</f>
        <v>NIPPLE S TYPE S SIZE PUNCHED</v>
      </c>
      <c r="I661" s="501" t="s">
        <v>3307</v>
      </c>
      <c r="J661" s="501" t="s">
        <v>2808</v>
      </c>
      <c r="K661" s="438">
        <v>8</v>
      </c>
      <c r="L661" s="499">
        <v>7000</v>
      </c>
      <c r="M661" s="366">
        <f t="shared" si="209"/>
        <v>875</v>
      </c>
      <c r="N661" s="367">
        <f t="shared" si="193"/>
        <v>7400</v>
      </c>
      <c r="O661" s="61">
        <v>7400</v>
      </c>
      <c r="P661" s="368">
        <v>0</v>
      </c>
      <c r="Q661" s="368">
        <v>0</v>
      </c>
      <c r="R661" s="494">
        <v>0</v>
      </c>
      <c r="S661" s="493">
        <v>0</v>
      </c>
      <c r="T661" s="494">
        <v>0</v>
      </c>
      <c r="U661" s="493">
        <v>0</v>
      </c>
      <c r="V661" s="502">
        <v>1</v>
      </c>
      <c r="W661" s="453">
        <f t="shared" si="195"/>
        <v>7400</v>
      </c>
      <c r="X661" s="748">
        <f t="shared" si="196"/>
        <v>1.0571428571428572</v>
      </c>
      <c r="Y661" s="451" t="str">
        <f>IFERROR(VLOOKUP(E:E,'Item Data Support Sheet'!A:J,6,0),0)</f>
        <v>FO015</v>
      </c>
      <c r="Z661" s="428">
        <f>IFERROR(VLOOKUP(E:E,'Item Data Support Sheet'!A:O,4,0),0)</f>
        <v>0</v>
      </c>
      <c r="AA661" s="428">
        <f t="shared" si="197"/>
        <v>0</v>
      </c>
      <c r="AB661" s="429" t="str">
        <f t="shared" si="198"/>
        <v xml:space="preserve"> </v>
      </c>
      <c r="AC661" s="424">
        <f t="shared" si="199"/>
        <v>0</v>
      </c>
      <c r="AD661" s="371">
        <f t="shared" si="200"/>
        <v>0</v>
      </c>
      <c r="AE661" s="748">
        <f t="shared" si="201"/>
        <v>1</v>
      </c>
      <c r="AF661" s="417">
        <f t="shared" si="202"/>
        <v>0</v>
      </c>
      <c r="AG661" s="416">
        <f t="shared" si="203"/>
        <v>8</v>
      </c>
      <c r="AH661" s="372">
        <f t="shared" si="204"/>
        <v>1</v>
      </c>
      <c r="AI661" s="373">
        <f t="shared" si="205"/>
        <v>925</v>
      </c>
      <c r="AJ661" s="418">
        <f>VLOOKUP(D661,'Standard Cycle time'!C:D,2,0)</f>
        <v>3.5</v>
      </c>
      <c r="AK661" s="418">
        <f t="shared" si="206"/>
        <v>3.8918918918918921</v>
      </c>
      <c r="AL661" s="374">
        <f t="shared" si="207"/>
        <v>0.89930555555555547</v>
      </c>
      <c r="AM661" s="372">
        <f t="shared" si="208"/>
        <v>0.89930555555555547</v>
      </c>
      <c r="AN661" s="799" t="s">
        <v>3308</v>
      </c>
      <c r="AO661" s="448"/>
      <c r="AP661" s="440">
        <v>0</v>
      </c>
      <c r="AQ661" s="440">
        <v>0</v>
      </c>
      <c r="AR661" s="440">
        <v>0</v>
      </c>
      <c r="AS661" s="440">
        <v>0</v>
      </c>
      <c r="AT661" s="440">
        <v>0</v>
      </c>
      <c r="AU661" s="440">
        <v>0</v>
      </c>
      <c r="AV661" s="440">
        <v>0</v>
      </c>
      <c r="AW661" s="440">
        <v>0</v>
      </c>
      <c r="AX661" s="440">
        <v>0</v>
      </c>
      <c r="AY661" s="440">
        <v>0</v>
      </c>
      <c r="AZ661" s="440">
        <v>0</v>
      </c>
      <c r="BA661" s="440">
        <v>0</v>
      </c>
      <c r="BB661" s="440">
        <v>0</v>
      </c>
      <c r="BC661" s="440">
        <v>0</v>
      </c>
      <c r="BD661" s="440">
        <v>0</v>
      </c>
      <c r="BE661" s="440">
        <v>0</v>
      </c>
      <c r="BF661" s="440">
        <v>0</v>
      </c>
      <c r="BG661" s="440">
        <v>0</v>
      </c>
      <c r="BH661" s="440">
        <v>0</v>
      </c>
      <c r="BI661" s="440">
        <v>0</v>
      </c>
      <c r="BJ661" s="440">
        <v>0</v>
      </c>
      <c r="BK661" s="440">
        <v>0</v>
      </c>
      <c r="BL661" s="440">
        <v>0</v>
      </c>
      <c r="BM661" s="440">
        <v>0</v>
      </c>
      <c r="BN661" s="440">
        <v>0</v>
      </c>
      <c r="BO661" s="440">
        <v>0</v>
      </c>
      <c r="BP661" s="440">
        <v>0</v>
      </c>
      <c r="BQ661" s="440">
        <v>0</v>
      </c>
      <c r="BR661" s="415">
        <v>0</v>
      </c>
      <c r="BS661" s="415">
        <v>0</v>
      </c>
      <c r="BT661" s="935"/>
      <c r="BU661" s="935"/>
      <c r="BV661" s="935"/>
      <c r="BW661" s="935"/>
      <c r="BX661" s="935"/>
      <c r="BY661" s="935"/>
      <c r="BZ661" s="935"/>
      <c r="CA661" s="935"/>
      <c r="CB661" s="935"/>
      <c r="CC661" s="935"/>
      <c r="CD661" s="935"/>
      <c r="CE661" s="935"/>
      <c r="CF661" s="935"/>
      <c r="CG661" s="935"/>
      <c r="CH661" s="935"/>
      <c r="CI661" s="935"/>
      <c r="CJ661" s="935"/>
      <c r="CK661" s="935"/>
      <c r="CL661" s="935"/>
      <c r="CM661" s="935"/>
      <c r="CN661" s="935"/>
      <c r="CO661" s="935"/>
      <c r="CP661" s="935"/>
      <c r="CQ661" s="935"/>
      <c r="CR661" s="935"/>
      <c r="CS661" s="935"/>
      <c r="CT661" s="935"/>
      <c r="CU661" s="935"/>
      <c r="CV661" s="935"/>
    </row>
    <row r="662" spans="1:100" s="441" customFormat="1">
      <c r="A662" s="375">
        <f t="shared" si="194"/>
        <v>9</v>
      </c>
      <c r="B662" s="862">
        <v>44463</v>
      </c>
      <c r="C662" s="493" t="s">
        <v>1980</v>
      </c>
      <c r="D662" s="376" t="str">
        <f>IFERROR(VLOOKUP(E:E,'Item Data Support Sheet'!A:O,7,0),"")</f>
        <v>NIPPLE LASER MARKING</v>
      </c>
      <c r="E662" s="447" t="s">
        <v>1817</v>
      </c>
      <c r="F662" s="500"/>
      <c r="G662" s="497" t="s">
        <v>1812</v>
      </c>
      <c r="H662" s="602" t="str">
        <f>IFERROR(VLOOKUP(E:E,'Item Data Support Sheet'!A:O,2,0),"")</f>
        <v>NIPPLE S TYPE Y SIZE PUNCHED LASER MARKED</v>
      </c>
      <c r="I662" s="501" t="s">
        <v>3309</v>
      </c>
      <c r="J662" s="501" t="s">
        <v>2808</v>
      </c>
      <c r="K662" s="438">
        <v>4</v>
      </c>
      <c r="L662" s="499">
        <v>3500</v>
      </c>
      <c r="M662" s="366">
        <f t="shared" si="209"/>
        <v>875</v>
      </c>
      <c r="N662" s="367">
        <f t="shared" si="193"/>
        <v>3400</v>
      </c>
      <c r="O662" s="61">
        <v>3400</v>
      </c>
      <c r="P662" s="368">
        <v>0</v>
      </c>
      <c r="Q662" s="368">
        <v>0</v>
      </c>
      <c r="R662" s="494">
        <v>0</v>
      </c>
      <c r="S662" s="493">
        <v>0</v>
      </c>
      <c r="T662" s="494">
        <v>0</v>
      </c>
      <c r="U662" s="493">
        <v>0</v>
      </c>
      <c r="V662" s="502">
        <v>1</v>
      </c>
      <c r="W662" s="453">
        <f t="shared" si="195"/>
        <v>3400</v>
      </c>
      <c r="X662" s="748">
        <f t="shared" si="196"/>
        <v>0.97142857142857142</v>
      </c>
      <c r="Y662" s="451" t="str">
        <f>IFERROR(VLOOKUP(E:E,'Item Data Support Sheet'!A:J,6,0),0)</f>
        <v>FO022</v>
      </c>
      <c r="Z662" s="428">
        <f>IFERROR(VLOOKUP(E:E,'Item Data Support Sheet'!A:O,4,0),0)</f>
        <v>0</v>
      </c>
      <c r="AA662" s="428">
        <f t="shared" si="197"/>
        <v>0</v>
      </c>
      <c r="AB662" s="429" t="str">
        <f t="shared" si="198"/>
        <v xml:space="preserve"> </v>
      </c>
      <c r="AC662" s="424">
        <f t="shared" si="199"/>
        <v>0</v>
      </c>
      <c r="AD662" s="371">
        <f t="shared" si="200"/>
        <v>0</v>
      </c>
      <c r="AE662" s="748">
        <f t="shared" si="201"/>
        <v>1</v>
      </c>
      <c r="AF662" s="417">
        <f t="shared" si="202"/>
        <v>0.66666666666666663</v>
      </c>
      <c r="AG662" s="416">
        <f t="shared" si="203"/>
        <v>3.3333333333333335</v>
      </c>
      <c r="AH662" s="372">
        <f t="shared" si="204"/>
        <v>0.83333333333333337</v>
      </c>
      <c r="AI662" s="373">
        <f t="shared" si="205"/>
        <v>850</v>
      </c>
      <c r="AJ662" s="418">
        <f>VLOOKUP(D662,'Standard Cycle time'!C:D,2,0)</f>
        <v>3.5</v>
      </c>
      <c r="AK662" s="418">
        <f t="shared" si="206"/>
        <v>3.5294117647058822</v>
      </c>
      <c r="AL662" s="374">
        <f t="shared" si="207"/>
        <v>0.9916666666666667</v>
      </c>
      <c r="AM662" s="372">
        <f t="shared" si="208"/>
        <v>0.82638888888888895</v>
      </c>
      <c r="AN662" s="799">
        <v>3533</v>
      </c>
      <c r="AO662" s="448"/>
      <c r="AP662" s="440">
        <v>40</v>
      </c>
      <c r="AQ662" s="440">
        <v>0</v>
      </c>
      <c r="AR662" s="440">
        <v>0</v>
      </c>
      <c r="AS662" s="440">
        <v>0</v>
      </c>
      <c r="AT662" s="440">
        <v>0</v>
      </c>
      <c r="AU662" s="440">
        <v>0</v>
      </c>
      <c r="AV662" s="440">
        <v>0</v>
      </c>
      <c r="AW662" s="440">
        <v>0</v>
      </c>
      <c r="AX662" s="440">
        <v>0</v>
      </c>
      <c r="AY662" s="440">
        <v>0</v>
      </c>
      <c r="AZ662" s="440">
        <v>0</v>
      </c>
      <c r="BA662" s="440">
        <v>0</v>
      </c>
      <c r="BB662" s="440">
        <v>0</v>
      </c>
      <c r="BC662" s="440">
        <v>0</v>
      </c>
      <c r="BD662" s="440">
        <v>0</v>
      </c>
      <c r="BE662" s="440">
        <v>0</v>
      </c>
      <c r="BF662" s="440">
        <v>0</v>
      </c>
      <c r="BG662" s="440">
        <v>0</v>
      </c>
      <c r="BH662" s="440">
        <v>0</v>
      </c>
      <c r="BI662" s="440">
        <v>0</v>
      </c>
      <c r="BJ662" s="440">
        <v>0</v>
      </c>
      <c r="BK662" s="440">
        <v>0</v>
      </c>
      <c r="BL662" s="440">
        <v>0</v>
      </c>
      <c r="BM662" s="440">
        <v>0</v>
      </c>
      <c r="BN662" s="440">
        <v>0</v>
      </c>
      <c r="BO662" s="440">
        <v>0</v>
      </c>
      <c r="BP662" s="440">
        <v>0</v>
      </c>
      <c r="BQ662" s="440">
        <v>0</v>
      </c>
      <c r="BR662" s="415">
        <v>0.66666666666666663</v>
      </c>
      <c r="BS662" s="415">
        <v>0.6777777777777777</v>
      </c>
      <c r="BT662" s="935"/>
      <c r="BU662" s="935"/>
      <c r="BV662" s="935"/>
      <c r="BW662" s="935"/>
      <c r="BX662" s="935"/>
      <c r="BY662" s="935"/>
      <c r="BZ662" s="935"/>
      <c r="CA662" s="935"/>
      <c r="CB662" s="935"/>
      <c r="CC662" s="935"/>
      <c r="CD662" s="935"/>
      <c r="CE662" s="935"/>
      <c r="CF662" s="935"/>
      <c r="CG662" s="935"/>
      <c r="CH662" s="935"/>
      <c r="CI662" s="935"/>
      <c r="CJ662" s="935"/>
      <c r="CK662" s="935"/>
      <c r="CL662" s="935"/>
      <c r="CM662" s="935"/>
      <c r="CN662" s="935"/>
      <c r="CO662" s="935"/>
      <c r="CP662" s="935"/>
      <c r="CQ662" s="935"/>
      <c r="CR662" s="935"/>
      <c r="CS662" s="935"/>
      <c r="CT662" s="935"/>
      <c r="CU662" s="935"/>
      <c r="CV662" s="935"/>
    </row>
    <row r="663" spans="1:100" s="441" customFormat="1">
      <c r="A663" s="375">
        <f t="shared" si="194"/>
        <v>9</v>
      </c>
      <c r="B663" s="862">
        <v>44463</v>
      </c>
      <c r="C663" s="493" t="s">
        <v>1980</v>
      </c>
      <c r="D663" s="376" t="str">
        <f>IFERROR(VLOOKUP(E:E,'Item Data Support Sheet'!A:O,7,0),"")</f>
        <v>NIPPLE LASER MARKING</v>
      </c>
      <c r="E663" s="447" t="s">
        <v>1814</v>
      </c>
      <c r="F663" s="500"/>
      <c r="G663" s="497" t="s">
        <v>1812</v>
      </c>
      <c r="H663" s="602" t="str">
        <f>IFERROR(VLOOKUP(E:E,'Item Data Support Sheet'!A:O,2,0),"")</f>
        <v>NIPPLE S TYPE S SIZE PUNCHED LASER MARKED</v>
      </c>
      <c r="I663" s="501" t="s">
        <v>3310</v>
      </c>
      <c r="J663" s="501" t="s">
        <v>2808</v>
      </c>
      <c r="K663" s="438">
        <v>4</v>
      </c>
      <c r="L663" s="499">
        <v>3500</v>
      </c>
      <c r="M663" s="366">
        <f t="shared" si="209"/>
        <v>875</v>
      </c>
      <c r="N663" s="367">
        <f t="shared" si="193"/>
        <v>3700</v>
      </c>
      <c r="O663" s="61">
        <v>3700</v>
      </c>
      <c r="P663" s="368">
        <v>0</v>
      </c>
      <c r="Q663" s="368">
        <v>0</v>
      </c>
      <c r="R663" s="494">
        <v>0</v>
      </c>
      <c r="S663" s="493">
        <v>0</v>
      </c>
      <c r="T663" s="494">
        <v>0</v>
      </c>
      <c r="U663" s="493">
        <v>0</v>
      </c>
      <c r="V663" s="502">
        <v>1</v>
      </c>
      <c r="W663" s="453">
        <f t="shared" si="195"/>
        <v>3700</v>
      </c>
      <c r="X663" s="748">
        <f t="shared" si="196"/>
        <v>1.0571428571428572</v>
      </c>
      <c r="Y663" s="451" t="str">
        <f>IFERROR(VLOOKUP(E:E,'Item Data Support Sheet'!A:J,6,0),0)</f>
        <v>FO019</v>
      </c>
      <c r="Z663" s="428">
        <f>IFERROR(VLOOKUP(E:E,'Item Data Support Sheet'!A:O,4,0),0)</f>
        <v>0</v>
      </c>
      <c r="AA663" s="428">
        <f t="shared" si="197"/>
        <v>0</v>
      </c>
      <c r="AB663" s="429" t="str">
        <f t="shared" si="198"/>
        <v xml:space="preserve"> </v>
      </c>
      <c r="AC663" s="424">
        <f t="shared" si="199"/>
        <v>0</v>
      </c>
      <c r="AD663" s="371">
        <f t="shared" si="200"/>
        <v>0</v>
      </c>
      <c r="AE663" s="748">
        <f t="shared" si="201"/>
        <v>1</v>
      </c>
      <c r="AF663" s="417">
        <f t="shared" si="202"/>
        <v>0</v>
      </c>
      <c r="AG663" s="416">
        <f t="shared" si="203"/>
        <v>4</v>
      </c>
      <c r="AH663" s="372">
        <f t="shared" si="204"/>
        <v>1</v>
      </c>
      <c r="AI663" s="373">
        <f t="shared" si="205"/>
        <v>925</v>
      </c>
      <c r="AJ663" s="418">
        <f>VLOOKUP(D663,'Standard Cycle time'!C:D,2,0)</f>
        <v>3.5</v>
      </c>
      <c r="AK663" s="418">
        <f t="shared" si="206"/>
        <v>3.8918918918918921</v>
      </c>
      <c r="AL663" s="374">
        <f t="shared" si="207"/>
        <v>0.89930555555555547</v>
      </c>
      <c r="AM663" s="372">
        <f t="shared" si="208"/>
        <v>0.89930555555555547</v>
      </c>
      <c r="AN663" s="799">
        <v>3532</v>
      </c>
      <c r="AO663" s="448"/>
      <c r="AP663" s="440">
        <v>0</v>
      </c>
      <c r="AQ663" s="440">
        <v>0</v>
      </c>
      <c r="AR663" s="440">
        <v>0</v>
      </c>
      <c r="AS663" s="440">
        <v>0</v>
      </c>
      <c r="AT663" s="440">
        <v>0</v>
      </c>
      <c r="AU663" s="440">
        <v>0</v>
      </c>
      <c r="AV663" s="440">
        <v>0</v>
      </c>
      <c r="AW663" s="440">
        <v>0</v>
      </c>
      <c r="AX663" s="440">
        <v>0</v>
      </c>
      <c r="AY663" s="440">
        <v>0</v>
      </c>
      <c r="AZ663" s="440">
        <v>0</v>
      </c>
      <c r="BA663" s="440">
        <v>0</v>
      </c>
      <c r="BB663" s="440">
        <v>0</v>
      </c>
      <c r="BC663" s="440">
        <v>0</v>
      </c>
      <c r="BD663" s="440">
        <v>0</v>
      </c>
      <c r="BE663" s="440">
        <v>0</v>
      </c>
      <c r="BF663" s="440">
        <v>0</v>
      </c>
      <c r="BG663" s="440">
        <v>0</v>
      </c>
      <c r="BH663" s="440">
        <v>0</v>
      </c>
      <c r="BI663" s="440">
        <v>0</v>
      </c>
      <c r="BJ663" s="440">
        <v>0</v>
      </c>
      <c r="BK663" s="440">
        <v>0</v>
      </c>
      <c r="BL663" s="440">
        <v>0</v>
      </c>
      <c r="BM663" s="440">
        <v>0</v>
      </c>
      <c r="BN663" s="440">
        <v>0</v>
      </c>
      <c r="BO663" s="440">
        <v>0</v>
      </c>
      <c r="BP663" s="440">
        <v>0</v>
      </c>
      <c r="BQ663" s="440">
        <v>0</v>
      </c>
      <c r="BR663" s="415">
        <v>0</v>
      </c>
      <c r="BS663" s="415">
        <v>0</v>
      </c>
      <c r="BT663" s="935"/>
      <c r="BU663" s="935"/>
      <c r="BV663" s="935"/>
      <c r="BW663" s="935"/>
      <c r="BX663" s="935"/>
      <c r="BY663" s="935"/>
      <c r="BZ663" s="935"/>
      <c r="CA663" s="935"/>
      <c r="CB663" s="935"/>
      <c r="CC663" s="935"/>
      <c r="CD663" s="935"/>
      <c r="CE663" s="935"/>
      <c r="CF663" s="935"/>
      <c r="CG663" s="935"/>
      <c r="CH663" s="935"/>
      <c r="CI663" s="935"/>
      <c r="CJ663" s="935"/>
      <c r="CK663" s="935"/>
      <c r="CL663" s="935"/>
      <c r="CM663" s="935"/>
      <c r="CN663" s="935"/>
      <c r="CO663" s="935"/>
      <c r="CP663" s="935"/>
      <c r="CQ663" s="935"/>
      <c r="CR663" s="935"/>
      <c r="CS663" s="935"/>
      <c r="CT663" s="935"/>
      <c r="CU663" s="935"/>
      <c r="CV663" s="935"/>
    </row>
    <row r="664" spans="1:100" s="441" customFormat="1">
      <c r="A664" s="375">
        <f t="shared" si="194"/>
        <v>9</v>
      </c>
      <c r="B664" s="862">
        <v>44463</v>
      </c>
      <c r="C664" s="493" t="s">
        <v>1980</v>
      </c>
      <c r="D664" s="376" t="str">
        <f>IFERROR(VLOOKUP(E:E,'Item Data Support Sheet'!A:O,7,0),"")</f>
        <v>NIPPLE MOLDED</v>
      </c>
      <c r="E664" s="447" t="s">
        <v>72</v>
      </c>
      <c r="F664" s="500" t="s">
        <v>1678</v>
      </c>
      <c r="G664" s="497" t="s">
        <v>1691</v>
      </c>
      <c r="H664" s="602" t="str">
        <f>IFERROR(VLOOKUP(E:E,'Item Data Support Sheet'!A:O,2,0),"")</f>
        <v>NIPPLE S TYPE S SIZE INJECTION</v>
      </c>
      <c r="I664" s="501" t="s">
        <v>3311</v>
      </c>
      <c r="J664" s="501" t="s">
        <v>2808</v>
      </c>
      <c r="K664" s="438">
        <v>8</v>
      </c>
      <c r="L664" s="499">
        <v>4815</v>
      </c>
      <c r="M664" s="366">
        <f t="shared" si="209"/>
        <v>601.875</v>
      </c>
      <c r="N664" s="367">
        <f t="shared" si="193"/>
        <v>4970</v>
      </c>
      <c r="O664" s="61">
        <v>4850</v>
      </c>
      <c r="P664" s="368">
        <v>0</v>
      </c>
      <c r="Q664" s="368">
        <v>38</v>
      </c>
      <c r="R664" s="494">
        <v>0</v>
      </c>
      <c r="S664" s="493">
        <v>0</v>
      </c>
      <c r="T664" s="494">
        <v>74</v>
      </c>
      <c r="U664" s="493">
        <v>8</v>
      </c>
      <c r="V664" s="502">
        <v>1</v>
      </c>
      <c r="W664" s="453">
        <f t="shared" si="195"/>
        <v>4850</v>
      </c>
      <c r="X664" s="748">
        <f t="shared" si="196"/>
        <v>1.0072689511941848</v>
      </c>
      <c r="Y664" s="451" t="str">
        <f>IFERROR(VLOOKUP(E:E,'Item Data Support Sheet'!A:J,6,0),0)</f>
        <v>Silicon</v>
      </c>
      <c r="Z664" s="428">
        <f>IFERROR(VLOOKUP(E:E,'Item Data Support Sheet'!A:O,4,0),0)</f>
        <v>6.8</v>
      </c>
      <c r="AA664" s="428">
        <f t="shared" si="197"/>
        <v>33.795999999999999</v>
      </c>
      <c r="AB664" s="429">
        <f t="shared" si="198"/>
        <v>0.9758551307847082</v>
      </c>
      <c r="AC664" s="424">
        <f t="shared" si="199"/>
        <v>1.5028432168968318E-2</v>
      </c>
      <c r="AD664" s="371">
        <f t="shared" si="200"/>
        <v>7.5878594249201275E-3</v>
      </c>
      <c r="AE664" s="748">
        <f t="shared" si="201"/>
        <v>0.98511066398390346</v>
      </c>
      <c r="AF664" s="417">
        <f t="shared" si="202"/>
        <v>0.5</v>
      </c>
      <c r="AG664" s="416">
        <f t="shared" si="203"/>
        <v>7.5</v>
      </c>
      <c r="AH664" s="372">
        <f t="shared" si="204"/>
        <v>0.9375</v>
      </c>
      <c r="AI664" s="373">
        <f t="shared" si="205"/>
        <v>606.25</v>
      </c>
      <c r="AJ664" s="418">
        <f>VLOOKUP(D664,'Standard Cycle time'!C:D,2,0)</f>
        <v>5.25</v>
      </c>
      <c r="AK664" s="418">
        <f t="shared" si="206"/>
        <v>5.5670103092783503</v>
      </c>
      <c r="AL664" s="374">
        <f t="shared" si="207"/>
        <v>0.94305555555555565</v>
      </c>
      <c r="AM664" s="372">
        <f t="shared" si="208"/>
        <v>0.87095070422535226</v>
      </c>
      <c r="AN664" s="799">
        <v>3334</v>
      </c>
      <c r="AO664" s="448" t="s">
        <v>3312</v>
      </c>
      <c r="AP664" s="440">
        <v>0</v>
      </c>
      <c r="AQ664" s="440">
        <v>0</v>
      </c>
      <c r="AR664" s="440">
        <v>0</v>
      </c>
      <c r="AS664" s="440">
        <v>0</v>
      </c>
      <c r="AT664" s="440">
        <v>0</v>
      </c>
      <c r="AU664" s="440">
        <v>30</v>
      </c>
      <c r="AV664" s="440">
        <v>0</v>
      </c>
      <c r="AW664" s="440">
        <v>0</v>
      </c>
      <c r="AX664" s="440">
        <v>0</v>
      </c>
      <c r="AY664" s="440">
        <v>0</v>
      </c>
      <c r="AZ664" s="440">
        <v>0</v>
      </c>
      <c r="BA664" s="440">
        <v>0</v>
      </c>
      <c r="BB664" s="440">
        <v>0</v>
      </c>
      <c r="BC664" s="440">
        <v>0</v>
      </c>
      <c r="BD664" s="440">
        <v>0</v>
      </c>
      <c r="BE664" s="440">
        <v>0</v>
      </c>
      <c r="BF664" s="440">
        <v>0</v>
      </c>
      <c r="BG664" s="440">
        <v>0</v>
      </c>
      <c r="BH664" s="440">
        <v>0</v>
      </c>
      <c r="BI664" s="440">
        <v>0</v>
      </c>
      <c r="BJ664" s="440">
        <v>0</v>
      </c>
      <c r="BK664" s="440">
        <v>0</v>
      </c>
      <c r="BL664" s="440">
        <v>0</v>
      </c>
      <c r="BM664" s="440">
        <v>0</v>
      </c>
      <c r="BN664" s="440">
        <v>0</v>
      </c>
      <c r="BO664" s="440">
        <v>0</v>
      </c>
      <c r="BP664" s="440">
        <v>0</v>
      </c>
      <c r="BQ664" s="440">
        <v>0</v>
      </c>
      <c r="BR664" s="415">
        <v>0.5</v>
      </c>
      <c r="BS664" s="415">
        <v>0.5083333333333333</v>
      </c>
      <c r="BT664" s="935"/>
      <c r="BU664" s="935"/>
      <c r="BV664" s="935"/>
      <c r="BW664" s="935"/>
      <c r="BX664" s="935"/>
      <c r="BY664" s="935"/>
      <c r="BZ664" s="935"/>
      <c r="CA664" s="935"/>
      <c r="CB664" s="935"/>
      <c r="CC664" s="935"/>
      <c r="CD664" s="935"/>
      <c r="CE664" s="935"/>
      <c r="CF664" s="935"/>
      <c r="CG664" s="935"/>
      <c r="CH664" s="935"/>
      <c r="CI664" s="935"/>
      <c r="CJ664" s="935"/>
      <c r="CK664" s="935"/>
      <c r="CL664" s="935"/>
      <c r="CM664" s="935"/>
      <c r="CN664" s="935"/>
      <c r="CO664" s="935"/>
      <c r="CP664" s="935"/>
      <c r="CQ664" s="935"/>
      <c r="CR664" s="935"/>
      <c r="CS664" s="935"/>
      <c r="CT664" s="935"/>
      <c r="CU664" s="935"/>
      <c r="CV664" s="935"/>
    </row>
    <row r="665" spans="1:100" s="441" customFormat="1">
      <c r="A665" s="375">
        <f t="shared" si="194"/>
        <v>9</v>
      </c>
      <c r="B665" s="862">
        <v>44463</v>
      </c>
      <c r="C665" s="493" t="s">
        <v>1980</v>
      </c>
      <c r="D665" s="376" t="str">
        <f>IFERROR(VLOOKUP(E:E,'Item Data Support Sheet'!A:O,7,0),"")</f>
        <v>CAP MOLDED</v>
      </c>
      <c r="E665" s="447" t="s">
        <v>2107</v>
      </c>
      <c r="F665" s="500"/>
      <c r="G665" s="497" t="s">
        <v>3212</v>
      </c>
      <c r="H665" s="602" t="str">
        <f>IFERROR(VLOOKUP(E:E,'Item Data Support Sheet'!A:O,2,0),"")</f>
        <v>CAP S TYPE MOLDED PINK</v>
      </c>
      <c r="I665" s="501" t="s">
        <v>3313</v>
      </c>
      <c r="J665" s="501" t="s">
        <v>2808</v>
      </c>
      <c r="K665" s="438">
        <v>8</v>
      </c>
      <c r="L665" s="499">
        <v>4137</v>
      </c>
      <c r="M665" s="366">
        <f t="shared" si="209"/>
        <v>517.125</v>
      </c>
      <c r="N665" s="367">
        <f t="shared" si="193"/>
        <v>5010</v>
      </c>
      <c r="O665" s="61">
        <v>5000</v>
      </c>
      <c r="P665" s="368">
        <v>0</v>
      </c>
      <c r="Q665" s="368">
        <v>0</v>
      </c>
      <c r="R665" s="494">
        <v>0</v>
      </c>
      <c r="S665" s="493">
        <v>0</v>
      </c>
      <c r="T665" s="494">
        <v>2</v>
      </c>
      <c r="U665" s="493">
        <v>8</v>
      </c>
      <c r="V665" s="502">
        <v>1</v>
      </c>
      <c r="W665" s="453">
        <f t="shared" si="195"/>
        <v>5000</v>
      </c>
      <c r="X665" s="748">
        <f t="shared" si="196"/>
        <v>1.2086052695189751</v>
      </c>
      <c r="Y665" s="451" t="str">
        <f>IFERROR(VLOOKUP(E:E,'Item Data Support Sheet'!A:J,6,0),0)</f>
        <v>RM000123</v>
      </c>
      <c r="Z665" s="428">
        <f>IFERROR(VLOOKUP(E:E,'Item Data Support Sheet'!A:O,4,0),0)</f>
        <v>7.3</v>
      </c>
      <c r="AA665" s="428">
        <f t="shared" si="197"/>
        <v>36.573</v>
      </c>
      <c r="AB665" s="429">
        <f t="shared" si="198"/>
        <v>0.99800399201596801</v>
      </c>
      <c r="AC665" s="424">
        <f t="shared" si="199"/>
        <v>3.9984006397441024E-4</v>
      </c>
      <c r="AD665" s="371">
        <f t="shared" si="200"/>
        <v>0</v>
      </c>
      <c r="AE665" s="748">
        <f t="shared" si="201"/>
        <v>0.9996007984031936</v>
      </c>
      <c r="AF665" s="417">
        <f t="shared" si="202"/>
        <v>0</v>
      </c>
      <c r="AG665" s="416">
        <f t="shared" si="203"/>
        <v>8</v>
      </c>
      <c r="AH665" s="372">
        <f t="shared" si="204"/>
        <v>1</v>
      </c>
      <c r="AI665" s="373">
        <f t="shared" si="205"/>
        <v>625</v>
      </c>
      <c r="AJ665" s="418">
        <f>VLOOKUP(D665,'Standard Cycle time'!C:D,2,0)</f>
        <v>6</v>
      </c>
      <c r="AK665" s="418">
        <f t="shared" si="206"/>
        <v>5.76</v>
      </c>
      <c r="AL665" s="374">
        <f t="shared" si="207"/>
        <v>1.0416666666666667</v>
      </c>
      <c r="AM665" s="372">
        <f t="shared" si="208"/>
        <v>1.0412508316699933</v>
      </c>
      <c r="AN665" s="799">
        <v>3584</v>
      </c>
      <c r="AO665" s="448"/>
      <c r="AP665" s="440">
        <v>0</v>
      </c>
      <c r="AQ665" s="440">
        <v>0</v>
      </c>
      <c r="AR665" s="440">
        <v>0</v>
      </c>
      <c r="AS665" s="440">
        <v>0</v>
      </c>
      <c r="AT665" s="440">
        <v>0</v>
      </c>
      <c r="AU665" s="440">
        <v>0</v>
      </c>
      <c r="AV665" s="440">
        <v>0</v>
      </c>
      <c r="AW665" s="440">
        <v>0</v>
      </c>
      <c r="AX665" s="440">
        <v>0</v>
      </c>
      <c r="AY665" s="440">
        <v>0</v>
      </c>
      <c r="AZ665" s="440">
        <v>0</v>
      </c>
      <c r="BA665" s="440">
        <v>0</v>
      </c>
      <c r="BB665" s="440">
        <v>0</v>
      </c>
      <c r="BC665" s="440">
        <v>0</v>
      </c>
      <c r="BD665" s="440">
        <v>0</v>
      </c>
      <c r="BE665" s="440">
        <v>0</v>
      </c>
      <c r="BF665" s="440">
        <v>0</v>
      </c>
      <c r="BG665" s="440">
        <v>0</v>
      </c>
      <c r="BH665" s="440">
        <v>0</v>
      </c>
      <c r="BI665" s="440">
        <v>0</v>
      </c>
      <c r="BJ665" s="440">
        <v>0</v>
      </c>
      <c r="BK665" s="440">
        <v>0</v>
      </c>
      <c r="BL665" s="440">
        <v>0</v>
      </c>
      <c r="BM665" s="440">
        <v>0</v>
      </c>
      <c r="BN665" s="440">
        <v>0</v>
      </c>
      <c r="BO665" s="440">
        <v>0</v>
      </c>
      <c r="BP665" s="440">
        <v>0</v>
      </c>
      <c r="BQ665" s="440">
        <v>0</v>
      </c>
      <c r="BR665" s="415">
        <v>0</v>
      </c>
      <c r="BS665" s="415">
        <v>0</v>
      </c>
      <c r="BT665" s="935"/>
      <c r="BU665" s="935"/>
      <c r="BV665" s="935"/>
      <c r="BW665" s="935"/>
      <c r="BX665" s="935"/>
      <c r="BY665" s="935"/>
      <c r="BZ665" s="935"/>
      <c r="CA665" s="935"/>
      <c r="CB665" s="935"/>
      <c r="CC665" s="935"/>
      <c r="CD665" s="935"/>
      <c r="CE665" s="935"/>
      <c r="CF665" s="935"/>
      <c r="CG665" s="935"/>
      <c r="CH665" s="935"/>
      <c r="CI665" s="935"/>
      <c r="CJ665" s="935"/>
      <c r="CK665" s="935"/>
      <c r="CL665" s="935"/>
      <c r="CM665" s="935"/>
      <c r="CN665" s="935"/>
      <c r="CO665" s="935"/>
      <c r="CP665" s="935"/>
      <c r="CQ665" s="935"/>
      <c r="CR665" s="935"/>
      <c r="CS665" s="935"/>
      <c r="CT665" s="935"/>
      <c r="CU665" s="935"/>
      <c r="CV665" s="935"/>
    </row>
    <row r="666" spans="1:100" s="441" customFormat="1">
      <c r="A666" s="375">
        <f t="shared" si="194"/>
        <v>9</v>
      </c>
      <c r="B666" s="862">
        <v>44463</v>
      </c>
      <c r="C666" s="493" t="s">
        <v>1980</v>
      </c>
      <c r="D666" s="376" t="str">
        <f>IFERROR(VLOOKUP(E:E,'Item Data Support Sheet'!A:O,7,0),"")</f>
        <v>BOTTLE MOLDED</v>
      </c>
      <c r="E666" s="447" t="s">
        <v>68</v>
      </c>
      <c r="F666" s="500" t="s">
        <v>1664</v>
      </c>
      <c r="G666" s="497" t="s">
        <v>1665</v>
      </c>
      <c r="H666" s="602" t="str">
        <f>IFERROR(VLOOKUP(E:E,'Item Data Support Sheet'!A:O,2,0),"")</f>
        <v>RPP 240 ML BOTTLE MOLDED</v>
      </c>
      <c r="I666" s="501" t="s">
        <v>3314</v>
      </c>
      <c r="J666" s="501" t="s">
        <v>2808</v>
      </c>
      <c r="K666" s="438">
        <v>8</v>
      </c>
      <c r="L666" s="499">
        <v>2574</v>
      </c>
      <c r="M666" s="366">
        <f t="shared" si="209"/>
        <v>321.75</v>
      </c>
      <c r="N666" s="367">
        <f t="shared" si="193"/>
        <v>1042</v>
      </c>
      <c r="O666" s="61">
        <v>960</v>
      </c>
      <c r="P666" s="368">
        <v>0.12</v>
      </c>
      <c r="Q666" s="368">
        <v>46</v>
      </c>
      <c r="R666" s="494">
        <v>0</v>
      </c>
      <c r="S666" s="493">
        <v>0</v>
      </c>
      <c r="T666" s="494">
        <v>28</v>
      </c>
      <c r="U666" s="493">
        <v>8</v>
      </c>
      <c r="V666" s="502">
        <v>1</v>
      </c>
      <c r="W666" s="453">
        <f t="shared" si="195"/>
        <v>960</v>
      </c>
      <c r="X666" s="748">
        <f t="shared" si="196"/>
        <v>0.37296037296037299</v>
      </c>
      <c r="Y666" s="451" t="str">
        <f>IFERROR(VLOOKUP(E:E,'Item Data Support Sheet'!A:J,6,0),0)</f>
        <v>HMC</v>
      </c>
      <c r="Z666" s="428">
        <f>IFERROR(VLOOKUP(E:E,'Item Data Support Sheet'!A:O,4,0),0)</f>
        <v>32.1</v>
      </c>
      <c r="AA666" s="428">
        <f t="shared" si="197"/>
        <v>33.568200000000004</v>
      </c>
      <c r="AB666" s="429">
        <f t="shared" si="198"/>
        <v>0.91801168963483293</v>
      </c>
      <c r="AC666" s="424">
        <f t="shared" si="199"/>
        <v>2.8340080971659919E-2</v>
      </c>
      <c r="AD666" s="371">
        <f t="shared" si="200"/>
        <v>4.2279411764705885E-2</v>
      </c>
      <c r="AE666" s="748">
        <f t="shared" si="201"/>
        <v>0.97312859884836855</v>
      </c>
      <c r="AF666" s="417">
        <f t="shared" si="202"/>
        <v>5.666666666666667</v>
      </c>
      <c r="AG666" s="416">
        <f t="shared" si="203"/>
        <v>2.333333333333333</v>
      </c>
      <c r="AH666" s="372">
        <f t="shared" si="204"/>
        <v>0.29166666666666663</v>
      </c>
      <c r="AI666" s="373">
        <f t="shared" si="205"/>
        <v>120</v>
      </c>
      <c r="AJ666" s="418">
        <f>VLOOKUP(D666,'Standard Cycle time'!C:D,2,0)</f>
        <v>9</v>
      </c>
      <c r="AK666" s="418">
        <f t="shared" si="206"/>
        <v>8.7499999999999982</v>
      </c>
      <c r="AL666" s="374">
        <f t="shared" si="207"/>
        <v>1.0285714285714287</v>
      </c>
      <c r="AM666" s="372">
        <f t="shared" si="208"/>
        <v>0.29193857965451053</v>
      </c>
      <c r="AN666" s="799">
        <v>3690</v>
      </c>
      <c r="AO666" s="448" t="s">
        <v>3315</v>
      </c>
      <c r="AP666" s="440">
        <v>0</v>
      </c>
      <c r="AQ666" s="440">
        <v>0</v>
      </c>
      <c r="AR666" s="440">
        <v>160</v>
      </c>
      <c r="AS666" s="440">
        <v>0</v>
      </c>
      <c r="AT666" s="440">
        <v>0</v>
      </c>
      <c r="AU666" s="440">
        <v>0</v>
      </c>
      <c r="AV666" s="440">
        <v>120</v>
      </c>
      <c r="AW666" s="440">
        <v>0</v>
      </c>
      <c r="AX666" s="440">
        <v>0</v>
      </c>
      <c r="AY666" s="440">
        <v>0</v>
      </c>
      <c r="AZ666" s="440">
        <v>30</v>
      </c>
      <c r="BA666" s="440">
        <v>0</v>
      </c>
      <c r="BB666" s="440">
        <v>30</v>
      </c>
      <c r="BC666" s="440">
        <v>0</v>
      </c>
      <c r="BD666" s="440">
        <v>0</v>
      </c>
      <c r="BE666" s="440">
        <v>0</v>
      </c>
      <c r="BF666" s="440">
        <v>0</v>
      </c>
      <c r="BG666" s="440">
        <v>0</v>
      </c>
      <c r="BH666" s="440">
        <v>0</v>
      </c>
      <c r="BI666" s="440">
        <v>0</v>
      </c>
      <c r="BJ666" s="440">
        <v>0</v>
      </c>
      <c r="BK666" s="440">
        <v>0</v>
      </c>
      <c r="BL666" s="440">
        <v>0</v>
      </c>
      <c r="BM666" s="440">
        <v>0</v>
      </c>
      <c r="BN666" s="440">
        <v>0</v>
      </c>
      <c r="BO666" s="440">
        <v>0</v>
      </c>
      <c r="BP666" s="440">
        <v>0</v>
      </c>
      <c r="BQ666" s="440">
        <v>0</v>
      </c>
      <c r="BR666" s="415">
        <v>5.666666666666667</v>
      </c>
      <c r="BS666" s="415">
        <v>5.7611111111111111</v>
      </c>
      <c r="BT666" s="935"/>
      <c r="BU666" s="935"/>
      <c r="BV666" s="935"/>
      <c r="BW666" s="935"/>
      <c r="BX666" s="935"/>
      <c r="BY666" s="935"/>
      <c r="BZ666" s="935"/>
      <c r="CA666" s="935"/>
      <c r="CB666" s="935"/>
      <c r="CC666" s="935"/>
      <c r="CD666" s="935"/>
      <c r="CE666" s="935"/>
      <c r="CF666" s="935"/>
      <c r="CG666" s="935"/>
      <c r="CH666" s="935"/>
      <c r="CI666" s="935"/>
      <c r="CJ666" s="935"/>
      <c r="CK666" s="935"/>
      <c r="CL666" s="935"/>
      <c r="CM666" s="935"/>
      <c r="CN666" s="935"/>
      <c r="CO666" s="935"/>
      <c r="CP666" s="935"/>
      <c r="CQ666" s="935"/>
      <c r="CR666" s="935"/>
      <c r="CS666" s="935"/>
      <c r="CT666" s="935"/>
      <c r="CU666" s="935"/>
      <c r="CV666" s="935"/>
    </row>
    <row r="667" spans="1:100" s="441" customFormat="1">
      <c r="A667" s="375">
        <f t="shared" si="194"/>
        <v>9</v>
      </c>
      <c r="B667" s="862">
        <v>44463</v>
      </c>
      <c r="C667" s="493" t="s">
        <v>2000</v>
      </c>
      <c r="D667" s="376" t="str">
        <f>IFERROR(VLOOKUP(E:E,'Item Data Support Sheet'!A:O,7,0),"")</f>
        <v>BOTTLE PRINTED</v>
      </c>
      <c r="E667" s="447" t="s">
        <v>355</v>
      </c>
      <c r="F667" s="500"/>
      <c r="G667" s="497"/>
      <c r="H667" s="602" t="str">
        <f>IFERROR(VLOOKUP(E:E,'Item Data Support Sheet'!A:O,2,0),"")</f>
        <v>RPP 240ML GRL PNK BOTLE PNTD WM3GB W/BIS LOGO</v>
      </c>
      <c r="I667" s="501" t="s">
        <v>3316</v>
      </c>
      <c r="J667" s="501" t="s">
        <v>2813</v>
      </c>
      <c r="K667" s="438">
        <v>1.2</v>
      </c>
      <c r="L667" s="499">
        <v>500</v>
      </c>
      <c r="M667" s="366">
        <f t="shared" si="209"/>
        <v>416.66666666666669</v>
      </c>
      <c r="N667" s="367">
        <f t="shared" si="193"/>
        <v>550</v>
      </c>
      <c r="O667" s="61">
        <v>542</v>
      </c>
      <c r="P667" s="368">
        <v>0</v>
      </c>
      <c r="Q667" s="368">
        <v>0</v>
      </c>
      <c r="R667" s="494">
        <v>11</v>
      </c>
      <c r="S667" s="493">
        <v>0</v>
      </c>
      <c r="T667" s="494">
        <v>8</v>
      </c>
      <c r="U667" s="493">
        <v>0</v>
      </c>
      <c r="V667" s="502">
        <v>6</v>
      </c>
      <c r="W667" s="453">
        <f t="shared" si="195"/>
        <v>90.333333333333329</v>
      </c>
      <c r="X667" s="748">
        <f t="shared" si="196"/>
        <v>1.0840000000000001</v>
      </c>
      <c r="Y667" s="451" t="str">
        <f>IFERROR(VLOOKUP(E:E,'Item Data Support Sheet'!A:J,6,0),0)</f>
        <v>FO057</v>
      </c>
      <c r="Z667" s="428">
        <f>IFERROR(VLOOKUP(E:E,'Item Data Support Sheet'!A:O,4,0),0)</f>
        <v>0</v>
      </c>
      <c r="AA667" s="428">
        <f t="shared" si="197"/>
        <v>0</v>
      </c>
      <c r="AB667" s="429" t="str">
        <f t="shared" si="198"/>
        <v xml:space="preserve"> </v>
      </c>
      <c r="AC667" s="424">
        <f t="shared" si="199"/>
        <v>1.4545454545454545E-2</v>
      </c>
      <c r="AD667" s="371">
        <f t="shared" si="200"/>
        <v>0</v>
      </c>
      <c r="AE667" s="748">
        <f t="shared" si="201"/>
        <v>0.98545454545454547</v>
      </c>
      <c r="AF667" s="417">
        <f t="shared" si="202"/>
        <v>0.58333333333333337</v>
      </c>
      <c r="AG667" s="416">
        <f t="shared" si="203"/>
        <v>0.61666666666666659</v>
      </c>
      <c r="AH667" s="372">
        <f t="shared" si="204"/>
        <v>0.51388888888888884</v>
      </c>
      <c r="AI667" s="373">
        <f t="shared" si="205"/>
        <v>451.66666666666669</v>
      </c>
      <c r="AJ667" s="418">
        <f>VLOOKUP(D667,'Standard Cycle time'!C:D,2,0)</f>
        <v>32.4</v>
      </c>
      <c r="AK667" s="418">
        <f t="shared" si="206"/>
        <v>24.575645756457561</v>
      </c>
      <c r="AL667" s="374">
        <f t="shared" si="207"/>
        <v>1.3183783783783785</v>
      </c>
      <c r="AM667" s="372">
        <f t="shared" si="208"/>
        <v>0.66764545454545454</v>
      </c>
      <c r="AN667" s="799" t="s">
        <v>2874</v>
      </c>
      <c r="AO667" s="448" t="s">
        <v>3317</v>
      </c>
      <c r="AP667" s="440">
        <v>10</v>
      </c>
      <c r="AQ667" s="440">
        <v>25</v>
      </c>
      <c r="AR667" s="440">
        <v>0</v>
      </c>
      <c r="AS667" s="440">
        <v>0</v>
      </c>
      <c r="AT667" s="440">
        <v>0</v>
      </c>
      <c r="AU667" s="440">
        <v>0</v>
      </c>
      <c r="AV667" s="440">
        <v>0</v>
      </c>
      <c r="AW667" s="440">
        <v>0</v>
      </c>
      <c r="AX667" s="440">
        <v>0</v>
      </c>
      <c r="AY667" s="440">
        <v>0</v>
      </c>
      <c r="AZ667" s="440">
        <v>0</v>
      </c>
      <c r="BA667" s="440">
        <v>0</v>
      </c>
      <c r="BB667" s="440">
        <v>0</v>
      </c>
      <c r="BC667" s="440">
        <v>0</v>
      </c>
      <c r="BD667" s="440">
        <v>0</v>
      </c>
      <c r="BE667" s="440">
        <v>0</v>
      </c>
      <c r="BF667" s="440">
        <v>0</v>
      </c>
      <c r="BG667" s="440">
        <v>0</v>
      </c>
      <c r="BH667" s="440">
        <v>0</v>
      </c>
      <c r="BI667" s="440">
        <v>0</v>
      </c>
      <c r="BJ667" s="440">
        <v>0</v>
      </c>
      <c r="BK667" s="440">
        <v>0</v>
      </c>
      <c r="BL667" s="440">
        <v>0</v>
      </c>
      <c r="BM667" s="440">
        <v>0</v>
      </c>
      <c r="BN667" s="440">
        <v>0</v>
      </c>
      <c r="BO667" s="440">
        <v>0</v>
      </c>
      <c r="BP667" s="440">
        <v>0</v>
      </c>
      <c r="BQ667" s="440">
        <v>0</v>
      </c>
      <c r="BR667" s="415">
        <v>0.58333333333333337</v>
      </c>
      <c r="BS667" s="415">
        <v>0.59305555555555556</v>
      </c>
      <c r="BT667" s="935"/>
      <c r="BU667" s="935"/>
      <c r="BV667" s="935"/>
      <c r="BW667" s="935"/>
      <c r="BX667" s="935"/>
      <c r="BY667" s="935"/>
      <c r="BZ667" s="935"/>
      <c r="CA667" s="935"/>
      <c r="CB667" s="935"/>
      <c r="CC667" s="935"/>
      <c r="CD667" s="935"/>
      <c r="CE667" s="935"/>
      <c r="CF667" s="935"/>
      <c r="CG667" s="935"/>
      <c r="CH667" s="935"/>
      <c r="CI667" s="935"/>
      <c r="CJ667" s="935"/>
      <c r="CK667" s="935"/>
      <c r="CL667" s="935"/>
      <c r="CM667" s="935"/>
      <c r="CN667" s="935"/>
      <c r="CO667" s="935"/>
      <c r="CP667" s="935"/>
      <c r="CQ667" s="935"/>
      <c r="CR667" s="935"/>
      <c r="CS667" s="935"/>
      <c r="CT667" s="935"/>
      <c r="CU667" s="935"/>
      <c r="CV667" s="935"/>
    </row>
    <row r="668" spans="1:100" s="441" customFormat="1">
      <c r="A668" s="375">
        <f t="shared" si="194"/>
        <v>9</v>
      </c>
      <c r="B668" s="862">
        <v>44463</v>
      </c>
      <c r="C668" s="493" t="s">
        <v>2000</v>
      </c>
      <c r="D668" s="376" t="str">
        <f>IFERROR(VLOOKUP(E:E,'Item Data Support Sheet'!A:O,7,0),"")</f>
        <v>BOTTLE PRINTED</v>
      </c>
      <c r="E668" s="447" t="s">
        <v>370</v>
      </c>
      <c r="F668" s="500"/>
      <c r="G668" s="497"/>
      <c r="H668" s="602" t="str">
        <f>IFERROR(VLOOKUP(E:E,'Item Data Support Sheet'!A:O,2,0),"")</f>
        <v>RPP 240ML ABSTRCT BLU BOTLE PNTD WM3GB W/BIS LOGO</v>
      </c>
      <c r="I668" s="501" t="s">
        <v>3318</v>
      </c>
      <c r="J668" s="501" t="s">
        <v>2813</v>
      </c>
      <c r="K668" s="438">
        <v>3</v>
      </c>
      <c r="L668" s="499">
        <v>1275</v>
      </c>
      <c r="M668" s="366">
        <f t="shared" si="209"/>
        <v>425</v>
      </c>
      <c r="N668" s="367">
        <f t="shared" si="193"/>
        <v>816</v>
      </c>
      <c r="O668" s="61">
        <v>802</v>
      </c>
      <c r="P668" s="368">
        <v>0</v>
      </c>
      <c r="Q668" s="368">
        <v>0</v>
      </c>
      <c r="R668" s="494">
        <v>12</v>
      </c>
      <c r="S668" s="493">
        <v>0</v>
      </c>
      <c r="T668" s="494">
        <v>14</v>
      </c>
      <c r="U668" s="493">
        <v>0</v>
      </c>
      <c r="V668" s="502">
        <v>6</v>
      </c>
      <c r="W668" s="453">
        <f t="shared" si="195"/>
        <v>133.66666666666666</v>
      </c>
      <c r="X668" s="748">
        <f t="shared" si="196"/>
        <v>0.62901960784313726</v>
      </c>
      <c r="Y668" s="451" t="str">
        <f>IFERROR(VLOOKUP(E:E,'Item Data Support Sheet'!A:J,6,0),0)</f>
        <v>FO055</v>
      </c>
      <c r="Z668" s="428">
        <f>IFERROR(VLOOKUP(E:E,'Item Data Support Sheet'!A:O,4,0),0)</f>
        <v>0</v>
      </c>
      <c r="AA668" s="428">
        <f t="shared" si="197"/>
        <v>0</v>
      </c>
      <c r="AB668" s="429" t="str">
        <f t="shared" si="198"/>
        <v xml:space="preserve"> </v>
      </c>
      <c r="AC668" s="424">
        <f t="shared" si="199"/>
        <v>1.7156862745098041E-2</v>
      </c>
      <c r="AD668" s="371">
        <f t="shared" si="200"/>
        <v>0</v>
      </c>
      <c r="AE668" s="748">
        <f t="shared" si="201"/>
        <v>0.98284313725490191</v>
      </c>
      <c r="AF668" s="417">
        <f t="shared" si="202"/>
        <v>1.5</v>
      </c>
      <c r="AG668" s="416">
        <f t="shared" si="203"/>
        <v>1.5</v>
      </c>
      <c r="AH668" s="372">
        <f t="shared" si="204"/>
        <v>0.5</v>
      </c>
      <c r="AI668" s="373">
        <f t="shared" si="205"/>
        <v>267.33333333333331</v>
      </c>
      <c r="AJ668" s="418">
        <f>VLOOKUP(D668,'Standard Cycle time'!C:D,2,0)</f>
        <v>32.4</v>
      </c>
      <c r="AK668" s="418">
        <f t="shared" si="206"/>
        <v>40.399002493765586</v>
      </c>
      <c r="AL668" s="374">
        <f t="shared" si="207"/>
        <v>0.80199999999999994</v>
      </c>
      <c r="AM668" s="372">
        <f t="shared" si="208"/>
        <v>0.39412009803921566</v>
      </c>
      <c r="AN668" s="799" t="s">
        <v>2874</v>
      </c>
      <c r="AO668" s="448" t="s">
        <v>3319</v>
      </c>
      <c r="AP668" s="440">
        <v>40</v>
      </c>
      <c r="AQ668" s="440">
        <v>50</v>
      </c>
      <c r="AR668" s="440">
        <v>0</v>
      </c>
      <c r="AS668" s="440">
        <v>0</v>
      </c>
      <c r="AT668" s="440">
        <v>0</v>
      </c>
      <c r="AU668" s="440">
        <v>0</v>
      </c>
      <c r="AV668" s="440">
        <v>0</v>
      </c>
      <c r="AW668" s="440">
        <v>0</v>
      </c>
      <c r="AX668" s="440">
        <v>0</v>
      </c>
      <c r="AY668" s="440">
        <v>0</v>
      </c>
      <c r="AZ668" s="440">
        <v>0</v>
      </c>
      <c r="BA668" s="440">
        <v>0</v>
      </c>
      <c r="BB668" s="440">
        <v>0</v>
      </c>
      <c r="BC668" s="440">
        <v>0</v>
      </c>
      <c r="BD668" s="440">
        <v>0</v>
      </c>
      <c r="BE668" s="440">
        <v>0</v>
      </c>
      <c r="BF668" s="440">
        <v>0</v>
      </c>
      <c r="BG668" s="440">
        <v>0</v>
      </c>
      <c r="BH668" s="440">
        <v>0</v>
      </c>
      <c r="BI668" s="440">
        <v>0</v>
      </c>
      <c r="BJ668" s="440">
        <v>0</v>
      </c>
      <c r="BK668" s="440">
        <v>0</v>
      </c>
      <c r="BL668" s="440">
        <v>0</v>
      </c>
      <c r="BM668" s="440">
        <v>0</v>
      </c>
      <c r="BN668" s="440">
        <v>0</v>
      </c>
      <c r="BO668" s="440">
        <v>0</v>
      </c>
      <c r="BP668" s="440">
        <v>0</v>
      </c>
      <c r="BQ668" s="440">
        <v>0</v>
      </c>
      <c r="BR668" s="415">
        <v>1.5</v>
      </c>
      <c r="BS668" s="415">
        <v>1.5249999999999999</v>
      </c>
      <c r="BT668" s="935"/>
      <c r="BU668" s="935"/>
      <c r="BV668" s="935"/>
      <c r="BW668" s="935"/>
      <c r="BX668" s="935"/>
      <c r="BY668" s="935"/>
      <c r="BZ668" s="935"/>
      <c r="CA668" s="935"/>
      <c r="CB668" s="935"/>
      <c r="CC668" s="935"/>
      <c r="CD668" s="935"/>
      <c r="CE668" s="935"/>
      <c r="CF668" s="935"/>
      <c r="CG668" s="935"/>
      <c r="CH668" s="935"/>
      <c r="CI668" s="935"/>
      <c r="CJ668" s="935"/>
      <c r="CK668" s="935"/>
      <c r="CL668" s="935"/>
      <c r="CM668" s="935"/>
      <c r="CN668" s="935"/>
      <c r="CO668" s="935"/>
      <c r="CP668" s="935"/>
      <c r="CQ668" s="935"/>
      <c r="CR668" s="935"/>
      <c r="CS668" s="935"/>
      <c r="CT668" s="935"/>
      <c r="CU668" s="935"/>
      <c r="CV668" s="935"/>
    </row>
    <row r="669" spans="1:100" s="441" customFormat="1">
      <c r="A669" s="375">
        <f t="shared" si="194"/>
        <v>9</v>
      </c>
      <c r="B669" s="862">
        <v>44463</v>
      </c>
      <c r="C669" s="493" t="s">
        <v>2000</v>
      </c>
      <c r="D669" s="376" t="str">
        <f>IFERROR(VLOOKUP(E:E,'Item Data Support Sheet'!A:O,7,0),"")</f>
        <v>BOTTLE PRINTED</v>
      </c>
      <c r="E669" s="447" t="s">
        <v>369</v>
      </c>
      <c r="F669" s="500"/>
      <c r="G669" s="497"/>
      <c r="H669" s="602" t="str">
        <f>IFERROR(VLOOKUP(E:E,'Item Data Support Sheet'!A:O,2,0),"")</f>
        <v>RPP 120ML ABSTRCT BLU BOTLE PNTD WM3GB W/BIS LOGO</v>
      </c>
      <c r="I669" s="501" t="s">
        <v>3320</v>
      </c>
      <c r="J669" s="501" t="s">
        <v>2813</v>
      </c>
      <c r="K669" s="438">
        <v>2.9</v>
      </c>
      <c r="L669" s="499">
        <v>1200</v>
      </c>
      <c r="M669" s="366">
        <f t="shared" si="209"/>
        <v>413.79310344827587</v>
      </c>
      <c r="N669" s="367">
        <f t="shared" si="193"/>
        <v>1425</v>
      </c>
      <c r="O669" s="61">
        <v>1402</v>
      </c>
      <c r="P669" s="368">
        <v>0</v>
      </c>
      <c r="Q669" s="368">
        <v>0</v>
      </c>
      <c r="R669" s="494">
        <v>17</v>
      </c>
      <c r="S669" s="493">
        <v>0</v>
      </c>
      <c r="T669" s="494">
        <v>23</v>
      </c>
      <c r="U669" s="493">
        <v>0</v>
      </c>
      <c r="V669" s="502">
        <v>6</v>
      </c>
      <c r="W669" s="453">
        <f t="shared" si="195"/>
        <v>233.66666666666666</v>
      </c>
      <c r="X669" s="748">
        <f t="shared" si="196"/>
        <v>1.1683333333333332</v>
      </c>
      <c r="Y669" s="451" t="str">
        <f>IFERROR(VLOOKUP(E:E,'Item Data Support Sheet'!A:J,6,0),0)</f>
        <v>FO054</v>
      </c>
      <c r="Z669" s="428">
        <f>IFERROR(VLOOKUP(E:E,'Item Data Support Sheet'!A:O,4,0),0)</f>
        <v>0</v>
      </c>
      <c r="AA669" s="428">
        <f t="shared" si="197"/>
        <v>0</v>
      </c>
      <c r="AB669" s="429" t="str">
        <f t="shared" si="198"/>
        <v xml:space="preserve"> </v>
      </c>
      <c r="AC669" s="424">
        <f t="shared" si="199"/>
        <v>1.6140350877192983E-2</v>
      </c>
      <c r="AD669" s="371">
        <f t="shared" si="200"/>
        <v>0</v>
      </c>
      <c r="AE669" s="748">
        <f t="shared" si="201"/>
        <v>0.98385964912280699</v>
      </c>
      <c r="AF669" s="417">
        <f t="shared" si="202"/>
        <v>0.5</v>
      </c>
      <c r="AG669" s="416">
        <f t="shared" si="203"/>
        <v>2.4</v>
      </c>
      <c r="AH669" s="372">
        <f t="shared" si="204"/>
        <v>0.82758620689655171</v>
      </c>
      <c r="AI669" s="373">
        <f t="shared" si="205"/>
        <v>483.44827586206895</v>
      </c>
      <c r="AJ669" s="418">
        <f>VLOOKUP(D669,'Standard Cycle time'!C:D,2,0)</f>
        <v>32.4</v>
      </c>
      <c r="AK669" s="418">
        <f t="shared" si="206"/>
        <v>36.975748930099854</v>
      </c>
      <c r="AL669" s="374">
        <f t="shared" si="207"/>
        <v>0.87625000000000008</v>
      </c>
      <c r="AM669" s="372">
        <f t="shared" si="208"/>
        <v>0.7134678765880218</v>
      </c>
      <c r="AN669" s="799" t="s">
        <v>2874</v>
      </c>
      <c r="AO669" s="448" t="s">
        <v>3321</v>
      </c>
      <c r="AP669" s="440">
        <v>0</v>
      </c>
      <c r="AQ669" s="440">
        <v>30</v>
      </c>
      <c r="AR669" s="440">
        <v>0</v>
      </c>
      <c r="AS669" s="440">
        <v>0</v>
      </c>
      <c r="AT669" s="440">
        <v>0</v>
      </c>
      <c r="AU669" s="440">
        <v>0</v>
      </c>
      <c r="AV669" s="440">
        <v>0</v>
      </c>
      <c r="AW669" s="440">
        <v>0</v>
      </c>
      <c r="AX669" s="440">
        <v>0</v>
      </c>
      <c r="AY669" s="440">
        <v>0</v>
      </c>
      <c r="AZ669" s="440">
        <v>0</v>
      </c>
      <c r="BA669" s="440">
        <v>0</v>
      </c>
      <c r="BB669" s="440">
        <v>0</v>
      </c>
      <c r="BC669" s="440">
        <v>0</v>
      </c>
      <c r="BD669" s="440">
        <v>0</v>
      </c>
      <c r="BE669" s="440">
        <v>0</v>
      </c>
      <c r="BF669" s="440">
        <v>0</v>
      </c>
      <c r="BG669" s="440">
        <v>0</v>
      </c>
      <c r="BH669" s="440">
        <v>0</v>
      </c>
      <c r="BI669" s="440">
        <v>0</v>
      </c>
      <c r="BJ669" s="440">
        <v>0</v>
      </c>
      <c r="BK669" s="440">
        <v>0</v>
      </c>
      <c r="BL669" s="440">
        <v>0</v>
      </c>
      <c r="BM669" s="440">
        <v>0</v>
      </c>
      <c r="BN669" s="440">
        <v>0</v>
      </c>
      <c r="BO669" s="440">
        <v>0</v>
      </c>
      <c r="BP669" s="440">
        <v>0</v>
      </c>
      <c r="BQ669" s="440">
        <v>0</v>
      </c>
      <c r="BR669" s="415">
        <v>0.5</v>
      </c>
      <c r="BS669" s="415">
        <v>0.5083333333333333</v>
      </c>
      <c r="BT669" s="935"/>
      <c r="BU669" s="935"/>
      <c r="BV669" s="935"/>
      <c r="BW669" s="935"/>
      <c r="BX669" s="935"/>
      <c r="BY669" s="935"/>
      <c r="BZ669" s="935"/>
      <c r="CA669" s="935"/>
      <c r="CB669" s="935"/>
      <c r="CC669" s="935"/>
      <c r="CD669" s="935"/>
      <c r="CE669" s="935"/>
      <c r="CF669" s="935"/>
      <c r="CG669" s="935"/>
      <c r="CH669" s="935"/>
      <c r="CI669" s="935"/>
      <c r="CJ669" s="935"/>
      <c r="CK669" s="935"/>
      <c r="CL669" s="935"/>
      <c r="CM669" s="935"/>
      <c r="CN669" s="935"/>
      <c r="CO669" s="935"/>
      <c r="CP669" s="935"/>
      <c r="CQ669" s="935"/>
      <c r="CR669" s="935"/>
      <c r="CS669" s="935"/>
      <c r="CT669" s="935"/>
      <c r="CU669" s="935"/>
      <c r="CV669" s="935"/>
    </row>
    <row r="670" spans="1:100" s="441" customFormat="1">
      <c r="A670" s="375">
        <f t="shared" si="194"/>
        <v>9</v>
      </c>
      <c r="B670" s="862">
        <v>44463</v>
      </c>
      <c r="C670" s="493" t="s">
        <v>2000</v>
      </c>
      <c r="D670" s="376" t="str">
        <f>IFERROR(VLOOKUP(E:E,'Item Data Support Sheet'!A:O,7,0),"")</f>
        <v>BOTTLE PRINTED</v>
      </c>
      <c r="E670" s="447" t="s">
        <v>356</v>
      </c>
      <c r="F670" s="500"/>
      <c r="G670" s="497"/>
      <c r="H670" s="602" t="str">
        <f>IFERROR(VLOOKUP(E:E,'Item Data Support Sheet'!A:O,2,0),"")</f>
        <v>RPP 120ML ABSTRCT PNK BOTLE PNTD WM3GB W/BIS LOGO</v>
      </c>
      <c r="I670" s="501" t="s">
        <v>3322</v>
      </c>
      <c r="J670" s="501" t="s">
        <v>2813</v>
      </c>
      <c r="K670" s="438">
        <v>1.4</v>
      </c>
      <c r="L670" s="499">
        <v>650</v>
      </c>
      <c r="M670" s="366">
        <f t="shared" si="209"/>
        <v>464.28571428571433</v>
      </c>
      <c r="N670" s="367">
        <f t="shared" si="193"/>
        <v>791</v>
      </c>
      <c r="O670" s="61">
        <v>770</v>
      </c>
      <c r="P670" s="368">
        <v>0</v>
      </c>
      <c r="Q670" s="368">
        <v>0</v>
      </c>
      <c r="R670" s="494">
        <v>15</v>
      </c>
      <c r="S670" s="493">
        <v>0</v>
      </c>
      <c r="T670" s="494">
        <v>21</v>
      </c>
      <c r="U670" s="493">
        <v>0</v>
      </c>
      <c r="V670" s="502">
        <v>6</v>
      </c>
      <c r="W670" s="453">
        <f t="shared" si="195"/>
        <v>128.33333333333334</v>
      </c>
      <c r="X670" s="748">
        <f t="shared" si="196"/>
        <v>1.1846153846153846</v>
      </c>
      <c r="Y670" s="451" t="str">
        <f>IFERROR(VLOOKUP(E:E,'Item Data Support Sheet'!A:J,6,0),0)</f>
        <v>FO052</v>
      </c>
      <c r="Z670" s="428">
        <f>IFERROR(VLOOKUP(E:E,'Item Data Support Sheet'!A:O,4,0),0)</f>
        <v>0</v>
      </c>
      <c r="AA670" s="428">
        <f t="shared" si="197"/>
        <v>0</v>
      </c>
      <c r="AB670" s="429" t="str">
        <f t="shared" si="198"/>
        <v xml:space="preserve"> </v>
      </c>
      <c r="AC670" s="424">
        <f t="shared" si="199"/>
        <v>2.6548672566371681E-2</v>
      </c>
      <c r="AD670" s="371">
        <f t="shared" si="200"/>
        <v>0</v>
      </c>
      <c r="AE670" s="748">
        <f t="shared" si="201"/>
        <v>0.97345132743362828</v>
      </c>
      <c r="AF670" s="417">
        <f t="shared" si="202"/>
        <v>0</v>
      </c>
      <c r="AG670" s="416">
        <f t="shared" si="203"/>
        <v>1.4</v>
      </c>
      <c r="AH670" s="372">
        <f t="shared" si="204"/>
        <v>1</v>
      </c>
      <c r="AI670" s="373">
        <f t="shared" si="205"/>
        <v>550</v>
      </c>
      <c r="AJ670" s="418">
        <f>VLOOKUP(D670,'Standard Cycle time'!C:D,2,0)</f>
        <v>32.4</v>
      </c>
      <c r="AK670" s="418">
        <f t="shared" si="206"/>
        <v>39.272727272727266</v>
      </c>
      <c r="AL670" s="374">
        <f t="shared" si="207"/>
        <v>0.82500000000000007</v>
      </c>
      <c r="AM670" s="372">
        <f t="shared" si="208"/>
        <v>0.80309734513274345</v>
      </c>
      <c r="AN670" s="799" t="s">
        <v>2874</v>
      </c>
      <c r="AO670" s="448"/>
      <c r="AP670" s="440">
        <v>0</v>
      </c>
      <c r="AQ670" s="440">
        <v>0</v>
      </c>
      <c r="AR670" s="440">
        <v>0</v>
      </c>
      <c r="AS670" s="440">
        <v>0</v>
      </c>
      <c r="AT670" s="440">
        <v>0</v>
      </c>
      <c r="AU670" s="440">
        <v>0</v>
      </c>
      <c r="AV670" s="440">
        <v>0</v>
      </c>
      <c r="AW670" s="440">
        <v>0</v>
      </c>
      <c r="AX670" s="440">
        <v>0</v>
      </c>
      <c r="AY670" s="440">
        <v>0</v>
      </c>
      <c r="AZ670" s="440">
        <v>0</v>
      </c>
      <c r="BA670" s="440">
        <v>0</v>
      </c>
      <c r="BB670" s="440">
        <v>0</v>
      </c>
      <c r="BC670" s="440">
        <v>0</v>
      </c>
      <c r="BD670" s="440">
        <v>0</v>
      </c>
      <c r="BE670" s="440">
        <v>0</v>
      </c>
      <c r="BF670" s="440">
        <v>0</v>
      </c>
      <c r="BG670" s="440">
        <v>0</v>
      </c>
      <c r="BH670" s="440">
        <v>0</v>
      </c>
      <c r="BI670" s="440">
        <v>0</v>
      </c>
      <c r="BJ670" s="440">
        <v>0</v>
      </c>
      <c r="BK670" s="440">
        <v>0</v>
      </c>
      <c r="BL670" s="440">
        <v>0</v>
      </c>
      <c r="BM670" s="440">
        <v>0</v>
      </c>
      <c r="BN670" s="440">
        <v>0</v>
      </c>
      <c r="BO670" s="440">
        <v>0</v>
      </c>
      <c r="BP670" s="440">
        <v>0</v>
      </c>
      <c r="BQ670" s="440">
        <v>0</v>
      </c>
      <c r="BR670" s="415">
        <v>0</v>
      </c>
      <c r="BS670" s="415">
        <v>0</v>
      </c>
      <c r="BT670" s="935"/>
      <c r="BU670" s="935"/>
      <c r="BV670" s="935"/>
      <c r="BW670" s="935"/>
      <c r="BX670" s="935"/>
      <c r="BY670" s="935"/>
      <c r="BZ670" s="935"/>
      <c r="CA670" s="935"/>
      <c r="CB670" s="935"/>
      <c r="CC670" s="935"/>
      <c r="CD670" s="935"/>
      <c r="CE670" s="935"/>
      <c r="CF670" s="935"/>
      <c r="CG670" s="935"/>
      <c r="CH670" s="935"/>
      <c r="CI670" s="935"/>
      <c r="CJ670" s="935"/>
      <c r="CK670" s="935"/>
      <c r="CL670" s="935"/>
      <c r="CM670" s="935"/>
      <c r="CN670" s="935"/>
      <c r="CO670" s="935"/>
      <c r="CP670" s="935"/>
      <c r="CQ670" s="935"/>
      <c r="CR670" s="935"/>
      <c r="CS670" s="935"/>
      <c r="CT670" s="935"/>
      <c r="CU670" s="935"/>
      <c r="CV670" s="935"/>
    </row>
    <row r="671" spans="1:100" s="441" customFormat="1">
      <c r="A671" s="375">
        <f t="shared" si="194"/>
        <v>9</v>
      </c>
      <c r="B671" s="862">
        <v>44463</v>
      </c>
      <c r="C671" s="493" t="s">
        <v>2001</v>
      </c>
      <c r="D671" s="376" t="str">
        <f>IFERROR(VLOOKUP(E:E,'Item Data Support Sheet'!A:O,7,0),"")</f>
        <v>CAP MOLDED</v>
      </c>
      <c r="E671" s="447" t="s">
        <v>2107</v>
      </c>
      <c r="F671" s="500"/>
      <c r="G671" s="497" t="s">
        <v>3212</v>
      </c>
      <c r="H671" s="602" t="str">
        <f>IFERROR(VLOOKUP(E:E,'Item Data Support Sheet'!A:O,2,0),"")</f>
        <v>CAP S TYPE MOLDED PINK</v>
      </c>
      <c r="I671" s="501" t="s">
        <v>3323</v>
      </c>
      <c r="J671" s="501" t="s">
        <v>2811</v>
      </c>
      <c r="K671" s="438">
        <v>2</v>
      </c>
      <c r="L671" s="499">
        <v>1034</v>
      </c>
      <c r="M671" s="366">
        <f t="shared" si="209"/>
        <v>517</v>
      </c>
      <c r="N671" s="367">
        <f t="shared" si="193"/>
        <v>1456</v>
      </c>
      <c r="O671" s="61">
        <v>1450</v>
      </c>
      <c r="P671" s="368">
        <v>0.6</v>
      </c>
      <c r="Q671" s="368">
        <v>0</v>
      </c>
      <c r="R671" s="494">
        <v>0</v>
      </c>
      <c r="S671" s="493">
        <v>0</v>
      </c>
      <c r="T671" s="494">
        <v>6</v>
      </c>
      <c r="U671" s="493">
        <v>0</v>
      </c>
      <c r="V671" s="502">
        <v>1</v>
      </c>
      <c r="W671" s="453">
        <f t="shared" si="195"/>
        <v>1450</v>
      </c>
      <c r="X671" s="748">
        <f t="shared" si="196"/>
        <v>1.4023210831721471</v>
      </c>
      <c r="Y671" s="451" t="str">
        <f>IFERROR(VLOOKUP(E:E,'Item Data Support Sheet'!A:J,6,0),0)</f>
        <v>RM000123</v>
      </c>
      <c r="Z671" s="428">
        <f>IFERROR(VLOOKUP(E:E,'Item Data Support Sheet'!A:O,4,0),0)</f>
        <v>7.3</v>
      </c>
      <c r="AA671" s="428">
        <f t="shared" si="197"/>
        <v>11.2288</v>
      </c>
      <c r="AB671" s="429">
        <f t="shared" si="198"/>
        <v>0.94266528925619841</v>
      </c>
      <c r="AC671" s="424">
        <f t="shared" si="199"/>
        <v>4.120879120879121E-3</v>
      </c>
      <c r="AD671" s="371">
        <f t="shared" si="200"/>
        <v>0</v>
      </c>
      <c r="AE671" s="748">
        <f t="shared" si="201"/>
        <v>0.99587912087912089</v>
      </c>
      <c r="AF671" s="417">
        <f t="shared" si="202"/>
        <v>0</v>
      </c>
      <c r="AG671" s="416">
        <f t="shared" si="203"/>
        <v>2</v>
      </c>
      <c r="AH671" s="372">
        <f t="shared" si="204"/>
        <v>1</v>
      </c>
      <c r="AI671" s="373">
        <f t="shared" si="205"/>
        <v>725</v>
      </c>
      <c r="AJ671" s="418">
        <f>VLOOKUP(D671,'Standard Cycle time'!C:D,2,0)</f>
        <v>6</v>
      </c>
      <c r="AK671" s="418">
        <f t="shared" si="206"/>
        <v>4.9655172413793105</v>
      </c>
      <c r="AL671" s="374">
        <f t="shared" si="207"/>
        <v>1.2083333333333333</v>
      </c>
      <c r="AM671" s="372">
        <f t="shared" si="208"/>
        <v>1.2033539377289377</v>
      </c>
      <c r="AN671" s="799">
        <v>3541</v>
      </c>
      <c r="AO671" s="448" t="s">
        <v>3324</v>
      </c>
      <c r="AP671" s="440">
        <v>0</v>
      </c>
      <c r="AQ671" s="440">
        <v>0</v>
      </c>
      <c r="AR671" s="440">
        <v>0</v>
      </c>
      <c r="AS671" s="440">
        <v>0</v>
      </c>
      <c r="AT671" s="440">
        <v>0</v>
      </c>
      <c r="AU671" s="440">
        <v>0</v>
      </c>
      <c r="AV671" s="440">
        <v>0</v>
      </c>
      <c r="AW671" s="440">
        <v>0</v>
      </c>
      <c r="AX671" s="440">
        <v>0</v>
      </c>
      <c r="AY671" s="440">
        <v>0</v>
      </c>
      <c r="AZ671" s="440">
        <v>0</v>
      </c>
      <c r="BA671" s="440">
        <v>0</v>
      </c>
      <c r="BB671" s="440">
        <v>0</v>
      </c>
      <c r="BC671" s="440">
        <v>0</v>
      </c>
      <c r="BD671" s="440">
        <v>0</v>
      </c>
      <c r="BE671" s="440">
        <v>0</v>
      </c>
      <c r="BF671" s="440">
        <v>0</v>
      </c>
      <c r="BG671" s="440">
        <v>0</v>
      </c>
      <c r="BH671" s="440">
        <v>0</v>
      </c>
      <c r="BI671" s="440">
        <v>0</v>
      </c>
      <c r="BJ671" s="440">
        <v>0</v>
      </c>
      <c r="BK671" s="440">
        <v>0</v>
      </c>
      <c r="BL671" s="440">
        <v>0</v>
      </c>
      <c r="BM671" s="440">
        <v>0</v>
      </c>
      <c r="BN671" s="440">
        <v>0</v>
      </c>
      <c r="BO671" s="440">
        <v>0</v>
      </c>
      <c r="BP671" s="440">
        <v>0</v>
      </c>
      <c r="BQ671" s="440">
        <v>0</v>
      </c>
      <c r="BR671" s="415">
        <v>0</v>
      </c>
      <c r="BS671" s="415">
        <v>0</v>
      </c>
      <c r="BT671" s="935"/>
      <c r="BU671" s="935"/>
      <c r="BV671" s="935"/>
      <c r="BW671" s="935"/>
      <c r="BX671" s="935"/>
      <c r="BY671" s="935"/>
      <c r="BZ671" s="935"/>
      <c r="CA671" s="935"/>
      <c r="CB671" s="935"/>
      <c r="CC671" s="935"/>
      <c r="CD671" s="935"/>
      <c r="CE671" s="935"/>
      <c r="CF671" s="935"/>
      <c r="CG671" s="935"/>
      <c r="CH671" s="935"/>
      <c r="CI671" s="935"/>
      <c r="CJ671" s="935"/>
      <c r="CK671" s="935"/>
      <c r="CL671" s="935"/>
      <c r="CM671" s="935"/>
      <c r="CN671" s="935"/>
      <c r="CO671" s="935"/>
      <c r="CP671" s="935"/>
      <c r="CQ671" s="935"/>
      <c r="CR671" s="935"/>
      <c r="CS671" s="935"/>
      <c r="CT671" s="935"/>
      <c r="CU671" s="935"/>
      <c r="CV671" s="935"/>
    </row>
    <row r="672" spans="1:100" s="441" customFormat="1">
      <c r="A672" s="375">
        <f t="shared" si="194"/>
        <v>9</v>
      </c>
      <c r="B672" s="862">
        <v>44463</v>
      </c>
      <c r="C672" s="493" t="s">
        <v>2000</v>
      </c>
      <c r="D672" s="376" t="str">
        <f>IFERROR(VLOOKUP(E:E,'Item Data Support Sheet'!A:O,7,0),"")</f>
        <v>NIPPLE PUNCH INSPECTED</v>
      </c>
      <c r="E672" s="447" t="s">
        <v>1821</v>
      </c>
      <c r="F672" s="500"/>
      <c r="G672" s="497"/>
      <c r="H672" s="602" t="str">
        <f>IFERROR(VLOOKUP(E:E,'Item Data Support Sheet'!A:O,2,0),"")</f>
        <v>NIPPLE S TYPE Y SIZE PUNCHED INSPECTED</v>
      </c>
      <c r="I672" s="501" t="s">
        <v>3325</v>
      </c>
      <c r="J672" s="501" t="s">
        <v>2811</v>
      </c>
      <c r="K672" s="438">
        <v>5</v>
      </c>
      <c r="L672" s="499">
        <v>8060</v>
      </c>
      <c r="M672" s="366">
        <f t="shared" si="209"/>
        <v>1612</v>
      </c>
      <c r="N672" s="367">
        <f t="shared" si="193"/>
        <v>8043</v>
      </c>
      <c r="O672" s="61">
        <v>8004</v>
      </c>
      <c r="P672" s="368">
        <v>0</v>
      </c>
      <c r="Q672" s="368">
        <v>0</v>
      </c>
      <c r="R672" s="494">
        <v>0</v>
      </c>
      <c r="S672" s="493">
        <v>0</v>
      </c>
      <c r="T672" s="494">
        <v>39</v>
      </c>
      <c r="U672" s="493">
        <v>0</v>
      </c>
      <c r="V672" s="502">
        <v>2</v>
      </c>
      <c r="W672" s="453">
        <f t="shared" si="195"/>
        <v>4002</v>
      </c>
      <c r="X672" s="748">
        <f t="shared" si="196"/>
        <v>0.9930521091811414</v>
      </c>
      <c r="Y672" s="451" t="str">
        <f>IFERROR(VLOOKUP(E:E,'Item Data Support Sheet'!A:J,6,0),0)</f>
        <v>FO107</v>
      </c>
      <c r="Z672" s="428">
        <f>IFERROR(VLOOKUP(E:E,'Item Data Support Sheet'!A:O,4,0),0)</f>
        <v>0</v>
      </c>
      <c r="AA672" s="428">
        <f t="shared" si="197"/>
        <v>0</v>
      </c>
      <c r="AB672" s="429" t="str">
        <f t="shared" si="198"/>
        <v xml:space="preserve"> </v>
      </c>
      <c r="AC672" s="424">
        <f t="shared" si="199"/>
        <v>4.8489369638194703E-3</v>
      </c>
      <c r="AD672" s="371">
        <f t="shared" si="200"/>
        <v>0</v>
      </c>
      <c r="AE672" s="748">
        <f t="shared" si="201"/>
        <v>0.99515106303618051</v>
      </c>
      <c r="AF672" s="417">
        <f t="shared" si="202"/>
        <v>0</v>
      </c>
      <c r="AG672" s="416">
        <f t="shared" si="203"/>
        <v>5</v>
      </c>
      <c r="AH672" s="372">
        <f t="shared" si="204"/>
        <v>1</v>
      </c>
      <c r="AI672" s="373">
        <f t="shared" si="205"/>
        <v>1600.8</v>
      </c>
      <c r="AJ672" s="418">
        <f>VLOOKUP(D672,'Standard Cycle time'!C:D,2,0)</f>
        <v>4</v>
      </c>
      <c r="AK672" s="418">
        <f t="shared" si="206"/>
        <v>4.497751124437781</v>
      </c>
      <c r="AL672" s="374">
        <f t="shared" si="207"/>
        <v>0.88933333333333331</v>
      </c>
      <c r="AM672" s="372">
        <f t="shared" si="208"/>
        <v>0.88502101206017647</v>
      </c>
      <c r="AN672" s="799" t="s">
        <v>3326</v>
      </c>
      <c r="AO672" s="448"/>
      <c r="AP672" s="440">
        <v>0</v>
      </c>
      <c r="AQ672" s="440">
        <v>0</v>
      </c>
      <c r="AR672" s="440">
        <v>0</v>
      </c>
      <c r="AS672" s="440">
        <v>0</v>
      </c>
      <c r="AT672" s="440">
        <v>0</v>
      </c>
      <c r="AU672" s="440">
        <v>0</v>
      </c>
      <c r="AV672" s="440">
        <v>0</v>
      </c>
      <c r="AW672" s="440">
        <v>0</v>
      </c>
      <c r="AX672" s="440">
        <v>0</v>
      </c>
      <c r="AY672" s="440">
        <v>0</v>
      </c>
      <c r="AZ672" s="440">
        <v>0</v>
      </c>
      <c r="BA672" s="440">
        <v>0</v>
      </c>
      <c r="BB672" s="440">
        <v>0</v>
      </c>
      <c r="BC672" s="440">
        <v>0</v>
      </c>
      <c r="BD672" s="440">
        <v>0</v>
      </c>
      <c r="BE672" s="440">
        <v>0</v>
      </c>
      <c r="BF672" s="440">
        <v>0</v>
      </c>
      <c r="BG672" s="440">
        <v>0</v>
      </c>
      <c r="BH672" s="440">
        <v>0</v>
      </c>
      <c r="BI672" s="440">
        <v>0</v>
      </c>
      <c r="BJ672" s="440">
        <v>0</v>
      </c>
      <c r="BK672" s="440">
        <v>0</v>
      </c>
      <c r="BL672" s="440">
        <v>0</v>
      </c>
      <c r="BM672" s="440">
        <v>0</v>
      </c>
      <c r="BN672" s="440">
        <v>0</v>
      </c>
      <c r="BO672" s="440">
        <v>0</v>
      </c>
      <c r="BP672" s="440">
        <v>0</v>
      </c>
      <c r="BQ672" s="440">
        <v>0</v>
      </c>
      <c r="BR672" s="415">
        <v>0</v>
      </c>
      <c r="BS672" s="415">
        <v>0</v>
      </c>
      <c r="BT672" s="935"/>
      <c r="BU672" s="935"/>
      <c r="BV672" s="935"/>
      <c r="BW672" s="935"/>
      <c r="BX672" s="935"/>
      <c r="BY672" s="935"/>
      <c r="BZ672" s="935"/>
      <c r="CA672" s="935"/>
      <c r="CB672" s="935"/>
      <c r="CC672" s="935"/>
      <c r="CD672" s="935"/>
      <c r="CE672" s="935"/>
      <c r="CF672" s="935"/>
      <c r="CG672" s="935"/>
      <c r="CH672" s="935"/>
      <c r="CI672" s="935"/>
      <c r="CJ672" s="935"/>
      <c r="CK672" s="935"/>
      <c r="CL672" s="935"/>
      <c r="CM672" s="935"/>
      <c r="CN672" s="935"/>
      <c r="CO672" s="935"/>
      <c r="CP672" s="935"/>
      <c r="CQ672" s="935"/>
      <c r="CR672" s="935"/>
      <c r="CS672" s="935"/>
      <c r="CT672" s="935"/>
      <c r="CU672" s="935"/>
      <c r="CV672" s="935"/>
    </row>
    <row r="673" spans="1:100" s="441" customFormat="1">
      <c r="A673" s="375">
        <f t="shared" si="194"/>
        <v>9</v>
      </c>
      <c r="B673" s="862">
        <v>44463</v>
      </c>
      <c r="C673" s="493" t="s">
        <v>2000</v>
      </c>
      <c r="D673" s="376" t="str">
        <f>IFERROR(VLOOKUP(E:E,'Item Data Support Sheet'!A:O,7,0),"")</f>
        <v>NIPPLE PUNCH INSPECTED</v>
      </c>
      <c r="E673" s="447" t="s">
        <v>1818</v>
      </c>
      <c r="F673" s="500"/>
      <c r="G673" s="497"/>
      <c r="H673" s="602" t="str">
        <f>IFERROR(VLOOKUP(E:E,'Item Data Support Sheet'!A:O,2,0),"")</f>
        <v>NIPPLE S TYPE S SIZE PUNCHED INSPECTED</v>
      </c>
      <c r="I673" s="501" t="s">
        <v>3327</v>
      </c>
      <c r="J673" s="501" t="s">
        <v>2811</v>
      </c>
      <c r="K673" s="438">
        <v>3</v>
      </c>
      <c r="L673" s="499">
        <v>6122</v>
      </c>
      <c r="M673" s="366">
        <f t="shared" si="209"/>
        <v>2040.6666666666667</v>
      </c>
      <c r="N673" s="367">
        <f t="shared" si="193"/>
        <v>5700</v>
      </c>
      <c r="O673" s="61">
        <v>5683</v>
      </c>
      <c r="P673" s="368">
        <v>0</v>
      </c>
      <c r="Q673" s="368">
        <v>0</v>
      </c>
      <c r="R673" s="494">
        <v>0</v>
      </c>
      <c r="S673" s="493">
        <v>0</v>
      </c>
      <c r="T673" s="494">
        <v>17</v>
      </c>
      <c r="U673" s="493">
        <v>0</v>
      </c>
      <c r="V673" s="502">
        <v>2</v>
      </c>
      <c r="W673" s="453">
        <f t="shared" si="195"/>
        <v>2841.5</v>
      </c>
      <c r="X673" s="748">
        <f t="shared" si="196"/>
        <v>0.92829140803658938</v>
      </c>
      <c r="Y673" s="451" t="str">
        <f>IFERROR(VLOOKUP(E:E,'Item Data Support Sheet'!A:J,6,0),0)</f>
        <v>FO104</v>
      </c>
      <c r="Z673" s="428">
        <f>IFERROR(VLOOKUP(E:E,'Item Data Support Sheet'!A:O,4,0),0)</f>
        <v>0</v>
      </c>
      <c r="AA673" s="428">
        <f t="shared" si="197"/>
        <v>0</v>
      </c>
      <c r="AB673" s="429" t="str">
        <f t="shared" si="198"/>
        <v xml:space="preserve"> </v>
      </c>
      <c r="AC673" s="424">
        <f t="shared" si="199"/>
        <v>2.9824561403508773E-3</v>
      </c>
      <c r="AD673" s="371">
        <f t="shared" si="200"/>
        <v>0</v>
      </c>
      <c r="AE673" s="748">
        <f t="shared" si="201"/>
        <v>0.99701754385964914</v>
      </c>
      <c r="AF673" s="417">
        <f t="shared" si="202"/>
        <v>0.83333333333333337</v>
      </c>
      <c r="AG673" s="416">
        <f t="shared" si="203"/>
        <v>2.1666666666666665</v>
      </c>
      <c r="AH673" s="372">
        <f t="shared" si="204"/>
        <v>0.72222222222222221</v>
      </c>
      <c r="AI673" s="373">
        <f t="shared" si="205"/>
        <v>1894.3333333333333</v>
      </c>
      <c r="AJ673" s="418">
        <f>VLOOKUP(D673,'Standard Cycle time'!C:D,2,0)</f>
        <v>4</v>
      </c>
      <c r="AK673" s="418">
        <f t="shared" si="206"/>
        <v>2.745029033960936</v>
      </c>
      <c r="AL673" s="374">
        <f t="shared" si="207"/>
        <v>1.4571794871794872</v>
      </c>
      <c r="AM673" s="372">
        <f t="shared" si="208"/>
        <v>1.0492686484730345</v>
      </c>
      <c r="AN673" s="799" t="s">
        <v>3328</v>
      </c>
      <c r="AO673" s="448"/>
      <c r="AP673" s="440">
        <v>50</v>
      </c>
      <c r="AQ673" s="440">
        <v>0</v>
      </c>
      <c r="AR673" s="440">
        <v>0</v>
      </c>
      <c r="AS673" s="440">
        <v>0</v>
      </c>
      <c r="AT673" s="440">
        <v>0</v>
      </c>
      <c r="AU673" s="440">
        <v>0</v>
      </c>
      <c r="AV673" s="440">
        <v>0</v>
      </c>
      <c r="AW673" s="440">
        <v>0</v>
      </c>
      <c r="AX673" s="440">
        <v>0</v>
      </c>
      <c r="AY673" s="440">
        <v>0</v>
      </c>
      <c r="AZ673" s="440">
        <v>0</v>
      </c>
      <c r="BA673" s="440">
        <v>0</v>
      </c>
      <c r="BB673" s="440">
        <v>0</v>
      </c>
      <c r="BC673" s="440">
        <v>0</v>
      </c>
      <c r="BD673" s="440">
        <v>0</v>
      </c>
      <c r="BE673" s="440">
        <v>0</v>
      </c>
      <c r="BF673" s="440">
        <v>0</v>
      </c>
      <c r="BG673" s="440">
        <v>0</v>
      </c>
      <c r="BH673" s="440">
        <v>0</v>
      </c>
      <c r="BI673" s="440">
        <v>0</v>
      </c>
      <c r="BJ673" s="440">
        <v>0</v>
      </c>
      <c r="BK673" s="440">
        <v>0</v>
      </c>
      <c r="BL673" s="440">
        <v>0</v>
      </c>
      <c r="BM673" s="440">
        <v>0</v>
      </c>
      <c r="BN673" s="440">
        <v>0</v>
      </c>
      <c r="BO673" s="440">
        <v>0</v>
      </c>
      <c r="BP673" s="440">
        <v>0</v>
      </c>
      <c r="BQ673" s="440">
        <v>0</v>
      </c>
      <c r="BR673" s="415">
        <v>0.83333333333333337</v>
      </c>
      <c r="BS673" s="415">
        <v>0.84722222222222221</v>
      </c>
      <c r="BT673" s="935"/>
      <c r="BU673" s="935"/>
      <c r="BV673" s="935"/>
      <c r="BW673" s="935"/>
      <c r="BX673" s="935"/>
      <c r="BY673" s="935"/>
      <c r="BZ673" s="935"/>
      <c r="CA673" s="935"/>
      <c r="CB673" s="935"/>
      <c r="CC673" s="935"/>
      <c r="CD673" s="935"/>
      <c r="CE673" s="935"/>
      <c r="CF673" s="935"/>
      <c r="CG673" s="935"/>
      <c r="CH673" s="935"/>
      <c r="CI673" s="935"/>
      <c r="CJ673" s="935"/>
      <c r="CK673" s="935"/>
      <c r="CL673" s="935"/>
      <c r="CM673" s="935"/>
      <c r="CN673" s="935"/>
      <c r="CO673" s="935"/>
      <c r="CP673" s="935"/>
      <c r="CQ673" s="935"/>
      <c r="CR673" s="935"/>
      <c r="CS673" s="935"/>
      <c r="CT673" s="935"/>
      <c r="CU673" s="935"/>
      <c r="CV673" s="935"/>
    </row>
    <row r="674" spans="1:100" s="441" customFormat="1">
      <c r="A674" s="375">
        <f t="shared" si="194"/>
        <v>9</v>
      </c>
      <c r="B674" s="862">
        <v>44463</v>
      </c>
      <c r="C674" s="493" t="s">
        <v>2000</v>
      </c>
      <c r="D674" s="376" t="str">
        <f>IFERROR(VLOOKUP(E:E,'Item Data Support Sheet'!A:O,7,0),"")</f>
        <v>NIPPLE WRAP PRINTED</v>
      </c>
      <c r="E674" s="447" t="s">
        <v>110</v>
      </c>
      <c r="F674" s="500"/>
      <c r="G674" s="497"/>
      <c r="H674" s="602" t="str">
        <f>IFERROR(VLOOKUP(E:E,'Item Data Support Sheet'!A:O,2,0),"")</f>
        <v>NIPPLE S TYPE L SIZE WITH PRINTED WRAP</v>
      </c>
      <c r="I674" s="501" t="s">
        <v>3147</v>
      </c>
      <c r="J674" s="501" t="s">
        <v>2811</v>
      </c>
      <c r="K674" s="438">
        <v>8</v>
      </c>
      <c r="L674" s="499">
        <v>16132</v>
      </c>
      <c r="M674" s="366">
        <f t="shared" si="209"/>
        <v>2016.5</v>
      </c>
      <c r="N674" s="367">
        <f t="shared" si="193"/>
        <v>15184</v>
      </c>
      <c r="O674" s="61">
        <v>15182</v>
      </c>
      <c r="P674" s="368">
        <v>0</v>
      </c>
      <c r="Q674" s="368">
        <v>0</v>
      </c>
      <c r="R674" s="494">
        <v>0</v>
      </c>
      <c r="S674" s="493">
        <v>0</v>
      </c>
      <c r="T674" s="494">
        <v>2</v>
      </c>
      <c r="U674" s="493">
        <v>0</v>
      </c>
      <c r="V674" s="502">
        <v>2</v>
      </c>
      <c r="W674" s="453">
        <f t="shared" si="195"/>
        <v>7591</v>
      </c>
      <c r="X674" s="748">
        <f t="shared" si="196"/>
        <v>0.94111083560624842</v>
      </c>
      <c r="Y674" s="451" t="str">
        <f>IFERROR(VLOOKUP(E:E,'Item Data Support Sheet'!A:J,6,0),0)</f>
        <v>FO021</v>
      </c>
      <c r="Z674" s="428">
        <f>IFERROR(VLOOKUP(E:E,'Item Data Support Sheet'!A:O,4,0),0)</f>
        <v>0</v>
      </c>
      <c r="AA674" s="428">
        <f t="shared" si="197"/>
        <v>0</v>
      </c>
      <c r="AB674" s="429" t="str">
        <f t="shared" si="198"/>
        <v xml:space="preserve"> </v>
      </c>
      <c r="AC674" s="424">
        <f t="shared" si="199"/>
        <v>1.3171759747102212E-4</v>
      </c>
      <c r="AD674" s="371">
        <f t="shared" si="200"/>
        <v>0</v>
      </c>
      <c r="AE674" s="748">
        <f t="shared" si="201"/>
        <v>0.99986828240252901</v>
      </c>
      <c r="AF674" s="417">
        <f t="shared" si="202"/>
        <v>0.83333333333333337</v>
      </c>
      <c r="AG674" s="416">
        <f t="shared" si="203"/>
        <v>7.166666666666667</v>
      </c>
      <c r="AH674" s="372">
        <f t="shared" si="204"/>
        <v>0.89583333333333337</v>
      </c>
      <c r="AI674" s="373">
        <f t="shared" si="205"/>
        <v>1897.75</v>
      </c>
      <c r="AJ674" s="418">
        <f>VLOOKUP(D674,'Standard Cycle time'!C:D,2,0)</f>
        <v>2.5</v>
      </c>
      <c r="AK674" s="418">
        <f t="shared" si="206"/>
        <v>3.3987616914767487</v>
      </c>
      <c r="AL674" s="374">
        <f t="shared" si="207"/>
        <v>0.73556201550387601</v>
      </c>
      <c r="AM674" s="372">
        <f t="shared" si="208"/>
        <v>0.65885417810048597</v>
      </c>
      <c r="AN674" s="799" t="s">
        <v>3329</v>
      </c>
      <c r="AO674" s="448"/>
      <c r="AP674" s="440">
        <v>50</v>
      </c>
      <c r="AQ674" s="440">
        <v>0</v>
      </c>
      <c r="AR674" s="440">
        <v>0</v>
      </c>
      <c r="AS674" s="440">
        <v>0</v>
      </c>
      <c r="AT674" s="440">
        <v>0</v>
      </c>
      <c r="AU674" s="440">
        <v>0</v>
      </c>
      <c r="AV674" s="440">
        <v>0</v>
      </c>
      <c r="AW674" s="440">
        <v>0</v>
      </c>
      <c r="AX674" s="440">
        <v>0</v>
      </c>
      <c r="AY674" s="440">
        <v>0</v>
      </c>
      <c r="AZ674" s="440">
        <v>0</v>
      </c>
      <c r="BA674" s="440">
        <v>0</v>
      </c>
      <c r="BB674" s="440">
        <v>0</v>
      </c>
      <c r="BC674" s="440">
        <v>0</v>
      </c>
      <c r="BD674" s="440">
        <v>0</v>
      </c>
      <c r="BE674" s="440">
        <v>0</v>
      </c>
      <c r="BF674" s="440">
        <v>0</v>
      </c>
      <c r="BG674" s="440">
        <v>0</v>
      </c>
      <c r="BH674" s="440">
        <v>0</v>
      </c>
      <c r="BI674" s="440">
        <v>0</v>
      </c>
      <c r="BJ674" s="440">
        <v>0</v>
      </c>
      <c r="BK674" s="440">
        <v>0</v>
      </c>
      <c r="BL674" s="440">
        <v>0</v>
      </c>
      <c r="BM674" s="440">
        <v>0</v>
      </c>
      <c r="BN674" s="440">
        <v>0</v>
      </c>
      <c r="BO674" s="440">
        <v>0</v>
      </c>
      <c r="BP674" s="440">
        <v>0</v>
      </c>
      <c r="BQ674" s="440">
        <v>0</v>
      </c>
      <c r="BR674" s="415">
        <v>0.83333333333333337</v>
      </c>
      <c r="BS674" s="415">
        <v>0.84722222222222221</v>
      </c>
      <c r="BT674" s="935"/>
      <c r="BU674" s="935"/>
      <c r="BV674" s="935"/>
      <c r="BW674" s="935"/>
      <c r="BX674" s="935"/>
      <c r="BY674" s="935"/>
      <c r="BZ674" s="935"/>
      <c r="CA674" s="935"/>
      <c r="CB674" s="935"/>
      <c r="CC674" s="935"/>
      <c r="CD674" s="935"/>
      <c r="CE674" s="935"/>
      <c r="CF674" s="935"/>
      <c r="CG674" s="935"/>
      <c r="CH674" s="935"/>
      <c r="CI674" s="935"/>
      <c r="CJ674" s="935"/>
      <c r="CK674" s="935"/>
      <c r="CL674" s="935"/>
      <c r="CM674" s="935"/>
      <c r="CN674" s="935"/>
      <c r="CO674" s="935"/>
      <c r="CP674" s="935"/>
      <c r="CQ674" s="935"/>
      <c r="CR674" s="935"/>
      <c r="CS674" s="935"/>
      <c r="CT674" s="935"/>
      <c r="CU674" s="935"/>
      <c r="CV674" s="935"/>
    </row>
    <row r="675" spans="1:100" s="441" customFormat="1">
      <c r="A675" s="375">
        <f t="shared" si="194"/>
        <v>9</v>
      </c>
      <c r="B675" s="862">
        <v>44463</v>
      </c>
      <c r="C675" s="493" t="s">
        <v>2001</v>
      </c>
      <c r="D675" s="376" t="str">
        <f>IFERROR(VLOOKUP(E:E,'Item Data Support Sheet'!A:O,7,0),"")</f>
        <v>NIPPLE MOLDED</v>
      </c>
      <c r="E675" s="447" t="s">
        <v>72</v>
      </c>
      <c r="F675" s="500" t="s">
        <v>1678</v>
      </c>
      <c r="G675" s="497" t="s">
        <v>1691</v>
      </c>
      <c r="H675" s="602" t="str">
        <f>IFERROR(VLOOKUP(E:E,'Item Data Support Sheet'!A:O,2,0),"")</f>
        <v>NIPPLE S TYPE S SIZE INJECTION</v>
      </c>
      <c r="I675" s="501" t="s">
        <v>3330</v>
      </c>
      <c r="J675" s="501" t="s">
        <v>2811</v>
      </c>
      <c r="K675" s="438">
        <v>8</v>
      </c>
      <c r="L675" s="499">
        <v>4815</v>
      </c>
      <c r="M675" s="366">
        <f t="shared" si="209"/>
        <v>601.875</v>
      </c>
      <c r="N675" s="367">
        <f t="shared" si="193"/>
        <v>5110</v>
      </c>
      <c r="O675" s="61">
        <v>5000</v>
      </c>
      <c r="P675" s="368">
        <v>0</v>
      </c>
      <c r="Q675" s="368">
        <v>50</v>
      </c>
      <c r="R675" s="494">
        <v>0</v>
      </c>
      <c r="S675" s="493">
        <v>0</v>
      </c>
      <c r="T675" s="494">
        <v>60</v>
      </c>
      <c r="U675" s="493">
        <v>0</v>
      </c>
      <c r="V675" s="502">
        <v>1</v>
      </c>
      <c r="W675" s="453">
        <f t="shared" si="195"/>
        <v>5000</v>
      </c>
      <c r="X675" s="748">
        <f t="shared" si="196"/>
        <v>1.0384215991692627</v>
      </c>
      <c r="Y675" s="451" t="str">
        <f>IFERROR(VLOOKUP(E:E,'Item Data Support Sheet'!A:J,6,0),0)</f>
        <v>Silicon</v>
      </c>
      <c r="Z675" s="428">
        <f>IFERROR(VLOOKUP(E:E,'Item Data Support Sheet'!A:O,4,0),0)</f>
        <v>6.8</v>
      </c>
      <c r="AA675" s="428">
        <f t="shared" si="197"/>
        <v>34.747999999999998</v>
      </c>
      <c r="AB675" s="429">
        <f t="shared" si="198"/>
        <v>0.9784735812133073</v>
      </c>
      <c r="AC675" s="424">
        <f t="shared" si="199"/>
        <v>1.1857707509881422E-2</v>
      </c>
      <c r="AD675" s="371">
        <f t="shared" si="200"/>
        <v>9.6899224806201549E-3</v>
      </c>
      <c r="AE675" s="748">
        <f t="shared" si="201"/>
        <v>0.98825831702544031</v>
      </c>
      <c r="AF675" s="417">
        <f t="shared" si="202"/>
        <v>0</v>
      </c>
      <c r="AG675" s="416">
        <f t="shared" si="203"/>
        <v>8</v>
      </c>
      <c r="AH675" s="372">
        <f t="shared" si="204"/>
        <v>1</v>
      </c>
      <c r="AI675" s="373">
        <f t="shared" si="205"/>
        <v>625</v>
      </c>
      <c r="AJ675" s="418">
        <f>VLOOKUP(D675,'Standard Cycle time'!C:D,2,0)</f>
        <v>5.25</v>
      </c>
      <c r="AK675" s="418">
        <f t="shared" si="206"/>
        <v>5.76</v>
      </c>
      <c r="AL675" s="374">
        <f t="shared" si="207"/>
        <v>0.91145833333333337</v>
      </c>
      <c r="AM675" s="372">
        <f t="shared" si="208"/>
        <v>0.90075627853881279</v>
      </c>
      <c r="AN675" s="799">
        <v>3555</v>
      </c>
      <c r="AO675" s="448"/>
      <c r="AP675" s="440">
        <v>0</v>
      </c>
      <c r="AQ675" s="440">
        <v>0</v>
      </c>
      <c r="AR675" s="440">
        <v>0</v>
      </c>
      <c r="AS675" s="440">
        <v>0</v>
      </c>
      <c r="AT675" s="440">
        <v>0</v>
      </c>
      <c r="AU675" s="440">
        <v>0</v>
      </c>
      <c r="AV675" s="440">
        <v>0</v>
      </c>
      <c r="AW675" s="440">
        <v>0</v>
      </c>
      <c r="AX675" s="440">
        <v>0</v>
      </c>
      <c r="AY675" s="440">
        <v>0</v>
      </c>
      <c r="AZ675" s="440">
        <v>0</v>
      </c>
      <c r="BA675" s="440">
        <v>0</v>
      </c>
      <c r="BB675" s="440">
        <v>0</v>
      </c>
      <c r="BC675" s="440">
        <v>0</v>
      </c>
      <c r="BD675" s="440">
        <v>0</v>
      </c>
      <c r="BE675" s="440">
        <v>0</v>
      </c>
      <c r="BF675" s="440">
        <v>0</v>
      </c>
      <c r="BG675" s="440">
        <v>0</v>
      </c>
      <c r="BH675" s="440">
        <v>0</v>
      </c>
      <c r="BI675" s="440">
        <v>0</v>
      </c>
      <c r="BJ675" s="440">
        <v>0</v>
      </c>
      <c r="BK675" s="440">
        <v>0</v>
      </c>
      <c r="BL675" s="440">
        <v>0</v>
      </c>
      <c r="BM675" s="440">
        <v>0</v>
      </c>
      <c r="BN675" s="440">
        <v>0</v>
      </c>
      <c r="BO675" s="440">
        <v>0</v>
      </c>
      <c r="BP675" s="440">
        <v>0</v>
      </c>
      <c r="BQ675" s="440">
        <v>0</v>
      </c>
      <c r="BR675" s="415">
        <v>0</v>
      </c>
      <c r="BS675" s="415">
        <v>0</v>
      </c>
      <c r="BT675" s="935"/>
      <c r="BU675" s="935"/>
      <c r="BV675" s="935"/>
      <c r="BW675" s="935"/>
      <c r="BX675" s="935"/>
      <c r="BY675" s="935"/>
      <c r="BZ675" s="935"/>
      <c r="CA675" s="935"/>
      <c r="CB675" s="935"/>
      <c r="CC675" s="935"/>
      <c r="CD675" s="935"/>
      <c r="CE675" s="935"/>
      <c r="CF675" s="935"/>
      <c r="CG675" s="935"/>
      <c r="CH675" s="935"/>
      <c r="CI675" s="935"/>
      <c r="CJ675" s="935"/>
      <c r="CK675" s="935"/>
      <c r="CL675" s="935"/>
      <c r="CM675" s="935"/>
      <c r="CN675" s="935"/>
      <c r="CO675" s="935"/>
      <c r="CP675" s="935"/>
      <c r="CQ675" s="935"/>
      <c r="CR675" s="935"/>
      <c r="CS675" s="935"/>
      <c r="CT675" s="935"/>
      <c r="CU675" s="935"/>
      <c r="CV675" s="935"/>
    </row>
    <row r="676" spans="1:100" s="441" customFormat="1">
      <c r="A676" s="375">
        <f t="shared" si="194"/>
        <v>9</v>
      </c>
      <c r="B676" s="862">
        <v>44463</v>
      </c>
      <c r="C676" s="493" t="s">
        <v>2001</v>
      </c>
      <c r="D676" s="376" t="str">
        <f>IFERROR(VLOOKUP(E:E,'Item Data Support Sheet'!A:O,7,0),"")</f>
        <v>BOTTLE MOLDED</v>
      </c>
      <c r="E676" s="447" t="s">
        <v>68</v>
      </c>
      <c r="F676" s="500" t="s">
        <v>1664</v>
      </c>
      <c r="G676" s="497" t="s">
        <v>1665</v>
      </c>
      <c r="H676" s="602" t="str">
        <f>IFERROR(VLOOKUP(E:E,'Item Data Support Sheet'!A:O,2,0),"")</f>
        <v>RPP 240 ML BOTTLE MOLDED</v>
      </c>
      <c r="I676" s="501" t="s">
        <v>3331</v>
      </c>
      <c r="J676" s="501" t="s">
        <v>2811</v>
      </c>
      <c r="K676" s="438">
        <v>8</v>
      </c>
      <c r="L676" s="499">
        <v>2574</v>
      </c>
      <c r="M676" s="366">
        <f t="shared" si="209"/>
        <v>321.75</v>
      </c>
      <c r="N676" s="367">
        <f t="shared" si="193"/>
        <v>2739</v>
      </c>
      <c r="O676" s="61">
        <v>2640</v>
      </c>
      <c r="P676" s="368">
        <v>0</v>
      </c>
      <c r="Q676" s="368">
        <v>37</v>
      </c>
      <c r="R676" s="494">
        <v>0</v>
      </c>
      <c r="S676" s="493">
        <v>0</v>
      </c>
      <c r="T676" s="494">
        <v>62</v>
      </c>
      <c r="U676" s="493">
        <v>0</v>
      </c>
      <c r="V676" s="502">
        <v>1</v>
      </c>
      <c r="W676" s="453">
        <f t="shared" si="195"/>
        <v>2640</v>
      </c>
      <c r="X676" s="748">
        <f t="shared" si="196"/>
        <v>1.0256410256410255</v>
      </c>
      <c r="Y676" s="451" t="str">
        <f>IFERROR(VLOOKUP(E:E,'Item Data Support Sheet'!A:J,6,0),0)</f>
        <v>HMC</v>
      </c>
      <c r="Z676" s="428">
        <f>IFERROR(VLOOKUP(E:E,'Item Data Support Sheet'!A:O,4,0),0)</f>
        <v>32.1</v>
      </c>
      <c r="AA676" s="428">
        <f t="shared" si="197"/>
        <v>87.921900000000008</v>
      </c>
      <c r="AB676" s="429">
        <f t="shared" si="198"/>
        <v>0.96385542168674709</v>
      </c>
      <c r="AC676" s="424">
        <f t="shared" si="199"/>
        <v>2.2945965951147299E-2</v>
      </c>
      <c r="AD676" s="371">
        <f t="shared" si="200"/>
        <v>1.3328530259365994E-2</v>
      </c>
      <c r="AE676" s="748">
        <f t="shared" si="201"/>
        <v>0.97736400146038704</v>
      </c>
      <c r="AF676" s="417">
        <f t="shared" si="202"/>
        <v>0</v>
      </c>
      <c r="AG676" s="416">
        <f t="shared" si="203"/>
        <v>8</v>
      </c>
      <c r="AH676" s="372">
        <f t="shared" si="204"/>
        <v>1</v>
      </c>
      <c r="AI676" s="373">
        <f t="shared" si="205"/>
        <v>330</v>
      </c>
      <c r="AJ676" s="418">
        <f>VLOOKUP(D676,'Standard Cycle time'!C:D,2,0)</f>
        <v>9</v>
      </c>
      <c r="AK676" s="418">
        <f t="shared" si="206"/>
        <v>10.909090909090908</v>
      </c>
      <c r="AL676" s="374">
        <f t="shared" si="207"/>
        <v>0.82500000000000007</v>
      </c>
      <c r="AM676" s="372">
        <f t="shared" si="208"/>
        <v>0.80632530120481938</v>
      </c>
      <c r="AN676" s="799">
        <v>3691</v>
      </c>
      <c r="AO676" s="448"/>
      <c r="AP676" s="440">
        <v>0</v>
      </c>
      <c r="AQ676" s="440">
        <v>0</v>
      </c>
      <c r="AR676" s="440">
        <v>0</v>
      </c>
      <c r="AS676" s="440">
        <v>0</v>
      </c>
      <c r="AT676" s="440">
        <v>0</v>
      </c>
      <c r="AU676" s="440">
        <v>0</v>
      </c>
      <c r="AV676" s="440">
        <v>0</v>
      </c>
      <c r="AW676" s="440">
        <v>0</v>
      </c>
      <c r="AX676" s="440">
        <v>0</v>
      </c>
      <c r="AY676" s="440">
        <v>0</v>
      </c>
      <c r="AZ676" s="440">
        <v>0</v>
      </c>
      <c r="BA676" s="440">
        <v>0</v>
      </c>
      <c r="BB676" s="440">
        <v>0</v>
      </c>
      <c r="BC676" s="440">
        <v>0</v>
      </c>
      <c r="BD676" s="440">
        <v>0</v>
      </c>
      <c r="BE676" s="440">
        <v>0</v>
      </c>
      <c r="BF676" s="440">
        <v>0</v>
      </c>
      <c r="BG676" s="440">
        <v>0</v>
      </c>
      <c r="BH676" s="440">
        <v>0</v>
      </c>
      <c r="BI676" s="440">
        <v>0</v>
      </c>
      <c r="BJ676" s="440">
        <v>0</v>
      </c>
      <c r="BK676" s="440">
        <v>0</v>
      </c>
      <c r="BL676" s="440">
        <v>0</v>
      </c>
      <c r="BM676" s="440">
        <v>0</v>
      </c>
      <c r="BN676" s="440">
        <v>0</v>
      </c>
      <c r="BO676" s="440">
        <v>0</v>
      </c>
      <c r="BP676" s="440">
        <v>0</v>
      </c>
      <c r="BQ676" s="440">
        <v>0</v>
      </c>
      <c r="BR676" s="415">
        <v>0</v>
      </c>
      <c r="BS676" s="415">
        <v>0</v>
      </c>
      <c r="BT676" s="935"/>
      <c r="BU676" s="935"/>
      <c r="BV676" s="935"/>
      <c r="BW676" s="935"/>
      <c r="BX676" s="935"/>
      <c r="BY676" s="935"/>
      <c r="BZ676" s="935"/>
      <c r="CA676" s="935"/>
      <c r="CB676" s="935"/>
      <c r="CC676" s="935"/>
      <c r="CD676" s="935"/>
      <c r="CE676" s="935"/>
      <c r="CF676" s="935"/>
      <c r="CG676" s="935"/>
      <c r="CH676" s="935"/>
      <c r="CI676" s="935"/>
      <c r="CJ676" s="935"/>
      <c r="CK676" s="935"/>
      <c r="CL676" s="935"/>
      <c r="CM676" s="935"/>
      <c r="CN676" s="935"/>
      <c r="CO676" s="935"/>
      <c r="CP676" s="935"/>
      <c r="CQ676" s="935"/>
      <c r="CR676" s="935"/>
      <c r="CS676" s="935"/>
      <c r="CT676" s="935"/>
      <c r="CU676" s="935"/>
      <c r="CV676" s="935"/>
    </row>
    <row r="677" spans="1:100" s="441" customFormat="1">
      <c r="A677" s="375">
        <f t="shared" si="194"/>
        <v>9</v>
      </c>
      <c r="B677" s="862">
        <v>44463</v>
      </c>
      <c r="C677" s="493" t="s">
        <v>2001</v>
      </c>
      <c r="D677" s="376" t="str">
        <f>IFERROR(VLOOKUP(E:E,'Item Data Support Sheet'!A:O,7,0),"")</f>
        <v>NIPPLE PUNCH</v>
      </c>
      <c r="E677" s="447" t="s">
        <v>80</v>
      </c>
      <c r="F677" s="500"/>
      <c r="G677" s="497"/>
      <c r="H677" s="602" t="str">
        <f>IFERROR(VLOOKUP(E:E,'Item Data Support Sheet'!A:O,2,0),"")</f>
        <v>NIPPLE S TYPE S SIZE PUNCHED</v>
      </c>
      <c r="I677" s="501" t="s">
        <v>3332</v>
      </c>
      <c r="J677" s="501" t="s">
        <v>2811</v>
      </c>
      <c r="K677" s="438">
        <v>8</v>
      </c>
      <c r="L677" s="499">
        <v>7000</v>
      </c>
      <c r="M677" s="366">
        <f t="shared" si="209"/>
        <v>875</v>
      </c>
      <c r="N677" s="367">
        <f t="shared" si="193"/>
        <v>7300</v>
      </c>
      <c r="O677" s="61">
        <v>7300</v>
      </c>
      <c r="P677" s="368">
        <v>0</v>
      </c>
      <c r="Q677" s="368">
        <v>0</v>
      </c>
      <c r="R677" s="494">
        <v>0</v>
      </c>
      <c r="S677" s="493">
        <v>0</v>
      </c>
      <c r="T677" s="494">
        <v>0</v>
      </c>
      <c r="U677" s="493">
        <v>0</v>
      </c>
      <c r="V677" s="502">
        <v>1</v>
      </c>
      <c r="W677" s="453">
        <f t="shared" si="195"/>
        <v>7300</v>
      </c>
      <c r="X677" s="748">
        <f t="shared" si="196"/>
        <v>1.0428571428571429</v>
      </c>
      <c r="Y677" s="451" t="str">
        <f>IFERROR(VLOOKUP(E:E,'Item Data Support Sheet'!A:J,6,0),0)</f>
        <v>FO015</v>
      </c>
      <c r="Z677" s="428">
        <f>IFERROR(VLOOKUP(E:E,'Item Data Support Sheet'!A:O,4,0),0)</f>
        <v>0</v>
      </c>
      <c r="AA677" s="428">
        <f t="shared" si="197"/>
        <v>0</v>
      </c>
      <c r="AB677" s="429" t="str">
        <f t="shared" si="198"/>
        <v xml:space="preserve"> </v>
      </c>
      <c r="AC677" s="424">
        <f t="shared" si="199"/>
        <v>0</v>
      </c>
      <c r="AD677" s="371">
        <f t="shared" si="200"/>
        <v>0</v>
      </c>
      <c r="AE677" s="748">
        <f t="shared" si="201"/>
        <v>1</v>
      </c>
      <c r="AF677" s="417">
        <f t="shared" si="202"/>
        <v>0</v>
      </c>
      <c r="AG677" s="416">
        <f t="shared" si="203"/>
        <v>8</v>
      </c>
      <c r="AH677" s="372">
        <f t="shared" si="204"/>
        <v>1</v>
      </c>
      <c r="AI677" s="373">
        <f t="shared" si="205"/>
        <v>912.5</v>
      </c>
      <c r="AJ677" s="418">
        <f>VLOOKUP(D677,'Standard Cycle time'!C:D,2,0)</f>
        <v>3.5</v>
      </c>
      <c r="AK677" s="418">
        <f t="shared" si="206"/>
        <v>3.9452054794520546</v>
      </c>
      <c r="AL677" s="374">
        <f t="shared" si="207"/>
        <v>0.88715277777777779</v>
      </c>
      <c r="AM677" s="372">
        <f t="shared" si="208"/>
        <v>0.88715277777777779</v>
      </c>
      <c r="AN677" s="799" t="s">
        <v>3333</v>
      </c>
      <c r="AO677" s="448"/>
      <c r="AP677" s="440">
        <v>0</v>
      </c>
      <c r="AQ677" s="440">
        <v>0</v>
      </c>
      <c r="AR677" s="440">
        <v>0</v>
      </c>
      <c r="AS677" s="440">
        <v>0</v>
      </c>
      <c r="AT677" s="440">
        <v>0</v>
      </c>
      <c r="AU677" s="440">
        <v>0</v>
      </c>
      <c r="AV677" s="440">
        <v>0</v>
      </c>
      <c r="AW677" s="440">
        <v>0</v>
      </c>
      <c r="AX677" s="440">
        <v>0</v>
      </c>
      <c r="AY677" s="440">
        <v>0</v>
      </c>
      <c r="AZ677" s="440">
        <v>0</v>
      </c>
      <c r="BA677" s="440">
        <v>0</v>
      </c>
      <c r="BB677" s="440">
        <v>0</v>
      </c>
      <c r="BC677" s="440">
        <v>0</v>
      </c>
      <c r="BD677" s="440">
        <v>0</v>
      </c>
      <c r="BE677" s="440">
        <v>0</v>
      </c>
      <c r="BF677" s="440">
        <v>0</v>
      </c>
      <c r="BG677" s="440">
        <v>0</v>
      </c>
      <c r="BH677" s="440">
        <v>0</v>
      </c>
      <c r="BI677" s="440">
        <v>0</v>
      </c>
      <c r="BJ677" s="440">
        <v>0</v>
      </c>
      <c r="BK677" s="440">
        <v>0</v>
      </c>
      <c r="BL677" s="440">
        <v>0</v>
      </c>
      <c r="BM677" s="440">
        <v>0</v>
      </c>
      <c r="BN677" s="440">
        <v>0</v>
      </c>
      <c r="BO677" s="440">
        <v>0</v>
      </c>
      <c r="BP677" s="440">
        <v>0</v>
      </c>
      <c r="BQ677" s="440">
        <v>0</v>
      </c>
      <c r="BR677" s="415">
        <v>0</v>
      </c>
      <c r="BS677" s="415">
        <v>0</v>
      </c>
      <c r="BT677" s="935"/>
      <c r="BU677" s="935"/>
      <c r="BV677" s="935"/>
      <c r="BW677" s="935"/>
      <c r="BX677" s="935"/>
      <c r="BY677" s="935"/>
      <c r="BZ677" s="935"/>
      <c r="CA677" s="935"/>
      <c r="CB677" s="935"/>
      <c r="CC677" s="935"/>
      <c r="CD677" s="935"/>
      <c r="CE677" s="935"/>
      <c r="CF677" s="935"/>
      <c r="CG677" s="935"/>
      <c r="CH677" s="935"/>
      <c r="CI677" s="935"/>
      <c r="CJ677" s="935"/>
      <c r="CK677" s="935"/>
      <c r="CL677" s="935"/>
      <c r="CM677" s="935"/>
      <c r="CN677" s="935"/>
      <c r="CO677" s="935"/>
      <c r="CP677" s="935"/>
      <c r="CQ677" s="935"/>
      <c r="CR677" s="935"/>
      <c r="CS677" s="935"/>
      <c r="CT677" s="935"/>
      <c r="CU677" s="935"/>
      <c r="CV677" s="935"/>
    </row>
    <row r="678" spans="1:100" s="441" customFormat="1">
      <c r="A678" s="375">
        <f t="shared" si="194"/>
        <v>9</v>
      </c>
      <c r="B678" s="862">
        <v>44463</v>
      </c>
      <c r="C678" s="493" t="s">
        <v>2001</v>
      </c>
      <c r="D678" s="376" t="str">
        <f>IFERROR(VLOOKUP(E:E,'Item Data Support Sheet'!A:O,7,0),"")</f>
        <v>NIPPLE LASER MARKING</v>
      </c>
      <c r="E678" s="447" t="s">
        <v>1814</v>
      </c>
      <c r="F678" s="500"/>
      <c r="G678" s="497"/>
      <c r="H678" s="602" t="str">
        <f>IFERROR(VLOOKUP(E:E,'Item Data Support Sheet'!A:O,2,0),"")</f>
        <v>NIPPLE S TYPE S SIZE PUNCHED LASER MARKED</v>
      </c>
      <c r="I678" s="501"/>
      <c r="J678" s="501" t="s">
        <v>2811</v>
      </c>
      <c r="K678" s="438">
        <v>8</v>
      </c>
      <c r="L678" s="499">
        <v>7000</v>
      </c>
      <c r="M678" s="366">
        <f t="shared" si="209"/>
        <v>875</v>
      </c>
      <c r="N678" s="367">
        <f t="shared" si="193"/>
        <v>7300</v>
      </c>
      <c r="O678" s="61">
        <v>7300</v>
      </c>
      <c r="P678" s="368">
        <v>0</v>
      </c>
      <c r="Q678" s="368">
        <v>0</v>
      </c>
      <c r="R678" s="494">
        <v>0</v>
      </c>
      <c r="S678" s="493">
        <v>0</v>
      </c>
      <c r="T678" s="494">
        <v>0</v>
      </c>
      <c r="U678" s="493">
        <v>0</v>
      </c>
      <c r="V678" s="502">
        <v>1</v>
      </c>
      <c r="W678" s="453">
        <f t="shared" si="195"/>
        <v>7300</v>
      </c>
      <c r="X678" s="748">
        <f t="shared" si="196"/>
        <v>1.0428571428571429</v>
      </c>
      <c r="Y678" s="451" t="str">
        <f>IFERROR(VLOOKUP(E:E,'Item Data Support Sheet'!A:J,6,0),0)</f>
        <v>FO019</v>
      </c>
      <c r="Z678" s="428">
        <f>IFERROR(VLOOKUP(E:E,'Item Data Support Sheet'!A:O,4,0),0)</f>
        <v>0</v>
      </c>
      <c r="AA678" s="428">
        <f t="shared" si="197"/>
        <v>0</v>
      </c>
      <c r="AB678" s="429" t="str">
        <f t="shared" si="198"/>
        <v xml:space="preserve"> </v>
      </c>
      <c r="AC678" s="424">
        <f t="shared" si="199"/>
        <v>0</v>
      </c>
      <c r="AD678" s="371">
        <f t="shared" si="200"/>
        <v>0</v>
      </c>
      <c r="AE678" s="748">
        <f t="shared" si="201"/>
        <v>1</v>
      </c>
      <c r="AF678" s="417">
        <f t="shared" si="202"/>
        <v>0</v>
      </c>
      <c r="AG678" s="416">
        <f t="shared" si="203"/>
        <v>8</v>
      </c>
      <c r="AH678" s="372">
        <f t="shared" si="204"/>
        <v>1</v>
      </c>
      <c r="AI678" s="373">
        <f t="shared" si="205"/>
        <v>912.5</v>
      </c>
      <c r="AJ678" s="418">
        <f>VLOOKUP(D678,'Standard Cycle time'!C:D,2,0)</f>
        <v>3.5</v>
      </c>
      <c r="AK678" s="418">
        <f t="shared" si="206"/>
        <v>3.9452054794520546</v>
      </c>
      <c r="AL678" s="374">
        <f t="shared" si="207"/>
        <v>0.88715277777777779</v>
      </c>
      <c r="AM678" s="372">
        <f t="shared" si="208"/>
        <v>0.88715277777777779</v>
      </c>
      <c r="AN678" s="799" t="s">
        <v>3334</v>
      </c>
      <c r="AO678" s="448"/>
      <c r="AP678" s="440"/>
      <c r="AQ678" s="440">
        <v>0</v>
      </c>
      <c r="AR678" s="440">
        <v>0</v>
      </c>
      <c r="AS678" s="440">
        <v>0</v>
      </c>
      <c r="AT678" s="440">
        <v>0</v>
      </c>
      <c r="AU678" s="440">
        <v>0</v>
      </c>
      <c r="AV678" s="440">
        <v>0</v>
      </c>
      <c r="AW678" s="440">
        <v>0</v>
      </c>
      <c r="AX678" s="440">
        <v>0</v>
      </c>
      <c r="AY678" s="440">
        <v>0</v>
      </c>
      <c r="AZ678" s="440">
        <v>0</v>
      </c>
      <c r="BA678" s="440">
        <v>0</v>
      </c>
      <c r="BB678" s="440">
        <v>0</v>
      </c>
      <c r="BC678" s="440">
        <v>0</v>
      </c>
      <c r="BD678" s="440">
        <v>0</v>
      </c>
      <c r="BE678" s="440">
        <v>0</v>
      </c>
      <c r="BF678" s="440">
        <v>0</v>
      </c>
      <c r="BG678" s="440">
        <v>0</v>
      </c>
      <c r="BH678" s="440">
        <v>0</v>
      </c>
      <c r="BI678" s="440">
        <v>0</v>
      </c>
      <c r="BJ678" s="440">
        <v>0</v>
      </c>
      <c r="BK678" s="440">
        <v>0</v>
      </c>
      <c r="BL678" s="440">
        <v>0</v>
      </c>
      <c r="BM678" s="440">
        <v>0</v>
      </c>
      <c r="BN678" s="440">
        <v>0</v>
      </c>
      <c r="BO678" s="440">
        <v>0</v>
      </c>
      <c r="BP678" s="440">
        <v>0</v>
      </c>
      <c r="BQ678" s="440">
        <v>0</v>
      </c>
      <c r="BR678" s="415">
        <v>0</v>
      </c>
      <c r="BS678" s="415">
        <v>0</v>
      </c>
      <c r="BT678" s="935"/>
      <c r="BU678" s="935"/>
      <c r="BV678" s="935"/>
      <c r="BW678" s="935"/>
      <c r="BX678" s="935"/>
      <c r="BY678" s="935"/>
      <c r="BZ678" s="935"/>
      <c r="CA678" s="935"/>
      <c r="CB678" s="935"/>
      <c r="CC678" s="935"/>
      <c r="CD678" s="935"/>
      <c r="CE678" s="935"/>
      <c r="CF678" s="935"/>
      <c r="CG678" s="935"/>
      <c r="CH678" s="935"/>
      <c r="CI678" s="935"/>
      <c r="CJ678" s="935"/>
      <c r="CK678" s="935"/>
      <c r="CL678" s="935"/>
      <c r="CM678" s="935"/>
      <c r="CN678" s="935"/>
      <c r="CO678" s="935"/>
      <c r="CP678" s="935"/>
      <c r="CQ678" s="935"/>
      <c r="CR678" s="935"/>
      <c r="CS678" s="935"/>
      <c r="CT678" s="935"/>
      <c r="CU678" s="935"/>
      <c r="CV678" s="935"/>
    </row>
    <row r="679" spans="1:100" s="441" customFormat="1">
      <c r="A679" s="375">
        <f t="shared" si="194"/>
        <v>9</v>
      </c>
      <c r="B679" s="862">
        <v>44463</v>
      </c>
      <c r="C679" s="493" t="s">
        <v>2001</v>
      </c>
      <c r="D679" s="376" t="str">
        <f>IFERROR(VLOOKUP(E:E,'Item Data Support Sheet'!A:O,7,0),"")</f>
        <v>CAP MOLDED</v>
      </c>
      <c r="E679" s="447" t="s">
        <v>2108</v>
      </c>
      <c r="F679" s="500"/>
      <c r="G679" s="497" t="s">
        <v>3208</v>
      </c>
      <c r="H679" s="602" t="str">
        <f>IFERROR(VLOOKUP(E:E,'Item Data Support Sheet'!A:O,2,0),"")</f>
        <v>CAP S TYPE MOLDED BLUE</v>
      </c>
      <c r="I679" s="501" t="s">
        <v>3335</v>
      </c>
      <c r="J679" s="501" t="s">
        <v>2811</v>
      </c>
      <c r="K679" s="438">
        <v>6</v>
      </c>
      <c r="L679" s="499">
        <v>3200</v>
      </c>
      <c r="M679" s="366">
        <f t="shared" si="209"/>
        <v>533.33333333333337</v>
      </c>
      <c r="N679" s="367">
        <f t="shared" si="193"/>
        <v>3000</v>
      </c>
      <c r="O679" s="61">
        <v>3000</v>
      </c>
      <c r="P679" s="368">
        <v>0</v>
      </c>
      <c r="Q679" s="368">
        <v>0</v>
      </c>
      <c r="R679" s="494">
        <v>0</v>
      </c>
      <c r="S679" s="493">
        <v>0</v>
      </c>
      <c r="T679" s="494">
        <v>0</v>
      </c>
      <c r="U679" s="493">
        <v>0</v>
      </c>
      <c r="V679" s="502">
        <v>1</v>
      </c>
      <c r="W679" s="453">
        <f t="shared" si="195"/>
        <v>3000</v>
      </c>
      <c r="X679" s="748">
        <f t="shared" si="196"/>
        <v>0.9375</v>
      </c>
      <c r="Y679" s="451" t="str">
        <f>IFERROR(VLOOKUP(E:E,'Item Data Support Sheet'!A:J,6,0),0)</f>
        <v>RM000114</v>
      </c>
      <c r="Z679" s="428">
        <f>IFERROR(VLOOKUP(E:E,'Item Data Support Sheet'!A:O,4,0),0)</f>
        <v>7.3</v>
      </c>
      <c r="AA679" s="428">
        <f t="shared" si="197"/>
        <v>21.9</v>
      </c>
      <c r="AB679" s="429">
        <f t="shared" si="198"/>
        <v>1</v>
      </c>
      <c r="AC679" s="424">
        <f t="shared" si="199"/>
        <v>0</v>
      </c>
      <c r="AD679" s="371">
        <f t="shared" si="200"/>
        <v>0</v>
      </c>
      <c r="AE679" s="748">
        <f t="shared" si="201"/>
        <v>1</v>
      </c>
      <c r="AF679" s="417">
        <f t="shared" si="202"/>
        <v>0</v>
      </c>
      <c r="AG679" s="416">
        <f t="shared" si="203"/>
        <v>6</v>
      </c>
      <c r="AH679" s="372">
        <f t="shared" si="204"/>
        <v>1</v>
      </c>
      <c r="AI679" s="373">
        <f t="shared" si="205"/>
        <v>500</v>
      </c>
      <c r="AJ679" s="418">
        <f>VLOOKUP(D679,'Standard Cycle time'!C:D,2,0)</f>
        <v>6</v>
      </c>
      <c r="AK679" s="418">
        <f t="shared" si="206"/>
        <v>7.2</v>
      </c>
      <c r="AL679" s="374">
        <f t="shared" si="207"/>
        <v>0.83333333333333326</v>
      </c>
      <c r="AM679" s="372">
        <f t="shared" si="208"/>
        <v>0.83333333333333326</v>
      </c>
      <c r="AN679" s="799">
        <v>3769</v>
      </c>
      <c r="AO679" s="448"/>
      <c r="AP679" s="440">
        <v>0</v>
      </c>
      <c r="AQ679" s="440">
        <v>0</v>
      </c>
      <c r="AR679" s="440">
        <v>0</v>
      </c>
      <c r="AS679" s="440">
        <v>0</v>
      </c>
      <c r="AT679" s="440">
        <v>0</v>
      </c>
      <c r="AU679" s="440">
        <v>0</v>
      </c>
      <c r="AV679" s="440">
        <v>0</v>
      </c>
      <c r="AW679" s="440">
        <v>0</v>
      </c>
      <c r="AX679" s="440">
        <v>0</v>
      </c>
      <c r="AY679" s="440">
        <v>0</v>
      </c>
      <c r="AZ679" s="440">
        <v>0</v>
      </c>
      <c r="BA679" s="440">
        <v>0</v>
      </c>
      <c r="BB679" s="440">
        <v>0</v>
      </c>
      <c r="BC679" s="440">
        <v>0</v>
      </c>
      <c r="BD679" s="440">
        <v>0</v>
      </c>
      <c r="BE679" s="440">
        <v>0</v>
      </c>
      <c r="BF679" s="440">
        <v>0</v>
      </c>
      <c r="BG679" s="440">
        <v>0</v>
      </c>
      <c r="BH679" s="440">
        <v>0</v>
      </c>
      <c r="BI679" s="440">
        <v>0</v>
      </c>
      <c r="BJ679" s="440">
        <v>0</v>
      </c>
      <c r="BK679" s="440">
        <v>0</v>
      </c>
      <c r="BL679" s="440">
        <v>0</v>
      </c>
      <c r="BM679" s="440">
        <v>0</v>
      </c>
      <c r="BN679" s="440">
        <v>0</v>
      </c>
      <c r="BO679" s="440">
        <v>0</v>
      </c>
      <c r="BP679" s="440">
        <v>0</v>
      </c>
      <c r="BQ679" s="440">
        <v>0</v>
      </c>
      <c r="BR679" s="415">
        <v>0</v>
      </c>
      <c r="BS679" s="415">
        <v>0</v>
      </c>
      <c r="BT679" s="935"/>
      <c r="BU679" s="935"/>
      <c r="BV679" s="935"/>
      <c r="BW679" s="935"/>
      <c r="BX679" s="935"/>
      <c r="BY679" s="935"/>
      <c r="BZ679" s="935"/>
      <c r="CA679" s="935"/>
      <c r="CB679" s="935"/>
      <c r="CC679" s="935"/>
      <c r="CD679" s="935"/>
      <c r="CE679" s="935"/>
      <c r="CF679" s="935"/>
      <c r="CG679" s="935"/>
      <c r="CH679" s="935"/>
      <c r="CI679" s="935"/>
      <c r="CJ679" s="935"/>
      <c r="CK679" s="935"/>
      <c r="CL679" s="935"/>
      <c r="CM679" s="935"/>
      <c r="CN679" s="935"/>
      <c r="CO679" s="935"/>
      <c r="CP679" s="935"/>
      <c r="CQ679" s="935"/>
      <c r="CR679" s="935"/>
      <c r="CS679" s="935"/>
      <c r="CT679" s="935"/>
      <c r="CU679" s="935"/>
      <c r="CV679" s="935"/>
    </row>
    <row r="680" spans="1:100" s="441" customFormat="1">
      <c r="A680" s="375">
        <f t="shared" si="194"/>
        <v>9</v>
      </c>
      <c r="B680" s="862">
        <v>44463</v>
      </c>
      <c r="C680" s="493" t="s">
        <v>2053</v>
      </c>
      <c r="D680" s="376" t="str">
        <f>IFERROR(VLOOKUP(E:E,'Item Data Support Sheet'!A:O,7,0),"")</f>
        <v>CAP MOLDED</v>
      </c>
      <c r="E680" s="447" t="s">
        <v>2108</v>
      </c>
      <c r="F680" s="500"/>
      <c r="G680" s="497" t="s">
        <v>3208</v>
      </c>
      <c r="H680" s="602" t="str">
        <f>IFERROR(VLOOKUP(E:E,'Item Data Support Sheet'!A:O,2,0),"")</f>
        <v>CAP S TYPE MOLDED BLUE</v>
      </c>
      <c r="I680" s="501" t="s">
        <v>3336</v>
      </c>
      <c r="J680" s="501" t="s">
        <v>2826</v>
      </c>
      <c r="K680" s="438">
        <v>6</v>
      </c>
      <c r="L680" s="499">
        <v>3137</v>
      </c>
      <c r="M680" s="366">
        <f t="shared" si="209"/>
        <v>522.83333333333337</v>
      </c>
      <c r="N680" s="367">
        <f t="shared" si="193"/>
        <v>3750</v>
      </c>
      <c r="O680" s="61">
        <v>3750</v>
      </c>
      <c r="P680" s="368">
        <v>0</v>
      </c>
      <c r="Q680" s="368">
        <v>0</v>
      </c>
      <c r="R680" s="494">
        <v>0</v>
      </c>
      <c r="S680" s="493">
        <v>0</v>
      </c>
      <c r="T680" s="494">
        <v>0</v>
      </c>
      <c r="U680" s="493">
        <v>0</v>
      </c>
      <c r="V680" s="502">
        <v>1</v>
      </c>
      <c r="W680" s="453">
        <f t="shared" si="195"/>
        <v>3750</v>
      </c>
      <c r="X680" s="748">
        <f t="shared" si="196"/>
        <v>1.1954096270321963</v>
      </c>
      <c r="Y680" s="451" t="str">
        <f>IFERROR(VLOOKUP(E:E,'Item Data Support Sheet'!A:J,6,0),0)</f>
        <v>RM000114</v>
      </c>
      <c r="Z680" s="428">
        <f>IFERROR(VLOOKUP(E:E,'Item Data Support Sheet'!A:O,4,0),0)</f>
        <v>7.3</v>
      </c>
      <c r="AA680" s="428">
        <f t="shared" si="197"/>
        <v>27.375</v>
      </c>
      <c r="AB680" s="429">
        <f t="shared" si="198"/>
        <v>1</v>
      </c>
      <c r="AC680" s="424">
        <f t="shared" si="199"/>
        <v>0</v>
      </c>
      <c r="AD680" s="371">
        <f t="shared" si="200"/>
        <v>0</v>
      </c>
      <c r="AE680" s="748">
        <f t="shared" si="201"/>
        <v>1</v>
      </c>
      <c r="AF680" s="417">
        <f t="shared" si="202"/>
        <v>0</v>
      </c>
      <c r="AG680" s="416">
        <f t="shared" si="203"/>
        <v>6</v>
      </c>
      <c r="AH680" s="372">
        <f t="shared" si="204"/>
        <v>1</v>
      </c>
      <c r="AI680" s="373">
        <f t="shared" si="205"/>
        <v>625</v>
      </c>
      <c r="AJ680" s="418">
        <f>VLOOKUP(D680,'Standard Cycle time'!C:D,2,0)</f>
        <v>6</v>
      </c>
      <c r="AK680" s="418">
        <f t="shared" si="206"/>
        <v>5.76</v>
      </c>
      <c r="AL680" s="374">
        <f t="shared" si="207"/>
        <v>1.0416666666666667</v>
      </c>
      <c r="AM680" s="372">
        <f t="shared" si="208"/>
        <v>1.0416666666666667</v>
      </c>
      <c r="AN680" s="799">
        <v>3771</v>
      </c>
      <c r="AO680" s="448"/>
      <c r="AP680" s="440">
        <v>0</v>
      </c>
      <c r="AQ680" s="440">
        <v>0</v>
      </c>
      <c r="AR680" s="440">
        <v>0</v>
      </c>
      <c r="AS680" s="440">
        <v>0</v>
      </c>
      <c r="AT680" s="440">
        <v>0</v>
      </c>
      <c r="AU680" s="440">
        <v>0</v>
      </c>
      <c r="AV680" s="440">
        <v>0</v>
      </c>
      <c r="AW680" s="440">
        <v>0</v>
      </c>
      <c r="AX680" s="440">
        <v>0</v>
      </c>
      <c r="AY680" s="440">
        <v>0</v>
      </c>
      <c r="AZ680" s="440">
        <v>0</v>
      </c>
      <c r="BA680" s="440">
        <v>0</v>
      </c>
      <c r="BB680" s="440">
        <v>0</v>
      </c>
      <c r="BC680" s="440">
        <v>0</v>
      </c>
      <c r="BD680" s="440">
        <v>0</v>
      </c>
      <c r="BE680" s="440">
        <v>0</v>
      </c>
      <c r="BF680" s="440">
        <v>0</v>
      </c>
      <c r="BG680" s="440">
        <v>0</v>
      </c>
      <c r="BH680" s="440">
        <v>0</v>
      </c>
      <c r="BI680" s="440">
        <v>0</v>
      </c>
      <c r="BJ680" s="440">
        <v>0</v>
      </c>
      <c r="BK680" s="440">
        <v>0</v>
      </c>
      <c r="BL680" s="440">
        <v>0</v>
      </c>
      <c r="BM680" s="440">
        <v>0</v>
      </c>
      <c r="BN680" s="440">
        <v>0</v>
      </c>
      <c r="BO680" s="440">
        <v>0</v>
      </c>
      <c r="BP680" s="440">
        <v>0</v>
      </c>
      <c r="BQ680" s="440">
        <v>0</v>
      </c>
      <c r="BR680" s="415">
        <v>0</v>
      </c>
      <c r="BS680" s="415">
        <v>0</v>
      </c>
      <c r="BT680" s="935"/>
      <c r="BU680" s="935"/>
      <c r="BV680" s="935"/>
      <c r="BW680" s="935"/>
      <c r="BX680" s="935"/>
      <c r="BY680" s="935"/>
      <c r="BZ680" s="935"/>
      <c r="CA680" s="935"/>
      <c r="CB680" s="935"/>
      <c r="CC680" s="935"/>
      <c r="CD680" s="935"/>
      <c r="CE680" s="935"/>
      <c r="CF680" s="935"/>
      <c r="CG680" s="935"/>
      <c r="CH680" s="935"/>
      <c r="CI680" s="935"/>
      <c r="CJ680" s="935"/>
      <c r="CK680" s="935"/>
      <c r="CL680" s="935"/>
      <c r="CM680" s="935"/>
      <c r="CN680" s="935"/>
      <c r="CO680" s="935"/>
      <c r="CP680" s="935"/>
      <c r="CQ680" s="935"/>
      <c r="CR680" s="935"/>
      <c r="CS680" s="935"/>
      <c r="CT680" s="935"/>
      <c r="CU680" s="935"/>
      <c r="CV680" s="935"/>
    </row>
    <row r="681" spans="1:100" s="441" customFormat="1">
      <c r="A681" s="375">
        <f t="shared" si="194"/>
        <v>9</v>
      </c>
      <c r="B681" s="862">
        <v>44463</v>
      </c>
      <c r="C681" s="493" t="s">
        <v>2053</v>
      </c>
      <c r="D681" s="376" t="str">
        <f>IFERROR(VLOOKUP(E:E,'Item Data Support Sheet'!A:O,7,0),"")</f>
        <v>CAP MOLDED</v>
      </c>
      <c r="E681" s="447" t="s">
        <v>2108</v>
      </c>
      <c r="F681" s="500"/>
      <c r="G681" s="497" t="s">
        <v>3212</v>
      </c>
      <c r="H681" s="602" t="str">
        <f>IFERROR(VLOOKUP(E:E,'Item Data Support Sheet'!A:O,2,0),"")</f>
        <v>CAP S TYPE MOLDED BLUE</v>
      </c>
      <c r="I681" s="501" t="s">
        <v>3337</v>
      </c>
      <c r="J681" s="501" t="s">
        <v>2826</v>
      </c>
      <c r="K681" s="438">
        <v>2</v>
      </c>
      <c r="L681" s="499">
        <v>1000</v>
      </c>
      <c r="M681" s="366">
        <f t="shared" si="209"/>
        <v>500</v>
      </c>
      <c r="N681" s="367">
        <f t="shared" si="193"/>
        <v>1005</v>
      </c>
      <c r="O681" s="61">
        <v>1000</v>
      </c>
      <c r="P681" s="368">
        <v>0</v>
      </c>
      <c r="Q681" s="368">
        <v>0</v>
      </c>
      <c r="R681" s="494">
        <v>0</v>
      </c>
      <c r="S681" s="493">
        <v>0</v>
      </c>
      <c r="T681" s="494">
        <v>5</v>
      </c>
      <c r="U681" s="493">
        <v>0</v>
      </c>
      <c r="V681" s="502">
        <v>1</v>
      </c>
      <c r="W681" s="453">
        <f t="shared" si="195"/>
        <v>1000</v>
      </c>
      <c r="X681" s="748">
        <f t="shared" si="196"/>
        <v>1</v>
      </c>
      <c r="Y681" s="451" t="str">
        <f>IFERROR(VLOOKUP(E:E,'Item Data Support Sheet'!A:J,6,0),0)</f>
        <v>RM000114</v>
      </c>
      <c r="Z681" s="428">
        <f>IFERROR(VLOOKUP(E:E,'Item Data Support Sheet'!A:O,4,0),0)</f>
        <v>7.3</v>
      </c>
      <c r="AA681" s="428">
        <f t="shared" si="197"/>
        <v>7.3365</v>
      </c>
      <c r="AB681" s="429">
        <f t="shared" si="198"/>
        <v>0.99502487562189057</v>
      </c>
      <c r="AC681" s="424">
        <f t="shared" si="199"/>
        <v>4.9751243781094526E-3</v>
      </c>
      <c r="AD681" s="371">
        <f t="shared" si="200"/>
        <v>0</v>
      </c>
      <c r="AE681" s="748">
        <f t="shared" si="201"/>
        <v>0.99502487562189057</v>
      </c>
      <c r="AF681" s="417">
        <f t="shared" si="202"/>
        <v>0</v>
      </c>
      <c r="AG681" s="416">
        <f t="shared" si="203"/>
        <v>2</v>
      </c>
      <c r="AH681" s="372">
        <f t="shared" si="204"/>
        <v>1</v>
      </c>
      <c r="AI681" s="373">
        <f t="shared" si="205"/>
        <v>500</v>
      </c>
      <c r="AJ681" s="418">
        <f>VLOOKUP(D681,'Standard Cycle time'!C:D,2,0)</f>
        <v>6</v>
      </c>
      <c r="AK681" s="418">
        <f t="shared" si="206"/>
        <v>7.2</v>
      </c>
      <c r="AL681" s="374">
        <f t="shared" si="207"/>
        <v>0.83333333333333326</v>
      </c>
      <c r="AM681" s="372">
        <f t="shared" si="208"/>
        <v>0.82918739635157546</v>
      </c>
      <c r="AN681" s="799">
        <v>3770</v>
      </c>
      <c r="AO681" s="448"/>
      <c r="AP681" s="440">
        <v>0</v>
      </c>
      <c r="AQ681" s="440">
        <v>0</v>
      </c>
      <c r="AR681" s="440">
        <v>0</v>
      </c>
      <c r="AS681" s="440">
        <v>0</v>
      </c>
      <c r="AT681" s="440">
        <v>0</v>
      </c>
      <c r="AU681" s="440">
        <v>0</v>
      </c>
      <c r="AV681" s="440">
        <v>0</v>
      </c>
      <c r="AW681" s="440">
        <v>0</v>
      </c>
      <c r="AX681" s="440">
        <v>0</v>
      </c>
      <c r="AY681" s="440">
        <v>0</v>
      </c>
      <c r="AZ681" s="440">
        <v>0</v>
      </c>
      <c r="BA681" s="440">
        <v>0</v>
      </c>
      <c r="BB681" s="440">
        <v>0</v>
      </c>
      <c r="BC681" s="440">
        <v>0</v>
      </c>
      <c r="BD681" s="440">
        <v>0</v>
      </c>
      <c r="BE681" s="440">
        <v>0</v>
      </c>
      <c r="BF681" s="440">
        <v>0</v>
      </c>
      <c r="BG681" s="440">
        <v>0</v>
      </c>
      <c r="BH681" s="440">
        <v>0</v>
      </c>
      <c r="BI681" s="440">
        <v>0</v>
      </c>
      <c r="BJ681" s="440">
        <v>0</v>
      </c>
      <c r="BK681" s="440">
        <v>0</v>
      </c>
      <c r="BL681" s="440">
        <v>0</v>
      </c>
      <c r="BM681" s="440">
        <v>0</v>
      </c>
      <c r="BN681" s="440">
        <v>0</v>
      </c>
      <c r="BO681" s="440">
        <v>0</v>
      </c>
      <c r="BP681" s="440">
        <v>0</v>
      </c>
      <c r="BQ681" s="440">
        <v>0</v>
      </c>
      <c r="BR681" s="415">
        <v>0</v>
      </c>
      <c r="BS681" s="415">
        <v>0</v>
      </c>
      <c r="BT681" s="935"/>
      <c r="BU681" s="935"/>
      <c r="BV681" s="935"/>
      <c r="BW681" s="935"/>
      <c r="BX681" s="935"/>
      <c r="BY681" s="935"/>
      <c r="BZ681" s="935"/>
      <c r="CA681" s="935"/>
      <c r="CB681" s="935"/>
      <c r="CC681" s="935"/>
      <c r="CD681" s="935"/>
      <c r="CE681" s="935"/>
      <c r="CF681" s="935"/>
      <c r="CG681" s="935"/>
      <c r="CH681" s="935"/>
      <c r="CI681" s="935"/>
      <c r="CJ681" s="935"/>
      <c r="CK681" s="935"/>
      <c r="CL681" s="935"/>
      <c r="CM681" s="935"/>
      <c r="CN681" s="935"/>
      <c r="CO681" s="935"/>
      <c r="CP681" s="935"/>
      <c r="CQ681" s="935"/>
      <c r="CR681" s="935"/>
      <c r="CS681" s="935"/>
      <c r="CT681" s="935"/>
      <c r="CU681" s="935"/>
      <c r="CV681" s="935"/>
    </row>
    <row r="682" spans="1:100" s="441" customFormat="1">
      <c r="A682" s="375">
        <f t="shared" si="194"/>
        <v>9</v>
      </c>
      <c r="B682" s="862">
        <v>44463</v>
      </c>
      <c r="C682" s="493" t="s">
        <v>2053</v>
      </c>
      <c r="D682" s="376" t="str">
        <f>IFERROR(VLOOKUP(E:E,'Item Data Support Sheet'!A:O,7,0),"")</f>
        <v>NIPPLE MOLDED</v>
      </c>
      <c r="E682" s="447" t="s">
        <v>72</v>
      </c>
      <c r="F682" s="500" t="s">
        <v>1678</v>
      </c>
      <c r="G682" s="497" t="s">
        <v>1691</v>
      </c>
      <c r="H682" s="602" t="str">
        <f>IFERROR(VLOOKUP(E:E,'Item Data Support Sheet'!A:O,2,0),"")</f>
        <v>NIPPLE S TYPE S SIZE INJECTION</v>
      </c>
      <c r="I682" s="501" t="s">
        <v>3338</v>
      </c>
      <c r="J682" s="501" t="s">
        <v>2826</v>
      </c>
      <c r="K682" s="438">
        <v>8</v>
      </c>
      <c r="L682" s="499">
        <v>4815</v>
      </c>
      <c r="M682" s="366">
        <f t="shared" si="209"/>
        <v>601.875</v>
      </c>
      <c r="N682" s="367">
        <f t="shared" si="193"/>
        <v>5413</v>
      </c>
      <c r="O682" s="61">
        <v>5300</v>
      </c>
      <c r="P682" s="368">
        <v>0</v>
      </c>
      <c r="Q682" s="368">
        <v>37</v>
      </c>
      <c r="R682" s="494">
        <v>0</v>
      </c>
      <c r="S682" s="493">
        <v>0</v>
      </c>
      <c r="T682" s="494">
        <v>68</v>
      </c>
      <c r="U682" s="493">
        <v>8</v>
      </c>
      <c r="V682" s="502">
        <v>1</v>
      </c>
      <c r="W682" s="453">
        <f t="shared" si="195"/>
        <v>5300</v>
      </c>
      <c r="X682" s="748">
        <f t="shared" si="196"/>
        <v>1.1007268951194185</v>
      </c>
      <c r="Y682" s="451" t="str">
        <f>IFERROR(VLOOKUP(E:E,'Item Data Support Sheet'!A:J,6,0),0)</f>
        <v>Silicon</v>
      </c>
      <c r="Z682" s="428">
        <f>IFERROR(VLOOKUP(E:E,'Item Data Support Sheet'!A:O,4,0),0)</f>
        <v>6.8</v>
      </c>
      <c r="AA682" s="428">
        <f t="shared" si="197"/>
        <v>36.808399999999999</v>
      </c>
      <c r="AB682" s="429">
        <f t="shared" si="198"/>
        <v>0.97912433031590618</v>
      </c>
      <c r="AC682" s="424">
        <f t="shared" si="199"/>
        <v>1.2667660208643815E-2</v>
      </c>
      <c r="AD682" s="371">
        <f t="shared" si="200"/>
        <v>6.7889908256880734E-3</v>
      </c>
      <c r="AE682" s="748">
        <f t="shared" si="201"/>
        <v>0.98743765010160722</v>
      </c>
      <c r="AF682" s="417">
        <f t="shared" si="202"/>
        <v>0</v>
      </c>
      <c r="AG682" s="416">
        <f t="shared" si="203"/>
        <v>8</v>
      </c>
      <c r="AH682" s="372">
        <f t="shared" si="204"/>
        <v>1</v>
      </c>
      <c r="AI682" s="373">
        <f t="shared" si="205"/>
        <v>662.5</v>
      </c>
      <c r="AJ682" s="418">
        <f>VLOOKUP(D682,'Standard Cycle time'!C:D,2,0)</f>
        <v>5.25</v>
      </c>
      <c r="AK682" s="418">
        <f t="shared" si="206"/>
        <v>5.4339622641509431</v>
      </c>
      <c r="AL682" s="374">
        <f t="shared" si="207"/>
        <v>0.96614583333333337</v>
      </c>
      <c r="AM682" s="372">
        <f t="shared" si="208"/>
        <v>0.9540087713221258</v>
      </c>
      <c r="AN682" s="799">
        <v>3562</v>
      </c>
      <c r="AO682" s="448"/>
      <c r="AP682" s="440">
        <v>0</v>
      </c>
      <c r="AQ682" s="440">
        <v>0</v>
      </c>
      <c r="AR682" s="440">
        <v>0</v>
      </c>
      <c r="AS682" s="440">
        <v>0</v>
      </c>
      <c r="AT682" s="440">
        <v>0</v>
      </c>
      <c r="AU682" s="440">
        <v>0</v>
      </c>
      <c r="AV682" s="440">
        <v>0</v>
      </c>
      <c r="AW682" s="440">
        <v>0</v>
      </c>
      <c r="AX682" s="440">
        <v>0</v>
      </c>
      <c r="AY682" s="440">
        <v>0</v>
      </c>
      <c r="AZ682" s="440">
        <v>0</v>
      </c>
      <c r="BA682" s="440">
        <v>0</v>
      </c>
      <c r="BB682" s="440">
        <v>0</v>
      </c>
      <c r="BC682" s="440">
        <v>0</v>
      </c>
      <c r="BD682" s="440">
        <v>0</v>
      </c>
      <c r="BE682" s="440">
        <v>0</v>
      </c>
      <c r="BF682" s="440">
        <v>0</v>
      </c>
      <c r="BG682" s="440">
        <v>0</v>
      </c>
      <c r="BH682" s="440">
        <v>0</v>
      </c>
      <c r="BI682" s="440">
        <v>0</v>
      </c>
      <c r="BJ682" s="440">
        <v>0</v>
      </c>
      <c r="BK682" s="440">
        <v>0</v>
      </c>
      <c r="BL682" s="440">
        <v>0</v>
      </c>
      <c r="BM682" s="440">
        <v>0</v>
      </c>
      <c r="BN682" s="440">
        <v>0</v>
      </c>
      <c r="BO682" s="440">
        <v>0</v>
      </c>
      <c r="BP682" s="440">
        <v>0</v>
      </c>
      <c r="BQ682" s="440">
        <v>0</v>
      </c>
      <c r="BR682" s="415">
        <v>0</v>
      </c>
      <c r="BS682" s="415">
        <v>0</v>
      </c>
      <c r="BT682" s="935"/>
      <c r="BU682" s="935"/>
      <c r="BV682" s="935"/>
      <c r="BW682" s="935"/>
      <c r="BX682" s="935"/>
      <c r="BY682" s="935"/>
      <c r="BZ682" s="935"/>
      <c r="CA682" s="935"/>
      <c r="CB682" s="935"/>
      <c r="CC682" s="935"/>
      <c r="CD682" s="935"/>
      <c r="CE682" s="935"/>
      <c r="CF682" s="935"/>
      <c r="CG682" s="935"/>
      <c r="CH682" s="935"/>
      <c r="CI682" s="935"/>
      <c r="CJ682" s="935"/>
      <c r="CK682" s="935"/>
      <c r="CL682" s="935"/>
      <c r="CM682" s="935"/>
      <c r="CN682" s="935"/>
      <c r="CO682" s="935"/>
      <c r="CP682" s="935"/>
      <c r="CQ682" s="935"/>
      <c r="CR682" s="935"/>
      <c r="CS682" s="935"/>
      <c r="CT682" s="935"/>
      <c r="CU682" s="935"/>
      <c r="CV682" s="935"/>
    </row>
    <row r="683" spans="1:100" s="441" customFormat="1">
      <c r="A683" s="375">
        <f t="shared" si="194"/>
        <v>9</v>
      </c>
      <c r="B683" s="862">
        <v>44464</v>
      </c>
      <c r="C683" s="493" t="s">
        <v>1980</v>
      </c>
      <c r="D683" s="376" t="str">
        <f>IFERROR(VLOOKUP(E:E,'Item Data Support Sheet'!A:O,7,0),"")</f>
        <v>NIPPLE MOLDED</v>
      </c>
      <c r="E683" s="447" t="s">
        <v>72</v>
      </c>
      <c r="F683" s="500" t="s">
        <v>1678</v>
      </c>
      <c r="G683" s="497" t="s">
        <v>1691</v>
      </c>
      <c r="H683" s="602" t="str">
        <f>IFERROR(VLOOKUP(E:E,'Item Data Support Sheet'!A:O,2,0),"")</f>
        <v>NIPPLE S TYPE S SIZE INJECTION</v>
      </c>
      <c r="I683" s="501" t="s">
        <v>3339</v>
      </c>
      <c r="J683" s="501" t="s">
        <v>2808</v>
      </c>
      <c r="K683" s="438">
        <v>8</v>
      </c>
      <c r="L683" s="499">
        <v>4815</v>
      </c>
      <c r="M683" s="366">
        <f t="shared" si="209"/>
        <v>601.875</v>
      </c>
      <c r="N683" s="367">
        <f t="shared" si="193"/>
        <v>4308</v>
      </c>
      <c r="O683" s="61">
        <v>4200</v>
      </c>
      <c r="P683" s="368">
        <v>0</v>
      </c>
      <c r="Q683" s="368">
        <v>40</v>
      </c>
      <c r="R683" s="494">
        <v>0</v>
      </c>
      <c r="S683" s="493">
        <v>0</v>
      </c>
      <c r="T683" s="494">
        <v>60</v>
      </c>
      <c r="U683" s="493">
        <v>8</v>
      </c>
      <c r="V683" s="502">
        <v>1</v>
      </c>
      <c r="W683" s="453">
        <f t="shared" si="195"/>
        <v>4200</v>
      </c>
      <c r="X683" s="748">
        <f t="shared" si="196"/>
        <v>0.87227414330218067</v>
      </c>
      <c r="Y683" s="451" t="str">
        <f>IFERROR(VLOOKUP(E:E,'Item Data Support Sheet'!A:J,6,0),0)</f>
        <v>Silicon</v>
      </c>
      <c r="Z683" s="428">
        <f>IFERROR(VLOOKUP(E:E,'Item Data Support Sheet'!A:O,4,0),0)</f>
        <v>6.8</v>
      </c>
      <c r="AA683" s="428">
        <f t="shared" si="197"/>
        <v>29.2944</v>
      </c>
      <c r="AB683" s="429">
        <f t="shared" si="198"/>
        <v>0.97493036211699158</v>
      </c>
      <c r="AC683" s="424">
        <f t="shared" si="199"/>
        <v>1.4084507042253521E-2</v>
      </c>
      <c r="AD683" s="371">
        <f t="shared" si="200"/>
        <v>9.1996320147194107E-3</v>
      </c>
      <c r="AE683" s="748">
        <f t="shared" si="201"/>
        <v>0.98607242339832868</v>
      </c>
      <c r="AF683" s="417">
        <f t="shared" si="202"/>
        <v>1.8333333333333333</v>
      </c>
      <c r="AG683" s="416">
        <f t="shared" si="203"/>
        <v>6.166666666666667</v>
      </c>
      <c r="AH683" s="372">
        <f t="shared" si="204"/>
        <v>0.77083333333333337</v>
      </c>
      <c r="AI683" s="373">
        <f t="shared" si="205"/>
        <v>525</v>
      </c>
      <c r="AJ683" s="418">
        <f>VLOOKUP(D683,'Standard Cycle time'!C:D,2,0)</f>
        <v>5.25</v>
      </c>
      <c r="AK683" s="418">
        <f t="shared" si="206"/>
        <v>5.2857142857142856</v>
      </c>
      <c r="AL683" s="374">
        <f t="shared" si="207"/>
        <v>0.99324324324324331</v>
      </c>
      <c r="AM683" s="372">
        <f t="shared" si="208"/>
        <v>0.75496169916434552</v>
      </c>
      <c r="AN683" s="799">
        <v>3593</v>
      </c>
      <c r="AO683" s="448" t="s">
        <v>3340</v>
      </c>
      <c r="AP683" s="440">
        <v>0</v>
      </c>
      <c r="AQ683" s="440">
        <v>0</v>
      </c>
      <c r="AR683" s="440">
        <v>0</v>
      </c>
      <c r="AS683" s="440">
        <v>0</v>
      </c>
      <c r="AT683" s="440">
        <v>0</v>
      </c>
      <c r="AU683" s="440">
        <v>80</v>
      </c>
      <c r="AV683" s="440">
        <v>0</v>
      </c>
      <c r="AW683" s="440">
        <v>30</v>
      </c>
      <c r="AX683" s="440">
        <v>0</v>
      </c>
      <c r="AY683" s="440">
        <v>0</v>
      </c>
      <c r="AZ683" s="440">
        <v>0</v>
      </c>
      <c r="BA683" s="440">
        <v>0</v>
      </c>
      <c r="BB683" s="440">
        <v>0</v>
      </c>
      <c r="BC683" s="440">
        <v>0</v>
      </c>
      <c r="BD683" s="440">
        <v>0</v>
      </c>
      <c r="BE683" s="440">
        <v>0</v>
      </c>
      <c r="BF683" s="440">
        <v>0</v>
      </c>
      <c r="BG683" s="440">
        <v>0</v>
      </c>
      <c r="BH683" s="440">
        <v>0</v>
      </c>
      <c r="BI683" s="440">
        <v>0</v>
      </c>
      <c r="BJ683" s="440">
        <v>0</v>
      </c>
      <c r="BK683" s="440">
        <v>0</v>
      </c>
      <c r="BL683" s="440">
        <v>0</v>
      </c>
      <c r="BM683" s="440">
        <v>0</v>
      </c>
      <c r="BN683" s="440">
        <v>0</v>
      </c>
      <c r="BO683" s="440">
        <v>0</v>
      </c>
      <c r="BP683" s="440">
        <v>0</v>
      </c>
      <c r="BQ683" s="440">
        <v>0</v>
      </c>
      <c r="BR683" s="415">
        <v>1.8333333333333333</v>
      </c>
      <c r="BS683" s="415">
        <v>1.8638888888888887</v>
      </c>
      <c r="BT683" s="935"/>
      <c r="BU683" s="935"/>
      <c r="BV683" s="935"/>
      <c r="BW683" s="935"/>
      <c r="BX683" s="935"/>
      <c r="BY683" s="935"/>
      <c r="BZ683" s="935"/>
      <c r="CA683" s="935"/>
      <c r="CB683" s="935"/>
      <c r="CC683" s="935"/>
      <c r="CD683" s="935"/>
      <c r="CE683" s="935"/>
      <c r="CF683" s="935"/>
      <c r="CG683" s="935"/>
      <c r="CH683" s="935"/>
      <c r="CI683" s="935"/>
      <c r="CJ683" s="935"/>
      <c r="CK683" s="935"/>
      <c r="CL683" s="935"/>
      <c r="CM683" s="935"/>
      <c r="CN683" s="935"/>
      <c r="CO683" s="935"/>
      <c r="CP683" s="935"/>
      <c r="CQ683" s="935"/>
      <c r="CR683" s="935"/>
      <c r="CS683" s="935"/>
      <c r="CT683" s="935"/>
      <c r="CU683" s="935"/>
      <c r="CV683" s="935"/>
    </row>
    <row r="684" spans="1:100" s="441" customFormat="1">
      <c r="A684" s="375">
        <f t="shared" si="194"/>
        <v>9</v>
      </c>
      <c r="B684" s="862">
        <v>44464</v>
      </c>
      <c r="C684" s="493" t="s">
        <v>1980</v>
      </c>
      <c r="D684" s="376" t="str">
        <f>IFERROR(VLOOKUP(E:E,'Item Data Support Sheet'!A:O,7,0),"")</f>
        <v>NIPPLE PUNCH</v>
      </c>
      <c r="E684" s="447" t="s">
        <v>80</v>
      </c>
      <c r="F684" s="500"/>
      <c r="G684" s="497" t="s">
        <v>1692</v>
      </c>
      <c r="H684" s="602" t="str">
        <f>IFERROR(VLOOKUP(E:E,'Item Data Support Sheet'!A:O,2,0),"")</f>
        <v>NIPPLE S TYPE S SIZE PUNCHED</v>
      </c>
      <c r="I684" s="501" t="s">
        <v>3341</v>
      </c>
      <c r="J684" s="501" t="s">
        <v>2808</v>
      </c>
      <c r="K684" s="438">
        <v>8</v>
      </c>
      <c r="L684" s="499">
        <v>7000</v>
      </c>
      <c r="M684" s="366">
        <f t="shared" si="209"/>
        <v>875</v>
      </c>
      <c r="N684" s="367">
        <f t="shared" si="193"/>
        <v>7150</v>
      </c>
      <c r="O684" s="61">
        <v>7150</v>
      </c>
      <c r="P684" s="368">
        <v>0</v>
      </c>
      <c r="Q684" s="368">
        <v>0</v>
      </c>
      <c r="R684" s="494">
        <v>0</v>
      </c>
      <c r="S684" s="493">
        <v>0</v>
      </c>
      <c r="T684" s="494">
        <v>0</v>
      </c>
      <c r="U684" s="493">
        <v>0</v>
      </c>
      <c r="V684" s="502">
        <v>1</v>
      </c>
      <c r="W684" s="453">
        <f t="shared" si="195"/>
        <v>7150</v>
      </c>
      <c r="X684" s="748">
        <f t="shared" si="196"/>
        <v>1.0214285714285714</v>
      </c>
      <c r="Y684" s="451" t="str">
        <f>IFERROR(VLOOKUP(E:E,'Item Data Support Sheet'!A:J,6,0),0)</f>
        <v>FO015</v>
      </c>
      <c r="Z684" s="428">
        <f>IFERROR(VLOOKUP(E:E,'Item Data Support Sheet'!A:O,4,0),0)</f>
        <v>0</v>
      </c>
      <c r="AA684" s="428">
        <f t="shared" si="197"/>
        <v>0</v>
      </c>
      <c r="AB684" s="429" t="str">
        <f t="shared" si="198"/>
        <v xml:space="preserve"> </v>
      </c>
      <c r="AC684" s="424">
        <f t="shared" si="199"/>
        <v>0</v>
      </c>
      <c r="AD684" s="371">
        <f t="shared" si="200"/>
        <v>0</v>
      </c>
      <c r="AE684" s="748">
        <f t="shared" si="201"/>
        <v>1</v>
      </c>
      <c r="AF684" s="417">
        <f t="shared" si="202"/>
        <v>0.66666666666666663</v>
      </c>
      <c r="AG684" s="416">
        <f t="shared" si="203"/>
        <v>7.333333333333333</v>
      </c>
      <c r="AH684" s="372">
        <f t="shared" si="204"/>
        <v>0.91666666666666663</v>
      </c>
      <c r="AI684" s="373">
        <f t="shared" si="205"/>
        <v>893.75</v>
      </c>
      <c r="AJ684" s="418">
        <f>VLOOKUP(D684,'Standard Cycle time'!C:D,2,0)</f>
        <v>3.5</v>
      </c>
      <c r="AK684" s="418">
        <f t="shared" si="206"/>
        <v>3.6923076923076925</v>
      </c>
      <c r="AL684" s="374">
        <f t="shared" si="207"/>
        <v>0.94791666666666663</v>
      </c>
      <c r="AM684" s="372">
        <f t="shared" si="208"/>
        <v>0.86892361111111105</v>
      </c>
      <c r="AN684" s="799" t="s">
        <v>3342</v>
      </c>
      <c r="AO684" s="448"/>
      <c r="AP684" s="440">
        <v>40</v>
      </c>
      <c r="AQ684" s="440">
        <v>0</v>
      </c>
      <c r="AR684" s="440">
        <v>0</v>
      </c>
      <c r="AS684" s="440">
        <v>0</v>
      </c>
      <c r="AT684" s="440">
        <v>0</v>
      </c>
      <c r="AU684" s="440">
        <v>0</v>
      </c>
      <c r="AV684" s="440">
        <v>0</v>
      </c>
      <c r="AW684" s="440">
        <v>0</v>
      </c>
      <c r="AX684" s="440">
        <v>0</v>
      </c>
      <c r="AY684" s="440">
        <v>0</v>
      </c>
      <c r="AZ684" s="440">
        <v>0</v>
      </c>
      <c r="BA684" s="440">
        <v>0</v>
      </c>
      <c r="BB684" s="440">
        <v>0</v>
      </c>
      <c r="BC684" s="440">
        <v>0</v>
      </c>
      <c r="BD684" s="440">
        <v>0</v>
      </c>
      <c r="BE684" s="440">
        <v>0</v>
      </c>
      <c r="BF684" s="440">
        <v>0</v>
      </c>
      <c r="BG684" s="440">
        <v>0</v>
      </c>
      <c r="BH684" s="440">
        <v>0</v>
      </c>
      <c r="BI684" s="440">
        <v>0</v>
      </c>
      <c r="BJ684" s="440">
        <v>0</v>
      </c>
      <c r="BK684" s="440">
        <v>0</v>
      </c>
      <c r="BL684" s="440">
        <v>0</v>
      </c>
      <c r="BM684" s="440">
        <v>0</v>
      </c>
      <c r="BN684" s="440">
        <v>0</v>
      </c>
      <c r="BO684" s="440">
        <v>0</v>
      </c>
      <c r="BP684" s="440">
        <v>0</v>
      </c>
      <c r="BQ684" s="440">
        <v>0</v>
      </c>
      <c r="BR684" s="415">
        <v>0.66666666666666663</v>
      </c>
      <c r="BS684" s="415">
        <v>0.6777777777777777</v>
      </c>
      <c r="BT684" s="935"/>
      <c r="BU684" s="935"/>
      <c r="BV684" s="935"/>
      <c r="BW684" s="935"/>
      <c r="BX684" s="935"/>
      <c r="BY684" s="935"/>
      <c r="BZ684" s="935"/>
      <c r="CA684" s="935"/>
      <c r="CB684" s="935"/>
      <c r="CC684" s="935"/>
      <c r="CD684" s="935"/>
      <c r="CE684" s="935"/>
      <c r="CF684" s="935"/>
      <c r="CG684" s="935"/>
      <c r="CH684" s="935"/>
      <c r="CI684" s="935"/>
      <c r="CJ684" s="935"/>
      <c r="CK684" s="935"/>
      <c r="CL684" s="935"/>
      <c r="CM684" s="935"/>
      <c r="CN684" s="935"/>
      <c r="CO684" s="935"/>
      <c r="CP684" s="935"/>
      <c r="CQ684" s="935"/>
      <c r="CR684" s="935"/>
      <c r="CS684" s="935"/>
      <c r="CT684" s="935"/>
      <c r="CU684" s="935"/>
      <c r="CV684" s="935"/>
    </row>
    <row r="685" spans="1:100" s="441" customFormat="1">
      <c r="A685" s="375">
        <f t="shared" si="194"/>
        <v>9</v>
      </c>
      <c r="B685" s="862">
        <v>44464</v>
      </c>
      <c r="C685" s="493" t="s">
        <v>1980</v>
      </c>
      <c r="D685" s="376" t="str">
        <f>IFERROR(VLOOKUP(E:E,'Item Data Support Sheet'!A:O,7,0),"")</f>
        <v>NIPPLE LASER MARKING</v>
      </c>
      <c r="E685" s="447" t="s">
        <v>1814</v>
      </c>
      <c r="F685" s="500"/>
      <c r="G685" s="497" t="s">
        <v>1812</v>
      </c>
      <c r="H685" s="602" t="str">
        <f>IFERROR(VLOOKUP(E:E,'Item Data Support Sheet'!A:O,2,0),"")</f>
        <v>NIPPLE S TYPE S SIZE PUNCHED LASER MARKED</v>
      </c>
      <c r="I685" s="501"/>
      <c r="J685" s="501" t="s">
        <v>2808</v>
      </c>
      <c r="K685" s="438">
        <v>8</v>
      </c>
      <c r="L685" s="499">
        <v>7000</v>
      </c>
      <c r="M685" s="366">
        <f t="shared" si="209"/>
        <v>875</v>
      </c>
      <c r="N685" s="367">
        <f t="shared" si="193"/>
        <v>6700</v>
      </c>
      <c r="O685" s="61">
        <v>6700</v>
      </c>
      <c r="P685" s="368">
        <v>0</v>
      </c>
      <c r="Q685" s="368">
        <v>0</v>
      </c>
      <c r="R685" s="494">
        <v>0</v>
      </c>
      <c r="S685" s="493">
        <v>0</v>
      </c>
      <c r="T685" s="494">
        <v>0</v>
      </c>
      <c r="U685" s="493">
        <v>0</v>
      </c>
      <c r="V685" s="502">
        <v>1</v>
      </c>
      <c r="W685" s="453">
        <f t="shared" si="195"/>
        <v>6700</v>
      </c>
      <c r="X685" s="748">
        <f t="shared" si="196"/>
        <v>0.95714285714285718</v>
      </c>
      <c r="Y685" s="451" t="str">
        <f>IFERROR(VLOOKUP(E:E,'Item Data Support Sheet'!A:J,6,0),0)</f>
        <v>FO019</v>
      </c>
      <c r="Z685" s="428">
        <f>IFERROR(VLOOKUP(E:E,'Item Data Support Sheet'!A:O,4,0),0)</f>
        <v>0</v>
      </c>
      <c r="AA685" s="428">
        <f t="shared" si="197"/>
        <v>0</v>
      </c>
      <c r="AB685" s="429" t="str">
        <f t="shared" si="198"/>
        <v xml:space="preserve"> </v>
      </c>
      <c r="AC685" s="424">
        <f t="shared" si="199"/>
        <v>0</v>
      </c>
      <c r="AD685" s="371">
        <f t="shared" si="200"/>
        <v>0</v>
      </c>
      <c r="AE685" s="748">
        <f t="shared" si="201"/>
        <v>1</v>
      </c>
      <c r="AF685" s="417">
        <f t="shared" si="202"/>
        <v>0.66666666666666663</v>
      </c>
      <c r="AG685" s="416">
        <f t="shared" si="203"/>
        <v>7.333333333333333</v>
      </c>
      <c r="AH685" s="372">
        <f t="shared" si="204"/>
        <v>0.91666666666666663</v>
      </c>
      <c r="AI685" s="373">
        <f t="shared" si="205"/>
        <v>837.5</v>
      </c>
      <c r="AJ685" s="418">
        <f>VLOOKUP(D685,'Standard Cycle time'!C:D,2,0)</f>
        <v>3.5</v>
      </c>
      <c r="AK685" s="418">
        <f t="shared" si="206"/>
        <v>3.9402985074626864</v>
      </c>
      <c r="AL685" s="374">
        <f t="shared" si="207"/>
        <v>0.8882575757575758</v>
      </c>
      <c r="AM685" s="372">
        <f t="shared" si="208"/>
        <v>0.81423611111111116</v>
      </c>
      <c r="AN685" s="799" t="s">
        <v>3343</v>
      </c>
      <c r="AO685" s="448" t="s">
        <v>3344</v>
      </c>
      <c r="AP685" s="440">
        <v>40</v>
      </c>
      <c r="AQ685" s="440">
        <v>0</v>
      </c>
      <c r="AR685" s="440">
        <v>0</v>
      </c>
      <c r="AS685" s="440">
        <v>0</v>
      </c>
      <c r="AT685" s="440">
        <v>0</v>
      </c>
      <c r="AU685" s="440">
        <v>0</v>
      </c>
      <c r="AV685" s="440">
        <v>0</v>
      </c>
      <c r="AW685" s="440">
        <v>0</v>
      </c>
      <c r="AX685" s="440">
        <v>0</v>
      </c>
      <c r="AY685" s="440">
        <v>0</v>
      </c>
      <c r="AZ685" s="440">
        <v>0</v>
      </c>
      <c r="BA685" s="440">
        <v>0</v>
      </c>
      <c r="BB685" s="440">
        <v>0</v>
      </c>
      <c r="BC685" s="440">
        <v>0</v>
      </c>
      <c r="BD685" s="440">
        <v>0</v>
      </c>
      <c r="BE685" s="440">
        <v>0</v>
      </c>
      <c r="BF685" s="440">
        <v>0</v>
      </c>
      <c r="BG685" s="440">
        <v>0</v>
      </c>
      <c r="BH685" s="440">
        <v>0</v>
      </c>
      <c r="BI685" s="440">
        <v>0</v>
      </c>
      <c r="BJ685" s="440">
        <v>0</v>
      </c>
      <c r="BK685" s="440">
        <v>0</v>
      </c>
      <c r="BL685" s="440">
        <v>0</v>
      </c>
      <c r="BM685" s="440">
        <v>0</v>
      </c>
      <c r="BN685" s="440">
        <v>0</v>
      </c>
      <c r="BO685" s="440">
        <v>0</v>
      </c>
      <c r="BP685" s="440">
        <v>0</v>
      </c>
      <c r="BQ685" s="440">
        <v>0</v>
      </c>
      <c r="BR685" s="415">
        <v>0.66666666666666663</v>
      </c>
      <c r="BS685" s="415">
        <v>0.6777777777777777</v>
      </c>
      <c r="BT685" s="935"/>
      <c r="BU685" s="935"/>
      <c r="BV685" s="935"/>
      <c r="BW685" s="935"/>
      <c r="BX685" s="935"/>
      <c r="BY685" s="935"/>
      <c r="BZ685" s="935"/>
      <c r="CA685" s="935"/>
      <c r="CB685" s="935"/>
      <c r="CC685" s="935"/>
      <c r="CD685" s="935"/>
      <c r="CE685" s="935"/>
      <c r="CF685" s="935"/>
      <c r="CG685" s="935"/>
      <c r="CH685" s="935"/>
      <c r="CI685" s="935"/>
      <c r="CJ685" s="935"/>
      <c r="CK685" s="935"/>
      <c r="CL685" s="935"/>
      <c r="CM685" s="935"/>
      <c r="CN685" s="935"/>
      <c r="CO685" s="935"/>
      <c r="CP685" s="935"/>
      <c r="CQ685" s="935"/>
      <c r="CR685" s="935"/>
      <c r="CS685" s="935"/>
      <c r="CT685" s="935"/>
      <c r="CU685" s="935"/>
      <c r="CV685" s="935"/>
    </row>
    <row r="686" spans="1:100" s="441" customFormat="1">
      <c r="A686" s="375">
        <f t="shared" si="194"/>
        <v>9</v>
      </c>
      <c r="B686" s="862">
        <v>44464</v>
      </c>
      <c r="C686" s="493" t="s">
        <v>1980</v>
      </c>
      <c r="D686" s="376" t="str">
        <f>IFERROR(VLOOKUP(E:E,'Item Data Support Sheet'!A:O,7,0),"")</f>
        <v>BOTTLE MOLDED</v>
      </c>
      <c r="E686" s="447" t="s">
        <v>117</v>
      </c>
      <c r="F686" s="500" t="s">
        <v>1679</v>
      </c>
      <c r="G686" s="497" t="s">
        <v>1888</v>
      </c>
      <c r="H686" s="602" t="str">
        <f>IFERROR(VLOOKUP(E:E,'Item Data Support Sheet'!A:O,2,0),"")</f>
        <v>KPP BOTTLE 120 ML MOULDED-WMG3B</v>
      </c>
      <c r="I686" s="501" t="s">
        <v>3345</v>
      </c>
      <c r="J686" s="501" t="s">
        <v>2808</v>
      </c>
      <c r="K686" s="438">
        <v>5</v>
      </c>
      <c r="L686" s="499">
        <v>1575</v>
      </c>
      <c r="M686" s="366">
        <f t="shared" si="209"/>
        <v>315</v>
      </c>
      <c r="N686" s="367">
        <f t="shared" si="193"/>
        <v>1524</v>
      </c>
      <c r="O686" s="61">
        <v>1440</v>
      </c>
      <c r="P686" s="368">
        <v>1.4</v>
      </c>
      <c r="Q686" s="368">
        <v>44</v>
      </c>
      <c r="R686" s="494">
        <v>0</v>
      </c>
      <c r="S686" s="493">
        <v>0</v>
      </c>
      <c r="T686" s="494">
        <v>32</v>
      </c>
      <c r="U686" s="493">
        <v>8</v>
      </c>
      <c r="V686" s="502">
        <v>1</v>
      </c>
      <c r="W686" s="453">
        <f t="shared" si="195"/>
        <v>1440</v>
      </c>
      <c r="X686" s="748">
        <f t="shared" si="196"/>
        <v>0.91428571428571426</v>
      </c>
      <c r="Y686" s="451" t="str">
        <f>IFERROR(VLOOKUP(E:E,'Item Data Support Sheet'!A:J,6,0),0)</f>
        <v>WMG3B</v>
      </c>
      <c r="Z686" s="428">
        <f>IFERROR(VLOOKUP(E:E,'Item Data Support Sheet'!A:O,4,0),0)</f>
        <v>22.7</v>
      </c>
      <c r="AA686" s="428">
        <f t="shared" si="197"/>
        <v>35.994799999999998</v>
      </c>
      <c r="AB686" s="429">
        <f t="shared" si="198"/>
        <v>0.90813117450298364</v>
      </c>
      <c r="AC686" s="424">
        <f t="shared" si="199"/>
        <v>2.1739130434782608E-2</v>
      </c>
      <c r="AD686" s="371">
        <f t="shared" si="200"/>
        <v>2.8061224489795918E-2</v>
      </c>
      <c r="AE686" s="748">
        <f t="shared" si="201"/>
        <v>0.97900262467191601</v>
      </c>
      <c r="AF686" s="417">
        <f t="shared" si="202"/>
        <v>1</v>
      </c>
      <c r="AG686" s="416">
        <f t="shared" si="203"/>
        <v>4</v>
      </c>
      <c r="AH686" s="372">
        <f t="shared" si="204"/>
        <v>0.8</v>
      </c>
      <c r="AI686" s="373">
        <f t="shared" si="205"/>
        <v>288</v>
      </c>
      <c r="AJ686" s="418">
        <f>VLOOKUP(D686,'Standard Cycle time'!C:D,2,0)</f>
        <v>9</v>
      </c>
      <c r="AK686" s="418">
        <f t="shared" si="206"/>
        <v>10</v>
      </c>
      <c r="AL686" s="374">
        <f t="shared" si="207"/>
        <v>0.9</v>
      </c>
      <c r="AM686" s="372">
        <f t="shared" si="208"/>
        <v>0.70488188976377952</v>
      </c>
      <c r="AN686" s="799">
        <v>3591</v>
      </c>
      <c r="AO686" s="448" t="s">
        <v>3346</v>
      </c>
      <c r="AP686" s="440">
        <v>0</v>
      </c>
      <c r="AQ686" s="440">
        <v>0</v>
      </c>
      <c r="AR686" s="440">
        <v>0</v>
      </c>
      <c r="AS686" s="440">
        <v>0</v>
      </c>
      <c r="AT686" s="440">
        <v>0</v>
      </c>
      <c r="AU686" s="440">
        <v>0</v>
      </c>
      <c r="AV686" s="440">
        <v>0</v>
      </c>
      <c r="AW686" s="440">
        <v>0</v>
      </c>
      <c r="AX686" s="440">
        <v>0</v>
      </c>
      <c r="AY686" s="440">
        <v>0</v>
      </c>
      <c r="AZ686" s="440">
        <v>0</v>
      </c>
      <c r="BA686" s="440">
        <v>0</v>
      </c>
      <c r="BB686" s="440">
        <v>0</v>
      </c>
      <c r="BC686" s="440">
        <v>0</v>
      </c>
      <c r="BD686" s="440">
        <v>0</v>
      </c>
      <c r="BE686" s="440">
        <v>0</v>
      </c>
      <c r="BF686" s="440">
        <v>0</v>
      </c>
      <c r="BG686" s="440">
        <v>0</v>
      </c>
      <c r="BH686" s="440">
        <v>0</v>
      </c>
      <c r="BI686" s="440">
        <v>0</v>
      </c>
      <c r="BJ686" s="440">
        <v>0</v>
      </c>
      <c r="BK686" s="440">
        <v>0</v>
      </c>
      <c r="BL686" s="440">
        <v>0</v>
      </c>
      <c r="BM686" s="440">
        <v>60</v>
      </c>
      <c r="BN686" s="440">
        <v>0</v>
      </c>
      <c r="BO686" s="440">
        <v>0</v>
      </c>
      <c r="BP686" s="440">
        <v>0</v>
      </c>
      <c r="BQ686" s="440">
        <v>0</v>
      </c>
      <c r="BR686" s="415">
        <v>1</v>
      </c>
      <c r="BS686" s="415">
        <v>1.0166666666666666</v>
      </c>
      <c r="BT686" s="935"/>
      <c r="BU686" s="935"/>
      <c r="BV686" s="935"/>
      <c r="BW686" s="935"/>
      <c r="BX686" s="935"/>
      <c r="BY686" s="935"/>
      <c r="BZ686" s="935"/>
      <c r="CA686" s="935"/>
      <c r="CB686" s="935"/>
      <c r="CC686" s="935"/>
      <c r="CD686" s="935"/>
      <c r="CE686" s="935"/>
      <c r="CF686" s="935"/>
      <c r="CG686" s="935"/>
      <c r="CH686" s="935"/>
      <c r="CI686" s="935"/>
      <c r="CJ686" s="935"/>
      <c r="CK686" s="935"/>
      <c r="CL686" s="935"/>
      <c r="CM686" s="935"/>
      <c r="CN686" s="935"/>
      <c r="CO686" s="935"/>
      <c r="CP686" s="935"/>
      <c r="CQ686" s="935"/>
      <c r="CR686" s="935"/>
      <c r="CS686" s="935"/>
      <c r="CT686" s="935"/>
      <c r="CU686" s="935"/>
      <c r="CV686" s="935"/>
    </row>
    <row r="687" spans="1:100" s="441" customFormat="1">
      <c r="A687" s="375">
        <f t="shared" si="194"/>
        <v>9</v>
      </c>
      <c r="B687" s="862">
        <v>44464</v>
      </c>
      <c r="C687" s="493" t="s">
        <v>1980</v>
      </c>
      <c r="D687" s="376" t="str">
        <f>IFERROR(VLOOKUP(E:E,'Item Data Support Sheet'!A:O,7,0),"")</f>
        <v>CAP MOLDED</v>
      </c>
      <c r="E687" s="447" t="s">
        <v>2108</v>
      </c>
      <c r="F687" s="500"/>
      <c r="G687" s="497" t="s">
        <v>3212</v>
      </c>
      <c r="H687" s="602" t="str">
        <f>IFERROR(VLOOKUP(E:E,'Item Data Support Sheet'!A:O,2,0),"")</f>
        <v>CAP S TYPE MOLDED BLUE</v>
      </c>
      <c r="I687" s="501" t="s">
        <v>3347</v>
      </c>
      <c r="J687" s="501" t="s">
        <v>2808</v>
      </c>
      <c r="K687" s="438">
        <v>8</v>
      </c>
      <c r="L687" s="499">
        <v>4137</v>
      </c>
      <c r="M687" s="366">
        <f t="shared" si="209"/>
        <v>517.125</v>
      </c>
      <c r="N687" s="367">
        <f t="shared" si="193"/>
        <v>4300</v>
      </c>
      <c r="O687" s="61">
        <v>4300</v>
      </c>
      <c r="P687" s="368">
        <v>0</v>
      </c>
      <c r="Q687" s="368">
        <v>0</v>
      </c>
      <c r="R687" s="494">
        <v>0</v>
      </c>
      <c r="S687" s="493">
        <v>0</v>
      </c>
      <c r="T687" s="494">
        <v>0</v>
      </c>
      <c r="U687" s="493">
        <v>0</v>
      </c>
      <c r="V687" s="502">
        <v>1</v>
      </c>
      <c r="W687" s="453">
        <f t="shared" si="195"/>
        <v>4300</v>
      </c>
      <c r="X687" s="748">
        <f t="shared" si="196"/>
        <v>1.0394005317863186</v>
      </c>
      <c r="Y687" s="451" t="str">
        <f>IFERROR(VLOOKUP(E:E,'Item Data Support Sheet'!A:J,6,0),0)</f>
        <v>RM000114</v>
      </c>
      <c r="Z687" s="428">
        <f>IFERROR(VLOOKUP(E:E,'Item Data Support Sheet'!A:O,4,0),0)</f>
        <v>7.3</v>
      </c>
      <c r="AA687" s="428">
        <f t="shared" si="197"/>
        <v>31.39</v>
      </c>
      <c r="AB687" s="429">
        <f t="shared" si="198"/>
        <v>1</v>
      </c>
      <c r="AC687" s="424">
        <f t="shared" si="199"/>
        <v>0</v>
      </c>
      <c r="AD687" s="371">
        <f t="shared" si="200"/>
        <v>0</v>
      </c>
      <c r="AE687" s="748">
        <f t="shared" si="201"/>
        <v>1</v>
      </c>
      <c r="AF687" s="417">
        <f t="shared" si="202"/>
        <v>0</v>
      </c>
      <c r="AG687" s="416">
        <f t="shared" si="203"/>
        <v>8</v>
      </c>
      <c r="AH687" s="372">
        <f t="shared" si="204"/>
        <v>1</v>
      </c>
      <c r="AI687" s="373">
        <f t="shared" si="205"/>
        <v>537.5</v>
      </c>
      <c r="AJ687" s="418">
        <f>VLOOKUP(D687,'Standard Cycle time'!C:D,2,0)</f>
        <v>6</v>
      </c>
      <c r="AK687" s="418">
        <f t="shared" si="206"/>
        <v>6.6976744186046515</v>
      </c>
      <c r="AL687" s="374">
        <f t="shared" si="207"/>
        <v>0.89583333333333326</v>
      </c>
      <c r="AM687" s="372">
        <f t="shared" si="208"/>
        <v>0.89583333333333326</v>
      </c>
      <c r="AN687" s="799">
        <v>3592</v>
      </c>
      <c r="AO687" s="448"/>
      <c r="AP687" s="440">
        <v>0</v>
      </c>
      <c r="AQ687" s="440">
        <v>0</v>
      </c>
      <c r="AR687" s="440">
        <v>0</v>
      </c>
      <c r="AS687" s="440">
        <v>0</v>
      </c>
      <c r="AT687" s="440">
        <v>0</v>
      </c>
      <c r="AU687" s="440">
        <v>0</v>
      </c>
      <c r="AV687" s="440">
        <v>0</v>
      </c>
      <c r="AW687" s="440">
        <v>0</v>
      </c>
      <c r="AX687" s="440">
        <v>0</v>
      </c>
      <c r="AY687" s="440">
        <v>0</v>
      </c>
      <c r="AZ687" s="440">
        <v>0</v>
      </c>
      <c r="BA687" s="440">
        <v>0</v>
      </c>
      <c r="BB687" s="440">
        <v>0</v>
      </c>
      <c r="BC687" s="440">
        <v>0</v>
      </c>
      <c r="BD687" s="440">
        <v>0</v>
      </c>
      <c r="BE687" s="440">
        <v>0</v>
      </c>
      <c r="BF687" s="440">
        <v>0</v>
      </c>
      <c r="BG687" s="440">
        <v>0</v>
      </c>
      <c r="BH687" s="440">
        <v>0</v>
      </c>
      <c r="BI687" s="440">
        <v>0</v>
      </c>
      <c r="BJ687" s="440">
        <v>0</v>
      </c>
      <c r="BK687" s="440">
        <v>0</v>
      </c>
      <c r="BL687" s="440">
        <v>0</v>
      </c>
      <c r="BM687" s="440">
        <v>0</v>
      </c>
      <c r="BN687" s="440">
        <v>0</v>
      </c>
      <c r="BO687" s="440">
        <v>0</v>
      </c>
      <c r="BP687" s="440">
        <v>0</v>
      </c>
      <c r="BQ687" s="440">
        <v>0</v>
      </c>
      <c r="BR687" s="415">
        <v>0</v>
      </c>
      <c r="BS687" s="415">
        <v>0</v>
      </c>
      <c r="BT687" s="935"/>
      <c r="BU687" s="935"/>
      <c r="BV687" s="935"/>
      <c r="BW687" s="935"/>
      <c r="BX687" s="935"/>
      <c r="BY687" s="935"/>
      <c r="BZ687" s="935"/>
      <c r="CA687" s="935"/>
      <c r="CB687" s="935"/>
      <c r="CC687" s="935"/>
      <c r="CD687" s="935"/>
      <c r="CE687" s="935"/>
      <c r="CF687" s="935"/>
      <c r="CG687" s="935"/>
      <c r="CH687" s="935"/>
      <c r="CI687" s="935"/>
      <c r="CJ687" s="935"/>
      <c r="CK687" s="935"/>
      <c r="CL687" s="935"/>
      <c r="CM687" s="935"/>
      <c r="CN687" s="935"/>
      <c r="CO687" s="935"/>
      <c r="CP687" s="935"/>
      <c r="CQ687" s="935"/>
      <c r="CR687" s="935"/>
      <c r="CS687" s="935"/>
      <c r="CT687" s="935"/>
      <c r="CU687" s="935"/>
      <c r="CV687" s="935"/>
    </row>
    <row r="688" spans="1:100" s="441" customFormat="1">
      <c r="A688" s="375">
        <f t="shared" si="194"/>
        <v>9</v>
      </c>
      <c r="B688" s="862">
        <v>44464</v>
      </c>
      <c r="C688" s="493" t="s">
        <v>2000</v>
      </c>
      <c r="D688" s="376" t="str">
        <f>IFERROR(VLOOKUP(E:E,'Item Data Support Sheet'!A:O,7,0),"")</f>
        <v>BOTTLE PRINTED</v>
      </c>
      <c r="E688" s="447" t="s">
        <v>358</v>
      </c>
      <c r="F688" s="500"/>
      <c r="G688" s="497"/>
      <c r="H688" s="602" t="str">
        <f>IFERROR(VLOOKUP(E:E,'Item Data Support Sheet'!A:O,2,0),"")</f>
        <v>RPP 120ML FLORAL PNK BOTLE PNTD WM3GB W/BIS LOGO</v>
      </c>
      <c r="I688" s="501" t="s">
        <v>3348</v>
      </c>
      <c r="J688" s="501" t="s">
        <v>2813</v>
      </c>
      <c r="K688" s="438">
        <v>3</v>
      </c>
      <c r="L688" s="499">
        <v>1300</v>
      </c>
      <c r="M688" s="366">
        <f t="shared" si="209"/>
        <v>433.33333333333331</v>
      </c>
      <c r="N688" s="367">
        <f t="shared" si="193"/>
        <v>1193</v>
      </c>
      <c r="O688" s="61">
        <v>1175</v>
      </c>
      <c r="P688" s="368">
        <v>0</v>
      </c>
      <c r="Q688" s="368">
        <v>0</v>
      </c>
      <c r="R688" s="494">
        <v>21</v>
      </c>
      <c r="S688" s="493">
        <v>0</v>
      </c>
      <c r="T688" s="494">
        <v>18</v>
      </c>
      <c r="U688" s="493">
        <v>0</v>
      </c>
      <c r="V688" s="502">
        <v>5</v>
      </c>
      <c r="W688" s="453">
        <f t="shared" si="195"/>
        <v>235</v>
      </c>
      <c r="X688" s="748">
        <f t="shared" si="196"/>
        <v>0.90384615384615385</v>
      </c>
      <c r="Y688" s="451" t="str">
        <f>IFERROR(VLOOKUP(E:E,'Item Data Support Sheet'!A:J,6,0),0)</f>
        <v>FO052</v>
      </c>
      <c r="Z688" s="428">
        <f>IFERROR(VLOOKUP(E:E,'Item Data Support Sheet'!A:O,4,0),0)</f>
        <v>0</v>
      </c>
      <c r="AA688" s="428">
        <f t="shared" si="197"/>
        <v>0</v>
      </c>
      <c r="AB688" s="429" t="str">
        <f t="shared" si="198"/>
        <v xml:space="preserve"> </v>
      </c>
      <c r="AC688" s="424">
        <f t="shared" si="199"/>
        <v>1.5088013411567477E-2</v>
      </c>
      <c r="AD688" s="371">
        <f t="shared" si="200"/>
        <v>0</v>
      </c>
      <c r="AE688" s="748">
        <f t="shared" si="201"/>
        <v>0.98491198658843249</v>
      </c>
      <c r="AF688" s="417">
        <f t="shared" si="202"/>
        <v>0.66666666666666663</v>
      </c>
      <c r="AG688" s="416">
        <f t="shared" si="203"/>
        <v>2.3333333333333335</v>
      </c>
      <c r="AH688" s="372">
        <f t="shared" si="204"/>
        <v>0.77777777777777779</v>
      </c>
      <c r="AI688" s="373">
        <f t="shared" si="205"/>
        <v>391.66666666666669</v>
      </c>
      <c r="AJ688" s="418">
        <f>VLOOKUP(D688,'Standard Cycle time'!C:D,2,0)</f>
        <v>32.4</v>
      </c>
      <c r="AK688" s="418">
        <f t="shared" si="206"/>
        <v>35.744680851063833</v>
      </c>
      <c r="AL688" s="374">
        <f t="shared" si="207"/>
        <v>0.90642857142857125</v>
      </c>
      <c r="AM688" s="372">
        <f t="shared" si="208"/>
        <v>0.69436295054484476</v>
      </c>
      <c r="AN688" s="799" t="s">
        <v>2874</v>
      </c>
      <c r="AO688" s="448" t="s">
        <v>3349</v>
      </c>
      <c r="AP688" s="440">
        <v>10</v>
      </c>
      <c r="AQ688" s="440">
        <v>30</v>
      </c>
      <c r="AR688" s="440">
        <v>0</v>
      </c>
      <c r="AS688" s="440">
        <v>0</v>
      </c>
      <c r="AT688" s="440">
        <v>0</v>
      </c>
      <c r="AU688" s="440">
        <v>0</v>
      </c>
      <c r="AV688" s="440">
        <v>0</v>
      </c>
      <c r="AW688" s="440">
        <v>0</v>
      </c>
      <c r="AX688" s="440">
        <v>0</v>
      </c>
      <c r="AY688" s="440">
        <v>0</v>
      </c>
      <c r="AZ688" s="440">
        <v>0</v>
      </c>
      <c r="BA688" s="440">
        <v>0</v>
      </c>
      <c r="BB688" s="440">
        <v>0</v>
      </c>
      <c r="BC688" s="440">
        <v>0</v>
      </c>
      <c r="BD688" s="440">
        <v>0</v>
      </c>
      <c r="BE688" s="440">
        <v>0</v>
      </c>
      <c r="BF688" s="440">
        <v>0</v>
      </c>
      <c r="BG688" s="440">
        <v>0</v>
      </c>
      <c r="BH688" s="440">
        <v>0</v>
      </c>
      <c r="BI688" s="440">
        <v>0</v>
      </c>
      <c r="BJ688" s="440">
        <v>0</v>
      </c>
      <c r="BK688" s="440">
        <v>0</v>
      </c>
      <c r="BL688" s="440">
        <v>0</v>
      </c>
      <c r="BM688" s="440">
        <v>0</v>
      </c>
      <c r="BN688" s="440">
        <v>0</v>
      </c>
      <c r="BO688" s="440">
        <v>0</v>
      </c>
      <c r="BP688" s="440">
        <v>0</v>
      </c>
      <c r="BQ688" s="440">
        <v>0</v>
      </c>
      <c r="BR688" s="415">
        <v>0.66666666666666663</v>
      </c>
      <c r="BS688" s="415">
        <v>0.6777777777777777</v>
      </c>
      <c r="BT688" s="935"/>
      <c r="BU688" s="935"/>
      <c r="BV688" s="935"/>
      <c r="BW688" s="935"/>
      <c r="BX688" s="935"/>
      <c r="BY688" s="935"/>
      <c r="BZ688" s="935"/>
      <c r="CA688" s="935"/>
      <c r="CB688" s="935"/>
      <c r="CC688" s="935"/>
      <c r="CD688" s="935"/>
      <c r="CE688" s="935"/>
      <c r="CF688" s="935"/>
      <c r="CG688" s="935"/>
      <c r="CH688" s="935"/>
      <c r="CI688" s="935"/>
      <c r="CJ688" s="935"/>
      <c r="CK688" s="935"/>
      <c r="CL688" s="935"/>
      <c r="CM688" s="935"/>
      <c r="CN688" s="935"/>
      <c r="CO688" s="935"/>
      <c r="CP688" s="935"/>
      <c r="CQ688" s="935"/>
      <c r="CR688" s="935"/>
      <c r="CS688" s="935"/>
      <c r="CT688" s="935"/>
      <c r="CU688" s="935"/>
      <c r="CV688" s="935"/>
    </row>
    <row r="689" spans="1:100" s="441" customFormat="1">
      <c r="A689" s="375">
        <f t="shared" si="194"/>
        <v>9</v>
      </c>
      <c r="B689" s="862">
        <v>44464</v>
      </c>
      <c r="C689" s="493" t="s">
        <v>2000</v>
      </c>
      <c r="D689" s="376" t="str">
        <f>IFERROR(VLOOKUP(E:E,'Item Data Support Sheet'!A:O,7,0),"")</f>
        <v>BOTTLE PRINTED</v>
      </c>
      <c r="E689" s="447" t="s">
        <v>359</v>
      </c>
      <c r="F689" s="500"/>
      <c r="G689" s="497"/>
      <c r="H689" s="602" t="str">
        <f>IFERROR(VLOOKUP(E:E,'Item Data Support Sheet'!A:O,2,0),"")</f>
        <v>RPP 240ML FLORAL PNK BOTLE PNTD WM3GB W/BIS LOGO</v>
      </c>
      <c r="I689" s="501" t="s">
        <v>3350</v>
      </c>
      <c r="J689" s="501" t="s">
        <v>2813</v>
      </c>
      <c r="K689" s="438">
        <v>2.5</v>
      </c>
      <c r="L689" s="499">
        <v>1050</v>
      </c>
      <c r="M689" s="366">
        <f t="shared" si="209"/>
        <v>420</v>
      </c>
      <c r="N689" s="367">
        <f t="shared" si="193"/>
        <v>913</v>
      </c>
      <c r="O689" s="61">
        <v>902</v>
      </c>
      <c r="P689" s="368">
        <v>0</v>
      </c>
      <c r="Q689" s="368">
        <v>0</v>
      </c>
      <c r="R689" s="494">
        <v>4</v>
      </c>
      <c r="S689" s="493">
        <v>0</v>
      </c>
      <c r="T689" s="494">
        <v>11</v>
      </c>
      <c r="U689" s="493">
        <v>0</v>
      </c>
      <c r="V689" s="502">
        <v>5</v>
      </c>
      <c r="W689" s="453">
        <f t="shared" si="195"/>
        <v>180.4</v>
      </c>
      <c r="X689" s="748">
        <f t="shared" si="196"/>
        <v>0.85904761904761906</v>
      </c>
      <c r="Y689" s="451" t="str">
        <f>IFERROR(VLOOKUP(E:E,'Item Data Support Sheet'!A:J,6,0),0)</f>
        <v>FO053</v>
      </c>
      <c r="Z689" s="428">
        <f>IFERROR(VLOOKUP(E:E,'Item Data Support Sheet'!A:O,4,0),0)</f>
        <v>0</v>
      </c>
      <c r="AA689" s="428">
        <f t="shared" si="197"/>
        <v>0</v>
      </c>
      <c r="AB689" s="429" t="str">
        <f t="shared" si="198"/>
        <v xml:space="preserve"> </v>
      </c>
      <c r="AC689" s="424">
        <f t="shared" si="199"/>
        <v>1.2048192771084338E-2</v>
      </c>
      <c r="AD689" s="371">
        <f t="shared" si="200"/>
        <v>0</v>
      </c>
      <c r="AE689" s="748">
        <f t="shared" si="201"/>
        <v>0.98795180722891562</v>
      </c>
      <c r="AF689" s="417">
        <f t="shared" si="202"/>
        <v>0.5</v>
      </c>
      <c r="AG689" s="416">
        <f t="shared" si="203"/>
        <v>2</v>
      </c>
      <c r="AH689" s="372">
        <f t="shared" si="204"/>
        <v>0.8</v>
      </c>
      <c r="AI689" s="373">
        <f t="shared" si="205"/>
        <v>360.8</v>
      </c>
      <c r="AJ689" s="418">
        <f>VLOOKUP(D689,'Standard Cycle time'!C:D,2,0)</f>
        <v>32.4</v>
      </c>
      <c r="AK689" s="418">
        <f t="shared" si="206"/>
        <v>39.911308203991133</v>
      </c>
      <c r="AL689" s="374">
        <f t="shared" si="207"/>
        <v>0.81179999999999997</v>
      </c>
      <c r="AM689" s="372">
        <f t="shared" si="208"/>
        <v>0.64161542168674701</v>
      </c>
      <c r="AN689" s="799" t="s">
        <v>2874</v>
      </c>
      <c r="AO689" s="448"/>
      <c r="AP689" s="440">
        <v>30</v>
      </c>
      <c r="AQ689" s="440">
        <v>0</v>
      </c>
      <c r="AR689" s="440">
        <v>0</v>
      </c>
      <c r="AS689" s="440">
        <v>0</v>
      </c>
      <c r="AT689" s="440">
        <v>0</v>
      </c>
      <c r="AU689" s="440">
        <v>0</v>
      </c>
      <c r="AV689" s="440">
        <v>0</v>
      </c>
      <c r="AW689" s="440">
        <v>0</v>
      </c>
      <c r="AX689" s="440">
        <v>0</v>
      </c>
      <c r="AY689" s="440">
        <v>0</v>
      </c>
      <c r="AZ689" s="440">
        <v>0</v>
      </c>
      <c r="BA689" s="440">
        <v>0</v>
      </c>
      <c r="BB689" s="440">
        <v>0</v>
      </c>
      <c r="BC689" s="440">
        <v>0</v>
      </c>
      <c r="BD689" s="440">
        <v>0</v>
      </c>
      <c r="BE689" s="440">
        <v>0</v>
      </c>
      <c r="BF689" s="440">
        <v>0</v>
      </c>
      <c r="BG689" s="440">
        <v>0</v>
      </c>
      <c r="BH689" s="440">
        <v>0</v>
      </c>
      <c r="BI689" s="440">
        <v>0</v>
      </c>
      <c r="BJ689" s="440">
        <v>0</v>
      </c>
      <c r="BK689" s="440">
        <v>0</v>
      </c>
      <c r="BL689" s="440">
        <v>0</v>
      </c>
      <c r="BM689" s="440">
        <v>0</v>
      </c>
      <c r="BN689" s="440">
        <v>0</v>
      </c>
      <c r="BO689" s="440">
        <v>0</v>
      </c>
      <c r="BP689" s="440">
        <v>0</v>
      </c>
      <c r="BQ689" s="440">
        <v>0</v>
      </c>
      <c r="BR689" s="415">
        <v>0.5</v>
      </c>
      <c r="BS689" s="415">
        <v>0.5083333333333333</v>
      </c>
      <c r="BT689" s="935"/>
      <c r="BU689" s="935"/>
      <c r="BV689" s="935"/>
      <c r="BW689" s="935"/>
      <c r="BX689" s="935"/>
      <c r="BY689" s="935"/>
      <c r="BZ689" s="935"/>
      <c r="CA689" s="935"/>
      <c r="CB689" s="935"/>
      <c r="CC689" s="935"/>
      <c r="CD689" s="935"/>
      <c r="CE689" s="935"/>
      <c r="CF689" s="935"/>
      <c r="CG689" s="935"/>
      <c r="CH689" s="935"/>
      <c r="CI689" s="935"/>
      <c r="CJ689" s="935"/>
      <c r="CK689" s="935"/>
      <c r="CL689" s="935"/>
      <c r="CM689" s="935"/>
      <c r="CN689" s="935"/>
      <c r="CO689" s="935"/>
      <c r="CP689" s="935"/>
      <c r="CQ689" s="935"/>
      <c r="CR689" s="935"/>
      <c r="CS689" s="935"/>
      <c r="CT689" s="935"/>
      <c r="CU689" s="935"/>
      <c r="CV689" s="935"/>
    </row>
    <row r="690" spans="1:100" s="441" customFormat="1">
      <c r="A690" s="375">
        <f t="shared" si="194"/>
        <v>9</v>
      </c>
      <c r="B690" s="862">
        <v>44464</v>
      </c>
      <c r="C690" s="493" t="s">
        <v>2000</v>
      </c>
      <c r="D690" s="376" t="str">
        <f>IFERROR(VLOOKUP(E:E,'Item Data Support Sheet'!A:O,7,0),"")</f>
        <v>BOTTLE PRINTED</v>
      </c>
      <c r="E690" s="447" t="s">
        <v>368</v>
      </c>
      <c r="F690" s="500"/>
      <c r="G690" s="497"/>
      <c r="H690" s="602" t="str">
        <f>IFERROR(VLOOKUP(E:E,'Item Data Support Sheet'!A:O,2,0),"")</f>
        <v>RPP 240ML FLORAL BLUE BOTLE PNTD WM3GB W/BIS LOGO</v>
      </c>
      <c r="I690" s="501"/>
      <c r="J690" s="501" t="s">
        <v>2813</v>
      </c>
      <c r="K690" s="438">
        <v>3</v>
      </c>
      <c r="L690" s="499">
        <v>1300</v>
      </c>
      <c r="M690" s="366">
        <f t="shared" si="209"/>
        <v>433.33333333333331</v>
      </c>
      <c r="N690" s="367">
        <f t="shared" si="193"/>
        <v>988</v>
      </c>
      <c r="O690" s="61">
        <v>972</v>
      </c>
      <c r="P690" s="368">
        <v>0</v>
      </c>
      <c r="Q690" s="368">
        <v>0</v>
      </c>
      <c r="R690" s="494">
        <v>19</v>
      </c>
      <c r="S690" s="493">
        <v>0</v>
      </c>
      <c r="T690" s="494">
        <v>16</v>
      </c>
      <c r="U690" s="493">
        <v>0</v>
      </c>
      <c r="V690" s="502">
        <v>5</v>
      </c>
      <c r="W690" s="453">
        <f t="shared" si="195"/>
        <v>194.4</v>
      </c>
      <c r="X690" s="748">
        <f t="shared" si="196"/>
        <v>0.74769230769230766</v>
      </c>
      <c r="Y690" s="451" t="str">
        <f>IFERROR(VLOOKUP(E:E,'Item Data Support Sheet'!A:J,6,0),0)</f>
        <v>FO055</v>
      </c>
      <c r="Z690" s="428">
        <f>IFERROR(VLOOKUP(E:E,'Item Data Support Sheet'!A:O,4,0),0)</f>
        <v>0</v>
      </c>
      <c r="AA690" s="428">
        <f t="shared" si="197"/>
        <v>0</v>
      </c>
      <c r="AB690" s="429" t="str">
        <f t="shared" si="198"/>
        <v xml:space="preserve"> </v>
      </c>
      <c r="AC690" s="424">
        <f t="shared" si="199"/>
        <v>1.6194331983805668E-2</v>
      </c>
      <c r="AD690" s="371">
        <f t="shared" si="200"/>
        <v>0</v>
      </c>
      <c r="AE690" s="748">
        <f t="shared" si="201"/>
        <v>0.98380566801619429</v>
      </c>
      <c r="AF690" s="417">
        <f t="shared" si="202"/>
        <v>0.83333333333333337</v>
      </c>
      <c r="AG690" s="416">
        <f t="shared" si="203"/>
        <v>2.1666666666666665</v>
      </c>
      <c r="AH690" s="372">
        <f t="shared" si="204"/>
        <v>0.72222222222222221</v>
      </c>
      <c r="AI690" s="373">
        <f t="shared" si="205"/>
        <v>324</v>
      </c>
      <c r="AJ690" s="418">
        <f>VLOOKUP(D690,'Standard Cycle time'!C:D,2,0)</f>
        <v>32.4</v>
      </c>
      <c r="AK690" s="418">
        <f t="shared" si="206"/>
        <v>40.123456790123448</v>
      </c>
      <c r="AL690" s="374">
        <f t="shared" si="207"/>
        <v>0.80750769230769248</v>
      </c>
      <c r="AM690" s="372">
        <f t="shared" si="208"/>
        <v>0.5737554655870446</v>
      </c>
      <c r="AN690" s="799" t="s">
        <v>2874</v>
      </c>
      <c r="AO690" s="448" t="s">
        <v>3351</v>
      </c>
      <c r="AP690" s="440">
        <v>10</v>
      </c>
      <c r="AQ690" s="440">
        <v>40</v>
      </c>
      <c r="AR690" s="440">
        <v>0</v>
      </c>
      <c r="AS690" s="440">
        <v>0</v>
      </c>
      <c r="AT690" s="440">
        <v>0</v>
      </c>
      <c r="AU690" s="440">
        <v>0</v>
      </c>
      <c r="AV690" s="440">
        <v>0</v>
      </c>
      <c r="AW690" s="440">
        <v>0</v>
      </c>
      <c r="AX690" s="440">
        <v>0</v>
      </c>
      <c r="AY690" s="440">
        <v>0</v>
      </c>
      <c r="AZ690" s="440">
        <v>0</v>
      </c>
      <c r="BA690" s="440">
        <v>0</v>
      </c>
      <c r="BB690" s="440">
        <v>0</v>
      </c>
      <c r="BC690" s="440">
        <v>0</v>
      </c>
      <c r="BD690" s="440">
        <v>0</v>
      </c>
      <c r="BE690" s="440">
        <v>0</v>
      </c>
      <c r="BF690" s="440">
        <v>0</v>
      </c>
      <c r="BG690" s="440">
        <v>0</v>
      </c>
      <c r="BH690" s="440">
        <v>0</v>
      </c>
      <c r="BI690" s="440">
        <v>0</v>
      </c>
      <c r="BJ690" s="440">
        <v>0</v>
      </c>
      <c r="BK690" s="440">
        <v>0</v>
      </c>
      <c r="BL690" s="440">
        <v>0</v>
      </c>
      <c r="BM690" s="440">
        <v>0</v>
      </c>
      <c r="BN690" s="440">
        <v>0</v>
      </c>
      <c r="BO690" s="440">
        <v>0</v>
      </c>
      <c r="BP690" s="440">
        <v>0</v>
      </c>
      <c r="BQ690" s="440">
        <v>0</v>
      </c>
      <c r="BR690" s="415">
        <v>0.83333333333333337</v>
      </c>
      <c r="BS690" s="415">
        <v>0.84722222222222221</v>
      </c>
      <c r="BT690" s="935"/>
      <c r="BU690" s="935"/>
      <c r="BV690" s="935"/>
      <c r="BW690" s="935"/>
      <c r="BX690" s="935"/>
      <c r="BY690" s="935"/>
      <c r="BZ690" s="935"/>
      <c r="CA690" s="935"/>
      <c r="CB690" s="935"/>
      <c r="CC690" s="935"/>
      <c r="CD690" s="935"/>
      <c r="CE690" s="935"/>
      <c r="CF690" s="935"/>
      <c r="CG690" s="935"/>
      <c r="CH690" s="935"/>
      <c r="CI690" s="935"/>
      <c r="CJ690" s="935"/>
      <c r="CK690" s="935"/>
      <c r="CL690" s="935"/>
      <c r="CM690" s="935"/>
      <c r="CN690" s="935"/>
      <c r="CO690" s="935"/>
      <c r="CP690" s="935"/>
      <c r="CQ690" s="935"/>
      <c r="CR690" s="935"/>
      <c r="CS690" s="935"/>
      <c r="CT690" s="935"/>
      <c r="CU690" s="935"/>
      <c r="CV690" s="935"/>
    </row>
    <row r="691" spans="1:100" s="441" customFormat="1">
      <c r="A691" s="375">
        <f t="shared" si="194"/>
        <v>9</v>
      </c>
      <c r="B691" s="862">
        <v>44464</v>
      </c>
      <c r="C691" s="493" t="s">
        <v>2000</v>
      </c>
      <c r="D691" s="376" t="str">
        <f>IFERROR(VLOOKUP(E:E,'Item Data Support Sheet'!A:O,7,0),"")</f>
        <v>NIPPLE PUNCH INSPECTED</v>
      </c>
      <c r="E691" s="447" t="s">
        <v>1818</v>
      </c>
      <c r="F691" s="500"/>
      <c r="G691" s="497"/>
      <c r="H691" s="602" t="str">
        <f>IFERROR(VLOOKUP(E:E,'Item Data Support Sheet'!A:O,2,0),"")</f>
        <v>NIPPLE S TYPE S SIZE PUNCHED INSPECTED</v>
      </c>
      <c r="I691" s="501" t="s">
        <v>3327</v>
      </c>
      <c r="J691" s="501" t="s">
        <v>2811</v>
      </c>
      <c r="K691" s="438">
        <v>8</v>
      </c>
      <c r="L691" s="499">
        <v>14182</v>
      </c>
      <c r="M691" s="366">
        <f t="shared" si="209"/>
        <v>1772.75</v>
      </c>
      <c r="N691" s="367">
        <f t="shared" si="193"/>
        <v>14000</v>
      </c>
      <c r="O691" s="61">
        <v>13816</v>
      </c>
      <c r="P691" s="368">
        <v>0</v>
      </c>
      <c r="Q691" s="368">
        <v>0</v>
      </c>
      <c r="R691" s="494">
        <v>0</v>
      </c>
      <c r="S691" s="493">
        <v>0</v>
      </c>
      <c r="T691" s="494">
        <v>184</v>
      </c>
      <c r="U691" s="493">
        <v>0</v>
      </c>
      <c r="V691" s="502">
        <v>2</v>
      </c>
      <c r="W691" s="453">
        <f t="shared" si="195"/>
        <v>6908</v>
      </c>
      <c r="X691" s="748">
        <f t="shared" si="196"/>
        <v>0.97419263855591598</v>
      </c>
      <c r="Y691" s="451" t="str">
        <f>IFERROR(VLOOKUP(E:E,'Item Data Support Sheet'!A:J,6,0),0)</f>
        <v>FO104</v>
      </c>
      <c r="Z691" s="428">
        <f>IFERROR(VLOOKUP(E:E,'Item Data Support Sheet'!A:O,4,0),0)</f>
        <v>0</v>
      </c>
      <c r="AA691" s="428">
        <f t="shared" si="197"/>
        <v>0</v>
      </c>
      <c r="AB691" s="429" t="str">
        <f t="shared" si="198"/>
        <v xml:space="preserve"> </v>
      </c>
      <c r="AC691" s="424">
        <f t="shared" si="199"/>
        <v>1.3142857142857144E-2</v>
      </c>
      <c r="AD691" s="371">
        <f t="shared" si="200"/>
        <v>0</v>
      </c>
      <c r="AE691" s="748">
        <f t="shared" si="201"/>
        <v>0.98685714285714288</v>
      </c>
      <c r="AF691" s="417">
        <f t="shared" si="202"/>
        <v>0.83333333333333337</v>
      </c>
      <c r="AG691" s="416">
        <f t="shared" si="203"/>
        <v>7.166666666666667</v>
      </c>
      <c r="AH691" s="372">
        <f t="shared" si="204"/>
        <v>0.89583333333333337</v>
      </c>
      <c r="AI691" s="373">
        <f t="shared" si="205"/>
        <v>1727</v>
      </c>
      <c r="AJ691" s="418">
        <f>VLOOKUP(D691,'Standard Cycle time'!C:D,2,0)</f>
        <v>4</v>
      </c>
      <c r="AK691" s="418">
        <f t="shared" si="206"/>
        <v>3.7348002316155182</v>
      </c>
      <c r="AL691" s="374">
        <f t="shared" si="207"/>
        <v>1.0710077519379846</v>
      </c>
      <c r="AM691" s="372">
        <f t="shared" si="208"/>
        <v>0.94683460317460333</v>
      </c>
      <c r="AN691" s="799" t="s">
        <v>3352</v>
      </c>
      <c r="AO691" s="448"/>
      <c r="AP691" s="440">
        <v>50</v>
      </c>
      <c r="AQ691" s="440">
        <v>0</v>
      </c>
      <c r="AR691" s="440">
        <v>0</v>
      </c>
      <c r="AS691" s="440">
        <v>0</v>
      </c>
      <c r="AT691" s="440">
        <v>0</v>
      </c>
      <c r="AU691" s="440">
        <v>0</v>
      </c>
      <c r="AV691" s="440">
        <v>0</v>
      </c>
      <c r="AW691" s="440">
        <v>0</v>
      </c>
      <c r="AX691" s="440">
        <v>0</v>
      </c>
      <c r="AY691" s="440">
        <v>0</v>
      </c>
      <c r="AZ691" s="440">
        <v>0</v>
      </c>
      <c r="BA691" s="440">
        <v>0</v>
      </c>
      <c r="BB691" s="440">
        <v>0</v>
      </c>
      <c r="BC691" s="440">
        <v>0</v>
      </c>
      <c r="BD691" s="440">
        <v>0</v>
      </c>
      <c r="BE691" s="440">
        <v>0</v>
      </c>
      <c r="BF691" s="440">
        <v>0</v>
      </c>
      <c r="BG691" s="440">
        <v>0</v>
      </c>
      <c r="BH691" s="440">
        <v>0</v>
      </c>
      <c r="BI691" s="440">
        <v>0</v>
      </c>
      <c r="BJ691" s="440">
        <v>0</v>
      </c>
      <c r="BK691" s="440">
        <v>0</v>
      </c>
      <c r="BL691" s="440">
        <v>0</v>
      </c>
      <c r="BM691" s="440">
        <v>0</v>
      </c>
      <c r="BN691" s="440">
        <v>0</v>
      </c>
      <c r="BO691" s="440">
        <v>0</v>
      </c>
      <c r="BP691" s="440">
        <v>0</v>
      </c>
      <c r="BQ691" s="440">
        <v>0</v>
      </c>
      <c r="BR691" s="415">
        <v>0.83333333333333337</v>
      </c>
      <c r="BS691" s="415">
        <v>0.84722222222222221</v>
      </c>
      <c r="BT691" s="935"/>
      <c r="BU691" s="935"/>
      <c r="BV691" s="935"/>
      <c r="BW691" s="935"/>
      <c r="BX691" s="935"/>
      <c r="BY691" s="935"/>
      <c r="BZ691" s="935"/>
      <c r="CA691" s="935"/>
      <c r="CB691" s="935"/>
      <c r="CC691" s="935"/>
      <c r="CD691" s="935"/>
      <c r="CE691" s="935"/>
      <c r="CF691" s="935"/>
      <c r="CG691" s="935"/>
      <c r="CH691" s="935"/>
      <c r="CI691" s="935"/>
      <c r="CJ691" s="935"/>
      <c r="CK691" s="935"/>
      <c r="CL691" s="935"/>
      <c r="CM691" s="935"/>
      <c r="CN691" s="935"/>
      <c r="CO691" s="935"/>
      <c r="CP691" s="935"/>
      <c r="CQ691" s="935"/>
      <c r="CR691" s="935"/>
      <c r="CS691" s="935"/>
      <c r="CT691" s="935"/>
      <c r="CU691" s="935"/>
      <c r="CV691" s="935"/>
    </row>
    <row r="692" spans="1:100" s="441" customFormat="1">
      <c r="A692" s="375">
        <f t="shared" si="194"/>
        <v>9</v>
      </c>
      <c r="B692" s="862">
        <v>44464</v>
      </c>
      <c r="C692" s="493" t="s">
        <v>2000</v>
      </c>
      <c r="D692" s="376" t="str">
        <f>IFERROR(VLOOKUP(E:E,'Item Data Support Sheet'!A:O,7,0),"")</f>
        <v>NIPPLE WRAP PRINTED</v>
      </c>
      <c r="E692" s="447" t="s">
        <v>111</v>
      </c>
      <c r="F692" s="500"/>
      <c r="G692" s="497"/>
      <c r="H692" s="602" t="str">
        <f>IFERROR(VLOOKUP(E:E,'Item Data Support Sheet'!A:O,2,0),"")</f>
        <v>NIPPLE S TYPE Y SIZE WITH PRINTED WRAP</v>
      </c>
      <c r="I692" s="501" t="s">
        <v>3294</v>
      </c>
      <c r="J692" s="501" t="s">
        <v>2811</v>
      </c>
      <c r="K692" s="438">
        <v>2</v>
      </c>
      <c r="L692" s="499">
        <v>4034</v>
      </c>
      <c r="M692" s="366">
        <f t="shared" si="209"/>
        <v>2017</v>
      </c>
      <c r="N692" s="367">
        <f t="shared" si="193"/>
        <v>6377</v>
      </c>
      <c r="O692" s="61">
        <v>6377</v>
      </c>
      <c r="P692" s="368">
        <v>0</v>
      </c>
      <c r="Q692" s="368">
        <v>0</v>
      </c>
      <c r="R692" s="494">
        <v>0</v>
      </c>
      <c r="S692" s="493">
        <v>0</v>
      </c>
      <c r="T692" s="494">
        <v>0</v>
      </c>
      <c r="U692" s="493">
        <v>0</v>
      </c>
      <c r="V692" s="502">
        <v>2</v>
      </c>
      <c r="W692" s="453">
        <f t="shared" si="195"/>
        <v>3188.5</v>
      </c>
      <c r="X692" s="748">
        <f t="shared" si="196"/>
        <v>1.580813088745662</v>
      </c>
      <c r="Y692" s="451" t="str">
        <f>IFERROR(VLOOKUP(E:E,'Item Data Support Sheet'!A:J,6,0),0)</f>
        <v>FO022</v>
      </c>
      <c r="Z692" s="428">
        <f>IFERROR(VLOOKUP(E:E,'Item Data Support Sheet'!A:O,4,0),0)</f>
        <v>0</v>
      </c>
      <c r="AA692" s="428">
        <f t="shared" si="197"/>
        <v>0</v>
      </c>
      <c r="AB692" s="429" t="str">
        <f t="shared" si="198"/>
        <v xml:space="preserve"> </v>
      </c>
      <c r="AC692" s="424">
        <f t="shared" si="199"/>
        <v>0</v>
      </c>
      <c r="AD692" s="371">
        <f t="shared" si="200"/>
        <v>0</v>
      </c>
      <c r="AE692" s="748">
        <f t="shared" si="201"/>
        <v>1</v>
      </c>
      <c r="AF692" s="417">
        <f t="shared" si="202"/>
        <v>0.83333333333333337</v>
      </c>
      <c r="AG692" s="416">
        <f t="shared" si="203"/>
        <v>1.1666666666666665</v>
      </c>
      <c r="AH692" s="372">
        <f t="shared" si="204"/>
        <v>0.58333333333333326</v>
      </c>
      <c r="AI692" s="373">
        <f t="shared" si="205"/>
        <v>3188.5</v>
      </c>
      <c r="AJ692" s="418">
        <f>VLOOKUP(D692,'Standard Cycle time'!C:D,2,0)</f>
        <v>2.5</v>
      </c>
      <c r="AK692" s="418">
        <f t="shared" si="206"/>
        <v>1.3172338090010973</v>
      </c>
      <c r="AL692" s="374">
        <f t="shared" si="207"/>
        <v>1.8979166666666671</v>
      </c>
      <c r="AM692" s="372">
        <f t="shared" si="208"/>
        <v>1.1071180555555558</v>
      </c>
      <c r="AN692" s="799" t="s">
        <v>3353</v>
      </c>
      <c r="AO692" s="448"/>
      <c r="AP692" s="440">
        <v>50</v>
      </c>
      <c r="AQ692" s="440">
        <v>0</v>
      </c>
      <c r="AR692" s="440">
        <v>0</v>
      </c>
      <c r="AS692" s="440">
        <v>0</v>
      </c>
      <c r="AT692" s="440">
        <v>0</v>
      </c>
      <c r="AU692" s="440">
        <v>0</v>
      </c>
      <c r="AV692" s="440">
        <v>0</v>
      </c>
      <c r="AW692" s="440">
        <v>0</v>
      </c>
      <c r="AX692" s="440">
        <v>0</v>
      </c>
      <c r="AY692" s="440">
        <v>0</v>
      </c>
      <c r="AZ692" s="440">
        <v>0</v>
      </c>
      <c r="BA692" s="440">
        <v>0</v>
      </c>
      <c r="BB692" s="440">
        <v>0</v>
      </c>
      <c r="BC692" s="440">
        <v>0</v>
      </c>
      <c r="BD692" s="440">
        <v>0</v>
      </c>
      <c r="BE692" s="440">
        <v>0</v>
      </c>
      <c r="BF692" s="440">
        <v>0</v>
      </c>
      <c r="BG692" s="440">
        <v>0</v>
      </c>
      <c r="BH692" s="440">
        <v>0</v>
      </c>
      <c r="BI692" s="440">
        <v>0</v>
      </c>
      <c r="BJ692" s="440">
        <v>0</v>
      </c>
      <c r="BK692" s="440">
        <v>0</v>
      </c>
      <c r="BL692" s="440">
        <v>0</v>
      </c>
      <c r="BM692" s="440">
        <v>0</v>
      </c>
      <c r="BN692" s="440">
        <v>0</v>
      </c>
      <c r="BO692" s="440">
        <v>0</v>
      </c>
      <c r="BP692" s="440">
        <v>0</v>
      </c>
      <c r="BQ692" s="440">
        <v>0</v>
      </c>
      <c r="BR692" s="415">
        <v>0.83333333333333337</v>
      </c>
      <c r="BS692" s="415">
        <v>0.84722222222222221</v>
      </c>
      <c r="BT692" s="935"/>
      <c r="BU692" s="935"/>
      <c r="BV692" s="935"/>
      <c r="BW692" s="935"/>
      <c r="BX692" s="935"/>
      <c r="BY692" s="935"/>
      <c r="BZ692" s="935"/>
      <c r="CA692" s="935"/>
      <c r="CB692" s="935"/>
      <c r="CC692" s="935"/>
      <c r="CD692" s="935"/>
      <c r="CE692" s="935"/>
      <c r="CF692" s="935"/>
      <c r="CG692" s="935"/>
      <c r="CH692" s="935"/>
      <c r="CI692" s="935"/>
      <c r="CJ692" s="935"/>
      <c r="CK692" s="935"/>
      <c r="CL692" s="935"/>
      <c r="CM692" s="935"/>
      <c r="CN692" s="935"/>
      <c r="CO692" s="935"/>
      <c r="CP692" s="935"/>
      <c r="CQ692" s="935"/>
      <c r="CR692" s="935"/>
      <c r="CS692" s="935"/>
      <c r="CT692" s="935"/>
      <c r="CU692" s="935"/>
      <c r="CV692" s="935"/>
    </row>
    <row r="693" spans="1:100" s="441" customFormat="1">
      <c r="A693" s="375">
        <f t="shared" si="194"/>
        <v>9</v>
      </c>
      <c r="B693" s="862">
        <v>44464</v>
      </c>
      <c r="C693" s="493" t="s">
        <v>2000</v>
      </c>
      <c r="D693" s="376" t="str">
        <f>IFERROR(VLOOKUP(E:E,'Item Data Support Sheet'!A:O,7,0),"")</f>
        <v>NIPPLE WRAP PRINTED</v>
      </c>
      <c r="E693" s="447" t="s">
        <v>110</v>
      </c>
      <c r="F693" s="500"/>
      <c r="G693" s="497"/>
      <c r="H693" s="602" t="str">
        <f>IFERROR(VLOOKUP(E:E,'Item Data Support Sheet'!A:O,2,0),"")</f>
        <v>NIPPLE S TYPE L SIZE WITH PRINTED WRAP</v>
      </c>
      <c r="I693" s="501" t="s">
        <v>3354</v>
      </c>
      <c r="J693" s="501" t="s">
        <v>2811</v>
      </c>
      <c r="K693" s="438">
        <v>6</v>
      </c>
      <c r="L693" s="499">
        <v>12108</v>
      </c>
      <c r="M693" s="366">
        <f t="shared" si="209"/>
        <v>2018</v>
      </c>
      <c r="N693" s="367">
        <f t="shared" si="193"/>
        <v>11590</v>
      </c>
      <c r="O693" s="61">
        <v>11580</v>
      </c>
      <c r="P693" s="368">
        <v>0</v>
      </c>
      <c r="Q693" s="368">
        <v>0</v>
      </c>
      <c r="R693" s="494">
        <v>0</v>
      </c>
      <c r="S693" s="493">
        <v>0</v>
      </c>
      <c r="T693" s="494">
        <v>10</v>
      </c>
      <c r="U693" s="493">
        <v>0</v>
      </c>
      <c r="V693" s="502">
        <v>2</v>
      </c>
      <c r="W693" s="453">
        <f t="shared" si="195"/>
        <v>5790</v>
      </c>
      <c r="X693" s="748">
        <f t="shared" si="196"/>
        <v>0.95639246778989095</v>
      </c>
      <c r="Y693" s="451" t="str">
        <f>IFERROR(VLOOKUP(E:E,'Item Data Support Sheet'!A:J,6,0),0)</f>
        <v>FO021</v>
      </c>
      <c r="Z693" s="428">
        <f>IFERROR(VLOOKUP(E:E,'Item Data Support Sheet'!A:O,4,0),0)</f>
        <v>0</v>
      </c>
      <c r="AA693" s="428">
        <f t="shared" si="197"/>
        <v>0</v>
      </c>
      <c r="AB693" s="429" t="str">
        <f t="shared" si="198"/>
        <v xml:space="preserve"> </v>
      </c>
      <c r="AC693" s="424">
        <f t="shared" si="199"/>
        <v>8.6281276962899055E-4</v>
      </c>
      <c r="AD693" s="371">
        <f t="shared" si="200"/>
        <v>0</v>
      </c>
      <c r="AE693" s="748">
        <f t="shared" si="201"/>
        <v>0.99913718723037104</v>
      </c>
      <c r="AF693" s="417">
        <f t="shared" si="202"/>
        <v>0</v>
      </c>
      <c r="AG693" s="416">
        <f t="shared" si="203"/>
        <v>6</v>
      </c>
      <c r="AH693" s="372">
        <f t="shared" si="204"/>
        <v>1</v>
      </c>
      <c r="AI693" s="373">
        <f t="shared" si="205"/>
        <v>1930</v>
      </c>
      <c r="AJ693" s="418">
        <f>VLOOKUP(D693,'Standard Cycle time'!C:D,2,0)</f>
        <v>2.5</v>
      </c>
      <c r="AK693" s="418">
        <f t="shared" si="206"/>
        <v>3.7305699481865284</v>
      </c>
      <c r="AL693" s="374">
        <f t="shared" si="207"/>
        <v>0.67013888888888895</v>
      </c>
      <c r="AM693" s="372">
        <f t="shared" si="208"/>
        <v>0.66956068449813066</v>
      </c>
      <c r="AN693" s="799" t="s">
        <v>3355</v>
      </c>
      <c r="AO693" s="448"/>
      <c r="AP693" s="440">
        <v>0</v>
      </c>
      <c r="AQ693" s="440">
        <v>0</v>
      </c>
      <c r="AR693" s="440">
        <v>0</v>
      </c>
      <c r="AS693" s="440">
        <v>0</v>
      </c>
      <c r="AT693" s="440">
        <v>0</v>
      </c>
      <c r="AU693" s="440">
        <v>0</v>
      </c>
      <c r="AV693" s="440">
        <v>0</v>
      </c>
      <c r="AW693" s="440">
        <v>0</v>
      </c>
      <c r="AX693" s="440">
        <v>0</v>
      </c>
      <c r="AY693" s="440">
        <v>0</v>
      </c>
      <c r="AZ693" s="440">
        <v>0</v>
      </c>
      <c r="BA693" s="440">
        <v>0</v>
      </c>
      <c r="BB693" s="440">
        <v>0</v>
      </c>
      <c r="BC693" s="440">
        <v>0</v>
      </c>
      <c r="BD693" s="440">
        <v>0</v>
      </c>
      <c r="BE693" s="440">
        <v>0</v>
      </c>
      <c r="BF693" s="440">
        <v>0</v>
      </c>
      <c r="BG693" s="440">
        <v>0</v>
      </c>
      <c r="BH693" s="440">
        <v>0</v>
      </c>
      <c r="BI693" s="440">
        <v>0</v>
      </c>
      <c r="BJ693" s="440">
        <v>0</v>
      </c>
      <c r="BK693" s="440">
        <v>0</v>
      </c>
      <c r="BL693" s="440">
        <v>0</v>
      </c>
      <c r="BM693" s="440">
        <v>0</v>
      </c>
      <c r="BN693" s="440">
        <v>0</v>
      </c>
      <c r="BO693" s="440">
        <v>0</v>
      </c>
      <c r="BP693" s="440">
        <v>0</v>
      </c>
      <c r="BQ693" s="440">
        <v>0</v>
      </c>
      <c r="BR693" s="415">
        <v>0</v>
      </c>
      <c r="BS693" s="415">
        <v>0</v>
      </c>
      <c r="BT693" s="935"/>
      <c r="BU693" s="935"/>
      <c r="BV693" s="935"/>
      <c r="BW693" s="935"/>
      <c r="BX693" s="935"/>
      <c r="BY693" s="935"/>
      <c r="BZ693" s="935"/>
      <c r="CA693" s="935"/>
      <c r="CB693" s="935"/>
      <c r="CC693" s="935"/>
      <c r="CD693" s="935"/>
      <c r="CE693" s="935"/>
      <c r="CF693" s="935"/>
      <c r="CG693" s="935"/>
      <c r="CH693" s="935"/>
      <c r="CI693" s="935"/>
      <c r="CJ693" s="935"/>
      <c r="CK693" s="935"/>
      <c r="CL693" s="935"/>
      <c r="CM693" s="935"/>
      <c r="CN693" s="935"/>
      <c r="CO693" s="935"/>
      <c r="CP693" s="935"/>
      <c r="CQ693" s="935"/>
      <c r="CR693" s="935"/>
      <c r="CS693" s="935"/>
      <c r="CT693" s="935"/>
      <c r="CU693" s="935"/>
      <c r="CV693" s="935"/>
    </row>
    <row r="694" spans="1:100" s="441" customFormat="1">
      <c r="A694" s="375">
        <f t="shared" si="194"/>
        <v>9</v>
      </c>
      <c r="B694" s="862">
        <v>44464</v>
      </c>
      <c r="C694" s="493" t="s">
        <v>2001</v>
      </c>
      <c r="D694" s="376" t="str">
        <f>IFERROR(VLOOKUP(E:E,'Item Data Support Sheet'!A:O,7,0),"")</f>
        <v>BOTTLE MOLDED</v>
      </c>
      <c r="E694" s="447" t="s">
        <v>117</v>
      </c>
      <c r="F694" s="500"/>
      <c r="G694" s="497" t="s">
        <v>1888</v>
      </c>
      <c r="H694" s="602" t="str">
        <f>IFERROR(VLOOKUP(E:E,'Item Data Support Sheet'!A:O,2,0),"")</f>
        <v>KPP BOTTLE 120 ML MOULDED-WMG3B</v>
      </c>
      <c r="I694" s="501" t="s">
        <v>3356</v>
      </c>
      <c r="J694" s="501" t="s">
        <v>2811</v>
      </c>
      <c r="K694" s="438">
        <v>4</v>
      </c>
      <c r="L694" s="499">
        <v>1260</v>
      </c>
      <c r="M694" s="366">
        <f t="shared" si="209"/>
        <v>315</v>
      </c>
      <c r="N694" s="367">
        <f t="shared" si="193"/>
        <v>938</v>
      </c>
      <c r="O694" s="61">
        <v>808</v>
      </c>
      <c r="P694" s="368">
        <v>0</v>
      </c>
      <c r="Q694" s="368">
        <v>80</v>
      </c>
      <c r="R694" s="494">
        <v>0</v>
      </c>
      <c r="S694" s="493">
        <v>0</v>
      </c>
      <c r="T694" s="494">
        <v>50</v>
      </c>
      <c r="U694" s="493">
        <v>0</v>
      </c>
      <c r="V694" s="502">
        <v>1</v>
      </c>
      <c r="W694" s="453">
        <f t="shared" si="195"/>
        <v>808</v>
      </c>
      <c r="X694" s="748">
        <f t="shared" si="196"/>
        <v>0.64126984126984132</v>
      </c>
      <c r="Y694" s="451" t="str">
        <f>IFERROR(VLOOKUP(E:E,'Item Data Support Sheet'!A:J,6,0),0)</f>
        <v>WMG3B</v>
      </c>
      <c r="Z694" s="428">
        <f>IFERROR(VLOOKUP(E:E,'Item Data Support Sheet'!A:O,4,0),0)</f>
        <v>22.7</v>
      </c>
      <c r="AA694" s="428">
        <f t="shared" si="197"/>
        <v>21.292599999999997</v>
      </c>
      <c r="AB694" s="429">
        <f t="shared" si="198"/>
        <v>0.86140724946695113</v>
      </c>
      <c r="AC694" s="424">
        <f t="shared" si="199"/>
        <v>5.8275058275058272E-2</v>
      </c>
      <c r="AD694" s="371">
        <f t="shared" si="200"/>
        <v>7.8585461689587424E-2</v>
      </c>
      <c r="AE694" s="748">
        <f t="shared" si="201"/>
        <v>0.94669509594882728</v>
      </c>
      <c r="AF694" s="417">
        <f t="shared" si="202"/>
        <v>2</v>
      </c>
      <c r="AG694" s="416">
        <f t="shared" si="203"/>
        <v>2</v>
      </c>
      <c r="AH694" s="372">
        <f t="shared" si="204"/>
        <v>0.5</v>
      </c>
      <c r="AI694" s="373">
        <f t="shared" si="205"/>
        <v>202</v>
      </c>
      <c r="AJ694" s="418">
        <f>VLOOKUP(D694,'Standard Cycle time'!C:D,2,0)</f>
        <v>9</v>
      </c>
      <c r="AK694" s="418">
        <f t="shared" si="206"/>
        <v>8.9108910891089117</v>
      </c>
      <c r="AL694" s="374">
        <f t="shared" si="207"/>
        <v>1.01</v>
      </c>
      <c r="AM694" s="372">
        <f t="shared" si="208"/>
        <v>0.47808102345415776</v>
      </c>
      <c r="AN694" s="799">
        <v>3607</v>
      </c>
      <c r="AO694" s="448" t="s">
        <v>3357</v>
      </c>
      <c r="AP694" s="440">
        <v>0</v>
      </c>
      <c r="AQ694" s="440">
        <v>0</v>
      </c>
      <c r="AR694" s="440">
        <v>0</v>
      </c>
      <c r="AS694" s="440">
        <v>0</v>
      </c>
      <c r="AT694" s="440">
        <v>0</v>
      </c>
      <c r="AU694" s="440">
        <v>0</v>
      </c>
      <c r="AV694" s="440">
        <v>60</v>
      </c>
      <c r="AW694" s="440">
        <v>60</v>
      </c>
      <c r="AX694" s="440">
        <v>0</v>
      </c>
      <c r="AY694" s="440">
        <v>0</v>
      </c>
      <c r="AZ694" s="440">
        <v>0</v>
      </c>
      <c r="BA694" s="440">
        <v>0</v>
      </c>
      <c r="BB694" s="440">
        <v>0</v>
      </c>
      <c r="BC694" s="440">
        <v>0</v>
      </c>
      <c r="BD694" s="440">
        <v>0</v>
      </c>
      <c r="BE694" s="440">
        <v>0</v>
      </c>
      <c r="BF694" s="440">
        <v>0</v>
      </c>
      <c r="BG694" s="440">
        <v>0</v>
      </c>
      <c r="BH694" s="440">
        <v>0</v>
      </c>
      <c r="BI694" s="440">
        <v>0</v>
      </c>
      <c r="BJ694" s="440">
        <v>0</v>
      </c>
      <c r="BK694" s="440">
        <v>0</v>
      </c>
      <c r="BL694" s="440">
        <v>0</v>
      </c>
      <c r="BM694" s="440">
        <v>0</v>
      </c>
      <c r="BN694" s="440">
        <v>0</v>
      </c>
      <c r="BO694" s="440">
        <v>0</v>
      </c>
      <c r="BP694" s="440">
        <v>0</v>
      </c>
      <c r="BQ694" s="440">
        <v>0</v>
      </c>
      <c r="BR694" s="415">
        <v>2</v>
      </c>
      <c r="BS694" s="415">
        <v>2.0333333333333332</v>
      </c>
      <c r="BT694" s="935"/>
      <c r="BU694" s="935"/>
      <c r="BV694" s="935"/>
      <c r="BW694" s="935"/>
      <c r="BX694" s="935"/>
      <c r="BY694" s="935"/>
      <c r="BZ694" s="935"/>
      <c r="CA694" s="935"/>
      <c r="CB694" s="935"/>
      <c r="CC694" s="935"/>
      <c r="CD694" s="935"/>
      <c r="CE694" s="935"/>
      <c r="CF694" s="935"/>
      <c r="CG694" s="935"/>
      <c r="CH694" s="935"/>
      <c r="CI694" s="935"/>
      <c r="CJ694" s="935"/>
      <c r="CK694" s="935"/>
      <c r="CL694" s="935"/>
      <c r="CM694" s="935"/>
      <c r="CN694" s="935"/>
      <c r="CO694" s="935"/>
      <c r="CP694" s="935"/>
      <c r="CQ694" s="935"/>
      <c r="CR694" s="935"/>
      <c r="CS694" s="935"/>
      <c r="CT694" s="935"/>
      <c r="CU694" s="935"/>
      <c r="CV694" s="935"/>
    </row>
    <row r="695" spans="1:100" s="441" customFormat="1">
      <c r="A695" s="375">
        <f t="shared" si="194"/>
        <v>9</v>
      </c>
      <c r="B695" s="862">
        <v>44464</v>
      </c>
      <c r="C695" s="493" t="s">
        <v>2001</v>
      </c>
      <c r="D695" s="376" t="str">
        <f>IFERROR(VLOOKUP(E:E,'Item Data Support Sheet'!A:O,7,0),"")</f>
        <v>CAP MOLDED</v>
      </c>
      <c r="E695" s="447" t="s">
        <v>2108</v>
      </c>
      <c r="F695" s="500"/>
      <c r="G695" s="497" t="s">
        <v>3212</v>
      </c>
      <c r="H695" s="602" t="str">
        <f>IFERROR(VLOOKUP(E:E,'Item Data Support Sheet'!A:O,2,0),"")</f>
        <v>CAP S TYPE MOLDED BLUE</v>
      </c>
      <c r="I695" s="501" t="s">
        <v>3358</v>
      </c>
      <c r="J695" s="501" t="s">
        <v>2811</v>
      </c>
      <c r="K695" s="438">
        <v>7</v>
      </c>
      <c r="L695" s="499">
        <v>3619</v>
      </c>
      <c r="M695" s="366">
        <f t="shared" si="209"/>
        <v>517</v>
      </c>
      <c r="N695" s="367">
        <f t="shared" si="193"/>
        <v>3235</v>
      </c>
      <c r="O695" s="61">
        <v>3235</v>
      </c>
      <c r="P695" s="368">
        <v>2.2999999999999998</v>
      </c>
      <c r="Q695" s="368">
        <v>0</v>
      </c>
      <c r="R695" s="494">
        <v>0</v>
      </c>
      <c r="S695" s="493">
        <v>0</v>
      </c>
      <c r="T695" s="494">
        <v>0</v>
      </c>
      <c r="U695" s="493">
        <v>0</v>
      </c>
      <c r="V695" s="502">
        <v>1</v>
      </c>
      <c r="W695" s="453">
        <f t="shared" si="195"/>
        <v>3235</v>
      </c>
      <c r="X695" s="748">
        <f t="shared" si="196"/>
        <v>0.89389334070185134</v>
      </c>
      <c r="Y695" s="451" t="str">
        <f>IFERROR(VLOOKUP(E:E,'Item Data Support Sheet'!A:J,6,0),0)</f>
        <v>RM000114</v>
      </c>
      <c r="Z695" s="428">
        <f>IFERROR(VLOOKUP(E:E,'Item Data Support Sheet'!A:O,4,0),0)</f>
        <v>7.3</v>
      </c>
      <c r="AA695" s="428">
        <f t="shared" si="197"/>
        <v>25.915500000000002</v>
      </c>
      <c r="AB695" s="429">
        <f t="shared" si="198"/>
        <v>0.9112500241168412</v>
      </c>
      <c r="AC695" s="424">
        <f t="shared" si="199"/>
        <v>0</v>
      </c>
      <c r="AD695" s="371">
        <f t="shared" si="200"/>
        <v>0</v>
      </c>
      <c r="AE695" s="748">
        <f t="shared" si="201"/>
        <v>1</v>
      </c>
      <c r="AF695" s="417">
        <f t="shared" si="202"/>
        <v>0</v>
      </c>
      <c r="AG695" s="416">
        <f t="shared" si="203"/>
        <v>7</v>
      </c>
      <c r="AH695" s="372">
        <f t="shared" si="204"/>
        <v>1</v>
      </c>
      <c r="AI695" s="373">
        <f t="shared" si="205"/>
        <v>462.14285714285717</v>
      </c>
      <c r="AJ695" s="418">
        <f>VLOOKUP(D695,'Standard Cycle time'!C:D,2,0)</f>
        <v>6</v>
      </c>
      <c r="AK695" s="418">
        <f t="shared" si="206"/>
        <v>7.7897990726429676</v>
      </c>
      <c r="AL695" s="374">
        <f t="shared" si="207"/>
        <v>0.77023809523809528</v>
      </c>
      <c r="AM695" s="372">
        <f t="shared" si="208"/>
        <v>0.77023809523809528</v>
      </c>
      <c r="AN695" s="799">
        <v>3608</v>
      </c>
      <c r="AO695" s="448"/>
      <c r="AP695" s="440">
        <v>0</v>
      </c>
      <c r="AQ695" s="440">
        <v>0</v>
      </c>
      <c r="AR695" s="440">
        <v>0</v>
      </c>
      <c r="AS695" s="440">
        <v>0</v>
      </c>
      <c r="AT695" s="440">
        <v>0</v>
      </c>
      <c r="AU695" s="440">
        <v>0</v>
      </c>
      <c r="AV695" s="440">
        <v>0</v>
      </c>
      <c r="AW695" s="440">
        <v>0</v>
      </c>
      <c r="AX695" s="440">
        <v>0</v>
      </c>
      <c r="AY695" s="440">
        <v>0</v>
      </c>
      <c r="AZ695" s="440">
        <v>0</v>
      </c>
      <c r="BA695" s="440">
        <v>0</v>
      </c>
      <c r="BB695" s="440">
        <v>0</v>
      </c>
      <c r="BC695" s="440">
        <v>0</v>
      </c>
      <c r="BD695" s="440">
        <v>0</v>
      </c>
      <c r="BE695" s="440">
        <v>0</v>
      </c>
      <c r="BF695" s="440">
        <v>0</v>
      </c>
      <c r="BG695" s="440">
        <v>0</v>
      </c>
      <c r="BH695" s="440">
        <v>0</v>
      </c>
      <c r="BI695" s="440">
        <v>0</v>
      </c>
      <c r="BJ695" s="440">
        <v>0</v>
      </c>
      <c r="BK695" s="440">
        <v>0</v>
      </c>
      <c r="BL695" s="440">
        <v>0</v>
      </c>
      <c r="BM695" s="440">
        <v>0</v>
      </c>
      <c r="BN695" s="440">
        <v>0</v>
      </c>
      <c r="BO695" s="440">
        <v>0</v>
      </c>
      <c r="BP695" s="440">
        <v>0</v>
      </c>
      <c r="BQ695" s="440">
        <v>0</v>
      </c>
      <c r="BR695" s="415">
        <v>0</v>
      </c>
      <c r="BS695" s="415">
        <v>0</v>
      </c>
      <c r="BT695" s="935"/>
      <c r="BU695" s="935"/>
      <c r="BV695" s="935"/>
      <c r="BW695" s="935"/>
      <c r="BX695" s="935"/>
      <c r="BY695" s="935"/>
      <c r="BZ695" s="935"/>
      <c r="CA695" s="935"/>
      <c r="CB695" s="935"/>
      <c r="CC695" s="935"/>
      <c r="CD695" s="935"/>
      <c r="CE695" s="935"/>
      <c r="CF695" s="935"/>
      <c r="CG695" s="935"/>
      <c r="CH695" s="935"/>
      <c r="CI695" s="935"/>
      <c r="CJ695" s="935"/>
      <c r="CK695" s="935"/>
      <c r="CL695" s="935"/>
      <c r="CM695" s="935"/>
      <c r="CN695" s="935"/>
      <c r="CO695" s="935"/>
      <c r="CP695" s="935"/>
      <c r="CQ695" s="935"/>
      <c r="CR695" s="935"/>
      <c r="CS695" s="935"/>
      <c r="CT695" s="935"/>
      <c r="CU695" s="935"/>
      <c r="CV695" s="935"/>
    </row>
    <row r="696" spans="1:100" s="441" customFormat="1">
      <c r="A696" s="375">
        <f t="shared" si="194"/>
        <v>9</v>
      </c>
      <c r="B696" s="862">
        <v>44464</v>
      </c>
      <c r="C696" s="493" t="s">
        <v>2001</v>
      </c>
      <c r="D696" s="376" t="str">
        <f>IFERROR(VLOOKUP(E:E,'Item Data Support Sheet'!A:O,7,0),"")</f>
        <v>NIPPLE MOLDED</v>
      </c>
      <c r="E696" s="447" t="s">
        <v>72</v>
      </c>
      <c r="F696" s="500" t="s">
        <v>1678</v>
      </c>
      <c r="G696" s="497" t="s">
        <v>1691</v>
      </c>
      <c r="H696" s="602" t="str">
        <f>IFERROR(VLOOKUP(E:E,'Item Data Support Sheet'!A:O,2,0),"")</f>
        <v>NIPPLE S TYPE S SIZE INJECTION</v>
      </c>
      <c r="I696" s="501" t="s">
        <v>3359</v>
      </c>
      <c r="J696" s="501" t="s">
        <v>2811</v>
      </c>
      <c r="K696" s="438">
        <v>8</v>
      </c>
      <c r="L696" s="499">
        <v>4815</v>
      </c>
      <c r="M696" s="366">
        <f t="shared" si="209"/>
        <v>601.875</v>
      </c>
      <c r="N696" s="367">
        <f t="shared" si="193"/>
        <v>5298</v>
      </c>
      <c r="O696" s="61">
        <v>5200</v>
      </c>
      <c r="P696" s="368">
        <v>0</v>
      </c>
      <c r="Q696" s="368">
        <v>45</v>
      </c>
      <c r="R696" s="494">
        <v>0</v>
      </c>
      <c r="S696" s="493">
        <v>0</v>
      </c>
      <c r="T696" s="494">
        <v>53</v>
      </c>
      <c r="U696" s="493">
        <v>0</v>
      </c>
      <c r="V696" s="502">
        <v>1</v>
      </c>
      <c r="W696" s="453">
        <f t="shared" si="195"/>
        <v>5200</v>
      </c>
      <c r="X696" s="748">
        <f t="shared" si="196"/>
        <v>1.0799584631360333</v>
      </c>
      <c r="Y696" s="451" t="str">
        <f>IFERROR(VLOOKUP(E:E,'Item Data Support Sheet'!A:J,6,0),0)</f>
        <v>Silicon</v>
      </c>
      <c r="Z696" s="428">
        <f>IFERROR(VLOOKUP(E:E,'Item Data Support Sheet'!A:O,4,0),0)</f>
        <v>6.8</v>
      </c>
      <c r="AA696" s="428">
        <f t="shared" si="197"/>
        <v>36.026399999999995</v>
      </c>
      <c r="AB696" s="429">
        <f t="shared" si="198"/>
        <v>0.98150245375613454</v>
      </c>
      <c r="AC696" s="424">
        <f t="shared" si="199"/>
        <v>1.0089472682276794E-2</v>
      </c>
      <c r="AD696" s="371">
        <f t="shared" si="200"/>
        <v>8.4222346996069616E-3</v>
      </c>
      <c r="AE696" s="748">
        <f t="shared" si="201"/>
        <v>0.9899962249905625</v>
      </c>
      <c r="AF696" s="417">
        <f t="shared" si="202"/>
        <v>0</v>
      </c>
      <c r="AG696" s="416">
        <f t="shared" si="203"/>
        <v>8</v>
      </c>
      <c r="AH696" s="372">
        <f t="shared" si="204"/>
        <v>1</v>
      </c>
      <c r="AI696" s="373">
        <f t="shared" si="205"/>
        <v>650</v>
      </c>
      <c r="AJ696" s="418">
        <f>VLOOKUP(D696,'Standard Cycle time'!C:D,2,0)</f>
        <v>5.25</v>
      </c>
      <c r="AK696" s="418">
        <f t="shared" si="206"/>
        <v>5.5384615384615383</v>
      </c>
      <c r="AL696" s="374">
        <f t="shared" si="207"/>
        <v>0.94791666666666674</v>
      </c>
      <c r="AM696" s="372">
        <f t="shared" si="208"/>
        <v>0.93843392160563743</v>
      </c>
      <c r="AN696" s="799">
        <v>3609</v>
      </c>
      <c r="AO696" s="448"/>
      <c r="AP696" s="440">
        <v>0</v>
      </c>
      <c r="AQ696" s="440">
        <v>0</v>
      </c>
      <c r="AR696" s="440">
        <v>0</v>
      </c>
      <c r="AS696" s="440">
        <v>0</v>
      </c>
      <c r="AT696" s="440">
        <v>0</v>
      </c>
      <c r="AU696" s="440">
        <v>0</v>
      </c>
      <c r="AV696" s="440">
        <v>0</v>
      </c>
      <c r="AW696" s="440">
        <v>0</v>
      </c>
      <c r="AX696" s="440">
        <v>0</v>
      </c>
      <c r="AY696" s="440">
        <v>0</v>
      </c>
      <c r="AZ696" s="440">
        <v>0</v>
      </c>
      <c r="BA696" s="440">
        <v>0</v>
      </c>
      <c r="BB696" s="440">
        <v>0</v>
      </c>
      <c r="BC696" s="440">
        <v>0</v>
      </c>
      <c r="BD696" s="440">
        <v>0</v>
      </c>
      <c r="BE696" s="440">
        <v>0</v>
      </c>
      <c r="BF696" s="440">
        <v>0</v>
      </c>
      <c r="BG696" s="440">
        <v>0</v>
      </c>
      <c r="BH696" s="440">
        <v>0</v>
      </c>
      <c r="BI696" s="440">
        <v>0</v>
      </c>
      <c r="BJ696" s="440">
        <v>0</v>
      </c>
      <c r="BK696" s="440">
        <v>0</v>
      </c>
      <c r="BL696" s="440">
        <v>0</v>
      </c>
      <c r="BM696" s="440">
        <v>0</v>
      </c>
      <c r="BN696" s="440">
        <v>0</v>
      </c>
      <c r="BO696" s="440">
        <v>0</v>
      </c>
      <c r="BP696" s="440">
        <v>0</v>
      </c>
      <c r="BQ696" s="440">
        <v>0</v>
      </c>
      <c r="BR696" s="415">
        <v>0</v>
      </c>
      <c r="BS696" s="415">
        <v>0</v>
      </c>
      <c r="BT696" s="935"/>
      <c r="BU696" s="935"/>
      <c r="BV696" s="935"/>
      <c r="BW696" s="935"/>
      <c r="BX696" s="935"/>
      <c r="BY696" s="935"/>
      <c r="BZ696" s="935"/>
      <c r="CA696" s="935"/>
      <c r="CB696" s="935"/>
      <c r="CC696" s="935"/>
      <c r="CD696" s="935"/>
      <c r="CE696" s="935"/>
      <c r="CF696" s="935"/>
      <c r="CG696" s="935"/>
      <c r="CH696" s="935"/>
      <c r="CI696" s="935"/>
      <c r="CJ696" s="935"/>
      <c r="CK696" s="935"/>
      <c r="CL696" s="935"/>
      <c r="CM696" s="935"/>
      <c r="CN696" s="935"/>
      <c r="CO696" s="935"/>
      <c r="CP696" s="935"/>
      <c r="CQ696" s="935"/>
      <c r="CR696" s="935"/>
      <c r="CS696" s="935"/>
      <c r="CT696" s="935"/>
      <c r="CU696" s="935"/>
      <c r="CV696" s="935"/>
    </row>
    <row r="697" spans="1:100" s="441" customFormat="1">
      <c r="A697" s="375">
        <f t="shared" si="194"/>
        <v>9</v>
      </c>
      <c r="B697" s="862">
        <v>44464</v>
      </c>
      <c r="C697" s="493" t="s">
        <v>2001</v>
      </c>
      <c r="D697" s="376" t="str">
        <f>IFERROR(VLOOKUP(E:E,'Item Data Support Sheet'!A:O,7,0),"")</f>
        <v>NIPPLE PUNCH</v>
      </c>
      <c r="E697" s="447" t="s">
        <v>80</v>
      </c>
      <c r="F697" s="500"/>
      <c r="G697" s="497"/>
      <c r="H697" s="602" t="str">
        <f>IFERROR(VLOOKUP(E:E,'Item Data Support Sheet'!A:O,2,0),"")</f>
        <v>NIPPLE S TYPE S SIZE PUNCHED</v>
      </c>
      <c r="I697" s="501" t="s">
        <v>3360</v>
      </c>
      <c r="J697" s="501" t="s">
        <v>2811</v>
      </c>
      <c r="K697" s="438">
        <v>8</v>
      </c>
      <c r="L697" s="499">
        <v>7000</v>
      </c>
      <c r="M697" s="366">
        <f t="shared" si="209"/>
        <v>875</v>
      </c>
      <c r="N697" s="367">
        <f t="shared" si="193"/>
        <v>7000</v>
      </c>
      <c r="O697" s="61">
        <v>7000</v>
      </c>
      <c r="P697" s="368">
        <v>0</v>
      </c>
      <c r="Q697" s="368">
        <v>0</v>
      </c>
      <c r="R697" s="494">
        <v>0</v>
      </c>
      <c r="S697" s="493">
        <v>0</v>
      </c>
      <c r="T697" s="494">
        <v>0</v>
      </c>
      <c r="U697" s="493">
        <v>0</v>
      </c>
      <c r="V697" s="502">
        <v>1</v>
      </c>
      <c r="W697" s="453">
        <f t="shared" si="195"/>
        <v>7000</v>
      </c>
      <c r="X697" s="748">
        <f t="shared" si="196"/>
        <v>1</v>
      </c>
      <c r="Y697" s="451" t="str">
        <f>IFERROR(VLOOKUP(E:E,'Item Data Support Sheet'!A:J,6,0),0)</f>
        <v>FO015</v>
      </c>
      <c r="Z697" s="428">
        <f>IFERROR(VLOOKUP(E:E,'Item Data Support Sheet'!A:O,4,0),0)</f>
        <v>0</v>
      </c>
      <c r="AA697" s="428">
        <f t="shared" si="197"/>
        <v>0</v>
      </c>
      <c r="AB697" s="429" t="str">
        <f t="shared" si="198"/>
        <v xml:space="preserve"> </v>
      </c>
      <c r="AC697" s="424">
        <f t="shared" si="199"/>
        <v>0</v>
      </c>
      <c r="AD697" s="371">
        <f t="shared" si="200"/>
        <v>0</v>
      </c>
      <c r="AE697" s="748">
        <f t="shared" si="201"/>
        <v>1</v>
      </c>
      <c r="AF697" s="417">
        <f t="shared" si="202"/>
        <v>0.66666666666666663</v>
      </c>
      <c r="AG697" s="416">
        <f t="shared" si="203"/>
        <v>7.333333333333333</v>
      </c>
      <c r="AH697" s="372">
        <f t="shared" si="204"/>
        <v>0.91666666666666663</v>
      </c>
      <c r="AI697" s="373">
        <f t="shared" si="205"/>
        <v>875</v>
      </c>
      <c r="AJ697" s="418">
        <f>VLOOKUP(D697,'Standard Cycle time'!C:D,2,0)</f>
        <v>3.5</v>
      </c>
      <c r="AK697" s="418">
        <f t="shared" si="206"/>
        <v>3.7714285714285714</v>
      </c>
      <c r="AL697" s="374">
        <f t="shared" si="207"/>
        <v>0.92803030303030309</v>
      </c>
      <c r="AM697" s="372">
        <f t="shared" si="208"/>
        <v>0.85069444444444442</v>
      </c>
      <c r="AN697" s="799" t="s">
        <v>3361</v>
      </c>
      <c r="AO697" s="448"/>
      <c r="AP697" s="440">
        <v>40</v>
      </c>
      <c r="AQ697" s="440">
        <v>0</v>
      </c>
      <c r="AR697" s="440">
        <v>0</v>
      </c>
      <c r="AS697" s="440">
        <v>0</v>
      </c>
      <c r="AT697" s="440">
        <v>0</v>
      </c>
      <c r="AU697" s="440">
        <v>0</v>
      </c>
      <c r="AV697" s="440">
        <v>0</v>
      </c>
      <c r="AW697" s="440">
        <v>0</v>
      </c>
      <c r="AX697" s="440">
        <v>0</v>
      </c>
      <c r="AY697" s="440">
        <v>0</v>
      </c>
      <c r="AZ697" s="440">
        <v>0</v>
      </c>
      <c r="BA697" s="440">
        <v>0</v>
      </c>
      <c r="BB697" s="440">
        <v>0</v>
      </c>
      <c r="BC697" s="440">
        <v>0</v>
      </c>
      <c r="BD697" s="440">
        <v>0</v>
      </c>
      <c r="BE697" s="440">
        <v>0</v>
      </c>
      <c r="BF697" s="440">
        <v>0</v>
      </c>
      <c r="BG697" s="440">
        <v>0</v>
      </c>
      <c r="BH697" s="440">
        <v>0</v>
      </c>
      <c r="BI697" s="440">
        <v>0</v>
      </c>
      <c r="BJ697" s="440">
        <v>0</v>
      </c>
      <c r="BK697" s="440">
        <v>0</v>
      </c>
      <c r="BL697" s="440">
        <v>0</v>
      </c>
      <c r="BM697" s="440">
        <v>0</v>
      </c>
      <c r="BN697" s="440">
        <v>0</v>
      </c>
      <c r="BO697" s="440">
        <v>0</v>
      </c>
      <c r="BP697" s="440">
        <v>0</v>
      </c>
      <c r="BQ697" s="440">
        <v>0</v>
      </c>
      <c r="BR697" s="415">
        <v>0.66666666666666663</v>
      </c>
      <c r="BS697" s="415">
        <v>0.6777777777777777</v>
      </c>
      <c r="BT697" s="935"/>
      <c r="BU697" s="935"/>
      <c r="BV697" s="935"/>
      <c r="BW697" s="935"/>
      <c r="BX697" s="935"/>
      <c r="BY697" s="935"/>
      <c r="BZ697" s="935"/>
      <c r="CA697" s="935"/>
      <c r="CB697" s="935"/>
      <c r="CC697" s="935"/>
      <c r="CD697" s="935"/>
      <c r="CE697" s="935"/>
      <c r="CF697" s="935"/>
      <c r="CG697" s="935"/>
      <c r="CH697" s="935"/>
      <c r="CI697" s="935"/>
      <c r="CJ697" s="935"/>
      <c r="CK697" s="935"/>
      <c r="CL697" s="935"/>
      <c r="CM697" s="935"/>
      <c r="CN697" s="935"/>
      <c r="CO697" s="935"/>
      <c r="CP697" s="935"/>
      <c r="CQ697" s="935"/>
      <c r="CR697" s="935"/>
      <c r="CS697" s="935"/>
      <c r="CT697" s="935"/>
      <c r="CU697" s="935"/>
      <c r="CV697" s="935"/>
    </row>
    <row r="698" spans="1:100" s="441" customFormat="1">
      <c r="A698" s="375">
        <f t="shared" si="194"/>
        <v>9</v>
      </c>
      <c r="B698" s="862">
        <v>44464</v>
      </c>
      <c r="C698" s="493" t="s">
        <v>2001</v>
      </c>
      <c r="D698" s="376" t="str">
        <f>IFERROR(VLOOKUP(E:E,'Item Data Support Sheet'!A:O,7,0),"")</f>
        <v>NIPPLE LASER MARKING</v>
      </c>
      <c r="E698" s="447" t="s">
        <v>1814</v>
      </c>
      <c r="F698" s="500"/>
      <c r="G698" s="497"/>
      <c r="H698" s="602" t="str">
        <f>IFERROR(VLOOKUP(E:E,'Item Data Support Sheet'!A:O,2,0),"")</f>
        <v>NIPPLE S TYPE S SIZE PUNCHED LASER MARKED</v>
      </c>
      <c r="I698" s="501" t="s">
        <v>3362</v>
      </c>
      <c r="J698" s="501" t="s">
        <v>2811</v>
      </c>
      <c r="K698" s="438">
        <v>8</v>
      </c>
      <c r="L698" s="499">
        <v>7000</v>
      </c>
      <c r="M698" s="366">
        <f t="shared" si="209"/>
        <v>875</v>
      </c>
      <c r="N698" s="367">
        <f t="shared" si="193"/>
        <v>6800</v>
      </c>
      <c r="O698" s="61">
        <v>6800</v>
      </c>
      <c r="P698" s="368">
        <v>0</v>
      </c>
      <c r="Q698" s="368">
        <v>0</v>
      </c>
      <c r="R698" s="494">
        <v>0</v>
      </c>
      <c r="S698" s="493">
        <v>0</v>
      </c>
      <c r="T698" s="494">
        <v>0</v>
      </c>
      <c r="U698" s="493">
        <v>0</v>
      </c>
      <c r="V698" s="502">
        <v>1</v>
      </c>
      <c r="W698" s="453">
        <f t="shared" si="195"/>
        <v>6800</v>
      </c>
      <c r="X698" s="748">
        <f t="shared" si="196"/>
        <v>0.97142857142857142</v>
      </c>
      <c r="Y698" s="451" t="str">
        <f>IFERROR(VLOOKUP(E:E,'Item Data Support Sheet'!A:J,6,0),0)</f>
        <v>FO019</v>
      </c>
      <c r="Z698" s="428">
        <f>IFERROR(VLOOKUP(E:E,'Item Data Support Sheet'!A:O,4,0),0)</f>
        <v>0</v>
      </c>
      <c r="AA698" s="428">
        <f t="shared" si="197"/>
        <v>0</v>
      </c>
      <c r="AB698" s="429" t="str">
        <f t="shared" si="198"/>
        <v xml:space="preserve"> </v>
      </c>
      <c r="AC698" s="424">
        <f t="shared" si="199"/>
        <v>0</v>
      </c>
      <c r="AD698" s="371">
        <f t="shared" si="200"/>
        <v>0</v>
      </c>
      <c r="AE698" s="748">
        <f t="shared" si="201"/>
        <v>1</v>
      </c>
      <c r="AF698" s="417">
        <f t="shared" si="202"/>
        <v>0.66666666666666663</v>
      </c>
      <c r="AG698" s="416">
        <f t="shared" si="203"/>
        <v>7.333333333333333</v>
      </c>
      <c r="AH698" s="372">
        <f t="shared" si="204"/>
        <v>0.91666666666666663</v>
      </c>
      <c r="AI698" s="373">
        <f t="shared" si="205"/>
        <v>850</v>
      </c>
      <c r="AJ698" s="418">
        <f>VLOOKUP(D698,'Standard Cycle time'!C:D,2,0)</f>
        <v>3.5</v>
      </c>
      <c r="AK698" s="418">
        <f t="shared" si="206"/>
        <v>3.8823529411764706</v>
      </c>
      <c r="AL698" s="374">
        <f t="shared" si="207"/>
        <v>0.90151515151515149</v>
      </c>
      <c r="AM698" s="372">
        <f t="shared" si="208"/>
        <v>0.82638888888888884</v>
      </c>
      <c r="AN698" s="799" t="s">
        <v>3363</v>
      </c>
      <c r="AO698" s="448" t="s">
        <v>3364</v>
      </c>
      <c r="AP698" s="440">
        <v>40</v>
      </c>
      <c r="AQ698" s="440">
        <v>0</v>
      </c>
      <c r="AR698" s="440">
        <v>0</v>
      </c>
      <c r="AS698" s="440">
        <v>0</v>
      </c>
      <c r="AT698" s="440">
        <v>0</v>
      </c>
      <c r="AU698" s="440">
        <v>0</v>
      </c>
      <c r="AV698" s="440">
        <v>0</v>
      </c>
      <c r="AW698" s="440">
        <v>0</v>
      </c>
      <c r="AX698" s="440">
        <v>0</v>
      </c>
      <c r="AY698" s="440">
        <v>0</v>
      </c>
      <c r="AZ698" s="440">
        <v>0</v>
      </c>
      <c r="BA698" s="440">
        <v>0</v>
      </c>
      <c r="BB698" s="440">
        <v>0</v>
      </c>
      <c r="BC698" s="440">
        <v>0</v>
      </c>
      <c r="BD698" s="440">
        <v>0</v>
      </c>
      <c r="BE698" s="440">
        <v>0</v>
      </c>
      <c r="BF698" s="440">
        <v>0</v>
      </c>
      <c r="BG698" s="440">
        <v>0</v>
      </c>
      <c r="BH698" s="440">
        <v>0</v>
      </c>
      <c r="BI698" s="440">
        <v>0</v>
      </c>
      <c r="BJ698" s="440">
        <v>0</v>
      </c>
      <c r="BK698" s="440">
        <v>0</v>
      </c>
      <c r="BL698" s="440">
        <v>0</v>
      </c>
      <c r="BM698" s="440">
        <v>0</v>
      </c>
      <c r="BN698" s="440">
        <v>0</v>
      </c>
      <c r="BO698" s="440">
        <v>0</v>
      </c>
      <c r="BP698" s="440">
        <v>0</v>
      </c>
      <c r="BQ698" s="440">
        <v>0</v>
      </c>
      <c r="BR698" s="415">
        <v>0.66666666666666663</v>
      </c>
      <c r="BS698" s="415">
        <v>0.6777777777777777</v>
      </c>
      <c r="BT698" s="935"/>
      <c r="BU698" s="935"/>
      <c r="BV698" s="935"/>
      <c r="BW698" s="935"/>
      <c r="BX698" s="935"/>
      <c r="BY698" s="935"/>
      <c r="BZ698" s="935"/>
      <c r="CA698" s="935"/>
      <c r="CB698" s="935"/>
      <c r="CC698" s="935"/>
      <c r="CD698" s="935"/>
      <c r="CE698" s="935"/>
      <c r="CF698" s="935"/>
      <c r="CG698" s="935"/>
      <c r="CH698" s="935"/>
      <c r="CI698" s="935"/>
      <c r="CJ698" s="935"/>
      <c r="CK698" s="935"/>
      <c r="CL698" s="935"/>
      <c r="CM698" s="935"/>
      <c r="CN698" s="935"/>
      <c r="CO698" s="935"/>
      <c r="CP698" s="935"/>
      <c r="CQ698" s="935"/>
      <c r="CR698" s="935"/>
      <c r="CS698" s="935"/>
      <c r="CT698" s="935"/>
      <c r="CU698" s="935"/>
      <c r="CV698" s="935"/>
    </row>
    <row r="699" spans="1:100" s="441" customFormat="1">
      <c r="A699" s="375">
        <f t="shared" si="194"/>
        <v>9</v>
      </c>
      <c r="B699" s="862">
        <v>44464</v>
      </c>
      <c r="C699" s="493" t="s">
        <v>2053</v>
      </c>
      <c r="D699" s="376" t="str">
        <f>IFERROR(VLOOKUP(E:E,'Item Data Support Sheet'!A:O,7,0),"")</f>
        <v>NIPPLE MOLDED</v>
      </c>
      <c r="E699" s="447" t="s">
        <v>72</v>
      </c>
      <c r="F699" s="500" t="s">
        <v>1678</v>
      </c>
      <c r="G699" s="497" t="s">
        <v>1691</v>
      </c>
      <c r="H699" s="602" t="str">
        <f>IFERROR(VLOOKUP(E:E,'Item Data Support Sheet'!A:O,2,0),"")</f>
        <v>NIPPLE S TYPE S SIZE INJECTION</v>
      </c>
      <c r="I699" s="501" t="s">
        <v>3365</v>
      </c>
      <c r="J699" s="501" t="s">
        <v>2826</v>
      </c>
      <c r="K699" s="438">
        <v>8</v>
      </c>
      <c r="L699" s="499">
        <v>4815</v>
      </c>
      <c r="M699" s="366">
        <f t="shared" si="209"/>
        <v>601.875</v>
      </c>
      <c r="N699" s="367">
        <f t="shared" si="193"/>
        <v>4108</v>
      </c>
      <c r="O699" s="61">
        <v>4000</v>
      </c>
      <c r="P699" s="368">
        <v>0.7</v>
      </c>
      <c r="Q699" s="368">
        <v>38</v>
      </c>
      <c r="R699" s="494">
        <v>0</v>
      </c>
      <c r="S699" s="493">
        <v>0</v>
      </c>
      <c r="T699" s="494">
        <v>62</v>
      </c>
      <c r="U699" s="493">
        <v>8</v>
      </c>
      <c r="V699" s="502">
        <v>1</v>
      </c>
      <c r="W699" s="453">
        <f t="shared" si="195"/>
        <v>4000</v>
      </c>
      <c r="X699" s="748">
        <f t="shared" si="196"/>
        <v>0.83073727933541019</v>
      </c>
      <c r="Y699" s="451" t="str">
        <f>IFERROR(VLOOKUP(E:E,'Item Data Support Sheet'!A:J,6,0),0)</f>
        <v>Silicon</v>
      </c>
      <c r="Z699" s="428">
        <f>IFERROR(VLOOKUP(E:E,'Item Data Support Sheet'!A:O,4,0),0)</f>
        <v>6.8</v>
      </c>
      <c r="AA699" s="428">
        <f t="shared" si="197"/>
        <v>28.634399999999999</v>
      </c>
      <c r="AB699" s="429">
        <f t="shared" si="198"/>
        <v>0.94990640628055767</v>
      </c>
      <c r="AC699" s="424">
        <f t="shared" si="199"/>
        <v>1.5263417035942885E-2</v>
      </c>
      <c r="AD699" s="371">
        <f t="shared" si="200"/>
        <v>9.1654606849975884E-3</v>
      </c>
      <c r="AE699" s="748">
        <f t="shared" si="201"/>
        <v>0.98490749756572538</v>
      </c>
      <c r="AF699" s="417">
        <f t="shared" si="202"/>
        <v>1</v>
      </c>
      <c r="AG699" s="416">
        <f t="shared" si="203"/>
        <v>7</v>
      </c>
      <c r="AH699" s="372">
        <f t="shared" si="204"/>
        <v>0.875</v>
      </c>
      <c r="AI699" s="373">
        <f t="shared" si="205"/>
        <v>500</v>
      </c>
      <c r="AJ699" s="418">
        <f>VLOOKUP(D699,'Standard Cycle time'!C:D,2,0)</f>
        <v>5.25</v>
      </c>
      <c r="AK699" s="418">
        <f t="shared" si="206"/>
        <v>6.3</v>
      </c>
      <c r="AL699" s="374">
        <f t="shared" si="207"/>
        <v>0.83333333333333337</v>
      </c>
      <c r="AM699" s="372">
        <f t="shared" si="208"/>
        <v>0.71816171697500808</v>
      </c>
      <c r="AN699" s="799">
        <v>3615</v>
      </c>
      <c r="AO699" s="448" t="s">
        <v>3366</v>
      </c>
      <c r="AP699" s="440">
        <v>0</v>
      </c>
      <c r="AQ699" s="440">
        <v>0</v>
      </c>
      <c r="AR699" s="440">
        <v>0</v>
      </c>
      <c r="AS699" s="440">
        <v>0</v>
      </c>
      <c r="AT699" s="440">
        <v>0</v>
      </c>
      <c r="AU699" s="440">
        <v>30</v>
      </c>
      <c r="AV699" s="440">
        <v>30</v>
      </c>
      <c r="AW699" s="440">
        <v>0</v>
      </c>
      <c r="AX699" s="440">
        <v>0</v>
      </c>
      <c r="AY699" s="440">
        <v>0</v>
      </c>
      <c r="AZ699" s="440">
        <v>0</v>
      </c>
      <c r="BA699" s="440">
        <v>0</v>
      </c>
      <c r="BB699" s="440">
        <v>0</v>
      </c>
      <c r="BC699" s="440">
        <v>0</v>
      </c>
      <c r="BD699" s="440">
        <v>0</v>
      </c>
      <c r="BE699" s="440">
        <v>0</v>
      </c>
      <c r="BF699" s="440">
        <v>0</v>
      </c>
      <c r="BG699" s="440">
        <v>0</v>
      </c>
      <c r="BH699" s="440">
        <v>0</v>
      </c>
      <c r="BI699" s="440">
        <v>0</v>
      </c>
      <c r="BJ699" s="440">
        <v>0</v>
      </c>
      <c r="BK699" s="440">
        <v>0</v>
      </c>
      <c r="BL699" s="440">
        <v>0</v>
      </c>
      <c r="BM699" s="440">
        <v>0</v>
      </c>
      <c r="BN699" s="440">
        <v>0</v>
      </c>
      <c r="BO699" s="440">
        <v>0</v>
      </c>
      <c r="BP699" s="440">
        <v>0</v>
      </c>
      <c r="BQ699" s="440">
        <v>0</v>
      </c>
      <c r="BR699" s="415">
        <v>1</v>
      </c>
      <c r="BS699" s="415">
        <v>1.0166666666666666</v>
      </c>
      <c r="BT699" s="935"/>
      <c r="BU699" s="935"/>
      <c r="BV699" s="935"/>
      <c r="BW699" s="935"/>
      <c r="BX699" s="935"/>
      <c r="BY699" s="935"/>
      <c r="BZ699" s="935"/>
      <c r="CA699" s="935"/>
      <c r="CB699" s="935"/>
      <c r="CC699" s="935"/>
      <c r="CD699" s="935"/>
      <c r="CE699" s="935"/>
      <c r="CF699" s="935"/>
      <c r="CG699" s="935"/>
      <c r="CH699" s="935"/>
      <c r="CI699" s="935"/>
      <c r="CJ699" s="935"/>
      <c r="CK699" s="935"/>
      <c r="CL699" s="935"/>
      <c r="CM699" s="935"/>
      <c r="CN699" s="935"/>
      <c r="CO699" s="935"/>
      <c r="CP699" s="935"/>
      <c r="CQ699" s="935"/>
      <c r="CR699" s="935"/>
      <c r="CS699" s="935"/>
      <c r="CT699" s="935"/>
      <c r="CU699" s="935"/>
      <c r="CV699" s="935"/>
    </row>
    <row r="700" spans="1:100" s="441" customFormat="1">
      <c r="A700" s="375">
        <f t="shared" si="194"/>
        <v>9</v>
      </c>
      <c r="B700" s="862">
        <v>44464</v>
      </c>
      <c r="C700" s="493" t="s">
        <v>2053</v>
      </c>
      <c r="D700" s="376" t="str">
        <f>IFERROR(VLOOKUP(E:E,'Item Data Support Sheet'!A:O,7,0),"")</f>
        <v>CAP MOLDED</v>
      </c>
      <c r="E700" s="447" t="s">
        <v>2108</v>
      </c>
      <c r="F700" s="500"/>
      <c r="G700" s="497" t="s">
        <v>3208</v>
      </c>
      <c r="H700" s="602" t="str">
        <f>IFERROR(VLOOKUP(E:E,'Item Data Support Sheet'!A:O,2,0),"")</f>
        <v>CAP S TYPE MOLDED BLUE</v>
      </c>
      <c r="I700" s="501" t="s">
        <v>3367</v>
      </c>
      <c r="J700" s="501" t="s">
        <v>2826</v>
      </c>
      <c r="K700" s="438">
        <v>6</v>
      </c>
      <c r="L700" s="499">
        <v>3102</v>
      </c>
      <c r="M700" s="366">
        <f t="shared" si="209"/>
        <v>517</v>
      </c>
      <c r="N700" s="367">
        <f t="shared" si="193"/>
        <v>3180</v>
      </c>
      <c r="O700" s="61">
        <v>3180</v>
      </c>
      <c r="P700" s="368">
        <v>0</v>
      </c>
      <c r="Q700" s="368">
        <v>0</v>
      </c>
      <c r="R700" s="494">
        <v>0</v>
      </c>
      <c r="S700" s="493">
        <v>0</v>
      </c>
      <c r="T700" s="494">
        <v>0</v>
      </c>
      <c r="U700" s="493">
        <v>0</v>
      </c>
      <c r="V700" s="502">
        <v>1</v>
      </c>
      <c r="W700" s="453">
        <f t="shared" si="195"/>
        <v>3180</v>
      </c>
      <c r="X700" s="748">
        <f t="shared" si="196"/>
        <v>1.0251450676982592</v>
      </c>
      <c r="Y700" s="451" t="str">
        <f>IFERROR(VLOOKUP(E:E,'Item Data Support Sheet'!A:J,6,0),0)</f>
        <v>RM000114</v>
      </c>
      <c r="Z700" s="428">
        <f>IFERROR(VLOOKUP(E:E,'Item Data Support Sheet'!A:O,4,0),0)</f>
        <v>7.3</v>
      </c>
      <c r="AA700" s="428">
        <f t="shared" si="197"/>
        <v>23.213999999999999</v>
      </c>
      <c r="AB700" s="429">
        <f t="shared" si="198"/>
        <v>1</v>
      </c>
      <c r="AC700" s="424">
        <f t="shared" si="199"/>
        <v>0</v>
      </c>
      <c r="AD700" s="371">
        <f t="shared" si="200"/>
        <v>0</v>
      </c>
      <c r="AE700" s="748">
        <f t="shared" si="201"/>
        <v>1</v>
      </c>
      <c r="AF700" s="417">
        <f t="shared" si="202"/>
        <v>0</v>
      </c>
      <c r="AG700" s="416">
        <f t="shared" si="203"/>
        <v>6</v>
      </c>
      <c r="AH700" s="372">
        <f t="shared" si="204"/>
        <v>1</v>
      </c>
      <c r="AI700" s="373">
        <f t="shared" si="205"/>
        <v>530</v>
      </c>
      <c r="AJ700" s="418">
        <f>VLOOKUP(D700,'Standard Cycle time'!C:D,2,0)</f>
        <v>6</v>
      </c>
      <c r="AK700" s="418">
        <f t="shared" si="206"/>
        <v>6.7924528301886795</v>
      </c>
      <c r="AL700" s="374">
        <f t="shared" si="207"/>
        <v>0.8833333333333333</v>
      </c>
      <c r="AM700" s="372">
        <f t="shared" si="208"/>
        <v>0.8833333333333333</v>
      </c>
      <c r="AN700" s="799">
        <v>3772</v>
      </c>
      <c r="AO700" s="448"/>
      <c r="AP700" s="440">
        <v>0</v>
      </c>
      <c r="AQ700" s="440">
        <v>0</v>
      </c>
      <c r="AR700" s="440">
        <v>0</v>
      </c>
      <c r="AS700" s="440">
        <v>0</v>
      </c>
      <c r="AT700" s="440">
        <v>0</v>
      </c>
      <c r="AU700" s="440">
        <v>0</v>
      </c>
      <c r="AV700" s="440">
        <v>0</v>
      </c>
      <c r="AW700" s="440">
        <v>0</v>
      </c>
      <c r="AX700" s="440">
        <v>0</v>
      </c>
      <c r="AY700" s="440">
        <v>0</v>
      </c>
      <c r="AZ700" s="440">
        <v>0</v>
      </c>
      <c r="BA700" s="440">
        <v>0</v>
      </c>
      <c r="BB700" s="440">
        <v>0</v>
      </c>
      <c r="BC700" s="440">
        <v>0</v>
      </c>
      <c r="BD700" s="440">
        <v>0</v>
      </c>
      <c r="BE700" s="440">
        <v>0</v>
      </c>
      <c r="BF700" s="440">
        <v>0</v>
      </c>
      <c r="BG700" s="440">
        <v>0</v>
      </c>
      <c r="BH700" s="440">
        <v>0</v>
      </c>
      <c r="BI700" s="440">
        <v>0</v>
      </c>
      <c r="BJ700" s="440">
        <v>0</v>
      </c>
      <c r="BK700" s="440">
        <v>0</v>
      </c>
      <c r="BL700" s="440">
        <v>0</v>
      </c>
      <c r="BM700" s="440">
        <v>0</v>
      </c>
      <c r="BN700" s="440">
        <v>0</v>
      </c>
      <c r="BO700" s="440">
        <v>0</v>
      </c>
      <c r="BP700" s="440">
        <v>0</v>
      </c>
      <c r="BQ700" s="440">
        <v>0</v>
      </c>
      <c r="BR700" s="415">
        <v>0</v>
      </c>
      <c r="BS700" s="415">
        <v>0</v>
      </c>
      <c r="BT700" s="935"/>
      <c r="BU700" s="935"/>
      <c r="BV700" s="935"/>
      <c r="BW700" s="935"/>
      <c r="BX700" s="935"/>
      <c r="BY700" s="935"/>
      <c r="BZ700" s="935"/>
      <c r="CA700" s="935"/>
      <c r="CB700" s="935"/>
      <c r="CC700" s="935"/>
      <c r="CD700" s="935"/>
      <c r="CE700" s="935"/>
      <c r="CF700" s="935"/>
      <c r="CG700" s="935"/>
      <c r="CH700" s="935"/>
      <c r="CI700" s="935"/>
      <c r="CJ700" s="935"/>
      <c r="CK700" s="935"/>
      <c r="CL700" s="935"/>
      <c r="CM700" s="935"/>
      <c r="CN700" s="935"/>
      <c r="CO700" s="935"/>
      <c r="CP700" s="935"/>
      <c r="CQ700" s="935"/>
      <c r="CR700" s="935"/>
      <c r="CS700" s="935"/>
      <c r="CT700" s="935"/>
      <c r="CU700" s="935"/>
      <c r="CV700" s="935"/>
    </row>
    <row r="701" spans="1:100" s="441" customFormat="1">
      <c r="A701" s="375">
        <f t="shared" si="194"/>
        <v>9</v>
      </c>
      <c r="B701" s="862">
        <v>44464</v>
      </c>
      <c r="C701" s="493" t="s">
        <v>2053</v>
      </c>
      <c r="D701" s="376" t="str">
        <f>IFERROR(VLOOKUP(E:E,'Item Data Support Sheet'!A:O,7,0),"")</f>
        <v>CAP MOLDED</v>
      </c>
      <c r="E701" s="447" t="s">
        <v>2108</v>
      </c>
      <c r="F701" s="500"/>
      <c r="G701" s="497" t="s">
        <v>3212</v>
      </c>
      <c r="H701" s="602" t="str">
        <f>IFERROR(VLOOKUP(E:E,'Item Data Support Sheet'!A:O,2,0),"")</f>
        <v>CAP S TYPE MOLDED BLUE</v>
      </c>
      <c r="I701" s="501" t="s">
        <v>3368</v>
      </c>
      <c r="J701" s="501" t="s">
        <v>2826</v>
      </c>
      <c r="K701" s="438">
        <v>2</v>
      </c>
      <c r="L701" s="499">
        <v>1034</v>
      </c>
      <c r="M701" s="366">
        <f t="shared" si="209"/>
        <v>517</v>
      </c>
      <c r="N701" s="367">
        <f t="shared" si="193"/>
        <v>1326</v>
      </c>
      <c r="O701" s="61">
        <v>1320</v>
      </c>
      <c r="P701" s="368">
        <v>0</v>
      </c>
      <c r="Q701" s="368">
        <v>0</v>
      </c>
      <c r="R701" s="494">
        <v>0</v>
      </c>
      <c r="S701" s="493">
        <v>0</v>
      </c>
      <c r="T701" s="494">
        <v>6</v>
      </c>
      <c r="U701" s="493">
        <v>0</v>
      </c>
      <c r="V701" s="502">
        <v>1</v>
      </c>
      <c r="W701" s="453">
        <f t="shared" si="195"/>
        <v>1320</v>
      </c>
      <c r="X701" s="748">
        <f t="shared" si="196"/>
        <v>1.2765957446808511</v>
      </c>
      <c r="Y701" s="451" t="str">
        <f>IFERROR(VLOOKUP(E:E,'Item Data Support Sheet'!A:J,6,0),0)</f>
        <v>RM000114</v>
      </c>
      <c r="Z701" s="428">
        <f>IFERROR(VLOOKUP(E:E,'Item Data Support Sheet'!A:O,4,0),0)</f>
        <v>7.3</v>
      </c>
      <c r="AA701" s="428">
        <f t="shared" si="197"/>
        <v>9.6798000000000002</v>
      </c>
      <c r="AB701" s="429">
        <f t="shared" si="198"/>
        <v>0.99547511312217185</v>
      </c>
      <c r="AC701" s="424">
        <f t="shared" si="199"/>
        <v>4.5248868778280547E-3</v>
      </c>
      <c r="AD701" s="371">
        <f t="shared" si="200"/>
        <v>0</v>
      </c>
      <c r="AE701" s="748">
        <f t="shared" si="201"/>
        <v>0.99547511312217196</v>
      </c>
      <c r="AF701" s="417">
        <f t="shared" si="202"/>
        <v>0</v>
      </c>
      <c r="AG701" s="416">
        <f t="shared" si="203"/>
        <v>2</v>
      </c>
      <c r="AH701" s="372">
        <f t="shared" si="204"/>
        <v>1</v>
      </c>
      <c r="AI701" s="373">
        <f t="shared" si="205"/>
        <v>660</v>
      </c>
      <c r="AJ701" s="418">
        <f>VLOOKUP(D701,'Standard Cycle time'!C:D,2,0)</f>
        <v>6</v>
      </c>
      <c r="AK701" s="418">
        <f t="shared" si="206"/>
        <v>5.4545454545454541</v>
      </c>
      <c r="AL701" s="374">
        <f t="shared" si="207"/>
        <v>1.1000000000000001</v>
      </c>
      <c r="AM701" s="372">
        <f t="shared" si="208"/>
        <v>1.0950226244343892</v>
      </c>
      <c r="AN701" s="799">
        <v>3773</v>
      </c>
      <c r="AO701" s="448"/>
      <c r="AP701" s="440">
        <v>0</v>
      </c>
      <c r="AQ701" s="440">
        <v>0</v>
      </c>
      <c r="AR701" s="440">
        <v>0</v>
      </c>
      <c r="AS701" s="440">
        <v>0</v>
      </c>
      <c r="AT701" s="440">
        <v>0</v>
      </c>
      <c r="AU701" s="440">
        <v>0</v>
      </c>
      <c r="AV701" s="440">
        <v>0</v>
      </c>
      <c r="AW701" s="440">
        <v>0</v>
      </c>
      <c r="AX701" s="440">
        <v>0</v>
      </c>
      <c r="AY701" s="440">
        <v>0</v>
      </c>
      <c r="AZ701" s="440">
        <v>0</v>
      </c>
      <c r="BA701" s="440">
        <v>0</v>
      </c>
      <c r="BB701" s="440">
        <v>0</v>
      </c>
      <c r="BC701" s="440">
        <v>0</v>
      </c>
      <c r="BD701" s="440">
        <v>0</v>
      </c>
      <c r="BE701" s="440">
        <v>0</v>
      </c>
      <c r="BF701" s="440">
        <v>0</v>
      </c>
      <c r="BG701" s="440">
        <v>0</v>
      </c>
      <c r="BH701" s="440">
        <v>0</v>
      </c>
      <c r="BI701" s="440">
        <v>0</v>
      </c>
      <c r="BJ701" s="440">
        <v>0</v>
      </c>
      <c r="BK701" s="440">
        <v>0</v>
      </c>
      <c r="BL701" s="440">
        <v>0</v>
      </c>
      <c r="BM701" s="440">
        <v>0</v>
      </c>
      <c r="BN701" s="440">
        <v>0</v>
      </c>
      <c r="BO701" s="440">
        <v>0</v>
      </c>
      <c r="BP701" s="440">
        <v>0</v>
      </c>
      <c r="BQ701" s="440">
        <v>0</v>
      </c>
      <c r="BR701" s="415">
        <v>0</v>
      </c>
      <c r="BS701" s="415">
        <v>0</v>
      </c>
      <c r="BT701" s="935"/>
      <c r="BU701" s="935"/>
      <c r="BV701" s="935"/>
      <c r="BW701" s="935"/>
      <c r="BX701" s="935"/>
      <c r="BY701" s="935"/>
      <c r="BZ701" s="935"/>
      <c r="CA701" s="935"/>
      <c r="CB701" s="935"/>
      <c r="CC701" s="935"/>
      <c r="CD701" s="935"/>
      <c r="CE701" s="935"/>
      <c r="CF701" s="935"/>
      <c r="CG701" s="935"/>
      <c r="CH701" s="935"/>
      <c r="CI701" s="935"/>
      <c r="CJ701" s="935"/>
      <c r="CK701" s="935"/>
      <c r="CL701" s="935"/>
      <c r="CM701" s="935"/>
      <c r="CN701" s="935"/>
      <c r="CO701" s="935"/>
      <c r="CP701" s="935"/>
      <c r="CQ701" s="935"/>
      <c r="CR701" s="935"/>
      <c r="CS701" s="935"/>
      <c r="CT701" s="935"/>
      <c r="CU701" s="935"/>
      <c r="CV701" s="935"/>
    </row>
    <row r="702" spans="1:100" s="441" customFormat="1">
      <c r="A702" s="375">
        <f t="shared" si="194"/>
        <v>9</v>
      </c>
      <c r="B702" s="862">
        <v>44466</v>
      </c>
      <c r="C702" s="493" t="s">
        <v>1980</v>
      </c>
      <c r="D702" s="376" t="str">
        <f>IFERROR(VLOOKUP(E:E,'Item Data Support Sheet'!A:O,7,0),"")</f>
        <v>NIPPLE PUNCH</v>
      </c>
      <c r="E702" s="447" t="s">
        <v>80</v>
      </c>
      <c r="F702" s="500"/>
      <c r="G702" s="497"/>
      <c r="H702" s="602" t="str">
        <f>IFERROR(VLOOKUP(E:E,'Item Data Support Sheet'!A:O,2,0),"")</f>
        <v>NIPPLE S TYPE S SIZE PUNCHED</v>
      </c>
      <c r="I702" s="501" t="s">
        <v>3369</v>
      </c>
      <c r="J702" s="501" t="s">
        <v>2811</v>
      </c>
      <c r="K702" s="438">
        <v>8</v>
      </c>
      <c r="L702" s="499">
        <v>7000</v>
      </c>
      <c r="M702" s="366">
        <f t="shared" si="209"/>
        <v>875</v>
      </c>
      <c r="N702" s="367">
        <f t="shared" si="193"/>
        <v>6400</v>
      </c>
      <c r="O702" s="61">
        <v>6400</v>
      </c>
      <c r="P702" s="368">
        <v>0</v>
      </c>
      <c r="Q702" s="368">
        <v>0</v>
      </c>
      <c r="R702" s="494">
        <v>0</v>
      </c>
      <c r="S702" s="493">
        <v>0</v>
      </c>
      <c r="T702" s="494">
        <v>0</v>
      </c>
      <c r="U702" s="493">
        <v>0</v>
      </c>
      <c r="V702" s="502">
        <v>1</v>
      </c>
      <c r="W702" s="453">
        <f t="shared" si="195"/>
        <v>6400</v>
      </c>
      <c r="X702" s="748">
        <f t="shared" si="196"/>
        <v>0.91428571428571426</v>
      </c>
      <c r="Y702" s="451" t="str">
        <f>IFERROR(VLOOKUP(E:E,'Item Data Support Sheet'!A:J,6,0),0)</f>
        <v>FO015</v>
      </c>
      <c r="Z702" s="428">
        <f>IFERROR(VLOOKUP(E:E,'Item Data Support Sheet'!A:O,4,0),0)</f>
        <v>0</v>
      </c>
      <c r="AA702" s="428">
        <f t="shared" si="197"/>
        <v>0</v>
      </c>
      <c r="AB702" s="429" t="str">
        <f t="shared" si="198"/>
        <v xml:space="preserve"> </v>
      </c>
      <c r="AC702" s="424">
        <f t="shared" si="199"/>
        <v>0</v>
      </c>
      <c r="AD702" s="371">
        <f t="shared" si="200"/>
        <v>0</v>
      </c>
      <c r="AE702" s="748">
        <f t="shared" si="201"/>
        <v>1</v>
      </c>
      <c r="AF702" s="417">
        <f t="shared" si="202"/>
        <v>0.66666666666666663</v>
      </c>
      <c r="AG702" s="416">
        <f t="shared" si="203"/>
        <v>7.333333333333333</v>
      </c>
      <c r="AH702" s="372">
        <f t="shared" si="204"/>
        <v>0.91666666666666663</v>
      </c>
      <c r="AI702" s="373">
        <f t="shared" si="205"/>
        <v>800</v>
      </c>
      <c r="AJ702" s="418">
        <f>VLOOKUP(D702,'Standard Cycle time'!C:D,2,0)</f>
        <v>3.5</v>
      </c>
      <c r="AK702" s="418">
        <f t="shared" si="206"/>
        <v>4.125</v>
      </c>
      <c r="AL702" s="374">
        <f t="shared" si="207"/>
        <v>0.84848484848484851</v>
      </c>
      <c r="AM702" s="372">
        <f t="shared" si="208"/>
        <v>0.77777777777777779</v>
      </c>
      <c r="AN702" s="799" t="s">
        <v>3370</v>
      </c>
      <c r="AO702" s="448" t="s">
        <v>3371</v>
      </c>
      <c r="AP702" s="440">
        <v>40</v>
      </c>
      <c r="AQ702" s="440">
        <v>0</v>
      </c>
      <c r="AR702" s="440">
        <v>0</v>
      </c>
      <c r="AS702" s="440">
        <v>0</v>
      </c>
      <c r="AT702" s="440">
        <v>0</v>
      </c>
      <c r="AU702" s="440">
        <v>0</v>
      </c>
      <c r="AV702" s="440">
        <v>0</v>
      </c>
      <c r="AW702" s="440">
        <v>0</v>
      </c>
      <c r="AX702" s="440">
        <v>0</v>
      </c>
      <c r="AY702" s="440">
        <v>0</v>
      </c>
      <c r="AZ702" s="440">
        <v>0</v>
      </c>
      <c r="BA702" s="440">
        <v>0</v>
      </c>
      <c r="BB702" s="440">
        <v>0</v>
      </c>
      <c r="BC702" s="440">
        <v>0</v>
      </c>
      <c r="BD702" s="440">
        <v>0</v>
      </c>
      <c r="BE702" s="440">
        <v>0</v>
      </c>
      <c r="BF702" s="440">
        <v>0</v>
      </c>
      <c r="BG702" s="440">
        <v>0</v>
      </c>
      <c r="BH702" s="440">
        <v>0</v>
      </c>
      <c r="BI702" s="440">
        <v>0</v>
      </c>
      <c r="BJ702" s="440">
        <v>0</v>
      </c>
      <c r="BK702" s="440">
        <v>0</v>
      </c>
      <c r="BL702" s="440">
        <v>0</v>
      </c>
      <c r="BM702" s="440">
        <v>0</v>
      </c>
      <c r="BN702" s="440">
        <v>0</v>
      </c>
      <c r="BO702" s="440">
        <v>0</v>
      </c>
      <c r="BP702" s="440">
        <v>0</v>
      </c>
      <c r="BQ702" s="440">
        <v>0</v>
      </c>
      <c r="BR702" s="415">
        <v>0.66666666666666663</v>
      </c>
      <c r="BS702" s="415">
        <v>0.6777777777777777</v>
      </c>
      <c r="BT702" s="935"/>
      <c r="BU702" s="935"/>
      <c r="BV702" s="935"/>
      <c r="BW702" s="935"/>
      <c r="BX702" s="935"/>
      <c r="BY702" s="935"/>
      <c r="BZ702" s="935"/>
      <c r="CA702" s="935"/>
      <c r="CB702" s="935"/>
      <c r="CC702" s="935"/>
      <c r="CD702" s="935"/>
      <c r="CE702" s="935"/>
      <c r="CF702" s="935"/>
      <c r="CG702" s="935"/>
      <c r="CH702" s="935"/>
      <c r="CI702" s="935"/>
      <c r="CJ702" s="935"/>
      <c r="CK702" s="935"/>
      <c r="CL702" s="935"/>
      <c r="CM702" s="935"/>
      <c r="CN702" s="935"/>
      <c r="CO702" s="935"/>
      <c r="CP702" s="935"/>
      <c r="CQ702" s="935"/>
      <c r="CR702" s="935"/>
      <c r="CS702" s="935"/>
      <c r="CT702" s="935"/>
      <c r="CU702" s="935"/>
      <c r="CV702" s="935"/>
    </row>
    <row r="703" spans="1:100" s="441" customFormat="1">
      <c r="A703" s="375">
        <f t="shared" si="194"/>
        <v>9</v>
      </c>
      <c r="B703" s="862">
        <v>44466</v>
      </c>
      <c r="C703" s="493" t="s">
        <v>1980</v>
      </c>
      <c r="D703" s="376" t="str">
        <f>IFERROR(VLOOKUP(E:E,'Item Data Support Sheet'!A:O,7,0),"")</f>
        <v>NIPPLE LASER MARKING</v>
      </c>
      <c r="E703" s="447" t="s">
        <v>1814</v>
      </c>
      <c r="F703" s="500"/>
      <c r="G703" s="497"/>
      <c r="H703" s="602" t="str">
        <f>IFERROR(VLOOKUP(E:E,'Item Data Support Sheet'!A:O,2,0),"")</f>
        <v>NIPPLE S TYPE S SIZE PUNCHED LASER MARKED</v>
      </c>
      <c r="I703" s="501" t="s">
        <v>3372</v>
      </c>
      <c r="J703" s="501" t="s">
        <v>2811</v>
      </c>
      <c r="K703" s="438">
        <v>8</v>
      </c>
      <c r="L703" s="499">
        <v>7000</v>
      </c>
      <c r="M703" s="366">
        <f t="shared" si="209"/>
        <v>875</v>
      </c>
      <c r="N703" s="367">
        <f t="shared" si="193"/>
        <v>6350</v>
      </c>
      <c r="O703" s="61">
        <v>6350</v>
      </c>
      <c r="P703" s="368">
        <v>0</v>
      </c>
      <c r="Q703" s="368">
        <v>0</v>
      </c>
      <c r="R703" s="494">
        <v>0</v>
      </c>
      <c r="S703" s="493">
        <v>0</v>
      </c>
      <c r="T703" s="494">
        <v>0</v>
      </c>
      <c r="U703" s="493">
        <v>0</v>
      </c>
      <c r="V703" s="502">
        <v>1</v>
      </c>
      <c r="W703" s="453">
        <f t="shared" si="195"/>
        <v>6350</v>
      </c>
      <c r="X703" s="748">
        <f t="shared" si="196"/>
        <v>0.90714285714285714</v>
      </c>
      <c r="Y703" s="451" t="str">
        <f>IFERROR(VLOOKUP(E:E,'Item Data Support Sheet'!A:J,6,0),0)</f>
        <v>FO019</v>
      </c>
      <c r="Z703" s="428">
        <f>IFERROR(VLOOKUP(E:E,'Item Data Support Sheet'!A:O,4,0),0)</f>
        <v>0</v>
      </c>
      <c r="AA703" s="428">
        <f t="shared" si="197"/>
        <v>0</v>
      </c>
      <c r="AB703" s="429" t="str">
        <f t="shared" si="198"/>
        <v xml:space="preserve"> </v>
      </c>
      <c r="AC703" s="424">
        <f t="shared" si="199"/>
        <v>0</v>
      </c>
      <c r="AD703" s="371">
        <f t="shared" si="200"/>
        <v>0</v>
      </c>
      <c r="AE703" s="748">
        <f t="shared" si="201"/>
        <v>1</v>
      </c>
      <c r="AF703" s="417">
        <f t="shared" si="202"/>
        <v>0.66666666666666663</v>
      </c>
      <c r="AG703" s="416">
        <f t="shared" si="203"/>
        <v>7.333333333333333</v>
      </c>
      <c r="AH703" s="372">
        <f t="shared" si="204"/>
        <v>0.91666666666666663</v>
      </c>
      <c r="AI703" s="373">
        <f t="shared" si="205"/>
        <v>793.75</v>
      </c>
      <c r="AJ703" s="418">
        <f>VLOOKUP(D703,'Standard Cycle time'!C:D,2,0)</f>
        <v>3.5</v>
      </c>
      <c r="AK703" s="418">
        <f t="shared" si="206"/>
        <v>4.1574803149606296</v>
      </c>
      <c r="AL703" s="374">
        <f t="shared" si="207"/>
        <v>0.84185606060606066</v>
      </c>
      <c r="AM703" s="372">
        <f t="shared" si="208"/>
        <v>0.77170138888888895</v>
      </c>
      <c r="AN703" s="799" t="s">
        <v>3373</v>
      </c>
      <c r="AO703" s="448" t="s">
        <v>3371</v>
      </c>
      <c r="AP703" s="440">
        <v>40</v>
      </c>
      <c r="AQ703" s="440">
        <v>0</v>
      </c>
      <c r="AR703" s="440">
        <v>0</v>
      </c>
      <c r="AS703" s="440">
        <v>0</v>
      </c>
      <c r="AT703" s="440">
        <v>0</v>
      </c>
      <c r="AU703" s="440">
        <v>0</v>
      </c>
      <c r="AV703" s="440">
        <v>0</v>
      </c>
      <c r="AW703" s="440">
        <v>0</v>
      </c>
      <c r="AX703" s="440">
        <v>0</v>
      </c>
      <c r="AY703" s="440">
        <v>0</v>
      </c>
      <c r="AZ703" s="440">
        <v>0</v>
      </c>
      <c r="BA703" s="440">
        <v>0</v>
      </c>
      <c r="BB703" s="440">
        <v>0</v>
      </c>
      <c r="BC703" s="440">
        <v>0</v>
      </c>
      <c r="BD703" s="440">
        <v>0</v>
      </c>
      <c r="BE703" s="440">
        <v>0</v>
      </c>
      <c r="BF703" s="440">
        <v>0</v>
      </c>
      <c r="BG703" s="440">
        <v>0</v>
      </c>
      <c r="BH703" s="440">
        <v>0</v>
      </c>
      <c r="BI703" s="440">
        <v>0</v>
      </c>
      <c r="BJ703" s="440">
        <v>0</v>
      </c>
      <c r="BK703" s="440">
        <v>0</v>
      </c>
      <c r="BL703" s="440">
        <v>0</v>
      </c>
      <c r="BM703" s="440">
        <v>0</v>
      </c>
      <c r="BN703" s="440">
        <v>0</v>
      </c>
      <c r="BO703" s="440">
        <v>0</v>
      </c>
      <c r="BP703" s="440">
        <v>0</v>
      </c>
      <c r="BQ703" s="440">
        <v>0</v>
      </c>
      <c r="BR703" s="415">
        <v>0.66666666666666663</v>
      </c>
      <c r="BS703" s="415">
        <v>0.6777777777777777</v>
      </c>
      <c r="BT703" s="935"/>
      <c r="BU703" s="935"/>
      <c r="BV703" s="935"/>
      <c r="BW703" s="935"/>
      <c r="BX703" s="935"/>
      <c r="BY703" s="935"/>
      <c r="BZ703" s="935"/>
      <c r="CA703" s="935"/>
      <c r="CB703" s="935"/>
      <c r="CC703" s="935"/>
      <c r="CD703" s="935"/>
      <c r="CE703" s="935"/>
      <c r="CF703" s="935"/>
      <c r="CG703" s="935"/>
      <c r="CH703" s="935"/>
      <c r="CI703" s="935"/>
      <c r="CJ703" s="935"/>
      <c r="CK703" s="935"/>
      <c r="CL703" s="935"/>
      <c r="CM703" s="935"/>
      <c r="CN703" s="935"/>
      <c r="CO703" s="935"/>
      <c r="CP703" s="935"/>
      <c r="CQ703" s="935"/>
      <c r="CR703" s="935"/>
      <c r="CS703" s="935"/>
      <c r="CT703" s="935"/>
      <c r="CU703" s="935"/>
      <c r="CV703" s="935"/>
    </row>
    <row r="704" spans="1:100" s="441" customFormat="1">
      <c r="A704" s="375">
        <f t="shared" si="194"/>
        <v>9</v>
      </c>
      <c r="B704" s="862">
        <v>44466</v>
      </c>
      <c r="C704" s="493" t="s">
        <v>1980</v>
      </c>
      <c r="D704" s="376" t="str">
        <f>IFERROR(VLOOKUP(E:E,'Item Data Support Sheet'!A:O,7,0),"")</f>
        <v>BOTTLE MOLDED</v>
      </c>
      <c r="E704" s="447" t="s">
        <v>68</v>
      </c>
      <c r="F704" s="500"/>
      <c r="G704" s="497" t="s">
        <v>1665</v>
      </c>
      <c r="H704" s="602" t="str">
        <f>IFERROR(VLOOKUP(E:E,'Item Data Support Sheet'!A:O,2,0),"")</f>
        <v>RPP 240 ML BOTTLE MOLDED</v>
      </c>
      <c r="I704" s="501" t="s">
        <v>3374</v>
      </c>
      <c r="J704" s="501" t="s">
        <v>2811</v>
      </c>
      <c r="K704" s="438">
        <v>8</v>
      </c>
      <c r="L704" s="499">
        <v>1930</v>
      </c>
      <c r="M704" s="366">
        <f t="shared" si="209"/>
        <v>241.25</v>
      </c>
      <c r="N704" s="367">
        <f t="shared" si="193"/>
        <v>1734</v>
      </c>
      <c r="O704" s="61">
        <v>1560</v>
      </c>
      <c r="P704" s="368">
        <v>0</v>
      </c>
      <c r="Q704" s="368">
        <v>92</v>
      </c>
      <c r="R704" s="494">
        <v>0</v>
      </c>
      <c r="S704" s="493">
        <v>0</v>
      </c>
      <c r="T704" s="494">
        <v>74</v>
      </c>
      <c r="U704" s="493">
        <v>8</v>
      </c>
      <c r="V704" s="502">
        <v>1</v>
      </c>
      <c r="W704" s="453">
        <f t="shared" si="195"/>
        <v>1560</v>
      </c>
      <c r="X704" s="748">
        <f t="shared" si="196"/>
        <v>0.80829015544041449</v>
      </c>
      <c r="Y704" s="451" t="str">
        <f>IFERROR(VLOOKUP(E:E,'Item Data Support Sheet'!A:J,6,0),0)</f>
        <v>HMC</v>
      </c>
      <c r="Z704" s="428">
        <f>IFERROR(VLOOKUP(E:E,'Item Data Support Sheet'!A:O,4,0),0)</f>
        <v>32.1</v>
      </c>
      <c r="AA704" s="428">
        <f t="shared" si="197"/>
        <v>55.661400000000008</v>
      </c>
      <c r="AB704" s="429">
        <f t="shared" si="198"/>
        <v>0.89965397923875434</v>
      </c>
      <c r="AC704" s="424">
        <f t="shared" si="199"/>
        <v>4.528763769889841E-2</v>
      </c>
      <c r="AD704" s="371">
        <f t="shared" si="200"/>
        <v>5.0383351588170866E-2</v>
      </c>
      <c r="AE704" s="748">
        <f t="shared" si="201"/>
        <v>0.95732410611303342</v>
      </c>
      <c r="AF704" s="417">
        <f t="shared" si="202"/>
        <v>3.5</v>
      </c>
      <c r="AG704" s="416">
        <f t="shared" si="203"/>
        <v>4.5</v>
      </c>
      <c r="AH704" s="372">
        <f t="shared" si="204"/>
        <v>0.5625</v>
      </c>
      <c r="AI704" s="373">
        <f t="shared" si="205"/>
        <v>195</v>
      </c>
      <c r="AJ704" s="418">
        <f>VLOOKUP(D704,'Standard Cycle time'!C:D,2,0)</f>
        <v>9</v>
      </c>
      <c r="AK704" s="418">
        <f t="shared" si="206"/>
        <v>10.384615384615385</v>
      </c>
      <c r="AL704" s="374">
        <f t="shared" si="207"/>
        <v>0.86666666666666659</v>
      </c>
      <c r="AM704" s="372">
        <f t="shared" si="208"/>
        <v>0.46669550173010377</v>
      </c>
      <c r="AN704" s="799">
        <v>3692</v>
      </c>
      <c r="AO704" s="448" t="s">
        <v>3375</v>
      </c>
      <c r="AP704" s="440">
        <v>0</v>
      </c>
      <c r="AQ704" s="440">
        <v>0</v>
      </c>
      <c r="AR704" s="440">
        <v>120</v>
      </c>
      <c r="AS704" s="440">
        <v>0</v>
      </c>
      <c r="AT704" s="440">
        <v>0</v>
      </c>
      <c r="AU704" s="440">
        <v>0</v>
      </c>
      <c r="AV704" s="440">
        <v>60</v>
      </c>
      <c r="AW704" s="440">
        <v>30</v>
      </c>
      <c r="AX704" s="440">
        <v>0</v>
      </c>
      <c r="AY704" s="440">
        <v>0</v>
      </c>
      <c r="AZ704" s="440">
        <v>0</v>
      </c>
      <c r="BA704" s="440">
        <v>0</v>
      </c>
      <c r="BB704" s="440">
        <v>0</v>
      </c>
      <c r="BC704" s="440">
        <v>0</v>
      </c>
      <c r="BD704" s="440">
        <v>0</v>
      </c>
      <c r="BE704" s="440">
        <v>0</v>
      </c>
      <c r="BF704" s="440">
        <v>0</v>
      </c>
      <c r="BG704" s="440">
        <v>0</v>
      </c>
      <c r="BH704" s="440">
        <v>0</v>
      </c>
      <c r="BI704" s="440">
        <v>0</v>
      </c>
      <c r="BJ704" s="440">
        <v>0</v>
      </c>
      <c r="BK704" s="440">
        <v>0</v>
      </c>
      <c r="BL704" s="440">
        <v>0</v>
      </c>
      <c r="BM704" s="440">
        <v>0</v>
      </c>
      <c r="BN704" s="440">
        <v>0</v>
      </c>
      <c r="BO704" s="440">
        <v>0</v>
      </c>
      <c r="BP704" s="440">
        <v>0</v>
      </c>
      <c r="BQ704" s="440">
        <v>0</v>
      </c>
      <c r="BR704" s="415">
        <v>3.5</v>
      </c>
      <c r="BS704" s="415">
        <v>3.5583333333333331</v>
      </c>
      <c r="BT704" s="935"/>
      <c r="BU704" s="935"/>
      <c r="BV704" s="935"/>
      <c r="BW704" s="935"/>
      <c r="BX704" s="935"/>
      <c r="BY704" s="935"/>
      <c r="BZ704" s="935"/>
      <c r="CA704" s="935"/>
      <c r="CB704" s="935"/>
      <c r="CC704" s="935"/>
      <c r="CD704" s="935"/>
      <c r="CE704" s="935"/>
      <c r="CF704" s="935"/>
      <c r="CG704" s="935"/>
      <c r="CH704" s="935"/>
      <c r="CI704" s="935"/>
      <c r="CJ704" s="935"/>
      <c r="CK704" s="935"/>
      <c r="CL704" s="935"/>
      <c r="CM704" s="935"/>
      <c r="CN704" s="935"/>
      <c r="CO704" s="935"/>
      <c r="CP704" s="935"/>
      <c r="CQ704" s="935"/>
      <c r="CR704" s="935"/>
      <c r="CS704" s="935"/>
      <c r="CT704" s="935"/>
      <c r="CU704" s="935"/>
      <c r="CV704" s="935"/>
    </row>
    <row r="705" spans="1:100" s="441" customFormat="1">
      <c r="A705" s="375">
        <f t="shared" si="194"/>
        <v>9</v>
      </c>
      <c r="B705" s="862">
        <v>44466</v>
      </c>
      <c r="C705" s="493" t="s">
        <v>1980</v>
      </c>
      <c r="D705" s="376" t="str">
        <f>IFERROR(VLOOKUP(E:E,'Item Data Support Sheet'!A:O,7,0),"")</f>
        <v>CAP MOLDED</v>
      </c>
      <c r="E705" s="447" t="s">
        <v>2108</v>
      </c>
      <c r="F705" s="500"/>
      <c r="G705" s="497" t="s">
        <v>3212</v>
      </c>
      <c r="H705" s="602" t="str">
        <f>IFERROR(VLOOKUP(E:E,'Item Data Support Sheet'!A:O,2,0),"")</f>
        <v>CAP S TYPE MOLDED BLUE</v>
      </c>
      <c r="I705" s="501" t="s">
        <v>3376</v>
      </c>
      <c r="J705" s="501" t="s">
        <v>2811</v>
      </c>
      <c r="K705" s="438">
        <v>8</v>
      </c>
      <c r="L705" s="499">
        <v>4137</v>
      </c>
      <c r="M705" s="366">
        <f t="shared" si="209"/>
        <v>517.125</v>
      </c>
      <c r="N705" s="367">
        <f t="shared" si="193"/>
        <v>2828</v>
      </c>
      <c r="O705" s="61">
        <v>2825</v>
      </c>
      <c r="P705" s="368" t="s">
        <v>3377</v>
      </c>
      <c r="Q705" s="368">
        <v>0</v>
      </c>
      <c r="R705" s="494">
        <v>0</v>
      </c>
      <c r="S705" s="493">
        <v>0</v>
      </c>
      <c r="T705" s="494">
        <v>3</v>
      </c>
      <c r="U705" s="493">
        <v>0</v>
      </c>
      <c r="V705" s="502">
        <v>1</v>
      </c>
      <c r="W705" s="453">
        <f t="shared" si="195"/>
        <v>2825</v>
      </c>
      <c r="X705" s="748">
        <f t="shared" si="196"/>
        <v>0.68286197727822096</v>
      </c>
      <c r="Y705" s="451" t="str">
        <f>IFERROR(VLOOKUP(E:E,'Item Data Support Sheet'!A:J,6,0),0)</f>
        <v>RM000114</v>
      </c>
      <c r="Z705" s="428">
        <f>IFERROR(VLOOKUP(E:E,'Item Data Support Sheet'!A:O,4,0),0)</f>
        <v>7.3</v>
      </c>
      <c r="AA705" s="428">
        <f t="shared" si="197"/>
        <v>0</v>
      </c>
      <c r="AB705" s="429" t="str">
        <f t="shared" si="198"/>
        <v xml:space="preserve"> </v>
      </c>
      <c r="AC705" s="424">
        <f t="shared" si="199"/>
        <v>1.0608203677510608E-3</v>
      </c>
      <c r="AD705" s="371">
        <f t="shared" si="200"/>
        <v>0</v>
      </c>
      <c r="AE705" s="748">
        <f t="shared" si="201"/>
        <v>0.99893917963224899</v>
      </c>
      <c r="AF705" s="417">
        <f t="shared" si="202"/>
        <v>3</v>
      </c>
      <c r="AG705" s="416">
        <f t="shared" si="203"/>
        <v>5</v>
      </c>
      <c r="AH705" s="372">
        <f t="shared" si="204"/>
        <v>0.625</v>
      </c>
      <c r="AI705" s="373">
        <f t="shared" si="205"/>
        <v>353.125</v>
      </c>
      <c r="AJ705" s="418">
        <f>VLOOKUP(D705,'Standard Cycle time'!C:D,2,0)</f>
        <v>6</v>
      </c>
      <c r="AK705" s="418">
        <f t="shared" si="206"/>
        <v>6.3716814159292037</v>
      </c>
      <c r="AL705" s="374">
        <f t="shared" si="207"/>
        <v>0.94166666666666665</v>
      </c>
      <c r="AM705" s="372">
        <f t="shared" si="208"/>
        <v>0.58791732967939647</v>
      </c>
      <c r="AN705" s="799">
        <v>3636</v>
      </c>
      <c r="AO705" s="448" t="s">
        <v>3378</v>
      </c>
      <c r="AP705" s="440">
        <v>0</v>
      </c>
      <c r="AQ705" s="440">
        <v>0</v>
      </c>
      <c r="AR705" s="440">
        <v>0</v>
      </c>
      <c r="AS705" s="440">
        <v>0</v>
      </c>
      <c r="AT705" s="440">
        <v>0</v>
      </c>
      <c r="AU705" s="440">
        <v>0</v>
      </c>
      <c r="AV705" s="440">
        <v>60</v>
      </c>
      <c r="AW705" s="440">
        <v>120</v>
      </c>
      <c r="AX705" s="440">
        <v>0</v>
      </c>
      <c r="AY705" s="440">
        <v>0</v>
      </c>
      <c r="AZ705" s="440">
        <v>0</v>
      </c>
      <c r="BA705" s="440">
        <v>0</v>
      </c>
      <c r="BB705" s="440">
        <v>0</v>
      </c>
      <c r="BC705" s="440">
        <v>0</v>
      </c>
      <c r="BD705" s="440">
        <v>0</v>
      </c>
      <c r="BE705" s="440">
        <v>0</v>
      </c>
      <c r="BF705" s="440">
        <v>0</v>
      </c>
      <c r="BG705" s="440">
        <v>0</v>
      </c>
      <c r="BH705" s="440">
        <v>0</v>
      </c>
      <c r="BI705" s="440">
        <v>0</v>
      </c>
      <c r="BJ705" s="440">
        <v>0</v>
      </c>
      <c r="BK705" s="440">
        <v>0</v>
      </c>
      <c r="BL705" s="440">
        <v>0</v>
      </c>
      <c r="BM705" s="440">
        <v>0</v>
      </c>
      <c r="BN705" s="440">
        <v>0</v>
      </c>
      <c r="BO705" s="440">
        <v>0</v>
      </c>
      <c r="BP705" s="440">
        <v>0</v>
      </c>
      <c r="BQ705" s="440">
        <v>0</v>
      </c>
      <c r="BR705" s="415">
        <v>3</v>
      </c>
      <c r="BS705" s="415">
        <v>3.05</v>
      </c>
      <c r="BT705" s="935"/>
      <c r="BU705" s="935"/>
      <c r="BV705" s="935"/>
      <c r="BW705" s="935"/>
      <c r="BX705" s="935"/>
      <c r="BY705" s="935"/>
      <c r="BZ705" s="935"/>
      <c r="CA705" s="935"/>
      <c r="CB705" s="935"/>
      <c r="CC705" s="935"/>
      <c r="CD705" s="935"/>
      <c r="CE705" s="935"/>
      <c r="CF705" s="935"/>
      <c r="CG705" s="935"/>
      <c r="CH705" s="935"/>
      <c r="CI705" s="935"/>
      <c r="CJ705" s="935"/>
      <c r="CK705" s="935"/>
      <c r="CL705" s="935"/>
      <c r="CM705" s="935"/>
      <c r="CN705" s="935"/>
      <c r="CO705" s="935"/>
      <c r="CP705" s="935"/>
      <c r="CQ705" s="935"/>
      <c r="CR705" s="935"/>
      <c r="CS705" s="935"/>
      <c r="CT705" s="935"/>
      <c r="CU705" s="935"/>
      <c r="CV705" s="935"/>
    </row>
    <row r="706" spans="1:100" s="441" customFormat="1">
      <c r="A706" s="375">
        <f t="shared" si="194"/>
        <v>9</v>
      </c>
      <c r="B706" s="862">
        <v>44466</v>
      </c>
      <c r="C706" s="493" t="s">
        <v>1980</v>
      </c>
      <c r="D706" s="376" t="str">
        <f>IFERROR(VLOOKUP(E:E,'Item Data Support Sheet'!A:O,7,0),"")</f>
        <v>NIPPLE MOLDED</v>
      </c>
      <c r="E706" s="447" t="s">
        <v>2484</v>
      </c>
      <c r="F706" s="500" t="s">
        <v>1678</v>
      </c>
      <c r="G706" s="497" t="s">
        <v>1691</v>
      </c>
      <c r="H706" s="602" t="str">
        <f>IFERROR(VLOOKUP(E:E,'Item Data Support Sheet'!A:O,2,0),"")</f>
        <v>NIPPLE S TYPE LL SIZE INJECTION</v>
      </c>
      <c r="I706" s="501" t="s">
        <v>3379</v>
      </c>
      <c r="J706" s="501" t="s">
        <v>2811</v>
      </c>
      <c r="K706" s="438">
        <v>8</v>
      </c>
      <c r="L706" s="499">
        <v>3611</v>
      </c>
      <c r="M706" s="366">
        <f t="shared" si="209"/>
        <v>451.375</v>
      </c>
      <c r="N706" s="367">
        <f t="shared" si="193"/>
        <v>4329</v>
      </c>
      <c r="O706" s="61">
        <v>4000</v>
      </c>
      <c r="P706" s="368">
        <v>0</v>
      </c>
      <c r="Q706" s="368">
        <v>171</v>
      </c>
      <c r="R706" s="494">
        <v>0</v>
      </c>
      <c r="S706" s="493">
        <v>0</v>
      </c>
      <c r="T706" s="494">
        <v>150</v>
      </c>
      <c r="U706" s="493">
        <v>8</v>
      </c>
      <c r="V706" s="502">
        <v>1</v>
      </c>
      <c r="W706" s="453">
        <f t="shared" si="195"/>
        <v>4000</v>
      </c>
      <c r="X706" s="748">
        <f t="shared" si="196"/>
        <v>1.1077263915812794</v>
      </c>
      <c r="Y706" s="451" t="str">
        <f>IFERROR(VLOOKUP(E:E,'Item Data Support Sheet'!A:J,6,0),0)</f>
        <v>FO148</v>
      </c>
      <c r="Z706" s="428">
        <f>IFERROR(VLOOKUP(E:E,'Item Data Support Sheet'!A:O,4,0),0)</f>
        <v>6.8</v>
      </c>
      <c r="AA706" s="428">
        <f t="shared" si="197"/>
        <v>29.437199999999997</v>
      </c>
      <c r="AB706" s="429">
        <f t="shared" si="198"/>
        <v>0.92400092400092404</v>
      </c>
      <c r="AC706" s="424">
        <f t="shared" si="199"/>
        <v>3.614457831325301E-2</v>
      </c>
      <c r="AD706" s="371">
        <f t="shared" si="200"/>
        <v>3.7999999999999999E-2</v>
      </c>
      <c r="AE706" s="748">
        <f t="shared" si="201"/>
        <v>0.96534996534996531</v>
      </c>
      <c r="AF706" s="417">
        <f t="shared" si="202"/>
        <v>1.5</v>
      </c>
      <c r="AG706" s="416">
        <f t="shared" si="203"/>
        <v>6.5</v>
      </c>
      <c r="AH706" s="372">
        <f t="shared" si="204"/>
        <v>0.8125</v>
      </c>
      <c r="AI706" s="373">
        <f t="shared" si="205"/>
        <v>500</v>
      </c>
      <c r="AJ706" s="418">
        <f>VLOOKUP(D706,'Standard Cycle time'!C:D,2,0)</f>
        <v>5.25</v>
      </c>
      <c r="AK706" s="418">
        <f t="shared" si="206"/>
        <v>5.85</v>
      </c>
      <c r="AL706" s="374">
        <f t="shared" si="207"/>
        <v>0.89743589743589747</v>
      </c>
      <c r="AM706" s="372">
        <f t="shared" si="208"/>
        <v>0.70390101640101643</v>
      </c>
      <c r="AN706" s="799">
        <v>3639</v>
      </c>
      <c r="AO706" s="448" t="s">
        <v>3380</v>
      </c>
      <c r="AP706" s="440">
        <v>0</v>
      </c>
      <c r="AQ706" s="440">
        <v>0</v>
      </c>
      <c r="AR706" s="440">
        <v>0</v>
      </c>
      <c r="AS706" s="440">
        <v>0</v>
      </c>
      <c r="AT706" s="440">
        <v>0</v>
      </c>
      <c r="AU706" s="440">
        <v>30</v>
      </c>
      <c r="AV706" s="440">
        <v>0</v>
      </c>
      <c r="AW706" s="440">
        <v>60</v>
      </c>
      <c r="AX706" s="440">
        <v>0</v>
      </c>
      <c r="AY706" s="440">
        <v>0</v>
      </c>
      <c r="AZ706" s="440">
        <v>0</v>
      </c>
      <c r="BA706" s="440">
        <v>0</v>
      </c>
      <c r="BB706" s="440">
        <v>0</v>
      </c>
      <c r="BC706" s="440">
        <v>0</v>
      </c>
      <c r="BD706" s="440">
        <v>0</v>
      </c>
      <c r="BE706" s="440">
        <v>0</v>
      </c>
      <c r="BF706" s="440">
        <v>0</v>
      </c>
      <c r="BG706" s="440">
        <v>0</v>
      </c>
      <c r="BH706" s="440">
        <v>0</v>
      </c>
      <c r="BI706" s="440">
        <v>0</v>
      </c>
      <c r="BJ706" s="440">
        <v>0</v>
      </c>
      <c r="BK706" s="440">
        <v>0</v>
      </c>
      <c r="BL706" s="440">
        <v>0</v>
      </c>
      <c r="BM706" s="440">
        <v>0</v>
      </c>
      <c r="BN706" s="440">
        <v>0</v>
      </c>
      <c r="BO706" s="440">
        <v>0</v>
      </c>
      <c r="BP706" s="440">
        <v>0</v>
      </c>
      <c r="BQ706" s="440">
        <v>0</v>
      </c>
      <c r="BR706" s="415">
        <v>1.5</v>
      </c>
      <c r="BS706" s="415">
        <v>1.5249999999999999</v>
      </c>
      <c r="BT706" s="935"/>
      <c r="BU706" s="935"/>
      <c r="BV706" s="935"/>
      <c r="BW706" s="935"/>
      <c r="BX706" s="935"/>
      <c r="BY706" s="935"/>
      <c r="BZ706" s="935"/>
      <c r="CA706" s="935"/>
      <c r="CB706" s="935"/>
      <c r="CC706" s="935"/>
      <c r="CD706" s="935"/>
      <c r="CE706" s="935"/>
      <c r="CF706" s="935"/>
      <c r="CG706" s="935"/>
      <c r="CH706" s="935"/>
      <c r="CI706" s="935"/>
      <c r="CJ706" s="935"/>
      <c r="CK706" s="935"/>
      <c r="CL706" s="935"/>
      <c r="CM706" s="935"/>
      <c r="CN706" s="935"/>
      <c r="CO706" s="935"/>
      <c r="CP706" s="935"/>
      <c r="CQ706" s="935"/>
      <c r="CR706" s="935"/>
      <c r="CS706" s="935"/>
      <c r="CT706" s="935"/>
      <c r="CU706" s="935"/>
      <c r="CV706" s="935"/>
    </row>
    <row r="707" spans="1:100" s="441" customFormat="1">
      <c r="A707" s="375">
        <f t="shared" si="194"/>
        <v>9</v>
      </c>
      <c r="B707" s="862">
        <v>44466</v>
      </c>
      <c r="C707" s="493" t="s">
        <v>1980</v>
      </c>
      <c r="D707" s="376" t="str">
        <f>IFERROR(VLOOKUP(E:E,'Item Data Support Sheet'!A:O,7,0),"")</f>
        <v>NIPPLE MOLDED</v>
      </c>
      <c r="E707" s="447" t="s">
        <v>72</v>
      </c>
      <c r="F707" s="500" t="s">
        <v>1677</v>
      </c>
      <c r="G707" s="497" t="s">
        <v>1690</v>
      </c>
      <c r="H707" s="602" t="str">
        <f>IFERROR(VLOOKUP(E:E,'Item Data Support Sheet'!A:O,2,0),"")</f>
        <v>NIPPLE S TYPE S SIZE INJECTION</v>
      </c>
      <c r="I707" s="501" t="s">
        <v>3379</v>
      </c>
      <c r="J707" s="501" t="s">
        <v>2809</v>
      </c>
      <c r="K707" s="438">
        <v>4</v>
      </c>
      <c r="L707" s="499">
        <v>1200</v>
      </c>
      <c r="M707" s="366">
        <f t="shared" si="209"/>
        <v>300</v>
      </c>
      <c r="N707" s="367">
        <f t="shared" si="193"/>
        <v>1140</v>
      </c>
      <c r="O707" s="61">
        <v>790</v>
      </c>
      <c r="P707" s="368">
        <v>0.6</v>
      </c>
      <c r="Q707" s="368">
        <v>308</v>
      </c>
      <c r="R707" s="494">
        <v>0</v>
      </c>
      <c r="S707" s="493">
        <v>0</v>
      </c>
      <c r="T707" s="494">
        <v>42</v>
      </c>
      <c r="U707" s="493">
        <v>0</v>
      </c>
      <c r="V707" s="502">
        <v>1</v>
      </c>
      <c r="W707" s="453">
        <f t="shared" si="195"/>
        <v>790</v>
      </c>
      <c r="X707" s="748">
        <f t="shared" si="196"/>
        <v>0.65833333333333333</v>
      </c>
      <c r="Y707" s="451" t="str">
        <f>IFERROR(VLOOKUP(E:E,'Item Data Support Sheet'!A:J,6,0),0)</f>
        <v>Silicon</v>
      </c>
      <c r="Z707" s="428">
        <f>IFERROR(VLOOKUP(E:E,'Item Data Support Sheet'!A:O,4,0),0)</f>
        <v>6.8</v>
      </c>
      <c r="AA707" s="428">
        <f t="shared" si="197"/>
        <v>8.3520000000000003</v>
      </c>
      <c r="AB707" s="429">
        <f t="shared" si="198"/>
        <v>0.64319923371647503</v>
      </c>
      <c r="AC707" s="424">
        <f t="shared" si="199"/>
        <v>5.0480769230769232E-2</v>
      </c>
      <c r="AD707" s="371">
        <f t="shared" si="200"/>
        <v>0.212707182320442</v>
      </c>
      <c r="AE707" s="748">
        <f t="shared" si="201"/>
        <v>0.9631578947368421</v>
      </c>
      <c r="AF707" s="417">
        <f t="shared" si="202"/>
        <v>0</v>
      </c>
      <c r="AG707" s="416">
        <f t="shared" si="203"/>
        <v>4</v>
      </c>
      <c r="AH707" s="372">
        <f t="shared" si="204"/>
        <v>1</v>
      </c>
      <c r="AI707" s="373">
        <f t="shared" si="205"/>
        <v>197.5</v>
      </c>
      <c r="AJ707" s="418">
        <f>VLOOKUP(D707,'Standard Cycle time'!C:D,2,0)</f>
        <v>5.25</v>
      </c>
      <c r="AK707" s="418">
        <f t="shared" si="206"/>
        <v>18.227848101265824</v>
      </c>
      <c r="AL707" s="374">
        <f t="shared" si="207"/>
        <v>0.28802083333333334</v>
      </c>
      <c r="AM707" s="372">
        <f t="shared" si="208"/>
        <v>0.27740953947368419</v>
      </c>
      <c r="AN707" s="799">
        <v>3719</v>
      </c>
      <c r="AO707" s="448" t="s">
        <v>3381</v>
      </c>
      <c r="AP707" s="440"/>
      <c r="AQ707" s="440"/>
      <c r="AR707" s="440"/>
      <c r="AS707" s="440"/>
      <c r="AT707" s="440"/>
      <c r="AU707" s="440">
        <v>30</v>
      </c>
      <c r="AV707" s="440"/>
      <c r="AW707" s="440">
        <v>30</v>
      </c>
      <c r="AX707" s="440"/>
      <c r="AY707" s="440"/>
      <c r="AZ707" s="440"/>
      <c r="BA707" s="440"/>
      <c r="BB707" s="440"/>
      <c r="BC707" s="440"/>
      <c r="BD707" s="440"/>
      <c r="BE707" s="440"/>
      <c r="BF707" s="440"/>
      <c r="BG707" s="440"/>
      <c r="BH707" s="440"/>
      <c r="BI707" s="440"/>
      <c r="BJ707" s="440"/>
      <c r="BK707" s="440"/>
      <c r="BL707" s="440"/>
      <c r="BM707" s="440"/>
      <c r="BN707" s="440"/>
      <c r="BO707" s="440"/>
      <c r="BP707" s="440"/>
      <c r="BQ707" s="440"/>
      <c r="BR707" s="415"/>
      <c r="BS707" s="415"/>
      <c r="BT707" s="935"/>
      <c r="BU707" s="935"/>
      <c r="BV707" s="935"/>
      <c r="BW707" s="935"/>
      <c r="BX707" s="935"/>
      <c r="BY707" s="935"/>
      <c r="BZ707" s="935"/>
      <c r="CA707" s="935"/>
      <c r="CB707" s="935"/>
      <c r="CC707" s="935"/>
      <c r="CD707" s="935"/>
      <c r="CE707" s="935"/>
      <c r="CF707" s="935"/>
      <c r="CG707" s="935"/>
      <c r="CH707" s="935"/>
      <c r="CI707" s="935"/>
      <c r="CJ707" s="935"/>
      <c r="CK707" s="935"/>
      <c r="CL707" s="935"/>
      <c r="CM707" s="935"/>
      <c r="CN707" s="935"/>
      <c r="CO707" s="935"/>
      <c r="CP707" s="935"/>
      <c r="CQ707" s="935"/>
      <c r="CR707" s="935"/>
      <c r="CS707" s="935"/>
      <c r="CT707" s="935"/>
      <c r="CU707" s="935"/>
      <c r="CV707" s="935"/>
    </row>
    <row r="708" spans="1:100" s="441" customFormat="1">
      <c r="A708" s="375">
        <f t="shared" si="194"/>
        <v>9</v>
      </c>
      <c r="B708" s="862">
        <v>44466</v>
      </c>
      <c r="C708" s="493" t="s">
        <v>1980</v>
      </c>
      <c r="D708" s="376" t="str">
        <f>IFERROR(VLOOKUP(E:E,'Item Data Support Sheet'!A:O,7,0),"")</f>
        <v>BOTTLE PRINTED</v>
      </c>
      <c r="E708" s="447" t="s">
        <v>64</v>
      </c>
      <c r="F708" s="500"/>
      <c r="G708" s="497"/>
      <c r="H708" s="602" t="str">
        <f>IFERROR(VLOOKUP(E:E,'Item Data Support Sheet'!A:O,2,0),"")</f>
        <v>KPP 240 ML BOTTLE PRINTED</v>
      </c>
      <c r="I708" s="501" t="s">
        <v>3382</v>
      </c>
      <c r="J708" s="501" t="s">
        <v>2813</v>
      </c>
      <c r="K708" s="438">
        <v>8.5</v>
      </c>
      <c r="L708" s="499">
        <v>5100</v>
      </c>
      <c r="M708" s="366">
        <f t="shared" si="209"/>
        <v>600</v>
      </c>
      <c r="N708" s="367">
        <f t="shared" ref="N708:N771" si="210">+O708+Q708+T708+U708</f>
        <v>3576</v>
      </c>
      <c r="O708" s="61">
        <v>3564</v>
      </c>
      <c r="P708" s="368">
        <v>0</v>
      </c>
      <c r="Q708" s="368">
        <v>0</v>
      </c>
      <c r="R708" s="494">
        <v>32</v>
      </c>
      <c r="S708" s="493">
        <v>0</v>
      </c>
      <c r="T708" s="494">
        <v>12</v>
      </c>
      <c r="U708" s="493">
        <v>0</v>
      </c>
      <c r="V708" s="502">
        <v>6</v>
      </c>
      <c r="W708" s="453">
        <f t="shared" si="195"/>
        <v>594</v>
      </c>
      <c r="X708" s="748">
        <f t="shared" si="196"/>
        <v>0.69882352941176473</v>
      </c>
      <c r="Y708" s="451" t="str">
        <f>IFERROR(VLOOKUP(E:E,'Item Data Support Sheet'!A:J,6,0),0)</f>
        <v>FO003</v>
      </c>
      <c r="Z708" s="428">
        <f>IFERROR(VLOOKUP(E:E,'Item Data Support Sheet'!A:O,4,0),0)</f>
        <v>0</v>
      </c>
      <c r="AA708" s="428">
        <f t="shared" si="197"/>
        <v>0</v>
      </c>
      <c r="AB708" s="429" t="str">
        <f t="shared" si="198"/>
        <v xml:space="preserve"> </v>
      </c>
      <c r="AC708" s="424">
        <f t="shared" si="199"/>
        <v>3.3557046979865771E-3</v>
      </c>
      <c r="AD708" s="371">
        <f t="shared" si="200"/>
        <v>0</v>
      </c>
      <c r="AE708" s="748">
        <f t="shared" si="201"/>
        <v>0.99664429530201337</v>
      </c>
      <c r="AF708" s="417">
        <f t="shared" si="202"/>
        <v>3.5</v>
      </c>
      <c r="AG708" s="416">
        <f t="shared" si="203"/>
        <v>5</v>
      </c>
      <c r="AH708" s="372">
        <f t="shared" si="204"/>
        <v>0.58823529411764708</v>
      </c>
      <c r="AI708" s="373">
        <f t="shared" si="205"/>
        <v>419.29411764705884</v>
      </c>
      <c r="AJ708" s="418">
        <f>VLOOKUP(D708,'Standard Cycle time'!C:D,2,0)</f>
        <v>32.4</v>
      </c>
      <c r="AK708" s="418">
        <f t="shared" si="206"/>
        <v>30.303030303030305</v>
      </c>
      <c r="AL708" s="374">
        <f t="shared" si="207"/>
        <v>1.0691999999999999</v>
      </c>
      <c r="AM708" s="372">
        <f t="shared" si="208"/>
        <v>0.62683063560994867</v>
      </c>
      <c r="AN708" s="799" t="s">
        <v>2874</v>
      </c>
      <c r="AO708" s="448" t="s">
        <v>3383</v>
      </c>
      <c r="AP708" s="440">
        <v>40</v>
      </c>
      <c r="AQ708" s="440">
        <v>50</v>
      </c>
      <c r="AR708" s="440">
        <v>0</v>
      </c>
      <c r="AS708" s="440">
        <v>0</v>
      </c>
      <c r="AT708" s="440">
        <v>0</v>
      </c>
      <c r="AU708" s="440">
        <v>0</v>
      </c>
      <c r="AV708" s="440">
        <v>0</v>
      </c>
      <c r="AW708" s="440">
        <v>0</v>
      </c>
      <c r="AX708" s="440">
        <v>0</v>
      </c>
      <c r="AY708" s="440">
        <v>0</v>
      </c>
      <c r="AZ708" s="440">
        <v>0</v>
      </c>
      <c r="BA708" s="440">
        <v>0</v>
      </c>
      <c r="BB708" s="440">
        <v>0</v>
      </c>
      <c r="BC708" s="440">
        <v>0</v>
      </c>
      <c r="BD708" s="440">
        <v>0</v>
      </c>
      <c r="BE708" s="440">
        <v>0</v>
      </c>
      <c r="BF708" s="440">
        <v>0</v>
      </c>
      <c r="BG708" s="440">
        <v>0</v>
      </c>
      <c r="BH708" s="440">
        <v>0</v>
      </c>
      <c r="BI708" s="440">
        <v>0</v>
      </c>
      <c r="BJ708" s="440">
        <v>0</v>
      </c>
      <c r="BK708" s="440">
        <v>0</v>
      </c>
      <c r="BL708" s="440">
        <v>0</v>
      </c>
      <c r="BM708" s="440">
        <v>0</v>
      </c>
      <c r="BN708" s="440">
        <v>0</v>
      </c>
      <c r="BO708" s="440">
        <v>120</v>
      </c>
      <c r="BP708" s="440">
        <v>0</v>
      </c>
      <c r="BQ708" s="440">
        <v>0</v>
      </c>
      <c r="BR708" s="415">
        <v>3.5</v>
      </c>
      <c r="BS708" s="415">
        <v>3.5583333333333331</v>
      </c>
      <c r="BT708" s="935"/>
      <c r="BU708" s="935"/>
      <c r="BV708" s="935"/>
      <c r="BW708" s="935"/>
      <c r="BX708" s="935"/>
      <c r="BY708" s="935"/>
      <c r="BZ708" s="935"/>
      <c r="CA708" s="935"/>
      <c r="CB708" s="935"/>
      <c r="CC708" s="935"/>
      <c r="CD708" s="935"/>
      <c r="CE708" s="935"/>
      <c r="CF708" s="935"/>
      <c r="CG708" s="935"/>
      <c r="CH708" s="935"/>
      <c r="CI708" s="935"/>
      <c r="CJ708" s="935"/>
      <c r="CK708" s="935"/>
      <c r="CL708" s="935"/>
      <c r="CM708" s="935"/>
      <c r="CN708" s="935"/>
      <c r="CO708" s="935"/>
      <c r="CP708" s="935"/>
      <c r="CQ708" s="935"/>
      <c r="CR708" s="935"/>
      <c r="CS708" s="935"/>
      <c r="CT708" s="935"/>
      <c r="CU708" s="935"/>
      <c r="CV708" s="935"/>
    </row>
    <row r="709" spans="1:100" s="441" customFormat="1">
      <c r="A709" s="375">
        <f t="shared" ref="A709:A772" si="211">MONTH(B709)</f>
        <v>9</v>
      </c>
      <c r="B709" s="862">
        <v>44466</v>
      </c>
      <c r="C709" s="493" t="s">
        <v>2000</v>
      </c>
      <c r="D709" s="376" t="str">
        <f>IFERROR(VLOOKUP(E:E,'Item Data Support Sheet'!A:O,7,0),"")</f>
        <v>NIPPLE PUNCH INSPECTED</v>
      </c>
      <c r="E709" s="447" t="s">
        <v>1818</v>
      </c>
      <c r="F709" s="500"/>
      <c r="G709" s="497"/>
      <c r="H709" s="602" t="str">
        <f>IFERROR(VLOOKUP(E:E,'Item Data Support Sheet'!A:O,2,0),"")</f>
        <v>NIPPLE S TYPE S SIZE PUNCHED INSPECTED</v>
      </c>
      <c r="I709" s="501" t="s">
        <v>3384</v>
      </c>
      <c r="J709" s="501" t="s">
        <v>2826</v>
      </c>
      <c r="K709" s="438">
        <v>7.5</v>
      </c>
      <c r="L709" s="499">
        <v>12500</v>
      </c>
      <c r="M709" s="366">
        <f t="shared" si="209"/>
        <v>1666.6666666666667</v>
      </c>
      <c r="N709" s="367">
        <f t="shared" si="210"/>
        <v>12150</v>
      </c>
      <c r="O709" s="61">
        <v>12028</v>
      </c>
      <c r="P709" s="368">
        <v>0</v>
      </c>
      <c r="Q709" s="368">
        <v>0</v>
      </c>
      <c r="R709" s="494">
        <v>0</v>
      </c>
      <c r="S709" s="493">
        <v>0</v>
      </c>
      <c r="T709" s="494">
        <v>122</v>
      </c>
      <c r="U709" s="493">
        <v>0</v>
      </c>
      <c r="V709" s="502">
        <v>1</v>
      </c>
      <c r="W709" s="453">
        <f t="shared" ref="W709:W772" si="212">IFERROR(O709/V709,0)</f>
        <v>12028</v>
      </c>
      <c r="X709" s="748">
        <f t="shared" ref="X709:X772" si="213">O709/L709</f>
        <v>0.96223999999999998</v>
      </c>
      <c r="Y709" s="451" t="str">
        <f>IFERROR(VLOOKUP(E:E,'Item Data Support Sheet'!A:J,6,0),0)</f>
        <v>FO104</v>
      </c>
      <c r="Z709" s="428">
        <f>IFERROR(VLOOKUP(E:E,'Item Data Support Sheet'!A:O,4,0),0)</f>
        <v>0</v>
      </c>
      <c r="AA709" s="428">
        <f t="shared" ref="AA709:AA772" si="214">IFERROR(((N709)*(Z709/1000))+P709,0)</f>
        <v>0</v>
      </c>
      <c r="AB709" s="429" t="str">
        <f t="shared" ref="AB709:AB772" si="215">IFERROR((O709*(Z709/1000)/(AA709))," ")</f>
        <v xml:space="preserve"> </v>
      </c>
      <c r="AC709" s="424">
        <f t="shared" ref="AC709:AC772" si="216">IFERROR((T709)/((T709)+O709),0)</f>
        <v>1.0041152263374485E-2</v>
      </c>
      <c r="AD709" s="371">
        <f t="shared" ref="AD709:AD772" si="217">IFERROR(Q709/(Q709+N709),0)</f>
        <v>0</v>
      </c>
      <c r="AE709" s="748">
        <f t="shared" ref="AE709:AE772" si="218">(N709-T709)/N709</f>
        <v>0.98995884773662557</v>
      </c>
      <c r="AF709" s="417">
        <f t="shared" ref="AF709:AF772" si="219">BR709</f>
        <v>0.83333333333333337</v>
      </c>
      <c r="AG709" s="416">
        <f t="shared" ref="AG709:AG772" si="220">K709-AF709</f>
        <v>6.666666666666667</v>
      </c>
      <c r="AH709" s="372">
        <f t="shared" ref="AH709:AH772" si="221">IFERROR(AG709/K709," ")</f>
        <v>0.88888888888888895</v>
      </c>
      <c r="AI709" s="373">
        <f t="shared" ref="AI709:AI772" si="222">IFERROR(O709/K709,0)</f>
        <v>1603.7333333333333</v>
      </c>
      <c r="AJ709" s="418">
        <f>VLOOKUP(D709,'Standard Cycle time'!C:D,2,0)</f>
        <v>4</v>
      </c>
      <c r="AK709" s="418">
        <f t="shared" ref="AK709:AK772" si="223">AG709*V709*3600/O709</f>
        <v>1.9953441968739607</v>
      </c>
      <c r="AL709" s="374">
        <f t="shared" ref="AL709:AL772" si="224">AJ709/AK709</f>
        <v>2.0046666666666666</v>
      </c>
      <c r="AM709" s="372">
        <f t="shared" ref="AM709:AM772" si="225">AE709*AL709*AH709</f>
        <v>1.7640333363816494</v>
      </c>
      <c r="AN709" s="799" t="s">
        <v>3385</v>
      </c>
      <c r="AO709" s="448"/>
      <c r="AP709" s="440">
        <v>50</v>
      </c>
      <c r="AQ709" s="440">
        <v>0</v>
      </c>
      <c r="AR709" s="440">
        <v>0</v>
      </c>
      <c r="AS709" s="440">
        <v>0</v>
      </c>
      <c r="AT709" s="440">
        <v>0</v>
      </c>
      <c r="AU709" s="440">
        <v>0</v>
      </c>
      <c r="AV709" s="440">
        <v>0</v>
      </c>
      <c r="AW709" s="440">
        <v>0</v>
      </c>
      <c r="AX709" s="440">
        <v>0</v>
      </c>
      <c r="AY709" s="440">
        <v>0</v>
      </c>
      <c r="AZ709" s="440">
        <v>0</v>
      </c>
      <c r="BA709" s="440">
        <v>0</v>
      </c>
      <c r="BB709" s="440">
        <v>0</v>
      </c>
      <c r="BC709" s="440">
        <v>0</v>
      </c>
      <c r="BD709" s="440">
        <v>0</v>
      </c>
      <c r="BE709" s="440">
        <v>0</v>
      </c>
      <c r="BF709" s="440">
        <v>0</v>
      </c>
      <c r="BG709" s="440">
        <v>0</v>
      </c>
      <c r="BH709" s="440">
        <v>0</v>
      </c>
      <c r="BI709" s="440">
        <v>0</v>
      </c>
      <c r="BJ709" s="440">
        <v>0</v>
      </c>
      <c r="BK709" s="440">
        <v>0</v>
      </c>
      <c r="BL709" s="440">
        <v>0</v>
      </c>
      <c r="BM709" s="440">
        <v>0</v>
      </c>
      <c r="BN709" s="440">
        <v>0</v>
      </c>
      <c r="BO709" s="440">
        <v>0</v>
      </c>
      <c r="BP709" s="440">
        <v>0</v>
      </c>
      <c r="BQ709" s="440">
        <v>0</v>
      </c>
      <c r="BR709" s="415">
        <v>0.83333333333333337</v>
      </c>
      <c r="BS709" s="415">
        <v>0.84722222222222221</v>
      </c>
      <c r="BT709" s="935"/>
      <c r="BU709" s="935"/>
      <c r="BV709" s="935"/>
      <c r="BW709" s="935"/>
      <c r="BX709" s="935"/>
      <c r="BY709" s="935"/>
      <c r="BZ709" s="935"/>
      <c r="CA709" s="935"/>
      <c r="CB709" s="935"/>
      <c r="CC709" s="935"/>
      <c r="CD709" s="935"/>
      <c r="CE709" s="935"/>
      <c r="CF709" s="935"/>
      <c r="CG709" s="935"/>
      <c r="CH709" s="935"/>
      <c r="CI709" s="935"/>
      <c r="CJ709" s="935"/>
      <c r="CK709" s="935"/>
      <c r="CL709" s="935"/>
      <c r="CM709" s="935"/>
      <c r="CN709" s="935"/>
      <c r="CO709" s="935"/>
      <c r="CP709" s="935"/>
      <c r="CQ709" s="935"/>
      <c r="CR709" s="935"/>
      <c r="CS709" s="935"/>
      <c r="CT709" s="935"/>
      <c r="CU709" s="935"/>
      <c r="CV709" s="935"/>
    </row>
    <row r="710" spans="1:100" s="441" customFormat="1">
      <c r="A710" s="375">
        <f t="shared" si="211"/>
        <v>9</v>
      </c>
      <c r="B710" s="862">
        <v>44466</v>
      </c>
      <c r="C710" s="493" t="s">
        <v>2000</v>
      </c>
      <c r="D710" s="376" t="str">
        <f>IFERROR(VLOOKUP(E:E,'Item Data Support Sheet'!A:O,7,0),"")</f>
        <v>NIPPLE WRAP PRINTED</v>
      </c>
      <c r="E710" s="447" t="s">
        <v>110</v>
      </c>
      <c r="F710" s="500"/>
      <c r="G710" s="497" t="s">
        <v>1693</v>
      </c>
      <c r="H710" s="602" t="str">
        <f>IFERROR(VLOOKUP(E:E,'Item Data Support Sheet'!A:O,2,0),"")</f>
        <v>NIPPLE S TYPE L SIZE WITH PRINTED WRAP</v>
      </c>
      <c r="I710" s="501" t="s">
        <v>3386</v>
      </c>
      <c r="J710" s="501" t="s">
        <v>2826</v>
      </c>
      <c r="K710" s="438">
        <v>8.5</v>
      </c>
      <c r="L710" s="499">
        <v>16132</v>
      </c>
      <c r="M710" s="366">
        <f t="shared" si="209"/>
        <v>1897.8823529411766</v>
      </c>
      <c r="N710" s="367">
        <f t="shared" si="210"/>
        <v>17212</v>
      </c>
      <c r="O710" s="61">
        <v>17198</v>
      </c>
      <c r="P710" s="368">
        <v>0</v>
      </c>
      <c r="Q710" s="368">
        <v>0</v>
      </c>
      <c r="R710" s="494">
        <v>0</v>
      </c>
      <c r="S710" s="493">
        <v>0</v>
      </c>
      <c r="T710" s="494">
        <v>14</v>
      </c>
      <c r="U710" s="493">
        <v>0</v>
      </c>
      <c r="V710" s="502">
        <v>2</v>
      </c>
      <c r="W710" s="453">
        <f t="shared" si="212"/>
        <v>8599</v>
      </c>
      <c r="X710" s="748">
        <f t="shared" si="213"/>
        <v>1.0660798413091992</v>
      </c>
      <c r="Y710" s="451" t="str">
        <f>IFERROR(VLOOKUP(E:E,'Item Data Support Sheet'!A:J,6,0),0)</f>
        <v>FO021</v>
      </c>
      <c r="Z710" s="428">
        <f>IFERROR(VLOOKUP(E:E,'Item Data Support Sheet'!A:O,4,0),0)</f>
        <v>0</v>
      </c>
      <c r="AA710" s="428">
        <f t="shared" si="214"/>
        <v>0</v>
      </c>
      <c r="AB710" s="429" t="str">
        <f t="shared" si="215"/>
        <v xml:space="preserve"> </v>
      </c>
      <c r="AC710" s="424">
        <f t="shared" si="216"/>
        <v>8.1338600976063212E-4</v>
      </c>
      <c r="AD710" s="371">
        <f t="shared" si="217"/>
        <v>0</v>
      </c>
      <c r="AE710" s="748">
        <f t="shared" si="218"/>
        <v>0.99918661399023934</v>
      </c>
      <c r="AF710" s="417">
        <f t="shared" si="219"/>
        <v>0</v>
      </c>
      <c r="AG710" s="416">
        <f t="shared" si="220"/>
        <v>8.5</v>
      </c>
      <c r="AH710" s="372">
        <f t="shared" si="221"/>
        <v>1</v>
      </c>
      <c r="AI710" s="373">
        <f t="shared" si="222"/>
        <v>2023.2941176470588</v>
      </c>
      <c r="AJ710" s="418">
        <f>VLOOKUP(D710,'Standard Cycle time'!C:D,2,0)</f>
        <v>2.5</v>
      </c>
      <c r="AK710" s="418">
        <f t="shared" si="223"/>
        <v>3.5585533201535062</v>
      </c>
      <c r="AL710" s="374">
        <f t="shared" si="224"/>
        <v>0.70253267973856204</v>
      </c>
      <c r="AM710" s="372">
        <f t="shared" si="225"/>
        <v>0.70196124948546301</v>
      </c>
      <c r="AN710" s="799" t="s">
        <v>3387</v>
      </c>
      <c r="AO710" s="448"/>
      <c r="AP710" s="440">
        <v>50</v>
      </c>
      <c r="AQ710" s="440"/>
      <c r="AR710" s="440"/>
      <c r="AS710" s="440"/>
      <c r="AT710" s="440"/>
      <c r="AU710" s="440"/>
      <c r="AV710" s="440"/>
      <c r="AW710" s="440"/>
      <c r="AX710" s="440"/>
      <c r="AY710" s="440"/>
      <c r="AZ710" s="440"/>
      <c r="BA710" s="440"/>
      <c r="BB710" s="440"/>
      <c r="BC710" s="440"/>
      <c r="BD710" s="440"/>
      <c r="BE710" s="440"/>
      <c r="BF710" s="440"/>
      <c r="BG710" s="440"/>
      <c r="BH710" s="440"/>
      <c r="BI710" s="440"/>
      <c r="BJ710" s="440"/>
      <c r="BK710" s="440"/>
      <c r="BL710" s="440"/>
      <c r="BM710" s="440"/>
      <c r="BN710" s="440"/>
      <c r="BO710" s="440"/>
      <c r="BP710" s="440"/>
      <c r="BQ710" s="440"/>
      <c r="BR710" s="415"/>
      <c r="BS710" s="415"/>
      <c r="BT710" s="935"/>
      <c r="BU710" s="935"/>
      <c r="BV710" s="935"/>
      <c r="BW710" s="935"/>
      <c r="BX710" s="935"/>
      <c r="BY710" s="935"/>
      <c r="BZ710" s="935"/>
      <c r="CA710" s="935"/>
      <c r="CB710" s="935"/>
      <c r="CC710" s="935"/>
      <c r="CD710" s="935"/>
      <c r="CE710" s="935"/>
      <c r="CF710" s="935"/>
      <c r="CG710" s="935"/>
      <c r="CH710" s="935"/>
      <c r="CI710" s="935"/>
      <c r="CJ710" s="935"/>
      <c r="CK710" s="935"/>
      <c r="CL710" s="935"/>
      <c r="CM710" s="935"/>
      <c r="CN710" s="935"/>
      <c r="CO710" s="935"/>
      <c r="CP710" s="935"/>
      <c r="CQ710" s="935"/>
      <c r="CR710" s="935"/>
      <c r="CS710" s="935"/>
      <c r="CT710" s="935"/>
      <c r="CU710" s="935"/>
      <c r="CV710" s="935"/>
    </row>
    <row r="711" spans="1:100" s="441" customFormat="1">
      <c r="A711" s="375">
        <f t="shared" si="211"/>
        <v>9</v>
      </c>
      <c r="B711" s="862">
        <v>44466</v>
      </c>
      <c r="C711" s="493" t="s">
        <v>2000</v>
      </c>
      <c r="D711" s="376" t="str">
        <f>IFERROR(VLOOKUP(E:E,'Item Data Support Sheet'!A:O,7,0),"")</f>
        <v>NIPPLE PUNCH INSPECTED</v>
      </c>
      <c r="E711" s="447" t="s">
        <v>1820</v>
      </c>
      <c r="F711" s="500"/>
      <c r="G711" s="497"/>
      <c r="H711" s="602" t="str">
        <f>IFERROR(VLOOKUP(E:E,'Item Data Support Sheet'!A:O,2,0),"")</f>
        <v>NIPPLE S TYPE L SIZE PUNCHED INSPECTED</v>
      </c>
      <c r="I711" s="501" t="s">
        <v>3196</v>
      </c>
      <c r="J711" s="501" t="s">
        <v>2826</v>
      </c>
      <c r="K711" s="438">
        <v>1</v>
      </c>
      <c r="L711" s="499">
        <v>1682</v>
      </c>
      <c r="M711" s="366">
        <f t="shared" si="209"/>
        <v>1682</v>
      </c>
      <c r="N711" s="367">
        <f t="shared" si="210"/>
        <v>1000</v>
      </c>
      <c r="O711" s="61">
        <v>993</v>
      </c>
      <c r="P711" s="368">
        <v>0</v>
      </c>
      <c r="Q711" s="368">
        <v>0</v>
      </c>
      <c r="R711" s="494">
        <v>0</v>
      </c>
      <c r="S711" s="493">
        <v>0</v>
      </c>
      <c r="T711" s="494">
        <v>7</v>
      </c>
      <c r="U711" s="493">
        <v>0</v>
      </c>
      <c r="V711" s="502">
        <v>1</v>
      </c>
      <c r="W711" s="453">
        <f t="shared" si="212"/>
        <v>993</v>
      </c>
      <c r="X711" s="748">
        <f t="shared" si="213"/>
        <v>0.59036860879904873</v>
      </c>
      <c r="Y711" s="451" t="str">
        <f>IFERROR(VLOOKUP(E:E,'Item Data Support Sheet'!A:J,6,0),0)</f>
        <v>FO106</v>
      </c>
      <c r="Z711" s="428">
        <f>IFERROR(VLOOKUP(E:E,'Item Data Support Sheet'!A:O,4,0),0)</f>
        <v>0</v>
      </c>
      <c r="AA711" s="428">
        <f t="shared" si="214"/>
        <v>0</v>
      </c>
      <c r="AB711" s="429" t="str">
        <f t="shared" si="215"/>
        <v xml:space="preserve"> </v>
      </c>
      <c r="AC711" s="424">
        <f t="shared" si="216"/>
        <v>7.0000000000000001E-3</v>
      </c>
      <c r="AD711" s="371">
        <f t="shared" si="217"/>
        <v>0</v>
      </c>
      <c r="AE711" s="748">
        <f t="shared" si="218"/>
        <v>0.99299999999999999</v>
      </c>
      <c r="AF711" s="417">
        <f t="shared" si="219"/>
        <v>0.5</v>
      </c>
      <c r="AG711" s="416">
        <f t="shared" si="220"/>
        <v>0.5</v>
      </c>
      <c r="AH711" s="372">
        <f t="shared" si="221"/>
        <v>0.5</v>
      </c>
      <c r="AI711" s="373">
        <f t="shared" si="222"/>
        <v>993</v>
      </c>
      <c r="AJ711" s="418">
        <f>VLOOKUP(D711,'Standard Cycle time'!C:D,2,0)</f>
        <v>4</v>
      </c>
      <c r="AK711" s="418">
        <f t="shared" si="223"/>
        <v>1.8126888217522659</v>
      </c>
      <c r="AL711" s="374">
        <f t="shared" si="224"/>
        <v>2.2066666666666666</v>
      </c>
      <c r="AM711" s="372">
        <f t="shared" si="225"/>
        <v>1.09561</v>
      </c>
      <c r="AN711" s="799">
        <v>3651</v>
      </c>
      <c r="AO711" s="448" t="s">
        <v>3062</v>
      </c>
      <c r="AP711" s="440">
        <v>0</v>
      </c>
      <c r="AQ711" s="440">
        <v>0</v>
      </c>
      <c r="AR711" s="440">
        <v>0</v>
      </c>
      <c r="AS711" s="440">
        <v>0</v>
      </c>
      <c r="AT711" s="440">
        <v>30</v>
      </c>
      <c r="AU711" s="440">
        <v>0</v>
      </c>
      <c r="AV711" s="440">
        <v>0</v>
      </c>
      <c r="AW711" s="440">
        <v>0</v>
      </c>
      <c r="AX711" s="440">
        <v>0</v>
      </c>
      <c r="AY711" s="440">
        <v>0</v>
      </c>
      <c r="AZ711" s="440">
        <v>0</v>
      </c>
      <c r="BA711" s="440">
        <v>0</v>
      </c>
      <c r="BB711" s="440">
        <v>0</v>
      </c>
      <c r="BC711" s="440">
        <v>0</v>
      </c>
      <c r="BD711" s="440">
        <v>0</v>
      </c>
      <c r="BE711" s="440">
        <v>0</v>
      </c>
      <c r="BF711" s="440">
        <v>0</v>
      </c>
      <c r="BG711" s="440">
        <v>0</v>
      </c>
      <c r="BH711" s="440">
        <v>0</v>
      </c>
      <c r="BI711" s="440">
        <v>0</v>
      </c>
      <c r="BJ711" s="440">
        <v>0</v>
      </c>
      <c r="BK711" s="440">
        <v>0</v>
      </c>
      <c r="BL711" s="440">
        <v>0</v>
      </c>
      <c r="BM711" s="440">
        <v>0</v>
      </c>
      <c r="BN711" s="440">
        <v>0</v>
      </c>
      <c r="BO711" s="440">
        <v>0</v>
      </c>
      <c r="BP711" s="440">
        <v>0</v>
      </c>
      <c r="BQ711" s="440">
        <v>0</v>
      </c>
      <c r="BR711" s="415">
        <v>0.5</v>
      </c>
      <c r="BS711" s="415">
        <v>0.5083333333333333</v>
      </c>
      <c r="BT711" s="935"/>
      <c r="BU711" s="935"/>
      <c r="BV711" s="935"/>
      <c r="BW711" s="935"/>
      <c r="BX711" s="935"/>
      <c r="BY711" s="935"/>
      <c r="BZ711" s="935"/>
      <c r="CA711" s="935"/>
      <c r="CB711" s="935"/>
      <c r="CC711" s="935"/>
      <c r="CD711" s="935"/>
      <c r="CE711" s="935"/>
      <c r="CF711" s="935"/>
      <c r="CG711" s="935"/>
      <c r="CH711" s="935"/>
      <c r="CI711" s="935"/>
      <c r="CJ711" s="935"/>
      <c r="CK711" s="935"/>
      <c r="CL711" s="935"/>
      <c r="CM711" s="935"/>
      <c r="CN711" s="935"/>
      <c r="CO711" s="935"/>
      <c r="CP711" s="935"/>
      <c r="CQ711" s="935"/>
      <c r="CR711" s="935"/>
      <c r="CS711" s="935"/>
      <c r="CT711" s="935"/>
      <c r="CU711" s="935"/>
      <c r="CV711" s="935"/>
    </row>
    <row r="712" spans="1:100" s="441" customFormat="1">
      <c r="A712" s="375">
        <f t="shared" si="211"/>
        <v>9</v>
      </c>
      <c r="B712" s="862">
        <v>44466</v>
      </c>
      <c r="C712" s="493" t="s">
        <v>2001</v>
      </c>
      <c r="D712" s="376" t="str">
        <f>IFERROR(VLOOKUP(E:E,'Item Data Support Sheet'!A:O,7,0),"")</f>
        <v>NIPPLE LASER MARKING</v>
      </c>
      <c r="E712" s="447" t="s">
        <v>1814</v>
      </c>
      <c r="F712" s="500"/>
      <c r="G712" s="497" t="s">
        <v>1812</v>
      </c>
      <c r="H712" s="602" t="str">
        <f>IFERROR(VLOOKUP(E:E,'Item Data Support Sheet'!A:O,2,0),"")</f>
        <v>NIPPLE S TYPE S SIZE PUNCHED LASER MARKED</v>
      </c>
      <c r="I712" s="501" t="s">
        <v>3388</v>
      </c>
      <c r="J712" s="501" t="s">
        <v>2826</v>
      </c>
      <c r="K712" s="438">
        <v>1.2</v>
      </c>
      <c r="L712" s="499">
        <v>1000</v>
      </c>
      <c r="M712" s="366">
        <f t="shared" si="209"/>
        <v>833.33333333333337</v>
      </c>
      <c r="N712" s="367">
        <f t="shared" si="210"/>
        <v>1000</v>
      </c>
      <c r="O712" s="61">
        <v>1000</v>
      </c>
      <c r="P712" s="368">
        <v>0</v>
      </c>
      <c r="Q712" s="368">
        <v>0</v>
      </c>
      <c r="R712" s="494">
        <v>0</v>
      </c>
      <c r="S712" s="493">
        <v>0</v>
      </c>
      <c r="T712" s="494">
        <v>0</v>
      </c>
      <c r="U712" s="493">
        <v>0</v>
      </c>
      <c r="V712" s="502">
        <v>1</v>
      </c>
      <c r="W712" s="453">
        <f t="shared" si="212"/>
        <v>1000</v>
      </c>
      <c r="X712" s="748">
        <f t="shared" si="213"/>
        <v>1</v>
      </c>
      <c r="Y712" s="451" t="str">
        <f>IFERROR(VLOOKUP(E:E,'Item Data Support Sheet'!A:J,6,0),0)</f>
        <v>FO019</v>
      </c>
      <c r="Z712" s="428">
        <f>IFERROR(VLOOKUP(E:E,'Item Data Support Sheet'!A:O,4,0),0)</f>
        <v>0</v>
      </c>
      <c r="AA712" s="428">
        <f t="shared" si="214"/>
        <v>0</v>
      </c>
      <c r="AB712" s="429" t="str">
        <f t="shared" si="215"/>
        <v xml:space="preserve"> </v>
      </c>
      <c r="AC712" s="424">
        <f t="shared" si="216"/>
        <v>0</v>
      </c>
      <c r="AD712" s="371">
        <f t="shared" si="217"/>
        <v>0</v>
      </c>
      <c r="AE712" s="748">
        <f t="shared" si="218"/>
        <v>1</v>
      </c>
      <c r="AF712" s="417">
        <f t="shared" si="219"/>
        <v>0.16666666666666666</v>
      </c>
      <c r="AG712" s="416">
        <f t="shared" si="220"/>
        <v>1.0333333333333332</v>
      </c>
      <c r="AH712" s="372">
        <f t="shared" si="221"/>
        <v>0.86111111111111105</v>
      </c>
      <c r="AI712" s="373">
        <f t="shared" si="222"/>
        <v>833.33333333333337</v>
      </c>
      <c r="AJ712" s="418">
        <f>VLOOKUP(D712,'Standard Cycle time'!C:D,2,0)</f>
        <v>3.5</v>
      </c>
      <c r="AK712" s="418">
        <f t="shared" si="223"/>
        <v>3.7199999999999998</v>
      </c>
      <c r="AL712" s="374">
        <f t="shared" si="224"/>
        <v>0.94086021505376349</v>
      </c>
      <c r="AM712" s="372">
        <f t="shared" si="225"/>
        <v>0.81018518518518512</v>
      </c>
      <c r="AN712" s="799">
        <v>3646</v>
      </c>
      <c r="AO712" s="448"/>
      <c r="AP712" s="440">
        <v>10</v>
      </c>
      <c r="AQ712" s="440">
        <v>0</v>
      </c>
      <c r="AR712" s="440">
        <v>0</v>
      </c>
      <c r="AS712" s="440">
        <v>0</v>
      </c>
      <c r="AT712" s="440">
        <v>0</v>
      </c>
      <c r="AU712" s="440">
        <v>0</v>
      </c>
      <c r="AV712" s="440">
        <v>0</v>
      </c>
      <c r="AW712" s="440">
        <v>0</v>
      </c>
      <c r="AX712" s="440">
        <v>0</v>
      </c>
      <c r="AY712" s="440">
        <v>0</v>
      </c>
      <c r="AZ712" s="440">
        <v>0</v>
      </c>
      <c r="BA712" s="440">
        <v>0</v>
      </c>
      <c r="BB712" s="440">
        <v>0</v>
      </c>
      <c r="BC712" s="440">
        <v>0</v>
      </c>
      <c r="BD712" s="440">
        <v>0</v>
      </c>
      <c r="BE712" s="440">
        <v>0</v>
      </c>
      <c r="BF712" s="440">
        <v>0</v>
      </c>
      <c r="BG712" s="440">
        <v>0</v>
      </c>
      <c r="BH712" s="440">
        <v>0</v>
      </c>
      <c r="BI712" s="440">
        <v>0</v>
      </c>
      <c r="BJ712" s="440">
        <v>0</v>
      </c>
      <c r="BK712" s="440">
        <v>0</v>
      </c>
      <c r="BL712" s="440">
        <v>0</v>
      </c>
      <c r="BM712" s="440">
        <v>0</v>
      </c>
      <c r="BN712" s="440">
        <v>0</v>
      </c>
      <c r="BO712" s="440">
        <v>0</v>
      </c>
      <c r="BP712" s="440">
        <v>0</v>
      </c>
      <c r="BQ712" s="440">
        <v>0</v>
      </c>
      <c r="BR712" s="415">
        <v>0.16666666666666666</v>
      </c>
      <c r="BS712" s="415">
        <v>0.16944444444444443</v>
      </c>
      <c r="BT712" s="935"/>
      <c r="BU712" s="935"/>
      <c r="BV712" s="935"/>
      <c r="BW712" s="935"/>
      <c r="BX712" s="935"/>
      <c r="BY712" s="935"/>
      <c r="BZ712" s="935"/>
      <c r="CA712" s="935"/>
      <c r="CB712" s="935"/>
      <c r="CC712" s="935"/>
      <c r="CD712" s="935"/>
      <c r="CE712" s="935"/>
      <c r="CF712" s="935"/>
      <c r="CG712" s="935"/>
      <c r="CH712" s="935"/>
      <c r="CI712" s="935"/>
      <c r="CJ712" s="935"/>
      <c r="CK712" s="935"/>
      <c r="CL712" s="935"/>
      <c r="CM712" s="935"/>
      <c r="CN712" s="935"/>
      <c r="CO712" s="935"/>
      <c r="CP712" s="935"/>
      <c r="CQ712" s="935"/>
      <c r="CR712" s="935"/>
      <c r="CS712" s="935"/>
      <c r="CT712" s="935"/>
      <c r="CU712" s="935"/>
      <c r="CV712" s="935"/>
    </row>
    <row r="713" spans="1:100" s="441" customFormat="1">
      <c r="A713" s="375">
        <f t="shared" si="211"/>
        <v>9</v>
      </c>
      <c r="B713" s="862">
        <v>44466</v>
      </c>
      <c r="C713" s="493" t="s">
        <v>2001</v>
      </c>
      <c r="D713" s="376" t="str">
        <f>IFERROR(VLOOKUP(E:E,'Item Data Support Sheet'!A:O,7,0),"")</f>
        <v>NIPPLE LASER MARKING</v>
      </c>
      <c r="E713" s="447" t="s">
        <v>1816</v>
      </c>
      <c r="F713" s="500"/>
      <c r="G713" s="497" t="s">
        <v>1812</v>
      </c>
      <c r="H713" s="602" t="str">
        <f>IFERROR(VLOOKUP(E:E,'Item Data Support Sheet'!A:O,2,0),"")</f>
        <v>NIPPLE S TYPE L SIZE PUNCHED LASER MARKED</v>
      </c>
      <c r="I713" s="501" t="s">
        <v>3389</v>
      </c>
      <c r="J713" s="501" t="s">
        <v>2826</v>
      </c>
      <c r="K713" s="438">
        <v>6.8</v>
      </c>
      <c r="L713" s="499">
        <v>6000</v>
      </c>
      <c r="M713" s="366">
        <f t="shared" si="209"/>
        <v>882.35294117647061</v>
      </c>
      <c r="N713" s="367">
        <f t="shared" si="210"/>
        <v>6200</v>
      </c>
      <c r="O713" s="61">
        <v>6200</v>
      </c>
      <c r="P713" s="368">
        <v>0</v>
      </c>
      <c r="Q713" s="368">
        <v>0</v>
      </c>
      <c r="R713" s="494">
        <v>0</v>
      </c>
      <c r="S713" s="493">
        <v>0</v>
      </c>
      <c r="T713" s="494">
        <v>0</v>
      </c>
      <c r="U713" s="493">
        <v>0</v>
      </c>
      <c r="V713" s="502">
        <v>1</v>
      </c>
      <c r="W713" s="453">
        <f t="shared" si="212"/>
        <v>6200</v>
      </c>
      <c r="X713" s="748">
        <f t="shared" si="213"/>
        <v>1.0333333333333334</v>
      </c>
      <c r="Y713" s="451" t="str">
        <f>IFERROR(VLOOKUP(E:E,'Item Data Support Sheet'!A:J,6,0),0)</f>
        <v>FO021</v>
      </c>
      <c r="Z713" s="428">
        <f>IFERROR(VLOOKUP(E:E,'Item Data Support Sheet'!A:O,4,0),0)</f>
        <v>0</v>
      </c>
      <c r="AA713" s="428">
        <f t="shared" si="214"/>
        <v>0</v>
      </c>
      <c r="AB713" s="429" t="str">
        <f t="shared" si="215"/>
        <v xml:space="preserve"> </v>
      </c>
      <c r="AC713" s="424">
        <f t="shared" si="216"/>
        <v>0</v>
      </c>
      <c r="AD713" s="371">
        <f t="shared" si="217"/>
        <v>0</v>
      </c>
      <c r="AE713" s="748">
        <f t="shared" si="218"/>
        <v>1</v>
      </c>
      <c r="AF713" s="417">
        <f t="shared" si="219"/>
        <v>0</v>
      </c>
      <c r="AG713" s="416">
        <f t="shared" si="220"/>
        <v>6.8</v>
      </c>
      <c r="AH713" s="372">
        <f t="shared" si="221"/>
        <v>1</v>
      </c>
      <c r="AI713" s="373">
        <f t="shared" si="222"/>
        <v>911.76470588235293</v>
      </c>
      <c r="AJ713" s="418">
        <f>VLOOKUP(D713,'Standard Cycle time'!C:D,2,0)</f>
        <v>3.5</v>
      </c>
      <c r="AK713" s="418">
        <f t="shared" si="223"/>
        <v>3.9483870967741934</v>
      </c>
      <c r="AL713" s="374">
        <f t="shared" si="224"/>
        <v>0.8864379084967321</v>
      </c>
      <c r="AM713" s="372">
        <f t="shared" si="225"/>
        <v>0.8864379084967321</v>
      </c>
      <c r="AN713" s="799" t="s">
        <v>3390</v>
      </c>
      <c r="AO713" s="448"/>
      <c r="AP713" s="440">
        <v>0</v>
      </c>
      <c r="AQ713" s="440">
        <v>0</v>
      </c>
      <c r="AR713" s="440">
        <v>0</v>
      </c>
      <c r="AS713" s="440">
        <v>0</v>
      </c>
      <c r="AT713" s="440">
        <v>0</v>
      </c>
      <c r="AU713" s="440">
        <v>0</v>
      </c>
      <c r="AV713" s="440">
        <v>0</v>
      </c>
      <c r="AW713" s="440">
        <v>0</v>
      </c>
      <c r="AX713" s="440">
        <v>0</v>
      </c>
      <c r="AY713" s="440">
        <v>0</v>
      </c>
      <c r="AZ713" s="440">
        <v>0</v>
      </c>
      <c r="BA713" s="440">
        <v>0</v>
      </c>
      <c r="BB713" s="440">
        <v>0</v>
      </c>
      <c r="BC713" s="440">
        <v>0</v>
      </c>
      <c r="BD713" s="440">
        <v>0</v>
      </c>
      <c r="BE713" s="440">
        <v>0</v>
      </c>
      <c r="BF713" s="440">
        <v>0</v>
      </c>
      <c r="BG713" s="440">
        <v>0</v>
      </c>
      <c r="BH713" s="440">
        <v>0</v>
      </c>
      <c r="BI713" s="440">
        <v>0</v>
      </c>
      <c r="BJ713" s="440">
        <v>0</v>
      </c>
      <c r="BK713" s="440">
        <v>0</v>
      </c>
      <c r="BL713" s="440">
        <v>0</v>
      </c>
      <c r="BM713" s="440">
        <v>0</v>
      </c>
      <c r="BN713" s="440">
        <v>0</v>
      </c>
      <c r="BO713" s="440">
        <v>0</v>
      </c>
      <c r="BP713" s="440">
        <v>0</v>
      </c>
      <c r="BQ713" s="440">
        <v>0</v>
      </c>
      <c r="BR713" s="415">
        <v>0</v>
      </c>
      <c r="BS713" s="415">
        <v>0</v>
      </c>
      <c r="BT713" s="935"/>
      <c r="BU713" s="935"/>
      <c r="BV713" s="935"/>
      <c r="BW713" s="935"/>
      <c r="BX713" s="935"/>
      <c r="BY713" s="935"/>
      <c r="BZ713" s="935"/>
      <c r="CA713" s="935"/>
      <c r="CB713" s="935"/>
      <c r="CC713" s="935"/>
      <c r="CD713" s="935"/>
      <c r="CE713" s="935"/>
      <c r="CF713" s="935"/>
      <c r="CG713" s="935"/>
      <c r="CH713" s="935"/>
      <c r="CI713" s="935"/>
      <c r="CJ713" s="935"/>
      <c r="CK713" s="935"/>
      <c r="CL713" s="935"/>
      <c r="CM713" s="935"/>
      <c r="CN713" s="935"/>
      <c r="CO713" s="935"/>
      <c r="CP713" s="935"/>
      <c r="CQ713" s="935"/>
      <c r="CR713" s="935"/>
      <c r="CS713" s="935"/>
      <c r="CT713" s="935"/>
      <c r="CU713" s="935"/>
      <c r="CV713" s="935"/>
    </row>
    <row r="714" spans="1:100" s="441" customFormat="1">
      <c r="A714" s="375">
        <f t="shared" si="211"/>
        <v>9</v>
      </c>
      <c r="B714" s="862">
        <v>44466</v>
      </c>
      <c r="C714" s="493" t="s">
        <v>2001</v>
      </c>
      <c r="D714" s="376" t="str">
        <f>IFERROR(VLOOKUP(E:E,'Item Data Support Sheet'!A:O,7,0),"")</f>
        <v>BOTTLE MOLDED</v>
      </c>
      <c r="E714" s="447" t="s">
        <v>68</v>
      </c>
      <c r="F714" s="500" t="s">
        <v>1664</v>
      </c>
      <c r="G714" s="497" t="s">
        <v>1665</v>
      </c>
      <c r="H714" s="602" t="str">
        <f>IFERROR(VLOOKUP(E:E,'Item Data Support Sheet'!A:O,2,0),"")</f>
        <v>RPP 240 ML BOTTLE MOLDED</v>
      </c>
      <c r="I714" s="501" t="s">
        <v>3391</v>
      </c>
      <c r="J714" s="501" t="s">
        <v>2826</v>
      </c>
      <c r="K714" s="438">
        <v>8</v>
      </c>
      <c r="L714" s="499">
        <v>2574</v>
      </c>
      <c r="M714" s="366">
        <f t="shared" si="209"/>
        <v>321.75</v>
      </c>
      <c r="N714" s="367">
        <f t="shared" si="210"/>
        <v>1625</v>
      </c>
      <c r="O714" s="61">
        <v>1560</v>
      </c>
      <c r="P714" s="368">
        <v>0.3</v>
      </c>
      <c r="Q714" s="368">
        <v>26</v>
      </c>
      <c r="R714" s="494">
        <v>0</v>
      </c>
      <c r="S714" s="493">
        <v>0</v>
      </c>
      <c r="T714" s="494">
        <v>31</v>
      </c>
      <c r="U714" s="493">
        <v>8</v>
      </c>
      <c r="V714" s="502">
        <v>1</v>
      </c>
      <c r="W714" s="453">
        <f t="shared" si="212"/>
        <v>1560</v>
      </c>
      <c r="X714" s="748">
        <f t="shared" si="213"/>
        <v>0.60606060606060608</v>
      </c>
      <c r="Y714" s="451" t="str">
        <f>IFERROR(VLOOKUP(E:E,'Item Data Support Sheet'!A:J,6,0),0)</f>
        <v>HMC</v>
      </c>
      <c r="Z714" s="428">
        <f>IFERROR(VLOOKUP(E:E,'Item Data Support Sheet'!A:O,4,0),0)</f>
        <v>32.1</v>
      </c>
      <c r="AA714" s="428">
        <f t="shared" si="214"/>
        <v>52.462500000000006</v>
      </c>
      <c r="AB714" s="429">
        <f t="shared" si="215"/>
        <v>0.95451036454610438</v>
      </c>
      <c r="AC714" s="424">
        <f t="shared" si="216"/>
        <v>1.9484600879949718E-2</v>
      </c>
      <c r="AD714" s="371">
        <f t="shared" si="217"/>
        <v>1.5748031496062992E-2</v>
      </c>
      <c r="AE714" s="748">
        <f t="shared" si="218"/>
        <v>0.9809230769230769</v>
      </c>
      <c r="AF714" s="417">
        <f t="shared" si="219"/>
        <v>3</v>
      </c>
      <c r="AG714" s="416">
        <f t="shared" si="220"/>
        <v>5</v>
      </c>
      <c r="AH714" s="372">
        <f t="shared" si="221"/>
        <v>0.625</v>
      </c>
      <c r="AI714" s="373">
        <f t="shared" si="222"/>
        <v>195</v>
      </c>
      <c r="AJ714" s="418">
        <f>VLOOKUP(D714,'Standard Cycle time'!C:D,2,0)</f>
        <v>9</v>
      </c>
      <c r="AK714" s="418">
        <f t="shared" si="223"/>
        <v>11.538461538461538</v>
      </c>
      <c r="AL714" s="374">
        <f t="shared" si="224"/>
        <v>0.78</v>
      </c>
      <c r="AM714" s="372">
        <f t="shared" si="225"/>
        <v>0.47820000000000001</v>
      </c>
      <c r="AN714" s="799">
        <v>3693</v>
      </c>
      <c r="AO714" s="448" t="s">
        <v>3392</v>
      </c>
      <c r="AP714" s="440">
        <v>0</v>
      </c>
      <c r="AQ714" s="440">
        <v>0</v>
      </c>
      <c r="AR714" s="440">
        <v>90</v>
      </c>
      <c r="AS714" s="440">
        <v>0</v>
      </c>
      <c r="AT714" s="440">
        <v>0</v>
      </c>
      <c r="AU714" s="440">
        <v>0</v>
      </c>
      <c r="AV714" s="440">
        <v>0</v>
      </c>
      <c r="AW714" s="440">
        <v>60</v>
      </c>
      <c r="AX714" s="440">
        <v>0</v>
      </c>
      <c r="AY714" s="440">
        <v>0</v>
      </c>
      <c r="AZ714" s="440">
        <v>30</v>
      </c>
      <c r="BA714" s="440">
        <v>0</v>
      </c>
      <c r="BB714" s="440">
        <v>0</v>
      </c>
      <c r="BC714" s="440">
        <v>0</v>
      </c>
      <c r="BD714" s="440">
        <v>0</v>
      </c>
      <c r="BE714" s="440">
        <v>0</v>
      </c>
      <c r="BF714" s="440">
        <v>0</v>
      </c>
      <c r="BG714" s="440">
        <v>0</v>
      </c>
      <c r="BH714" s="440">
        <v>0</v>
      </c>
      <c r="BI714" s="440">
        <v>0</v>
      </c>
      <c r="BJ714" s="440">
        <v>0</v>
      </c>
      <c r="BK714" s="440">
        <v>0</v>
      </c>
      <c r="BL714" s="440">
        <v>0</v>
      </c>
      <c r="BM714" s="440">
        <v>0</v>
      </c>
      <c r="BN714" s="440">
        <v>0</v>
      </c>
      <c r="BO714" s="440">
        <v>0</v>
      </c>
      <c r="BP714" s="440">
        <v>0</v>
      </c>
      <c r="BQ714" s="440">
        <v>0</v>
      </c>
      <c r="BR714" s="415">
        <v>3</v>
      </c>
      <c r="BS714" s="415">
        <v>3.05</v>
      </c>
      <c r="BT714" s="935"/>
      <c r="BU714" s="935"/>
      <c r="BV714" s="935"/>
      <c r="BW714" s="935"/>
      <c r="BX714" s="935"/>
      <c r="BY714" s="935"/>
      <c r="BZ714" s="935"/>
      <c r="CA714" s="935"/>
      <c r="CB714" s="935"/>
      <c r="CC714" s="935"/>
      <c r="CD714" s="935"/>
      <c r="CE714" s="935"/>
      <c r="CF714" s="935"/>
      <c r="CG714" s="935"/>
      <c r="CH714" s="935"/>
      <c r="CI714" s="935"/>
      <c r="CJ714" s="935"/>
      <c r="CK714" s="935"/>
      <c r="CL714" s="935"/>
      <c r="CM714" s="935"/>
      <c r="CN714" s="935"/>
      <c r="CO714" s="935"/>
      <c r="CP714" s="935"/>
      <c r="CQ714" s="935"/>
      <c r="CR714" s="935"/>
      <c r="CS714" s="935"/>
      <c r="CT714" s="935"/>
      <c r="CU714" s="935"/>
      <c r="CV714" s="935"/>
    </row>
    <row r="715" spans="1:100" s="441" customFormat="1">
      <c r="A715" s="375">
        <f t="shared" si="211"/>
        <v>9</v>
      </c>
      <c r="B715" s="862">
        <v>44466</v>
      </c>
      <c r="C715" s="493" t="s">
        <v>2001</v>
      </c>
      <c r="D715" s="376" t="str">
        <f>IFERROR(VLOOKUP(E:E,'Item Data Support Sheet'!A:O,7,0),"")</f>
        <v>NIPPLE MOLDED</v>
      </c>
      <c r="E715" s="447" t="s">
        <v>2484</v>
      </c>
      <c r="F715" s="500" t="s">
        <v>1678</v>
      </c>
      <c r="G715" s="497" t="s">
        <v>1691</v>
      </c>
      <c r="H715" s="602" t="str">
        <f>IFERROR(VLOOKUP(E:E,'Item Data Support Sheet'!A:O,2,0),"")</f>
        <v>NIPPLE S TYPE LL SIZE INJECTION</v>
      </c>
      <c r="I715" s="501" t="s">
        <v>3393</v>
      </c>
      <c r="J715" s="501" t="s">
        <v>2826</v>
      </c>
      <c r="K715" s="438">
        <v>8</v>
      </c>
      <c r="L715" s="499">
        <v>4815</v>
      </c>
      <c r="M715" s="366">
        <f t="shared" si="209"/>
        <v>601.875</v>
      </c>
      <c r="N715" s="367">
        <f t="shared" si="210"/>
        <v>4132</v>
      </c>
      <c r="O715" s="61">
        <v>4040</v>
      </c>
      <c r="P715" s="368">
        <v>5.9</v>
      </c>
      <c r="Q715" s="368">
        <v>35</v>
      </c>
      <c r="R715" s="494">
        <v>0</v>
      </c>
      <c r="S715" s="493">
        <v>0</v>
      </c>
      <c r="T715" s="494">
        <v>57</v>
      </c>
      <c r="U715" s="493">
        <v>0</v>
      </c>
      <c r="V715" s="502">
        <v>1</v>
      </c>
      <c r="W715" s="453">
        <f t="shared" si="212"/>
        <v>4040</v>
      </c>
      <c r="X715" s="748">
        <f t="shared" si="213"/>
        <v>0.83904465212876422</v>
      </c>
      <c r="Y715" s="451" t="str">
        <f>IFERROR(VLOOKUP(E:E,'Item Data Support Sheet'!A:J,6,0),0)</f>
        <v>FO148</v>
      </c>
      <c r="Z715" s="428">
        <f>IFERROR(VLOOKUP(E:E,'Item Data Support Sheet'!A:O,4,0),0)</f>
        <v>6.8</v>
      </c>
      <c r="AA715" s="428">
        <f t="shared" si="214"/>
        <v>33.997599999999998</v>
      </c>
      <c r="AB715" s="429">
        <f t="shared" si="215"/>
        <v>0.80805703932042261</v>
      </c>
      <c r="AC715" s="424">
        <f t="shared" si="216"/>
        <v>1.3912618989504515E-2</v>
      </c>
      <c r="AD715" s="371">
        <f t="shared" si="217"/>
        <v>8.3993280537556989E-3</v>
      </c>
      <c r="AE715" s="748">
        <f t="shared" si="218"/>
        <v>0.98620522749273964</v>
      </c>
      <c r="AF715" s="417">
        <f t="shared" si="219"/>
        <v>1.5</v>
      </c>
      <c r="AG715" s="416">
        <f t="shared" si="220"/>
        <v>6.5</v>
      </c>
      <c r="AH715" s="372">
        <f t="shared" si="221"/>
        <v>0.8125</v>
      </c>
      <c r="AI715" s="373">
        <f t="shared" si="222"/>
        <v>505</v>
      </c>
      <c r="AJ715" s="418">
        <f>VLOOKUP(D715,'Standard Cycle time'!C:D,2,0)</f>
        <v>5.25</v>
      </c>
      <c r="AK715" s="418">
        <f t="shared" si="223"/>
        <v>5.7920792079207919</v>
      </c>
      <c r="AL715" s="374">
        <f t="shared" si="224"/>
        <v>0.90641025641025641</v>
      </c>
      <c r="AM715" s="372">
        <f t="shared" si="225"/>
        <v>0.72629905816392382</v>
      </c>
      <c r="AN715" s="799">
        <v>3660</v>
      </c>
      <c r="AO715" s="448" t="s">
        <v>3394</v>
      </c>
      <c r="AP715" s="440">
        <v>0</v>
      </c>
      <c r="AQ715" s="440">
        <v>0</v>
      </c>
      <c r="AR715" s="440">
        <v>0</v>
      </c>
      <c r="AS715" s="440">
        <v>0</v>
      </c>
      <c r="AT715" s="440">
        <v>0</v>
      </c>
      <c r="AU715" s="440">
        <v>30</v>
      </c>
      <c r="AV715" s="440">
        <v>0</v>
      </c>
      <c r="AW715" s="440">
        <v>0</v>
      </c>
      <c r="AX715" s="440">
        <v>60</v>
      </c>
      <c r="AY715" s="440">
        <v>0</v>
      </c>
      <c r="AZ715" s="440">
        <v>0</v>
      </c>
      <c r="BA715" s="440">
        <v>0</v>
      </c>
      <c r="BB715" s="440">
        <v>0</v>
      </c>
      <c r="BC715" s="440">
        <v>0</v>
      </c>
      <c r="BD715" s="440">
        <v>0</v>
      </c>
      <c r="BE715" s="440">
        <v>0</v>
      </c>
      <c r="BF715" s="440">
        <v>0</v>
      </c>
      <c r="BG715" s="440">
        <v>0</v>
      </c>
      <c r="BH715" s="440">
        <v>0</v>
      </c>
      <c r="BI715" s="440">
        <v>0</v>
      </c>
      <c r="BJ715" s="440">
        <v>0</v>
      </c>
      <c r="BK715" s="440">
        <v>0</v>
      </c>
      <c r="BL715" s="440">
        <v>0</v>
      </c>
      <c r="BM715" s="440">
        <v>0</v>
      </c>
      <c r="BN715" s="440">
        <v>0</v>
      </c>
      <c r="BO715" s="440">
        <v>0</v>
      </c>
      <c r="BP715" s="440">
        <v>0</v>
      </c>
      <c r="BQ715" s="440">
        <v>0</v>
      </c>
      <c r="BR715" s="415">
        <v>1.5</v>
      </c>
      <c r="BS715" s="415">
        <v>1.5249999999999999</v>
      </c>
      <c r="BT715" s="935"/>
      <c r="BU715" s="935"/>
      <c r="BV715" s="935"/>
      <c r="BW715" s="935"/>
      <c r="BX715" s="935"/>
      <c r="BY715" s="935"/>
      <c r="BZ715" s="935"/>
      <c r="CA715" s="935"/>
      <c r="CB715" s="935"/>
      <c r="CC715" s="935"/>
      <c r="CD715" s="935"/>
      <c r="CE715" s="935"/>
      <c r="CF715" s="935"/>
      <c r="CG715" s="935"/>
      <c r="CH715" s="935"/>
      <c r="CI715" s="935"/>
      <c r="CJ715" s="935"/>
      <c r="CK715" s="935"/>
      <c r="CL715" s="935"/>
      <c r="CM715" s="935"/>
      <c r="CN715" s="935"/>
      <c r="CO715" s="935"/>
      <c r="CP715" s="935"/>
      <c r="CQ715" s="935"/>
      <c r="CR715" s="935"/>
      <c r="CS715" s="935"/>
      <c r="CT715" s="935"/>
      <c r="CU715" s="935"/>
      <c r="CV715" s="935"/>
    </row>
    <row r="716" spans="1:100" s="441" customFormat="1">
      <c r="A716" s="375">
        <f t="shared" si="211"/>
        <v>9</v>
      </c>
      <c r="B716" s="862">
        <v>44466</v>
      </c>
      <c r="C716" s="493" t="s">
        <v>2001</v>
      </c>
      <c r="D716" s="376" t="str">
        <f>IFERROR(VLOOKUP(E:E,'Item Data Support Sheet'!A:O,7,0),"")</f>
        <v>NIPPLE PUNCH</v>
      </c>
      <c r="E716" s="447" t="s">
        <v>80</v>
      </c>
      <c r="F716" s="500"/>
      <c r="G716" s="497" t="s">
        <v>1692</v>
      </c>
      <c r="H716" s="602" t="str">
        <f>IFERROR(VLOOKUP(E:E,'Item Data Support Sheet'!A:O,2,0),"")</f>
        <v>NIPPLE S TYPE S SIZE PUNCHED</v>
      </c>
      <c r="I716" s="501" t="s">
        <v>3395</v>
      </c>
      <c r="J716" s="501" t="s">
        <v>2826</v>
      </c>
      <c r="K716" s="438">
        <v>4.5</v>
      </c>
      <c r="L716" s="499">
        <v>4000</v>
      </c>
      <c r="M716" s="366">
        <f t="shared" si="209"/>
        <v>888.88888888888891</v>
      </c>
      <c r="N716" s="367">
        <f t="shared" si="210"/>
        <v>4000</v>
      </c>
      <c r="O716" s="61">
        <v>4000</v>
      </c>
      <c r="P716" s="368">
        <v>0</v>
      </c>
      <c r="Q716" s="368">
        <v>0</v>
      </c>
      <c r="R716" s="494">
        <v>0</v>
      </c>
      <c r="S716" s="493">
        <v>0</v>
      </c>
      <c r="T716" s="494">
        <v>0</v>
      </c>
      <c r="U716" s="493">
        <v>0</v>
      </c>
      <c r="V716" s="502">
        <v>1</v>
      </c>
      <c r="W716" s="453">
        <f t="shared" si="212"/>
        <v>4000</v>
      </c>
      <c r="X716" s="748">
        <f t="shared" si="213"/>
        <v>1</v>
      </c>
      <c r="Y716" s="451" t="str">
        <f>IFERROR(VLOOKUP(E:E,'Item Data Support Sheet'!A:J,6,0),0)</f>
        <v>FO015</v>
      </c>
      <c r="Z716" s="428">
        <f>IFERROR(VLOOKUP(E:E,'Item Data Support Sheet'!A:O,4,0),0)</f>
        <v>0</v>
      </c>
      <c r="AA716" s="428">
        <f t="shared" si="214"/>
        <v>0</v>
      </c>
      <c r="AB716" s="429" t="str">
        <f t="shared" si="215"/>
        <v xml:space="preserve"> </v>
      </c>
      <c r="AC716" s="424">
        <f t="shared" si="216"/>
        <v>0</v>
      </c>
      <c r="AD716" s="371">
        <f t="shared" si="217"/>
        <v>0</v>
      </c>
      <c r="AE716" s="748">
        <f t="shared" si="218"/>
        <v>1</v>
      </c>
      <c r="AF716" s="417">
        <f t="shared" si="219"/>
        <v>0</v>
      </c>
      <c r="AG716" s="416">
        <f t="shared" si="220"/>
        <v>4.5</v>
      </c>
      <c r="AH716" s="372">
        <f t="shared" si="221"/>
        <v>1</v>
      </c>
      <c r="AI716" s="373">
        <f t="shared" si="222"/>
        <v>888.88888888888891</v>
      </c>
      <c r="AJ716" s="418">
        <f>VLOOKUP(D716,'Standard Cycle time'!C:D,2,0)</f>
        <v>3.5</v>
      </c>
      <c r="AK716" s="418">
        <f t="shared" si="223"/>
        <v>4.05</v>
      </c>
      <c r="AL716" s="374">
        <f t="shared" si="224"/>
        <v>0.86419753086419759</v>
      </c>
      <c r="AM716" s="372">
        <f t="shared" si="225"/>
        <v>0.86419753086419759</v>
      </c>
      <c r="AN716" s="799">
        <v>3658</v>
      </c>
      <c r="AO716" s="448"/>
      <c r="AP716" s="440">
        <v>0</v>
      </c>
      <c r="AQ716" s="440">
        <v>0</v>
      </c>
      <c r="AR716" s="440">
        <v>0</v>
      </c>
      <c r="AS716" s="440">
        <v>0</v>
      </c>
      <c r="AT716" s="440">
        <v>0</v>
      </c>
      <c r="AU716" s="440">
        <v>0</v>
      </c>
      <c r="AV716" s="440">
        <v>0</v>
      </c>
      <c r="AW716" s="440">
        <v>0</v>
      </c>
      <c r="AX716" s="440">
        <v>0</v>
      </c>
      <c r="AY716" s="440">
        <v>0</v>
      </c>
      <c r="AZ716" s="440">
        <v>0</v>
      </c>
      <c r="BA716" s="440">
        <v>0</v>
      </c>
      <c r="BB716" s="440">
        <v>0</v>
      </c>
      <c r="BC716" s="440">
        <v>0</v>
      </c>
      <c r="BD716" s="440">
        <v>0</v>
      </c>
      <c r="BE716" s="440">
        <v>0</v>
      </c>
      <c r="BF716" s="440">
        <v>0</v>
      </c>
      <c r="BG716" s="440">
        <v>0</v>
      </c>
      <c r="BH716" s="440">
        <v>0</v>
      </c>
      <c r="BI716" s="440">
        <v>0</v>
      </c>
      <c r="BJ716" s="440">
        <v>0</v>
      </c>
      <c r="BK716" s="440">
        <v>0</v>
      </c>
      <c r="BL716" s="440">
        <v>0</v>
      </c>
      <c r="BM716" s="440">
        <v>0</v>
      </c>
      <c r="BN716" s="440">
        <v>0</v>
      </c>
      <c r="BO716" s="440">
        <v>0</v>
      </c>
      <c r="BP716" s="440">
        <v>0</v>
      </c>
      <c r="BQ716" s="440">
        <v>0</v>
      </c>
      <c r="BR716" s="415">
        <v>0</v>
      </c>
      <c r="BS716" s="415">
        <v>0</v>
      </c>
      <c r="BT716" s="935"/>
      <c r="BU716" s="935"/>
      <c r="BV716" s="935"/>
      <c r="BW716" s="935"/>
      <c r="BX716" s="935"/>
      <c r="BY716" s="935"/>
      <c r="BZ716" s="935"/>
      <c r="CA716" s="935"/>
      <c r="CB716" s="935"/>
      <c r="CC716" s="935"/>
      <c r="CD716" s="935"/>
      <c r="CE716" s="935"/>
      <c r="CF716" s="935"/>
      <c r="CG716" s="935"/>
      <c r="CH716" s="935"/>
      <c r="CI716" s="935"/>
      <c r="CJ716" s="935"/>
      <c r="CK716" s="935"/>
      <c r="CL716" s="935"/>
      <c r="CM716" s="935"/>
      <c r="CN716" s="935"/>
      <c r="CO716" s="935"/>
      <c r="CP716" s="935"/>
      <c r="CQ716" s="935"/>
      <c r="CR716" s="935"/>
      <c r="CS716" s="935"/>
      <c r="CT716" s="935"/>
      <c r="CU716" s="935"/>
      <c r="CV716" s="935"/>
    </row>
    <row r="717" spans="1:100" s="441" customFormat="1">
      <c r="A717" s="375">
        <f t="shared" si="211"/>
        <v>9</v>
      </c>
      <c r="B717" s="862">
        <v>44466</v>
      </c>
      <c r="C717" s="493" t="s">
        <v>2001</v>
      </c>
      <c r="D717" s="376" t="str">
        <f>IFERROR(VLOOKUP(E:E,'Item Data Support Sheet'!A:O,7,0),"")</f>
        <v>NIPPLE PUNCH</v>
      </c>
      <c r="E717" s="447" t="s">
        <v>2486</v>
      </c>
      <c r="F717" s="500"/>
      <c r="G717" s="497" t="s">
        <v>1692</v>
      </c>
      <c r="H717" s="602" t="str">
        <f>IFERROR(VLOOKUP(E:E,'Item Data Support Sheet'!A:O,2,0),"")</f>
        <v>NIPPLE S TYPE LL SIZE PUNCHED</v>
      </c>
      <c r="I717" s="501" t="s">
        <v>3396</v>
      </c>
      <c r="J717" s="501" t="s">
        <v>2826</v>
      </c>
      <c r="K717" s="438">
        <v>3.5</v>
      </c>
      <c r="L717" s="499">
        <v>3000</v>
      </c>
      <c r="M717" s="366">
        <f t="shared" ref="M717:M765" si="226">IFERROR(L717/K717,0)</f>
        <v>857.14285714285711</v>
      </c>
      <c r="N717" s="367">
        <f t="shared" si="210"/>
        <v>3000</v>
      </c>
      <c r="O717" s="61">
        <v>3000</v>
      </c>
      <c r="P717" s="368">
        <v>0</v>
      </c>
      <c r="Q717" s="368">
        <v>0</v>
      </c>
      <c r="R717" s="494">
        <v>0</v>
      </c>
      <c r="S717" s="493">
        <v>0</v>
      </c>
      <c r="T717" s="494">
        <v>0</v>
      </c>
      <c r="U717" s="493">
        <v>0</v>
      </c>
      <c r="V717" s="502">
        <v>1</v>
      </c>
      <c r="W717" s="453">
        <f t="shared" si="212"/>
        <v>3000</v>
      </c>
      <c r="X717" s="748">
        <f t="shared" si="213"/>
        <v>1</v>
      </c>
      <c r="Y717" s="451" t="str">
        <f>IFERROR(VLOOKUP(E:E,'Item Data Support Sheet'!A:J,6,0),0)</f>
        <v>FO150</v>
      </c>
      <c r="Z717" s="428">
        <f>IFERROR(VLOOKUP(E:E,'Item Data Support Sheet'!A:O,4,0),0)</f>
        <v>0</v>
      </c>
      <c r="AA717" s="428">
        <f t="shared" si="214"/>
        <v>0</v>
      </c>
      <c r="AB717" s="429" t="str">
        <f t="shared" si="215"/>
        <v xml:space="preserve"> </v>
      </c>
      <c r="AC717" s="424">
        <f t="shared" si="216"/>
        <v>0</v>
      </c>
      <c r="AD717" s="371">
        <f t="shared" si="217"/>
        <v>0</v>
      </c>
      <c r="AE717" s="748">
        <f t="shared" si="218"/>
        <v>1</v>
      </c>
      <c r="AF717" s="417">
        <f t="shared" si="219"/>
        <v>0</v>
      </c>
      <c r="AG717" s="416">
        <f t="shared" si="220"/>
        <v>3.5</v>
      </c>
      <c r="AH717" s="372">
        <f t="shared" si="221"/>
        <v>1</v>
      </c>
      <c r="AI717" s="373">
        <f t="shared" si="222"/>
        <v>857.14285714285711</v>
      </c>
      <c r="AJ717" s="418">
        <f>VLOOKUP(D717,'Standard Cycle time'!C:D,2,0)</f>
        <v>3.5</v>
      </c>
      <c r="AK717" s="418">
        <f t="shared" si="223"/>
        <v>4.2</v>
      </c>
      <c r="AL717" s="374">
        <f t="shared" si="224"/>
        <v>0.83333333333333326</v>
      </c>
      <c r="AM717" s="372">
        <f t="shared" si="225"/>
        <v>0.83333333333333326</v>
      </c>
      <c r="AN717" s="799">
        <v>3659</v>
      </c>
      <c r="AO717" s="448"/>
      <c r="AP717" s="440">
        <v>0</v>
      </c>
      <c r="AQ717" s="440">
        <v>0</v>
      </c>
      <c r="AR717" s="440">
        <v>0</v>
      </c>
      <c r="AS717" s="440">
        <v>0</v>
      </c>
      <c r="AT717" s="440">
        <v>0</v>
      </c>
      <c r="AU717" s="440">
        <v>0</v>
      </c>
      <c r="AV717" s="440">
        <v>0</v>
      </c>
      <c r="AW717" s="440">
        <v>0</v>
      </c>
      <c r="AX717" s="440">
        <v>0</v>
      </c>
      <c r="AY717" s="440">
        <v>0</v>
      </c>
      <c r="AZ717" s="440">
        <v>0</v>
      </c>
      <c r="BA717" s="440">
        <v>0</v>
      </c>
      <c r="BB717" s="440">
        <v>0</v>
      </c>
      <c r="BC717" s="440">
        <v>0</v>
      </c>
      <c r="BD717" s="440">
        <v>0</v>
      </c>
      <c r="BE717" s="440">
        <v>0</v>
      </c>
      <c r="BF717" s="440">
        <v>0</v>
      </c>
      <c r="BG717" s="440">
        <v>0</v>
      </c>
      <c r="BH717" s="440">
        <v>0</v>
      </c>
      <c r="BI717" s="440">
        <v>0</v>
      </c>
      <c r="BJ717" s="440">
        <v>0</v>
      </c>
      <c r="BK717" s="440">
        <v>0</v>
      </c>
      <c r="BL717" s="440">
        <v>0</v>
      </c>
      <c r="BM717" s="440">
        <v>0</v>
      </c>
      <c r="BN717" s="440">
        <v>0</v>
      </c>
      <c r="BO717" s="440">
        <v>0</v>
      </c>
      <c r="BP717" s="440">
        <v>0</v>
      </c>
      <c r="BQ717" s="440">
        <v>0</v>
      </c>
      <c r="BR717" s="415">
        <v>0</v>
      </c>
      <c r="BS717" s="415">
        <v>0</v>
      </c>
      <c r="BT717" s="935"/>
      <c r="BU717" s="935"/>
      <c r="BV717" s="935"/>
      <c r="BW717" s="935"/>
      <c r="BX717" s="935"/>
      <c r="BY717" s="935"/>
      <c r="BZ717" s="935"/>
      <c r="CA717" s="935"/>
      <c r="CB717" s="935"/>
      <c r="CC717" s="935"/>
      <c r="CD717" s="935"/>
      <c r="CE717" s="935"/>
      <c r="CF717" s="935"/>
      <c r="CG717" s="935"/>
      <c r="CH717" s="935"/>
      <c r="CI717" s="935"/>
      <c r="CJ717" s="935"/>
      <c r="CK717" s="935"/>
      <c r="CL717" s="935"/>
      <c r="CM717" s="935"/>
      <c r="CN717" s="935"/>
      <c r="CO717" s="935"/>
      <c r="CP717" s="935"/>
      <c r="CQ717" s="935"/>
      <c r="CR717" s="935"/>
      <c r="CS717" s="935"/>
      <c r="CT717" s="935"/>
      <c r="CU717" s="935"/>
      <c r="CV717" s="935"/>
    </row>
    <row r="718" spans="1:100" s="441" customFormat="1">
      <c r="A718" s="375">
        <f t="shared" si="211"/>
        <v>9</v>
      </c>
      <c r="B718" s="862">
        <v>44466</v>
      </c>
      <c r="C718" s="493" t="s">
        <v>2001</v>
      </c>
      <c r="D718" s="376" t="str">
        <f>IFERROR(VLOOKUP(E:E,'Item Data Support Sheet'!A:O,7,0),"")</f>
        <v>CAP MOLDED</v>
      </c>
      <c r="E718" s="447" t="s">
        <v>2108</v>
      </c>
      <c r="F718" s="500"/>
      <c r="G718" s="497" t="s">
        <v>3208</v>
      </c>
      <c r="H718" s="602" t="str">
        <f>IFERROR(VLOOKUP(E:E,'Item Data Support Sheet'!A:O,2,0),"")</f>
        <v>CAP S TYPE MOLDED BLUE</v>
      </c>
      <c r="I718" s="501" t="s">
        <v>3397</v>
      </c>
      <c r="J718" s="501" t="s">
        <v>2826</v>
      </c>
      <c r="K718" s="438">
        <v>8</v>
      </c>
      <c r="L718" s="499">
        <v>4137</v>
      </c>
      <c r="M718" s="366">
        <f t="shared" si="226"/>
        <v>517.125</v>
      </c>
      <c r="N718" s="367">
        <f t="shared" si="210"/>
        <v>4504</v>
      </c>
      <c r="O718" s="61">
        <v>4500</v>
      </c>
      <c r="P718" s="368">
        <v>0</v>
      </c>
      <c r="Q718" s="368">
        <v>0</v>
      </c>
      <c r="R718" s="494">
        <v>0</v>
      </c>
      <c r="S718" s="493">
        <v>0</v>
      </c>
      <c r="T718" s="494">
        <v>4</v>
      </c>
      <c r="U718" s="493">
        <v>0</v>
      </c>
      <c r="V718" s="502">
        <v>1</v>
      </c>
      <c r="W718" s="453">
        <f t="shared" si="212"/>
        <v>4500</v>
      </c>
      <c r="X718" s="748">
        <f t="shared" si="213"/>
        <v>1.0877447425670776</v>
      </c>
      <c r="Y718" s="451" t="str">
        <f>IFERROR(VLOOKUP(E:E,'Item Data Support Sheet'!A:J,6,0),0)</f>
        <v>RM000114</v>
      </c>
      <c r="Z718" s="428">
        <f>IFERROR(VLOOKUP(E:E,'Item Data Support Sheet'!A:O,4,0),0)</f>
        <v>7.3</v>
      </c>
      <c r="AA718" s="428">
        <f t="shared" si="214"/>
        <v>32.879199999999997</v>
      </c>
      <c r="AB718" s="429">
        <f t="shared" si="215"/>
        <v>0.99911190053285981</v>
      </c>
      <c r="AC718" s="424">
        <f t="shared" si="216"/>
        <v>8.8809946714031975E-4</v>
      </c>
      <c r="AD718" s="371">
        <f t="shared" si="217"/>
        <v>0</v>
      </c>
      <c r="AE718" s="748">
        <f t="shared" si="218"/>
        <v>0.9991119005328597</v>
      </c>
      <c r="AF718" s="417">
        <f t="shared" si="219"/>
        <v>0</v>
      </c>
      <c r="AG718" s="416">
        <f t="shared" si="220"/>
        <v>8</v>
      </c>
      <c r="AH718" s="372">
        <f t="shared" si="221"/>
        <v>1</v>
      </c>
      <c r="AI718" s="373">
        <f t="shared" si="222"/>
        <v>562.5</v>
      </c>
      <c r="AJ718" s="418">
        <f>VLOOKUP(D718,'Standard Cycle time'!C:D,2,0)</f>
        <v>6</v>
      </c>
      <c r="AK718" s="418">
        <f t="shared" si="223"/>
        <v>6.4</v>
      </c>
      <c r="AL718" s="374">
        <f t="shared" si="224"/>
        <v>0.9375</v>
      </c>
      <c r="AM718" s="372">
        <f t="shared" si="225"/>
        <v>0.93666740674955595</v>
      </c>
      <c r="AN718" s="799">
        <v>3774</v>
      </c>
      <c r="AO718" s="448"/>
      <c r="AP718" s="440">
        <v>0</v>
      </c>
      <c r="AQ718" s="440">
        <v>0</v>
      </c>
      <c r="AR718" s="440">
        <v>0</v>
      </c>
      <c r="AS718" s="440">
        <v>0</v>
      </c>
      <c r="AT718" s="440">
        <v>0</v>
      </c>
      <c r="AU718" s="440">
        <v>0</v>
      </c>
      <c r="AV718" s="440">
        <v>0</v>
      </c>
      <c r="AW718" s="440">
        <v>0</v>
      </c>
      <c r="AX718" s="440">
        <v>0</v>
      </c>
      <c r="AY718" s="440">
        <v>0</v>
      </c>
      <c r="AZ718" s="440">
        <v>0</v>
      </c>
      <c r="BA718" s="440">
        <v>0</v>
      </c>
      <c r="BB718" s="440">
        <v>0</v>
      </c>
      <c r="BC718" s="440">
        <v>0</v>
      </c>
      <c r="BD718" s="440">
        <v>0</v>
      </c>
      <c r="BE718" s="440">
        <v>0</v>
      </c>
      <c r="BF718" s="440">
        <v>0</v>
      </c>
      <c r="BG718" s="440">
        <v>0</v>
      </c>
      <c r="BH718" s="440">
        <v>0</v>
      </c>
      <c r="BI718" s="440">
        <v>0</v>
      </c>
      <c r="BJ718" s="440">
        <v>0</v>
      </c>
      <c r="BK718" s="440">
        <v>0</v>
      </c>
      <c r="BL718" s="440">
        <v>0</v>
      </c>
      <c r="BM718" s="440">
        <v>0</v>
      </c>
      <c r="BN718" s="440">
        <v>0</v>
      </c>
      <c r="BO718" s="440">
        <v>0</v>
      </c>
      <c r="BP718" s="440">
        <v>0</v>
      </c>
      <c r="BQ718" s="440">
        <v>0</v>
      </c>
      <c r="BR718" s="415">
        <v>0</v>
      </c>
      <c r="BS718" s="415">
        <v>0</v>
      </c>
      <c r="BT718" s="935"/>
      <c r="BU718" s="935"/>
      <c r="BV718" s="935"/>
      <c r="BW718" s="935"/>
      <c r="BX718" s="935"/>
      <c r="BY718" s="935"/>
      <c r="BZ718" s="935"/>
      <c r="CA718" s="935"/>
      <c r="CB718" s="935"/>
      <c r="CC718" s="935"/>
      <c r="CD718" s="935"/>
      <c r="CE718" s="935"/>
      <c r="CF718" s="935"/>
      <c r="CG718" s="935"/>
      <c r="CH718" s="935"/>
      <c r="CI718" s="935"/>
      <c r="CJ718" s="935"/>
      <c r="CK718" s="935"/>
      <c r="CL718" s="935"/>
      <c r="CM718" s="935"/>
      <c r="CN718" s="935"/>
      <c r="CO718" s="935"/>
      <c r="CP718" s="935"/>
      <c r="CQ718" s="935"/>
      <c r="CR718" s="935"/>
      <c r="CS718" s="935"/>
      <c r="CT718" s="935"/>
      <c r="CU718" s="935"/>
      <c r="CV718" s="935"/>
    </row>
    <row r="719" spans="1:100" s="441" customFormat="1">
      <c r="A719" s="375">
        <f t="shared" si="211"/>
        <v>9</v>
      </c>
      <c r="B719" s="862">
        <v>44466</v>
      </c>
      <c r="C719" s="493" t="s">
        <v>2053</v>
      </c>
      <c r="D719" s="376" t="str">
        <f>IFERROR(VLOOKUP(E:E,'Item Data Support Sheet'!A:O,7,0),"")</f>
        <v>NIPPLE MOLDED</v>
      </c>
      <c r="E719" s="447" t="s">
        <v>2484</v>
      </c>
      <c r="F719" s="500" t="s">
        <v>1678</v>
      </c>
      <c r="G719" s="497" t="s">
        <v>1691</v>
      </c>
      <c r="H719" s="602" t="str">
        <f>IFERROR(VLOOKUP(E:E,'Item Data Support Sheet'!A:O,2,0),"")</f>
        <v>NIPPLE S TYPE LL SIZE INJECTION</v>
      </c>
      <c r="I719" s="501" t="s">
        <v>3398</v>
      </c>
      <c r="J719" s="501" t="s">
        <v>2808</v>
      </c>
      <c r="K719" s="438">
        <v>8</v>
      </c>
      <c r="L719" s="499">
        <v>4815</v>
      </c>
      <c r="M719" s="366">
        <f t="shared" si="226"/>
        <v>601.875</v>
      </c>
      <c r="N719" s="367">
        <f t="shared" si="210"/>
        <v>2108</v>
      </c>
      <c r="O719" s="61">
        <v>2000</v>
      </c>
      <c r="P719" s="368">
        <v>0.85</v>
      </c>
      <c r="Q719" s="368">
        <v>74</v>
      </c>
      <c r="R719" s="494">
        <v>0</v>
      </c>
      <c r="S719" s="493">
        <v>0</v>
      </c>
      <c r="T719" s="494">
        <v>26</v>
      </c>
      <c r="U719" s="493">
        <v>8</v>
      </c>
      <c r="V719" s="502">
        <v>1</v>
      </c>
      <c r="W719" s="453">
        <f t="shared" si="212"/>
        <v>2000</v>
      </c>
      <c r="X719" s="748">
        <f t="shared" si="213"/>
        <v>0.4153686396677051</v>
      </c>
      <c r="Y719" s="451" t="str">
        <f>IFERROR(VLOOKUP(E:E,'Item Data Support Sheet'!A:J,6,0),0)</f>
        <v>FO148</v>
      </c>
      <c r="Z719" s="428">
        <f>IFERROR(VLOOKUP(E:E,'Item Data Support Sheet'!A:O,4,0),0)</f>
        <v>6.8</v>
      </c>
      <c r="AA719" s="428">
        <f t="shared" si="214"/>
        <v>15.184399999999998</v>
      </c>
      <c r="AB719" s="429">
        <f t="shared" si="215"/>
        <v>0.8956560680698612</v>
      </c>
      <c r="AC719" s="424">
        <f t="shared" si="216"/>
        <v>1.2833168805528134E-2</v>
      </c>
      <c r="AD719" s="371">
        <f t="shared" si="217"/>
        <v>3.3913840513290557E-2</v>
      </c>
      <c r="AE719" s="748">
        <f t="shared" si="218"/>
        <v>0.98766603415559773</v>
      </c>
      <c r="AF719" s="417">
        <f t="shared" si="219"/>
        <v>5</v>
      </c>
      <c r="AG719" s="416">
        <f t="shared" si="220"/>
        <v>3</v>
      </c>
      <c r="AH719" s="372">
        <f t="shared" si="221"/>
        <v>0.375</v>
      </c>
      <c r="AI719" s="373">
        <f t="shared" si="222"/>
        <v>250</v>
      </c>
      <c r="AJ719" s="418">
        <f>VLOOKUP(D719,'Standard Cycle time'!C:D,2,0)</f>
        <v>5.25</v>
      </c>
      <c r="AK719" s="418">
        <f t="shared" si="223"/>
        <v>5.4</v>
      </c>
      <c r="AL719" s="374">
        <f t="shared" si="224"/>
        <v>0.97222222222222221</v>
      </c>
      <c r="AM719" s="372">
        <f t="shared" si="225"/>
        <v>0.36008657495256169</v>
      </c>
      <c r="AN719" s="799">
        <v>3664</v>
      </c>
      <c r="AO719" s="448" t="s">
        <v>3399</v>
      </c>
      <c r="AP719" s="440">
        <v>0</v>
      </c>
      <c r="AQ719" s="440">
        <v>0</v>
      </c>
      <c r="AR719" s="440">
        <v>0</v>
      </c>
      <c r="AS719" s="440">
        <v>0</v>
      </c>
      <c r="AT719" s="440">
        <v>0</v>
      </c>
      <c r="AU719" s="440">
        <v>160</v>
      </c>
      <c r="AV719" s="440">
        <v>80</v>
      </c>
      <c r="AW719" s="440">
        <v>60</v>
      </c>
      <c r="AX719" s="440">
        <v>0</v>
      </c>
      <c r="AY719" s="440">
        <v>0</v>
      </c>
      <c r="AZ719" s="440">
        <v>0</v>
      </c>
      <c r="BA719" s="440">
        <v>0</v>
      </c>
      <c r="BB719" s="440">
        <v>0</v>
      </c>
      <c r="BC719" s="440">
        <v>0</v>
      </c>
      <c r="BD719" s="440">
        <v>0</v>
      </c>
      <c r="BE719" s="440">
        <v>0</v>
      </c>
      <c r="BF719" s="440">
        <v>0</v>
      </c>
      <c r="BG719" s="440">
        <v>0</v>
      </c>
      <c r="BH719" s="440">
        <v>0</v>
      </c>
      <c r="BI719" s="440">
        <v>0</v>
      </c>
      <c r="BJ719" s="440">
        <v>0</v>
      </c>
      <c r="BK719" s="440">
        <v>0</v>
      </c>
      <c r="BL719" s="440">
        <v>0</v>
      </c>
      <c r="BM719" s="440">
        <v>0</v>
      </c>
      <c r="BN719" s="440">
        <v>0</v>
      </c>
      <c r="BO719" s="440">
        <v>0</v>
      </c>
      <c r="BP719" s="440">
        <v>0</v>
      </c>
      <c r="BQ719" s="440">
        <v>0</v>
      </c>
      <c r="BR719" s="415">
        <v>5</v>
      </c>
      <c r="BS719" s="415">
        <v>5.083333333333333</v>
      </c>
      <c r="BT719" s="935"/>
      <c r="BU719" s="935"/>
      <c r="BV719" s="935"/>
      <c r="BW719" s="935"/>
      <c r="BX719" s="935"/>
      <c r="BY719" s="935"/>
      <c r="BZ719" s="935"/>
      <c r="CA719" s="935"/>
      <c r="CB719" s="935"/>
      <c r="CC719" s="935"/>
      <c r="CD719" s="935"/>
      <c r="CE719" s="935"/>
      <c r="CF719" s="935"/>
      <c r="CG719" s="935"/>
      <c r="CH719" s="935"/>
      <c r="CI719" s="935"/>
      <c r="CJ719" s="935"/>
      <c r="CK719" s="935"/>
      <c r="CL719" s="935"/>
      <c r="CM719" s="935"/>
      <c r="CN719" s="935"/>
      <c r="CO719" s="935"/>
      <c r="CP719" s="935"/>
      <c r="CQ719" s="935"/>
      <c r="CR719" s="935"/>
      <c r="CS719" s="935"/>
      <c r="CT719" s="935"/>
      <c r="CU719" s="935"/>
      <c r="CV719" s="935"/>
    </row>
    <row r="720" spans="1:100" s="441" customFormat="1">
      <c r="A720" s="375">
        <f t="shared" si="211"/>
        <v>9</v>
      </c>
      <c r="B720" s="862">
        <v>44466</v>
      </c>
      <c r="C720" s="493" t="s">
        <v>2053</v>
      </c>
      <c r="D720" s="376" t="str">
        <f>IFERROR(VLOOKUP(E:E,'Item Data Support Sheet'!A:O,7,0),"")</f>
        <v>CAP MOLDED</v>
      </c>
      <c r="E720" s="447" t="s">
        <v>2108</v>
      </c>
      <c r="F720" s="500"/>
      <c r="G720" s="497" t="s">
        <v>3208</v>
      </c>
      <c r="H720" s="602" t="str">
        <f>IFERROR(VLOOKUP(E:E,'Item Data Support Sheet'!A:O,2,0),"")</f>
        <v>CAP S TYPE MOLDED BLUE</v>
      </c>
      <c r="I720" s="501" t="s">
        <v>3400</v>
      </c>
      <c r="J720" s="501" t="s">
        <v>2808</v>
      </c>
      <c r="K720" s="438">
        <v>6</v>
      </c>
      <c r="L720" s="499">
        <v>3000</v>
      </c>
      <c r="M720" s="366">
        <f t="shared" si="226"/>
        <v>500</v>
      </c>
      <c r="N720" s="367">
        <f t="shared" si="210"/>
        <v>2893</v>
      </c>
      <c r="O720" s="61">
        <v>2885</v>
      </c>
      <c r="P720" s="368">
        <v>0</v>
      </c>
      <c r="Q720" s="368">
        <v>0</v>
      </c>
      <c r="R720" s="494">
        <v>0</v>
      </c>
      <c r="S720" s="493">
        <v>0</v>
      </c>
      <c r="T720" s="494">
        <v>0</v>
      </c>
      <c r="U720" s="493">
        <v>8</v>
      </c>
      <c r="V720" s="502">
        <v>1</v>
      </c>
      <c r="W720" s="453">
        <f t="shared" si="212"/>
        <v>2885</v>
      </c>
      <c r="X720" s="748">
        <f t="shared" si="213"/>
        <v>0.96166666666666667</v>
      </c>
      <c r="Y720" s="451" t="str">
        <f>IFERROR(VLOOKUP(E:E,'Item Data Support Sheet'!A:J,6,0),0)</f>
        <v>RM000114</v>
      </c>
      <c r="Z720" s="428">
        <f>IFERROR(VLOOKUP(E:E,'Item Data Support Sheet'!A:O,4,0),0)</f>
        <v>7.3</v>
      </c>
      <c r="AA720" s="428">
        <f t="shared" si="214"/>
        <v>21.1189</v>
      </c>
      <c r="AB720" s="429">
        <f t="shared" si="215"/>
        <v>0.99723470445903917</v>
      </c>
      <c r="AC720" s="424">
        <f t="shared" si="216"/>
        <v>0</v>
      </c>
      <c r="AD720" s="371">
        <f t="shared" si="217"/>
        <v>0</v>
      </c>
      <c r="AE720" s="748">
        <f t="shared" si="218"/>
        <v>1</v>
      </c>
      <c r="AF720" s="417">
        <f t="shared" si="219"/>
        <v>0</v>
      </c>
      <c r="AG720" s="416">
        <f t="shared" si="220"/>
        <v>6</v>
      </c>
      <c r="AH720" s="372">
        <f t="shared" si="221"/>
        <v>1</v>
      </c>
      <c r="AI720" s="373">
        <f t="shared" si="222"/>
        <v>480.83333333333331</v>
      </c>
      <c r="AJ720" s="418">
        <f>VLOOKUP(D720,'Standard Cycle time'!C:D,2,0)</f>
        <v>6</v>
      </c>
      <c r="AK720" s="418">
        <f t="shared" si="223"/>
        <v>7.4870017331022529</v>
      </c>
      <c r="AL720" s="374">
        <f t="shared" si="224"/>
        <v>0.80138888888888893</v>
      </c>
      <c r="AM720" s="372">
        <f t="shared" si="225"/>
        <v>0.80138888888888893</v>
      </c>
      <c r="AN720" s="799">
        <v>3661</v>
      </c>
      <c r="AO720" s="448" t="s">
        <v>3401</v>
      </c>
      <c r="AP720" s="440">
        <v>0</v>
      </c>
      <c r="AQ720" s="440">
        <v>0</v>
      </c>
      <c r="AR720" s="440">
        <v>0</v>
      </c>
      <c r="AS720" s="440">
        <v>0</v>
      </c>
      <c r="AT720" s="440">
        <v>0</v>
      </c>
      <c r="AU720" s="440">
        <v>0</v>
      </c>
      <c r="AV720" s="440">
        <v>0</v>
      </c>
      <c r="AW720" s="440">
        <v>0</v>
      </c>
      <c r="AX720" s="440">
        <v>0</v>
      </c>
      <c r="AY720" s="440">
        <v>0</v>
      </c>
      <c r="AZ720" s="440">
        <v>0</v>
      </c>
      <c r="BA720" s="440">
        <v>0</v>
      </c>
      <c r="BB720" s="440">
        <v>0</v>
      </c>
      <c r="BC720" s="440">
        <v>0</v>
      </c>
      <c r="BD720" s="440">
        <v>0</v>
      </c>
      <c r="BE720" s="440">
        <v>0</v>
      </c>
      <c r="BF720" s="440">
        <v>0</v>
      </c>
      <c r="BG720" s="440">
        <v>0</v>
      </c>
      <c r="BH720" s="440">
        <v>0</v>
      </c>
      <c r="BI720" s="440">
        <v>0</v>
      </c>
      <c r="BJ720" s="440">
        <v>0</v>
      </c>
      <c r="BK720" s="440">
        <v>0</v>
      </c>
      <c r="BL720" s="440">
        <v>0</v>
      </c>
      <c r="BM720" s="440">
        <v>0</v>
      </c>
      <c r="BN720" s="440">
        <v>0</v>
      </c>
      <c r="BO720" s="440">
        <v>0</v>
      </c>
      <c r="BP720" s="440">
        <v>0</v>
      </c>
      <c r="BQ720" s="440">
        <v>0</v>
      </c>
      <c r="BR720" s="415">
        <v>0</v>
      </c>
      <c r="BS720" s="415">
        <v>0</v>
      </c>
      <c r="BT720" s="935"/>
      <c r="BU720" s="935"/>
      <c r="BV720" s="935"/>
      <c r="BW720" s="935"/>
      <c r="BX720" s="935"/>
      <c r="BY720" s="935"/>
      <c r="BZ720" s="935"/>
      <c r="CA720" s="935"/>
      <c r="CB720" s="935"/>
      <c r="CC720" s="935"/>
      <c r="CD720" s="935"/>
      <c r="CE720" s="935"/>
      <c r="CF720" s="935"/>
      <c r="CG720" s="935"/>
      <c r="CH720" s="935"/>
      <c r="CI720" s="935"/>
      <c r="CJ720" s="935"/>
      <c r="CK720" s="935"/>
      <c r="CL720" s="935"/>
      <c r="CM720" s="935"/>
      <c r="CN720" s="935"/>
      <c r="CO720" s="935"/>
      <c r="CP720" s="935"/>
      <c r="CQ720" s="935"/>
      <c r="CR720" s="935"/>
      <c r="CS720" s="935"/>
      <c r="CT720" s="935"/>
      <c r="CU720" s="935"/>
      <c r="CV720" s="935"/>
    </row>
    <row r="721" spans="1:100" s="441" customFormat="1">
      <c r="A721" s="375">
        <f t="shared" si="211"/>
        <v>9</v>
      </c>
      <c r="B721" s="862">
        <v>44466</v>
      </c>
      <c r="C721" s="493" t="s">
        <v>2053</v>
      </c>
      <c r="D721" s="376" t="str">
        <f>IFERROR(VLOOKUP(E:E,'Item Data Support Sheet'!A:O,7,0),"")</f>
        <v>CAP MOLDED</v>
      </c>
      <c r="E721" s="447" t="s">
        <v>2108</v>
      </c>
      <c r="F721" s="500"/>
      <c r="G721" s="497" t="s">
        <v>3212</v>
      </c>
      <c r="H721" s="602" t="str">
        <f>IFERROR(VLOOKUP(E:E,'Item Data Support Sheet'!A:O,2,0),"")</f>
        <v>CAP S TYPE MOLDED BLUE</v>
      </c>
      <c r="I721" s="501" t="s">
        <v>3402</v>
      </c>
      <c r="J721" s="501" t="s">
        <v>2808</v>
      </c>
      <c r="K721" s="438">
        <v>2</v>
      </c>
      <c r="L721" s="499">
        <v>1137</v>
      </c>
      <c r="M721" s="366">
        <f t="shared" si="226"/>
        <v>568.5</v>
      </c>
      <c r="N721" s="367">
        <f t="shared" si="210"/>
        <v>1515</v>
      </c>
      <c r="O721" s="61">
        <v>1500</v>
      </c>
      <c r="P721" s="368">
        <v>0</v>
      </c>
      <c r="Q721" s="368">
        <v>0</v>
      </c>
      <c r="R721" s="494">
        <v>0</v>
      </c>
      <c r="S721" s="493">
        <v>0</v>
      </c>
      <c r="T721" s="494">
        <v>15</v>
      </c>
      <c r="U721" s="493">
        <v>0</v>
      </c>
      <c r="V721" s="502">
        <v>1</v>
      </c>
      <c r="W721" s="453">
        <f t="shared" si="212"/>
        <v>1500</v>
      </c>
      <c r="X721" s="748">
        <f t="shared" si="213"/>
        <v>1.3192612137203166</v>
      </c>
      <c r="Y721" s="451" t="str">
        <f>IFERROR(VLOOKUP(E:E,'Item Data Support Sheet'!A:J,6,0),0)</f>
        <v>RM000114</v>
      </c>
      <c r="Z721" s="428">
        <f>IFERROR(VLOOKUP(E:E,'Item Data Support Sheet'!A:O,4,0),0)</f>
        <v>7.3</v>
      </c>
      <c r="AA721" s="428">
        <f t="shared" si="214"/>
        <v>11.0595</v>
      </c>
      <c r="AB721" s="429">
        <f t="shared" si="215"/>
        <v>0.99009900990099009</v>
      </c>
      <c r="AC721" s="424">
        <f t="shared" si="216"/>
        <v>9.9009900990099011E-3</v>
      </c>
      <c r="AD721" s="371">
        <f t="shared" si="217"/>
        <v>0</v>
      </c>
      <c r="AE721" s="748">
        <f t="shared" si="218"/>
        <v>0.99009900990099009</v>
      </c>
      <c r="AF721" s="417">
        <f t="shared" si="219"/>
        <v>0</v>
      </c>
      <c r="AG721" s="416">
        <f t="shared" si="220"/>
        <v>2</v>
      </c>
      <c r="AH721" s="372">
        <f t="shared" si="221"/>
        <v>1</v>
      </c>
      <c r="AI721" s="373">
        <f t="shared" si="222"/>
        <v>750</v>
      </c>
      <c r="AJ721" s="418">
        <f>VLOOKUP(D721,'Standard Cycle time'!C:D,2,0)</f>
        <v>6</v>
      </c>
      <c r="AK721" s="418">
        <f t="shared" si="223"/>
        <v>4.8</v>
      </c>
      <c r="AL721" s="374">
        <f t="shared" si="224"/>
        <v>1.25</v>
      </c>
      <c r="AM721" s="372">
        <f t="shared" si="225"/>
        <v>1.2376237623762376</v>
      </c>
      <c r="AN721" s="799">
        <v>3665</v>
      </c>
      <c r="AO721" s="448"/>
      <c r="AP721" s="440">
        <v>0</v>
      </c>
      <c r="AQ721" s="440">
        <v>0</v>
      </c>
      <c r="AR721" s="440">
        <v>0</v>
      </c>
      <c r="AS721" s="440">
        <v>0</v>
      </c>
      <c r="AT721" s="440">
        <v>0</v>
      </c>
      <c r="AU721" s="440">
        <v>0</v>
      </c>
      <c r="AV721" s="440">
        <v>0</v>
      </c>
      <c r="AW721" s="440">
        <v>0</v>
      </c>
      <c r="AX721" s="440">
        <v>0</v>
      </c>
      <c r="AY721" s="440">
        <v>0</v>
      </c>
      <c r="AZ721" s="440">
        <v>0</v>
      </c>
      <c r="BA721" s="440">
        <v>0</v>
      </c>
      <c r="BB721" s="440">
        <v>0</v>
      </c>
      <c r="BC721" s="440">
        <v>0</v>
      </c>
      <c r="BD721" s="440">
        <v>0</v>
      </c>
      <c r="BE721" s="440">
        <v>0</v>
      </c>
      <c r="BF721" s="440">
        <v>0</v>
      </c>
      <c r="BG721" s="440">
        <v>0</v>
      </c>
      <c r="BH721" s="440">
        <v>0</v>
      </c>
      <c r="BI721" s="440">
        <v>0</v>
      </c>
      <c r="BJ721" s="440">
        <v>0</v>
      </c>
      <c r="BK721" s="440">
        <v>0</v>
      </c>
      <c r="BL721" s="440">
        <v>0</v>
      </c>
      <c r="BM721" s="440">
        <v>0</v>
      </c>
      <c r="BN721" s="440">
        <v>0</v>
      </c>
      <c r="BO721" s="440">
        <v>0</v>
      </c>
      <c r="BP721" s="440">
        <v>0</v>
      </c>
      <c r="BQ721" s="440">
        <v>0</v>
      </c>
      <c r="BR721" s="415">
        <v>0</v>
      </c>
      <c r="BS721" s="415">
        <v>0</v>
      </c>
      <c r="BT721" s="935"/>
      <c r="BU721" s="935"/>
      <c r="BV721" s="935"/>
      <c r="BW721" s="935"/>
      <c r="BX721" s="935"/>
      <c r="BY721" s="935"/>
      <c r="BZ721" s="935"/>
      <c r="CA721" s="935"/>
      <c r="CB721" s="935"/>
      <c r="CC721" s="935"/>
      <c r="CD721" s="935"/>
      <c r="CE721" s="935"/>
      <c r="CF721" s="935"/>
      <c r="CG721" s="935"/>
      <c r="CH721" s="935"/>
      <c r="CI721" s="935"/>
      <c r="CJ721" s="935"/>
      <c r="CK721" s="935"/>
      <c r="CL721" s="935"/>
      <c r="CM721" s="935"/>
      <c r="CN721" s="935"/>
      <c r="CO721" s="935"/>
      <c r="CP721" s="935"/>
      <c r="CQ721" s="935"/>
      <c r="CR721" s="935"/>
      <c r="CS721" s="935"/>
      <c r="CT721" s="935"/>
      <c r="CU721" s="935"/>
      <c r="CV721" s="935"/>
    </row>
    <row r="722" spans="1:100" s="441" customFormat="1">
      <c r="A722" s="375">
        <f t="shared" si="211"/>
        <v>9</v>
      </c>
      <c r="B722" s="862">
        <v>44466</v>
      </c>
      <c r="C722" s="493" t="s">
        <v>2053</v>
      </c>
      <c r="D722" s="376" t="str">
        <f>IFERROR(VLOOKUP(E:E,'Item Data Support Sheet'!A:O,7,0),"")</f>
        <v>NIPPLE LASER MARKING</v>
      </c>
      <c r="E722" s="447" t="s">
        <v>1816</v>
      </c>
      <c r="F722" s="500"/>
      <c r="G722" s="497" t="s">
        <v>1812</v>
      </c>
      <c r="H722" s="602" t="str">
        <f>IFERROR(VLOOKUP(E:E,'Item Data Support Sheet'!A:O,2,0),"")</f>
        <v>NIPPLE S TYPE L SIZE PUNCHED LASER MARKED</v>
      </c>
      <c r="I722" s="501" t="s">
        <v>3403</v>
      </c>
      <c r="J722" s="501" t="s">
        <v>2808</v>
      </c>
      <c r="K722" s="438">
        <v>8</v>
      </c>
      <c r="L722" s="499">
        <v>7000</v>
      </c>
      <c r="M722" s="366">
        <f t="shared" si="226"/>
        <v>875</v>
      </c>
      <c r="N722" s="367">
        <f t="shared" si="210"/>
        <v>7300</v>
      </c>
      <c r="O722" s="61">
        <v>7300</v>
      </c>
      <c r="P722" s="368">
        <v>0</v>
      </c>
      <c r="Q722" s="368">
        <v>0</v>
      </c>
      <c r="R722" s="494">
        <v>0</v>
      </c>
      <c r="S722" s="493">
        <v>0</v>
      </c>
      <c r="T722" s="494">
        <v>0</v>
      </c>
      <c r="U722" s="493">
        <v>0</v>
      </c>
      <c r="V722" s="502">
        <v>1</v>
      </c>
      <c r="W722" s="453">
        <f t="shared" si="212"/>
        <v>7300</v>
      </c>
      <c r="X722" s="748">
        <f t="shared" si="213"/>
        <v>1.0428571428571429</v>
      </c>
      <c r="Y722" s="451" t="str">
        <f>IFERROR(VLOOKUP(E:E,'Item Data Support Sheet'!A:J,6,0),0)</f>
        <v>FO021</v>
      </c>
      <c r="Z722" s="428">
        <f>IFERROR(VLOOKUP(E:E,'Item Data Support Sheet'!A:O,4,0),0)</f>
        <v>0</v>
      </c>
      <c r="AA722" s="428">
        <f t="shared" si="214"/>
        <v>0</v>
      </c>
      <c r="AB722" s="429" t="str">
        <f t="shared" si="215"/>
        <v xml:space="preserve"> </v>
      </c>
      <c r="AC722" s="424">
        <f t="shared" si="216"/>
        <v>0</v>
      </c>
      <c r="AD722" s="371">
        <f t="shared" si="217"/>
        <v>0</v>
      </c>
      <c r="AE722" s="748">
        <f t="shared" si="218"/>
        <v>1</v>
      </c>
      <c r="AF722" s="417">
        <f t="shared" si="219"/>
        <v>0.33333333333333331</v>
      </c>
      <c r="AG722" s="416">
        <f t="shared" si="220"/>
        <v>7.666666666666667</v>
      </c>
      <c r="AH722" s="372">
        <f t="shared" si="221"/>
        <v>0.95833333333333337</v>
      </c>
      <c r="AI722" s="373">
        <f t="shared" si="222"/>
        <v>912.5</v>
      </c>
      <c r="AJ722" s="418">
        <f>VLOOKUP(D722,'Standard Cycle time'!C:D,2,0)</f>
        <v>3.5</v>
      </c>
      <c r="AK722" s="418">
        <f t="shared" si="223"/>
        <v>3.7808219178082192</v>
      </c>
      <c r="AL722" s="374">
        <f t="shared" si="224"/>
        <v>0.92572463768115942</v>
      </c>
      <c r="AM722" s="372">
        <f t="shared" si="225"/>
        <v>0.88715277777777779</v>
      </c>
      <c r="AN722" s="799" t="s">
        <v>3404</v>
      </c>
      <c r="AO722" s="448"/>
      <c r="AP722" s="440">
        <v>20</v>
      </c>
      <c r="AQ722" s="440">
        <v>0</v>
      </c>
      <c r="AR722" s="440">
        <v>0</v>
      </c>
      <c r="AS722" s="440">
        <v>0</v>
      </c>
      <c r="AT722" s="440">
        <v>0</v>
      </c>
      <c r="AU722" s="440">
        <v>0</v>
      </c>
      <c r="AV722" s="440">
        <v>0</v>
      </c>
      <c r="AW722" s="440">
        <v>0</v>
      </c>
      <c r="AX722" s="440">
        <v>0</v>
      </c>
      <c r="AY722" s="440">
        <v>0</v>
      </c>
      <c r="AZ722" s="440">
        <v>0</v>
      </c>
      <c r="BA722" s="440">
        <v>0</v>
      </c>
      <c r="BB722" s="440">
        <v>0</v>
      </c>
      <c r="BC722" s="440">
        <v>0</v>
      </c>
      <c r="BD722" s="440">
        <v>0</v>
      </c>
      <c r="BE722" s="440">
        <v>0</v>
      </c>
      <c r="BF722" s="440">
        <v>0</v>
      </c>
      <c r="BG722" s="440">
        <v>0</v>
      </c>
      <c r="BH722" s="440">
        <v>0</v>
      </c>
      <c r="BI722" s="440">
        <v>0</v>
      </c>
      <c r="BJ722" s="440">
        <v>0</v>
      </c>
      <c r="BK722" s="440">
        <v>0</v>
      </c>
      <c r="BL722" s="440">
        <v>0</v>
      </c>
      <c r="BM722" s="440">
        <v>0</v>
      </c>
      <c r="BN722" s="440">
        <v>0</v>
      </c>
      <c r="BO722" s="440">
        <v>0</v>
      </c>
      <c r="BP722" s="440">
        <v>0</v>
      </c>
      <c r="BQ722" s="440">
        <v>0</v>
      </c>
      <c r="BR722" s="415">
        <v>0.33333333333333331</v>
      </c>
      <c r="BS722" s="415">
        <v>0.33888888888888885</v>
      </c>
      <c r="BT722" s="935"/>
      <c r="BU722" s="935"/>
      <c r="BV722" s="935"/>
      <c r="BW722" s="935"/>
      <c r="BX722" s="935"/>
      <c r="BY722" s="935"/>
      <c r="BZ722" s="935"/>
      <c r="CA722" s="935"/>
      <c r="CB722" s="935"/>
      <c r="CC722" s="935"/>
      <c r="CD722" s="935"/>
      <c r="CE722" s="935"/>
      <c r="CF722" s="935"/>
      <c r="CG722" s="935"/>
      <c r="CH722" s="935"/>
      <c r="CI722" s="935"/>
      <c r="CJ722" s="935"/>
      <c r="CK722" s="935"/>
      <c r="CL722" s="935"/>
      <c r="CM722" s="935"/>
      <c r="CN722" s="935"/>
      <c r="CO722" s="935"/>
      <c r="CP722" s="935"/>
      <c r="CQ722" s="935"/>
      <c r="CR722" s="935"/>
      <c r="CS722" s="935"/>
      <c r="CT722" s="935"/>
      <c r="CU722" s="935"/>
      <c r="CV722" s="935"/>
    </row>
    <row r="723" spans="1:100" s="441" customFormat="1">
      <c r="A723" s="375">
        <f t="shared" si="211"/>
        <v>9</v>
      </c>
      <c r="B723" s="862">
        <v>44466</v>
      </c>
      <c r="C723" s="493" t="s">
        <v>2053</v>
      </c>
      <c r="D723" s="376" t="str">
        <f>IFERROR(VLOOKUP(E:E,'Item Data Support Sheet'!A:O,7,0),"")</f>
        <v>BOTTLE MOLDED</v>
      </c>
      <c r="E723" s="447" t="s">
        <v>68</v>
      </c>
      <c r="F723" s="500" t="s">
        <v>1664</v>
      </c>
      <c r="G723" s="497" t="s">
        <v>1665</v>
      </c>
      <c r="H723" s="602" t="str">
        <f>IFERROR(VLOOKUP(E:E,'Item Data Support Sheet'!A:O,2,0),"")</f>
        <v>RPP 240 ML BOTTLE MOLDED</v>
      </c>
      <c r="I723" s="501" t="s">
        <v>3391</v>
      </c>
      <c r="J723" s="501" t="s">
        <v>2808</v>
      </c>
      <c r="K723" s="438">
        <v>6</v>
      </c>
      <c r="L723" s="499">
        <v>1420</v>
      </c>
      <c r="M723" s="366">
        <f t="shared" si="226"/>
        <v>236.66666666666666</v>
      </c>
      <c r="N723" s="367">
        <f t="shared" si="210"/>
        <v>2004</v>
      </c>
      <c r="O723" s="61">
        <v>1920</v>
      </c>
      <c r="P723" s="368">
        <v>0.12</v>
      </c>
      <c r="Q723" s="368">
        <v>44</v>
      </c>
      <c r="R723" s="494">
        <v>0</v>
      </c>
      <c r="S723" s="493">
        <v>0</v>
      </c>
      <c r="T723" s="494">
        <v>32</v>
      </c>
      <c r="U723" s="493">
        <v>8</v>
      </c>
      <c r="V723" s="502">
        <v>1</v>
      </c>
      <c r="W723" s="453">
        <f t="shared" si="212"/>
        <v>1920</v>
      </c>
      <c r="X723" s="748">
        <f t="shared" si="213"/>
        <v>1.352112676056338</v>
      </c>
      <c r="Y723" s="451" t="str">
        <f>IFERROR(VLOOKUP(E:E,'Item Data Support Sheet'!A:J,6,0),0)</f>
        <v>HMC</v>
      </c>
      <c r="Z723" s="428">
        <f>IFERROR(VLOOKUP(E:E,'Item Data Support Sheet'!A:O,4,0),0)</f>
        <v>32.1</v>
      </c>
      <c r="AA723" s="428">
        <f t="shared" si="214"/>
        <v>64.448400000000007</v>
      </c>
      <c r="AB723" s="429">
        <f t="shared" si="215"/>
        <v>0.95629992365985805</v>
      </c>
      <c r="AC723" s="424">
        <f t="shared" si="216"/>
        <v>1.6393442622950821E-2</v>
      </c>
      <c r="AD723" s="371">
        <f t="shared" si="217"/>
        <v>2.1484375E-2</v>
      </c>
      <c r="AE723" s="748">
        <f t="shared" si="218"/>
        <v>0.98403193612774453</v>
      </c>
      <c r="AF723" s="417">
        <f t="shared" si="219"/>
        <v>0</v>
      </c>
      <c r="AG723" s="416">
        <f t="shared" si="220"/>
        <v>6</v>
      </c>
      <c r="AH723" s="372">
        <f t="shared" si="221"/>
        <v>1</v>
      </c>
      <c r="AI723" s="373">
        <f t="shared" si="222"/>
        <v>320</v>
      </c>
      <c r="AJ723" s="418">
        <f>VLOOKUP(D723,'Standard Cycle time'!C:D,2,0)</f>
        <v>9</v>
      </c>
      <c r="AK723" s="418">
        <f t="shared" si="223"/>
        <v>11.25</v>
      </c>
      <c r="AL723" s="374">
        <f t="shared" si="224"/>
        <v>0.8</v>
      </c>
      <c r="AM723" s="372">
        <f t="shared" si="225"/>
        <v>0.78722554890219565</v>
      </c>
      <c r="AN723" s="799">
        <v>3694</v>
      </c>
      <c r="AO723" s="448" t="s">
        <v>3392</v>
      </c>
      <c r="AP723" s="440">
        <v>0</v>
      </c>
      <c r="AQ723" s="440">
        <v>0</v>
      </c>
      <c r="AR723" s="440">
        <v>0</v>
      </c>
      <c r="AS723" s="440">
        <v>0</v>
      </c>
      <c r="AT723" s="440">
        <v>0</v>
      </c>
      <c r="AU723" s="440">
        <v>0</v>
      </c>
      <c r="AV723" s="440">
        <v>0</v>
      </c>
      <c r="AW723" s="440">
        <v>0</v>
      </c>
      <c r="AX723" s="440">
        <v>0</v>
      </c>
      <c r="AY723" s="440">
        <v>0</v>
      </c>
      <c r="AZ723" s="440">
        <v>0</v>
      </c>
      <c r="BA723" s="440">
        <v>0</v>
      </c>
      <c r="BB723" s="440">
        <v>0</v>
      </c>
      <c r="BC723" s="440">
        <v>0</v>
      </c>
      <c r="BD723" s="440">
        <v>0</v>
      </c>
      <c r="BE723" s="440">
        <v>0</v>
      </c>
      <c r="BF723" s="440">
        <v>0</v>
      </c>
      <c r="BG723" s="440">
        <v>0</v>
      </c>
      <c r="BH723" s="440">
        <v>0</v>
      </c>
      <c r="BI723" s="440">
        <v>0</v>
      </c>
      <c r="BJ723" s="440">
        <v>0</v>
      </c>
      <c r="BK723" s="440">
        <v>0</v>
      </c>
      <c r="BL723" s="440">
        <v>0</v>
      </c>
      <c r="BM723" s="440">
        <v>0</v>
      </c>
      <c r="BN723" s="440">
        <v>0</v>
      </c>
      <c r="BO723" s="440">
        <v>0</v>
      </c>
      <c r="BP723" s="440">
        <v>0</v>
      </c>
      <c r="BQ723" s="440">
        <v>0</v>
      </c>
      <c r="BR723" s="415">
        <v>0</v>
      </c>
      <c r="BS723" s="415">
        <v>0</v>
      </c>
      <c r="BT723" s="935"/>
      <c r="BU723" s="935"/>
      <c r="BV723" s="935"/>
      <c r="BW723" s="935"/>
      <c r="BX723" s="935"/>
      <c r="BY723" s="935"/>
      <c r="BZ723" s="935"/>
      <c r="CA723" s="935"/>
      <c r="CB723" s="935"/>
      <c r="CC723" s="935"/>
      <c r="CD723" s="935"/>
      <c r="CE723" s="935"/>
      <c r="CF723" s="935"/>
      <c r="CG723" s="935"/>
      <c r="CH723" s="935"/>
      <c r="CI723" s="935"/>
      <c r="CJ723" s="935"/>
      <c r="CK723" s="935"/>
      <c r="CL723" s="935"/>
      <c r="CM723" s="935"/>
      <c r="CN723" s="935"/>
      <c r="CO723" s="935"/>
      <c r="CP723" s="935"/>
      <c r="CQ723" s="935"/>
      <c r="CR723" s="935"/>
      <c r="CS723" s="935"/>
      <c r="CT723" s="935"/>
      <c r="CU723" s="935"/>
      <c r="CV723" s="935"/>
    </row>
    <row r="724" spans="1:100" s="441" customFormat="1">
      <c r="A724" s="375">
        <f t="shared" si="211"/>
        <v>9</v>
      </c>
      <c r="B724" s="862">
        <v>44467</v>
      </c>
      <c r="C724" s="493" t="s">
        <v>3405</v>
      </c>
      <c r="D724" s="376" t="str">
        <f>IFERROR(VLOOKUP(E:E,'Item Data Support Sheet'!A:O,7,0),"")</f>
        <v>BOTTLE MOLDED</v>
      </c>
      <c r="E724" s="447" t="s">
        <v>68</v>
      </c>
      <c r="F724" s="500"/>
      <c r="G724" s="497" t="s">
        <v>1665</v>
      </c>
      <c r="H724" s="602" t="str">
        <f>IFERROR(VLOOKUP(E:E,'Item Data Support Sheet'!A:O,2,0),"")</f>
        <v>RPP 240 ML BOTTLE MOLDED</v>
      </c>
      <c r="I724" s="501" t="s">
        <v>3406</v>
      </c>
      <c r="J724" s="501" t="s">
        <v>2811</v>
      </c>
      <c r="K724" s="438">
        <v>8</v>
      </c>
      <c r="L724" s="499">
        <v>2574</v>
      </c>
      <c r="M724" s="366">
        <f t="shared" si="226"/>
        <v>321.75</v>
      </c>
      <c r="N724" s="367">
        <f t="shared" si="210"/>
        <v>2288</v>
      </c>
      <c r="O724" s="61">
        <v>2160</v>
      </c>
      <c r="P724" s="368">
        <v>0.3</v>
      </c>
      <c r="Q724" s="368">
        <v>51</v>
      </c>
      <c r="R724" s="494">
        <v>0</v>
      </c>
      <c r="S724" s="493">
        <v>0</v>
      </c>
      <c r="T724" s="494">
        <v>69</v>
      </c>
      <c r="U724" s="493">
        <v>8</v>
      </c>
      <c r="V724" s="502">
        <v>1</v>
      </c>
      <c r="W724" s="453">
        <f t="shared" si="212"/>
        <v>2160</v>
      </c>
      <c r="X724" s="748">
        <f t="shared" si="213"/>
        <v>0.83916083916083917</v>
      </c>
      <c r="Y724" s="451" t="str">
        <f>IFERROR(VLOOKUP(E:E,'Item Data Support Sheet'!A:J,6,0),0)</f>
        <v>HMC</v>
      </c>
      <c r="Z724" s="428">
        <f>IFERROR(VLOOKUP(E:E,'Item Data Support Sheet'!A:O,4,0),0)</f>
        <v>32.1</v>
      </c>
      <c r="AA724" s="428">
        <f t="shared" si="214"/>
        <v>73.744800000000012</v>
      </c>
      <c r="AB724" s="429">
        <f t="shared" si="215"/>
        <v>0.94021544569922222</v>
      </c>
      <c r="AC724" s="424">
        <f t="shared" si="216"/>
        <v>3.095558546433378E-2</v>
      </c>
      <c r="AD724" s="371">
        <f t="shared" si="217"/>
        <v>2.1804189824711415E-2</v>
      </c>
      <c r="AE724" s="748">
        <f t="shared" si="218"/>
        <v>0.96984265734265729</v>
      </c>
      <c r="AF724" s="417">
        <f t="shared" si="219"/>
        <v>1.5</v>
      </c>
      <c r="AG724" s="416">
        <f t="shared" si="220"/>
        <v>6.5</v>
      </c>
      <c r="AH724" s="372">
        <f t="shared" si="221"/>
        <v>0.8125</v>
      </c>
      <c r="AI724" s="373">
        <f t="shared" si="222"/>
        <v>270</v>
      </c>
      <c r="AJ724" s="418">
        <f>VLOOKUP(D724,'Standard Cycle time'!C:D,2,0)</f>
        <v>9</v>
      </c>
      <c r="AK724" s="418">
        <f t="shared" si="223"/>
        <v>10.833333333333334</v>
      </c>
      <c r="AL724" s="374">
        <f t="shared" si="224"/>
        <v>0.8307692307692307</v>
      </c>
      <c r="AM724" s="372">
        <f t="shared" si="225"/>
        <v>0.65464379370629355</v>
      </c>
      <c r="AN724" s="799">
        <v>3695</v>
      </c>
      <c r="AO724" s="448" t="s">
        <v>3407</v>
      </c>
      <c r="AP724" s="440">
        <v>0</v>
      </c>
      <c r="AQ724" s="440">
        <v>0</v>
      </c>
      <c r="AR724" s="440">
        <v>0</v>
      </c>
      <c r="AS724" s="440">
        <v>0</v>
      </c>
      <c r="AT724" s="440">
        <v>0</v>
      </c>
      <c r="AU724" s="440">
        <v>0</v>
      </c>
      <c r="AV724" s="440">
        <v>0</v>
      </c>
      <c r="AW724" s="440">
        <v>90</v>
      </c>
      <c r="AX724" s="440">
        <v>0</v>
      </c>
      <c r="AY724" s="440">
        <v>0</v>
      </c>
      <c r="AZ724" s="440">
        <v>0</v>
      </c>
      <c r="BA724" s="440">
        <v>0</v>
      </c>
      <c r="BB724" s="440">
        <v>0</v>
      </c>
      <c r="BC724" s="440">
        <v>0</v>
      </c>
      <c r="BD724" s="440">
        <v>0</v>
      </c>
      <c r="BE724" s="440">
        <v>0</v>
      </c>
      <c r="BF724" s="440">
        <v>0</v>
      </c>
      <c r="BG724" s="440">
        <v>0</v>
      </c>
      <c r="BH724" s="440">
        <v>0</v>
      </c>
      <c r="BI724" s="440">
        <v>0</v>
      </c>
      <c r="BJ724" s="440">
        <v>0</v>
      </c>
      <c r="BK724" s="440">
        <v>0</v>
      </c>
      <c r="BL724" s="440">
        <v>0</v>
      </c>
      <c r="BM724" s="440">
        <v>0</v>
      </c>
      <c r="BN724" s="440">
        <v>0</v>
      </c>
      <c r="BO724" s="440">
        <v>0</v>
      </c>
      <c r="BP724" s="440">
        <v>0</v>
      </c>
      <c r="BQ724" s="440">
        <v>0</v>
      </c>
      <c r="BR724" s="415">
        <v>1.5</v>
      </c>
      <c r="BS724" s="415">
        <v>1.5249999999999999</v>
      </c>
      <c r="BT724" s="935"/>
      <c r="BU724" s="935"/>
      <c r="BV724" s="935"/>
      <c r="BW724" s="935"/>
      <c r="BX724" s="935"/>
      <c r="BY724" s="935"/>
      <c r="BZ724" s="935"/>
      <c r="CA724" s="935"/>
      <c r="CB724" s="935"/>
      <c r="CC724" s="935"/>
      <c r="CD724" s="935"/>
      <c r="CE724" s="935"/>
      <c r="CF724" s="935"/>
      <c r="CG724" s="935"/>
      <c r="CH724" s="935"/>
      <c r="CI724" s="935"/>
      <c r="CJ724" s="935"/>
      <c r="CK724" s="935"/>
      <c r="CL724" s="935"/>
      <c r="CM724" s="935"/>
      <c r="CN724" s="935"/>
      <c r="CO724" s="935"/>
      <c r="CP724" s="935"/>
      <c r="CQ724" s="935"/>
      <c r="CR724" s="935"/>
      <c r="CS724" s="935"/>
      <c r="CT724" s="935"/>
      <c r="CU724" s="935"/>
      <c r="CV724" s="935"/>
    </row>
    <row r="725" spans="1:100" s="441" customFormat="1">
      <c r="A725" s="375">
        <f t="shared" si="211"/>
        <v>9</v>
      </c>
      <c r="B725" s="862">
        <v>44467</v>
      </c>
      <c r="C725" s="493" t="s">
        <v>3405</v>
      </c>
      <c r="D725" s="376" t="str">
        <f>IFERROR(VLOOKUP(E:E,'Item Data Support Sheet'!A:O,7,0),"")</f>
        <v>NIPPLE PUNCH</v>
      </c>
      <c r="E725" s="447" t="s">
        <v>2486</v>
      </c>
      <c r="F725" s="500"/>
      <c r="G725" s="497"/>
      <c r="H725" s="602" t="str">
        <f>IFERROR(VLOOKUP(E:E,'Item Data Support Sheet'!A:O,2,0),"")</f>
        <v>NIPPLE S TYPE LL SIZE PUNCHED</v>
      </c>
      <c r="I725" s="501" t="s">
        <v>3408</v>
      </c>
      <c r="J725" s="501" t="s">
        <v>2811</v>
      </c>
      <c r="K725" s="438">
        <v>8</v>
      </c>
      <c r="L725" s="499">
        <v>7000</v>
      </c>
      <c r="M725" s="366">
        <f t="shared" si="226"/>
        <v>875</v>
      </c>
      <c r="N725" s="367">
        <f t="shared" si="210"/>
        <v>7040</v>
      </c>
      <c r="O725" s="61">
        <v>7040</v>
      </c>
      <c r="P725" s="368">
        <v>0</v>
      </c>
      <c r="Q725" s="368">
        <v>0</v>
      </c>
      <c r="R725" s="494">
        <v>0</v>
      </c>
      <c r="S725" s="493">
        <v>0</v>
      </c>
      <c r="T725" s="494">
        <v>0</v>
      </c>
      <c r="U725" s="493">
        <v>0</v>
      </c>
      <c r="V725" s="502">
        <v>1</v>
      </c>
      <c r="W725" s="453">
        <f t="shared" si="212"/>
        <v>7040</v>
      </c>
      <c r="X725" s="748">
        <f t="shared" si="213"/>
        <v>1.0057142857142858</v>
      </c>
      <c r="Y725" s="451" t="str">
        <f>IFERROR(VLOOKUP(E:E,'Item Data Support Sheet'!A:J,6,0),0)</f>
        <v>FO150</v>
      </c>
      <c r="Z725" s="428">
        <f>IFERROR(VLOOKUP(E:E,'Item Data Support Sheet'!A:O,4,0),0)</f>
        <v>0</v>
      </c>
      <c r="AA725" s="428">
        <f t="shared" si="214"/>
        <v>0</v>
      </c>
      <c r="AB725" s="429" t="str">
        <f t="shared" si="215"/>
        <v xml:space="preserve"> </v>
      </c>
      <c r="AC725" s="424">
        <f t="shared" si="216"/>
        <v>0</v>
      </c>
      <c r="AD725" s="371">
        <f t="shared" si="217"/>
        <v>0</v>
      </c>
      <c r="AE725" s="748">
        <f t="shared" si="218"/>
        <v>1</v>
      </c>
      <c r="AF725" s="417">
        <f t="shared" si="219"/>
        <v>0.66666666666666663</v>
      </c>
      <c r="AG725" s="416">
        <f t="shared" si="220"/>
        <v>7.333333333333333</v>
      </c>
      <c r="AH725" s="372">
        <f t="shared" si="221"/>
        <v>0.91666666666666663</v>
      </c>
      <c r="AI725" s="373">
        <f t="shared" si="222"/>
        <v>880</v>
      </c>
      <c r="AJ725" s="418">
        <f>VLOOKUP(D725,'Standard Cycle time'!C:D,2,0)</f>
        <v>3.5</v>
      </c>
      <c r="AK725" s="418">
        <f t="shared" si="223"/>
        <v>3.75</v>
      </c>
      <c r="AL725" s="374">
        <f t="shared" si="224"/>
        <v>0.93333333333333335</v>
      </c>
      <c r="AM725" s="372">
        <f t="shared" si="225"/>
        <v>0.85555555555555551</v>
      </c>
      <c r="AN725" s="799" t="s">
        <v>3409</v>
      </c>
      <c r="AO725" s="448"/>
      <c r="AP725" s="440">
        <v>40</v>
      </c>
      <c r="AQ725" s="440">
        <v>0</v>
      </c>
      <c r="AR725" s="440">
        <v>0</v>
      </c>
      <c r="AS725" s="440">
        <v>0</v>
      </c>
      <c r="AT725" s="440">
        <v>0</v>
      </c>
      <c r="AU725" s="440">
        <v>0</v>
      </c>
      <c r="AV725" s="440">
        <v>0</v>
      </c>
      <c r="AW725" s="440">
        <v>0</v>
      </c>
      <c r="AX725" s="440">
        <v>0</v>
      </c>
      <c r="AY725" s="440">
        <v>0</v>
      </c>
      <c r="AZ725" s="440">
        <v>0</v>
      </c>
      <c r="BA725" s="440">
        <v>0</v>
      </c>
      <c r="BB725" s="440">
        <v>0</v>
      </c>
      <c r="BC725" s="440">
        <v>0</v>
      </c>
      <c r="BD725" s="440">
        <v>0</v>
      </c>
      <c r="BE725" s="440">
        <v>0</v>
      </c>
      <c r="BF725" s="440">
        <v>0</v>
      </c>
      <c r="BG725" s="440">
        <v>0</v>
      </c>
      <c r="BH725" s="440">
        <v>0</v>
      </c>
      <c r="BI725" s="440">
        <v>0</v>
      </c>
      <c r="BJ725" s="440">
        <v>0</v>
      </c>
      <c r="BK725" s="440">
        <v>0</v>
      </c>
      <c r="BL725" s="440">
        <v>0</v>
      </c>
      <c r="BM725" s="440">
        <v>0</v>
      </c>
      <c r="BN725" s="440">
        <v>0</v>
      </c>
      <c r="BO725" s="440">
        <v>0</v>
      </c>
      <c r="BP725" s="440">
        <v>0</v>
      </c>
      <c r="BQ725" s="440">
        <v>0</v>
      </c>
      <c r="BR725" s="415">
        <v>0.66666666666666663</v>
      </c>
      <c r="BS725" s="415">
        <v>0.6777777777777777</v>
      </c>
      <c r="BT725" s="935"/>
      <c r="BU725" s="935"/>
      <c r="BV725" s="935"/>
      <c r="BW725" s="935"/>
      <c r="BX725" s="935"/>
      <c r="BY725" s="935"/>
      <c r="BZ725" s="935"/>
      <c r="CA725" s="935"/>
      <c r="CB725" s="935"/>
      <c r="CC725" s="935"/>
      <c r="CD725" s="935"/>
      <c r="CE725" s="935"/>
      <c r="CF725" s="935"/>
      <c r="CG725" s="935"/>
      <c r="CH725" s="935"/>
      <c r="CI725" s="935"/>
      <c r="CJ725" s="935"/>
      <c r="CK725" s="935"/>
      <c r="CL725" s="935"/>
      <c r="CM725" s="935"/>
      <c r="CN725" s="935"/>
      <c r="CO725" s="935"/>
      <c r="CP725" s="935"/>
      <c r="CQ725" s="935"/>
      <c r="CR725" s="935"/>
      <c r="CS725" s="935"/>
      <c r="CT725" s="935"/>
      <c r="CU725" s="935"/>
      <c r="CV725" s="935"/>
    </row>
    <row r="726" spans="1:100" s="441" customFormat="1">
      <c r="A726" s="375">
        <f t="shared" si="211"/>
        <v>9</v>
      </c>
      <c r="B726" s="862">
        <v>44467</v>
      </c>
      <c r="C726" s="493" t="s">
        <v>3405</v>
      </c>
      <c r="D726" s="376" t="str">
        <f>IFERROR(VLOOKUP(E:E,'Item Data Support Sheet'!A:O,7,0),"")</f>
        <v>NIPPLE LASER MARKING</v>
      </c>
      <c r="E726" s="447" t="s">
        <v>1816</v>
      </c>
      <c r="F726" s="500"/>
      <c r="G726" s="497"/>
      <c r="H726" s="602" t="str">
        <f>IFERROR(VLOOKUP(E:E,'Item Data Support Sheet'!A:O,2,0),"")</f>
        <v>NIPPLE S TYPE L SIZE PUNCHED LASER MARKED</v>
      </c>
      <c r="I726" s="501"/>
      <c r="J726" s="501" t="s">
        <v>2811</v>
      </c>
      <c r="K726" s="438">
        <v>8</v>
      </c>
      <c r="L726" s="499">
        <v>7000</v>
      </c>
      <c r="M726" s="366">
        <f t="shared" si="226"/>
        <v>875</v>
      </c>
      <c r="N726" s="367">
        <f t="shared" si="210"/>
        <v>6850</v>
      </c>
      <c r="O726" s="61">
        <v>6850</v>
      </c>
      <c r="P726" s="368">
        <v>0</v>
      </c>
      <c r="Q726" s="368">
        <v>0</v>
      </c>
      <c r="R726" s="494">
        <v>0</v>
      </c>
      <c r="S726" s="493">
        <v>0</v>
      </c>
      <c r="T726" s="494">
        <v>0</v>
      </c>
      <c r="U726" s="493">
        <v>0</v>
      </c>
      <c r="V726" s="502">
        <v>1</v>
      </c>
      <c r="W726" s="453">
        <f t="shared" si="212"/>
        <v>6850</v>
      </c>
      <c r="X726" s="748">
        <f t="shared" si="213"/>
        <v>0.97857142857142854</v>
      </c>
      <c r="Y726" s="451" t="str">
        <f>IFERROR(VLOOKUP(E:E,'Item Data Support Sheet'!A:J,6,0),0)</f>
        <v>FO021</v>
      </c>
      <c r="Z726" s="428">
        <f>IFERROR(VLOOKUP(E:E,'Item Data Support Sheet'!A:O,4,0),0)</f>
        <v>0</v>
      </c>
      <c r="AA726" s="428">
        <f t="shared" si="214"/>
        <v>0</v>
      </c>
      <c r="AB726" s="429" t="str">
        <f t="shared" si="215"/>
        <v xml:space="preserve"> </v>
      </c>
      <c r="AC726" s="424">
        <f t="shared" si="216"/>
        <v>0</v>
      </c>
      <c r="AD726" s="371">
        <f t="shared" si="217"/>
        <v>0</v>
      </c>
      <c r="AE726" s="748">
        <f t="shared" si="218"/>
        <v>1</v>
      </c>
      <c r="AF726" s="417">
        <f t="shared" si="219"/>
        <v>0.66666666666666663</v>
      </c>
      <c r="AG726" s="416">
        <f t="shared" si="220"/>
        <v>7.333333333333333</v>
      </c>
      <c r="AH726" s="372">
        <f t="shared" si="221"/>
        <v>0.91666666666666663</v>
      </c>
      <c r="AI726" s="373">
        <f t="shared" si="222"/>
        <v>856.25</v>
      </c>
      <c r="AJ726" s="418">
        <f>VLOOKUP(D726,'Standard Cycle time'!C:D,2,0)</f>
        <v>3.5</v>
      </c>
      <c r="AK726" s="418">
        <f t="shared" si="223"/>
        <v>3.8540145985401462</v>
      </c>
      <c r="AL726" s="374">
        <f t="shared" si="224"/>
        <v>0.90814393939393934</v>
      </c>
      <c r="AM726" s="372">
        <f t="shared" si="225"/>
        <v>0.83246527777777768</v>
      </c>
      <c r="AN726" s="799" t="s">
        <v>3410</v>
      </c>
      <c r="AO726" s="448"/>
      <c r="AP726" s="440">
        <v>40</v>
      </c>
      <c r="AQ726" s="440">
        <v>0</v>
      </c>
      <c r="AR726" s="440">
        <v>0</v>
      </c>
      <c r="AS726" s="440">
        <v>0</v>
      </c>
      <c r="AT726" s="440">
        <v>0</v>
      </c>
      <c r="AU726" s="440">
        <v>0</v>
      </c>
      <c r="AV726" s="440">
        <v>0</v>
      </c>
      <c r="AW726" s="440">
        <v>0</v>
      </c>
      <c r="AX726" s="440">
        <v>0</v>
      </c>
      <c r="AY726" s="440">
        <v>0</v>
      </c>
      <c r="AZ726" s="440">
        <v>0</v>
      </c>
      <c r="BA726" s="440">
        <v>0</v>
      </c>
      <c r="BB726" s="440">
        <v>0</v>
      </c>
      <c r="BC726" s="440">
        <v>0</v>
      </c>
      <c r="BD726" s="440">
        <v>0</v>
      </c>
      <c r="BE726" s="440">
        <v>0</v>
      </c>
      <c r="BF726" s="440">
        <v>0</v>
      </c>
      <c r="BG726" s="440">
        <v>0</v>
      </c>
      <c r="BH726" s="440">
        <v>0</v>
      </c>
      <c r="BI726" s="440">
        <v>0</v>
      </c>
      <c r="BJ726" s="440">
        <v>0</v>
      </c>
      <c r="BK726" s="440">
        <v>0</v>
      </c>
      <c r="BL726" s="440">
        <v>0</v>
      </c>
      <c r="BM726" s="440">
        <v>0</v>
      </c>
      <c r="BN726" s="440">
        <v>0</v>
      </c>
      <c r="BO726" s="440">
        <v>0</v>
      </c>
      <c r="BP726" s="440">
        <v>0</v>
      </c>
      <c r="BQ726" s="440">
        <v>0</v>
      </c>
      <c r="BR726" s="415">
        <v>0.66666666666666663</v>
      </c>
      <c r="BS726" s="415">
        <v>0.6777777777777777</v>
      </c>
      <c r="BT726" s="935"/>
      <c r="BU726" s="935"/>
      <c r="BV726" s="935"/>
      <c r="BW726" s="935"/>
      <c r="BX726" s="935"/>
      <c r="BY726" s="935"/>
      <c r="BZ726" s="935"/>
      <c r="CA726" s="935"/>
      <c r="CB726" s="935"/>
      <c r="CC726" s="935"/>
      <c r="CD726" s="935"/>
      <c r="CE726" s="935"/>
      <c r="CF726" s="935"/>
      <c r="CG726" s="935"/>
      <c r="CH726" s="935"/>
      <c r="CI726" s="935"/>
      <c r="CJ726" s="935"/>
      <c r="CK726" s="935"/>
      <c r="CL726" s="935"/>
      <c r="CM726" s="935"/>
      <c r="CN726" s="935"/>
      <c r="CO726" s="935"/>
      <c r="CP726" s="935"/>
      <c r="CQ726" s="935"/>
      <c r="CR726" s="935"/>
      <c r="CS726" s="935"/>
      <c r="CT726" s="935"/>
      <c r="CU726" s="935"/>
      <c r="CV726" s="935"/>
    </row>
    <row r="727" spans="1:100" s="441" customFormat="1">
      <c r="A727" s="375">
        <f t="shared" si="211"/>
        <v>9</v>
      </c>
      <c r="B727" s="862">
        <v>44467</v>
      </c>
      <c r="C727" s="493" t="s">
        <v>3405</v>
      </c>
      <c r="D727" s="376" t="str">
        <f>IFERROR(VLOOKUP(E:E,'Item Data Support Sheet'!A:O,7,0),"")</f>
        <v>CAP MOLDED</v>
      </c>
      <c r="E727" s="447" t="s">
        <v>2108</v>
      </c>
      <c r="F727" s="500"/>
      <c r="G727" s="497" t="s">
        <v>3212</v>
      </c>
      <c r="H727" s="602" t="str">
        <f>IFERROR(VLOOKUP(E:E,'Item Data Support Sheet'!A:O,2,0),"")</f>
        <v>CAP S TYPE MOLDED BLUE</v>
      </c>
      <c r="I727" s="501" t="s">
        <v>3411</v>
      </c>
      <c r="J727" s="501" t="s">
        <v>2811</v>
      </c>
      <c r="K727" s="438">
        <v>4</v>
      </c>
      <c r="L727" s="499">
        <v>2074</v>
      </c>
      <c r="M727" s="366">
        <f t="shared" si="226"/>
        <v>518.5</v>
      </c>
      <c r="N727" s="367">
        <f t="shared" si="210"/>
        <v>2640</v>
      </c>
      <c r="O727" s="61">
        <v>2640</v>
      </c>
      <c r="P727" s="368">
        <v>0</v>
      </c>
      <c r="Q727" s="368">
        <v>0</v>
      </c>
      <c r="R727" s="494">
        <v>0</v>
      </c>
      <c r="S727" s="493">
        <v>0</v>
      </c>
      <c r="T727" s="494">
        <v>0</v>
      </c>
      <c r="U727" s="493">
        <v>0</v>
      </c>
      <c r="V727" s="502">
        <v>1</v>
      </c>
      <c r="W727" s="453">
        <f t="shared" si="212"/>
        <v>2640</v>
      </c>
      <c r="X727" s="748">
        <f t="shared" si="213"/>
        <v>1.2729026036644167</v>
      </c>
      <c r="Y727" s="451" t="str">
        <f>IFERROR(VLOOKUP(E:E,'Item Data Support Sheet'!A:J,6,0),0)</f>
        <v>RM000114</v>
      </c>
      <c r="Z727" s="428">
        <f>IFERROR(VLOOKUP(E:E,'Item Data Support Sheet'!A:O,4,0),0)</f>
        <v>7.3</v>
      </c>
      <c r="AA727" s="428">
        <f t="shared" si="214"/>
        <v>19.271999999999998</v>
      </c>
      <c r="AB727" s="429">
        <f t="shared" si="215"/>
        <v>1</v>
      </c>
      <c r="AC727" s="424">
        <f t="shared" si="216"/>
        <v>0</v>
      </c>
      <c r="AD727" s="371">
        <f t="shared" si="217"/>
        <v>0</v>
      </c>
      <c r="AE727" s="748">
        <f t="shared" si="218"/>
        <v>1</v>
      </c>
      <c r="AF727" s="417">
        <f t="shared" si="219"/>
        <v>0</v>
      </c>
      <c r="AG727" s="416">
        <f t="shared" si="220"/>
        <v>4</v>
      </c>
      <c r="AH727" s="372">
        <f t="shared" si="221"/>
        <v>1</v>
      </c>
      <c r="AI727" s="373">
        <f t="shared" si="222"/>
        <v>660</v>
      </c>
      <c r="AJ727" s="418">
        <f>VLOOKUP(D727,'Standard Cycle time'!C:D,2,0)</f>
        <v>6</v>
      </c>
      <c r="AK727" s="418">
        <f t="shared" si="223"/>
        <v>5.4545454545454541</v>
      </c>
      <c r="AL727" s="374">
        <f t="shared" si="224"/>
        <v>1.1000000000000001</v>
      </c>
      <c r="AM727" s="372">
        <f t="shared" si="225"/>
        <v>1.1000000000000001</v>
      </c>
      <c r="AN727" s="799">
        <v>3683</v>
      </c>
      <c r="AO727" s="448" t="s">
        <v>3412</v>
      </c>
      <c r="AP727" s="440">
        <v>0</v>
      </c>
      <c r="AQ727" s="440">
        <v>0</v>
      </c>
      <c r="AR727" s="440">
        <v>0</v>
      </c>
      <c r="AS727" s="440">
        <v>0</v>
      </c>
      <c r="AT727" s="440">
        <v>0</v>
      </c>
      <c r="AU727" s="440">
        <v>0</v>
      </c>
      <c r="AV727" s="440">
        <v>0</v>
      </c>
      <c r="AW727" s="440">
        <v>0</v>
      </c>
      <c r="AX727" s="440">
        <v>0</v>
      </c>
      <c r="AY727" s="440">
        <v>0</v>
      </c>
      <c r="AZ727" s="440">
        <v>0</v>
      </c>
      <c r="BA727" s="440">
        <v>0</v>
      </c>
      <c r="BB727" s="440">
        <v>0</v>
      </c>
      <c r="BC727" s="440">
        <v>0</v>
      </c>
      <c r="BD727" s="440">
        <v>0</v>
      </c>
      <c r="BE727" s="440">
        <v>0</v>
      </c>
      <c r="BF727" s="440">
        <v>0</v>
      </c>
      <c r="BG727" s="440">
        <v>0</v>
      </c>
      <c r="BH727" s="440">
        <v>0</v>
      </c>
      <c r="BI727" s="440">
        <v>0</v>
      </c>
      <c r="BJ727" s="440">
        <v>0</v>
      </c>
      <c r="BK727" s="440">
        <v>0</v>
      </c>
      <c r="BL727" s="440">
        <v>0</v>
      </c>
      <c r="BM727" s="440">
        <v>0</v>
      </c>
      <c r="BN727" s="440">
        <v>0</v>
      </c>
      <c r="BO727" s="440">
        <v>0</v>
      </c>
      <c r="BP727" s="440">
        <v>0</v>
      </c>
      <c r="BQ727" s="440">
        <v>0</v>
      </c>
      <c r="BR727" s="415">
        <v>0</v>
      </c>
      <c r="BS727" s="415">
        <v>0</v>
      </c>
      <c r="BT727" s="935"/>
      <c r="BU727" s="935"/>
      <c r="BV727" s="935"/>
      <c r="BW727" s="935"/>
      <c r="BX727" s="935"/>
      <c r="BY727" s="935"/>
      <c r="BZ727" s="935"/>
      <c r="CA727" s="935"/>
      <c r="CB727" s="935"/>
      <c r="CC727" s="935"/>
      <c r="CD727" s="935"/>
      <c r="CE727" s="935"/>
      <c r="CF727" s="935"/>
      <c r="CG727" s="935"/>
      <c r="CH727" s="935"/>
      <c r="CI727" s="935"/>
      <c r="CJ727" s="935"/>
      <c r="CK727" s="935"/>
      <c r="CL727" s="935"/>
      <c r="CM727" s="935"/>
      <c r="CN727" s="935"/>
      <c r="CO727" s="935"/>
      <c r="CP727" s="935"/>
      <c r="CQ727" s="935"/>
      <c r="CR727" s="935"/>
      <c r="CS727" s="935"/>
      <c r="CT727" s="935"/>
      <c r="CU727" s="935"/>
      <c r="CV727" s="935"/>
    </row>
    <row r="728" spans="1:100" s="441" customFormat="1">
      <c r="A728" s="375">
        <f t="shared" si="211"/>
        <v>9</v>
      </c>
      <c r="B728" s="862">
        <v>44467</v>
      </c>
      <c r="C728" s="493" t="s">
        <v>3405</v>
      </c>
      <c r="D728" s="376" t="str">
        <f>IFERROR(VLOOKUP(E:E,'Item Data Support Sheet'!A:O,7,0),"")</f>
        <v>CAP MOLDED</v>
      </c>
      <c r="E728" s="447" t="s">
        <v>2108</v>
      </c>
      <c r="F728" s="500"/>
      <c r="G728" s="497" t="s">
        <v>3208</v>
      </c>
      <c r="H728" s="602" t="str">
        <f>IFERROR(VLOOKUP(E:E,'Item Data Support Sheet'!A:O,2,0),"")</f>
        <v>CAP S TYPE MOLDED BLUE</v>
      </c>
      <c r="I728" s="501" t="s">
        <v>3413</v>
      </c>
      <c r="J728" s="501" t="s">
        <v>2811</v>
      </c>
      <c r="K728" s="438">
        <v>4</v>
      </c>
      <c r="L728" s="499">
        <v>2074</v>
      </c>
      <c r="M728" s="366">
        <f t="shared" si="226"/>
        <v>518.5</v>
      </c>
      <c r="N728" s="367">
        <f t="shared" si="210"/>
        <v>1312</v>
      </c>
      <c r="O728" s="61">
        <v>1300</v>
      </c>
      <c r="P728" s="368">
        <v>0</v>
      </c>
      <c r="Q728" s="368">
        <v>0</v>
      </c>
      <c r="R728" s="494">
        <v>0</v>
      </c>
      <c r="S728" s="493">
        <v>0</v>
      </c>
      <c r="T728" s="494">
        <v>4</v>
      </c>
      <c r="U728" s="493">
        <v>8</v>
      </c>
      <c r="V728" s="502">
        <v>1</v>
      </c>
      <c r="W728" s="453">
        <f t="shared" si="212"/>
        <v>1300</v>
      </c>
      <c r="X728" s="748">
        <f t="shared" si="213"/>
        <v>0.62680810028929601</v>
      </c>
      <c r="Y728" s="451" t="str">
        <f>IFERROR(VLOOKUP(E:E,'Item Data Support Sheet'!A:J,6,0),0)</f>
        <v>RM000114</v>
      </c>
      <c r="Z728" s="428">
        <f>IFERROR(VLOOKUP(E:E,'Item Data Support Sheet'!A:O,4,0),0)</f>
        <v>7.3</v>
      </c>
      <c r="AA728" s="428">
        <f t="shared" si="214"/>
        <v>9.5776000000000003</v>
      </c>
      <c r="AB728" s="429">
        <f t="shared" si="215"/>
        <v>0.99085365853658536</v>
      </c>
      <c r="AC728" s="424">
        <f t="shared" si="216"/>
        <v>3.0674846625766872E-3</v>
      </c>
      <c r="AD728" s="371">
        <f t="shared" si="217"/>
        <v>0</v>
      </c>
      <c r="AE728" s="748">
        <f t="shared" si="218"/>
        <v>0.99695121951219512</v>
      </c>
      <c r="AF728" s="417">
        <f t="shared" si="219"/>
        <v>1.6666666666666667</v>
      </c>
      <c r="AG728" s="416">
        <f t="shared" si="220"/>
        <v>2.333333333333333</v>
      </c>
      <c r="AH728" s="372">
        <f t="shared" si="221"/>
        <v>0.58333333333333326</v>
      </c>
      <c r="AI728" s="373">
        <f t="shared" si="222"/>
        <v>325</v>
      </c>
      <c r="AJ728" s="418">
        <f>VLOOKUP(D728,'Standard Cycle time'!C:D,2,0)</f>
        <v>6</v>
      </c>
      <c r="AK728" s="418">
        <f t="shared" si="223"/>
        <v>6.4615384615384599</v>
      </c>
      <c r="AL728" s="374">
        <f t="shared" si="224"/>
        <v>0.92857142857142883</v>
      </c>
      <c r="AM728" s="372">
        <f t="shared" si="225"/>
        <v>0.54001524390243916</v>
      </c>
      <c r="AN728" s="799">
        <v>3684</v>
      </c>
      <c r="AO728" s="448"/>
      <c r="AP728" s="440">
        <v>0</v>
      </c>
      <c r="AQ728" s="440">
        <v>0</v>
      </c>
      <c r="AR728" s="440">
        <v>0</v>
      </c>
      <c r="AS728" s="440">
        <v>0</v>
      </c>
      <c r="AT728" s="440">
        <v>0</v>
      </c>
      <c r="AU728" s="440">
        <v>0</v>
      </c>
      <c r="AV728" s="440">
        <v>60</v>
      </c>
      <c r="AW728" s="440">
        <v>40</v>
      </c>
      <c r="AX728" s="440">
        <v>0</v>
      </c>
      <c r="AY728" s="440">
        <v>0</v>
      </c>
      <c r="AZ728" s="440">
        <v>0</v>
      </c>
      <c r="BA728" s="440">
        <v>0</v>
      </c>
      <c r="BB728" s="440">
        <v>0</v>
      </c>
      <c r="BC728" s="440">
        <v>0</v>
      </c>
      <c r="BD728" s="440">
        <v>0</v>
      </c>
      <c r="BE728" s="440">
        <v>0</v>
      </c>
      <c r="BF728" s="440">
        <v>0</v>
      </c>
      <c r="BG728" s="440">
        <v>0</v>
      </c>
      <c r="BH728" s="440">
        <v>0</v>
      </c>
      <c r="BI728" s="440">
        <v>0</v>
      </c>
      <c r="BJ728" s="440">
        <v>0</v>
      </c>
      <c r="BK728" s="440">
        <v>0</v>
      </c>
      <c r="BL728" s="440">
        <v>0</v>
      </c>
      <c r="BM728" s="440">
        <v>0</v>
      </c>
      <c r="BN728" s="440">
        <v>0</v>
      </c>
      <c r="BO728" s="440">
        <v>0</v>
      </c>
      <c r="BP728" s="440">
        <v>0</v>
      </c>
      <c r="BQ728" s="440">
        <v>0</v>
      </c>
      <c r="BR728" s="415">
        <v>1.6666666666666667</v>
      </c>
      <c r="BS728" s="415">
        <v>1.6944444444444444</v>
      </c>
      <c r="BT728" s="935"/>
      <c r="BU728" s="935"/>
      <c r="BV728" s="935"/>
      <c r="BW728" s="935"/>
      <c r="BX728" s="935"/>
      <c r="BY728" s="935"/>
      <c r="BZ728" s="935"/>
      <c r="CA728" s="935"/>
      <c r="CB728" s="935"/>
      <c r="CC728" s="935"/>
      <c r="CD728" s="935"/>
      <c r="CE728" s="935"/>
      <c r="CF728" s="935"/>
      <c r="CG728" s="935"/>
      <c r="CH728" s="935"/>
      <c r="CI728" s="935"/>
      <c r="CJ728" s="935"/>
      <c r="CK728" s="935"/>
      <c r="CL728" s="935"/>
      <c r="CM728" s="935"/>
      <c r="CN728" s="935"/>
      <c r="CO728" s="935"/>
      <c r="CP728" s="935"/>
      <c r="CQ728" s="935"/>
      <c r="CR728" s="935"/>
      <c r="CS728" s="935"/>
      <c r="CT728" s="935"/>
      <c r="CU728" s="935"/>
      <c r="CV728" s="935"/>
    </row>
    <row r="729" spans="1:100" s="441" customFormat="1">
      <c r="A729" s="375">
        <f t="shared" si="211"/>
        <v>9</v>
      </c>
      <c r="B729" s="862">
        <v>44467</v>
      </c>
      <c r="C729" s="493" t="s">
        <v>3405</v>
      </c>
      <c r="D729" s="376" t="str">
        <f>IFERROR(VLOOKUP(E:E,'Item Data Support Sheet'!A:O,7,0),"")</f>
        <v>NIPPLE MOLDED</v>
      </c>
      <c r="E729" s="447" t="s">
        <v>2484</v>
      </c>
      <c r="F729" s="500" t="s">
        <v>1678</v>
      </c>
      <c r="G729" s="497" t="s">
        <v>1691</v>
      </c>
      <c r="H729" s="602" t="str">
        <f>IFERROR(VLOOKUP(E:E,'Item Data Support Sheet'!A:O,2,0),"")</f>
        <v>NIPPLE S TYPE LL SIZE INJECTION</v>
      </c>
      <c r="I729" s="501" t="s">
        <v>3414</v>
      </c>
      <c r="J729" s="501" t="s">
        <v>2811</v>
      </c>
      <c r="K729" s="438">
        <v>1</v>
      </c>
      <c r="L729" s="499">
        <v>1204</v>
      </c>
      <c r="M729" s="366">
        <f t="shared" si="226"/>
        <v>1204</v>
      </c>
      <c r="N729" s="367">
        <f t="shared" si="210"/>
        <v>1310</v>
      </c>
      <c r="O729" s="61">
        <v>500</v>
      </c>
      <c r="P729" s="368">
        <v>0</v>
      </c>
      <c r="Q729" s="368">
        <v>700</v>
      </c>
      <c r="R729" s="494">
        <v>0</v>
      </c>
      <c r="S729" s="493">
        <v>0</v>
      </c>
      <c r="T729" s="494">
        <v>110</v>
      </c>
      <c r="U729" s="493">
        <v>0</v>
      </c>
      <c r="V729" s="502">
        <v>1</v>
      </c>
      <c r="W729" s="453">
        <f t="shared" si="212"/>
        <v>500</v>
      </c>
      <c r="X729" s="748">
        <f t="shared" si="213"/>
        <v>0.41528239202657807</v>
      </c>
      <c r="Y729" s="451" t="str">
        <f>IFERROR(VLOOKUP(E:E,'Item Data Support Sheet'!A:J,6,0),0)</f>
        <v>FO148</v>
      </c>
      <c r="Z729" s="428">
        <f>IFERROR(VLOOKUP(E:E,'Item Data Support Sheet'!A:O,4,0),0)</f>
        <v>6.8</v>
      </c>
      <c r="AA729" s="428">
        <f t="shared" si="214"/>
        <v>8.9079999999999995</v>
      </c>
      <c r="AB729" s="429">
        <f t="shared" si="215"/>
        <v>0.38167938931297712</v>
      </c>
      <c r="AC729" s="424">
        <f t="shared" si="216"/>
        <v>0.18032786885245902</v>
      </c>
      <c r="AD729" s="371">
        <f t="shared" si="217"/>
        <v>0.34825870646766172</v>
      </c>
      <c r="AE729" s="748">
        <f t="shared" si="218"/>
        <v>0.91603053435114501</v>
      </c>
      <c r="AF729" s="417">
        <f t="shared" si="219"/>
        <v>0.25</v>
      </c>
      <c r="AG729" s="416">
        <f t="shared" si="220"/>
        <v>0.75</v>
      </c>
      <c r="AH729" s="372">
        <f t="shared" si="221"/>
        <v>0.75</v>
      </c>
      <c r="AI729" s="373">
        <f t="shared" si="222"/>
        <v>500</v>
      </c>
      <c r="AJ729" s="418">
        <f>VLOOKUP(D729,'Standard Cycle time'!C:D,2,0)</f>
        <v>5.25</v>
      </c>
      <c r="AK729" s="418">
        <f t="shared" si="223"/>
        <v>5.4</v>
      </c>
      <c r="AL729" s="374">
        <f t="shared" si="224"/>
        <v>0.97222222222222221</v>
      </c>
      <c r="AM729" s="372">
        <f t="shared" si="225"/>
        <v>0.66793893129770987</v>
      </c>
      <c r="AN729" s="799">
        <v>3685</v>
      </c>
      <c r="AO729" s="448" t="s">
        <v>3415</v>
      </c>
      <c r="AP729" s="440">
        <v>0</v>
      </c>
      <c r="AQ729" s="440">
        <v>0</v>
      </c>
      <c r="AR729" s="440">
        <v>0</v>
      </c>
      <c r="AS729" s="440">
        <v>0</v>
      </c>
      <c r="AT729" s="440">
        <v>0</v>
      </c>
      <c r="AU729" s="440">
        <v>0</v>
      </c>
      <c r="AV729" s="440">
        <v>15</v>
      </c>
      <c r="AW729" s="440">
        <v>0</v>
      </c>
      <c r="AX729" s="440">
        <v>0</v>
      </c>
      <c r="AY729" s="440">
        <v>0</v>
      </c>
      <c r="AZ729" s="440">
        <v>0</v>
      </c>
      <c r="BA729" s="440">
        <v>0</v>
      </c>
      <c r="BB729" s="440">
        <v>0</v>
      </c>
      <c r="BC729" s="440">
        <v>0</v>
      </c>
      <c r="BD729" s="440">
        <v>0</v>
      </c>
      <c r="BE729" s="440">
        <v>0</v>
      </c>
      <c r="BF729" s="440">
        <v>0</v>
      </c>
      <c r="BG729" s="440">
        <v>0</v>
      </c>
      <c r="BH729" s="440">
        <v>0</v>
      </c>
      <c r="BI729" s="440">
        <v>0</v>
      </c>
      <c r="BJ729" s="440">
        <v>0</v>
      </c>
      <c r="BK729" s="440">
        <v>0</v>
      </c>
      <c r="BL729" s="440">
        <v>0</v>
      </c>
      <c r="BM729" s="440">
        <v>0</v>
      </c>
      <c r="BN729" s="440">
        <v>0</v>
      </c>
      <c r="BO729" s="440">
        <v>0</v>
      </c>
      <c r="BP729" s="440">
        <v>0</v>
      </c>
      <c r="BQ729" s="440">
        <v>0</v>
      </c>
      <c r="BR729" s="415">
        <v>0.25</v>
      </c>
      <c r="BS729" s="415">
        <v>0.25416666666666665</v>
      </c>
      <c r="BT729" s="935"/>
      <c r="BU729" s="935"/>
      <c r="BV729" s="935"/>
      <c r="BW729" s="935"/>
      <c r="BX729" s="935"/>
      <c r="BY729" s="935"/>
      <c r="BZ729" s="935"/>
      <c r="CA729" s="935"/>
      <c r="CB729" s="935"/>
      <c r="CC729" s="935"/>
      <c r="CD729" s="935"/>
      <c r="CE729" s="935"/>
      <c r="CF729" s="935"/>
      <c r="CG729" s="935"/>
      <c r="CH729" s="935"/>
      <c r="CI729" s="935"/>
      <c r="CJ729" s="935"/>
      <c r="CK729" s="935"/>
      <c r="CL729" s="935"/>
      <c r="CM729" s="935"/>
      <c r="CN729" s="935"/>
      <c r="CO729" s="935"/>
      <c r="CP729" s="935"/>
      <c r="CQ729" s="935"/>
      <c r="CR729" s="935"/>
      <c r="CS729" s="935"/>
      <c r="CT729" s="935"/>
      <c r="CU729" s="935"/>
      <c r="CV729" s="935"/>
    </row>
    <row r="730" spans="1:100" s="441" customFormat="1">
      <c r="A730" s="375">
        <f t="shared" si="211"/>
        <v>9</v>
      </c>
      <c r="B730" s="862">
        <v>44467</v>
      </c>
      <c r="C730" s="493" t="s">
        <v>2000</v>
      </c>
      <c r="D730" s="376" t="str">
        <f>IFERROR(VLOOKUP(E:E,'Item Data Support Sheet'!A:O,7,0),"")</f>
        <v>NIPPLE PUNCH INSPECTED</v>
      </c>
      <c r="E730" s="447" t="s">
        <v>1820</v>
      </c>
      <c r="F730" s="500"/>
      <c r="G730" s="497"/>
      <c r="H730" s="602" t="str">
        <f>IFERROR(VLOOKUP(E:E,'Item Data Support Sheet'!A:O,2,0),"")</f>
        <v>NIPPLE S TYPE L SIZE PUNCHED INSPECTED</v>
      </c>
      <c r="I730" s="501" t="s">
        <v>3196</v>
      </c>
      <c r="J730" s="501" t="s">
        <v>2826</v>
      </c>
      <c r="K730" s="438">
        <v>8.5</v>
      </c>
      <c r="L730" s="499">
        <v>14182</v>
      </c>
      <c r="M730" s="366">
        <f t="shared" si="226"/>
        <v>1668.4705882352941</v>
      </c>
      <c r="N730" s="367">
        <f t="shared" si="210"/>
        <v>22365</v>
      </c>
      <c r="O730" s="61">
        <v>22125</v>
      </c>
      <c r="P730" s="368">
        <v>0</v>
      </c>
      <c r="Q730" s="368">
        <v>0</v>
      </c>
      <c r="R730" s="494">
        <v>0</v>
      </c>
      <c r="S730" s="493">
        <v>0</v>
      </c>
      <c r="T730" s="494">
        <v>240</v>
      </c>
      <c r="U730" s="493">
        <v>0</v>
      </c>
      <c r="V730" s="502">
        <v>2</v>
      </c>
      <c r="W730" s="453">
        <f t="shared" si="212"/>
        <v>11062.5</v>
      </c>
      <c r="X730" s="748">
        <f t="shared" si="213"/>
        <v>1.560076152869835</v>
      </c>
      <c r="Y730" s="451" t="str">
        <f>IFERROR(VLOOKUP(E:E,'Item Data Support Sheet'!A:J,6,0),0)</f>
        <v>FO106</v>
      </c>
      <c r="Z730" s="428">
        <f>IFERROR(VLOOKUP(E:E,'Item Data Support Sheet'!A:O,4,0),0)</f>
        <v>0</v>
      </c>
      <c r="AA730" s="428">
        <f t="shared" si="214"/>
        <v>0</v>
      </c>
      <c r="AB730" s="429" t="str">
        <f t="shared" si="215"/>
        <v xml:space="preserve"> </v>
      </c>
      <c r="AC730" s="424">
        <f t="shared" si="216"/>
        <v>1.0731052984574111E-2</v>
      </c>
      <c r="AD730" s="371">
        <f t="shared" si="217"/>
        <v>0</v>
      </c>
      <c r="AE730" s="748">
        <f t="shared" si="218"/>
        <v>0.98926894701542589</v>
      </c>
      <c r="AF730" s="417">
        <f t="shared" si="219"/>
        <v>0.83333333333333337</v>
      </c>
      <c r="AG730" s="416">
        <f t="shared" si="220"/>
        <v>7.666666666666667</v>
      </c>
      <c r="AH730" s="372">
        <f t="shared" si="221"/>
        <v>0.90196078431372551</v>
      </c>
      <c r="AI730" s="373">
        <f t="shared" si="222"/>
        <v>2602.9411764705883</v>
      </c>
      <c r="AJ730" s="418">
        <f>VLOOKUP(D730,'Standard Cycle time'!C:D,2,0)</f>
        <v>4</v>
      </c>
      <c r="AK730" s="418">
        <f t="shared" si="223"/>
        <v>2.4949152542372883</v>
      </c>
      <c r="AL730" s="374">
        <f t="shared" si="224"/>
        <v>1.6032608695652173</v>
      </c>
      <c r="AM730" s="372">
        <f t="shared" si="225"/>
        <v>1.4305604871056403</v>
      </c>
      <c r="AN730" s="799" t="s">
        <v>3416</v>
      </c>
      <c r="AO730" s="448"/>
      <c r="AP730" s="440">
        <v>50</v>
      </c>
      <c r="AQ730" s="440">
        <v>0</v>
      </c>
      <c r="AR730" s="440">
        <v>0</v>
      </c>
      <c r="AS730" s="440">
        <v>0</v>
      </c>
      <c r="AT730" s="440">
        <v>0</v>
      </c>
      <c r="AU730" s="440">
        <v>0</v>
      </c>
      <c r="AV730" s="440">
        <v>0</v>
      </c>
      <c r="AW730" s="440">
        <v>0</v>
      </c>
      <c r="AX730" s="440">
        <v>0</v>
      </c>
      <c r="AY730" s="440">
        <v>0</v>
      </c>
      <c r="AZ730" s="440">
        <v>0</v>
      </c>
      <c r="BA730" s="440">
        <v>0</v>
      </c>
      <c r="BB730" s="440">
        <v>0</v>
      </c>
      <c r="BC730" s="440">
        <v>0</v>
      </c>
      <c r="BD730" s="440">
        <v>0</v>
      </c>
      <c r="BE730" s="440">
        <v>0</v>
      </c>
      <c r="BF730" s="440">
        <v>0</v>
      </c>
      <c r="BG730" s="440">
        <v>0</v>
      </c>
      <c r="BH730" s="440">
        <v>0</v>
      </c>
      <c r="BI730" s="440">
        <v>0</v>
      </c>
      <c r="BJ730" s="440">
        <v>0</v>
      </c>
      <c r="BK730" s="440">
        <v>0</v>
      </c>
      <c r="BL730" s="440">
        <v>0</v>
      </c>
      <c r="BM730" s="440">
        <v>0</v>
      </c>
      <c r="BN730" s="440">
        <v>0</v>
      </c>
      <c r="BO730" s="440">
        <v>0</v>
      </c>
      <c r="BP730" s="440">
        <v>0</v>
      </c>
      <c r="BQ730" s="440">
        <v>0</v>
      </c>
      <c r="BR730" s="415">
        <v>0.83333333333333337</v>
      </c>
      <c r="BS730" s="415">
        <v>0.84722222222222221</v>
      </c>
      <c r="BT730" s="935"/>
      <c r="BU730" s="935"/>
      <c r="BV730" s="935"/>
      <c r="BW730" s="935"/>
      <c r="BX730" s="935"/>
      <c r="BY730" s="935"/>
      <c r="BZ730" s="935"/>
      <c r="CA730" s="935"/>
      <c r="CB730" s="935"/>
      <c r="CC730" s="935"/>
      <c r="CD730" s="935"/>
      <c r="CE730" s="935"/>
      <c r="CF730" s="935"/>
      <c r="CG730" s="935"/>
      <c r="CH730" s="935"/>
      <c r="CI730" s="935"/>
      <c r="CJ730" s="935"/>
      <c r="CK730" s="935"/>
      <c r="CL730" s="935"/>
      <c r="CM730" s="935"/>
      <c r="CN730" s="935"/>
      <c r="CO730" s="935"/>
      <c r="CP730" s="935"/>
      <c r="CQ730" s="935"/>
      <c r="CR730" s="935"/>
      <c r="CS730" s="935"/>
      <c r="CT730" s="935"/>
      <c r="CU730" s="935"/>
      <c r="CV730" s="935"/>
    </row>
    <row r="731" spans="1:100" s="441" customFormat="1">
      <c r="A731" s="375">
        <f t="shared" si="211"/>
        <v>9</v>
      </c>
      <c r="B731" s="862">
        <v>44467</v>
      </c>
      <c r="C731" s="493" t="s">
        <v>2000</v>
      </c>
      <c r="D731" s="376" t="str">
        <f>IFERROR(VLOOKUP(E:E,'Item Data Support Sheet'!A:O,7,0),"")</f>
        <v>NIPPLE WRAP PRINTED</v>
      </c>
      <c r="E731" s="447" t="s">
        <v>108</v>
      </c>
      <c r="F731" s="500"/>
      <c r="G731" s="497" t="s">
        <v>1693</v>
      </c>
      <c r="H731" s="602" t="str">
        <f>IFERROR(VLOOKUP(E:E,'Item Data Support Sheet'!A:O,2,0),"")</f>
        <v>NIPPLE S TYPE S SIZE WITH PRINTED WRAP</v>
      </c>
      <c r="I731" s="501" t="s">
        <v>3417</v>
      </c>
      <c r="J731" s="501" t="s">
        <v>2826</v>
      </c>
      <c r="K731" s="438">
        <v>4</v>
      </c>
      <c r="L731" s="499">
        <v>8080</v>
      </c>
      <c r="M731" s="366">
        <f t="shared" si="226"/>
        <v>2020</v>
      </c>
      <c r="N731" s="367">
        <f t="shared" si="210"/>
        <v>8276</v>
      </c>
      <c r="O731" s="61">
        <v>8276</v>
      </c>
      <c r="P731" s="368">
        <v>0</v>
      </c>
      <c r="Q731" s="368">
        <v>0</v>
      </c>
      <c r="R731" s="494">
        <v>0</v>
      </c>
      <c r="S731" s="493">
        <v>0</v>
      </c>
      <c r="T731" s="494">
        <v>0</v>
      </c>
      <c r="U731" s="493">
        <v>0</v>
      </c>
      <c r="V731" s="502">
        <v>2</v>
      </c>
      <c r="W731" s="453">
        <f t="shared" si="212"/>
        <v>4138</v>
      </c>
      <c r="X731" s="748">
        <f t="shared" si="213"/>
        <v>1.0242574257425743</v>
      </c>
      <c r="Y731" s="451" t="str">
        <f>IFERROR(VLOOKUP(E:E,'Item Data Support Sheet'!A:J,6,0),0)</f>
        <v>FO108</v>
      </c>
      <c r="Z731" s="428">
        <f>IFERROR(VLOOKUP(E:E,'Item Data Support Sheet'!A:O,4,0),0)</f>
        <v>0</v>
      </c>
      <c r="AA731" s="428">
        <f t="shared" si="214"/>
        <v>0</v>
      </c>
      <c r="AB731" s="429" t="str">
        <f t="shared" si="215"/>
        <v xml:space="preserve"> </v>
      </c>
      <c r="AC731" s="424">
        <f t="shared" si="216"/>
        <v>0</v>
      </c>
      <c r="AD731" s="371">
        <f t="shared" si="217"/>
        <v>0</v>
      </c>
      <c r="AE731" s="748">
        <f t="shared" si="218"/>
        <v>1</v>
      </c>
      <c r="AF731" s="417">
        <f t="shared" si="219"/>
        <v>0</v>
      </c>
      <c r="AG731" s="416">
        <f t="shared" si="220"/>
        <v>4</v>
      </c>
      <c r="AH731" s="372">
        <f t="shared" si="221"/>
        <v>1</v>
      </c>
      <c r="AI731" s="373">
        <f t="shared" si="222"/>
        <v>2069</v>
      </c>
      <c r="AJ731" s="418">
        <f>VLOOKUP(D731,'Standard Cycle time'!C:D,2,0)</f>
        <v>2.5</v>
      </c>
      <c r="AK731" s="418">
        <f t="shared" si="223"/>
        <v>3.4799420009666506</v>
      </c>
      <c r="AL731" s="374">
        <f t="shared" si="224"/>
        <v>0.71840277777777772</v>
      </c>
      <c r="AM731" s="372">
        <f t="shared" si="225"/>
        <v>0.71840277777777772</v>
      </c>
      <c r="AN731" s="799" t="s">
        <v>3418</v>
      </c>
      <c r="AO731" s="448"/>
      <c r="AP731" s="440">
        <v>10</v>
      </c>
      <c r="AQ731" s="440"/>
      <c r="AR731" s="440"/>
      <c r="AS731" s="440"/>
      <c r="AT731" s="440"/>
      <c r="AU731" s="440"/>
      <c r="AV731" s="440"/>
      <c r="AW731" s="440"/>
      <c r="AX731" s="440"/>
      <c r="AY731" s="440"/>
      <c r="AZ731" s="440"/>
      <c r="BA731" s="440"/>
      <c r="BB731" s="440"/>
      <c r="BC731" s="440"/>
      <c r="BD731" s="440"/>
      <c r="BE731" s="440"/>
      <c r="BF731" s="440"/>
      <c r="BG731" s="440"/>
      <c r="BH731" s="440"/>
      <c r="BI731" s="440"/>
      <c r="BJ731" s="440"/>
      <c r="BK731" s="440"/>
      <c r="BL731" s="440"/>
      <c r="BM731" s="440"/>
      <c r="BN731" s="440"/>
      <c r="BO731" s="440"/>
      <c r="BP731" s="440"/>
      <c r="BQ731" s="440"/>
      <c r="BR731" s="415"/>
      <c r="BS731" s="415"/>
      <c r="BT731" s="935"/>
      <c r="BU731" s="935"/>
      <c r="BV731" s="935"/>
      <c r="BW731" s="935"/>
      <c r="BX731" s="935"/>
      <c r="BY731" s="935"/>
      <c r="BZ731" s="935"/>
      <c r="CA731" s="935"/>
      <c r="CB731" s="935"/>
      <c r="CC731" s="935"/>
      <c r="CD731" s="935"/>
      <c r="CE731" s="935"/>
      <c r="CF731" s="935"/>
      <c r="CG731" s="935"/>
      <c r="CH731" s="935"/>
      <c r="CI731" s="935"/>
      <c r="CJ731" s="935"/>
      <c r="CK731" s="935"/>
      <c r="CL731" s="935"/>
      <c r="CM731" s="935"/>
      <c r="CN731" s="935"/>
      <c r="CO731" s="935"/>
      <c r="CP731" s="935"/>
      <c r="CQ731" s="935"/>
      <c r="CR731" s="935"/>
      <c r="CS731" s="935"/>
      <c r="CT731" s="935"/>
      <c r="CU731" s="935"/>
      <c r="CV731" s="935"/>
    </row>
    <row r="732" spans="1:100" s="441" customFormat="1">
      <c r="A732" s="375">
        <f t="shared" si="211"/>
        <v>9</v>
      </c>
      <c r="B732" s="862">
        <v>44467</v>
      </c>
      <c r="C732" s="493" t="s">
        <v>2000</v>
      </c>
      <c r="D732" s="376" t="str">
        <f>IFERROR(VLOOKUP(E:E,'Item Data Support Sheet'!A:O,7,0),"")</f>
        <v>NIPPLE WRAP PRINTED</v>
      </c>
      <c r="E732" s="447" t="s">
        <v>110</v>
      </c>
      <c r="F732" s="500"/>
      <c r="G732" s="497" t="s">
        <v>3419</v>
      </c>
      <c r="H732" s="602" t="str">
        <f>IFERROR(VLOOKUP(E:E,'Item Data Support Sheet'!A:O,2,0),"")</f>
        <v>NIPPLE S TYPE L SIZE WITH PRINTED WRAP</v>
      </c>
      <c r="I732" s="501" t="s">
        <v>3420</v>
      </c>
      <c r="J732" s="501" t="s">
        <v>2826</v>
      </c>
      <c r="K732" s="438">
        <v>0.5</v>
      </c>
      <c r="L732" s="499">
        <v>1000</v>
      </c>
      <c r="M732" s="366">
        <f t="shared" si="226"/>
        <v>2000</v>
      </c>
      <c r="N732" s="367">
        <f t="shared" si="210"/>
        <v>998</v>
      </c>
      <c r="O732" s="61">
        <v>990</v>
      </c>
      <c r="P732" s="368">
        <v>0</v>
      </c>
      <c r="Q732" s="368">
        <v>0</v>
      </c>
      <c r="R732" s="494">
        <v>0</v>
      </c>
      <c r="S732" s="493">
        <v>0</v>
      </c>
      <c r="T732" s="494">
        <v>8</v>
      </c>
      <c r="U732" s="493">
        <v>0</v>
      </c>
      <c r="V732" s="502">
        <v>2</v>
      </c>
      <c r="W732" s="453">
        <f t="shared" si="212"/>
        <v>495</v>
      </c>
      <c r="X732" s="748">
        <f t="shared" si="213"/>
        <v>0.99</v>
      </c>
      <c r="Y732" s="451" t="str">
        <f>IFERROR(VLOOKUP(E:E,'Item Data Support Sheet'!A:J,6,0),0)</f>
        <v>FO021</v>
      </c>
      <c r="Z732" s="428">
        <f>IFERROR(VLOOKUP(E:E,'Item Data Support Sheet'!A:O,4,0),0)</f>
        <v>0</v>
      </c>
      <c r="AA732" s="428">
        <f t="shared" si="214"/>
        <v>0</v>
      </c>
      <c r="AB732" s="429" t="str">
        <f t="shared" si="215"/>
        <v xml:space="preserve"> </v>
      </c>
      <c r="AC732" s="424">
        <f t="shared" si="216"/>
        <v>8.0160320641282558E-3</v>
      </c>
      <c r="AD732" s="371">
        <f t="shared" si="217"/>
        <v>0</v>
      </c>
      <c r="AE732" s="748">
        <f t="shared" si="218"/>
        <v>0.99198396793587174</v>
      </c>
      <c r="AF732" s="417">
        <f t="shared" si="219"/>
        <v>0</v>
      </c>
      <c r="AG732" s="416">
        <f t="shared" si="220"/>
        <v>0.5</v>
      </c>
      <c r="AH732" s="372">
        <f t="shared" si="221"/>
        <v>1</v>
      </c>
      <c r="AI732" s="373">
        <f t="shared" si="222"/>
        <v>1980</v>
      </c>
      <c r="AJ732" s="418">
        <f>VLOOKUP(D732,'Standard Cycle time'!C:D,2,0)</f>
        <v>2.5</v>
      </c>
      <c r="AK732" s="418">
        <f t="shared" si="223"/>
        <v>3.6363636363636362</v>
      </c>
      <c r="AL732" s="374">
        <f t="shared" si="224"/>
        <v>0.6875</v>
      </c>
      <c r="AM732" s="372">
        <f t="shared" si="225"/>
        <v>0.68198897795591185</v>
      </c>
      <c r="AN732" s="799">
        <v>3713</v>
      </c>
      <c r="AO732" s="448"/>
      <c r="AP732" s="440"/>
      <c r="AQ732" s="440"/>
      <c r="AR732" s="440"/>
      <c r="AS732" s="440"/>
      <c r="AT732" s="440"/>
      <c r="AU732" s="440"/>
      <c r="AV732" s="440"/>
      <c r="AW732" s="440"/>
      <c r="AX732" s="440"/>
      <c r="AY732" s="440"/>
      <c r="AZ732" s="440"/>
      <c r="BA732" s="440"/>
      <c r="BB732" s="440"/>
      <c r="BC732" s="440"/>
      <c r="BD732" s="440"/>
      <c r="BE732" s="440"/>
      <c r="BF732" s="440"/>
      <c r="BG732" s="440"/>
      <c r="BH732" s="440"/>
      <c r="BI732" s="440"/>
      <c r="BJ732" s="440"/>
      <c r="BK732" s="440"/>
      <c r="BL732" s="440"/>
      <c r="BM732" s="440"/>
      <c r="BN732" s="440"/>
      <c r="BO732" s="440"/>
      <c r="BP732" s="440"/>
      <c r="BQ732" s="440"/>
      <c r="BR732" s="415"/>
      <c r="BS732" s="415"/>
      <c r="BT732" s="935"/>
      <c r="BU732" s="935"/>
      <c r="BV732" s="935"/>
      <c r="BW732" s="935"/>
      <c r="BX732" s="935"/>
      <c r="BY732" s="935"/>
      <c r="BZ732" s="935"/>
      <c r="CA732" s="935"/>
      <c r="CB732" s="935"/>
      <c r="CC732" s="935"/>
      <c r="CD732" s="935"/>
      <c r="CE732" s="935"/>
      <c r="CF732" s="935"/>
      <c r="CG732" s="935"/>
      <c r="CH732" s="935"/>
      <c r="CI732" s="935"/>
      <c r="CJ732" s="935"/>
      <c r="CK732" s="935"/>
      <c r="CL732" s="935"/>
      <c r="CM732" s="935"/>
      <c r="CN732" s="935"/>
      <c r="CO732" s="935"/>
      <c r="CP732" s="935"/>
      <c r="CQ732" s="935"/>
      <c r="CR732" s="935"/>
      <c r="CS732" s="935"/>
      <c r="CT732" s="935"/>
      <c r="CU732" s="935"/>
      <c r="CV732" s="935"/>
    </row>
    <row r="733" spans="1:100" s="441" customFormat="1">
      <c r="A733" s="375">
        <f t="shared" si="211"/>
        <v>9</v>
      </c>
      <c r="B733" s="862">
        <v>44467</v>
      </c>
      <c r="C733" s="493" t="s">
        <v>2000</v>
      </c>
      <c r="D733" s="376" t="str">
        <f>IFERROR(VLOOKUP(E:E,'Item Data Support Sheet'!A:O,7,0),"")</f>
        <v>BOTTLE PRINTED</v>
      </c>
      <c r="E733" s="447" t="s">
        <v>64</v>
      </c>
      <c r="F733" s="500"/>
      <c r="G733" s="497" t="s">
        <v>1698</v>
      </c>
      <c r="H733" s="602" t="str">
        <f>IFERROR(VLOOKUP(E:E,'Item Data Support Sheet'!A:O,2,0),"")</f>
        <v>KPP 240 ML BOTTLE PRINTED</v>
      </c>
      <c r="I733" s="501" t="s">
        <v>3421</v>
      </c>
      <c r="J733" s="501" t="s">
        <v>2826</v>
      </c>
      <c r="K733" s="438">
        <v>8.5</v>
      </c>
      <c r="L733" s="499">
        <v>5100</v>
      </c>
      <c r="M733" s="366">
        <f t="shared" si="226"/>
        <v>600</v>
      </c>
      <c r="N733" s="367">
        <f t="shared" si="210"/>
        <v>5534</v>
      </c>
      <c r="O733" s="61">
        <v>5508</v>
      </c>
      <c r="P733" s="368">
        <v>0</v>
      </c>
      <c r="Q733" s="368">
        <v>0</v>
      </c>
      <c r="R733" s="494">
        <v>53</v>
      </c>
      <c r="S733" s="493">
        <v>0</v>
      </c>
      <c r="T733" s="494">
        <v>26</v>
      </c>
      <c r="U733" s="493">
        <v>0</v>
      </c>
      <c r="V733" s="502">
        <v>5</v>
      </c>
      <c r="W733" s="453">
        <f t="shared" si="212"/>
        <v>1101.5999999999999</v>
      </c>
      <c r="X733" s="748">
        <f t="shared" si="213"/>
        <v>1.08</v>
      </c>
      <c r="Y733" s="451" t="str">
        <f>IFERROR(VLOOKUP(E:E,'Item Data Support Sheet'!A:J,6,0),0)</f>
        <v>FO003</v>
      </c>
      <c r="Z733" s="428">
        <f>IFERROR(VLOOKUP(E:E,'Item Data Support Sheet'!A:O,4,0),0)</f>
        <v>0</v>
      </c>
      <c r="AA733" s="428">
        <f t="shared" si="214"/>
        <v>0</v>
      </c>
      <c r="AB733" s="429" t="str">
        <f t="shared" si="215"/>
        <v xml:space="preserve"> </v>
      </c>
      <c r="AC733" s="424">
        <f t="shared" si="216"/>
        <v>4.6982291290205997E-3</v>
      </c>
      <c r="AD733" s="371">
        <f t="shared" si="217"/>
        <v>0</v>
      </c>
      <c r="AE733" s="748">
        <f t="shared" si="218"/>
        <v>0.99530177087097937</v>
      </c>
      <c r="AF733" s="417">
        <f t="shared" si="219"/>
        <v>0.83333333333333337</v>
      </c>
      <c r="AG733" s="416">
        <f t="shared" si="220"/>
        <v>7.666666666666667</v>
      </c>
      <c r="AH733" s="372">
        <f t="shared" si="221"/>
        <v>0.90196078431372551</v>
      </c>
      <c r="AI733" s="373">
        <f t="shared" si="222"/>
        <v>648</v>
      </c>
      <c r="AJ733" s="418">
        <f>VLOOKUP(D733,'Standard Cycle time'!C:D,2,0)</f>
        <v>32.4</v>
      </c>
      <c r="AK733" s="418">
        <f t="shared" si="223"/>
        <v>25.054466230936818</v>
      </c>
      <c r="AL733" s="374">
        <f t="shared" si="224"/>
        <v>1.2931826086956522</v>
      </c>
      <c r="AM733" s="372">
        <f t="shared" si="225"/>
        <v>1.1609199855439103</v>
      </c>
      <c r="AN733" s="799" t="s">
        <v>2874</v>
      </c>
      <c r="AO733" s="448"/>
      <c r="AP733" s="440">
        <v>50</v>
      </c>
      <c r="AQ733" s="440">
        <v>0</v>
      </c>
      <c r="AR733" s="440">
        <v>0</v>
      </c>
      <c r="AS733" s="440">
        <v>0</v>
      </c>
      <c r="AT733" s="440">
        <v>0</v>
      </c>
      <c r="AU733" s="440">
        <v>0</v>
      </c>
      <c r="AV733" s="440">
        <v>0</v>
      </c>
      <c r="AW733" s="440">
        <v>0</v>
      </c>
      <c r="AX733" s="440">
        <v>0</v>
      </c>
      <c r="AY733" s="440">
        <v>0</v>
      </c>
      <c r="AZ733" s="440">
        <v>0</v>
      </c>
      <c r="BA733" s="440">
        <v>0</v>
      </c>
      <c r="BB733" s="440">
        <v>0</v>
      </c>
      <c r="BC733" s="440">
        <v>0</v>
      </c>
      <c r="BD733" s="440">
        <v>0</v>
      </c>
      <c r="BE733" s="440">
        <v>0</v>
      </c>
      <c r="BF733" s="440">
        <v>0</v>
      </c>
      <c r="BG733" s="440">
        <v>0</v>
      </c>
      <c r="BH733" s="440">
        <v>0</v>
      </c>
      <c r="BI733" s="440">
        <v>0</v>
      </c>
      <c r="BJ733" s="440">
        <v>0</v>
      </c>
      <c r="BK733" s="440">
        <v>0</v>
      </c>
      <c r="BL733" s="440">
        <v>0</v>
      </c>
      <c r="BM733" s="440">
        <v>0</v>
      </c>
      <c r="BN733" s="440">
        <v>0</v>
      </c>
      <c r="BO733" s="440">
        <v>0</v>
      </c>
      <c r="BP733" s="440">
        <v>0</v>
      </c>
      <c r="BQ733" s="440">
        <v>0</v>
      </c>
      <c r="BR733" s="415">
        <v>0.83333333333333337</v>
      </c>
      <c r="BS733" s="415">
        <v>0.84722222222222221</v>
      </c>
      <c r="BT733" s="935"/>
      <c r="BU733" s="935"/>
      <c r="BV733" s="935"/>
      <c r="BW733" s="935"/>
      <c r="BX733" s="935"/>
      <c r="BY733" s="935"/>
      <c r="BZ733" s="935"/>
      <c r="CA733" s="935"/>
      <c r="CB733" s="935"/>
      <c r="CC733" s="935"/>
      <c r="CD733" s="935"/>
      <c r="CE733" s="935"/>
      <c r="CF733" s="935"/>
      <c r="CG733" s="935"/>
      <c r="CH733" s="935"/>
      <c r="CI733" s="935"/>
      <c r="CJ733" s="935"/>
      <c r="CK733" s="935"/>
      <c r="CL733" s="935"/>
      <c r="CM733" s="935"/>
      <c r="CN733" s="935"/>
      <c r="CO733" s="935"/>
      <c r="CP733" s="935"/>
      <c r="CQ733" s="935"/>
      <c r="CR733" s="935"/>
      <c r="CS733" s="935"/>
      <c r="CT733" s="935"/>
      <c r="CU733" s="935"/>
      <c r="CV733" s="935"/>
    </row>
    <row r="734" spans="1:100" s="441" customFormat="1">
      <c r="A734" s="375">
        <f t="shared" si="211"/>
        <v>9</v>
      </c>
      <c r="B734" s="862">
        <v>44467</v>
      </c>
      <c r="C734" s="493" t="s">
        <v>2001</v>
      </c>
      <c r="D734" s="376" t="str">
        <f>IFERROR(VLOOKUP(E:E,'Item Data Support Sheet'!A:O,7,0),"")</f>
        <v>NIPPLE LASER MARKING</v>
      </c>
      <c r="E734" s="447" t="s">
        <v>1816</v>
      </c>
      <c r="F734" s="500"/>
      <c r="G734" s="497" t="s">
        <v>1812</v>
      </c>
      <c r="H734" s="602" t="str">
        <f>IFERROR(VLOOKUP(E:E,'Item Data Support Sheet'!A:O,2,0),"")</f>
        <v>NIPPLE S TYPE L SIZE PUNCHED LASER MARKED</v>
      </c>
      <c r="I734" s="501" t="s">
        <v>3422</v>
      </c>
      <c r="J734" s="501" t="s">
        <v>2826</v>
      </c>
      <c r="K734" s="438">
        <v>8</v>
      </c>
      <c r="L734" s="499">
        <v>7000</v>
      </c>
      <c r="M734" s="366">
        <f t="shared" si="226"/>
        <v>875</v>
      </c>
      <c r="N734" s="367">
        <f t="shared" si="210"/>
        <v>7300</v>
      </c>
      <c r="O734" s="61">
        <v>7300</v>
      </c>
      <c r="P734" s="368">
        <v>0</v>
      </c>
      <c r="Q734" s="368">
        <v>0</v>
      </c>
      <c r="R734" s="494">
        <v>0</v>
      </c>
      <c r="S734" s="493">
        <v>0</v>
      </c>
      <c r="T734" s="494">
        <v>0</v>
      </c>
      <c r="U734" s="493">
        <v>0</v>
      </c>
      <c r="V734" s="502">
        <v>1</v>
      </c>
      <c r="W734" s="453">
        <f t="shared" si="212"/>
        <v>7300</v>
      </c>
      <c r="X734" s="748">
        <f t="shared" si="213"/>
        <v>1.0428571428571429</v>
      </c>
      <c r="Y734" s="451" t="str">
        <f>IFERROR(VLOOKUP(E:E,'Item Data Support Sheet'!A:J,6,0),0)</f>
        <v>FO021</v>
      </c>
      <c r="Z734" s="428">
        <f>IFERROR(VLOOKUP(E:E,'Item Data Support Sheet'!A:O,4,0),0)</f>
        <v>0</v>
      </c>
      <c r="AA734" s="428">
        <f t="shared" si="214"/>
        <v>0</v>
      </c>
      <c r="AB734" s="429" t="str">
        <f t="shared" si="215"/>
        <v xml:space="preserve"> </v>
      </c>
      <c r="AC734" s="424">
        <f t="shared" si="216"/>
        <v>0</v>
      </c>
      <c r="AD734" s="371">
        <f t="shared" si="217"/>
        <v>0</v>
      </c>
      <c r="AE734" s="748">
        <f t="shared" si="218"/>
        <v>1</v>
      </c>
      <c r="AF734" s="417">
        <f t="shared" si="219"/>
        <v>0.66666666666666663</v>
      </c>
      <c r="AG734" s="416">
        <f t="shared" si="220"/>
        <v>7.333333333333333</v>
      </c>
      <c r="AH734" s="372">
        <f t="shared" si="221"/>
        <v>0.91666666666666663</v>
      </c>
      <c r="AI734" s="373">
        <f t="shared" si="222"/>
        <v>912.5</v>
      </c>
      <c r="AJ734" s="418">
        <f>VLOOKUP(D734,'Standard Cycle time'!C:D,2,0)</f>
        <v>3.5</v>
      </c>
      <c r="AK734" s="418">
        <f t="shared" si="223"/>
        <v>3.6164383561643834</v>
      </c>
      <c r="AL734" s="374">
        <f t="shared" si="224"/>
        <v>0.96780303030303039</v>
      </c>
      <c r="AM734" s="372">
        <f t="shared" si="225"/>
        <v>0.88715277777777779</v>
      </c>
      <c r="AN734" s="799" t="s">
        <v>3423</v>
      </c>
      <c r="AO734" s="448"/>
      <c r="AP734" s="440">
        <v>40</v>
      </c>
      <c r="AQ734" s="440">
        <v>0</v>
      </c>
      <c r="AR734" s="440">
        <v>0</v>
      </c>
      <c r="AS734" s="440">
        <v>0</v>
      </c>
      <c r="AT734" s="440">
        <v>0</v>
      </c>
      <c r="AU734" s="440">
        <v>0</v>
      </c>
      <c r="AV734" s="440">
        <v>0</v>
      </c>
      <c r="AW734" s="440">
        <v>0</v>
      </c>
      <c r="AX734" s="440">
        <v>0</v>
      </c>
      <c r="AY734" s="440">
        <v>0</v>
      </c>
      <c r="AZ734" s="440">
        <v>0</v>
      </c>
      <c r="BA734" s="440">
        <v>0</v>
      </c>
      <c r="BB734" s="440">
        <v>0</v>
      </c>
      <c r="BC734" s="440">
        <v>0</v>
      </c>
      <c r="BD734" s="440">
        <v>0</v>
      </c>
      <c r="BE734" s="440">
        <v>0</v>
      </c>
      <c r="BF734" s="440">
        <v>0</v>
      </c>
      <c r="BG734" s="440">
        <v>0</v>
      </c>
      <c r="BH734" s="440">
        <v>0</v>
      </c>
      <c r="BI734" s="440">
        <v>0</v>
      </c>
      <c r="BJ734" s="440">
        <v>0</v>
      </c>
      <c r="BK734" s="440">
        <v>0</v>
      </c>
      <c r="BL734" s="440">
        <v>0</v>
      </c>
      <c r="BM734" s="440">
        <v>0</v>
      </c>
      <c r="BN734" s="440">
        <v>0</v>
      </c>
      <c r="BO734" s="440">
        <v>0</v>
      </c>
      <c r="BP734" s="440">
        <v>0</v>
      </c>
      <c r="BQ734" s="440">
        <v>0</v>
      </c>
      <c r="BR734" s="415">
        <v>0.66666666666666663</v>
      </c>
      <c r="BS734" s="415">
        <v>0.6777777777777777</v>
      </c>
      <c r="BT734" s="935"/>
      <c r="BU734" s="935"/>
      <c r="BV734" s="935"/>
      <c r="BW734" s="935"/>
      <c r="BX734" s="935"/>
      <c r="BY734" s="935"/>
      <c r="BZ734" s="935"/>
      <c r="CA734" s="935"/>
      <c r="CB734" s="935"/>
      <c r="CC734" s="935"/>
      <c r="CD734" s="935"/>
      <c r="CE734" s="935"/>
      <c r="CF734" s="935"/>
      <c r="CG734" s="935"/>
      <c r="CH734" s="935"/>
      <c r="CI734" s="935"/>
      <c r="CJ734" s="935"/>
      <c r="CK734" s="935"/>
      <c r="CL734" s="935"/>
      <c r="CM734" s="935"/>
      <c r="CN734" s="935"/>
      <c r="CO734" s="935"/>
      <c r="CP734" s="935"/>
      <c r="CQ734" s="935"/>
      <c r="CR734" s="935"/>
      <c r="CS734" s="935"/>
      <c r="CT734" s="935"/>
      <c r="CU734" s="935"/>
      <c r="CV734" s="935"/>
    </row>
    <row r="735" spans="1:100" s="441" customFormat="1">
      <c r="A735" s="375">
        <f t="shared" si="211"/>
        <v>9</v>
      </c>
      <c r="B735" s="862">
        <v>44467</v>
      </c>
      <c r="C735" s="493" t="s">
        <v>2001</v>
      </c>
      <c r="D735" s="376" t="str">
        <f>IFERROR(VLOOKUP(E:E,'Item Data Support Sheet'!A:O,7,0),"")</f>
        <v>BOTTLE MOLDED</v>
      </c>
      <c r="E735" s="447" t="s">
        <v>68</v>
      </c>
      <c r="F735" s="500" t="s">
        <v>1664</v>
      </c>
      <c r="G735" s="497" t="s">
        <v>1665</v>
      </c>
      <c r="H735" s="602" t="str">
        <f>IFERROR(VLOOKUP(E:E,'Item Data Support Sheet'!A:O,2,0),"")</f>
        <v>RPP 240 ML BOTTLE MOLDED</v>
      </c>
      <c r="I735" s="501" t="s">
        <v>3424</v>
      </c>
      <c r="J735" s="501" t="s">
        <v>2826</v>
      </c>
      <c r="K735" s="438">
        <v>5</v>
      </c>
      <c r="L735" s="499">
        <v>1500</v>
      </c>
      <c r="M735" s="366">
        <f t="shared" si="226"/>
        <v>300</v>
      </c>
      <c r="N735" s="367">
        <f t="shared" si="210"/>
        <v>1510</v>
      </c>
      <c r="O735" s="61">
        <v>1440</v>
      </c>
      <c r="P735" s="368">
        <v>0.21</v>
      </c>
      <c r="Q735" s="368">
        <v>28</v>
      </c>
      <c r="R735" s="494">
        <v>0</v>
      </c>
      <c r="S735" s="493">
        <v>0</v>
      </c>
      <c r="T735" s="494">
        <v>42</v>
      </c>
      <c r="U735" s="493">
        <v>0</v>
      </c>
      <c r="V735" s="502">
        <v>1</v>
      </c>
      <c r="W735" s="453">
        <f t="shared" si="212"/>
        <v>1440</v>
      </c>
      <c r="X735" s="748">
        <f t="shared" si="213"/>
        <v>0.96</v>
      </c>
      <c r="Y735" s="451" t="str">
        <f>IFERROR(VLOOKUP(E:E,'Item Data Support Sheet'!A:J,6,0),0)</f>
        <v>HMC</v>
      </c>
      <c r="Z735" s="428">
        <f>IFERROR(VLOOKUP(E:E,'Item Data Support Sheet'!A:O,4,0),0)</f>
        <v>32.1</v>
      </c>
      <c r="AA735" s="428">
        <f t="shared" si="214"/>
        <v>48.681000000000004</v>
      </c>
      <c r="AB735" s="429">
        <f t="shared" si="215"/>
        <v>0.94952856350526904</v>
      </c>
      <c r="AC735" s="424">
        <f t="shared" si="216"/>
        <v>2.8340080971659919E-2</v>
      </c>
      <c r="AD735" s="371">
        <f t="shared" si="217"/>
        <v>1.8205461638491547E-2</v>
      </c>
      <c r="AE735" s="748">
        <f t="shared" si="218"/>
        <v>0.97218543046357619</v>
      </c>
      <c r="AF735" s="417">
        <f t="shared" si="219"/>
        <v>1.5</v>
      </c>
      <c r="AG735" s="416">
        <f t="shared" si="220"/>
        <v>3.5</v>
      </c>
      <c r="AH735" s="372">
        <f t="shared" si="221"/>
        <v>0.7</v>
      </c>
      <c r="AI735" s="373">
        <f t="shared" si="222"/>
        <v>288</v>
      </c>
      <c r="AJ735" s="418">
        <f>VLOOKUP(D735,'Standard Cycle time'!C:D,2,0)</f>
        <v>9</v>
      </c>
      <c r="AK735" s="418">
        <f t="shared" si="223"/>
        <v>8.75</v>
      </c>
      <c r="AL735" s="374">
        <f t="shared" si="224"/>
        <v>1.0285714285714285</v>
      </c>
      <c r="AM735" s="372">
        <f t="shared" si="225"/>
        <v>0.69997350993377483</v>
      </c>
      <c r="AN735" s="799">
        <v>3709</v>
      </c>
      <c r="AO735" s="448"/>
      <c r="AP735" s="440" t="s">
        <v>2032</v>
      </c>
      <c r="AQ735" s="440">
        <v>0</v>
      </c>
      <c r="AR735" s="440">
        <v>0</v>
      </c>
      <c r="AS735" s="440">
        <v>0</v>
      </c>
      <c r="AT735" s="440">
        <v>0</v>
      </c>
      <c r="AU735" s="440">
        <v>0</v>
      </c>
      <c r="AV735" s="440">
        <v>0</v>
      </c>
      <c r="AW735" s="440">
        <v>90</v>
      </c>
      <c r="AX735" s="440">
        <v>0</v>
      </c>
      <c r="AY735" s="440">
        <v>0</v>
      </c>
      <c r="AZ735" s="440">
        <v>0</v>
      </c>
      <c r="BA735" s="440">
        <v>0</v>
      </c>
      <c r="BB735" s="440">
        <v>0</v>
      </c>
      <c r="BC735" s="440">
        <v>0</v>
      </c>
      <c r="BD735" s="440">
        <v>0</v>
      </c>
      <c r="BE735" s="440">
        <v>0</v>
      </c>
      <c r="BF735" s="440">
        <v>0</v>
      </c>
      <c r="BG735" s="440">
        <v>0</v>
      </c>
      <c r="BH735" s="440">
        <v>0</v>
      </c>
      <c r="BI735" s="440">
        <v>0</v>
      </c>
      <c r="BJ735" s="440">
        <v>0</v>
      </c>
      <c r="BK735" s="440">
        <v>0</v>
      </c>
      <c r="BL735" s="440">
        <v>0</v>
      </c>
      <c r="BM735" s="440">
        <v>0</v>
      </c>
      <c r="BN735" s="440">
        <v>0</v>
      </c>
      <c r="BO735" s="440">
        <v>0</v>
      </c>
      <c r="BP735" s="440">
        <v>0</v>
      </c>
      <c r="BQ735" s="440">
        <v>0</v>
      </c>
      <c r="BR735" s="415">
        <v>1.5</v>
      </c>
      <c r="BS735" s="415">
        <v>1.5249999999999999</v>
      </c>
      <c r="BT735" s="935"/>
      <c r="BU735" s="935"/>
      <c r="BV735" s="935"/>
      <c r="BW735" s="935"/>
      <c r="BX735" s="935"/>
      <c r="BY735" s="935"/>
      <c r="BZ735" s="935"/>
      <c r="CA735" s="935"/>
      <c r="CB735" s="935"/>
      <c r="CC735" s="935"/>
      <c r="CD735" s="935"/>
      <c r="CE735" s="935"/>
      <c r="CF735" s="935"/>
      <c r="CG735" s="935"/>
      <c r="CH735" s="935"/>
      <c r="CI735" s="935"/>
      <c r="CJ735" s="935"/>
      <c r="CK735" s="935"/>
      <c r="CL735" s="935"/>
      <c r="CM735" s="935"/>
      <c r="CN735" s="935"/>
      <c r="CO735" s="935"/>
      <c r="CP735" s="935"/>
      <c r="CQ735" s="935"/>
      <c r="CR735" s="935"/>
      <c r="CS735" s="935"/>
      <c r="CT735" s="935"/>
      <c r="CU735" s="935"/>
      <c r="CV735" s="935"/>
    </row>
    <row r="736" spans="1:100" s="441" customFormat="1">
      <c r="A736" s="375">
        <f t="shared" si="211"/>
        <v>9</v>
      </c>
      <c r="B736" s="862">
        <v>44467</v>
      </c>
      <c r="C736" s="493" t="s">
        <v>2001</v>
      </c>
      <c r="D736" s="376" t="str">
        <f>IFERROR(VLOOKUP(E:E,'Item Data Support Sheet'!A:O,7,0),"")</f>
        <v>NIPPLE PUNCH</v>
      </c>
      <c r="E736" s="447" t="s">
        <v>83</v>
      </c>
      <c r="F736" s="500"/>
      <c r="G736" s="497" t="s">
        <v>1692</v>
      </c>
      <c r="H736" s="602" t="str">
        <f>IFERROR(VLOOKUP(E:E,'Item Data Support Sheet'!A:O,2,0),"")</f>
        <v>NIPPLE S TYPE Y SIZE PUNCHED</v>
      </c>
      <c r="I736" s="501" t="s">
        <v>3425</v>
      </c>
      <c r="J736" s="501" t="s">
        <v>2826</v>
      </c>
      <c r="K736" s="438">
        <v>7.4</v>
      </c>
      <c r="L736" s="499">
        <v>6500</v>
      </c>
      <c r="M736" s="366">
        <f t="shared" si="226"/>
        <v>878.37837837837833</v>
      </c>
      <c r="N736" s="367">
        <f t="shared" si="210"/>
        <v>6392</v>
      </c>
      <c r="O736" s="61">
        <v>6392</v>
      </c>
      <c r="P736" s="368">
        <v>0</v>
      </c>
      <c r="Q736" s="368">
        <v>0</v>
      </c>
      <c r="R736" s="494">
        <v>0</v>
      </c>
      <c r="S736" s="493">
        <v>0</v>
      </c>
      <c r="T736" s="494">
        <v>0</v>
      </c>
      <c r="U736" s="493">
        <v>0</v>
      </c>
      <c r="V736" s="502">
        <v>1</v>
      </c>
      <c r="W736" s="453">
        <f t="shared" si="212"/>
        <v>6392</v>
      </c>
      <c r="X736" s="748">
        <f t="shared" si="213"/>
        <v>0.98338461538461541</v>
      </c>
      <c r="Y736" s="451" t="str">
        <f>IFERROR(VLOOKUP(E:E,'Item Data Support Sheet'!A:J,6,0),0)</f>
        <v>FO018</v>
      </c>
      <c r="Z736" s="428">
        <f>IFERROR(VLOOKUP(E:E,'Item Data Support Sheet'!A:O,4,0),0)</f>
        <v>0</v>
      </c>
      <c r="AA736" s="428">
        <f t="shared" si="214"/>
        <v>0</v>
      </c>
      <c r="AB736" s="429" t="str">
        <f t="shared" si="215"/>
        <v xml:space="preserve"> </v>
      </c>
      <c r="AC736" s="424">
        <f t="shared" si="216"/>
        <v>0</v>
      </c>
      <c r="AD736" s="371">
        <f t="shared" si="217"/>
        <v>0</v>
      </c>
      <c r="AE736" s="748">
        <f t="shared" si="218"/>
        <v>1</v>
      </c>
      <c r="AF736" s="417">
        <f t="shared" si="219"/>
        <v>0.66666666666666663</v>
      </c>
      <c r="AG736" s="416">
        <f t="shared" si="220"/>
        <v>6.7333333333333334</v>
      </c>
      <c r="AH736" s="372">
        <f t="shared" si="221"/>
        <v>0.90990990990990983</v>
      </c>
      <c r="AI736" s="373">
        <f t="shared" si="222"/>
        <v>863.78378378378375</v>
      </c>
      <c r="AJ736" s="418">
        <f>VLOOKUP(D736,'Standard Cycle time'!C:D,2,0)</f>
        <v>3.5</v>
      </c>
      <c r="AK736" s="418">
        <f t="shared" si="223"/>
        <v>3.7922403003754694</v>
      </c>
      <c r="AL736" s="374">
        <f t="shared" si="224"/>
        <v>0.92293729372937294</v>
      </c>
      <c r="AM736" s="372">
        <f t="shared" si="225"/>
        <v>0.83978978978978969</v>
      </c>
      <c r="AN736" s="799" t="s">
        <v>3426</v>
      </c>
      <c r="AO736" s="448"/>
      <c r="AP736" s="440">
        <v>40</v>
      </c>
      <c r="AQ736" s="440">
        <v>0</v>
      </c>
      <c r="AR736" s="440">
        <v>0</v>
      </c>
      <c r="AS736" s="440">
        <v>0</v>
      </c>
      <c r="AT736" s="440">
        <v>0</v>
      </c>
      <c r="AU736" s="440">
        <v>0</v>
      </c>
      <c r="AV736" s="440">
        <v>0</v>
      </c>
      <c r="AW736" s="440">
        <v>0</v>
      </c>
      <c r="AX736" s="440">
        <v>0</v>
      </c>
      <c r="AY736" s="440">
        <v>0</v>
      </c>
      <c r="AZ736" s="440">
        <v>0</v>
      </c>
      <c r="BA736" s="440">
        <v>0</v>
      </c>
      <c r="BB736" s="440">
        <v>0</v>
      </c>
      <c r="BC736" s="440">
        <v>0</v>
      </c>
      <c r="BD736" s="440">
        <v>0</v>
      </c>
      <c r="BE736" s="440">
        <v>0</v>
      </c>
      <c r="BF736" s="440">
        <v>0</v>
      </c>
      <c r="BG736" s="440">
        <v>0</v>
      </c>
      <c r="BH736" s="440">
        <v>0</v>
      </c>
      <c r="BI736" s="440">
        <v>0</v>
      </c>
      <c r="BJ736" s="440">
        <v>0</v>
      </c>
      <c r="BK736" s="440">
        <v>0</v>
      </c>
      <c r="BL736" s="440">
        <v>0</v>
      </c>
      <c r="BM736" s="440">
        <v>0</v>
      </c>
      <c r="BN736" s="440">
        <v>0</v>
      </c>
      <c r="BO736" s="440">
        <v>0</v>
      </c>
      <c r="BP736" s="440">
        <v>0</v>
      </c>
      <c r="BQ736" s="440">
        <v>0</v>
      </c>
      <c r="BR736" s="415">
        <v>0.66666666666666663</v>
      </c>
      <c r="BS736" s="415">
        <v>0.6777777777777777</v>
      </c>
      <c r="BT736" s="935"/>
      <c r="BU736" s="935"/>
      <c r="BV736" s="935"/>
      <c r="BW736" s="935"/>
      <c r="BX736" s="935"/>
      <c r="BY736" s="935"/>
      <c r="BZ736" s="935"/>
      <c r="CA736" s="935"/>
      <c r="CB736" s="935"/>
      <c r="CC736" s="935"/>
      <c r="CD736" s="935"/>
      <c r="CE736" s="935"/>
      <c r="CF736" s="935"/>
      <c r="CG736" s="935"/>
      <c r="CH736" s="935"/>
      <c r="CI736" s="935"/>
      <c r="CJ736" s="935"/>
      <c r="CK736" s="935"/>
      <c r="CL736" s="935"/>
      <c r="CM736" s="935"/>
      <c r="CN736" s="935"/>
      <c r="CO736" s="935"/>
      <c r="CP736" s="935"/>
      <c r="CQ736" s="935"/>
      <c r="CR736" s="935"/>
      <c r="CS736" s="935"/>
      <c r="CT736" s="935"/>
      <c r="CU736" s="935"/>
      <c r="CV736" s="935"/>
    </row>
    <row r="737" spans="1:100" s="441" customFormat="1">
      <c r="A737" s="375">
        <f t="shared" si="211"/>
        <v>9</v>
      </c>
      <c r="B737" s="862">
        <v>44467</v>
      </c>
      <c r="C737" s="493" t="s">
        <v>2001</v>
      </c>
      <c r="D737" s="376" t="str">
        <f>IFERROR(VLOOKUP(E:E,'Item Data Support Sheet'!A:O,7,0),"")</f>
        <v>NIPPLE PUNCH</v>
      </c>
      <c r="E737" s="447" t="s">
        <v>2486</v>
      </c>
      <c r="F737" s="500"/>
      <c r="G737" s="497" t="s">
        <v>1692</v>
      </c>
      <c r="H737" s="602" t="str">
        <f>IFERROR(VLOOKUP(E:E,'Item Data Support Sheet'!A:O,2,0),"")</f>
        <v>NIPPLE S TYPE LL SIZE PUNCHED</v>
      </c>
      <c r="I737" s="501" t="s">
        <v>3427</v>
      </c>
      <c r="J737" s="501" t="s">
        <v>2826</v>
      </c>
      <c r="K737" s="438">
        <v>0.6</v>
      </c>
      <c r="L737" s="499">
        <v>500</v>
      </c>
      <c r="M737" s="366">
        <f t="shared" si="226"/>
        <v>833.33333333333337</v>
      </c>
      <c r="N737" s="367">
        <f t="shared" si="210"/>
        <v>500</v>
      </c>
      <c r="O737" s="61">
        <v>500</v>
      </c>
      <c r="P737" s="368">
        <v>0</v>
      </c>
      <c r="Q737" s="368">
        <v>0</v>
      </c>
      <c r="R737" s="494">
        <v>0</v>
      </c>
      <c r="S737" s="493">
        <v>0</v>
      </c>
      <c r="T737" s="494">
        <v>0</v>
      </c>
      <c r="U737" s="493">
        <v>0</v>
      </c>
      <c r="V737" s="502">
        <v>1</v>
      </c>
      <c r="W737" s="453">
        <f t="shared" si="212"/>
        <v>500</v>
      </c>
      <c r="X737" s="748">
        <f t="shared" si="213"/>
        <v>1</v>
      </c>
      <c r="Y737" s="451" t="str">
        <f>IFERROR(VLOOKUP(E:E,'Item Data Support Sheet'!A:J,6,0),0)</f>
        <v>FO150</v>
      </c>
      <c r="Z737" s="428">
        <f>IFERROR(VLOOKUP(E:E,'Item Data Support Sheet'!A:O,4,0),0)</f>
        <v>0</v>
      </c>
      <c r="AA737" s="428">
        <f t="shared" si="214"/>
        <v>0</v>
      </c>
      <c r="AB737" s="429" t="str">
        <f t="shared" si="215"/>
        <v xml:space="preserve"> </v>
      </c>
      <c r="AC737" s="424">
        <f t="shared" si="216"/>
        <v>0</v>
      </c>
      <c r="AD737" s="371">
        <f t="shared" si="217"/>
        <v>0</v>
      </c>
      <c r="AE737" s="748">
        <f t="shared" si="218"/>
        <v>1</v>
      </c>
      <c r="AF737" s="417">
        <f t="shared" si="219"/>
        <v>0</v>
      </c>
      <c r="AG737" s="416">
        <f t="shared" si="220"/>
        <v>0.6</v>
      </c>
      <c r="AH737" s="372">
        <f t="shared" si="221"/>
        <v>1</v>
      </c>
      <c r="AI737" s="373">
        <f t="shared" si="222"/>
        <v>833.33333333333337</v>
      </c>
      <c r="AJ737" s="418">
        <f>VLOOKUP(D737,'Standard Cycle time'!C:D,2,0)</f>
        <v>3.5</v>
      </c>
      <c r="AK737" s="418">
        <f t="shared" si="223"/>
        <v>4.32</v>
      </c>
      <c r="AL737" s="374">
        <f t="shared" si="224"/>
        <v>0.81018518518518512</v>
      </c>
      <c r="AM737" s="372">
        <f t="shared" si="225"/>
        <v>0.81018518518518512</v>
      </c>
      <c r="AN737" s="799">
        <v>3716</v>
      </c>
      <c r="AO737" s="448"/>
      <c r="AP737" s="440">
        <v>0</v>
      </c>
      <c r="AQ737" s="440">
        <v>0</v>
      </c>
      <c r="AR737" s="440">
        <v>0</v>
      </c>
      <c r="AS737" s="440">
        <v>0</v>
      </c>
      <c r="AT737" s="440">
        <v>0</v>
      </c>
      <c r="AU737" s="440">
        <v>0</v>
      </c>
      <c r="AV737" s="440">
        <v>0</v>
      </c>
      <c r="AW737" s="440">
        <v>0</v>
      </c>
      <c r="AX737" s="440">
        <v>0</v>
      </c>
      <c r="AY737" s="440">
        <v>0</v>
      </c>
      <c r="AZ737" s="440">
        <v>0</v>
      </c>
      <c r="BA737" s="440">
        <v>0</v>
      </c>
      <c r="BB737" s="440">
        <v>0</v>
      </c>
      <c r="BC737" s="440">
        <v>0</v>
      </c>
      <c r="BD737" s="440">
        <v>0</v>
      </c>
      <c r="BE737" s="440">
        <v>0</v>
      </c>
      <c r="BF737" s="440">
        <v>0</v>
      </c>
      <c r="BG737" s="440">
        <v>0</v>
      </c>
      <c r="BH737" s="440">
        <v>0</v>
      </c>
      <c r="BI737" s="440">
        <v>0</v>
      </c>
      <c r="BJ737" s="440">
        <v>0</v>
      </c>
      <c r="BK737" s="440">
        <v>0</v>
      </c>
      <c r="BL737" s="440">
        <v>0</v>
      </c>
      <c r="BM737" s="440">
        <v>0</v>
      </c>
      <c r="BN737" s="440">
        <v>0</v>
      </c>
      <c r="BO737" s="440">
        <v>0</v>
      </c>
      <c r="BP737" s="440">
        <v>0</v>
      </c>
      <c r="BQ737" s="440">
        <v>0</v>
      </c>
      <c r="BR737" s="415">
        <v>0</v>
      </c>
      <c r="BS737" s="415">
        <v>0</v>
      </c>
      <c r="BT737" s="935"/>
      <c r="BU737" s="935"/>
      <c r="BV737" s="935"/>
      <c r="BW737" s="935"/>
      <c r="BX737" s="935"/>
      <c r="BY737" s="935"/>
      <c r="BZ737" s="935"/>
      <c r="CA737" s="935"/>
      <c r="CB737" s="935"/>
      <c r="CC737" s="935"/>
      <c r="CD737" s="935"/>
      <c r="CE737" s="935"/>
      <c r="CF737" s="935"/>
      <c r="CG737" s="935"/>
      <c r="CH737" s="935"/>
      <c r="CI737" s="935"/>
      <c r="CJ737" s="935"/>
      <c r="CK737" s="935"/>
      <c r="CL737" s="935"/>
      <c r="CM737" s="935"/>
      <c r="CN737" s="935"/>
      <c r="CO737" s="935"/>
      <c r="CP737" s="935"/>
      <c r="CQ737" s="935"/>
      <c r="CR737" s="935"/>
      <c r="CS737" s="935"/>
      <c r="CT737" s="935"/>
      <c r="CU737" s="935"/>
      <c r="CV737" s="935"/>
    </row>
    <row r="738" spans="1:100" s="441" customFormat="1">
      <c r="A738" s="375">
        <f t="shared" si="211"/>
        <v>9</v>
      </c>
      <c r="B738" s="862">
        <v>44467</v>
      </c>
      <c r="C738" s="493" t="s">
        <v>2001</v>
      </c>
      <c r="D738" s="376" t="str">
        <f>IFERROR(VLOOKUP(E:E,'Item Data Support Sheet'!A:O,7,0),"")</f>
        <v>CAP MOLDED</v>
      </c>
      <c r="E738" s="447" t="s">
        <v>2108</v>
      </c>
      <c r="F738" s="500"/>
      <c r="G738" s="497" t="s">
        <v>3208</v>
      </c>
      <c r="H738" s="602" t="str">
        <f>IFERROR(VLOOKUP(E:E,'Item Data Support Sheet'!A:O,2,0),"")</f>
        <v>CAP S TYPE MOLDED BLUE</v>
      </c>
      <c r="I738" s="501" t="s">
        <v>3428</v>
      </c>
      <c r="J738" s="501" t="s">
        <v>2826</v>
      </c>
      <c r="K738" s="438">
        <v>8</v>
      </c>
      <c r="L738" s="499">
        <v>4137</v>
      </c>
      <c r="M738" s="366">
        <f t="shared" si="226"/>
        <v>517.125</v>
      </c>
      <c r="N738" s="367">
        <f t="shared" si="210"/>
        <v>4004</v>
      </c>
      <c r="O738" s="61">
        <v>4000</v>
      </c>
      <c r="P738" s="368">
        <v>0</v>
      </c>
      <c r="Q738" s="368">
        <v>0</v>
      </c>
      <c r="R738" s="494">
        <v>0</v>
      </c>
      <c r="S738" s="493">
        <v>0</v>
      </c>
      <c r="T738" s="494">
        <v>4</v>
      </c>
      <c r="U738" s="493">
        <v>0</v>
      </c>
      <c r="V738" s="502">
        <v>1</v>
      </c>
      <c r="W738" s="453">
        <f t="shared" si="212"/>
        <v>4000</v>
      </c>
      <c r="X738" s="748">
        <f t="shared" si="213"/>
        <v>0.96688421561518012</v>
      </c>
      <c r="Y738" s="451" t="str">
        <f>IFERROR(VLOOKUP(E:E,'Item Data Support Sheet'!A:J,6,0),0)</f>
        <v>RM000114</v>
      </c>
      <c r="Z738" s="428">
        <f>IFERROR(VLOOKUP(E:E,'Item Data Support Sheet'!A:O,4,0),0)</f>
        <v>7.3</v>
      </c>
      <c r="AA738" s="428">
        <f t="shared" si="214"/>
        <v>29.229199999999999</v>
      </c>
      <c r="AB738" s="429">
        <f t="shared" si="215"/>
        <v>0.99900099900099903</v>
      </c>
      <c r="AC738" s="424">
        <f t="shared" si="216"/>
        <v>9.99000999000999E-4</v>
      </c>
      <c r="AD738" s="371">
        <f t="shared" si="217"/>
        <v>0</v>
      </c>
      <c r="AE738" s="748">
        <f t="shared" si="218"/>
        <v>0.99900099900099903</v>
      </c>
      <c r="AF738" s="417">
        <f t="shared" si="219"/>
        <v>0</v>
      </c>
      <c r="AG738" s="416">
        <f t="shared" si="220"/>
        <v>8</v>
      </c>
      <c r="AH738" s="372">
        <f t="shared" si="221"/>
        <v>1</v>
      </c>
      <c r="AI738" s="373">
        <f t="shared" si="222"/>
        <v>500</v>
      </c>
      <c r="AJ738" s="418">
        <f>VLOOKUP(D738,'Standard Cycle time'!C:D,2,0)</f>
        <v>6</v>
      </c>
      <c r="AK738" s="418">
        <f t="shared" si="223"/>
        <v>7.2</v>
      </c>
      <c r="AL738" s="374">
        <f t="shared" si="224"/>
        <v>0.83333333333333326</v>
      </c>
      <c r="AM738" s="372">
        <f t="shared" si="225"/>
        <v>0.83250083250083251</v>
      </c>
      <c r="AN738" s="799">
        <v>3721</v>
      </c>
      <c r="AO738" s="448"/>
      <c r="AP738" s="440">
        <v>0</v>
      </c>
      <c r="AQ738" s="440">
        <v>0</v>
      </c>
      <c r="AR738" s="440">
        <v>0</v>
      </c>
      <c r="AS738" s="440">
        <v>0</v>
      </c>
      <c r="AT738" s="440">
        <v>0</v>
      </c>
      <c r="AU738" s="440">
        <v>0</v>
      </c>
      <c r="AV738" s="440">
        <v>0</v>
      </c>
      <c r="AW738" s="440">
        <v>0</v>
      </c>
      <c r="AX738" s="440">
        <v>0</v>
      </c>
      <c r="AY738" s="440">
        <v>0</v>
      </c>
      <c r="AZ738" s="440">
        <v>0</v>
      </c>
      <c r="BA738" s="440">
        <v>0</v>
      </c>
      <c r="BB738" s="440">
        <v>0</v>
      </c>
      <c r="BC738" s="440">
        <v>0</v>
      </c>
      <c r="BD738" s="440">
        <v>0</v>
      </c>
      <c r="BE738" s="440">
        <v>0</v>
      </c>
      <c r="BF738" s="440">
        <v>0</v>
      </c>
      <c r="BG738" s="440">
        <v>0</v>
      </c>
      <c r="BH738" s="440">
        <v>0</v>
      </c>
      <c r="BI738" s="440">
        <v>0</v>
      </c>
      <c r="BJ738" s="440">
        <v>0</v>
      </c>
      <c r="BK738" s="440">
        <v>0</v>
      </c>
      <c r="BL738" s="440">
        <v>0</v>
      </c>
      <c r="BM738" s="440">
        <v>0</v>
      </c>
      <c r="BN738" s="440">
        <v>0</v>
      </c>
      <c r="BO738" s="440">
        <v>0</v>
      </c>
      <c r="BP738" s="440">
        <v>0</v>
      </c>
      <c r="BQ738" s="440">
        <v>0</v>
      </c>
      <c r="BR738" s="415">
        <v>0</v>
      </c>
      <c r="BS738" s="415">
        <v>0</v>
      </c>
      <c r="BT738" s="935"/>
      <c r="BU738" s="935"/>
      <c r="BV738" s="935"/>
      <c r="BW738" s="935"/>
      <c r="BX738" s="935"/>
      <c r="BY738" s="935"/>
      <c r="BZ738" s="935"/>
      <c r="CA738" s="935"/>
      <c r="CB738" s="935"/>
      <c r="CC738" s="935"/>
      <c r="CD738" s="935"/>
      <c r="CE738" s="935"/>
      <c r="CF738" s="935"/>
      <c r="CG738" s="935"/>
      <c r="CH738" s="935"/>
      <c r="CI738" s="935"/>
      <c r="CJ738" s="935"/>
      <c r="CK738" s="935"/>
      <c r="CL738" s="935"/>
      <c r="CM738" s="935"/>
      <c r="CN738" s="935"/>
      <c r="CO738" s="935"/>
      <c r="CP738" s="935"/>
      <c r="CQ738" s="935"/>
      <c r="CR738" s="935"/>
      <c r="CS738" s="935"/>
      <c r="CT738" s="935"/>
      <c r="CU738" s="935"/>
      <c r="CV738" s="935"/>
    </row>
    <row r="739" spans="1:100" s="441" customFormat="1">
      <c r="A739" s="375">
        <f t="shared" si="211"/>
        <v>9</v>
      </c>
      <c r="B739" s="862">
        <v>44467</v>
      </c>
      <c r="C739" s="493" t="s">
        <v>2053</v>
      </c>
      <c r="D739" s="376" t="str">
        <f>IFERROR(VLOOKUP(E:E,'Item Data Support Sheet'!A:O,7,0),"")</f>
        <v>CAP MOLDED</v>
      </c>
      <c r="E739" s="447" t="s">
        <v>2108</v>
      </c>
      <c r="F739" s="500"/>
      <c r="G739" s="497" t="s">
        <v>3208</v>
      </c>
      <c r="H739" s="602" t="str">
        <f>IFERROR(VLOOKUP(E:E,'Item Data Support Sheet'!A:O,2,0),"")</f>
        <v>CAP S TYPE MOLDED BLUE</v>
      </c>
      <c r="I739" s="501" t="s">
        <v>3429</v>
      </c>
      <c r="J739" s="501" t="s">
        <v>2808</v>
      </c>
      <c r="K739" s="438">
        <v>3</v>
      </c>
      <c r="L739" s="499">
        <v>1600</v>
      </c>
      <c r="M739" s="366">
        <f t="shared" si="226"/>
        <v>533.33333333333337</v>
      </c>
      <c r="N739" s="367">
        <f t="shared" si="210"/>
        <v>1608</v>
      </c>
      <c r="O739" s="61">
        <v>1600</v>
      </c>
      <c r="P739" s="368">
        <v>0</v>
      </c>
      <c r="Q739" s="368">
        <v>0</v>
      </c>
      <c r="R739" s="494">
        <v>0</v>
      </c>
      <c r="S739" s="493">
        <v>0</v>
      </c>
      <c r="T739" s="494">
        <v>0</v>
      </c>
      <c r="U739" s="493">
        <v>8</v>
      </c>
      <c r="V739" s="502">
        <v>1</v>
      </c>
      <c r="W739" s="453">
        <f t="shared" si="212"/>
        <v>1600</v>
      </c>
      <c r="X739" s="748">
        <f t="shared" si="213"/>
        <v>1</v>
      </c>
      <c r="Y739" s="451" t="str">
        <f>IFERROR(VLOOKUP(E:E,'Item Data Support Sheet'!A:J,6,0),0)</f>
        <v>RM000114</v>
      </c>
      <c r="Z739" s="428">
        <f>IFERROR(VLOOKUP(E:E,'Item Data Support Sheet'!A:O,4,0),0)</f>
        <v>7.3</v>
      </c>
      <c r="AA739" s="428">
        <f t="shared" si="214"/>
        <v>11.7384</v>
      </c>
      <c r="AB739" s="429">
        <f t="shared" si="215"/>
        <v>0.99502487562189046</v>
      </c>
      <c r="AC739" s="424">
        <f t="shared" si="216"/>
        <v>0</v>
      </c>
      <c r="AD739" s="371">
        <f t="shared" si="217"/>
        <v>0</v>
      </c>
      <c r="AE739" s="748">
        <f t="shared" si="218"/>
        <v>1</v>
      </c>
      <c r="AF739" s="417">
        <f t="shared" si="219"/>
        <v>0</v>
      </c>
      <c r="AG739" s="416">
        <f t="shared" si="220"/>
        <v>3</v>
      </c>
      <c r="AH739" s="372">
        <f t="shared" si="221"/>
        <v>1</v>
      </c>
      <c r="AI739" s="373">
        <f t="shared" si="222"/>
        <v>533.33333333333337</v>
      </c>
      <c r="AJ739" s="418">
        <f>VLOOKUP(D739,'Standard Cycle time'!C:D,2,0)</f>
        <v>6</v>
      </c>
      <c r="AK739" s="418">
        <f t="shared" si="223"/>
        <v>6.75</v>
      </c>
      <c r="AL739" s="374">
        <f t="shared" si="224"/>
        <v>0.88888888888888884</v>
      </c>
      <c r="AM739" s="372">
        <f t="shared" si="225"/>
        <v>0.88888888888888884</v>
      </c>
      <c r="AN739" s="799">
        <v>3722</v>
      </c>
      <c r="AO739" s="448"/>
      <c r="AP739" s="440">
        <v>0</v>
      </c>
      <c r="AQ739" s="440">
        <v>0</v>
      </c>
      <c r="AR739" s="440">
        <v>0</v>
      </c>
      <c r="AS739" s="440">
        <v>0</v>
      </c>
      <c r="AT739" s="440">
        <v>0</v>
      </c>
      <c r="AU739" s="440">
        <v>0</v>
      </c>
      <c r="AV739" s="440">
        <v>0</v>
      </c>
      <c r="AW739" s="440">
        <v>0</v>
      </c>
      <c r="AX739" s="440">
        <v>0</v>
      </c>
      <c r="AY739" s="440">
        <v>0</v>
      </c>
      <c r="AZ739" s="440">
        <v>0</v>
      </c>
      <c r="BA739" s="440">
        <v>0</v>
      </c>
      <c r="BB739" s="440">
        <v>0</v>
      </c>
      <c r="BC739" s="440">
        <v>0</v>
      </c>
      <c r="BD739" s="440">
        <v>0</v>
      </c>
      <c r="BE739" s="440">
        <v>0</v>
      </c>
      <c r="BF739" s="440">
        <v>0</v>
      </c>
      <c r="BG739" s="440">
        <v>0</v>
      </c>
      <c r="BH739" s="440">
        <v>0</v>
      </c>
      <c r="BI739" s="440">
        <v>0</v>
      </c>
      <c r="BJ739" s="440">
        <v>0</v>
      </c>
      <c r="BK739" s="440">
        <v>0</v>
      </c>
      <c r="BL739" s="440">
        <v>0</v>
      </c>
      <c r="BM739" s="440">
        <v>0</v>
      </c>
      <c r="BN739" s="440">
        <v>0</v>
      </c>
      <c r="BO739" s="440">
        <v>0</v>
      </c>
      <c r="BP739" s="440">
        <v>0</v>
      </c>
      <c r="BQ739" s="440">
        <v>0</v>
      </c>
      <c r="BR739" s="415">
        <v>0</v>
      </c>
      <c r="BS739" s="415">
        <v>0</v>
      </c>
      <c r="BT739" s="935"/>
      <c r="BU739" s="935"/>
      <c r="BV739" s="935"/>
      <c r="BW739" s="935"/>
      <c r="BX739" s="935"/>
      <c r="BY739" s="935"/>
      <c r="BZ739" s="935"/>
      <c r="CA739" s="935"/>
      <c r="CB739" s="935"/>
      <c r="CC739" s="935"/>
      <c r="CD739" s="935"/>
      <c r="CE739" s="935"/>
      <c r="CF739" s="935"/>
      <c r="CG739" s="935"/>
      <c r="CH739" s="935"/>
      <c r="CI739" s="935"/>
      <c r="CJ739" s="935"/>
      <c r="CK739" s="935"/>
      <c r="CL739" s="935"/>
      <c r="CM739" s="935"/>
      <c r="CN739" s="935"/>
      <c r="CO739" s="935"/>
      <c r="CP739" s="935"/>
      <c r="CQ739" s="935"/>
      <c r="CR739" s="935"/>
      <c r="CS739" s="935"/>
      <c r="CT739" s="935"/>
      <c r="CU739" s="935"/>
      <c r="CV739" s="935"/>
    </row>
    <row r="740" spans="1:100" s="441" customFormat="1">
      <c r="A740" s="375">
        <f t="shared" si="211"/>
        <v>9</v>
      </c>
      <c r="B740" s="862">
        <v>44467</v>
      </c>
      <c r="C740" s="493" t="s">
        <v>2053</v>
      </c>
      <c r="D740" s="376" t="str">
        <f>IFERROR(VLOOKUP(E:E,'Item Data Support Sheet'!A:O,7,0),"")</f>
        <v>CAP MOLDED</v>
      </c>
      <c r="E740" s="447" t="s">
        <v>2106</v>
      </c>
      <c r="F740" s="500"/>
      <c r="G740" s="497" t="s">
        <v>3212</v>
      </c>
      <c r="H740" s="602" t="str">
        <f>IFERROR(VLOOKUP(E:E,'Item Data Support Sheet'!A:O,2,0),"")</f>
        <v>CAP S TYPE MOLDED RED</v>
      </c>
      <c r="I740" s="501" t="s">
        <v>3430</v>
      </c>
      <c r="J740" s="501" t="s">
        <v>2808</v>
      </c>
      <c r="K740" s="438">
        <v>5</v>
      </c>
      <c r="L740" s="499">
        <v>2537</v>
      </c>
      <c r="M740" s="366">
        <f t="shared" si="226"/>
        <v>507.4</v>
      </c>
      <c r="N740" s="367">
        <f t="shared" si="210"/>
        <v>2512</v>
      </c>
      <c r="O740" s="61">
        <v>2500</v>
      </c>
      <c r="P740" s="368">
        <v>0</v>
      </c>
      <c r="Q740" s="368">
        <v>4</v>
      </c>
      <c r="R740" s="494">
        <v>0</v>
      </c>
      <c r="S740" s="493">
        <v>0</v>
      </c>
      <c r="T740" s="494">
        <v>0</v>
      </c>
      <c r="U740" s="493">
        <v>8</v>
      </c>
      <c r="V740" s="502">
        <v>1</v>
      </c>
      <c r="W740" s="453">
        <f t="shared" si="212"/>
        <v>2500</v>
      </c>
      <c r="X740" s="748">
        <f t="shared" si="213"/>
        <v>0.98541584548679539</v>
      </c>
      <c r="Y740" s="451" t="str">
        <f>IFERROR(VLOOKUP(E:E,'Item Data Support Sheet'!A:J,6,0),0)</f>
        <v>FO153</v>
      </c>
      <c r="Z740" s="428">
        <f>IFERROR(VLOOKUP(E:E,'Item Data Support Sheet'!A:O,4,0),0)</f>
        <v>7.3</v>
      </c>
      <c r="AA740" s="428">
        <f t="shared" si="214"/>
        <v>18.337600000000002</v>
      </c>
      <c r="AB740" s="429">
        <f t="shared" si="215"/>
        <v>0.99522292993630568</v>
      </c>
      <c r="AC740" s="424">
        <f t="shared" si="216"/>
        <v>0</v>
      </c>
      <c r="AD740" s="371">
        <f t="shared" si="217"/>
        <v>1.589825119236884E-3</v>
      </c>
      <c r="AE740" s="748">
        <f t="shared" si="218"/>
        <v>1</v>
      </c>
      <c r="AF740" s="417">
        <f t="shared" si="219"/>
        <v>0.5</v>
      </c>
      <c r="AG740" s="416">
        <f t="shared" si="220"/>
        <v>4.5</v>
      </c>
      <c r="AH740" s="372">
        <f t="shared" si="221"/>
        <v>0.9</v>
      </c>
      <c r="AI740" s="373">
        <f t="shared" si="222"/>
        <v>500</v>
      </c>
      <c r="AJ740" s="418">
        <f>VLOOKUP(D740,'Standard Cycle time'!C:D,2,0)</f>
        <v>6</v>
      </c>
      <c r="AK740" s="418">
        <f t="shared" si="223"/>
        <v>6.48</v>
      </c>
      <c r="AL740" s="374">
        <f t="shared" si="224"/>
        <v>0.92592592592592582</v>
      </c>
      <c r="AM740" s="372">
        <f t="shared" si="225"/>
        <v>0.83333333333333326</v>
      </c>
      <c r="AN740" s="799">
        <v>3768</v>
      </c>
      <c r="AO740" s="448"/>
      <c r="AP740" s="440">
        <v>0</v>
      </c>
      <c r="AQ740" s="440">
        <v>30</v>
      </c>
      <c r="AR740" s="440">
        <v>0</v>
      </c>
      <c r="AS740" s="440">
        <v>0</v>
      </c>
      <c r="AT740" s="440">
        <v>0</v>
      </c>
      <c r="AU740" s="440">
        <v>0</v>
      </c>
      <c r="AV740" s="440">
        <v>0</v>
      </c>
      <c r="AW740" s="440">
        <v>0</v>
      </c>
      <c r="AX740" s="440">
        <v>0</v>
      </c>
      <c r="AY740" s="440">
        <v>0</v>
      </c>
      <c r="AZ740" s="440">
        <v>0</v>
      </c>
      <c r="BA740" s="440">
        <v>0</v>
      </c>
      <c r="BB740" s="440">
        <v>0</v>
      </c>
      <c r="BC740" s="440">
        <v>0</v>
      </c>
      <c r="BD740" s="440">
        <v>0</v>
      </c>
      <c r="BE740" s="440">
        <v>0</v>
      </c>
      <c r="BF740" s="440">
        <v>0</v>
      </c>
      <c r="BG740" s="440">
        <v>0</v>
      </c>
      <c r="BH740" s="440">
        <v>0</v>
      </c>
      <c r="BI740" s="440">
        <v>0</v>
      </c>
      <c r="BJ740" s="440">
        <v>0</v>
      </c>
      <c r="BK740" s="440">
        <v>0</v>
      </c>
      <c r="BL740" s="440">
        <v>0</v>
      </c>
      <c r="BM740" s="440">
        <v>0</v>
      </c>
      <c r="BN740" s="440">
        <v>0</v>
      </c>
      <c r="BO740" s="440">
        <v>0</v>
      </c>
      <c r="BP740" s="440">
        <v>0</v>
      </c>
      <c r="BQ740" s="440">
        <v>0</v>
      </c>
      <c r="BR740" s="415">
        <v>0.5</v>
      </c>
      <c r="BS740" s="415">
        <v>0.5083333333333333</v>
      </c>
      <c r="BT740" s="935"/>
      <c r="BU740" s="935"/>
      <c r="BV740" s="935"/>
      <c r="BW740" s="935"/>
      <c r="BX740" s="935"/>
      <c r="BY740" s="935"/>
      <c r="BZ740" s="935"/>
      <c r="CA740" s="935"/>
      <c r="CB740" s="935"/>
      <c r="CC740" s="935"/>
      <c r="CD740" s="935"/>
      <c r="CE740" s="935"/>
      <c r="CF740" s="935"/>
      <c r="CG740" s="935"/>
      <c r="CH740" s="935"/>
      <c r="CI740" s="935"/>
      <c r="CJ740" s="935"/>
      <c r="CK740" s="935"/>
      <c r="CL740" s="935"/>
      <c r="CM740" s="935"/>
      <c r="CN740" s="935"/>
      <c r="CO740" s="935"/>
      <c r="CP740" s="935"/>
      <c r="CQ740" s="935"/>
      <c r="CR740" s="935"/>
      <c r="CS740" s="935"/>
      <c r="CT740" s="935"/>
      <c r="CU740" s="935"/>
      <c r="CV740" s="935"/>
    </row>
    <row r="741" spans="1:100" s="441" customFormat="1">
      <c r="A741" s="375">
        <f t="shared" si="211"/>
        <v>9</v>
      </c>
      <c r="B741" s="862">
        <v>44467</v>
      </c>
      <c r="C741" s="493" t="s">
        <v>2053</v>
      </c>
      <c r="D741" s="376" t="str">
        <f>IFERROR(VLOOKUP(E:E,'Item Data Support Sheet'!A:O,7,0),"")</f>
        <v>NIPPLE LASER MARKING</v>
      </c>
      <c r="E741" s="447" t="s">
        <v>1816</v>
      </c>
      <c r="F741" s="500"/>
      <c r="G741" s="497" t="s">
        <v>1812</v>
      </c>
      <c r="H741" s="602" t="str">
        <f>IFERROR(VLOOKUP(E:E,'Item Data Support Sheet'!A:O,2,0),"")</f>
        <v>NIPPLE S TYPE L SIZE PUNCHED LASER MARKED</v>
      </c>
      <c r="I741" s="501" t="s">
        <v>3431</v>
      </c>
      <c r="J741" s="501" t="s">
        <v>2808</v>
      </c>
      <c r="K741" s="438">
        <v>7</v>
      </c>
      <c r="L741" s="499">
        <v>6125</v>
      </c>
      <c r="M741" s="366">
        <f t="shared" si="226"/>
        <v>875</v>
      </c>
      <c r="N741" s="367">
        <f t="shared" si="210"/>
        <v>6065</v>
      </c>
      <c r="O741" s="61">
        <v>6065</v>
      </c>
      <c r="P741" s="368">
        <v>0</v>
      </c>
      <c r="Q741" s="368">
        <v>0</v>
      </c>
      <c r="R741" s="494">
        <v>0</v>
      </c>
      <c r="S741" s="493">
        <v>0</v>
      </c>
      <c r="T741" s="494">
        <v>0</v>
      </c>
      <c r="U741" s="493">
        <v>0</v>
      </c>
      <c r="V741" s="502">
        <v>1</v>
      </c>
      <c r="W741" s="453">
        <f t="shared" si="212"/>
        <v>6065</v>
      </c>
      <c r="X741" s="748">
        <f t="shared" si="213"/>
        <v>0.99020408163265305</v>
      </c>
      <c r="Y741" s="451" t="str">
        <f>IFERROR(VLOOKUP(E:E,'Item Data Support Sheet'!A:J,6,0),0)</f>
        <v>FO021</v>
      </c>
      <c r="Z741" s="428">
        <f>IFERROR(VLOOKUP(E:E,'Item Data Support Sheet'!A:O,4,0),0)</f>
        <v>0</v>
      </c>
      <c r="AA741" s="428">
        <f t="shared" si="214"/>
        <v>0</v>
      </c>
      <c r="AB741" s="429" t="str">
        <f t="shared" si="215"/>
        <v xml:space="preserve"> </v>
      </c>
      <c r="AC741" s="424">
        <f t="shared" si="216"/>
        <v>0</v>
      </c>
      <c r="AD741" s="371">
        <f t="shared" si="217"/>
        <v>0</v>
      </c>
      <c r="AE741" s="748">
        <f t="shared" si="218"/>
        <v>1</v>
      </c>
      <c r="AF741" s="417">
        <f t="shared" si="219"/>
        <v>0.33333333333333331</v>
      </c>
      <c r="AG741" s="416">
        <f t="shared" si="220"/>
        <v>6.666666666666667</v>
      </c>
      <c r="AH741" s="372">
        <f t="shared" si="221"/>
        <v>0.95238095238095244</v>
      </c>
      <c r="AI741" s="373">
        <f t="shared" si="222"/>
        <v>866.42857142857144</v>
      </c>
      <c r="AJ741" s="418">
        <f>VLOOKUP(D741,'Standard Cycle time'!C:D,2,0)</f>
        <v>3.5</v>
      </c>
      <c r="AK741" s="418">
        <f t="shared" si="223"/>
        <v>3.9571310799670241</v>
      </c>
      <c r="AL741" s="374">
        <f t="shared" si="224"/>
        <v>0.88447916666666659</v>
      </c>
      <c r="AM741" s="372">
        <f t="shared" si="225"/>
        <v>0.84236111111111112</v>
      </c>
      <c r="AN741" s="799" t="s">
        <v>3432</v>
      </c>
      <c r="AO741" s="448"/>
      <c r="AP741" s="440">
        <v>20</v>
      </c>
      <c r="AQ741" s="440">
        <v>0</v>
      </c>
      <c r="AR741" s="440">
        <v>0</v>
      </c>
      <c r="AS741" s="440">
        <v>0</v>
      </c>
      <c r="AT741" s="440">
        <v>0</v>
      </c>
      <c r="AU741" s="440">
        <v>0</v>
      </c>
      <c r="AV741" s="440">
        <v>0</v>
      </c>
      <c r="AW741" s="440">
        <v>0</v>
      </c>
      <c r="AX741" s="440">
        <v>0</v>
      </c>
      <c r="AY741" s="440">
        <v>0</v>
      </c>
      <c r="AZ741" s="440">
        <v>0</v>
      </c>
      <c r="BA741" s="440">
        <v>0</v>
      </c>
      <c r="BB741" s="440">
        <v>0</v>
      </c>
      <c r="BC741" s="440">
        <v>0</v>
      </c>
      <c r="BD741" s="440">
        <v>0</v>
      </c>
      <c r="BE741" s="440">
        <v>0</v>
      </c>
      <c r="BF741" s="440">
        <v>0</v>
      </c>
      <c r="BG741" s="440">
        <v>0</v>
      </c>
      <c r="BH741" s="440">
        <v>0</v>
      </c>
      <c r="BI741" s="440">
        <v>0</v>
      </c>
      <c r="BJ741" s="440">
        <v>0</v>
      </c>
      <c r="BK741" s="440">
        <v>0</v>
      </c>
      <c r="BL741" s="440">
        <v>0</v>
      </c>
      <c r="BM741" s="440">
        <v>0</v>
      </c>
      <c r="BN741" s="440">
        <v>0</v>
      </c>
      <c r="BO741" s="440">
        <v>0</v>
      </c>
      <c r="BP741" s="440">
        <v>0</v>
      </c>
      <c r="BQ741" s="440">
        <v>0</v>
      </c>
      <c r="BR741" s="415">
        <v>0.33333333333333331</v>
      </c>
      <c r="BS741" s="415">
        <v>0.33888888888888885</v>
      </c>
      <c r="BT741" s="935"/>
      <c r="BU741" s="935"/>
      <c r="BV741" s="935"/>
      <c r="BW741" s="935"/>
      <c r="BX741" s="935"/>
      <c r="BY741" s="935"/>
      <c r="BZ741" s="935"/>
      <c r="CA741" s="935"/>
      <c r="CB741" s="935"/>
      <c r="CC741" s="935"/>
      <c r="CD741" s="935"/>
      <c r="CE741" s="935"/>
      <c r="CF741" s="935"/>
      <c r="CG741" s="935"/>
      <c r="CH741" s="935"/>
      <c r="CI741" s="935"/>
      <c r="CJ741" s="935"/>
      <c r="CK741" s="935"/>
      <c r="CL741" s="935"/>
      <c r="CM741" s="935"/>
      <c r="CN741" s="935"/>
      <c r="CO741" s="935"/>
      <c r="CP741" s="935"/>
      <c r="CQ741" s="935"/>
      <c r="CR741" s="935"/>
      <c r="CS741" s="935"/>
      <c r="CT741" s="935"/>
      <c r="CU741" s="935"/>
      <c r="CV741" s="935"/>
    </row>
    <row r="742" spans="1:100" s="441" customFormat="1">
      <c r="A742" s="375">
        <f t="shared" si="211"/>
        <v>9</v>
      </c>
      <c r="B742" s="862">
        <v>44467</v>
      </c>
      <c r="C742" s="493" t="s">
        <v>2053</v>
      </c>
      <c r="D742" s="376" t="str">
        <f>IFERROR(VLOOKUP(E:E,'Item Data Support Sheet'!A:O,7,0),"")</f>
        <v>NIPPLE LASER MARKING</v>
      </c>
      <c r="E742" s="447" t="s">
        <v>2487</v>
      </c>
      <c r="F742" s="500"/>
      <c r="G742" s="497" t="s">
        <v>1812</v>
      </c>
      <c r="H742" s="602" t="str">
        <f>IFERROR(VLOOKUP(E:E,'Item Data Support Sheet'!A:O,2,0),"")</f>
        <v>NIPPLE S TYPE LL SIZE LASER MARKED</v>
      </c>
      <c r="I742" s="501" t="s">
        <v>3403</v>
      </c>
      <c r="J742" s="501" t="s">
        <v>2808</v>
      </c>
      <c r="K742" s="438">
        <v>1</v>
      </c>
      <c r="L742" s="499">
        <v>875</v>
      </c>
      <c r="M742" s="366">
        <f t="shared" si="226"/>
        <v>875</v>
      </c>
      <c r="N742" s="367">
        <f t="shared" si="210"/>
        <v>1000</v>
      </c>
      <c r="O742" s="61">
        <v>1000</v>
      </c>
      <c r="P742" s="368">
        <v>0</v>
      </c>
      <c r="Q742" s="368">
        <v>0</v>
      </c>
      <c r="R742" s="494">
        <v>0</v>
      </c>
      <c r="S742" s="493">
        <v>0</v>
      </c>
      <c r="T742" s="494">
        <v>0</v>
      </c>
      <c r="U742" s="493">
        <v>0</v>
      </c>
      <c r="V742" s="502">
        <v>1</v>
      </c>
      <c r="W742" s="453">
        <f t="shared" si="212"/>
        <v>1000</v>
      </c>
      <c r="X742" s="748">
        <f t="shared" si="213"/>
        <v>1.1428571428571428</v>
      </c>
      <c r="Y742" s="451" t="str">
        <f>IFERROR(VLOOKUP(E:E,'Item Data Support Sheet'!A:J,6,0),0)</f>
        <v>FO151</v>
      </c>
      <c r="Z742" s="428">
        <f>IFERROR(VLOOKUP(E:E,'Item Data Support Sheet'!A:O,4,0),0)</f>
        <v>0</v>
      </c>
      <c r="AA742" s="428">
        <f t="shared" si="214"/>
        <v>0</v>
      </c>
      <c r="AB742" s="429" t="str">
        <f t="shared" si="215"/>
        <v xml:space="preserve"> </v>
      </c>
      <c r="AC742" s="424">
        <f t="shared" si="216"/>
        <v>0</v>
      </c>
      <c r="AD742" s="371">
        <f t="shared" si="217"/>
        <v>0</v>
      </c>
      <c r="AE742" s="748">
        <f t="shared" si="218"/>
        <v>1</v>
      </c>
      <c r="AF742" s="417">
        <f t="shared" si="219"/>
        <v>0.16666666666666666</v>
      </c>
      <c r="AG742" s="416">
        <f t="shared" si="220"/>
        <v>0.83333333333333337</v>
      </c>
      <c r="AH742" s="372">
        <f t="shared" si="221"/>
        <v>0.83333333333333337</v>
      </c>
      <c r="AI742" s="373">
        <f t="shared" si="222"/>
        <v>1000</v>
      </c>
      <c r="AJ742" s="418">
        <f>VLOOKUP(D742,'Standard Cycle time'!C:D,2,0)</f>
        <v>3.5</v>
      </c>
      <c r="AK742" s="418">
        <f t="shared" si="223"/>
        <v>3</v>
      </c>
      <c r="AL742" s="374">
        <f t="shared" si="224"/>
        <v>1.1666666666666667</v>
      </c>
      <c r="AM742" s="372">
        <f t="shared" si="225"/>
        <v>0.97222222222222232</v>
      </c>
      <c r="AN742" s="799">
        <v>3725</v>
      </c>
      <c r="AO742" s="448" t="s">
        <v>3433</v>
      </c>
      <c r="AP742" s="440">
        <v>0</v>
      </c>
      <c r="AQ742" s="440">
        <v>10</v>
      </c>
      <c r="AR742" s="440">
        <v>0</v>
      </c>
      <c r="AS742" s="440">
        <v>0</v>
      </c>
      <c r="AT742" s="440">
        <v>0</v>
      </c>
      <c r="AU742" s="440">
        <v>0</v>
      </c>
      <c r="AV742" s="440">
        <v>0</v>
      </c>
      <c r="AW742" s="440">
        <v>0</v>
      </c>
      <c r="AX742" s="440">
        <v>0</v>
      </c>
      <c r="AY742" s="440">
        <v>0</v>
      </c>
      <c r="AZ742" s="440">
        <v>0</v>
      </c>
      <c r="BA742" s="440">
        <v>0</v>
      </c>
      <c r="BB742" s="440">
        <v>0</v>
      </c>
      <c r="BC742" s="440">
        <v>0</v>
      </c>
      <c r="BD742" s="440">
        <v>0</v>
      </c>
      <c r="BE742" s="440">
        <v>0</v>
      </c>
      <c r="BF742" s="440">
        <v>0</v>
      </c>
      <c r="BG742" s="440">
        <v>0</v>
      </c>
      <c r="BH742" s="440">
        <v>0</v>
      </c>
      <c r="BI742" s="440">
        <v>0</v>
      </c>
      <c r="BJ742" s="440">
        <v>0</v>
      </c>
      <c r="BK742" s="440">
        <v>0</v>
      </c>
      <c r="BL742" s="440">
        <v>0</v>
      </c>
      <c r="BM742" s="440">
        <v>0</v>
      </c>
      <c r="BN742" s="440">
        <v>0</v>
      </c>
      <c r="BO742" s="440">
        <v>0</v>
      </c>
      <c r="BP742" s="440">
        <v>0</v>
      </c>
      <c r="BQ742" s="440">
        <v>0</v>
      </c>
      <c r="BR742" s="415">
        <v>0.16666666666666666</v>
      </c>
      <c r="BS742" s="415">
        <v>0.16944444444444443</v>
      </c>
      <c r="BT742" s="935"/>
      <c r="BU742" s="935"/>
      <c r="BV742" s="935"/>
      <c r="BW742" s="935"/>
      <c r="BX742" s="935"/>
      <c r="BY742" s="935"/>
      <c r="BZ742" s="935"/>
      <c r="CA742" s="935"/>
      <c r="CB742" s="935"/>
      <c r="CC742" s="935"/>
      <c r="CD742" s="935"/>
      <c r="CE742" s="935"/>
      <c r="CF742" s="935"/>
      <c r="CG742" s="935"/>
      <c r="CH742" s="935"/>
      <c r="CI742" s="935"/>
      <c r="CJ742" s="935"/>
      <c r="CK742" s="935"/>
      <c r="CL742" s="935"/>
      <c r="CM742" s="935"/>
      <c r="CN742" s="935"/>
      <c r="CO742" s="935"/>
      <c r="CP742" s="935"/>
      <c r="CQ742" s="935"/>
      <c r="CR742" s="935"/>
      <c r="CS742" s="935"/>
      <c r="CT742" s="935"/>
      <c r="CU742" s="935"/>
      <c r="CV742" s="935"/>
    </row>
    <row r="743" spans="1:100" s="441" customFormat="1">
      <c r="A743" s="375">
        <f t="shared" si="211"/>
        <v>9</v>
      </c>
      <c r="B743" s="862">
        <v>44468</v>
      </c>
      <c r="C743" s="493" t="s">
        <v>1980</v>
      </c>
      <c r="D743" s="376" t="str">
        <f>IFERROR(VLOOKUP(E:E,'Item Data Support Sheet'!A:O,7,0),"")</f>
        <v>NIPPLE PUNCH</v>
      </c>
      <c r="E743" s="447" t="s">
        <v>83</v>
      </c>
      <c r="F743" s="500"/>
      <c r="G743" s="497" t="s">
        <v>1692</v>
      </c>
      <c r="H743" s="602" t="str">
        <f>IFERROR(VLOOKUP(E:E,'Item Data Support Sheet'!A:O,2,0),"")</f>
        <v>NIPPLE S TYPE Y SIZE PUNCHED</v>
      </c>
      <c r="I743" s="501" t="s">
        <v>3434</v>
      </c>
      <c r="J743" s="501" t="s">
        <v>2811</v>
      </c>
      <c r="K743" s="438">
        <v>8</v>
      </c>
      <c r="L743" s="499">
        <v>7000</v>
      </c>
      <c r="M743" s="366">
        <f t="shared" si="226"/>
        <v>875</v>
      </c>
      <c r="N743" s="367">
        <f t="shared" si="210"/>
        <v>7040</v>
      </c>
      <c r="O743" s="61">
        <v>7040</v>
      </c>
      <c r="P743" s="368">
        <v>0</v>
      </c>
      <c r="Q743" s="368">
        <v>0</v>
      </c>
      <c r="R743" s="494">
        <v>0</v>
      </c>
      <c r="S743" s="493">
        <v>0</v>
      </c>
      <c r="T743" s="494">
        <v>0</v>
      </c>
      <c r="U743" s="493">
        <v>0</v>
      </c>
      <c r="V743" s="502">
        <v>1</v>
      </c>
      <c r="W743" s="453">
        <f t="shared" si="212"/>
        <v>7040</v>
      </c>
      <c r="X743" s="748">
        <f t="shared" si="213"/>
        <v>1.0057142857142858</v>
      </c>
      <c r="Y743" s="451" t="str">
        <f>IFERROR(VLOOKUP(E:E,'Item Data Support Sheet'!A:J,6,0),0)</f>
        <v>FO018</v>
      </c>
      <c r="Z743" s="428">
        <f>IFERROR(VLOOKUP(E:E,'Item Data Support Sheet'!A:O,4,0),0)</f>
        <v>0</v>
      </c>
      <c r="AA743" s="428">
        <f t="shared" si="214"/>
        <v>0</v>
      </c>
      <c r="AB743" s="429" t="str">
        <f t="shared" si="215"/>
        <v xml:space="preserve"> </v>
      </c>
      <c r="AC743" s="424">
        <f t="shared" si="216"/>
        <v>0</v>
      </c>
      <c r="AD743" s="371">
        <f t="shared" si="217"/>
        <v>0</v>
      </c>
      <c r="AE743" s="748">
        <f t="shared" si="218"/>
        <v>1</v>
      </c>
      <c r="AF743" s="417">
        <f t="shared" si="219"/>
        <v>0.66666666666666663</v>
      </c>
      <c r="AG743" s="416">
        <f t="shared" si="220"/>
        <v>7.333333333333333</v>
      </c>
      <c r="AH743" s="372">
        <f t="shared" si="221"/>
        <v>0.91666666666666663</v>
      </c>
      <c r="AI743" s="373">
        <f t="shared" si="222"/>
        <v>880</v>
      </c>
      <c r="AJ743" s="418">
        <f>VLOOKUP(D743,'Standard Cycle time'!C:D,2,0)</f>
        <v>3.5</v>
      </c>
      <c r="AK743" s="418">
        <f t="shared" si="223"/>
        <v>3.75</v>
      </c>
      <c r="AL743" s="374">
        <f t="shared" si="224"/>
        <v>0.93333333333333335</v>
      </c>
      <c r="AM743" s="372">
        <f t="shared" si="225"/>
        <v>0.85555555555555551</v>
      </c>
      <c r="AN743" s="799" t="s">
        <v>3435</v>
      </c>
      <c r="AO743" s="448"/>
      <c r="AP743" s="440">
        <v>40</v>
      </c>
      <c r="AQ743" s="440">
        <v>0</v>
      </c>
      <c r="AR743" s="440">
        <v>0</v>
      </c>
      <c r="AS743" s="440">
        <v>0</v>
      </c>
      <c r="AT743" s="440">
        <v>0</v>
      </c>
      <c r="AU743" s="440">
        <v>0</v>
      </c>
      <c r="AV743" s="440">
        <v>0</v>
      </c>
      <c r="AW743" s="440">
        <v>0</v>
      </c>
      <c r="AX743" s="440">
        <v>0</v>
      </c>
      <c r="AY743" s="440">
        <v>0</v>
      </c>
      <c r="AZ743" s="440">
        <v>0</v>
      </c>
      <c r="BA743" s="440">
        <v>0</v>
      </c>
      <c r="BB743" s="440">
        <v>0</v>
      </c>
      <c r="BC743" s="440">
        <v>0</v>
      </c>
      <c r="BD743" s="440">
        <v>0</v>
      </c>
      <c r="BE743" s="440">
        <v>0</v>
      </c>
      <c r="BF743" s="440">
        <v>0</v>
      </c>
      <c r="BG743" s="440">
        <v>0</v>
      </c>
      <c r="BH743" s="440">
        <v>0</v>
      </c>
      <c r="BI743" s="440">
        <v>0</v>
      </c>
      <c r="BJ743" s="440">
        <v>0</v>
      </c>
      <c r="BK743" s="440">
        <v>0</v>
      </c>
      <c r="BL743" s="440">
        <v>0</v>
      </c>
      <c r="BM743" s="440">
        <v>0</v>
      </c>
      <c r="BN743" s="440">
        <v>0</v>
      </c>
      <c r="BO743" s="440">
        <v>0</v>
      </c>
      <c r="BP743" s="440">
        <v>0</v>
      </c>
      <c r="BQ743" s="440">
        <v>0</v>
      </c>
      <c r="BR743" s="415">
        <v>0.66666666666666663</v>
      </c>
      <c r="BS743" s="415">
        <v>0.6777777777777777</v>
      </c>
      <c r="BT743" s="935"/>
      <c r="BU743" s="935"/>
      <c r="BV743" s="935"/>
      <c r="BW743" s="935"/>
      <c r="BX743" s="935"/>
      <c r="BY743" s="935"/>
      <c r="BZ743" s="935"/>
      <c r="CA743" s="935"/>
      <c r="CB743" s="935"/>
      <c r="CC743" s="935"/>
      <c r="CD743" s="935"/>
      <c r="CE743" s="935"/>
      <c r="CF743" s="935"/>
      <c r="CG743" s="935"/>
      <c r="CH743" s="935"/>
      <c r="CI743" s="935"/>
      <c r="CJ743" s="935"/>
      <c r="CK743" s="935"/>
      <c r="CL743" s="935"/>
      <c r="CM743" s="935"/>
      <c r="CN743" s="935"/>
      <c r="CO743" s="935"/>
      <c r="CP743" s="935"/>
      <c r="CQ743" s="935"/>
      <c r="CR743" s="935"/>
      <c r="CS743" s="935"/>
      <c r="CT743" s="935"/>
      <c r="CU743" s="935"/>
      <c r="CV743" s="935"/>
    </row>
    <row r="744" spans="1:100" s="441" customFormat="1">
      <c r="A744" s="375">
        <f t="shared" si="211"/>
        <v>9</v>
      </c>
      <c r="B744" s="862">
        <v>44468</v>
      </c>
      <c r="C744" s="493" t="s">
        <v>1980</v>
      </c>
      <c r="D744" s="376" t="str">
        <f>IFERROR(VLOOKUP(E:E,'Item Data Support Sheet'!A:O,7,0),"")</f>
        <v>NIPPLE LASER MARKING</v>
      </c>
      <c r="E744" s="447" t="s">
        <v>2487</v>
      </c>
      <c r="F744" s="500"/>
      <c r="G744" s="497" t="s">
        <v>1812</v>
      </c>
      <c r="H744" s="602" t="str">
        <f>IFERROR(VLOOKUP(E:E,'Item Data Support Sheet'!A:O,2,0),"")</f>
        <v>NIPPLE S TYPE LL SIZE LASER MARKED</v>
      </c>
      <c r="I744" s="501" t="s">
        <v>3436</v>
      </c>
      <c r="J744" s="501" t="s">
        <v>2811</v>
      </c>
      <c r="K744" s="438">
        <v>8</v>
      </c>
      <c r="L744" s="499">
        <v>7000</v>
      </c>
      <c r="M744" s="366">
        <f t="shared" si="226"/>
        <v>875</v>
      </c>
      <c r="N744" s="367">
        <f t="shared" si="210"/>
        <v>7040</v>
      </c>
      <c r="O744" s="61">
        <v>7040</v>
      </c>
      <c r="P744" s="368">
        <v>0</v>
      </c>
      <c r="Q744" s="368">
        <v>0</v>
      </c>
      <c r="R744" s="494">
        <v>0</v>
      </c>
      <c r="S744" s="493">
        <v>0</v>
      </c>
      <c r="T744" s="494">
        <v>0</v>
      </c>
      <c r="U744" s="493">
        <v>0</v>
      </c>
      <c r="V744" s="502">
        <v>1</v>
      </c>
      <c r="W744" s="453">
        <f t="shared" si="212"/>
        <v>7040</v>
      </c>
      <c r="X744" s="748">
        <f t="shared" si="213"/>
        <v>1.0057142857142858</v>
      </c>
      <c r="Y744" s="451" t="str">
        <f>IFERROR(VLOOKUP(E:E,'Item Data Support Sheet'!A:J,6,0),0)</f>
        <v>FO151</v>
      </c>
      <c r="Z744" s="428">
        <f>IFERROR(VLOOKUP(E:E,'Item Data Support Sheet'!A:O,4,0),0)</f>
        <v>0</v>
      </c>
      <c r="AA744" s="428">
        <f t="shared" si="214"/>
        <v>0</v>
      </c>
      <c r="AB744" s="429" t="str">
        <f t="shared" si="215"/>
        <v xml:space="preserve"> </v>
      </c>
      <c r="AC744" s="424">
        <f t="shared" si="216"/>
        <v>0</v>
      </c>
      <c r="AD744" s="371">
        <f t="shared" si="217"/>
        <v>0</v>
      </c>
      <c r="AE744" s="748">
        <f t="shared" si="218"/>
        <v>1</v>
      </c>
      <c r="AF744" s="417">
        <f t="shared" si="219"/>
        <v>0.66666666666666663</v>
      </c>
      <c r="AG744" s="416">
        <f t="shared" si="220"/>
        <v>7.333333333333333</v>
      </c>
      <c r="AH744" s="372">
        <f t="shared" si="221"/>
        <v>0.91666666666666663</v>
      </c>
      <c r="AI744" s="373">
        <f t="shared" si="222"/>
        <v>880</v>
      </c>
      <c r="AJ744" s="418">
        <f>VLOOKUP(D744,'Standard Cycle time'!C:D,2,0)</f>
        <v>3.5</v>
      </c>
      <c r="AK744" s="418">
        <f t="shared" si="223"/>
        <v>3.75</v>
      </c>
      <c r="AL744" s="374">
        <f t="shared" si="224"/>
        <v>0.93333333333333335</v>
      </c>
      <c r="AM744" s="372">
        <f t="shared" si="225"/>
        <v>0.85555555555555551</v>
      </c>
      <c r="AN744" s="799" t="s">
        <v>3437</v>
      </c>
      <c r="AO744" s="448"/>
      <c r="AP744" s="440">
        <v>40</v>
      </c>
      <c r="AQ744" s="440">
        <v>0</v>
      </c>
      <c r="AR744" s="440">
        <v>0</v>
      </c>
      <c r="AS744" s="440">
        <v>0</v>
      </c>
      <c r="AT744" s="440">
        <v>0</v>
      </c>
      <c r="AU744" s="440">
        <v>0</v>
      </c>
      <c r="AV744" s="440">
        <v>0</v>
      </c>
      <c r="AW744" s="440">
        <v>0</v>
      </c>
      <c r="AX744" s="440">
        <v>0</v>
      </c>
      <c r="AY744" s="440">
        <v>0</v>
      </c>
      <c r="AZ744" s="440">
        <v>0</v>
      </c>
      <c r="BA744" s="440">
        <v>0</v>
      </c>
      <c r="BB744" s="440">
        <v>0</v>
      </c>
      <c r="BC744" s="440">
        <v>0</v>
      </c>
      <c r="BD744" s="440">
        <v>0</v>
      </c>
      <c r="BE744" s="440">
        <v>0</v>
      </c>
      <c r="BF744" s="440">
        <v>0</v>
      </c>
      <c r="BG744" s="440">
        <v>0</v>
      </c>
      <c r="BH744" s="440">
        <v>0</v>
      </c>
      <c r="BI744" s="440">
        <v>0</v>
      </c>
      <c r="BJ744" s="440">
        <v>0</v>
      </c>
      <c r="BK744" s="440">
        <v>0</v>
      </c>
      <c r="BL744" s="440">
        <v>0</v>
      </c>
      <c r="BM744" s="440">
        <v>0</v>
      </c>
      <c r="BN744" s="440">
        <v>0</v>
      </c>
      <c r="BO744" s="440">
        <v>0</v>
      </c>
      <c r="BP744" s="440">
        <v>0</v>
      </c>
      <c r="BQ744" s="440">
        <v>0</v>
      </c>
      <c r="BR744" s="415">
        <v>0.66666666666666663</v>
      </c>
      <c r="BS744" s="415">
        <v>0.6777777777777777</v>
      </c>
      <c r="BT744" s="935"/>
      <c r="BU744" s="935"/>
      <c r="BV744" s="935"/>
      <c r="BW744" s="935"/>
      <c r="BX744" s="935"/>
      <c r="BY744" s="935"/>
      <c r="BZ744" s="935"/>
      <c r="CA744" s="935"/>
      <c r="CB744" s="935"/>
      <c r="CC744" s="935"/>
      <c r="CD744" s="935"/>
      <c r="CE744" s="935"/>
      <c r="CF744" s="935"/>
      <c r="CG744" s="935"/>
      <c r="CH744" s="935"/>
      <c r="CI744" s="935"/>
      <c r="CJ744" s="935"/>
      <c r="CK744" s="935"/>
      <c r="CL744" s="935"/>
      <c r="CM744" s="935"/>
      <c r="CN744" s="935"/>
      <c r="CO744" s="935"/>
      <c r="CP744" s="935"/>
      <c r="CQ744" s="935"/>
      <c r="CR744" s="935"/>
      <c r="CS744" s="935"/>
      <c r="CT744" s="935"/>
      <c r="CU744" s="935"/>
      <c r="CV744" s="935"/>
    </row>
    <row r="745" spans="1:100" s="441" customFormat="1">
      <c r="A745" s="375">
        <f t="shared" si="211"/>
        <v>9</v>
      </c>
      <c r="B745" s="862">
        <v>44468</v>
      </c>
      <c r="C745" s="493" t="s">
        <v>1980</v>
      </c>
      <c r="D745" s="376" t="str">
        <f>IFERROR(VLOOKUP(E:E,'Item Data Support Sheet'!A:O,7,0),"")</f>
        <v>CAP MOLDED</v>
      </c>
      <c r="E745" s="447" t="s">
        <v>2106</v>
      </c>
      <c r="F745" s="500"/>
      <c r="G745" s="497" t="s">
        <v>3212</v>
      </c>
      <c r="H745" s="602" t="str">
        <f>IFERROR(VLOOKUP(E:E,'Item Data Support Sheet'!A:O,2,0),"")</f>
        <v>CAP S TYPE MOLDED RED</v>
      </c>
      <c r="I745" s="501" t="s">
        <v>3438</v>
      </c>
      <c r="J745" s="501" t="s">
        <v>2811</v>
      </c>
      <c r="K745" s="438">
        <v>8</v>
      </c>
      <c r="L745" s="499">
        <v>4137</v>
      </c>
      <c r="M745" s="366">
        <f t="shared" si="226"/>
        <v>517.125</v>
      </c>
      <c r="N745" s="367">
        <f t="shared" si="210"/>
        <v>4012</v>
      </c>
      <c r="O745" s="61">
        <v>4000</v>
      </c>
      <c r="P745" s="368">
        <v>0</v>
      </c>
      <c r="Q745" s="368">
        <v>0</v>
      </c>
      <c r="R745" s="494">
        <v>0</v>
      </c>
      <c r="S745" s="493">
        <v>0</v>
      </c>
      <c r="T745" s="494">
        <v>4</v>
      </c>
      <c r="U745" s="493">
        <v>8</v>
      </c>
      <c r="V745" s="502">
        <v>1</v>
      </c>
      <c r="W745" s="453">
        <f t="shared" si="212"/>
        <v>4000</v>
      </c>
      <c r="X745" s="748">
        <f t="shared" si="213"/>
        <v>0.96688421561518012</v>
      </c>
      <c r="Y745" s="451" t="str">
        <f>IFERROR(VLOOKUP(E:E,'Item Data Support Sheet'!A:J,6,0),0)</f>
        <v>FO153</v>
      </c>
      <c r="Z745" s="428">
        <f>IFERROR(VLOOKUP(E:E,'Item Data Support Sheet'!A:O,4,0),0)</f>
        <v>7.3</v>
      </c>
      <c r="AA745" s="428">
        <f t="shared" si="214"/>
        <v>29.287600000000001</v>
      </c>
      <c r="AB745" s="429">
        <f t="shared" si="215"/>
        <v>0.99700897308075764</v>
      </c>
      <c r="AC745" s="424">
        <f t="shared" si="216"/>
        <v>9.99000999000999E-4</v>
      </c>
      <c r="AD745" s="371">
        <f t="shared" si="217"/>
        <v>0</v>
      </c>
      <c r="AE745" s="748">
        <f t="shared" si="218"/>
        <v>0.99900299102691925</v>
      </c>
      <c r="AF745" s="417">
        <f t="shared" si="219"/>
        <v>0</v>
      </c>
      <c r="AG745" s="416">
        <f t="shared" si="220"/>
        <v>8</v>
      </c>
      <c r="AH745" s="372">
        <f t="shared" si="221"/>
        <v>1</v>
      </c>
      <c r="AI745" s="373">
        <f t="shared" si="222"/>
        <v>500</v>
      </c>
      <c r="AJ745" s="418">
        <f>VLOOKUP(D745,'Standard Cycle time'!C:D,2,0)</f>
        <v>6</v>
      </c>
      <c r="AK745" s="418">
        <f t="shared" si="223"/>
        <v>7.2</v>
      </c>
      <c r="AL745" s="374">
        <f t="shared" si="224"/>
        <v>0.83333333333333326</v>
      </c>
      <c r="AM745" s="372">
        <f t="shared" si="225"/>
        <v>0.83250249252243269</v>
      </c>
      <c r="AN745" s="799" t="s">
        <v>3439</v>
      </c>
      <c r="AO745" s="448"/>
      <c r="AP745" s="440">
        <v>0</v>
      </c>
      <c r="AQ745" s="440">
        <v>0</v>
      </c>
      <c r="AR745" s="440">
        <v>0</v>
      </c>
      <c r="AS745" s="440">
        <v>0</v>
      </c>
      <c r="AT745" s="440">
        <v>0</v>
      </c>
      <c r="AU745" s="440">
        <v>0</v>
      </c>
      <c r="AV745" s="440">
        <v>0</v>
      </c>
      <c r="AW745" s="440">
        <v>0</v>
      </c>
      <c r="AX745" s="440">
        <v>0</v>
      </c>
      <c r="AY745" s="440">
        <v>0</v>
      </c>
      <c r="AZ745" s="440">
        <v>0</v>
      </c>
      <c r="BA745" s="440">
        <v>0</v>
      </c>
      <c r="BB745" s="440">
        <v>0</v>
      </c>
      <c r="BC745" s="440">
        <v>0</v>
      </c>
      <c r="BD745" s="440">
        <v>0</v>
      </c>
      <c r="BE745" s="440">
        <v>0</v>
      </c>
      <c r="BF745" s="440">
        <v>0</v>
      </c>
      <c r="BG745" s="440">
        <v>0</v>
      </c>
      <c r="BH745" s="440">
        <v>0</v>
      </c>
      <c r="BI745" s="440">
        <v>0</v>
      </c>
      <c r="BJ745" s="440">
        <v>0</v>
      </c>
      <c r="BK745" s="440">
        <v>0</v>
      </c>
      <c r="BL745" s="440">
        <v>0</v>
      </c>
      <c r="BM745" s="440">
        <v>0</v>
      </c>
      <c r="BN745" s="440">
        <v>0</v>
      </c>
      <c r="BO745" s="440">
        <v>0</v>
      </c>
      <c r="BP745" s="440">
        <v>0</v>
      </c>
      <c r="BQ745" s="440">
        <v>0</v>
      </c>
      <c r="BR745" s="415">
        <v>0</v>
      </c>
      <c r="BS745" s="415">
        <v>0</v>
      </c>
      <c r="BT745" s="935"/>
      <c r="BU745" s="935"/>
      <c r="BV745" s="935"/>
      <c r="BW745" s="935"/>
      <c r="BX745" s="935"/>
      <c r="BY745" s="935"/>
      <c r="BZ745" s="935"/>
      <c r="CA745" s="935"/>
      <c r="CB745" s="935"/>
      <c r="CC745" s="935"/>
      <c r="CD745" s="935"/>
      <c r="CE745" s="935"/>
      <c r="CF745" s="935"/>
      <c r="CG745" s="935"/>
      <c r="CH745" s="935"/>
      <c r="CI745" s="935"/>
      <c r="CJ745" s="935"/>
      <c r="CK745" s="935"/>
      <c r="CL745" s="935"/>
      <c r="CM745" s="935"/>
      <c r="CN745" s="935"/>
      <c r="CO745" s="935"/>
      <c r="CP745" s="935"/>
      <c r="CQ745" s="935"/>
      <c r="CR745" s="935"/>
      <c r="CS745" s="935"/>
      <c r="CT745" s="935"/>
      <c r="CU745" s="935"/>
      <c r="CV745" s="935"/>
    </row>
    <row r="746" spans="1:100" s="441" customFormat="1">
      <c r="A746" s="375">
        <f t="shared" si="211"/>
        <v>9</v>
      </c>
      <c r="B746" s="862">
        <v>44468</v>
      </c>
      <c r="C746" s="493" t="s">
        <v>2000</v>
      </c>
      <c r="D746" s="376" t="str">
        <f>IFERROR(VLOOKUP(E:E,'Item Data Support Sheet'!A:O,7,0),"")</f>
        <v>NIPPLE PUNCH INSPECTED</v>
      </c>
      <c r="E746" s="447" t="s">
        <v>2488</v>
      </c>
      <c r="F746" s="500"/>
      <c r="G746" s="497"/>
      <c r="H746" s="602" t="str">
        <f>IFERROR(VLOOKUP(E:E,'Item Data Support Sheet'!A:O,2,0),"")</f>
        <v>NIPPLE S TYPE LL SIZE INSPECTED</v>
      </c>
      <c r="I746" s="501" t="s">
        <v>3396</v>
      </c>
      <c r="J746" s="501" t="s">
        <v>2826</v>
      </c>
      <c r="K746" s="438">
        <v>4.5</v>
      </c>
      <c r="L746" s="499">
        <v>7132</v>
      </c>
      <c r="M746" s="366">
        <f t="shared" si="226"/>
        <v>1584.8888888888889</v>
      </c>
      <c r="N746" s="367">
        <f t="shared" si="210"/>
        <v>10040</v>
      </c>
      <c r="O746" s="61">
        <v>9977</v>
      </c>
      <c r="P746" s="368">
        <v>0</v>
      </c>
      <c r="Q746" s="368">
        <v>0</v>
      </c>
      <c r="R746" s="494">
        <v>0</v>
      </c>
      <c r="S746" s="493">
        <v>0</v>
      </c>
      <c r="T746" s="494">
        <v>63</v>
      </c>
      <c r="U746" s="493">
        <v>0</v>
      </c>
      <c r="V746" s="502">
        <v>2</v>
      </c>
      <c r="W746" s="453">
        <f t="shared" si="212"/>
        <v>4988.5</v>
      </c>
      <c r="X746" s="748">
        <f t="shared" si="213"/>
        <v>1.3989063376332025</v>
      </c>
      <c r="Y746" s="451" t="str">
        <f>IFERROR(VLOOKUP(E:E,'Item Data Support Sheet'!A:J,6,0),0)</f>
        <v>FO152</v>
      </c>
      <c r="Z746" s="428">
        <f>IFERROR(VLOOKUP(E:E,'Item Data Support Sheet'!A:O,4,0),0)</f>
        <v>0</v>
      </c>
      <c r="AA746" s="428">
        <f t="shared" si="214"/>
        <v>0</v>
      </c>
      <c r="AB746" s="429" t="str">
        <f t="shared" si="215"/>
        <v xml:space="preserve"> </v>
      </c>
      <c r="AC746" s="424">
        <f t="shared" si="216"/>
        <v>6.2749003984063747E-3</v>
      </c>
      <c r="AD746" s="371">
        <f t="shared" si="217"/>
        <v>0</v>
      </c>
      <c r="AE746" s="748">
        <f t="shared" si="218"/>
        <v>0.99372509960159361</v>
      </c>
      <c r="AF746" s="417">
        <f t="shared" si="219"/>
        <v>0.66666666666666663</v>
      </c>
      <c r="AG746" s="416">
        <f t="shared" si="220"/>
        <v>3.8333333333333335</v>
      </c>
      <c r="AH746" s="372">
        <f t="shared" si="221"/>
        <v>0.85185185185185186</v>
      </c>
      <c r="AI746" s="373">
        <f t="shared" si="222"/>
        <v>2217.1111111111113</v>
      </c>
      <c r="AJ746" s="418">
        <f>VLOOKUP(D746,'Standard Cycle time'!C:D,2,0)</f>
        <v>4</v>
      </c>
      <c r="AK746" s="418">
        <f t="shared" si="223"/>
        <v>2.7663626340583343</v>
      </c>
      <c r="AL746" s="374">
        <f t="shared" si="224"/>
        <v>1.4459420289855072</v>
      </c>
      <c r="AM746" s="372">
        <f t="shared" si="225"/>
        <v>1.2239994220648269</v>
      </c>
      <c r="AN746" s="799" t="s">
        <v>3440</v>
      </c>
      <c r="AO746" s="448"/>
      <c r="AP746" s="440">
        <v>40</v>
      </c>
      <c r="AQ746" s="440">
        <v>0</v>
      </c>
      <c r="AR746" s="440">
        <v>0</v>
      </c>
      <c r="AS746" s="440">
        <v>0</v>
      </c>
      <c r="AT746" s="440">
        <v>0</v>
      </c>
      <c r="AU746" s="440">
        <v>0</v>
      </c>
      <c r="AV746" s="440">
        <v>0</v>
      </c>
      <c r="AW746" s="440">
        <v>0</v>
      </c>
      <c r="AX746" s="440">
        <v>0</v>
      </c>
      <c r="AY746" s="440">
        <v>0</v>
      </c>
      <c r="AZ746" s="440">
        <v>0</v>
      </c>
      <c r="BA746" s="440">
        <v>0</v>
      </c>
      <c r="BB746" s="440">
        <v>0</v>
      </c>
      <c r="BC746" s="440">
        <v>0</v>
      </c>
      <c r="BD746" s="440">
        <v>0</v>
      </c>
      <c r="BE746" s="440">
        <v>0</v>
      </c>
      <c r="BF746" s="440">
        <v>0</v>
      </c>
      <c r="BG746" s="440">
        <v>0</v>
      </c>
      <c r="BH746" s="440">
        <v>0</v>
      </c>
      <c r="BI746" s="440">
        <v>0</v>
      </c>
      <c r="BJ746" s="440">
        <v>0</v>
      </c>
      <c r="BK746" s="440">
        <v>0</v>
      </c>
      <c r="BL746" s="440">
        <v>0</v>
      </c>
      <c r="BM746" s="440">
        <v>0</v>
      </c>
      <c r="BN746" s="440">
        <v>0</v>
      </c>
      <c r="BO746" s="440">
        <v>0</v>
      </c>
      <c r="BP746" s="440">
        <v>0</v>
      </c>
      <c r="BQ746" s="440">
        <v>0</v>
      </c>
      <c r="BR746" s="415">
        <v>0.66666666666666663</v>
      </c>
      <c r="BS746" s="415">
        <v>0.6777777777777777</v>
      </c>
      <c r="BT746" s="935"/>
      <c r="BU746" s="935"/>
      <c r="BV746" s="935"/>
      <c r="BW746" s="935"/>
      <c r="BX746" s="935"/>
      <c r="BY746" s="935"/>
      <c r="BZ746" s="935"/>
      <c r="CA746" s="935"/>
      <c r="CB746" s="935"/>
      <c r="CC746" s="935"/>
      <c r="CD746" s="935"/>
      <c r="CE746" s="935"/>
      <c r="CF746" s="935"/>
      <c r="CG746" s="935"/>
      <c r="CH746" s="935"/>
      <c r="CI746" s="935"/>
      <c r="CJ746" s="935"/>
      <c r="CK746" s="935"/>
      <c r="CL746" s="935"/>
      <c r="CM746" s="935"/>
      <c r="CN746" s="935"/>
      <c r="CO746" s="935"/>
      <c r="CP746" s="935"/>
      <c r="CQ746" s="935"/>
      <c r="CR746" s="935"/>
      <c r="CS746" s="935"/>
      <c r="CT746" s="935"/>
      <c r="CU746" s="935"/>
      <c r="CV746" s="935"/>
    </row>
    <row r="747" spans="1:100" s="441" customFormat="1">
      <c r="A747" s="375">
        <f t="shared" si="211"/>
        <v>9</v>
      </c>
      <c r="B747" s="862">
        <v>44468</v>
      </c>
      <c r="C747" s="493" t="s">
        <v>2000</v>
      </c>
      <c r="D747" s="376" t="str">
        <f>IFERROR(VLOOKUP(E:E,'Item Data Support Sheet'!A:O,7,0),"")</f>
        <v>NIPPLE PUNCH INSPECTED</v>
      </c>
      <c r="E747" s="447" t="s">
        <v>1820</v>
      </c>
      <c r="F747" s="500"/>
      <c r="G747" s="497"/>
      <c r="H747" s="602" t="str">
        <f>IFERROR(VLOOKUP(E:E,'Item Data Support Sheet'!A:O,2,0),"")</f>
        <v>NIPPLE S TYPE L SIZE PUNCHED INSPECTED</v>
      </c>
      <c r="I747" s="501" t="s">
        <v>3441</v>
      </c>
      <c r="J747" s="501" t="s">
        <v>2826</v>
      </c>
      <c r="K747" s="438">
        <v>4</v>
      </c>
      <c r="L747" s="499">
        <v>7000</v>
      </c>
      <c r="M747" s="366">
        <f t="shared" si="226"/>
        <v>1750</v>
      </c>
      <c r="N747" s="367">
        <f t="shared" si="210"/>
        <v>10350</v>
      </c>
      <c r="O747" s="61">
        <v>10330</v>
      </c>
      <c r="P747" s="368">
        <v>0</v>
      </c>
      <c r="Q747" s="368">
        <v>0</v>
      </c>
      <c r="R747" s="494">
        <v>0</v>
      </c>
      <c r="S747" s="493">
        <v>0</v>
      </c>
      <c r="T747" s="494">
        <v>20</v>
      </c>
      <c r="U747" s="493">
        <v>0</v>
      </c>
      <c r="V747" s="502">
        <v>2</v>
      </c>
      <c r="W747" s="453">
        <f t="shared" si="212"/>
        <v>5165</v>
      </c>
      <c r="X747" s="748">
        <f t="shared" si="213"/>
        <v>1.4757142857142858</v>
      </c>
      <c r="Y747" s="451" t="str">
        <f>IFERROR(VLOOKUP(E:E,'Item Data Support Sheet'!A:J,6,0),0)</f>
        <v>FO106</v>
      </c>
      <c r="Z747" s="428">
        <f>IFERROR(VLOOKUP(E:E,'Item Data Support Sheet'!A:O,4,0),0)</f>
        <v>0</v>
      </c>
      <c r="AA747" s="428">
        <f t="shared" si="214"/>
        <v>0</v>
      </c>
      <c r="AB747" s="429" t="str">
        <f t="shared" si="215"/>
        <v xml:space="preserve"> </v>
      </c>
      <c r="AC747" s="424">
        <f t="shared" si="216"/>
        <v>1.9323671497584541E-3</v>
      </c>
      <c r="AD747" s="371">
        <f t="shared" si="217"/>
        <v>0</v>
      </c>
      <c r="AE747" s="748">
        <f t="shared" si="218"/>
        <v>0.99806763285024158</v>
      </c>
      <c r="AF747" s="417">
        <f t="shared" si="219"/>
        <v>0.16666666666666666</v>
      </c>
      <c r="AG747" s="416">
        <f t="shared" si="220"/>
        <v>3.8333333333333335</v>
      </c>
      <c r="AH747" s="372">
        <f t="shared" si="221"/>
        <v>0.95833333333333337</v>
      </c>
      <c r="AI747" s="373">
        <f t="shared" si="222"/>
        <v>2582.5</v>
      </c>
      <c r="AJ747" s="418">
        <f>VLOOKUP(D747,'Standard Cycle time'!C:D,2,0)</f>
        <v>4</v>
      </c>
      <c r="AK747" s="418">
        <f t="shared" si="223"/>
        <v>2.6718296224588576</v>
      </c>
      <c r="AL747" s="374">
        <f t="shared" si="224"/>
        <v>1.4971014492753625</v>
      </c>
      <c r="AM747" s="372">
        <f t="shared" si="225"/>
        <v>1.4319498121309717</v>
      </c>
      <c r="AN747" s="799" t="s">
        <v>3442</v>
      </c>
      <c r="AO747" s="448"/>
      <c r="AP747" s="440">
        <v>10</v>
      </c>
      <c r="AQ747" s="440">
        <v>0</v>
      </c>
      <c r="AR747" s="440">
        <v>0</v>
      </c>
      <c r="AS747" s="440">
        <v>0</v>
      </c>
      <c r="AT747" s="440">
        <v>0</v>
      </c>
      <c r="AU747" s="440">
        <v>0</v>
      </c>
      <c r="AV747" s="440">
        <v>0</v>
      </c>
      <c r="AW747" s="440">
        <v>0</v>
      </c>
      <c r="AX747" s="440">
        <v>0</v>
      </c>
      <c r="AY747" s="440">
        <v>0</v>
      </c>
      <c r="AZ747" s="440">
        <v>0</v>
      </c>
      <c r="BA747" s="440">
        <v>0</v>
      </c>
      <c r="BB747" s="440">
        <v>0</v>
      </c>
      <c r="BC747" s="440">
        <v>0</v>
      </c>
      <c r="BD747" s="440">
        <v>0</v>
      </c>
      <c r="BE747" s="440">
        <v>0</v>
      </c>
      <c r="BF747" s="440">
        <v>0</v>
      </c>
      <c r="BG747" s="440">
        <v>0</v>
      </c>
      <c r="BH747" s="440">
        <v>0</v>
      </c>
      <c r="BI747" s="440">
        <v>0</v>
      </c>
      <c r="BJ747" s="440">
        <v>0</v>
      </c>
      <c r="BK747" s="440">
        <v>0</v>
      </c>
      <c r="BL747" s="440">
        <v>0</v>
      </c>
      <c r="BM747" s="440">
        <v>0</v>
      </c>
      <c r="BN747" s="440">
        <v>0</v>
      </c>
      <c r="BO747" s="440">
        <v>0</v>
      </c>
      <c r="BP747" s="440">
        <v>0</v>
      </c>
      <c r="BQ747" s="440">
        <v>0</v>
      </c>
      <c r="BR747" s="415">
        <v>0.16666666666666666</v>
      </c>
      <c r="BS747" s="415">
        <v>0.16944444444444443</v>
      </c>
      <c r="BT747" s="935"/>
      <c r="BU747" s="935"/>
      <c r="BV747" s="935"/>
      <c r="BW747" s="935"/>
      <c r="BX747" s="935"/>
      <c r="BY747" s="935"/>
      <c r="BZ747" s="935"/>
      <c r="CA747" s="935"/>
      <c r="CB747" s="935"/>
      <c r="CC747" s="935"/>
      <c r="CD747" s="935"/>
      <c r="CE747" s="935"/>
      <c r="CF747" s="935"/>
      <c r="CG747" s="935"/>
      <c r="CH747" s="935"/>
      <c r="CI747" s="935"/>
      <c r="CJ747" s="935"/>
      <c r="CK747" s="935"/>
      <c r="CL747" s="935"/>
      <c r="CM747" s="935"/>
      <c r="CN747" s="935"/>
      <c r="CO747" s="935"/>
      <c r="CP747" s="935"/>
      <c r="CQ747" s="935"/>
      <c r="CR747" s="935"/>
      <c r="CS747" s="935"/>
      <c r="CT747" s="935"/>
      <c r="CU747" s="935"/>
      <c r="CV747" s="935"/>
    </row>
    <row r="748" spans="1:100" s="441" customFormat="1">
      <c r="A748" s="375">
        <f t="shared" si="211"/>
        <v>9</v>
      </c>
      <c r="B748" s="862">
        <v>44468</v>
      </c>
      <c r="C748" s="493" t="s">
        <v>2000</v>
      </c>
      <c r="D748" s="376" t="str">
        <f>IFERROR(VLOOKUP(E:E,'Item Data Support Sheet'!A:O,7,0),"")</f>
        <v>BOTTLE PRINTED</v>
      </c>
      <c r="E748" s="447" t="s">
        <v>64</v>
      </c>
      <c r="F748" s="500"/>
      <c r="G748" s="497"/>
      <c r="H748" s="602" t="str">
        <f>IFERROR(VLOOKUP(E:E,'Item Data Support Sheet'!A:O,2,0),"")</f>
        <v>KPP 240 ML BOTTLE PRINTED</v>
      </c>
      <c r="I748" s="501" t="s">
        <v>3443</v>
      </c>
      <c r="J748" s="501" t="s">
        <v>2826</v>
      </c>
      <c r="K748" s="438">
        <v>8.5</v>
      </c>
      <c r="L748" s="499">
        <v>5100</v>
      </c>
      <c r="M748" s="366">
        <f t="shared" si="226"/>
        <v>600</v>
      </c>
      <c r="N748" s="367">
        <f t="shared" si="210"/>
        <v>4211</v>
      </c>
      <c r="O748" s="61">
        <v>4170</v>
      </c>
      <c r="P748" s="368">
        <v>0</v>
      </c>
      <c r="Q748" s="368">
        <v>0</v>
      </c>
      <c r="R748" s="494">
        <v>46</v>
      </c>
      <c r="S748" s="493">
        <v>0</v>
      </c>
      <c r="T748" s="494">
        <v>41</v>
      </c>
      <c r="U748" s="493">
        <v>0</v>
      </c>
      <c r="V748" s="502">
        <v>5</v>
      </c>
      <c r="W748" s="453">
        <f t="shared" si="212"/>
        <v>834</v>
      </c>
      <c r="X748" s="748">
        <f t="shared" si="213"/>
        <v>0.81764705882352939</v>
      </c>
      <c r="Y748" s="451" t="str">
        <f>IFERROR(VLOOKUP(E:E,'Item Data Support Sheet'!A:J,6,0),0)</f>
        <v>FO003</v>
      </c>
      <c r="Z748" s="428">
        <f>IFERROR(VLOOKUP(E:E,'Item Data Support Sheet'!A:O,4,0),0)</f>
        <v>0</v>
      </c>
      <c r="AA748" s="428">
        <f t="shared" si="214"/>
        <v>0</v>
      </c>
      <c r="AB748" s="429" t="str">
        <f t="shared" si="215"/>
        <v xml:space="preserve"> </v>
      </c>
      <c r="AC748" s="424">
        <f t="shared" si="216"/>
        <v>9.7364046544763713E-3</v>
      </c>
      <c r="AD748" s="371">
        <f t="shared" si="217"/>
        <v>0</v>
      </c>
      <c r="AE748" s="748">
        <f t="shared" si="218"/>
        <v>0.99026359534552366</v>
      </c>
      <c r="AF748" s="417">
        <f t="shared" si="219"/>
        <v>0.83333333333333337</v>
      </c>
      <c r="AG748" s="416">
        <f t="shared" si="220"/>
        <v>7.666666666666667</v>
      </c>
      <c r="AH748" s="372">
        <f t="shared" si="221"/>
        <v>0.90196078431372551</v>
      </c>
      <c r="AI748" s="373">
        <f t="shared" si="222"/>
        <v>490.58823529411762</v>
      </c>
      <c r="AJ748" s="418">
        <f>VLOOKUP(D748,'Standard Cycle time'!C:D,2,0)</f>
        <v>32.4</v>
      </c>
      <c r="AK748" s="418">
        <f t="shared" si="223"/>
        <v>33.093525179856115</v>
      </c>
      <c r="AL748" s="374">
        <f t="shared" si="224"/>
        <v>0.97904347826086946</v>
      </c>
      <c r="AM748" s="372">
        <f t="shared" si="225"/>
        <v>0.87446100548982353</v>
      </c>
      <c r="AN748" s="799" t="s">
        <v>2874</v>
      </c>
      <c r="AO748" s="448"/>
      <c r="AP748" s="440">
        <v>50</v>
      </c>
      <c r="AQ748" s="440">
        <v>0</v>
      </c>
      <c r="AR748" s="440">
        <v>0</v>
      </c>
      <c r="AS748" s="440">
        <v>0</v>
      </c>
      <c r="AT748" s="440">
        <v>0</v>
      </c>
      <c r="AU748" s="440">
        <v>0</v>
      </c>
      <c r="AV748" s="440">
        <v>0</v>
      </c>
      <c r="AW748" s="440">
        <v>0</v>
      </c>
      <c r="AX748" s="440">
        <v>0</v>
      </c>
      <c r="AY748" s="440">
        <v>0</v>
      </c>
      <c r="AZ748" s="440">
        <v>0</v>
      </c>
      <c r="BA748" s="440">
        <v>0</v>
      </c>
      <c r="BB748" s="440">
        <v>0</v>
      </c>
      <c r="BC748" s="440">
        <v>0</v>
      </c>
      <c r="BD748" s="440">
        <v>0</v>
      </c>
      <c r="BE748" s="440">
        <v>0</v>
      </c>
      <c r="BF748" s="440">
        <v>0</v>
      </c>
      <c r="BG748" s="440">
        <v>0</v>
      </c>
      <c r="BH748" s="440">
        <v>0</v>
      </c>
      <c r="BI748" s="440">
        <v>0</v>
      </c>
      <c r="BJ748" s="440">
        <v>0</v>
      </c>
      <c r="BK748" s="440">
        <v>0</v>
      </c>
      <c r="BL748" s="440">
        <v>0</v>
      </c>
      <c r="BM748" s="440">
        <v>0</v>
      </c>
      <c r="BN748" s="440">
        <v>0</v>
      </c>
      <c r="BO748" s="440">
        <v>0</v>
      </c>
      <c r="BP748" s="440">
        <v>0</v>
      </c>
      <c r="BQ748" s="440">
        <v>0</v>
      </c>
      <c r="BR748" s="415">
        <v>0.83333333333333337</v>
      </c>
      <c r="BS748" s="415">
        <v>0.84722222222222221</v>
      </c>
      <c r="BT748" s="935"/>
      <c r="BU748" s="935"/>
      <c r="BV748" s="935"/>
      <c r="BW748" s="935"/>
      <c r="BX748" s="935"/>
      <c r="BY748" s="935"/>
      <c r="BZ748" s="935"/>
      <c r="CA748" s="935"/>
      <c r="CB748" s="935"/>
      <c r="CC748" s="935"/>
      <c r="CD748" s="935"/>
      <c r="CE748" s="935"/>
      <c r="CF748" s="935"/>
      <c r="CG748" s="935"/>
      <c r="CH748" s="935"/>
      <c r="CI748" s="935"/>
      <c r="CJ748" s="935"/>
      <c r="CK748" s="935"/>
      <c r="CL748" s="935"/>
      <c r="CM748" s="935"/>
      <c r="CN748" s="935"/>
      <c r="CO748" s="935"/>
      <c r="CP748" s="935"/>
      <c r="CQ748" s="935"/>
      <c r="CR748" s="935"/>
      <c r="CS748" s="935"/>
      <c r="CT748" s="935"/>
      <c r="CU748" s="935"/>
      <c r="CV748" s="935"/>
    </row>
    <row r="749" spans="1:100" s="441" customFormat="1">
      <c r="A749" s="375">
        <f t="shared" si="211"/>
        <v>9</v>
      </c>
      <c r="B749" s="862">
        <v>44468</v>
      </c>
      <c r="C749" s="493" t="s">
        <v>2001</v>
      </c>
      <c r="D749" s="376" t="str">
        <f>IFERROR(VLOOKUP(E:E,'Item Data Support Sheet'!A:O,7,0),"")</f>
        <v>NIPPLE LASER MARKING</v>
      </c>
      <c r="E749" s="447" t="s">
        <v>2487</v>
      </c>
      <c r="F749" s="500"/>
      <c r="G749" s="497" t="s">
        <v>1812</v>
      </c>
      <c r="H749" s="602" t="str">
        <f>IFERROR(VLOOKUP(E:E,'Item Data Support Sheet'!A:O,2,0),"")</f>
        <v>NIPPLE S TYPE LL SIZE LASER MARKED</v>
      </c>
      <c r="I749" s="501" t="s">
        <v>3444</v>
      </c>
      <c r="J749" s="501" t="s">
        <v>2826</v>
      </c>
      <c r="K749" s="438">
        <v>3</v>
      </c>
      <c r="L749" s="499">
        <v>2500</v>
      </c>
      <c r="M749" s="366">
        <f t="shared" si="226"/>
        <v>833.33333333333337</v>
      </c>
      <c r="N749" s="367">
        <f t="shared" si="210"/>
        <v>2500</v>
      </c>
      <c r="O749" s="61">
        <v>2500</v>
      </c>
      <c r="P749" s="368">
        <v>0</v>
      </c>
      <c r="Q749" s="368">
        <v>0</v>
      </c>
      <c r="R749" s="494">
        <v>0</v>
      </c>
      <c r="S749" s="493">
        <v>0</v>
      </c>
      <c r="T749" s="494">
        <v>0</v>
      </c>
      <c r="U749" s="493">
        <v>0</v>
      </c>
      <c r="V749" s="502">
        <v>1</v>
      </c>
      <c r="W749" s="453">
        <f t="shared" si="212"/>
        <v>2500</v>
      </c>
      <c r="X749" s="748">
        <f t="shared" si="213"/>
        <v>1</v>
      </c>
      <c r="Y749" s="451" t="str">
        <f>IFERROR(VLOOKUP(E:E,'Item Data Support Sheet'!A:J,6,0),0)</f>
        <v>FO151</v>
      </c>
      <c r="Z749" s="428">
        <f>IFERROR(VLOOKUP(E:E,'Item Data Support Sheet'!A:O,4,0),0)</f>
        <v>0</v>
      </c>
      <c r="AA749" s="428">
        <f t="shared" si="214"/>
        <v>0</v>
      </c>
      <c r="AB749" s="429" t="str">
        <f t="shared" si="215"/>
        <v xml:space="preserve"> </v>
      </c>
      <c r="AC749" s="424">
        <f t="shared" si="216"/>
        <v>0</v>
      </c>
      <c r="AD749" s="371">
        <f t="shared" si="217"/>
        <v>0</v>
      </c>
      <c r="AE749" s="748">
        <f t="shared" si="218"/>
        <v>1</v>
      </c>
      <c r="AF749" s="417">
        <f t="shared" si="219"/>
        <v>0.66666666666666663</v>
      </c>
      <c r="AG749" s="416">
        <f t="shared" si="220"/>
        <v>2.3333333333333335</v>
      </c>
      <c r="AH749" s="372">
        <f t="shared" si="221"/>
        <v>0.77777777777777779</v>
      </c>
      <c r="AI749" s="373">
        <f t="shared" si="222"/>
        <v>833.33333333333337</v>
      </c>
      <c r="AJ749" s="418">
        <f>VLOOKUP(D749,'Standard Cycle time'!C:D,2,0)</f>
        <v>3.5</v>
      </c>
      <c r="AK749" s="418">
        <f t="shared" si="223"/>
        <v>3.36</v>
      </c>
      <c r="AL749" s="374">
        <f t="shared" si="224"/>
        <v>1.0416666666666667</v>
      </c>
      <c r="AM749" s="372">
        <f t="shared" si="225"/>
        <v>0.81018518518518523</v>
      </c>
      <c r="AN749" s="799" t="s">
        <v>3445</v>
      </c>
      <c r="AO749" s="448"/>
      <c r="AP749" s="440">
        <v>40</v>
      </c>
      <c r="AQ749" s="440">
        <v>0</v>
      </c>
      <c r="AR749" s="440">
        <v>0</v>
      </c>
      <c r="AS749" s="440">
        <v>0</v>
      </c>
      <c r="AT749" s="440">
        <v>0</v>
      </c>
      <c r="AU749" s="440">
        <v>0</v>
      </c>
      <c r="AV749" s="440">
        <v>0</v>
      </c>
      <c r="AW749" s="440">
        <v>0</v>
      </c>
      <c r="AX749" s="440">
        <v>0</v>
      </c>
      <c r="AY749" s="440">
        <v>0</v>
      </c>
      <c r="AZ749" s="440">
        <v>0</v>
      </c>
      <c r="BA749" s="440">
        <v>0</v>
      </c>
      <c r="BB749" s="440">
        <v>0</v>
      </c>
      <c r="BC749" s="440">
        <v>0</v>
      </c>
      <c r="BD749" s="440">
        <v>0</v>
      </c>
      <c r="BE749" s="440">
        <v>0</v>
      </c>
      <c r="BF749" s="440">
        <v>0</v>
      </c>
      <c r="BG749" s="440">
        <v>0</v>
      </c>
      <c r="BH749" s="440">
        <v>0</v>
      </c>
      <c r="BI749" s="440">
        <v>0</v>
      </c>
      <c r="BJ749" s="440">
        <v>0</v>
      </c>
      <c r="BK749" s="440">
        <v>0</v>
      </c>
      <c r="BL749" s="440">
        <v>0</v>
      </c>
      <c r="BM749" s="440">
        <v>0</v>
      </c>
      <c r="BN749" s="440">
        <v>0</v>
      </c>
      <c r="BO749" s="440">
        <v>0</v>
      </c>
      <c r="BP749" s="440">
        <v>0</v>
      </c>
      <c r="BQ749" s="440">
        <v>0</v>
      </c>
      <c r="BR749" s="415">
        <v>0.66666666666666663</v>
      </c>
      <c r="BS749" s="415">
        <v>0.6777777777777777</v>
      </c>
      <c r="BT749" s="935"/>
      <c r="BU749" s="935"/>
      <c r="BV749" s="935"/>
      <c r="BW749" s="935"/>
      <c r="BX749" s="935"/>
      <c r="BY749" s="935"/>
      <c r="BZ749" s="935"/>
      <c r="CA749" s="935"/>
      <c r="CB749" s="935"/>
      <c r="CC749" s="935"/>
      <c r="CD749" s="935"/>
      <c r="CE749" s="935"/>
      <c r="CF749" s="935"/>
      <c r="CG749" s="935"/>
      <c r="CH749" s="935"/>
      <c r="CI749" s="935"/>
      <c r="CJ749" s="935"/>
      <c r="CK749" s="935"/>
      <c r="CL749" s="935"/>
      <c r="CM749" s="935"/>
      <c r="CN749" s="935"/>
      <c r="CO749" s="935"/>
      <c r="CP749" s="935"/>
      <c r="CQ749" s="935"/>
      <c r="CR749" s="935"/>
      <c r="CS749" s="935"/>
      <c r="CT749" s="935"/>
      <c r="CU749" s="935"/>
      <c r="CV749" s="935"/>
    </row>
    <row r="750" spans="1:100" s="441" customFormat="1">
      <c r="A750" s="375">
        <f t="shared" si="211"/>
        <v>9</v>
      </c>
      <c r="B750" s="862">
        <v>44468</v>
      </c>
      <c r="C750" s="493" t="s">
        <v>2001</v>
      </c>
      <c r="D750" s="376" t="str">
        <f>IFERROR(VLOOKUP(E:E,'Item Data Support Sheet'!A:O,7,0),"")</f>
        <v>NIPPLE LASER MARKING</v>
      </c>
      <c r="E750" s="447" t="s">
        <v>1817</v>
      </c>
      <c r="F750" s="500"/>
      <c r="G750" s="497" t="s">
        <v>1812</v>
      </c>
      <c r="H750" s="602" t="str">
        <f>IFERROR(VLOOKUP(E:E,'Item Data Support Sheet'!A:O,2,0),"")</f>
        <v>NIPPLE S TYPE Y SIZE PUNCHED LASER MARKED</v>
      </c>
      <c r="I750" s="501"/>
      <c r="J750" s="501" t="s">
        <v>2826</v>
      </c>
      <c r="K750" s="438">
        <v>5</v>
      </c>
      <c r="L750" s="499">
        <v>4500</v>
      </c>
      <c r="M750" s="366">
        <f t="shared" si="226"/>
        <v>900</v>
      </c>
      <c r="N750" s="367">
        <f t="shared" si="210"/>
        <v>4000</v>
      </c>
      <c r="O750" s="61">
        <v>4000</v>
      </c>
      <c r="P750" s="368">
        <v>0</v>
      </c>
      <c r="Q750" s="368">
        <v>0</v>
      </c>
      <c r="R750" s="494">
        <v>0</v>
      </c>
      <c r="S750" s="493">
        <v>0</v>
      </c>
      <c r="T750" s="494">
        <v>0</v>
      </c>
      <c r="U750" s="493">
        <v>0</v>
      </c>
      <c r="V750" s="502">
        <v>1</v>
      </c>
      <c r="W750" s="453">
        <f t="shared" si="212"/>
        <v>4000</v>
      </c>
      <c r="X750" s="748">
        <f t="shared" si="213"/>
        <v>0.88888888888888884</v>
      </c>
      <c r="Y750" s="451" t="str">
        <f>IFERROR(VLOOKUP(E:E,'Item Data Support Sheet'!A:J,6,0),0)</f>
        <v>FO022</v>
      </c>
      <c r="Z750" s="428">
        <f>IFERROR(VLOOKUP(E:E,'Item Data Support Sheet'!A:O,4,0),0)</f>
        <v>0</v>
      </c>
      <c r="AA750" s="428">
        <f t="shared" si="214"/>
        <v>0</v>
      </c>
      <c r="AB750" s="429" t="str">
        <f t="shared" si="215"/>
        <v xml:space="preserve"> </v>
      </c>
      <c r="AC750" s="424">
        <f t="shared" si="216"/>
        <v>0</v>
      </c>
      <c r="AD750" s="371">
        <f t="shared" si="217"/>
        <v>0</v>
      </c>
      <c r="AE750" s="748">
        <f t="shared" si="218"/>
        <v>1</v>
      </c>
      <c r="AF750" s="417">
        <f t="shared" si="219"/>
        <v>0.66666666666666663</v>
      </c>
      <c r="AG750" s="416">
        <f t="shared" si="220"/>
        <v>4.333333333333333</v>
      </c>
      <c r="AH750" s="372">
        <f t="shared" si="221"/>
        <v>0.86666666666666659</v>
      </c>
      <c r="AI750" s="373">
        <f t="shared" si="222"/>
        <v>800</v>
      </c>
      <c r="AJ750" s="418">
        <f>VLOOKUP(D750,'Standard Cycle time'!C:D,2,0)</f>
        <v>3.5</v>
      </c>
      <c r="AK750" s="418">
        <f t="shared" si="223"/>
        <v>3.8999999999999995</v>
      </c>
      <c r="AL750" s="374">
        <f t="shared" si="224"/>
        <v>0.89743589743589758</v>
      </c>
      <c r="AM750" s="372">
        <f t="shared" si="225"/>
        <v>0.77777777777777779</v>
      </c>
      <c r="AN750" s="799">
        <v>3762</v>
      </c>
      <c r="AO750" s="448"/>
      <c r="AP750" s="440">
        <v>40</v>
      </c>
      <c r="AQ750" s="440">
        <v>0</v>
      </c>
      <c r="AR750" s="440">
        <v>0</v>
      </c>
      <c r="AS750" s="440">
        <v>0</v>
      </c>
      <c r="AT750" s="440">
        <v>0</v>
      </c>
      <c r="AU750" s="440">
        <v>0</v>
      </c>
      <c r="AV750" s="440">
        <v>0</v>
      </c>
      <c r="AW750" s="440">
        <v>0</v>
      </c>
      <c r="AX750" s="440">
        <v>0</v>
      </c>
      <c r="AY750" s="440">
        <v>0</v>
      </c>
      <c r="AZ750" s="440">
        <v>0</v>
      </c>
      <c r="BA750" s="440">
        <v>0</v>
      </c>
      <c r="BB750" s="440">
        <v>0</v>
      </c>
      <c r="BC750" s="440">
        <v>0</v>
      </c>
      <c r="BD750" s="440">
        <v>0</v>
      </c>
      <c r="BE750" s="440">
        <v>0</v>
      </c>
      <c r="BF750" s="440">
        <v>0</v>
      </c>
      <c r="BG750" s="440">
        <v>0</v>
      </c>
      <c r="BH750" s="440">
        <v>0</v>
      </c>
      <c r="BI750" s="440">
        <v>0</v>
      </c>
      <c r="BJ750" s="440">
        <v>0</v>
      </c>
      <c r="BK750" s="440">
        <v>0</v>
      </c>
      <c r="BL750" s="440">
        <v>0</v>
      </c>
      <c r="BM750" s="440">
        <v>0</v>
      </c>
      <c r="BN750" s="440">
        <v>0</v>
      </c>
      <c r="BO750" s="440">
        <v>0</v>
      </c>
      <c r="BP750" s="440">
        <v>0</v>
      </c>
      <c r="BQ750" s="440">
        <v>0</v>
      </c>
      <c r="BR750" s="415">
        <v>0.66666666666666663</v>
      </c>
      <c r="BS750" s="415">
        <v>0.6777777777777777</v>
      </c>
      <c r="BT750" s="935"/>
      <c r="BU750" s="935"/>
      <c r="BV750" s="935"/>
      <c r="BW750" s="935"/>
      <c r="BX750" s="935"/>
      <c r="BY750" s="935"/>
      <c r="BZ750" s="935"/>
      <c r="CA750" s="935"/>
      <c r="CB750" s="935"/>
      <c r="CC750" s="935"/>
      <c r="CD750" s="935"/>
      <c r="CE750" s="935"/>
      <c r="CF750" s="935"/>
      <c r="CG750" s="935"/>
      <c r="CH750" s="935"/>
      <c r="CI750" s="935"/>
      <c r="CJ750" s="935"/>
      <c r="CK750" s="935"/>
      <c r="CL750" s="935"/>
      <c r="CM750" s="935"/>
      <c r="CN750" s="935"/>
      <c r="CO750" s="935"/>
      <c r="CP750" s="935"/>
      <c r="CQ750" s="935"/>
      <c r="CR750" s="935"/>
      <c r="CS750" s="935"/>
      <c r="CT750" s="935"/>
      <c r="CU750" s="935"/>
      <c r="CV750" s="935"/>
    </row>
    <row r="751" spans="1:100" s="441" customFormat="1">
      <c r="A751" s="375">
        <f t="shared" si="211"/>
        <v>9</v>
      </c>
      <c r="B751" s="862">
        <v>44468</v>
      </c>
      <c r="C751" s="493" t="s">
        <v>2001</v>
      </c>
      <c r="D751" s="376" t="str">
        <f>IFERROR(VLOOKUP(E:E,'Item Data Support Sheet'!A:O,7,0),"")</f>
        <v>NIPPLE PUNCH</v>
      </c>
      <c r="E751" s="447" t="s">
        <v>83</v>
      </c>
      <c r="F751" s="500"/>
      <c r="G751" s="497" t="s">
        <v>1692</v>
      </c>
      <c r="H751" s="602" t="str">
        <f>IFERROR(VLOOKUP(E:E,'Item Data Support Sheet'!A:O,2,0),"")</f>
        <v>NIPPLE S TYPE Y SIZE PUNCHED</v>
      </c>
      <c r="I751" s="501" t="s">
        <v>3446</v>
      </c>
      <c r="J751" s="501" t="s">
        <v>2826</v>
      </c>
      <c r="K751" s="438">
        <v>1.2</v>
      </c>
      <c r="L751" s="499">
        <v>1000</v>
      </c>
      <c r="M751" s="366">
        <f t="shared" si="226"/>
        <v>833.33333333333337</v>
      </c>
      <c r="N751" s="367">
        <f t="shared" si="210"/>
        <v>1000</v>
      </c>
      <c r="O751" s="61">
        <v>1000</v>
      </c>
      <c r="P751" s="368">
        <v>0</v>
      </c>
      <c r="Q751" s="368">
        <v>0</v>
      </c>
      <c r="R751" s="494">
        <v>0</v>
      </c>
      <c r="S751" s="493">
        <v>0</v>
      </c>
      <c r="T751" s="494">
        <v>0</v>
      </c>
      <c r="U751" s="493">
        <v>0</v>
      </c>
      <c r="V751" s="502">
        <v>1</v>
      </c>
      <c r="W751" s="453">
        <f t="shared" si="212"/>
        <v>1000</v>
      </c>
      <c r="X751" s="748">
        <f t="shared" si="213"/>
        <v>1</v>
      </c>
      <c r="Y751" s="451" t="str">
        <f>IFERROR(VLOOKUP(E:E,'Item Data Support Sheet'!A:J,6,0),0)</f>
        <v>FO018</v>
      </c>
      <c r="Z751" s="428">
        <f>IFERROR(VLOOKUP(E:E,'Item Data Support Sheet'!A:O,4,0),0)</f>
        <v>0</v>
      </c>
      <c r="AA751" s="428">
        <f t="shared" si="214"/>
        <v>0</v>
      </c>
      <c r="AB751" s="429" t="str">
        <f t="shared" si="215"/>
        <v xml:space="preserve"> </v>
      </c>
      <c r="AC751" s="424">
        <f t="shared" si="216"/>
        <v>0</v>
      </c>
      <c r="AD751" s="371">
        <f t="shared" si="217"/>
        <v>0</v>
      </c>
      <c r="AE751" s="748">
        <f t="shared" si="218"/>
        <v>1</v>
      </c>
      <c r="AF751" s="417">
        <f t="shared" si="219"/>
        <v>0</v>
      </c>
      <c r="AG751" s="416">
        <f t="shared" si="220"/>
        <v>1.2</v>
      </c>
      <c r="AH751" s="372">
        <f t="shared" si="221"/>
        <v>1</v>
      </c>
      <c r="AI751" s="373">
        <f t="shared" si="222"/>
        <v>833.33333333333337</v>
      </c>
      <c r="AJ751" s="418">
        <f>VLOOKUP(D751,'Standard Cycle time'!C:D,2,0)</f>
        <v>3.5</v>
      </c>
      <c r="AK751" s="418">
        <f t="shared" si="223"/>
        <v>4.32</v>
      </c>
      <c r="AL751" s="374">
        <f t="shared" si="224"/>
        <v>0.81018518518518512</v>
      </c>
      <c r="AM751" s="372">
        <f t="shared" si="225"/>
        <v>0.81018518518518512</v>
      </c>
      <c r="AN751" s="799">
        <v>3753</v>
      </c>
      <c r="AO751" s="448"/>
      <c r="AP751" s="440">
        <v>0</v>
      </c>
      <c r="AQ751" s="440">
        <v>0</v>
      </c>
      <c r="AR751" s="440">
        <v>0</v>
      </c>
      <c r="AS751" s="440">
        <v>0</v>
      </c>
      <c r="AT751" s="440">
        <v>0</v>
      </c>
      <c r="AU751" s="440">
        <v>0</v>
      </c>
      <c r="AV751" s="440">
        <v>0</v>
      </c>
      <c r="AW751" s="440">
        <v>0</v>
      </c>
      <c r="AX751" s="440">
        <v>0</v>
      </c>
      <c r="AY751" s="440">
        <v>0</v>
      </c>
      <c r="AZ751" s="440">
        <v>0</v>
      </c>
      <c r="BA751" s="440">
        <v>0</v>
      </c>
      <c r="BB751" s="440">
        <v>0</v>
      </c>
      <c r="BC751" s="440">
        <v>0</v>
      </c>
      <c r="BD751" s="440">
        <v>0</v>
      </c>
      <c r="BE751" s="440">
        <v>0</v>
      </c>
      <c r="BF751" s="440">
        <v>0</v>
      </c>
      <c r="BG751" s="440">
        <v>0</v>
      </c>
      <c r="BH751" s="440">
        <v>0</v>
      </c>
      <c r="BI751" s="440">
        <v>0</v>
      </c>
      <c r="BJ751" s="440">
        <v>0</v>
      </c>
      <c r="BK751" s="440">
        <v>0</v>
      </c>
      <c r="BL751" s="440">
        <v>0</v>
      </c>
      <c r="BM751" s="440">
        <v>0</v>
      </c>
      <c r="BN751" s="440">
        <v>0</v>
      </c>
      <c r="BO751" s="440">
        <v>0</v>
      </c>
      <c r="BP751" s="440">
        <v>0</v>
      </c>
      <c r="BQ751" s="440">
        <v>0</v>
      </c>
      <c r="BR751" s="415">
        <v>0</v>
      </c>
      <c r="BS751" s="415">
        <v>0</v>
      </c>
      <c r="BT751" s="935"/>
      <c r="BU751" s="935"/>
      <c r="BV751" s="935"/>
      <c r="BW751" s="935"/>
      <c r="BX751" s="935"/>
      <c r="BY751" s="935"/>
      <c r="BZ751" s="935"/>
      <c r="CA751" s="935"/>
      <c r="CB751" s="935"/>
      <c r="CC751" s="935"/>
      <c r="CD751" s="935"/>
      <c r="CE751" s="935"/>
      <c r="CF751" s="935"/>
      <c r="CG751" s="935"/>
      <c r="CH751" s="935"/>
      <c r="CI751" s="935"/>
      <c r="CJ751" s="935"/>
      <c r="CK751" s="935"/>
      <c r="CL751" s="935"/>
      <c r="CM751" s="935"/>
      <c r="CN751" s="935"/>
      <c r="CO751" s="935"/>
      <c r="CP751" s="935"/>
      <c r="CQ751" s="935"/>
      <c r="CR751" s="935"/>
      <c r="CS751" s="935"/>
      <c r="CT751" s="935"/>
      <c r="CU751" s="935"/>
      <c r="CV751" s="935"/>
    </row>
    <row r="752" spans="1:100" s="441" customFormat="1">
      <c r="A752" s="375">
        <f t="shared" si="211"/>
        <v>9</v>
      </c>
      <c r="B752" s="862">
        <v>44468</v>
      </c>
      <c r="C752" s="493" t="s">
        <v>2001</v>
      </c>
      <c r="D752" s="376" t="str">
        <f>IFERROR(VLOOKUP(E:E,'Item Data Support Sheet'!A:O,7,0),"")</f>
        <v>NIPPLE PUNCH</v>
      </c>
      <c r="E752" s="447" t="s">
        <v>80</v>
      </c>
      <c r="F752" s="500"/>
      <c r="G752" s="497" t="s">
        <v>1692</v>
      </c>
      <c r="H752" s="602" t="str">
        <f>IFERROR(VLOOKUP(E:E,'Item Data Support Sheet'!A:O,2,0),"")</f>
        <v>NIPPLE S TYPE S SIZE PUNCHED</v>
      </c>
      <c r="I752" s="501" t="s">
        <v>3447</v>
      </c>
      <c r="J752" s="501" t="s">
        <v>2826</v>
      </c>
      <c r="K752" s="438">
        <v>1.6</v>
      </c>
      <c r="L752" s="499">
        <v>1400</v>
      </c>
      <c r="M752" s="366">
        <f t="shared" si="226"/>
        <v>875</v>
      </c>
      <c r="N752" s="367">
        <f t="shared" si="210"/>
        <v>1382</v>
      </c>
      <c r="O752" s="61">
        <v>1382</v>
      </c>
      <c r="P752" s="368">
        <v>0</v>
      </c>
      <c r="Q752" s="368">
        <v>0</v>
      </c>
      <c r="R752" s="494">
        <v>0</v>
      </c>
      <c r="S752" s="493">
        <v>0</v>
      </c>
      <c r="T752" s="494">
        <v>0</v>
      </c>
      <c r="U752" s="493">
        <v>0</v>
      </c>
      <c r="V752" s="502">
        <v>1</v>
      </c>
      <c r="W752" s="453">
        <f t="shared" si="212"/>
        <v>1382</v>
      </c>
      <c r="X752" s="748">
        <f t="shared" si="213"/>
        <v>0.9871428571428571</v>
      </c>
      <c r="Y752" s="451" t="str">
        <f>IFERROR(VLOOKUP(E:E,'Item Data Support Sheet'!A:J,6,0),0)</f>
        <v>FO015</v>
      </c>
      <c r="Z752" s="428">
        <f>IFERROR(VLOOKUP(E:E,'Item Data Support Sheet'!A:O,4,0),0)</f>
        <v>0</v>
      </c>
      <c r="AA752" s="428">
        <f t="shared" si="214"/>
        <v>0</v>
      </c>
      <c r="AB752" s="429" t="str">
        <f t="shared" si="215"/>
        <v xml:space="preserve"> </v>
      </c>
      <c r="AC752" s="424">
        <f t="shared" si="216"/>
        <v>0</v>
      </c>
      <c r="AD752" s="371">
        <f t="shared" si="217"/>
        <v>0</v>
      </c>
      <c r="AE752" s="748">
        <f t="shared" si="218"/>
        <v>1</v>
      </c>
      <c r="AF752" s="417">
        <f t="shared" si="219"/>
        <v>0</v>
      </c>
      <c r="AG752" s="416">
        <f t="shared" si="220"/>
        <v>1.6</v>
      </c>
      <c r="AH752" s="372">
        <f t="shared" si="221"/>
        <v>1</v>
      </c>
      <c r="AI752" s="373">
        <f t="shared" si="222"/>
        <v>863.75</v>
      </c>
      <c r="AJ752" s="418">
        <f>VLOOKUP(D752,'Standard Cycle time'!C:D,2,0)</f>
        <v>3.5</v>
      </c>
      <c r="AK752" s="418">
        <f t="shared" si="223"/>
        <v>4.1678726483357451</v>
      </c>
      <c r="AL752" s="374">
        <f t="shared" si="224"/>
        <v>0.83975694444444449</v>
      </c>
      <c r="AM752" s="372">
        <f t="shared" si="225"/>
        <v>0.83975694444444449</v>
      </c>
      <c r="AN752" s="799" t="s">
        <v>3448</v>
      </c>
      <c r="AO752" s="448"/>
      <c r="AP752" s="440">
        <v>0</v>
      </c>
      <c r="AQ752" s="440">
        <v>0</v>
      </c>
      <c r="AR752" s="440">
        <v>0</v>
      </c>
      <c r="AS752" s="440">
        <v>0</v>
      </c>
      <c r="AT752" s="440">
        <v>0</v>
      </c>
      <c r="AU752" s="440">
        <v>0</v>
      </c>
      <c r="AV752" s="440">
        <v>0</v>
      </c>
      <c r="AW752" s="440">
        <v>0</v>
      </c>
      <c r="AX752" s="440">
        <v>0</v>
      </c>
      <c r="AY752" s="440">
        <v>0</v>
      </c>
      <c r="AZ752" s="440">
        <v>0</v>
      </c>
      <c r="BA752" s="440">
        <v>0</v>
      </c>
      <c r="BB752" s="440">
        <v>0</v>
      </c>
      <c r="BC752" s="440">
        <v>0</v>
      </c>
      <c r="BD752" s="440">
        <v>0</v>
      </c>
      <c r="BE752" s="440">
        <v>0</v>
      </c>
      <c r="BF752" s="440">
        <v>0</v>
      </c>
      <c r="BG752" s="440">
        <v>0</v>
      </c>
      <c r="BH752" s="440">
        <v>0</v>
      </c>
      <c r="BI752" s="440">
        <v>0</v>
      </c>
      <c r="BJ752" s="440">
        <v>0</v>
      </c>
      <c r="BK752" s="440">
        <v>0</v>
      </c>
      <c r="BL752" s="440">
        <v>0</v>
      </c>
      <c r="BM752" s="440">
        <v>0</v>
      </c>
      <c r="BN752" s="440">
        <v>0</v>
      </c>
      <c r="BO752" s="440">
        <v>0</v>
      </c>
      <c r="BP752" s="440">
        <v>0</v>
      </c>
      <c r="BQ752" s="440">
        <v>0</v>
      </c>
      <c r="BR752" s="415">
        <v>0</v>
      </c>
      <c r="BS752" s="415">
        <v>0</v>
      </c>
      <c r="BT752" s="935"/>
      <c r="BU752" s="935"/>
      <c r="BV752" s="935"/>
      <c r="BW752" s="935"/>
      <c r="BX752" s="935"/>
      <c r="BY752" s="935"/>
      <c r="BZ752" s="935"/>
      <c r="CA752" s="935"/>
      <c r="CB752" s="935"/>
      <c r="CC752" s="935"/>
      <c r="CD752" s="935"/>
      <c r="CE752" s="935"/>
      <c r="CF752" s="935"/>
      <c r="CG752" s="935"/>
      <c r="CH752" s="935"/>
      <c r="CI752" s="935"/>
      <c r="CJ752" s="935"/>
      <c r="CK752" s="935"/>
      <c r="CL752" s="935"/>
      <c r="CM752" s="935"/>
      <c r="CN752" s="935"/>
      <c r="CO752" s="935"/>
      <c r="CP752" s="935"/>
      <c r="CQ752" s="935"/>
      <c r="CR752" s="935"/>
      <c r="CS752" s="935"/>
      <c r="CT752" s="935"/>
      <c r="CU752" s="935"/>
      <c r="CV752" s="935"/>
    </row>
    <row r="753" spans="1:104" s="441" customFormat="1">
      <c r="A753" s="375">
        <f t="shared" si="211"/>
        <v>9</v>
      </c>
      <c r="B753" s="862">
        <v>44468</v>
      </c>
      <c r="C753" s="493" t="s">
        <v>2001</v>
      </c>
      <c r="D753" s="376" t="str">
        <f>IFERROR(VLOOKUP(E:E,'Item Data Support Sheet'!A:O,7,0),"")</f>
        <v>CAP MOLDED</v>
      </c>
      <c r="E753" s="447" t="s">
        <v>2106</v>
      </c>
      <c r="F753" s="500"/>
      <c r="G753" s="497" t="s">
        <v>3212</v>
      </c>
      <c r="H753" s="602" t="str">
        <f>IFERROR(VLOOKUP(E:E,'Item Data Support Sheet'!A:O,2,0),"")</f>
        <v>CAP S TYPE MOLDED RED</v>
      </c>
      <c r="I753" s="501" t="s">
        <v>3449</v>
      </c>
      <c r="J753" s="501" t="s">
        <v>2826</v>
      </c>
      <c r="K753" s="438">
        <v>8</v>
      </c>
      <c r="L753" s="499">
        <v>4137</v>
      </c>
      <c r="M753" s="366">
        <f t="shared" si="226"/>
        <v>517.125</v>
      </c>
      <c r="N753" s="367">
        <f t="shared" si="210"/>
        <v>4006</v>
      </c>
      <c r="O753" s="61">
        <v>4000</v>
      </c>
      <c r="P753" s="368">
        <v>0</v>
      </c>
      <c r="Q753" s="368">
        <v>0</v>
      </c>
      <c r="R753" s="494">
        <v>0</v>
      </c>
      <c r="S753" s="493">
        <v>0</v>
      </c>
      <c r="T753" s="494">
        <v>6</v>
      </c>
      <c r="U753" s="493">
        <v>0</v>
      </c>
      <c r="V753" s="502">
        <v>1</v>
      </c>
      <c r="W753" s="453">
        <f t="shared" si="212"/>
        <v>4000</v>
      </c>
      <c r="X753" s="748">
        <f t="shared" si="213"/>
        <v>0.96688421561518012</v>
      </c>
      <c r="Y753" s="451" t="str">
        <f>IFERROR(VLOOKUP(E:E,'Item Data Support Sheet'!A:J,6,0),0)</f>
        <v>FO153</v>
      </c>
      <c r="Z753" s="428">
        <f>IFERROR(VLOOKUP(E:E,'Item Data Support Sheet'!A:O,4,0),0)</f>
        <v>7.3</v>
      </c>
      <c r="AA753" s="428">
        <f t="shared" si="214"/>
        <v>29.2438</v>
      </c>
      <c r="AB753" s="429">
        <f t="shared" si="215"/>
        <v>0.99850224663005493</v>
      </c>
      <c r="AC753" s="424">
        <f t="shared" si="216"/>
        <v>1.4977533699450823E-3</v>
      </c>
      <c r="AD753" s="371">
        <f t="shared" si="217"/>
        <v>0</v>
      </c>
      <c r="AE753" s="748">
        <f t="shared" si="218"/>
        <v>0.99850224663005493</v>
      </c>
      <c r="AF753" s="417">
        <f t="shared" si="219"/>
        <v>0</v>
      </c>
      <c r="AG753" s="416">
        <f t="shared" si="220"/>
        <v>8</v>
      </c>
      <c r="AH753" s="372">
        <f t="shared" si="221"/>
        <v>1</v>
      </c>
      <c r="AI753" s="373">
        <f t="shared" si="222"/>
        <v>500</v>
      </c>
      <c r="AJ753" s="418">
        <f>VLOOKUP(D753,'Standard Cycle time'!C:D,2,0)</f>
        <v>6</v>
      </c>
      <c r="AK753" s="418">
        <f t="shared" si="223"/>
        <v>7.2</v>
      </c>
      <c r="AL753" s="374">
        <f t="shared" si="224"/>
        <v>0.83333333333333326</v>
      </c>
      <c r="AM753" s="372">
        <f t="shared" si="225"/>
        <v>0.83208520552504572</v>
      </c>
      <c r="AN753" s="799">
        <v>3767</v>
      </c>
      <c r="AO753" s="448"/>
      <c r="AP753" s="440">
        <v>0</v>
      </c>
      <c r="AQ753" s="440">
        <v>0</v>
      </c>
      <c r="AR753" s="440">
        <v>0</v>
      </c>
      <c r="AS753" s="440">
        <v>0</v>
      </c>
      <c r="AT753" s="440">
        <v>0</v>
      </c>
      <c r="AU753" s="440">
        <v>0</v>
      </c>
      <c r="AV753" s="440">
        <v>0</v>
      </c>
      <c r="AW753" s="440">
        <v>0</v>
      </c>
      <c r="AX753" s="440">
        <v>0</v>
      </c>
      <c r="AY753" s="440">
        <v>0</v>
      </c>
      <c r="AZ753" s="440">
        <v>0</v>
      </c>
      <c r="BA753" s="440">
        <v>0</v>
      </c>
      <c r="BB753" s="440">
        <v>0</v>
      </c>
      <c r="BC753" s="440">
        <v>0</v>
      </c>
      <c r="BD753" s="440">
        <v>0</v>
      </c>
      <c r="BE753" s="440">
        <v>0</v>
      </c>
      <c r="BF753" s="440">
        <v>0</v>
      </c>
      <c r="BG753" s="440">
        <v>0</v>
      </c>
      <c r="BH753" s="440">
        <v>0</v>
      </c>
      <c r="BI753" s="440">
        <v>0</v>
      </c>
      <c r="BJ753" s="440">
        <v>0</v>
      </c>
      <c r="BK753" s="440">
        <v>0</v>
      </c>
      <c r="BL753" s="440">
        <v>0</v>
      </c>
      <c r="BM753" s="440">
        <v>0</v>
      </c>
      <c r="BN753" s="440">
        <v>0</v>
      </c>
      <c r="BO753" s="440">
        <v>0</v>
      </c>
      <c r="BP753" s="440">
        <v>0</v>
      </c>
      <c r="BQ753" s="440">
        <v>0</v>
      </c>
      <c r="BR753" s="415">
        <v>0</v>
      </c>
      <c r="BS753" s="415">
        <v>0</v>
      </c>
      <c r="BT753" s="935"/>
      <c r="BU753" s="935"/>
      <c r="BV753" s="935"/>
      <c r="BW753" s="935"/>
      <c r="BX753" s="935"/>
      <c r="BY753" s="935"/>
      <c r="BZ753" s="935"/>
      <c r="CA753" s="935"/>
      <c r="CB753" s="935"/>
      <c r="CC753" s="935"/>
      <c r="CD753" s="935"/>
      <c r="CE753" s="935"/>
      <c r="CF753" s="935"/>
      <c r="CG753" s="935"/>
      <c r="CH753" s="935"/>
      <c r="CI753" s="935"/>
      <c r="CJ753" s="935"/>
      <c r="CK753" s="935"/>
      <c r="CL753" s="935"/>
      <c r="CM753" s="935"/>
      <c r="CN753" s="935"/>
      <c r="CO753" s="935"/>
      <c r="CP753" s="935"/>
      <c r="CQ753" s="935"/>
      <c r="CR753" s="935"/>
      <c r="CS753" s="935"/>
      <c r="CT753" s="935"/>
      <c r="CU753" s="935"/>
      <c r="CV753" s="935"/>
    </row>
    <row r="754" spans="1:104" s="441" customFormat="1">
      <c r="A754" s="375">
        <f t="shared" si="211"/>
        <v>9</v>
      </c>
      <c r="B754" s="862">
        <v>44468</v>
      </c>
      <c r="C754" s="493" t="s">
        <v>2053</v>
      </c>
      <c r="D754" s="376" t="str">
        <f>IFERROR(VLOOKUP(E:E,'Item Data Support Sheet'!A:O,7,0),"")</f>
        <v>CAP MOLDED</v>
      </c>
      <c r="E754" s="447" t="s">
        <v>2106</v>
      </c>
      <c r="F754" s="500"/>
      <c r="G754" s="497" t="s">
        <v>3212</v>
      </c>
      <c r="H754" s="602" t="str">
        <f>IFERROR(VLOOKUP(E:E,'Item Data Support Sheet'!A:O,2,0),"")</f>
        <v>CAP S TYPE MOLDED RED</v>
      </c>
      <c r="I754" s="501" t="s">
        <v>3450</v>
      </c>
      <c r="J754" s="501" t="s">
        <v>2808</v>
      </c>
      <c r="K754" s="438">
        <v>8</v>
      </c>
      <c r="L754" s="499">
        <v>4137</v>
      </c>
      <c r="M754" s="366">
        <f t="shared" si="226"/>
        <v>517.125</v>
      </c>
      <c r="N754" s="367">
        <f t="shared" si="210"/>
        <v>4208</v>
      </c>
      <c r="O754" s="61">
        <v>4200</v>
      </c>
      <c r="P754" s="368">
        <v>0</v>
      </c>
      <c r="Q754" s="368">
        <v>0</v>
      </c>
      <c r="R754" s="494">
        <v>0</v>
      </c>
      <c r="S754" s="493">
        <v>0</v>
      </c>
      <c r="T754" s="494">
        <v>0</v>
      </c>
      <c r="U754" s="493">
        <v>8</v>
      </c>
      <c r="V754" s="502">
        <v>1</v>
      </c>
      <c r="W754" s="453">
        <f t="shared" si="212"/>
        <v>4200</v>
      </c>
      <c r="X754" s="748">
        <f t="shared" si="213"/>
        <v>1.015228426395939</v>
      </c>
      <c r="Y754" s="451" t="str">
        <f>IFERROR(VLOOKUP(E:E,'Item Data Support Sheet'!A:J,6,0),0)</f>
        <v>FO153</v>
      </c>
      <c r="Z754" s="428">
        <f>IFERROR(VLOOKUP(E:E,'Item Data Support Sheet'!A:O,4,0),0)</f>
        <v>7.3</v>
      </c>
      <c r="AA754" s="428">
        <f t="shared" si="214"/>
        <v>30.718399999999999</v>
      </c>
      <c r="AB754" s="429">
        <f t="shared" si="215"/>
        <v>0.99809885931558939</v>
      </c>
      <c r="AC754" s="424">
        <f t="shared" si="216"/>
        <v>0</v>
      </c>
      <c r="AD754" s="371">
        <f t="shared" si="217"/>
        <v>0</v>
      </c>
      <c r="AE754" s="748">
        <f t="shared" si="218"/>
        <v>1</v>
      </c>
      <c r="AF754" s="417">
        <f t="shared" si="219"/>
        <v>0</v>
      </c>
      <c r="AG754" s="416">
        <f t="shared" si="220"/>
        <v>8</v>
      </c>
      <c r="AH754" s="372">
        <f t="shared" si="221"/>
        <v>1</v>
      </c>
      <c r="AI754" s="373">
        <f t="shared" si="222"/>
        <v>525</v>
      </c>
      <c r="AJ754" s="418">
        <f>VLOOKUP(D754,'Standard Cycle time'!C:D,2,0)</f>
        <v>6</v>
      </c>
      <c r="AK754" s="418">
        <f t="shared" si="223"/>
        <v>6.8571428571428568</v>
      </c>
      <c r="AL754" s="374">
        <f t="shared" si="224"/>
        <v>0.875</v>
      </c>
      <c r="AM754" s="372">
        <f t="shared" si="225"/>
        <v>0.875</v>
      </c>
      <c r="AN754" s="799">
        <v>3766</v>
      </c>
      <c r="AO754" s="448"/>
      <c r="AP754" s="440">
        <v>0</v>
      </c>
      <c r="AQ754" s="440">
        <v>0</v>
      </c>
      <c r="AR754" s="440">
        <v>0</v>
      </c>
      <c r="AS754" s="440">
        <v>0</v>
      </c>
      <c r="AT754" s="440">
        <v>0</v>
      </c>
      <c r="AU754" s="440">
        <v>0</v>
      </c>
      <c r="AV754" s="440">
        <v>0</v>
      </c>
      <c r="AW754" s="440">
        <v>0</v>
      </c>
      <c r="AX754" s="440">
        <v>0</v>
      </c>
      <c r="AY754" s="440">
        <v>0</v>
      </c>
      <c r="AZ754" s="440">
        <v>0</v>
      </c>
      <c r="BA754" s="440">
        <v>0</v>
      </c>
      <c r="BB754" s="440">
        <v>0</v>
      </c>
      <c r="BC754" s="440">
        <v>0</v>
      </c>
      <c r="BD754" s="440">
        <v>0</v>
      </c>
      <c r="BE754" s="440">
        <v>0</v>
      </c>
      <c r="BF754" s="440">
        <v>0</v>
      </c>
      <c r="BG754" s="440">
        <v>0</v>
      </c>
      <c r="BH754" s="440">
        <v>0</v>
      </c>
      <c r="BI754" s="440">
        <v>0</v>
      </c>
      <c r="BJ754" s="440">
        <v>0</v>
      </c>
      <c r="BK754" s="440">
        <v>0</v>
      </c>
      <c r="BL754" s="440">
        <v>0</v>
      </c>
      <c r="BM754" s="440">
        <v>0</v>
      </c>
      <c r="BN754" s="440">
        <v>0</v>
      </c>
      <c r="BO754" s="440">
        <v>0</v>
      </c>
      <c r="BP754" s="440">
        <v>0</v>
      </c>
      <c r="BQ754" s="440">
        <v>0</v>
      </c>
      <c r="BR754" s="415">
        <v>0</v>
      </c>
      <c r="BS754" s="415">
        <v>0</v>
      </c>
      <c r="BT754" s="935"/>
      <c r="BU754" s="935"/>
      <c r="BV754" s="935"/>
      <c r="BW754" s="935"/>
      <c r="BX754" s="935"/>
      <c r="BY754" s="935"/>
      <c r="BZ754" s="935"/>
      <c r="CA754" s="935"/>
      <c r="CB754" s="935"/>
      <c r="CC754" s="935"/>
      <c r="CD754" s="935"/>
      <c r="CE754" s="935"/>
      <c r="CF754" s="935"/>
      <c r="CG754" s="935"/>
      <c r="CH754" s="935"/>
      <c r="CI754" s="935"/>
      <c r="CJ754" s="935"/>
      <c r="CK754" s="935"/>
      <c r="CL754" s="935"/>
      <c r="CM754" s="935"/>
      <c r="CN754" s="935"/>
      <c r="CO754" s="935"/>
      <c r="CP754" s="935"/>
      <c r="CQ754" s="935"/>
      <c r="CR754" s="935"/>
      <c r="CS754" s="935"/>
      <c r="CT754" s="935"/>
      <c r="CU754" s="935"/>
      <c r="CV754" s="935"/>
    </row>
    <row r="755" spans="1:104" s="441" customFormat="1">
      <c r="A755" s="375">
        <f t="shared" si="211"/>
        <v>9</v>
      </c>
      <c r="B755" s="862">
        <v>44468</v>
      </c>
      <c r="C755" s="493" t="s">
        <v>2053</v>
      </c>
      <c r="D755" s="376" t="str">
        <f>IFERROR(VLOOKUP(E:E,'Item Data Support Sheet'!A:O,7,0),"")</f>
        <v>NIPPLE LASER MARKING</v>
      </c>
      <c r="E755" s="447" t="s">
        <v>1817</v>
      </c>
      <c r="F755" s="500"/>
      <c r="G755" s="497" t="s">
        <v>1812</v>
      </c>
      <c r="H755" s="602" t="str">
        <f>IFERROR(VLOOKUP(E:E,'Item Data Support Sheet'!A:O,2,0),"")</f>
        <v>NIPPLE S TYPE Y SIZE PUNCHED LASER MARKED</v>
      </c>
      <c r="I755" s="501" t="s">
        <v>3451</v>
      </c>
      <c r="J755" s="501" t="s">
        <v>2808</v>
      </c>
      <c r="K755" s="438">
        <v>8</v>
      </c>
      <c r="L755" s="499">
        <v>7000</v>
      </c>
      <c r="M755" s="366">
        <f t="shared" si="226"/>
        <v>875</v>
      </c>
      <c r="N755" s="367">
        <f t="shared" si="210"/>
        <v>7392</v>
      </c>
      <c r="O755" s="61">
        <v>7392</v>
      </c>
      <c r="P755" s="368">
        <v>0</v>
      </c>
      <c r="Q755" s="368">
        <v>0</v>
      </c>
      <c r="R755" s="494">
        <v>0</v>
      </c>
      <c r="S755" s="493">
        <v>0</v>
      </c>
      <c r="T755" s="494">
        <v>0</v>
      </c>
      <c r="U755" s="493">
        <v>0</v>
      </c>
      <c r="V755" s="502">
        <v>1</v>
      </c>
      <c r="W755" s="453">
        <f t="shared" si="212"/>
        <v>7392</v>
      </c>
      <c r="X755" s="748">
        <f t="shared" si="213"/>
        <v>1.056</v>
      </c>
      <c r="Y755" s="451" t="str">
        <f>IFERROR(VLOOKUP(E:E,'Item Data Support Sheet'!A:J,6,0),0)</f>
        <v>FO022</v>
      </c>
      <c r="Z755" s="428">
        <f>IFERROR(VLOOKUP(E:E,'Item Data Support Sheet'!A:O,4,0),0)</f>
        <v>0</v>
      </c>
      <c r="AA755" s="428">
        <f t="shared" si="214"/>
        <v>0</v>
      </c>
      <c r="AB755" s="429" t="str">
        <f t="shared" si="215"/>
        <v xml:space="preserve"> </v>
      </c>
      <c r="AC755" s="424">
        <f t="shared" si="216"/>
        <v>0</v>
      </c>
      <c r="AD755" s="371">
        <f t="shared" si="217"/>
        <v>0</v>
      </c>
      <c r="AE755" s="748">
        <f t="shared" si="218"/>
        <v>1</v>
      </c>
      <c r="AF755" s="417">
        <f t="shared" si="219"/>
        <v>0.66666666666666663</v>
      </c>
      <c r="AG755" s="416">
        <f t="shared" si="220"/>
        <v>7.333333333333333</v>
      </c>
      <c r="AH755" s="372">
        <f t="shared" si="221"/>
        <v>0.91666666666666663</v>
      </c>
      <c r="AI755" s="373">
        <f t="shared" si="222"/>
        <v>924</v>
      </c>
      <c r="AJ755" s="418">
        <f>VLOOKUP(D755,'Standard Cycle time'!C:D,2,0)</f>
        <v>3.5</v>
      </c>
      <c r="AK755" s="418">
        <f t="shared" si="223"/>
        <v>3.5714285714285716</v>
      </c>
      <c r="AL755" s="374">
        <f t="shared" si="224"/>
        <v>0.98</v>
      </c>
      <c r="AM755" s="372">
        <f t="shared" si="225"/>
        <v>0.89833333333333332</v>
      </c>
      <c r="AN755" s="799" t="s">
        <v>3452</v>
      </c>
      <c r="AO755" s="448"/>
      <c r="AP755" s="440">
        <v>40</v>
      </c>
      <c r="AQ755" s="440">
        <v>0</v>
      </c>
      <c r="AR755" s="440">
        <v>0</v>
      </c>
      <c r="AS755" s="440">
        <v>0</v>
      </c>
      <c r="AT755" s="440">
        <v>0</v>
      </c>
      <c r="AU755" s="440">
        <v>0</v>
      </c>
      <c r="AV755" s="440">
        <v>0</v>
      </c>
      <c r="AW755" s="440">
        <v>0</v>
      </c>
      <c r="AX755" s="440">
        <v>0</v>
      </c>
      <c r="AY755" s="440">
        <v>0</v>
      </c>
      <c r="AZ755" s="440">
        <v>0</v>
      </c>
      <c r="BA755" s="440">
        <v>0</v>
      </c>
      <c r="BB755" s="440">
        <v>0</v>
      </c>
      <c r="BC755" s="440">
        <v>0</v>
      </c>
      <c r="BD755" s="440">
        <v>0</v>
      </c>
      <c r="BE755" s="440">
        <v>0</v>
      </c>
      <c r="BF755" s="440">
        <v>0</v>
      </c>
      <c r="BG755" s="440">
        <v>0</v>
      </c>
      <c r="BH755" s="440">
        <v>0</v>
      </c>
      <c r="BI755" s="440">
        <v>0</v>
      </c>
      <c r="BJ755" s="440">
        <v>0</v>
      </c>
      <c r="BK755" s="440">
        <v>0</v>
      </c>
      <c r="BL755" s="440">
        <v>0</v>
      </c>
      <c r="BM755" s="440">
        <v>0</v>
      </c>
      <c r="BN755" s="440">
        <v>0</v>
      </c>
      <c r="BO755" s="440">
        <v>0</v>
      </c>
      <c r="BP755" s="440">
        <v>0</v>
      </c>
      <c r="BQ755" s="440">
        <v>0</v>
      </c>
      <c r="BR755" s="415">
        <v>0.66666666666666663</v>
      </c>
      <c r="BS755" s="415">
        <v>0.6777777777777777</v>
      </c>
      <c r="BT755" s="935"/>
      <c r="BU755" s="935"/>
      <c r="BV755" s="935"/>
      <c r="BW755" s="935"/>
      <c r="BX755" s="935"/>
      <c r="BY755" s="935"/>
      <c r="BZ755" s="935"/>
      <c r="CA755" s="935"/>
      <c r="CB755" s="935"/>
      <c r="CC755" s="935"/>
      <c r="CD755" s="935"/>
      <c r="CE755" s="935"/>
      <c r="CF755" s="935"/>
      <c r="CG755" s="935"/>
      <c r="CH755" s="935"/>
      <c r="CI755" s="935"/>
      <c r="CJ755" s="935"/>
      <c r="CK755" s="935"/>
      <c r="CL755" s="935"/>
      <c r="CM755" s="935"/>
      <c r="CN755" s="935"/>
      <c r="CO755" s="935"/>
      <c r="CP755" s="935"/>
      <c r="CQ755" s="935"/>
      <c r="CR755" s="935"/>
      <c r="CS755" s="935"/>
      <c r="CT755" s="935"/>
      <c r="CU755" s="935"/>
      <c r="CV755" s="935"/>
    </row>
    <row r="756" spans="1:104" s="441" customFormat="1">
      <c r="A756" s="375">
        <f t="shared" si="211"/>
        <v>9</v>
      </c>
      <c r="B756" s="862">
        <v>44469</v>
      </c>
      <c r="C756" s="493" t="s">
        <v>1980</v>
      </c>
      <c r="D756" s="376" t="str">
        <f>IFERROR(VLOOKUP(E:E,'Item Data Support Sheet'!A:O,7,0),"")</f>
        <v>CAP MOLDED</v>
      </c>
      <c r="E756" s="447" t="s">
        <v>2106</v>
      </c>
      <c r="F756" s="500"/>
      <c r="G756" s="497" t="s">
        <v>3212</v>
      </c>
      <c r="H756" s="602" t="str">
        <f>IFERROR(VLOOKUP(E:E,'Item Data Support Sheet'!A:O,2,0),"")</f>
        <v>CAP S TYPE MOLDED RED</v>
      </c>
      <c r="I756" s="501" t="s">
        <v>3453</v>
      </c>
      <c r="J756" s="501" t="s">
        <v>2808</v>
      </c>
      <c r="K756" s="438">
        <v>5</v>
      </c>
      <c r="L756" s="499">
        <v>2585</v>
      </c>
      <c r="M756" s="366">
        <f t="shared" si="226"/>
        <v>517</v>
      </c>
      <c r="N756" s="367">
        <f t="shared" si="210"/>
        <v>2440</v>
      </c>
      <c r="O756" s="61">
        <v>2440</v>
      </c>
      <c r="P756" s="368">
        <v>0</v>
      </c>
      <c r="Q756" s="368">
        <v>0</v>
      </c>
      <c r="R756" s="494">
        <v>0</v>
      </c>
      <c r="S756" s="493">
        <v>0</v>
      </c>
      <c r="T756" s="494">
        <v>0</v>
      </c>
      <c r="U756" s="493">
        <v>0</v>
      </c>
      <c r="V756" s="502">
        <v>1</v>
      </c>
      <c r="W756" s="453">
        <f t="shared" si="212"/>
        <v>2440</v>
      </c>
      <c r="X756" s="748">
        <f t="shared" si="213"/>
        <v>0.94390715667311409</v>
      </c>
      <c r="Y756" s="451" t="str">
        <f>IFERROR(VLOOKUP(E:E,'Item Data Support Sheet'!A:J,6,0),0)</f>
        <v>FO153</v>
      </c>
      <c r="Z756" s="428">
        <f>IFERROR(VLOOKUP(E:E,'Item Data Support Sheet'!A:O,4,0),0)</f>
        <v>7.3</v>
      </c>
      <c r="AA756" s="428">
        <f t="shared" si="214"/>
        <v>17.812000000000001</v>
      </c>
      <c r="AB756" s="429">
        <f t="shared" si="215"/>
        <v>1</v>
      </c>
      <c r="AC756" s="424">
        <f t="shared" si="216"/>
        <v>0</v>
      </c>
      <c r="AD756" s="371">
        <f t="shared" si="217"/>
        <v>0</v>
      </c>
      <c r="AE756" s="748">
        <f t="shared" si="218"/>
        <v>1</v>
      </c>
      <c r="AF756" s="417">
        <f t="shared" si="219"/>
        <v>0</v>
      </c>
      <c r="AG756" s="416">
        <f t="shared" si="220"/>
        <v>5</v>
      </c>
      <c r="AH756" s="372">
        <f t="shared" si="221"/>
        <v>1</v>
      </c>
      <c r="AI756" s="373">
        <f t="shared" si="222"/>
        <v>488</v>
      </c>
      <c r="AJ756" s="418">
        <f>VLOOKUP(D756,'Standard Cycle time'!C:D,2,0)</f>
        <v>6</v>
      </c>
      <c r="AK756" s="418">
        <f t="shared" si="223"/>
        <v>7.3770491803278686</v>
      </c>
      <c r="AL756" s="374">
        <f t="shared" si="224"/>
        <v>0.81333333333333335</v>
      </c>
      <c r="AM756" s="372">
        <f t="shared" si="225"/>
        <v>0.81333333333333335</v>
      </c>
      <c r="AN756" s="799">
        <v>3779</v>
      </c>
      <c r="AO756" s="448"/>
      <c r="AP756" s="440">
        <v>0</v>
      </c>
      <c r="AQ756" s="440">
        <v>0</v>
      </c>
      <c r="AR756" s="440">
        <v>0</v>
      </c>
      <c r="AS756" s="440">
        <v>0</v>
      </c>
      <c r="AT756" s="440">
        <v>0</v>
      </c>
      <c r="AU756" s="440">
        <v>0</v>
      </c>
      <c r="AV756" s="440">
        <v>0</v>
      </c>
      <c r="AW756" s="440">
        <v>0</v>
      </c>
      <c r="AX756" s="440">
        <v>0</v>
      </c>
      <c r="AY756" s="440">
        <v>0</v>
      </c>
      <c r="AZ756" s="440">
        <v>0</v>
      </c>
      <c r="BA756" s="440">
        <v>0</v>
      </c>
      <c r="BB756" s="440">
        <v>0</v>
      </c>
      <c r="BC756" s="440">
        <v>0</v>
      </c>
      <c r="BD756" s="440">
        <v>0</v>
      </c>
      <c r="BE756" s="440">
        <v>0</v>
      </c>
      <c r="BF756" s="440">
        <v>0</v>
      </c>
      <c r="BG756" s="440">
        <v>0</v>
      </c>
      <c r="BH756" s="440">
        <v>0</v>
      </c>
      <c r="BI756" s="440">
        <v>0</v>
      </c>
      <c r="BJ756" s="440">
        <v>0</v>
      </c>
      <c r="BK756" s="440">
        <v>0</v>
      </c>
      <c r="BL756" s="440">
        <v>0</v>
      </c>
      <c r="BM756" s="440">
        <v>0</v>
      </c>
      <c r="BN756" s="440">
        <v>0</v>
      </c>
      <c r="BO756" s="440">
        <v>0</v>
      </c>
      <c r="BP756" s="440">
        <v>0</v>
      </c>
      <c r="BQ756" s="440">
        <v>0</v>
      </c>
      <c r="BR756" s="415">
        <v>0</v>
      </c>
      <c r="BS756" s="415">
        <v>0</v>
      </c>
      <c r="BT756" s="935"/>
      <c r="BU756" s="935"/>
      <c r="BV756" s="935"/>
      <c r="BW756" s="935"/>
      <c r="BX756" s="935"/>
      <c r="BY756" s="935"/>
      <c r="BZ756" s="935"/>
      <c r="CA756" s="935"/>
      <c r="CB756" s="935"/>
      <c r="CC756" s="935"/>
      <c r="CD756" s="935"/>
      <c r="CE756" s="935"/>
      <c r="CF756" s="935"/>
      <c r="CG756" s="935"/>
      <c r="CH756" s="935"/>
      <c r="CI756" s="935"/>
      <c r="CJ756" s="935"/>
      <c r="CK756" s="935"/>
      <c r="CL756" s="935"/>
      <c r="CM756" s="935"/>
      <c r="CN756" s="935"/>
      <c r="CO756" s="935"/>
      <c r="CP756" s="935"/>
      <c r="CQ756" s="935"/>
      <c r="CR756" s="935"/>
      <c r="CS756" s="935"/>
      <c r="CT756" s="935"/>
      <c r="CU756" s="935"/>
      <c r="CV756" s="935"/>
    </row>
    <row r="757" spans="1:104" s="441" customFormat="1">
      <c r="A757" s="375">
        <f t="shared" si="211"/>
        <v>9</v>
      </c>
      <c r="B757" s="862">
        <v>44469</v>
      </c>
      <c r="C757" s="493" t="s">
        <v>1980</v>
      </c>
      <c r="D757" s="376" t="str">
        <f>IFERROR(VLOOKUP(E:E,'Item Data Support Sheet'!A:O,7,0),"")</f>
        <v>CAP MOLDED</v>
      </c>
      <c r="E757" s="447" t="s">
        <v>2106</v>
      </c>
      <c r="F757" s="500"/>
      <c r="G757" s="497" t="s">
        <v>3208</v>
      </c>
      <c r="H757" s="602" t="str">
        <f>IFERROR(VLOOKUP(E:E,'Item Data Support Sheet'!A:O,2,0),"")</f>
        <v>CAP S TYPE MOLDED RED</v>
      </c>
      <c r="I757" s="501" t="s">
        <v>3454</v>
      </c>
      <c r="J757" s="501" t="s">
        <v>2808</v>
      </c>
      <c r="K757" s="438">
        <v>3</v>
      </c>
      <c r="L757" s="499">
        <v>1551</v>
      </c>
      <c r="M757" s="366">
        <f t="shared" si="226"/>
        <v>517</v>
      </c>
      <c r="N757" s="367">
        <f t="shared" si="210"/>
        <v>1612</v>
      </c>
      <c r="O757" s="61">
        <v>1600</v>
      </c>
      <c r="P757" s="368">
        <v>0</v>
      </c>
      <c r="Q757" s="368">
        <v>0</v>
      </c>
      <c r="R757" s="494">
        <v>0</v>
      </c>
      <c r="S757" s="493">
        <v>0</v>
      </c>
      <c r="T757" s="494">
        <v>4</v>
      </c>
      <c r="U757" s="493">
        <v>8</v>
      </c>
      <c r="V757" s="502">
        <v>1</v>
      </c>
      <c r="W757" s="453">
        <f t="shared" si="212"/>
        <v>1600</v>
      </c>
      <c r="X757" s="748">
        <f t="shared" si="213"/>
        <v>1.0315925209542232</v>
      </c>
      <c r="Y757" s="451" t="str">
        <f>IFERROR(VLOOKUP(E:E,'Item Data Support Sheet'!A:J,6,0),0)</f>
        <v>FO153</v>
      </c>
      <c r="Z757" s="428">
        <f>IFERROR(VLOOKUP(E:E,'Item Data Support Sheet'!A:O,4,0),0)</f>
        <v>7.3</v>
      </c>
      <c r="AA757" s="428">
        <f t="shared" si="214"/>
        <v>11.7676</v>
      </c>
      <c r="AB757" s="429">
        <f t="shared" si="215"/>
        <v>0.99255583126550873</v>
      </c>
      <c r="AC757" s="424">
        <f t="shared" si="216"/>
        <v>2.4937655860349127E-3</v>
      </c>
      <c r="AD757" s="371">
        <f t="shared" si="217"/>
        <v>0</v>
      </c>
      <c r="AE757" s="748">
        <f t="shared" si="218"/>
        <v>0.9975186104218362</v>
      </c>
      <c r="AF757" s="417">
        <f t="shared" si="219"/>
        <v>0.33333333333333331</v>
      </c>
      <c r="AG757" s="416">
        <f t="shared" si="220"/>
        <v>2.6666666666666665</v>
      </c>
      <c r="AH757" s="372">
        <f t="shared" si="221"/>
        <v>0.88888888888888884</v>
      </c>
      <c r="AI757" s="373">
        <f t="shared" si="222"/>
        <v>533.33333333333337</v>
      </c>
      <c r="AJ757" s="418">
        <f>VLOOKUP(D757,'Standard Cycle time'!C:D,2,0)</f>
        <v>6</v>
      </c>
      <c r="AK757" s="418">
        <f t="shared" si="223"/>
        <v>6</v>
      </c>
      <c r="AL757" s="374">
        <f t="shared" si="224"/>
        <v>1</v>
      </c>
      <c r="AM757" s="372">
        <f t="shared" si="225"/>
        <v>0.88668320926385435</v>
      </c>
      <c r="AN757" s="799">
        <v>3780</v>
      </c>
      <c r="AO757" s="448" t="s">
        <v>3412</v>
      </c>
      <c r="AP757" s="440">
        <v>0</v>
      </c>
      <c r="AQ757" s="440">
        <v>20</v>
      </c>
      <c r="AR757" s="440">
        <v>0</v>
      </c>
      <c r="AS757" s="440">
        <v>0</v>
      </c>
      <c r="AT757" s="440">
        <v>0</v>
      </c>
      <c r="AU757" s="440">
        <v>0</v>
      </c>
      <c r="AV757" s="440">
        <v>0</v>
      </c>
      <c r="AW757" s="440">
        <v>0</v>
      </c>
      <c r="AX757" s="440">
        <v>0</v>
      </c>
      <c r="AY757" s="440">
        <v>0</v>
      </c>
      <c r="AZ757" s="440">
        <v>0</v>
      </c>
      <c r="BA757" s="440">
        <v>0</v>
      </c>
      <c r="BB757" s="440">
        <v>0</v>
      </c>
      <c r="BC757" s="440">
        <v>0</v>
      </c>
      <c r="BD757" s="440">
        <v>0</v>
      </c>
      <c r="BE757" s="440">
        <v>0</v>
      </c>
      <c r="BF757" s="440">
        <v>0</v>
      </c>
      <c r="BG757" s="440">
        <v>0</v>
      </c>
      <c r="BH757" s="440">
        <v>0</v>
      </c>
      <c r="BI757" s="440">
        <v>0</v>
      </c>
      <c r="BJ757" s="440">
        <v>0</v>
      </c>
      <c r="BK757" s="440">
        <v>0</v>
      </c>
      <c r="BL757" s="440">
        <v>0</v>
      </c>
      <c r="BM757" s="440">
        <v>0</v>
      </c>
      <c r="BN757" s="440">
        <v>0</v>
      </c>
      <c r="BO757" s="440">
        <v>0</v>
      </c>
      <c r="BP757" s="440">
        <v>0</v>
      </c>
      <c r="BQ757" s="440">
        <v>0</v>
      </c>
      <c r="BR757" s="415">
        <v>0.33333333333333331</v>
      </c>
      <c r="BS757" s="415">
        <v>0.33888888888888885</v>
      </c>
      <c r="BT757" s="935"/>
      <c r="BU757" s="935"/>
      <c r="BV757" s="935"/>
      <c r="BW757" s="935"/>
      <c r="BX757" s="935"/>
      <c r="BY757" s="935"/>
      <c r="BZ757" s="935"/>
      <c r="CA757" s="935"/>
      <c r="CB757" s="935"/>
      <c r="CC757" s="935"/>
      <c r="CD757" s="935"/>
      <c r="CE757" s="935"/>
      <c r="CF757" s="935"/>
      <c r="CG757" s="935"/>
      <c r="CH757" s="935"/>
      <c r="CI757" s="935"/>
      <c r="CJ757" s="935"/>
      <c r="CK757" s="935"/>
      <c r="CL757" s="935"/>
      <c r="CM757" s="935"/>
      <c r="CN757" s="935"/>
      <c r="CO757" s="935"/>
      <c r="CP757" s="935"/>
      <c r="CQ757" s="935"/>
      <c r="CR757" s="935"/>
      <c r="CS757" s="935"/>
      <c r="CT757" s="935"/>
      <c r="CU757" s="935"/>
      <c r="CV757" s="935"/>
    </row>
    <row r="758" spans="1:104" s="441" customFormat="1">
      <c r="A758" s="375">
        <f t="shared" si="211"/>
        <v>9</v>
      </c>
      <c r="B758" s="862">
        <v>44469</v>
      </c>
      <c r="C758" s="493" t="s">
        <v>1980</v>
      </c>
      <c r="D758" s="376" t="str">
        <f>IFERROR(VLOOKUP(E:E,'Item Data Support Sheet'!A:O,7,0),"")</f>
        <v>NIPPLE LASER MARKING</v>
      </c>
      <c r="E758" s="447" t="s">
        <v>1817</v>
      </c>
      <c r="F758" s="500"/>
      <c r="G758" s="497" t="s">
        <v>1812</v>
      </c>
      <c r="H758" s="602" t="str">
        <f>IFERROR(VLOOKUP(E:E,'Item Data Support Sheet'!A:O,2,0),"")</f>
        <v>NIPPLE S TYPE Y SIZE PUNCHED LASER MARKED</v>
      </c>
      <c r="I758" s="501" t="s">
        <v>3455</v>
      </c>
      <c r="J758" s="501" t="s">
        <v>2808</v>
      </c>
      <c r="K758" s="438">
        <v>3.5</v>
      </c>
      <c r="L758" s="499">
        <v>3000</v>
      </c>
      <c r="M758" s="366">
        <f t="shared" si="226"/>
        <v>857.14285714285711</v>
      </c>
      <c r="N758" s="367">
        <f t="shared" si="210"/>
        <v>3040</v>
      </c>
      <c r="O758" s="61">
        <v>3040</v>
      </c>
      <c r="P758" s="368">
        <v>0</v>
      </c>
      <c r="Q758" s="368">
        <v>0</v>
      </c>
      <c r="R758" s="494">
        <v>0</v>
      </c>
      <c r="S758" s="493">
        <v>0</v>
      </c>
      <c r="T758" s="494">
        <v>0</v>
      </c>
      <c r="U758" s="493">
        <v>0</v>
      </c>
      <c r="V758" s="502">
        <v>1</v>
      </c>
      <c r="W758" s="453">
        <f t="shared" si="212"/>
        <v>3040</v>
      </c>
      <c r="X758" s="748">
        <f t="shared" si="213"/>
        <v>1.0133333333333334</v>
      </c>
      <c r="Y758" s="451" t="str">
        <f>IFERROR(VLOOKUP(E:E,'Item Data Support Sheet'!A:J,6,0),0)</f>
        <v>FO022</v>
      </c>
      <c r="Z758" s="428">
        <f>IFERROR(VLOOKUP(E:E,'Item Data Support Sheet'!A:O,4,0),0)</f>
        <v>0</v>
      </c>
      <c r="AA758" s="428">
        <f t="shared" si="214"/>
        <v>0</v>
      </c>
      <c r="AB758" s="429" t="str">
        <f t="shared" si="215"/>
        <v xml:space="preserve"> </v>
      </c>
      <c r="AC758" s="424">
        <f t="shared" si="216"/>
        <v>0</v>
      </c>
      <c r="AD758" s="371">
        <f t="shared" si="217"/>
        <v>0</v>
      </c>
      <c r="AE758" s="748">
        <f t="shared" si="218"/>
        <v>1</v>
      </c>
      <c r="AF758" s="417">
        <f t="shared" si="219"/>
        <v>0.5</v>
      </c>
      <c r="AG758" s="416">
        <f t="shared" si="220"/>
        <v>3</v>
      </c>
      <c r="AH758" s="372">
        <f t="shared" si="221"/>
        <v>0.8571428571428571</v>
      </c>
      <c r="AI758" s="373">
        <f t="shared" si="222"/>
        <v>868.57142857142856</v>
      </c>
      <c r="AJ758" s="418">
        <f>VLOOKUP(D758,'Standard Cycle time'!C:D,2,0)</f>
        <v>3.5</v>
      </c>
      <c r="AK758" s="418">
        <f t="shared" si="223"/>
        <v>3.5526315789473686</v>
      </c>
      <c r="AL758" s="374">
        <f t="shared" si="224"/>
        <v>0.98518518518518516</v>
      </c>
      <c r="AM758" s="372">
        <f t="shared" si="225"/>
        <v>0.84444444444444433</v>
      </c>
      <c r="AN758" s="799" t="s">
        <v>3456</v>
      </c>
      <c r="AO758" s="448"/>
      <c r="AP758" s="440">
        <v>30</v>
      </c>
      <c r="AQ758" s="440">
        <v>0</v>
      </c>
      <c r="AR758" s="440">
        <v>0</v>
      </c>
      <c r="AS758" s="440">
        <v>0</v>
      </c>
      <c r="AT758" s="440">
        <v>0</v>
      </c>
      <c r="AU758" s="440">
        <v>0</v>
      </c>
      <c r="AV758" s="440">
        <v>0</v>
      </c>
      <c r="AW758" s="440">
        <v>0</v>
      </c>
      <c r="AX758" s="440">
        <v>0</v>
      </c>
      <c r="AY758" s="440">
        <v>0</v>
      </c>
      <c r="AZ758" s="440">
        <v>0</v>
      </c>
      <c r="BA758" s="440">
        <v>0</v>
      </c>
      <c r="BB758" s="440">
        <v>0</v>
      </c>
      <c r="BC758" s="440">
        <v>0</v>
      </c>
      <c r="BD758" s="440">
        <v>0</v>
      </c>
      <c r="BE758" s="440">
        <v>0</v>
      </c>
      <c r="BF758" s="440">
        <v>0</v>
      </c>
      <c r="BG758" s="440">
        <v>0</v>
      </c>
      <c r="BH758" s="440">
        <v>0</v>
      </c>
      <c r="BI758" s="440">
        <v>0</v>
      </c>
      <c r="BJ758" s="440">
        <v>0</v>
      </c>
      <c r="BK758" s="440">
        <v>0</v>
      </c>
      <c r="BL758" s="440">
        <v>0</v>
      </c>
      <c r="BM758" s="440">
        <v>0</v>
      </c>
      <c r="BN758" s="440">
        <v>0</v>
      </c>
      <c r="BO758" s="440">
        <v>0</v>
      </c>
      <c r="BP758" s="440">
        <v>0</v>
      </c>
      <c r="BQ758" s="440">
        <v>0</v>
      </c>
      <c r="BR758" s="415">
        <v>0.5</v>
      </c>
      <c r="BS758" s="415">
        <v>0.5083333333333333</v>
      </c>
      <c r="BT758" s="935"/>
      <c r="BU758" s="935"/>
      <c r="BV758" s="935"/>
      <c r="BW758" s="935"/>
      <c r="BX758" s="935"/>
      <c r="BY758" s="935"/>
      <c r="BZ758" s="935"/>
      <c r="CA758" s="935"/>
      <c r="CB758" s="935"/>
      <c r="CC758" s="935"/>
      <c r="CD758" s="935"/>
      <c r="CE758" s="935"/>
      <c r="CF758" s="935"/>
      <c r="CG758" s="935"/>
      <c r="CH758" s="935"/>
      <c r="CI758" s="935"/>
      <c r="CJ758" s="935"/>
      <c r="CK758" s="935"/>
      <c r="CL758" s="935"/>
      <c r="CM758" s="935"/>
      <c r="CN758" s="935"/>
      <c r="CO758" s="935"/>
      <c r="CP758" s="935"/>
      <c r="CQ758" s="935"/>
      <c r="CR758" s="935"/>
      <c r="CS758" s="935"/>
      <c r="CT758" s="935"/>
      <c r="CU758" s="935"/>
      <c r="CV758" s="935"/>
    </row>
    <row r="759" spans="1:104" s="441" customFormat="1">
      <c r="A759" s="375">
        <f t="shared" si="211"/>
        <v>9</v>
      </c>
      <c r="B759" s="862">
        <v>44469</v>
      </c>
      <c r="C759" s="493" t="s">
        <v>1980</v>
      </c>
      <c r="D759" s="376" t="str">
        <f>IFERROR(VLOOKUP(E:E,'Item Data Support Sheet'!A:O,7,0),"")</f>
        <v>NIPPLE LASER MARKING</v>
      </c>
      <c r="E759" s="447" t="s">
        <v>1814</v>
      </c>
      <c r="F759" s="500"/>
      <c r="G759" s="497" t="s">
        <v>1812</v>
      </c>
      <c r="H759" s="602" t="str">
        <f>IFERROR(VLOOKUP(E:E,'Item Data Support Sheet'!A:O,2,0),"")</f>
        <v>NIPPLE S TYPE S SIZE PUNCHED LASER MARKED</v>
      </c>
      <c r="I759" s="501"/>
      <c r="J759" s="501" t="s">
        <v>2808</v>
      </c>
      <c r="K759" s="438">
        <v>4.5</v>
      </c>
      <c r="L759" s="499">
        <v>4000</v>
      </c>
      <c r="M759" s="366">
        <f t="shared" si="226"/>
        <v>888.88888888888891</v>
      </c>
      <c r="N759" s="367">
        <f t="shared" si="210"/>
        <v>4000</v>
      </c>
      <c r="O759" s="61">
        <v>4000</v>
      </c>
      <c r="P759" s="368">
        <v>0</v>
      </c>
      <c r="Q759" s="368">
        <v>0</v>
      </c>
      <c r="R759" s="494">
        <v>0</v>
      </c>
      <c r="S759" s="493">
        <v>0</v>
      </c>
      <c r="T759" s="494">
        <v>0</v>
      </c>
      <c r="U759" s="493">
        <v>0</v>
      </c>
      <c r="V759" s="502">
        <v>1</v>
      </c>
      <c r="W759" s="453">
        <f t="shared" si="212"/>
        <v>4000</v>
      </c>
      <c r="X759" s="748">
        <f t="shared" si="213"/>
        <v>1</v>
      </c>
      <c r="Y759" s="451" t="str">
        <f>IFERROR(VLOOKUP(E:E,'Item Data Support Sheet'!A:J,6,0),0)</f>
        <v>FO019</v>
      </c>
      <c r="Z759" s="428">
        <f>IFERROR(VLOOKUP(E:E,'Item Data Support Sheet'!A:O,4,0),0)</f>
        <v>0</v>
      </c>
      <c r="AA759" s="428">
        <f t="shared" si="214"/>
        <v>0</v>
      </c>
      <c r="AB759" s="429" t="str">
        <f t="shared" si="215"/>
        <v xml:space="preserve"> </v>
      </c>
      <c r="AC759" s="424">
        <f t="shared" si="216"/>
        <v>0</v>
      </c>
      <c r="AD759" s="371">
        <f t="shared" si="217"/>
        <v>0</v>
      </c>
      <c r="AE759" s="748">
        <f t="shared" si="218"/>
        <v>1</v>
      </c>
      <c r="AF759" s="417">
        <f t="shared" si="219"/>
        <v>0.16666666666666666</v>
      </c>
      <c r="AG759" s="416">
        <f t="shared" si="220"/>
        <v>4.333333333333333</v>
      </c>
      <c r="AH759" s="372">
        <f t="shared" si="221"/>
        <v>0.96296296296296291</v>
      </c>
      <c r="AI759" s="373">
        <f t="shared" si="222"/>
        <v>888.88888888888891</v>
      </c>
      <c r="AJ759" s="418">
        <f>VLOOKUP(D759,'Standard Cycle time'!C:D,2,0)</f>
        <v>3.5</v>
      </c>
      <c r="AK759" s="418">
        <f t="shared" si="223"/>
        <v>3.8999999999999995</v>
      </c>
      <c r="AL759" s="374">
        <f t="shared" si="224"/>
        <v>0.89743589743589758</v>
      </c>
      <c r="AM759" s="372">
        <f t="shared" si="225"/>
        <v>0.86419753086419759</v>
      </c>
      <c r="AN759" s="799" t="s">
        <v>3457</v>
      </c>
      <c r="AO759" s="448"/>
      <c r="AP759" s="440">
        <v>10</v>
      </c>
      <c r="AQ759" s="440">
        <v>0</v>
      </c>
      <c r="AR759" s="440">
        <v>0</v>
      </c>
      <c r="AS759" s="440">
        <v>0</v>
      </c>
      <c r="AT759" s="440">
        <v>0</v>
      </c>
      <c r="AU759" s="440">
        <v>0</v>
      </c>
      <c r="AV759" s="440">
        <v>0</v>
      </c>
      <c r="AW759" s="440">
        <v>0</v>
      </c>
      <c r="AX759" s="440">
        <v>0</v>
      </c>
      <c r="AY759" s="440">
        <v>0</v>
      </c>
      <c r="AZ759" s="440">
        <v>0</v>
      </c>
      <c r="BA759" s="440">
        <v>0</v>
      </c>
      <c r="BB759" s="440">
        <v>0</v>
      </c>
      <c r="BC759" s="440">
        <v>0</v>
      </c>
      <c r="BD759" s="440">
        <v>0</v>
      </c>
      <c r="BE759" s="440">
        <v>0</v>
      </c>
      <c r="BF759" s="440">
        <v>0</v>
      </c>
      <c r="BG759" s="440">
        <v>0</v>
      </c>
      <c r="BH759" s="440">
        <v>0</v>
      </c>
      <c r="BI759" s="440">
        <v>0</v>
      </c>
      <c r="BJ759" s="440">
        <v>0</v>
      </c>
      <c r="BK759" s="440">
        <v>0</v>
      </c>
      <c r="BL759" s="440">
        <v>0</v>
      </c>
      <c r="BM759" s="440">
        <v>0</v>
      </c>
      <c r="BN759" s="440">
        <v>0</v>
      </c>
      <c r="BO759" s="440">
        <v>0</v>
      </c>
      <c r="BP759" s="440">
        <v>0</v>
      </c>
      <c r="BQ759" s="440">
        <v>0</v>
      </c>
      <c r="BR759" s="415">
        <v>0.16666666666666666</v>
      </c>
      <c r="BS759" s="415">
        <v>0.16944444444444443</v>
      </c>
      <c r="BT759" s="935"/>
      <c r="BU759" s="935"/>
      <c r="BV759" s="935"/>
      <c r="BW759" s="935"/>
      <c r="BX759" s="935"/>
      <c r="BY759" s="935"/>
      <c r="BZ759" s="935"/>
      <c r="CA759" s="935"/>
      <c r="CB759" s="935"/>
      <c r="CC759" s="935"/>
      <c r="CD759" s="935"/>
      <c r="CE759" s="935"/>
      <c r="CF759" s="935"/>
      <c r="CG759" s="935"/>
      <c r="CH759" s="935"/>
      <c r="CI759" s="935"/>
      <c r="CJ759" s="935"/>
      <c r="CK759" s="935"/>
      <c r="CL759" s="935"/>
      <c r="CM759" s="935"/>
      <c r="CN759" s="935"/>
      <c r="CO759" s="935"/>
      <c r="CP759" s="935"/>
      <c r="CQ759" s="935"/>
      <c r="CR759" s="935"/>
      <c r="CS759" s="935"/>
      <c r="CT759" s="935"/>
      <c r="CU759" s="935"/>
      <c r="CV759" s="935"/>
    </row>
    <row r="760" spans="1:104" s="441" customFormat="1">
      <c r="A760" s="375">
        <f t="shared" si="211"/>
        <v>9</v>
      </c>
      <c r="B760" s="862">
        <v>44469</v>
      </c>
      <c r="C760" s="493" t="s">
        <v>2000</v>
      </c>
      <c r="D760" s="376" t="str">
        <f>IFERROR(VLOOKUP(E:E,'Item Data Support Sheet'!A:O,7,0),"")</f>
        <v>NIPPLE PUNCH INSPECTED</v>
      </c>
      <c r="E760" s="447" t="s">
        <v>1821</v>
      </c>
      <c r="F760" s="500"/>
      <c r="G760" s="497"/>
      <c r="H760" s="602" t="str">
        <f>IFERROR(VLOOKUP(E:E,'Item Data Support Sheet'!A:O,2,0),"")</f>
        <v>NIPPLE S TYPE Y SIZE PUNCHED INSPECTED</v>
      </c>
      <c r="I760" s="501" t="s">
        <v>3458</v>
      </c>
      <c r="J760" s="501" t="s">
        <v>2826</v>
      </c>
      <c r="K760" s="438">
        <v>6</v>
      </c>
      <c r="L760" s="499">
        <v>11000</v>
      </c>
      <c r="M760" s="366">
        <f t="shared" si="226"/>
        <v>1833.3333333333333</v>
      </c>
      <c r="N760" s="367">
        <f t="shared" si="210"/>
        <v>14432</v>
      </c>
      <c r="O760" s="61">
        <v>14396</v>
      </c>
      <c r="P760" s="368">
        <v>0</v>
      </c>
      <c r="Q760" s="368">
        <v>0</v>
      </c>
      <c r="R760" s="494">
        <v>0</v>
      </c>
      <c r="S760" s="493">
        <v>0</v>
      </c>
      <c r="T760" s="494">
        <v>36</v>
      </c>
      <c r="U760" s="493">
        <v>0</v>
      </c>
      <c r="V760" s="502">
        <v>2</v>
      </c>
      <c r="W760" s="453">
        <f t="shared" si="212"/>
        <v>7198</v>
      </c>
      <c r="X760" s="748">
        <f t="shared" si="213"/>
        <v>1.3087272727272727</v>
      </c>
      <c r="Y760" s="451" t="str">
        <f>IFERROR(VLOOKUP(E:E,'Item Data Support Sheet'!A:J,6,0),0)</f>
        <v>FO107</v>
      </c>
      <c r="Z760" s="428">
        <f>IFERROR(VLOOKUP(E:E,'Item Data Support Sheet'!A:O,4,0),0)</f>
        <v>0</v>
      </c>
      <c r="AA760" s="428">
        <f t="shared" si="214"/>
        <v>0</v>
      </c>
      <c r="AB760" s="429" t="str">
        <f t="shared" si="215"/>
        <v xml:space="preserve"> </v>
      </c>
      <c r="AC760" s="424">
        <f t="shared" si="216"/>
        <v>2.4944567627494456E-3</v>
      </c>
      <c r="AD760" s="371">
        <f t="shared" si="217"/>
        <v>0</v>
      </c>
      <c r="AE760" s="748">
        <f t="shared" si="218"/>
        <v>0.9975055432372506</v>
      </c>
      <c r="AF760" s="417">
        <f t="shared" si="219"/>
        <v>0.66666666666666663</v>
      </c>
      <c r="AG760" s="416">
        <f t="shared" si="220"/>
        <v>5.333333333333333</v>
      </c>
      <c r="AH760" s="372">
        <f t="shared" si="221"/>
        <v>0.88888888888888884</v>
      </c>
      <c r="AI760" s="373">
        <f t="shared" si="222"/>
        <v>2399.3333333333335</v>
      </c>
      <c r="AJ760" s="418">
        <f>VLOOKUP(D760,'Standard Cycle time'!C:D,2,0)</f>
        <v>4</v>
      </c>
      <c r="AK760" s="418">
        <f t="shared" si="223"/>
        <v>2.6674076132258961</v>
      </c>
      <c r="AL760" s="374">
        <f t="shared" si="224"/>
        <v>1.4995833333333333</v>
      </c>
      <c r="AM760" s="372">
        <f t="shared" si="225"/>
        <v>1.3296379444855053</v>
      </c>
      <c r="AN760" s="799" t="s">
        <v>3459</v>
      </c>
      <c r="AO760" s="448"/>
      <c r="AP760" s="440">
        <v>40</v>
      </c>
      <c r="AQ760" s="440">
        <v>0</v>
      </c>
      <c r="AR760" s="440">
        <v>0</v>
      </c>
      <c r="AS760" s="440">
        <v>0</v>
      </c>
      <c r="AT760" s="440">
        <v>0</v>
      </c>
      <c r="AU760" s="440">
        <v>0</v>
      </c>
      <c r="AV760" s="440">
        <v>0</v>
      </c>
      <c r="AW760" s="440">
        <v>0</v>
      </c>
      <c r="AX760" s="440">
        <v>0</v>
      </c>
      <c r="AY760" s="440">
        <v>0</v>
      </c>
      <c r="AZ760" s="440">
        <v>0</v>
      </c>
      <c r="BA760" s="440">
        <v>0</v>
      </c>
      <c r="BB760" s="440">
        <v>0</v>
      </c>
      <c r="BC760" s="440">
        <v>0</v>
      </c>
      <c r="BD760" s="440">
        <v>0</v>
      </c>
      <c r="BE760" s="440">
        <v>0</v>
      </c>
      <c r="BF760" s="440">
        <v>0</v>
      </c>
      <c r="BG760" s="440">
        <v>0</v>
      </c>
      <c r="BH760" s="440">
        <v>0</v>
      </c>
      <c r="BI760" s="440">
        <v>0</v>
      </c>
      <c r="BJ760" s="440">
        <v>0</v>
      </c>
      <c r="BK760" s="440">
        <v>0</v>
      </c>
      <c r="BL760" s="440">
        <v>0</v>
      </c>
      <c r="BM760" s="440">
        <v>0</v>
      </c>
      <c r="BN760" s="440">
        <v>0</v>
      </c>
      <c r="BO760" s="440">
        <v>0</v>
      </c>
      <c r="BP760" s="440">
        <v>0</v>
      </c>
      <c r="BQ760" s="440">
        <v>0</v>
      </c>
      <c r="BR760" s="415">
        <v>0.66666666666666663</v>
      </c>
      <c r="BS760" s="415">
        <v>0.6777777777777777</v>
      </c>
      <c r="BT760" s="935"/>
      <c r="BU760" s="935"/>
      <c r="BV760" s="935"/>
      <c r="BW760" s="935"/>
      <c r="BX760" s="935"/>
      <c r="BY760" s="935"/>
      <c r="BZ760" s="935"/>
      <c r="CA760" s="935"/>
      <c r="CB760" s="935"/>
      <c r="CC760" s="935"/>
      <c r="CD760" s="935"/>
      <c r="CE760" s="935"/>
      <c r="CF760" s="935"/>
      <c r="CG760" s="935"/>
      <c r="CH760" s="935"/>
      <c r="CI760" s="935"/>
      <c r="CJ760" s="935"/>
      <c r="CK760" s="935"/>
      <c r="CL760" s="935"/>
      <c r="CM760" s="935"/>
      <c r="CN760" s="935"/>
      <c r="CO760" s="935"/>
      <c r="CP760" s="935"/>
      <c r="CQ760" s="935"/>
      <c r="CR760" s="935"/>
      <c r="CS760" s="935"/>
      <c r="CT760" s="935"/>
      <c r="CU760" s="935"/>
      <c r="CV760" s="935"/>
    </row>
    <row r="761" spans="1:104" s="441" customFormat="1">
      <c r="A761" s="375">
        <f t="shared" si="211"/>
        <v>9</v>
      </c>
      <c r="B761" s="862">
        <v>44469</v>
      </c>
      <c r="C761" s="493" t="s">
        <v>2000</v>
      </c>
      <c r="D761" s="376" t="str">
        <f>IFERROR(VLOOKUP(E:E,'Item Data Support Sheet'!A:O,7,0),"")</f>
        <v>NIPPLE PUNCH INSPECTED</v>
      </c>
      <c r="E761" s="447" t="s">
        <v>1818</v>
      </c>
      <c r="F761" s="500"/>
      <c r="G761" s="497"/>
      <c r="H761" s="602" t="str">
        <f>IFERROR(VLOOKUP(E:E,'Item Data Support Sheet'!A:O,2,0),"")</f>
        <v>NIPPLE S TYPE S SIZE PUNCHED INSPECTED</v>
      </c>
      <c r="I761" s="501" t="s">
        <v>3460</v>
      </c>
      <c r="J761" s="501" t="s">
        <v>2826</v>
      </c>
      <c r="K761" s="438">
        <v>1.7</v>
      </c>
      <c r="L761" s="499">
        <v>2800</v>
      </c>
      <c r="M761" s="366">
        <f t="shared" si="226"/>
        <v>1647.0588235294117</v>
      </c>
      <c r="N761" s="367">
        <f t="shared" si="210"/>
        <v>5200</v>
      </c>
      <c r="O761" s="61">
        <v>5179</v>
      </c>
      <c r="P761" s="368">
        <v>0</v>
      </c>
      <c r="Q761" s="368">
        <v>0</v>
      </c>
      <c r="R761" s="494">
        <v>0</v>
      </c>
      <c r="S761" s="493">
        <v>0</v>
      </c>
      <c r="T761" s="494">
        <v>21</v>
      </c>
      <c r="U761" s="493">
        <v>0</v>
      </c>
      <c r="V761" s="502">
        <v>2</v>
      </c>
      <c r="W761" s="453">
        <f t="shared" si="212"/>
        <v>2589.5</v>
      </c>
      <c r="X761" s="748">
        <f t="shared" si="213"/>
        <v>1.8496428571428571</v>
      </c>
      <c r="Y761" s="451" t="str">
        <f>IFERROR(VLOOKUP(E:E,'Item Data Support Sheet'!A:J,6,0),0)</f>
        <v>FO104</v>
      </c>
      <c r="Z761" s="428">
        <f>IFERROR(VLOOKUP(E:E,'Item Data Support Sheet'!A:O,4,0),0)</f>
        <v>0</v>
      </c>
      <c r="AA761" s="428">
        <f t="shared" si="214"/>
        <v>0</v>
      </c>
      <c r="AB761" s="429" t="str">
        <f t="shared" si="215"/>
        <v xml:space="preserve"> </v>
      </c>
      <c r="AC761" s="424">
        <f t="shared" si="216"/>
        <v>4.0384615384615385E-3</v>
      </c>
      <c r="AD761" s="371">
        <f t="shared" si="217"/>
        <v>0</v>
      </c>
      <c r="AE761" s="748">
        <f t="shared" si="218"/>
        <v>0.99596153846153845</v>
      </c>
      <c r="AF761" s="417">
        <f t="shared" si="219"/>
        <v>0.16666666666666666</v>
      </c>
      <c r="AG761" s="416">
        <f t="shared" si="220"/>
        <v>1.5333333333333332</v>
      </c>
      <c r="AH761" s="372">
        <f t="shared" si="221"/>
        <v>0.90196078431372539</v>
      </c>
      <c r="AI761" s="373">
        <f t="shared" si="222"/>
        <v>3046.4705882352941</v>
      </c>
      <c r="AJ761" s="418">
        <f>VLOOKUP(D761,'Standard Cycle time'!C:D,2,0)</f>
        <v>4</v>
      </c>
      <c r="AK761" s="418">
        <f t="shared" si="223"/>
        <v>2.1316856536010813</v>
      </c>
      <c r="AL761" s="374">
        <f t="shared" si="224"/>
        <v>1.8764492753623188</v>
      </c>
      <c r="AM761" s="372">
        <f t="shared" si="225"/>
        <v>1.6856486299648061</v>
      </c>
      <c r="AN761" s="799" t="s">
        <v>3461</v>
      </c>
      <c r="AO761" s="448"/>
      <c r="AP761" s="440">
        <v>10</v>
      </c>
      <c r="AQ761" s="440">
        <v>0</v>
      </c>
      <c r="AR761" s="440">
        <v>0</v>
      </c>
      <c r="AS761" s="440">
        <v>0</v>
      </c>
      <c r="AT761" s="440">
        <v>0</v>
      </c>
      <c r="AU761" s="440">
        <v>0</v>
      </c>
      <c r="AV761" s="440">
        <v>0</v>
      </c>
      <c r="AW761" s="440">
        <v>0</v>
      </c>
      <c r="AX761" s="440">
        <v>0</v>
      </c>
      <c r="AY761" s="440">
        <v>0</v>
      </c>
      <c r="AZ761" s="440">
        <v>0</v>
      </c>
      <c r="BA761" s="440">
        <v>0</v>
      </c>
      <c r="BB761" s="440">
        <v>0</v>
      </c>
      <c r="BC761" s="440">
        <v>0</v>
      </c>
      <c r="BD761" s="440">
        <v>0</v>
      </c>
      <c r="BE761" s="440">
        <v>0</v>
      </c>
      <c r="BF761" s="440">
        <v>0</v>
      </c>
      <c r="BG761" s="440">
        <v>0</v>
      </c>
      <c r="BH761" s="440">
        <v>0</v>
      </c>
      <c r="BI761" s="440">
        <v>0</v>
      </c>
      <c r="BJ761" s="440">
        <v>0</v>
      </c>
      <c r="BK761" s="440">
        <v>0</v>
      </c>
      <c r="BL761" s="440">
        <v>0</v>
      </c>
      <c r="BM761" s="440">
        <v>0</v>
      </c>
      <c r="BN761" s="440">
        <v>0</v>
      </c>
      <c r="BO761" s="440">
        <v>0</v>
      </c>
      <c r="BP761" s="440">
        <v>0</v>
      </c>
      <c r="BQ761" s="440">
        <v>0</v>
      </c>
      <c r="BR761" s="415">
        <v>0.16666666666666666</v>
      </c>
      <c r="BS761" s="415">
        <v>0.16944444444444443</v>
      </c>
      <c r="BT761" s="935"/>
      <c r="BU761" s="935"/>
      <c r="BV761" s="935"/>
      <c r="BW761" s="935"/>
      <c r="BX761" s="935"/>
      <c r="BY761" s="935"/>
      <c r="BZ761" s="935"/>
      <c r="CA761" s="935"/>
      <c r="CB761" s="935"/>
      <c r="CC761" s="935"/>
      <c r="CD761" s="935"/>
      <c r="CE761" s="935"/>
      <c r="CF761" s="935"/>
      <c r="CG761" s="935"/>
      <c r="CH761" s="935"/>
      <c r="CI761" s="935"/>
      <c r="CJ761" s="935"/>
      <c r="CK761" s="935"/>
      <c r="CL761" s="935"/>
      <c r="CM761" s="935"/>
      <c r="CN761" s="935"/>
      <c r="CO761" s="935"/>
      <c r="CP761" s="935"/>
      <c r="CQ761" s="935"/>
      <c r="CR761" s="935"/>
      <c r="CS761" s="935"/>
      <c r="CT761" s="935"/>
      <c r="CU761" s="935"/>
      <c r="CV761" s="935"/>
    </row>
    <row r="762" spans="1:104" s="441" customFormat="1">
      <c r="A762" s="375">
        <f t="shared" si="211"/>
        <v>9</v>
      </c>
      <c r="B762" s="862">
        <v>44469</v>
      </c>
      <c r="C762" s="493" t="s">
        <v>2000</v>
      </c>
      <c r="D762" s="376" t="str">
        <f>IFERROR(VLOOKUP(E:E,'Item Data Support Sheet'!A:O,7,0),"")</f>
        <v>NIPPLE PUNCH INSPECTED</v>
      </c>
      <c r="E762" s="447" t="s">
        <v>2488</v>
      </c>
      <c r="F762" s="500"/>
      <c r="G762" s="497"/>
      <c r="H762" s="602" t="str">
        <f>IFERROR(VLOOKUP(E:E,'Item Data Support Sheet'!A:O,2,0),"")</f>
        <v>NIPPLE S TYPE LL SIZE INSPECTED</v>
      </c>
      <c r="I762" s="501" t="s">
        <v>3462</v>
      </c>
      <c r="J762" s="501" t="s">
        <v>2826</v>
      </c>
      <c r="K762" s="438">
        <v>0.3</v>
      </c>
      <c r="L762" s="499">
        <v>332</v>
      </c>
      <c r="M762" s="366">
        <f t="shared" si="226"/>
        <v>1106.6666666666667</v>
      </c>
      <c r="N762" s="367">
        <f t="shared" si="210"/>
        <v>500</v>
      </c>
      <c r="O762" s="61">
        <v>488</v>
      </c>
      <c r="P762" s="368">
        <v>0</v>
      </c>
      <c r="Q762" s="368">
        <v>0</v>
      </c>
      <c r="R762" s="494">
        <v>0</v>
      </c>
      <c r="S762" s="493">
        <v>0</v>
      </c>
      <c r="T762" s="494">
        <v>12</v>
      </c>
      <c r="U762" s="493">
        <v>0</v>
      </c>
      <c r="V762" s="502">
        <v>2</v>
      </c>
      <c r="W762" s="453">
        <f t="shared" si="212"/>
        <v>244</v>
      </c>
      <c r="X762" s="748">
        <f t="shared" si="213"/>
        <v>1.4698795180722892</v>
      </c>
      <c r="Y762" s="451" t="str">
        <f>IFERROR(VLOOKUP(E:E,'Item Data Support Sheet'!A:J,6,0),0)</f>
        <v>FO152</v>
      </c>
      <c r="Z762" s="428">
        <f>IFERROR(VLOOKUP(E:E,'Item Data Support Sheet'!A:O,4,0),0)</f>
        <v>0</v>
      </c>
      <c r="AA762" s="428">
        <f t="shared" si="214"/>
        <v>0</v>
      </c>
      <c r="AB762" s="429" t="str">
        <f t="shared" si="215"/>
        <v xml:space="preserve"> </v>
      </c>
      <c r="AC762" s="424">
        <f t="shared" si="216"/>
        <v>2.4E-2</v>
      </c>
      <c r="AD762" s="371">
        <f t="shared" si="217"/>
        <v>0</v>
      </c>
      <c r="AE762" s="748">
        <f t="shared" si="218"/>
        <v>0.97599999999999998</v>
      </c>
      <c r="AF762" s="417">
        <f t="shared" si="219"/>
        <v>0</v>
      </c>
      <c r="AG762" s="416">
        <f t="shared" si="220"/>
        <v>0.3</v>
      </c>
      <c r="AH762" s="372">
        <f t="shared" si="221"/>
        <v>1</v>
      </c>
      <c r="AI762" s="373">
        <f t="shared" si="222"/>
        <v>1626.6666666666667</v>
      </c>
      <c r="AJ762" s="418">
        <f>VLOOKUP(D762,'Standard Cycle time'!C:D,2,0)</f>
        <v>4</v>
      </c>
      <c r="AK762" s="418">
        <f t="shared" si="223"/>
        <v>4.4262295081967213</v>
      </c>
      <c r="AL762" s="374">
        <f t="shared" si="224"/>
        <v>0.90370370370370368</v>
      </c>
      <c r="AM762" s="372">
        <f t="shared" si="225"/>
        <v>0.88201481481481481</v>
      </c>
      <c r="AN762" s="799">
        <v>3796</v>
      </c>
      <c r="AO762" s="448"/>
      <c r="AP762" s="440">
        <v>0</v>
      </c>
      <c r="AQ762" s="440">
        <v>0</v>
      </c>
      <c r="AR762" s="440">
        <v>0</v>
      </c>
      <c r="AS762" s="440">
        <v>0</v>
      </c>
      <c r="AT762" s="440">
        <v>0</v>
      </c>
      <c r="AU762" s="440">
        <v>0</v>
      </c>
      <c r="AV762" s="440">
        <v>0</v>
      </c>
      <c r="AW762" s="440">
        <v>0</v>
      </c>
      <c r="AX762" s="440">
        <v>0</v>
      </c>
      <c r="AY762" s="440">
        <v>0</v>
      </c>
      <c r="AZ762" s="440">
        <v>0</v>
      </c>
      <c r="BA762" s="440">
        <v>0</v>
      </c>
      <c r="BB762" s="440">
        <v>0</v>
      </c>
      <c r="BC762" s="440">
        <v>0</v>
      </c>
      <c r="BD762" s="440">
        <v>0</v>
      </c>
      <c r="BE762" s="440">
        <v>0</v>
      </c>
      <c r="BF762" s="440">
        <v>0</v>
      </c>
      <c r="BG762" s="440">
        <v>0</v>
      </c>
      <c r="BH762" s="440">
        <v>0</v>
      </c>
      <c r="BI762" s="440">
        <v>0</v>
      </c>
      <c r="BJ762" s="440">
        <v>0</v>
      </c>
      <c r="BK762" s="440">
        <v>0</v>
      </c>
      <c r="BL762" s="440">
        <v>0</v>
      </c>
      <c r="BM762" s="440">
        <v>0</v>
      </c>
      <c r="BN762" s="440">
        <v>0</v>
      </c>
      <c r="BO762" s="440">
        <v>0</v>
      </c>
      <c r="BP762" s="440">
        <v>0</v>
      </c>
      <c r="BQ762" s="440">
        <v>0</v>
      </c>
      <c r="BR762" s="415">
        <v>0</v>
      </c>
      <c r="BS762" s="415">
        <v>0</v>
      </c>
      <c r="BT762" s="935"/>
      <c r="BU762" s="935"/>
      <c r="BV762" s="935"/>
      <c r="BW762" s="935"/>
      <c r="BX762" s="935"/>
      <c r="BY762" s="935"/>
      <c r="BZ762" s="935"/>
      <c r="CA762" s="935"/>
      <c r="CB762" s="935"/>
      <c r="CC762" s="935"/>
      <c r="CD762" s="935"/>
      <c r="CE762" s="935"/>
      <c r="CF762" s="935"/>
      <c r="CG762" s="935"/>
      <c r="CH762" s="935"/>
      <c r="CI762" s="935"/>
      <c r="CJ762" s="935"/>
      <c r="CK762" s="935"/>
      <c r="CL762" s="935"/>
      <c r="CM762" s="935"/>
      <c r="CN762" s="935"/>
      <c r="CO762" s="935"/>
      <c r="CP762" s="935"/>
      <c r="CQ762" s="935"/>
      <c r="CR762" s="935"/>
      <c r="CS762" s="935"/>
      <c r="CT762" s="935"/>
      <c r="CU762" s="935"/>
      <c r="CV762" s="935"/>
    </row>
    <row r="763" spans="1:104" s="441" customFormat="1">
      <c r="A763" s="375">
        <f t="shared" si="211"/>
        <v>9</v>
      </c>
      <c r="B763" s="862">
        <v>44469</v>
      </c>
      <c r="C763" s="493" t="s">
        <v>2001</v>
      </c>
      <c r="D763" s="376" t="str">
        <f>IFERROR(VLOOKUP(E:E,'Item Data Support Sheet'!A:O,7,0),"")</f>
        <v>NIPPLE LASER MARKING</v>
      </c>
      <c r="E763" s="447" t="s">
        <v>1814</v>
      </c>
      <c r="F763" s="500"/>
      <c r="G763" s="497" t="s">
        <v>1812</v>
      </c>
      <c r="H763" s="602" t="str">
        <f>IFERROR(VLOOKUP(E:E,'Item Data Support Sheet'!A:O,2,0),"")</f>
        <v>NIPPLE S TYPE S SIZE PUNCHED LASER MARKED</v>
      </c>
      <c r="I763" s="501" t="s">
        <v>3455</v>
      </c>
      <c r="J763" s="501" t="s">
        <v>2826</v>
      </c>
      <c r="K763" s="438">
        <v>8</v>
      </c>
      <c r="L763" s="499">
        <v>7000</v>
      </c>
      <c r="M763" s="366">
        <f t="shared" si="226"/>
        <v>875</v>
      </c>
      <c r="N763" s="367">
        <f t="shared" si="210"/>
        <v>6200</v>
      </c>
      <c r="O763" s="61">
        <v>6200</v>
      </c>
      <c r="P763" s="368">
        <v>0</v>
      </c>
      <c r="Q763" s="368">
        <v>0</v>
      </c>
      <c r="R763" s="494">
        <v>0</v>
      </c>
      <c r="S763" s="493">
        <v>0</v>
      </c>
      <c r="T763" s="494">
        <v>0</v>
      </c>
      <c r="U763" s="493">
        <v>0</v>
      </c>
      <c r="V763" s="502">
        <v>1</v>
      </c>
      <c r="W763" s="453">
        <f t="shared" si="212"/>
        <v>6200</v>
      </c>
      <c r="X763" s="748">
        <f t="shared" si="213"/>
        <v>0.88571428571428568</v>
      </c>
      <c r="Y763" s="451" t="str">
        <f>IFERROR(VLOOKUP(E:E,'Item Data Support Sheet'!A:J,6,0),0)</f>
        <v>FO019</v>
      </c>
      <c r="Z763" s="428">
        <f>IFERROR(VLOOKUP(E:E,'Item Data Support Sheet'!A:O,4,0),0)</f>
        <v>0</v>
      </c>
      <c r="AA763" s="428">
        <f t="shared" si="214"/>
        <v>0</v>
      </c>
      <c r="AB763" s="429" t="str">
        <f t="shared" si="215"/>
        <v xml:space="preserve"> </v>
      </c>
      <c r="AC763" s="424">
        <f t="shared" si="216"/>
        <v>0</v>
      </c>
      <c r="AD763" s="371">
        <f t="shared" si="217"/>
        <v>0</v>
      </c>
      <c r="AE763" s="748">
        <f t="shared" si="218"/>
        <v>1</v>
      </c>
      <c r="AF763" s="417">
        <f t="shared" si="219"/>
        <v>1.6666666666666667</v>
      </c>
      <c r="AG763" s="416">
        <f t="shared" si="220"/>
        <v>6.333333333333333</v>
      </c>
      <c r="AH763" s="372">
        <f t="shared" si="221"/>
        <v>0.79166666666666663</v>
      </c>
      <c r="AI763" s="373">
        <f t="shared" si="222"/>
        <v>775</v>
      </c>
      <c r="AJ763" s="418">
        <f>VLOOKUP(D763,'Standard Cycle time'!C:D,2,0)</f>
        <v>3.5</v>
      </c>
      <c r="AK763" s="418">
        <f t="shared" si="223"/>
        <v>3.6774193548387095</v>
      </c>
      <c r="AL763" s="374">
        <f t="shared" si="224"/>
        <v>0.95175438596491235</v>
      </c>
      <c r="AM763" s="372">
        <f t="shared" si="225"/>
        <v>0.75347222222222221</v>
      </c>
      <c r="AN763" s="799" t="s">
        <v>3463</v>
      </c>
      <c r="AO763" s="448"/>
      <c r="AP763" s="440">
        <v>40</v>
      </c>
      <c r="AQ763" s="440">
        <v>60</v>
      </c>
      <c r="AR763" s="440">
        <v>0</v>
      </c>
      <c r="AS763" s="440">
        <v>0</v>
      </c>
      <c r="AT763" s="440">
        <v>0</v>
      </c>
      <c r="AU763" s="440">
        <v>0</v>
      </c>
      <c r="AV763" s="440">
        <v>0</v>
      </c>
      <c r="AW763" s="440">
        <v>0</v>
      </c>
      <c r="AX763" s="440">
        <v>0</v>
      </c>
      <c r="AY763" s="440">
        <v>0</v>
      </c>
      <c r="AZ763" s="440">
        <v>0</v>
      </c>
      <c r="BA763" s="440">
        <v>0</v>
      </c>
      <c r="BB763" s="440">
        <v>0</v>
      </c>
      <c r="BC763" s="440">
        <v>0</v>
      </c>
      <c r="BD763" s="440">
        <v>0</v>
      </c>
      <c r="BE763" s="440">
        <v>0</v>
      </c>
      <c r="BF763" s="440">
        <v>0</v>
      </c>
      <c r="BG763" s="440">
        <v>0</v>
      </c>
      <c r="BH763" s="440">
        <v>0</v>
      </c>
      <c r="BI763" s="440">
        <v>0</v>
      </c>
      <c r="BJ763" s="440">
        <v>0</v>
      </c>
      <c r="BK763" s="440">
        <v>0</v>
      </c>
      <c r="BL763" s="440">
        <v>0</v>
      </c>
      <c r="BM763" s="440">
        <v>0</v>
      </c>
      <c r="BN763" s="440">
        <v>0</v>
      </c>
      <c r="BO763" s="440">
        <v>0</v>
      </c>
      <c r="BP763" s="440">
        <v>0</v>
      </c>
      <c r="BQ763" s="440">
        <v>0</v>
      </c>
      <c r="BR763" s="415">
        <v>1.6666666666666667</v>
      </c>
      <c r="BS763" s="415">
        <v>1.6944444444444444</v>
      </c>
      <c r="BT763" s="935"/>
      <c r="BU763" s="935"/>
      <c r="BV763" s="935"/>
      <c r="BW763" s="935"/>
      <c r="BX763" s="935"/>
      <c r="BY763" s="935"/>
      <c r="BZ763" s="935"/>
      <c r="CA763" s="935"/>
      <c r="CB763" s="935"/>
      <c r="CC763" s="935"/>
      <c r="CD763" s="935"/>
      <c r="CE763" s="935"/>
      <c r="CF763" s="935"/>
      <c r="CG763" s="935"/>
      <c r="CH763" s="935"/>
      <c r="CI763" s="935"/>
      <c r="CJ763" s="935"/>
      <c r="CK763" s="935"/>
      <c r="CL763" s="935"/>
      <c r="CM763" s="935"/>
      <c r="CN763" s="935"/>
      <c r="CO763" s="935"/>
      <c r="CP763" s="935"/>
      <c r="CQ763" s="935"/>
      <c r="CR763" s="935"/>
      <c r="CS763" s="935"/>
      <c r="CT763" s="935"/>
      <c r="CU763" s="935"/>
      <c r="CV763" s="935"/>
    </row>
    <row r="764" spans="1:104" s="441" customFormat="1">
      <c r="A764" s="375">
        <f t="shared" si="211"/>
        <v>9</v>
      </c>
      <c r="B764" s="862">
        <v>44469</v>
      </c>
      <c r="C764" s="493" t="s">
        <v>2001</v>
      </c>
      <c r="D764" s="376" t="str">
        <f>IFERROR(VLOOKUP(E:E,'Item Data Support Sheet'!A:O,7,0),"")</f>
        <v>CAP MOLDED</v>
      </c>
      <c r="E764" s="447" t="s">
        <v>2106</v>
      </c>
      <c r="F764" s="500"/>
      <c r="G764" s="497" t="s">
        <v>3208</v>
      </c>
      <c r="H764" s="602" t="str">
        <f>IFERROR(VLOOKUP(E:E,'Item Data Support Sheet'!A:O,2,0),"")</f>
        <v>CAP S TYPE MOLDED RED</v>
      </c>
      <c r="I764" s="501" t="s">
        <v>3464</v>
      </c>
      <c r="J764" s="501" t="s">
        <v>2826</v>
      </c>
      <c r="K764" s="438">
        <v>8</v>
      </c>
      <c r="L764" s="499">
        <v>4137</v>
      </c>
      <c r="M764" s="366">
        <f t="shared" si="226"/>
        <v>517.125</v>
      </c>
      <c r="N764" s="367">
        <f t="shared" si="210"/>
        <v>4220</v>
      </c>
      <c r="O764" s="61">
        <v>4220</v>
      </c>
      <c r="P764" s="368">
        <v>0</v>
      </c>
      <c r="Q764" s="368">
        <v>0</v>
      </c>
      <c r="R764" s="494">
        <v>0</v>
      </c>
      <c r="S764" s="493">
        <v>0</v>
      </c>
      <c r="T764" s="494">
        <v>0</v>
      </c>
      <c r="U764" s="493">
        <v>0</v>
      </c>
      <c r="V764" s="502">
        <v>1</v>
      </c>
      <c r="W764" s="453">
        <f t="shared" si="212"/>
        <v>4220</v>
      </c>
      <c r="X764" s="748">
        <f t="shared" si="213"/>
        <v>1.020062847474015</v>
      </c>
      <c r="Y764" s="451" t="str">
        <f>IFERROR(VLOOKUP(E:E,'Item Data Support Sheet'!A:J,6,0),0)</f>
        <v>FO153</v>
      </c>
      <c r="Z764" s="428">
        <f>IFERROR(VLOOKUP(E:E,'Item Data Support Sheet'!A:O,4,0),0)</f>
        <v>7.3</v>
      </c>
      <c r="AA764" s="428">
        <f t="shared" si="214"/>
        <v>30.806000000000001</v>
      </c>
      <c r="AB764" s="429">
        <f t="shared" si="215"/>
        <v>1</v>
      </c>
      <c r="AC764" s="424">
        <f t="shared" si="216"/>
        <v>0</v>
      </c>
      <c r="AD764" s="371">
        <f t="shared" si="217"/>
        <v>0</v>
      </c>
      <c r="AE764" s="748">
        <f t="shared" si="218"/>
        <v>1</v>
      </c>
      <c r="AF764" s="417">
        <f t="shared" si="219"/>
        <v>0</v>
      </c>
      <c r="AG764" s="416">
        <f t="shared" si="220"/>
        <v>8</v>
      </c>
      <c r="AH764" s="372">
        <f t="shared" si="221"/>
        <v>1</v>
      </c>
      <c r="AI764" s="373">
        <f t="shared" si="222"/>
        <v>527.5</v>
      </c>
      <c r="AJ764" s="418">
        <f>VLOOKUP(D764,'Standard Cycle time'!C:D,2,0)</f>
        <v>6</v>
      </c>
      <c r="AK764" s="418">
        <f t="shared" si="223"/>
        <v>6.8246445497630335</v>
      </c>
      <c r="AL764" s="374">
        <f t="shared" si="224"/>
        <v>0.87916666666666665</v>
      </c>
      <c r="AM764" s="372">
        <f t="shared" si="225"/>
        <v>0.87916666666666665</v>
      </c>
      <c r="AN764" s="799" t="s">
        <v>3465</v>
      </c>
      <c r="AO764" s="448"/>
      <c r="AP764" s="440">
        <v>0</v>
      </c>
      <c r="AQ764" s="440">
        <v>0</v>
      </c>
      <c r="AR764" s="440">
        <v>0</v>
      </c>
      <c r="AS764" s="440">
        <v>0</v>
      </c>
      <c r="AT764" s="440">
        <v>0</v>
      </c>
      <c r="AU764" s="440">
        <v>0</v>
      </c>
      <c r="AV764" s="440">
        <v>0</v>
      </c>
      <c r="AW764" s="440">
        <v>0</v>
      </c>
      <c r="AX764" s="440">
        <v>0</v>
      </c>
      <c r="AY764" s="440">
        <v>0</v>
      </c>
      <c r="AZ764" s="440">
        <v>0</v>
      </c>
      <c r="BA764" s="440">
        <v>0</v>
      </c>
      <c r="BB764" s="440">
        <v>0</v>
      </c>
      <c r="BC764" s="440">
        <v>0</v>
      </c>
      <c r="BD764" s="440">
        <v>0</v>
      </c>
      <c r="BE764" s="440">
        <v>0</v>
      </c>
      <c r="BF764" s="440">
        <v>0</v>
      </c>
      <c r="BG764" s="440">
        <v>0</v>
      </c>
      <c r="BH764" s="440">
        <v>0</v>
      </c>
      <c r="BI764" s="440">
        <v>0</v>
      </c>
      <c r="BJ764" s="440">
        <v>0</v>
      </c>
      <c r="BK764" s="440">
        <v>0</v>
      </c>
      <c r="BL764" s="440">
        <v>0</v>
      </c>
      <c r="BM764" s="440">
        <v>0</v>
      </c>
      <c r="BN764" s="440">
        <v>0</v>
      </c>
      <c r="BO764" s="440">
        <v>0</v>
      </c>
      <c r="BP764" s="440">
        <v>0</v>
      </c>
      <c r="BQ764" s="440">
        <v>0</v>
      </c>
      <c r="BR764" s="415">
        <v>0</v>
      </c>
      <c r="BS764" s="415">
        <v>0</v>
      </c>
      <c r="BT764" s="935"/>
      <c r="BU764" s="935"/>
      <c r="BV764" s="935"/>
      <c r="BW764" s="935"/>
      <c r="BX764" s="935"/>
      <c r="BY764" s="935"/>
      <c r="BZ764" s="935"/>
      <c r="CA764" s="935"/>
      <c r="CB764" s="935"/>
      <c r="CC764" s="935"/>
      <c r="CD764" s="935"/>
      <c r="CE764" s="935"/>
      <c r="CF764" s="935"/>
      <c r="CG764" s="935"/>
      <c r="CH764" s="935"/>
      <c r="CI764" s="935"/>
      <c r="CJ764" s="935"/>
      <c r="CK764" s="935"/>
      <c r="CL764" s="935"/>
      <c r="CM764" s="935"/>
      <c r="CN764" s="935"/>
      <c r="CO764" s="935"/>
      <c r="CP764" s="935"/>
      <c r="CQ764" s="935"/>
      <c r="CR764" s="935"/>
      <c r="CS764" s="935"/>
      <c r="CT764" s="935"/>
      <c r="CU764" s="935"/>
      <c r="CV764" s="935"/>
    </row>
    <row r="765" spans="1:104" s="441" customFormat="1">
      <c r="A765" s="375">
        <f t="shared" si="211"/>
        <v>9</v>
      </c>
      <c r="B765" s="862">
        <v>44469</v>
      </c>
      <c r="C765" s="493" t="s">
        <v>2000</v>
      </c>
      <c r="D765" s="376" t="str">
        <f>IFERROR(VLOOKUP(E:E,'Item Data Support Sheet'!A:O,7,0),"")</f>
        <v>BOTTLE PRINTED</v>
      </c>
      <c r="E765" s="447" t="s">
        <v>400</v>
      </c>
      <c r="F765" s="500"/>
      <c r="G765" s="497"/>
      <c r="H765" s="602" t="str">
        <f>IFERROR(VLOOKUP(E:E,'Item Data Support Sheet'!A:O,2,0),"")</f>
        <v>KPP 120 BOTTLE PRINTED-WMG3B (OZ SCALE)</v>
      </c>
      <c r="I765" s="501"/>
      <c r="J765" s="501" t="s">
        <v>2813</v>
      </c>
      <c r="K765" s="438">
        <v>8.5</v>
      </c>
      <c r="L765" s="499">
        <v>5100</v>
      </c>
      <c r="M765" s="366">
        <f t="shared" si="226"/>
        <v>600</v>
      </c>
      <c r="N765" s="367">
        <f t="shared" si="210"/>
        <v>2126</v>
      </c>
      <c r="O765" s="61">
        <v>2102</v>
      </c>
      <c r="P765" s="368">
        <v>0</v>
      </c>
      <c r="Q765" s="368">
        <v>0</v>
      </c>
      <c r="R765" s="494">
        <v>0</v>
      </c>
      <c r="S765" s="493">
        <v>0</v>
      </c>
      <c r="T765" s="494">
        <v>24</v>
      </c>
      <c r="U765" s="493">
        <v>0</v>
      </c>
      <c r="V765" s="502">
        <v>5</v>
      </c>
      <c r="W765" s="453">
        <f t="shared" si="212"/>
        <v>420.4</v>
      </c>
      <c r="X765" s="748">
        <f t="shared" si="213"/>
        <v>0.41215686274509805</v>
      </c>
      <c r="Y765" s="451" t="str">
        <f>IFERROR(VLOOKUP(E:E,'Item Data Support Sheet'!A:J,6,0),0)</f>
        <v>FO042</v>
      </c>
      <c r="Z765" s="428">
        <f>IFERROR(VLOOKUP(E:E,'Item Data Support Sheet'!A:O,4,0),0)</f>
        <v>0</v>
      </c>
      <c r="AA765" s="428">
        <f t="shared" si="214"/>
        <v>0</v>
      </c>
      <c r="AB765" s="429" t="str">
        <f t="shared" si="215"/>
        <v xml:space="preserve"> </v>
      </c>
      <c r="AC765" s="424">
        <f t="shared" si="216"/>
        <v>1.1288805268109126E-2</v>
      </c>
      <c r="AD765" s="371">
        <f t="shared" si="217"/>
        <v>0</v>
      </c>
      <c r="AE765" s="748">
        <f t="shared" si="218"/>
        <v>0.98871119473189084</v>
      </c>
      <c r="AF765" s="417">
        <f t="shared" si="219"/>
        <v>4.833333333333333</v>
      </c>
      <c r="AG765" s="416">
        <f t="shared" si="220"/>
        <v>3.666666666666667</v>
      </c>
      <c r="AH765" s="372">
        <f t="shared" si="221"/>
        <v>0.43137254901960786</v>
      </c>
      <c r="AI765" s="373">
        <f t="shared" si="222"/>
        <v>247.29411764705881</v>
      </c>
      <c r="AJ765" s="418">
        <f>VLOOKUP(D765,'Standard Cycle time'!C:D,2,0)</f>
        <v>32.4</v>
      </c>
      <c r="AK765" s="418">
        <f t="shared" si="223"/>
        <v>31.39866793529972</v>
      </c>
      <c r="AL765" s="374">
        <f t="shared" si="224"/>
        <v>1.031890909090909</v>
      </c>
      <c r="AM765" s="372">
        <f t="shared" si="225"/>
        <v>0.44010443251618614</v>
      </c>
      <c r="AN765" s="799" t="s">
        <v>3466</v>
      </c>
      <c r="AO765" s="448" t="s">
        <v>3467</v>
      </c>
      <c r="AP765" s="440">
        <v>50</v>
      </c>
      <c r="AQ765" s="440">
        <v>0</v>
      </c>
      <c r="AR765" s="440">
        <v>0</v>
      </c>
      <c r="AS765" s="440">
        <v>0</v>
      </c>
      <c r="AT765" s="440">
        <v>0</v>
      </c>
      <c r="AU765" s="440">
        <v>0</v>
      </c>
      <c r="AV765" s="440">
        <v>0</v>
      </c>
      <c r="AW765" s="440">
        <v>0</v>
      </c>
      <c r="AX765" s="440">
        <v>0</v>
      </c>
      <c r="AY765" s="440">
        <v>0</v>
      </c>
      <c r="AZ765" s="440">
        <v>0</v>
      </c>
      <c r="BA765" s="440">
        <v>0</v>
      </c>
      <c r="BB765" s="440">
        <v>0</v>
      </c>
      <c r="BC765" s="440">
        <v>0</v>
      </c>
      <c r="BD765" s="440">
        <v>0</v>
      </c>
      <c r="BE765" s="440">
        <v>240</v>
      </c>
      <c r="BF765" s="440">
        <v>0</v>
      </c>
      <c r="BG765" s="440">
        <v>0</v>
      </c>
      <c r="BH765" s="440">
        <v>0</v>
      </c>
      <c r="BI765" s="440">
        <v>0</v>
      </c>
      <c r="BJ765" s="440">
        <v>0</v>
      </c>
      <c r="BK765" s="440">
        <v>0</v>
      </c>
      <c r="BL765" s="440">
        <v>0</v>
      </c>
      <c r="BM765" s="440">
        <v>0</v>
      </c>
      <c r="BN765" s="440">
        <v>0</v>
      </c>
      <c r="BO765" s="440">
        <v>0</v>
      </c>
      <c r="BP765" s="440">
        <v>0</v>
      </c>
      <c r="BQ765" s="440">
        <v>0</v>
      </c>
      <c r="BR765" s="415">
        <v>4.833333333333333</v>
      </c>
      <c r="BS765" s="415">
        <v>4.9138888888888888</v>
      </c>
      <c r="BT765" s="935"/>
      <c r="BU765" s="935"/>
      <c r="BV765" s="935"/>
      <c r="BW765" s="935"/>
      <c r="BX765" s="935"/>
      <c r="BY765" s="935"/>
      <c r="BZ765" s="935"/>
      <c r="CA765" s="935"/>
      <c r="CB765" s="935"/>
      <c r="CC765" s="935"/>
      <c r="CD765" s="935"/>
      <c r="CE765" s="935"/>
      <c r="CF765" s="935"/>
      <c r="CG765" s="935"/>
      <c r="CH765" s="935"/>
      <c r="CI765" s="935"/>
      <c r="CJ765" s="935"/>
      <c r="CK765" s="935"/>
      <c r="CL765" s="935"/>
      <c r="CM765" s="935"/>
      <c r="CN765" s="935"/>
      <c r="CO765" s="935"/>
      <c r="CP765" s="935"/>
      <c r="CQ765" s="935"/>
      <c r="CR765" s="935"/>
      <c r="CS765" s="935"/>
      <c r="CT765" s="935"/>
      <c r="CU765" s="935"/>
      <c r="CV765" s="935"/>
    </row>
    <row r="766" spans="1:104" s="441" customFormat="1">
      <c r="A766" s="375">
        <f t="shared" si="211"/>
        <v>10</v>
      </c>
      <c r="B766" s="862">
        <v>44473</v>
      </c>
      <c r="C766" s="493" t="s">
        <v>1980</v>
      </c>
      <c r="D766" s="376" t="str">
        <f>IFERROR(VLOOKUP(E:E,'Item Data Support Sheet'!A:O,7,0),"")</f>
        <v>CAP MOLDED</v>
      </c>
      <c r="E766" s="447" t="s">
        <v>2106</v>
      </c>
      <c r="F766" s="500"/>
      <c r="G766" s="497" t="s">
        <v>3468</v>
      </c>
      <c r="H766" s="602" t="str">
        <f>IFERROR(VLOOKUP(E:E,'Item Data Support Sheet'!A:O,2,0),"")</f>
        <v>CAP S TYPE MOLDED RED</v>
      </c>
      <c r="I766" s="501" t="s">
        <v>3469</v>
      </c>
      <c r="J766" s="501" t="s">
        <v>2808</v>
      </c>
      <c r="K766" s="499">
        <v>3</v>
      </c>
      <c r="L766" s="499">
        <v>1551</v>
      </c>
      <c r="M766" s="366">
        <v>517</v>
      </c>
      <c r="N766" s="367">
        <f t="shared" si="210"/>
        <v>800</v>
      </c>
      <c r="O766" s="61">
        <v>800</v>
      </c>
      <c r="P766" s="368">
        <v>0.2</v>
      </c>
      <c r="Q766" s="368">
        <v>0</v>
      </c>
      <c r="R766" s="494">
        <v>0</v>
      </c>
      <c r="S766" s="493">
        <v>0</v>
      </c>
      <c r="T766" s="494">
        <v>0</v>
      </c>
      <c r="U766" s="493">
        <v>0</v>
      </c>
      <c r="V766" s="502">
        <v>1</v>
      </c>
      <c r="W766" s="453">
        <f t="shared" si="212"/>
        <v>800</v>
      </c>
      <c r="X766" s="748">
        <f t="shared" si="213"/>
        <v>0.51579626047711158</v>
      </c>
      <c r="Y766" s="451" t="str">
        <f>IFERROR(VLOOKUP(E:E,'Item Data Support Sheet'!A:J,6,0),0)</f>
        <v>FO153</v>
      </c>
      <c r="Z766" s="428">
        <f>IFERROR(VLOOKUP(E:E,'Item Data Support Sheet'!A:O,4,0),0)</f>
        <v>7.3</v>
      </c>
      <c r="AA766" s="428">
        <f t="shared" si="214"/>
        <v>6.04</v>
      </c>
      <c r="AB766" s="429">
        <f t="shared" si="215"/>
        <v>0.96688741721854299</v>
      </c>
      <c r="AC766" s="424">
        <f t="shared" si="216"/>
        <v>0</v>
      </c>
      <c r="AD766" s="371">
        <f t="shared" si="217"/>
        <v>0</v>
      </c>
      <c r="AE766" s="748">
        <f t="shared" si="218"/>
        <v>1</v>
      </c>
      <c r="AF766" s="417">
        <f t="shared" si="219"/>
        <v>1.6666666666666667</v>
      </c>
      <c r="AG766" s="416">
        <f t="shared" si="220"/>
        <v>1.3333333333333333</v>
      </c>
      <c r="AH766" s="372">
        <f t="shared" si="221"/>
        <v>0.44444444444444442</v>
      </c>
      <c r="AI766" s="373">
        <f t="shared" si="222"/>
        <v>266.66666666666669</v>
      </c>
      <c r="AJ766" s="418">
        <f>VLOOKUP(D766,'Standard Cycle time'!C:D,2,0)</f>
        <v>6</v>
      </c>
      <c r="AK766" s="418">
        <f t="shared" si="223"/>
        <v>6</v>
      </c>
      <c r="AL766" s="374">
        <f t="shared" si="224"/>
        <v>1</v>
      </c>
      <c r="AM766" s="372">
        <f t="shared" si="225"/>
        <v>0.44444444444444442</v>
      </c>
      <c r="AN766" s="799">
        <v>0.44444444444444442</v>
      </c>
      <c r="AO766" s="448" t="s">
        <v>3471</v>
      </c>
      <c r="AP766" s="440">
        <v>0</v>
      </c>
      <c r="AQ766" s="440">
        <v>0</v>
      </c>
      <c r="AR766" s="440">
        <v>0</v>
      </c>
      <c r="AS766" s="440">
        <v>0</v>
      </c>
      <c r="AT766" s="440">
        <v>0</v>
      </c>
      <c r="AU766" s="440">
        <v>0</v>
      </c>
      <c r="AV766" s="440">
        <v>45</v>
      </c>
      <c r="AW766" s="440">
        <v>0</v>
      </c>
      <c r="AX766" s="440">
        <v>0</v>
      </c>
      <c r="AY766" s="440">
        <v>0</v>
      </c>
      <c r="AZ766" s="440">
        <v>0</v>
      </c>
      <c r="BA766" s="440">
        <v>0</v>
      </c>
      <c r="BB766" s="440">
        <v>30</v>
      </c>
      <c r="BC766" s="440">
        <v>0</v>
      </c>
      <c r="BD766" s="440">
        <v>0</v>
      </c>
      <c r="BE766" s="440">
        <v>0</v>
      </c>
      <c r="BF766" s="440">
        <v>0</v>
      </c>
      <c r="BG766" s="440">
        <v>0</v>
      </c>
      <c r="BH766" s="440">
        <v>0</v>
      </c>
      <c r="BI766" s="440">
        <v>0</v>
      </c>
      <c r="BJ766" s="440">
        <v>0</v>
      </c>
      <c r="BK766" s="440">
        <v>0</v>
      </c>
      <c r="BL766" s="440">
        <v>0</v>
      </c>
      <c r="BM766" s="440">
        <v>15</v>
      </c>
      <c r="BN766" s="440">
        <v>10</v>
      </c>
      <c r="BO766" s="440">
        <v>0</v>
      </c>
      <c r="BP766" s="440">
        <v>0</v>
      </c>
      <c r="BQ766" s="440">
        <v>0</v>
      </c>
      <c r="BR766" s="415">
        <v>1.6666666666666667</v>
      </c>
      <c r="BS766" s="415">
        <v>1.6666666666666667</v>
      </c>
      <c r="BT766" s="935"/>
      <c r="BU766" s="935"/>
      <c r="BV766" s="935"/>
      <c r="BW766" s="935"/>
      <c r="BX766" s="935"/>
      <c r="BY766" s="935"/>
      <c r="BZ766" s="935"/>
      <c r="CA766" s="935"/>
      <c r="CB766" s="935"/>
      <c r="CC766" s="935"/>
      <c r="CD766" s="935"/>
      <c r="CE766" s="935"/>
      <c r="CF766" s="935"/>
      <c r="CG766" s="935"/>
      <c r="CH766" s="935"/>
      <c r="CI766" s="935"/>
      <c r="CJ766" s="935"/>
      <c r="CK766" s="935"/>
      <c r="CL766" s="935"/>
      <c r="CM766" s="935"/>
      <c r="CN766" s="935"/>
      <c r="CO766" s="935"/>
      <c r="CP766" s="935"/>
      <c r="CQ766" s="935"/>
      <c r="CR766" s="935"/>
      <c r="CS766" s="935"/>
      <c r="CT766" s="935"/>
      <c r="CU766" s="935"/>
      <c r="CV766" s="935"/>
      <c r="CX766" s="441" t="s">
        <v>2808</v>
      </c>
      <c r="CY766" s="441" t="s">
        <v>2004</v>
      </c>
    </row>
    <row r="767" spans="1:104" s="441" customFormat="1">
      <c r="A767" s="375">
        <f t="shared" si="211"/>
        <v>10</v>
      </c>
      <c r="B767" s="862">
        <v>44473</v>
      </c>
      <c r="C767" s="493" t="s">
        <v>1980</v>
      </c>
      <c r="D767" s="376" t="str">
        <f>IFERROR(VLOOKUP(E:E,'Item Data Support Sheet'!A:O,7,0),"")</f>
        <v>CAP MOLDED</v>
      </c>
      <c r="E767" s="447" t="s">
        <v>2106</v>
      </c>
      <c r="F767" s="500"/>
      <c r="G767" s="497" t="s">
        <v>3212</v>
      </c>
      <c r="H767" s="602" t="str">
        <f>IFERROR(VLOOKUP(E:E,'Item Data Support Sheet'!A:O,2,0),"")</f>
        <v>CAP S TYPE MOLDED RED</v>
      </c>
      <c r="I767" s="501" t="s">
        <v>3472</v>
      </c>
      <c r="J767" s="501" t="s">
        <v>2808</v>
      </c>
      <c r="K767" s="499">
        <v>5</v>
      </c>
      <c r="L767" s="499">
        <v>2586</v>
      </c>
      <c r="M767" s="366">
        <v>517.20000000000005</v>
      </c>
      <c r="N767" s="367">
        <f t="shared" si="210"/>
        <v>2812</v>
      </c>
      <c r="O767" s="61">
        <v>2800</v>
      </c>
      <c r="P767" s="368">
        <v>0</v>
      </c>
      <c r="Q767" s="368">
        <v>0</v>
      </c>
      <c r="R767" s="494">
        <v>0</v>
      </c>
      <c r="S767" s="493">
        <v>0</v>
      </c>
      <c r="T767" s="494">
        <v>4</v>
      </c>
      <c r="U767" s="493">
        <v>8</v>
      </c>
      <c r="V767" s="502">
        <v>1</v>
      </c>
      <c r="W767" s="453">
        <f t="shared" si="212"/>
        <v>2800</v>
      </c>
      <c r="X767" s="748">
        <f t="shared" si="213"/>
        <v>1.082753286929621</v>
      </c>
      <c r="Y767" s="451" t="str">
        <f>IFERROR(VLOOKUP(E:E,'Item Data Support Sheet'!A:J,6,0),0)</f>
        <v>FO153</v>
      </c>
      <c r="Z767" s="428">
        <f>IFERROR(VLOOKUP(E:E,'Item Data Support Sheet'!A:O,4,0),0)</f>
        <v>7.3</v>
      </c>
      <c r="AA767" s="428">
        <f t="shared" si="214"/>
        <v>20.5276</v>
      </c>
      <c r="AB767" s="429">
        <f t="shared" si="215"/>
        <v>0.99573257467994314</v>
      </c>
      <c r="AC767" s="424">
        <f t="shared" si="216"/>
        <v>1.4265335235378032E-3</v>
      </c>
      <c r="AD767" s="371">
        <f t="shared" si="217"/>
        <v>0</v>
      </c>
      <c r="AE767" s="748">
        <f t="shared" si="218"/>
        <v>0.99857752489331442</v>
      </c>
      <c r="AF767" s="417">
        <f t="shared" si="219"/>
        <v>0</v>
      </c>
      <c r="AG767" s="416">
        <f t="shared" si="220"/>
        <v>5</v>
      </c>
      <c r="AH767" s="372">
        <f t="shared" si="221"/>
        <v>1</v>
      </c>
      <c r="AI767" s="373">
        <f t="shared" si="222"/>
        <v>560</v>
      </c>
      <c r="AJ767" s="418">
        <f>VLOOKUP(D767,'Standard Cycle time'!C:D,2,0)</f>
        <v>6</v>
      </c>
      <c r="AK767" s="418">
        <f t="shared" si="223"/>
        <v>6.4285714285714288</v>
      </c>
      <c r="AL767" s="374">
        <f t="shared" si="224"/>
        <v>0.93333333333333335</v>
      </c>
      <c r="AM767" s="372">
        <f t="shared" si="225"/>
        <v>0.93200568990042676</v>
      </c>
      <c r="AN767" s="799">
        <v>0.93200568990042676</v>
      </c>
      <c r="AO767" s="448"/>
      <c r="AP767" s="440">
        <v>0</v>
      </c>
      <c r="AQ767" s="440">
        <v>0</v>
      </c>
      <c r="AR767" s="440">
        <v>0</v>
      </c>
      <c r="AS767" s="440">
        <v>0</v>
      </c>
      <c r="AT767" s="440">
        <v>0</v>
      </c>
      <c r="AU767" s="440">
        <v>0</v>
      </c>
      <c r="AV767" s="440">
        <v>0</v>
      </c>
      <c r="AW767" s="440">
        <v>0</v>
      </c>
      <c r="AX767" s="440">
        <v>0</v>
      </c>
      <c r="AY767" s="440">
        <v>0</v>
      </c>
      <c r="AZ767" s="440">
        <v>0</v>
      </c>
      <c r="BA767" s="440">
        <v>0</v>
      </c>
      <c r="BB767" s="440">
        <v>0</v>
      </c>
      <c r="BC767" s="440">
        <v>0</v>
      </c>
      <c r="BD767" s="440">
        <v>0</v>
      </c>
      <c r="BE767" s="440">
        <v>0</v>
      </c>
      <c r="BF767" s="440">
        <v>0</v>
      </c>
      <c r="BG767" s="440">
        <v>0</v>
      </c>
      <c r="BH767" s="440">
        <v>0</v>
      </c>
      <c r="BI767" s="440">
        <v>0</v>
      </c>
      <c r="BJ767" s="440">
        <v>0</v>
      </c>
      <c r="BK767" s="440">
        <v>0</v>
      </c>
      <c r="BL767" s="440">
        <v>0</v>
      </c>
      <c r="BM767" s="440">
        <v>0</v>
      </c>
      <c r="BN767" s="440">
        <v>0</v>
      </c>
      <c r="BO767" s="440">
        <v>0</v>
      </c>
      <c r="BP767" s="440">
        <v>0</v>
      </c>
      <c r="BQ767" s="440">
        <v>0</v>
      </c>
      <c r="BR767" s="415">
        <v>0</v>
      </c>
      <c r="BS767" s="415">
        <v>0</v>
      </c>
      <c r="BT767" s="935"/>
      <c r="BU767" s="935"/>
      <c r="BV767" s="935"/>
      <c r="BW767" s="935"/>
      <c r="BX767" s="935"/>
      <c r="BY767" s="935"/>
      <c r="BZ767" s="935"/>
      <c r="CA767" s="935"/>
      <c r="CB767" s="935"/>
      <c r="CC767" s="935"/>
      <c r="CD767" s="935"/>
      <c r="CE767" s="935"/>
      <c r="CF767" s="935"/>
      <c r="CG767" s="935"/>
      <c r="CH767" s="935"/>
      <c r="CI767" s="935"/>
      <c r="CJ767" s="935"/>
      <c r="CK767" s="935"/>
      <c r="CL767" s="935"/>
      <c r="CM767" s="935"/>
      <c r="CN767" s="935"/>
      <c r="CO767" s="935"/>
      <c r="CP767" s="935"/>
      <c r="CQ767" s="935"/>
      <c r="CR767" s="935"/>
      <c r="CS767" s="935"/>
      <c r="CT767" s="935"/>
      <c r="CU767" s="935"/>
      <c r="CV767" s="935"/>
      <c r="CX767" s="441" t="s">
        <v>2826</v>
      </c>
      <c r="CY767" s="441" t="s">
        <v>3473</v>
      </c>
    </row>
    <row r="768" spans="1:104" s="441" customFormat="1">
      <c r="A768" s="375">
        <f t="shared" si="211"/>
        <v>10</v>
      </c>
      <c r="B768" s="862">
        <v>44473</v>
      </c>
      <c r="C768" s="493" t="s">
        <v>1980</v>
      </c>
      <c r="D768" s="376" t="str">
        <f>IFERROR(VLOOKUP(E:E,'Item Data Support Sheet'!A:O,7,0),"")</f>
        <v>BOTTLE MOLDED</v>
      </c>
      <c r="E768" s="447" t="s">
        <v>67</v>
      </c>
      <c r="F768" s="500" t="s">
        <v>1682</v>
      </c>
      <c r="G768" s="497" t="s">
        <v>1888</v>
      </c>
      <c r="H768" s="602" t="str">
        <f>IFERROR(VLOOKUP(E:E,'Item Data Support Sheet'!A:O,2,0),"")</f>
        <v>RPP 120 ML BOTTLE MOLDED</v>
      </c>
      <c r="I768" s="501" t="s">
        <v>3474</v>
      </c>
      <c r="J768" s="501" t="s">
        <v>2808</v>
      </c>
      <c r="K768" s="499">
        <v>8</v>
      </c>
      <c r="L768" s="499">
        <v>2574</v>
      </c>
      <c r="M768" s="366">
        <v>321.75</v>
      </c>
      <c r="N768" s="367">
        <f t="shared" si="210"/>
        <v>2256</v>
      </c>
      <c r="O768" s="61">
        <v>2160</v>
      </c>
      <c r="P768" s="368">
        <v>0.36</v>
      </c>
      <c r="Q768" s="368">
        <v>56</v>
      </c>
      <c r="R768" s="494">
        <v>0</v>
      </c>
      <c r="S768" s="493">
        <v>0</v>
      </c>
      <c r="T768" s="494">
        <v>32</v>
      </c>
      <c r="U768" s="493">
        <v>8</v>
      </c>
      <c r="V768" s="502">
        <v>1</v>
      </c>
      <c r="W768" s="453">
        <f t="shared" si="212"/>
        <v>2160</v>
      </c>
      <c r="X768" s="748">
        <f t="shared" si="213"/>
        <v>0.83916083916083917</v>
      </c>
      <c r="Y768" s="451" t="str">
        <f>IFERROR(VLOOKUP(E:E,'Item Data Support Sheet'!A:J,6,0),0)</f>
        <v>HMC</v>
      </c>
      <c r="Z768" s="428">
        <f>IFERROR(VLOOKUP(E:E,'Item Data Support Sheet'!A:O,4,0),0)</f>
        <v>21.3</v>
      </c>
      <c r="AA768" s="428">
        <f t="shared" si="214"/>
        <v>48.412799999999997</v>
      </c>
      <c r="AB768" s="429">
        <f t="shared" si="215"/>
        <v>0.95032718619869117</v>
      </c>
      <c r="AC768" s="424">
        <f t="shared" si="216"/>
        <v>1.4598540145985401E-2</v>
      </c>
      <c r="AD768" s="371">
        <f t="shared" si="217"/>
        <v>2.4221453287197232E-2</v>
      </c>
      <c r="AE768" s="748">
        <f t="shared" si="218"/>
        <v>0.98581560283687941</v>
      </c>
      <c r="AF768" s="417">
        <f t="shared" si="219"/>
        <v>2.4166666666666665</v>
      </c>
      <c r="AG768" s="416">
        <f t="shared" si="220"/>
        <v>5.5833333333333339</v>
      </c>
      <c r="AH768" s="372">
        <f t="shared" si="221"/>
        <v>0.69791666666666674</v>
      </c>
      <c r="AI768" s="373">
        <f t="shared" si="222"/>
        <v>270</v>
      </c>
      <c r="AJ768" s="418">
        <f>VLOOKUP(D768,'Standard Cycle time'!C:D,2,0)</f>
        <v>9</v>
      </c>
      <c r="AK768" s="418">
        <f t="shared" si="223"/>
        <v>9.3055555555555571</v>
      </c>
      <c r="AL768" s="374">
        <f t="shared" si="224"/>
        <v>0.96716417910447749</v>
      </c>
      <c r="AM768" s="372">
        <f t="shared" si="225"/>
        <v>0.66542553191489362</v>
      </c>
      <c r="AN768" s="799">
        <v>0.66542553191489362</v>
      </c>
      <c r="AO768" s="448" t="s">
        <v>3475</v>
      </c>
      <c r="AP768" s="440">
        <v>0</v>
      </c>
      <c r="AQ768" s="440">
        <v>0</v>
      </c>
      <c r="AR768" s="440">
        <v>90</v>
      </c>
      <c r="AS768" s="440">
        <v>0</v>
      </c>
      <c r="AT768" s="440">
        <v>0</v>
      </c>
      <c r="AU768" s="440">
        <v>0</v>
      </c>
      <c r="AV768" s="440">
        <v>15</v>
      </c>
      <c r="AW768" s="440">
        <v>20</v>
      </c>
      <c r="AX768" s="440">
        <v>0</v>
      </c>
      <c r="AY768" s="440">
        <v>0</v>
      </c>
      <c r="AZ768" s="440">
        <v>0</v>
      </c>
      <c r="BA768" s="440">
        <v>0</v>
      </c>
      <c r="BB768" s="440">
        <v>20</v>
      </c>
      <c r="BC768" s="440">
        <v>0</v>
      </c>
      <c r="BD768" s="440">
        <v>0</v>
      </c>
      <c r="BE768" s="440">
        <v>0</v>
      </c>
      <c r="BF768" s="440">
        <v>0</v>
      </c>
      <c r="BG768" s="440">
        <v>0</v>
      </c>
      <c r="BH768" s="440">
        <v>0</v>
      </c>
      <c r="BI768" s="440">
        <v>0</v>
      </c>
      <c r="BJ768" s="440">
        <v>0</v>
      </c>
      <c r="BK768" s="440">
        <v>0</v>
      </c>
      <c r="BL768" s="440">
        <v>0</v>
      </c>
      <c r="BM768" s="440">
        <v>0</v>
      </c>
      <c r="BN768" s="440">
        <v>0</v>
      </c>
      <c r="BO768" s="440">
        <v>0</v>
      </c>
      <c r="BP768" s="440">
        <v>0</v>
      </c>
      <c r="BQ768" s="440">
        <v>0</v>
      </c>
      <c r="BR768" s="415">
        <v>2.4166666666666665</v>
      </c>
      <c r="BS768" s="415">
        <v>2.4166666666666665</v>
      </c>
      <c r="BT768" s="935"/>
      <c r="BU768" s="935"/>
      <c r="BV768" s="935"/>
      <c r="BW768" s="935"/>
      <c r="BX768" s="935"/>
      <c r="BY768" s="935"/>
      <c r="BZ768" s="935"/>
      <c r="CA768" s="935"/>
      <c r="CB768" s="935"/>
      <c r="CC768" s="935"/>
      <c r="CD768" s="935"/>
      <c r="CE768" s="935"/>
      <c r="CF768" s="935"/>
      <c r="CG768" s="935"/>
      <c r="CH768" s="935"/>
      <c r="CI768" s="935"/>
      <c r="CJ768" s="935"/>
      <c r="CK768" s="935"/>
      <c r="CL768" s="935"/>
      <c r="CM768" s="935"/>
      <c r="CN768" s="935"/>
      <c r="CO768" s="935"/>
      <c r="CP768" s="935"/>
      <c r="CQ768" s="935"/>
      <c r="CR768" s="935"/>
      <c r="CS768" s="935"/>
      <c r="CT768" s="935"/>
      <c r="CU768" s="935"/>
      <c r="CV768" s="935"/>
      <c r="CX768" s="441" t="s">
        <v>2811</v>
      </c>
      <c r="CY768" s="441" t="s">
        <v>2003</v>
      </c>
      <c r="CZ768" s="441">
        <v>48.412799999999997</v>
      </c>
    </row>
    <row r="769" spans="1:104" s="441" customFormat="1">
      <c r="A769" s="375">
        <f t="shared" si="211"/>
        <v>10</v>
      </c>
      <c r="B769" s="862">
        <v>44473</v>
      </c>
      <c r="C769" s="493" t="s">
        <v>1980</v>
      </c>
      <c r="D769" s="376" t="str">
        <f>IFERROR(VLOOKUP(E:E,'Item Data Support Sheet'!A:O,7,0),"")</f>
        <v>NIPPLE LASER MARKING</v>
      </c>
      <c r="E769" s="447" t="s">
        <v>1814</v>
      </c>
      <c r="F769" s="500"/>
      <c r="G769" s="497" t="s">
        <v>1812</v>
      </c>
      <c r="H769" s="602" t="str">
        <f>IFERROR(VLOOKUP(E:E,'Item Data Support Sheet'!A:O,2,0),"")</f>
        <v>NIPPLE S TYPE S SIZE PUNCHED LASER MARKED</v>
      </c>
      <c r="I769" s="501" t="s">
        <v>3476</v>
      </c>
      <c r="J769" s="501" t="s">
        <v>2808</v>
      </c>
      <c r="K769" s="499">
        <v>8</v>
      </c>
      <c r="L769" s="499">
        <v>7000</v>
      </c>
      <c r="M769" s="366">
        <v>875</v>
      </c>
      <c r="N769" s="367">
        <f t="shared" si="210"/>
        <v>5582</v>
      </c>
      <c r="O769" s="61">
        <v>5569</v>
      </c>
      <c r="P769" s="368">
        <v>0</v>
      </c>
      <c r="Q769" s="368">
        <v>0</v>
      </c>
      <c r="R769" s="494">
        <v>0</v>
      </c>
      <c r="S769" s="493">
        <v>0</v>
      </c>
      <c r="T769" s="494">
        <v>13</v>
      </c>
      <c r="U769" s="493">
        <v>0</v>
      </c>
      <c r="V769" s="502">
        <v>1</v>
      </c>
      <c r="W769" s="453">
        <f t="shared" si="212"/>
        <v>5569</v>
      </c>
      <c r="X769" s="748">
        <f t="shared" si="213"/>
        <v>0.7955714285714286</v>
      </c>
      <c r="Y769" s="451" t="str">
        <f>IFERROR(VLOOKUP(E:E,'Item Data Support Sheet'!A:J,6,0),0)</f>
        <v>FO019</v>
      </c>
      <c r="Z769" s="428">
        <f>IFERROR(VLOOKUP(E:E,'Item Data Support Sheet'!A:O,4,0),0)</f>
        <v>0</v>
      </c>
      <c r="AA769" s="428">
        <f t="shared" si="214"/>
        <v>0</v>
      </c>
      <c r="AB769" s="429" t="str">
        <f t="shared" si="215"/>
        <v xml:space="preserve"> </v>
      </c>
      <c r="AC769" s="424">
        <f t="shared" si="216"/>
        <v>2.3289143676101754E-3</v>
      </c>
      <c r="AD769" s="371">
        <f t="shared" si="217"/>
        <v>0</v>
      </c>
      <c r="AE769" s="748">
        <f t="shared" si="218"/>
        <v>0.99767108563238982</v>
      </c>
      <c r="AF769" s="417">
        <f t="shared" si="219"/>
        <v>1.6666666666666667</v>
      </c>
      <c r="AG769" s="416">
        <f t="shared" si="220"/>
        <v>6.333333333333333</v>
      </c>
      <c r="AH769" s="372">
        <f t="shared" si="221"/>
        <v>0.79166666666666663</v>
      </c>
      <c r="AI769" s="373">
        <f t="shared" si="222"/>
        <v>696.125</v>
      </c>
      <c r="AJ769" s="418">
        <f>VLOOKUP(D769,'Standard Cycle time'!C:D,2,0)</f>
        <v>3.5</v>
      </c>
      <c r="AK769" s="418">
        <f t="shared" si="223"/>
        <v>4.0940922966421258</v>
      </c>
      <c r="AL769" s="374">
        <f t="shared" si="224"/>
        <v>0.85489035087719301</v>
      </c>
      <c r="AM769" s="372">
        <f t="shared" si="225"/>
        <v>0.67521201269457376</v>
      </c>
      <c r="AN769" s="799">
        <v>0.67521201269457376</v>
      </c>
      <c r="AO769" s="448" t="s">
        <v>3478</v>
      </c>
      <c r="AP769" s="440">
        <v>40</v>
      </c>
      <c r="AQ769" s="440">
        <v>0</v>
      </c>
      <c r="AR769" s="440">
        <v>0</v>
      </c>
      <c r="AS769" s="440">
        <v>60</v>
      </c>
      <c r="AT769" s="440">
        <v>0</v>
      </c>
      <c r="AU769" s="440">
        <v>0</v>
      </c>
      <c r="AV769" s="440">
        <v>0</v>
      </c>
      <c r="AW769" s="440">
        <v>0</v>
      </c>
      <c r="AX769" s="440">
        <v>0</v>
      </c>
      <c r="AY769" s="440">
        <v>0</v>
      </c>
      <c r="AZ769" s="440">
        <v>0</v>
      </c>
      <c r="BA769" s="440">
        <v>0</v>
      </c>
      <c r="BB769" s="440">
        <v>0</v>
      </c>
      <c r="BC769" s="440">
        <v>0</v>
      </c>
      <c r="BD769" s="440">
        <v>0</v>
      </c>
      <c r="BE769" s="440">
        <v>0</v>
      </c>
      <c r="BF769" s="440">
        <v>0</v>
      </c>
      <c r="BG769" s="440">
        <v>0</v>
      </c>
      <c r="BH769" s="440">
        <v>0</v>
      </c>
      <c r="BI769" s="440">
        <v>0</v>
      </c>
      <c r="BJ769" s="440">
        <v>0</v>
      </c>
      <c r="BK769" s="440">
        <v>0</v>
      </c>
      <c r="BL769" s="440">
        <v>0</v>
      </c>
      <c r="BM769" s="440">
        <v>0</v>
      </c>
      <c r="BN769" s="440">
        <v>0</v>
      </c>
      <c r="BO769" s="440">
        <v>0</v>
      </c>
      <c r="BP769" s="440">
        <v>0</v>
      </c>
      <c r="BQ769" s="440">
        <v>0</v>
      </c>
      <c r="BR769" s="415">
        <v>1.6666666666666667</v>
      </c>
      <c r="BS769" s="415">
        <v>1.6666666666666667</v>
      </c>
      <c r="BT769" s="935"/>
      <c r="BU769" s="935"/>
      <c r="BV769" s="935"/>
      <c r="BW769" s="935"/>
      <c r="BX769" s="935"/>
      <c r="BY769" s="935"/>
      <c r="BZ769" s="935"/>
      <c r="CA769" s="935"/>
      <c r="CB769" s="935"/>
      <c r="CC769" s="935"/>
      <c r="CD769" s="935"/>
      <c r="CE769" s="935"/>
      <c r="CF769" s="935"/>
      <c r="CG769" s="935"/>
      <c r="CH769" s="935"/>
      <c r="CI769" s="935"/>
      <c r="CJ769" s="935"/>
      <c r="CK769" s="935"/>
      <c r="CL769" s="935"/>
      <c r="CM769" s="935"/>
      <c r="CN769" s="935"/>
      <c r="CO769" s="935"/>
      <c r="CP769" s="935"/>
      <c r="CQ769" s="935"/>
      <c r="CR769" s="935"/>
      <c r="CS769" s="935"/>
      <c r="CT769" s="935"/>
      <c r="CU769" s="935"/>
      <c r="CV769" s="935"/>
      <c r="CX769" s="441" t="s">
        <v>2809</v>
      </c>
      <c r="CY769" s="441" t="s">
        <v>2292</v>
      </c>
    </row>
    <row r="770" spans="1:104" s="441" customFormat="1">
      <c r="A770" s="375">
        <f t="shared" si="211"/>
        <v>10</v>
      </c>
      <c r="B770" s="862">
        <v>44473</v>
      </c>
      <c r="C770" s="493" t="s">
        <v>1980</v>
      </c>
      <c r="D770" s="376" t="str">
        <f>IFERROR(VLOOKUP(E:E,'Item Data Support Sheet'!A:O,7,0),"")</f>
        <v>BOTTLE PRINTED</v>
      </c>
      <c r="E770" s="447" t="s">
        <v>15</v>
      </c>
      <c r="F770" s="500"/>
      <c r="G770" s="497" t="s">
        <v>1698</v>
      </c>
      <c r="H770" s="602" t="str">
        <f>IFERROR(VLOOKUP(E:E,'Item Data Support Sheet'!A:O,2,0),"")</f>
        <v>RPP 240 ML BOTTLE PRINTED</v>
      </c>
      <c r="I770" s="501" t="s">
        <v>3479</v>
      </c>
      <c r="J770" s="501" t="s">
        <v>2813</v>
      </c>
      <c r="K770" s="499">
        <v>8</v>
      </c>
      <c r="L770" s="499">
        <v>5800</v>
      </c>
      <c r="M770" s="366">
        <v>725</v>
      </c>
      <c r="N770" s="367">
        <f t="shared" si="210"/>
        <v>5054</v>
      </c>
      <c r="O770" s="61">
        <v>5040</v>
      </c>
      <c r="P770" s="368">
        <v>0</v>
      </c>
      <c r="Q770" s="368">
        <v>0</v>
      </c>
      <c r="R770" s="494">
        <v>32</v>
      </c>
      <c r="S770" s="493">
        <v>0</v>
      </c>
      <c r="T770" s="494">
        <v>14</v>
      </c>
      <c r="U770" s="493">
        <v>0</v>
      </c>
      <c r="V770" s="502">
        <v>5</v>
      </c>
      <c r="W770" s="453">
        <f t="shared" si="212"/>
        <v>1008</v>
      </c>
      <c r="X770" s="748">
        <f t="shared" si="213"/>
        <v>0.86896551724137927</v>
      </c>
      <c r="Y770" s="451" t="str">
        <f>IFERROR(VLOOKUP(E:E,'Item Data Support Sheet'!A:J,6,0),0)</f>
        <v>FO005</v>
      </c>
      <c r="Z770" s="428">
        <f>IFERROR(VLOOKUP(E:E,'Item Data Support Sheet'!A:O,4,0),0)</f>
        <v>0</v>
      </c>
      <c r="AA770" s="428">
        <f t="shared" si="214"/>
        <v>0</v>
      </c>
      <c r="AB770" s="429" t="str">
        <f t="shared" si="215"/>
        <v xml:space="preserve"> </v>
      </c>
      <c r="AC770" s="424">
        <f t="shared" si="216"/>
        <v>2.7700831024930748E-3</v>
      </c>
      <c r="AD770" s="371">
        <f t="shared" si="217"/>
        <v>0</v>
      </c>
      <c r="AE770" s="748">
        <f t="shared" si="218"/>
        <v>0.99722991689750695</v>
      </c>
      <c r="AF770" s="417">
        <f t="shared" si="219"/>
        <v>0.66666666666666663</v>
      </c>
      <c r="AG770" s="416">
        <f t="shared" si="220"/>
        <v>7.333333333333333</v>
      </c>
      <c r="AH770" s="372">
        <f t="shared" si="221"/>
        <v>0.91666666666666663</v>
      </c>
      <c r="AI770" s="373">
        <f t="shared" si="222"/>
        <v>630</v>
      </c>
      <c r="AJ770" s="418">
        <f>VLOOKUP(D770,'Standard Cycle time'!C:D,2,0)</f>
        <v>32.4</v>
      </c>
      <c r="AK770" s="418">
        <f t="shared" si="223"/>
        <v>26.19047619047619</v>
      </c>
      <c r="AL770" s="374">
        <f t="shared" si="224"/>
        <v>1.237090909090909</v>
      </c>
      <c r="AM770" s="372">
        <f t="shared" si="225"/>
        <v>1.1308587257617728</v>
      </c>
      <c r="AN770" s="799">
        <v>1.1308587257617728</v>
      </c>
      <c r="AO770" s="448" t="s">
        <v>3480</v>
      </c>
      <c r="AP770" s="440">
        <v>40</v>
      </c>
      <c r="AQ770" s="440">
        <v>0</v>
      </c>
      <c r="AR770" s="440">
        <v>0</v>
      </c>
      <c r="AS770" s="440">
        <v>0</v>
      </c>
      <c r="AT770" s="440">
        <v>0</v>
      </c>
      <c r="AU770" s="440">
        <v>0</v>
      </c>
      <c r="AV770" s="440">
        <v>0</v>
      </c>
      <c r="AW770" s="440">
        <v>0</v>
      </c>
      <c r="AX770" s="440">
        <v>0</v>
      </c>
      <c r="AY770" s="440">
        <v>0</v>
      </c>
      <c r="AZ770" s="440">
        <v>0</v>
      </c>
      <c r="BA770" s="440">
        <v>0</v>
      </c>
      <c r="BB770" s="440">
        <v>0</v>
      </c>
      <c r="BC770" s="440">
        <v>0</v>
      </c>
      <c r="BD770" s="440">
        <v>0</v>
      </c>
      <c r="BE770" s="440">
        <v>0</v>
      </c>
      <c r="BF770" s="440">
        <v>0</v>
      </c>
      <c r="BG770" s="440">
        <v>0</v>
      </c>
      <c r="BH770" s="440">
        <v>0</v>
      </c>
      <c r="BI770" s="440">
        <v>0</v>
      </c>
      <c r="BJ770" s="440">
        <v>0</v>
      </c>
      <c r="BK770" s="440">
        <v>0</v>
      </c>
      <c r="BL770" s="440">
        <v>0</v>
      </c>
      <c r="BM770" s="440">
        <v>0</v>
      </c>
      <c r="BN770" s="440">
        <v>0</v>
      </c>
      <c r="BO770" s="440">
        <v>0</v>
      </c>
      <c r="BP770" s="440">
        <v>0</v>
      </c>
      <c r="BQ770" s="440">
        <v>0</v>
      </c>
      <c r="BR770" s="415">
        <v>0.66666666666666663</v>
      </c>
      <c r="BS770" s="415">
        <v>0.66666666666666663</v>
      </c>
      <c r="BT770" s="935"/>
      <c r="BU770" s="935"/>
      <c r="BV770" s="935"/>
      <c r="BW770" s="935"/>
      <c r="BX770" s="935"/>
      <c r="BY770" s="935"/>
      <c r="BZ770" s="935"/>
      <c r="CA770" s="935"/>
      <c r="CB770" s="935"/>
      <c r="CC770" s="935"/>
      <c r="CD770" s="935"/>
      <c r="CE770" s="935"/>
      <c r="CF770" s="935"/>
      <c r="CG770" s="935"/>
      <c r="CH770" s="935"/>
      <c r="CI770" s="935"/>
      <c r="CJ770" s="935"/>
      <c r="CK770" s="935"/>
      <c r="CL770" s="935"/>
      <c r="CM770" s="935"/>
      <c r="CN770" s="935"/>
      <c r="CO770" s="935"/>
      <c r="CP770" s="935"/>
      <c r="CQ770" s="935"/>
      <c r="CR770" s="935"/>
      <c r="CS770" s="935"/>
      <c r="CT770" s="935"/>
      <c r="CU770" s="935"/>
      <c r="CV770" s="935"/>
      <c r="CX770" s="441" t="s">
        <v>2813</v>
      </c>
      <c r="CY770" s="441" t="s">
        <v>3481</v>
      </c>
    </row>
    <row r="771" spans="1:104" s="441" customFormat="1">
      <c r="A771" s="375">
        <f t="shared" si="211"/>
        <v>10</v>
      </c>
      <c r="B771" s="862">
        <v>44473</v>
      </c>
      <c r="C771" s="493" t="s">
        <v>1980</v>
      </c>
      <c r="D771" s="376" t="str">
        <f>IFERROR(VLOOKUP(E:E,'Item Data Support Sheet'!A:O,7,0),"")</f>
        <v>NIPPLE MOLDED</v>
      </c>
      <c r="E771" s="447" t="s">
        <v>2484</v>
      </c>
      <c r="F771" s="500" t="s">
        <v>1678</v>
      </c>
      <c r="G771" s="497" t="s">
        <v>1691</v>
      </c>
      <c r="H771" s="602" t="str">
        <f>IFERROR(VLOOKUP(E:E,'Item Data Support Sheet'!A:O,2,0),"")</f>
        <v>NIPPLE S TYPE LL SIZE INJECTION</v>
      </c>
      <c r="I771" s="501" t="s">
        <v>3482</v>
      </c>
      <c r="J771" s="501" t="s">
        <v>2808</v>
      </c>
      <c r="K771" s="499">
        <v>8</v>
      </c>
      <c r="L771" s="499">
        <v>3600</v>
      </c>
      <c r="M771" s="366">
        <v>450</v>
      </c>
      <c r="N771" s="367">
        <f t="shared" si="210"/>
        <v>1246</v>
      </c>
      <c r="O771" s="61">
        <v>600</v>
      </c>
      <c r="P771" s="368">
        <v>0</v>
      </c>
      <c r="Q771" s="368">
        <v>630</v>
      </c>
      <c r="R771" s="494">
        <v>0</v>
      </c>
      <c r="S771" s="493">
        <v>0</v>
      </c>
      <c r="T771" s="494">
        <v>8</v>
      </c>
      <c r="U771" s="493">
        <v>8</v>
      </c>
      <c r="V771" s="502">
        <v>1</v>
      </c>
      <c r="W771" s="453">
        <f t="shared" si="212"/>
        <v>600</v>
      </c>
      <c r="X771" s="748">
        <f t="shared" si="213"/>
        <v>0.16666666666666666</v>
      </c>
      <c r="Y771" s="451" t="str">
        <f>IFERROR(VLOOKUP(E:E,'Item Data Support Sheet'!A:J,6,0),0)</f>
        <v>FO148</v>
      </c>
      <c r="Z771" s="428">
        <f>IFERROR(VLOOKUP(E:E,'Item Data Support Sheet'!A:O,4,0),0)</f>
        <v>6.8</v>
      </c>
      <c r="AA771" s="428">
        <f t="shared" si="214"/>
        <v>8.4727999999999994</v>
      </c>
      <c r="AB771" s="429">
        <f t="shared" si="215"/>
        <v>0.48154093097913325</v>
      </c>
      <c r="AC771" s="424">
        <f t="shared" si="216"/>
        <v>1.3157894736842105E-2</v>
      </c>
      <c r="AD771" s="371">
        <f t="shared" si="217"/>
        <v>0.33582089552238809</v>
      </c>
      <c r="AE771" s="748">
        <f t="shared" si="218"/>
        <v>0.9935794542536116</v>
      </c>
      <c r="AF771" s="417">
        <f t="shared" si="219"/>
        <v>7.166666666666667</v>
      </c>
      <c r="AG771" s="416">
        <f t="shared" si="220"/>
        <v>0.83333333333333304</v>
      </c>
      <c r="AH771" s="372">
        <f t="shared" si="221"/>
        <v>0.10416666666666663</v>
      </c>
      <c r="AI771" s="373">
        <f t="shared" si="222"/>
        <v>75</v>
      </c>
      <c r="AJ771" s="418">
        <f>VLOOKUP(D771,'Standard Cycle time'!C:D,2,0)</f>
        <v>5.25</v>
      </c>
      <c r="AK771" s="418">
        <f t="shared" si="223"/>
        <v>4.9999999999999982</v>
      </c>
      <c r="AL771" s="374">
        <f t="shared" si="224"/>
        <v>1.0500000000000003</v>
      </c>
      <c r="AM771" s="372">
        <f t="shared" si="225"/>
        <v>0.10867275280898875</v>
      </c>
      <c r="AN771" s="799">
        <v>0.10867275280898875</v>
      </c>
      <c r="AO771" s="448" t="s">
        <v>3483</v>
      </c>
      <c r="AP771" s="440">
        <v>0</v>
      </c>
      <c r="AQ771" s="440">
        <v>0</v>
      </c>
      <c r="AR771" s="440"/>
      <c r="AS771" s="440">
        <v>0</v>
      </c>
      <c r="AT771" s="440">
        <v>0</v>
      </c>
      <c r="AU771" s="440">
        <v>60</v>
      </c>
      <c r="AV771" s="440">
        <v>60</v>
      </c>
      <c r="AW771" s="440">
        <v>10</v>
      </c>
      <c r="AX771" s="440">
        <v>0</v>
      </c>
      <c r="AY771" s="440">
        <v>0</v>
      </c>
      <c r="AZ771" s="440">
        <v>0</v>
      </c>
      <c r="BA771" s="440">
        <v>0</v>
      </c>
      <c r="BB771" s="440">
        <v>120</v>
      </c>
      <c r="BC771" s="440">
        <v>0</v>
      </c>
      <c r="BD771" s="440">
        <v>0</v>
      </c>
      <c r="BE771" s="440">
        <v>0</v>
      </c>
      <c r="BF771" s="440">
        <v>0</v>
      </c>
      <c r="BG771" s="440">
        <v>0</v>
      </c>
      <c r="BH771" s="440">
        <v>0</v>
      </c>
      <c r="BI771" s="440">
        <v>0</v>
      </c>
      <c r="BJ771" s="440">
        <v>0</v>
      </c>
      <c r="BK771" s="440">
        <v>180</v>
      </c>
      <c r="BL771" s="440">
        <v>0</v>
      </c>
      <c r="BM771" s="440">
        <v>0</v>
      </c>
      <c r="BN771" s="440">
        <v>0</v>
      </c>
      <c r="BO771" s="440">
        <v>0</v>
      </c>
      <c r="BP771" s="440">
        <v>0</v>
      </c>
      <c r="BQ771" s="440">
        <v>0</v>
      </c>
      <c r="BR771" s="415">
        <v>7.166666666666667</v>
      </c>
      <c r="BS771" s="415">
        <v>7.166666666666667</v>
      </c>
      <c r="BT771" s="935"/>
      <c r="BU771" s="935"/>
      <c r="BV771" s="935"/>
      <c r="BW771" s="935"/>
      <c r="BX771" s="935"/>
      <c r="BY771" s="935"/>
      <c r="BZ771" s="935"/>
      <c r="CA771" s="935"/>
      <c r="CB771" s="935"/>
      <c r="CC771" s="935"/>
      <c r="CD771" s="935"/>
      <c r="CE771" s="935"/>
      <c r="CF771" s="935"/>
      <c r="CG771" s="935"/>
      <c r="CH771" s="935"/>
      <c r="CI771" s="935"/>
      <c r="CJ771" s="935"/>
      <c r="CK771" s="935"/>
      <c r="CL771" s="935"/>
      <c r="CM771" s="935"/>
      <c r="CN771" s="935"/>
      <c r="CO771" s="935"/>
      <c r="CP771" s="935"/>
      <c r="CQ771" s="935"/>
      <c r="CR771" s="935"/>
      <c r="CS771" s="935"/>
      <c r="CT771" s="935"/>
      <c r="CU771" s="935"/>
      <c r="CV771" s="935"/>
      <c r="CX771" s="441" t="s">
        <v>2812</v>
      </c>
      <c r="CY771" s="441" t="s">
        <v>3470</v>
      </c>
    </row>
    <row r="772" spans="1:104" s="441" customFormat="1">
      <c r="A772" s="375">
        <f t="shared" si="211"/>
        <v>10</v>
      </c>
      <c r="B772" s="862">
        <v>44473</v>
      </c>
      <c r="C772" s="493" t="s">
        <v>2000</v>
      </c>
      <c r="D772" s="376" t="str">
        <f>IFERROR(VLOOKUP(E:E,'Item Data Support Sheet'!A:O,7,0),"")</f>
        <v>NIPPLE PUNCH INSPECTED</v>
      </c>
      <c r="E772" s="447" t="s">
        <v>1818</v>
      </c>
      <c r="F772" s="500"/>
      <c r="G772" s="497"/>
      <c r="H772" s="602" t="str">
        <f>IFERROR(VLOOKUP(E:E,'Item Data Support Sheet'!A:O,2,0),"")</f>
        <v>NIPPLE S TYPE S SIZE PUNCHED INSPECTED</v>
      </c>
      <c r="I772" s="501" t="s">
        <v>3369</v>
      </c>
      <c r="J772" s="501" t="s">
        <v>2812</v>
      </c>
      <c r="K772" s="499">
        <v>8</v>
      </c>
      <c r="L772" s="499">
        <v>14132</v>
      </c>
      <c r="M772" s="366">
        <v>1766.5</v>
      </c>
      <c r="N772" s="367">
        <f t="shared" ref="N772:N835" si="227">+O772+Q772+T772+U772</f>
        <v>9150</v>
      </c>
      <c r="O772" s="61">
        <v>9131</v>
      </c>
      <c r="P772" s="368">
        <v>0</v>
      </c>
      <c r="Q772" s="368">
        <v>0</v>
      </c>
      <c r="R772" s="494">
        <v>0</v>
      </c>
      <c r="S772" s="493">
        <v>0</v>
      </c>
      <c r="T772" s="494">
        <v>19</v>
      </c>
      <c r="U772" s="493">
        <v>0</v>
      </c>
      <c r="V772" s="502">
        <v>1</v>
      </c>
      <c r="W772" s="453">
        <f t="shared" si="212"/>
        <v>9131</v>
      </c>
      <c r="X772" s="748">
        <f t="shared" si="213"/>
        <v>0.64612227568638547</v>
      </c>
      <c r="Y772" s="451" t="str">
        <f>IFERROR(VLOOKUP(E:E,'Item Data Support Sheet'!A:J,6,0),0)</f>
        <v>FO104</v>
      </c>
      <c r="Z772" s="428">
        <f>IFERROR(VLOOKUP(E:E,'Item Data Support Sheet'!A:O,4,0),0)</f>
        <v>0</v>
      </c>
      <c r="AA772" s="428">
        <f t="shared" si="214"/>
        <v>0</v>
      </c>
      <c r="AB772" s="429" t="str">
        <f t="shared" si="215"/>
        <v xml:space="preserve"> </v>
      </c>
      <c r="AC772" s="424">
        <f t="shared" si="216"/>
        <v>2.0765027322404372E-3</v>
      </c>
      <c r="AD772" s="371">
        <f t="shared" si="217"/>
        <v>0</v>
      </c>
      <c r="AE772" s="748">
        <f t="shared" si="218"/>
        <v>0.99792349726775953</v>
      </c>
      <c r="AF772" s="417">
        <f t="shared" si="219"/>
        <v>0.83333333333333337</v>
      </c>
      <c r="AG772" s="416">
        <f t="shared" si="220"/>
        <v>7.166666666666667</v>
      </c>
      <c r="AH772" s="372">
        <f t="shared" si="221"/>
        <v>0.89583333333333337</v>
      </c>
      <c r="AI772" s="373">
        <f t="shared" si="222"/>
        <v>1141.375</v>
      </c>
      <c r="AJ772" s="418">
        <f>VLOOKUP(D772,'Standard Cycle time'!C:D,2,0)</f>
        <v>4</v>
      </c>
      <c r="AK772" s="418">
        <f t="shared" si="223"/>
        <v>2.8255393713722485</v>
      </c>
      <c r="AL772" s="374">
        <f t="shared" si="224"/>
        <v>1.415658914728682</v>
      </c>
      <c r="AM772" s="372">
        <f t="shared" si="225"/>
        <v>1.2655610352155433</v>
      </c>
      <c r="AN772" s="799">
        <v>1.2655610352155433</v>
      </c>
      <c r="AO772" s="448" t="s">
        <v>3485</v>
      </c>
      <c r="AP772" s="440">
        <v>50</v>
      </c>
      <c r="AQ772" s="440">
        <v>0</v>
      </c>
      <c r="AR772" s="440">
        <v>0</v>
      </c>
      <c r="AS772" s="440">
        <v>0</v>
      </c>
      <c r="AT772" s="440">
        <v>0</v>
      </c>
      <c r="AU772" s="440">
        <v>0</v>
      </c>
      <c r="AV772" s="440">
        <v>0</v>
      </c>
      <c r="AW772" s="440">
        <v>0</v>
      </c>
      <c r="AX772" s="440">
        <v>0</v>
      </c>
      <c r="AY772" s="440">
        <v>0</v>
      </c>
      <c r="AZ772" s="440">
        <v>0</v>
      </c>
      <c r="BA772" s="440">
        <v>0</v>
      </c>
      <c r="BB772" s="440">
        <v>0</v>
      </c>
      <c r="BC772" s="440">
        <v>0</v>
      </c>
      <c r="BD772" s="440">
        <v>0</v>
      </c>
      <c r="BE772" s="440">
        <v>0</v>
      </c>
      <c r="BF772" s="440">
        <v>0</v>
      </c>
      <c r="BG772" s="440">
        <v>0</v>
      </c>
      <c r="BH772" s="440">
        <v>0</v>
      </c>
      <c r="BI772" s="440">
        <v>0</v>
      </c>
      <c r="BJ772" s="440">
        <v>0</v>
      </c>
      <c r="BK772" s="440">
        <v>0</v>
      </c>
      <c r="BL772" s="440">
        <v>0</v>
      </c>
      <c r="BM772" s="440">
        <v>0</v>
      </c>
      <c r="BN772" s="440">
        <v>0</v>
      </c>
      <c r="BO772" s="440">
        <v>0</v>
      </c>
      <c r="BP772" s="440">
        <v>0</v>
      </c>
      <c r="BQ772" s="440">
        <v>0</v>
      </c>
      <c r="BR772" s="415">
        <v>0.83333333333333337</v>
      </c>
      <c r="BS772" s="415">
        <v>0.83333333333333337</v>
      </c>
      <c r="BT772" s="935"/>
      <c r="BU772" s="935"/>
      <c r="BV772" s="935"/>
      <c r="BW772" s="935"/>
      <c r="BX772" s="935"/>
      <c r="BY772" s="935"/>
      <c r="BZ772" s="935"/>
      <c r="CA772" s="935"/>
      <c r="CB772" s="935"/>
      <c r="CC772" s="935"/>
      <c r="CD772" s="935"/>
      <c r="CE772" s="935"/>
      <c r="CF772" s="935"/>
      <c r="CG772" s="935"/>
      <c r="CH772" s="935"/>
      <c r="CI772" s="935"/>
      <c r="CJ772" s="935"/>
      <c r="CK772" s="935"/>
      <c r="CL772" s="935"/>
      <c r="CM772" s="935"/>
      <c r="CN772" s="935"/>
      <c r="CO772" s="935"/>
      <c r="CP772" s="935"/>
      <c r="CQ772" s="935"/>
      <c r="CR772" s="935"/>
      <c r="CS772" s="935"/>
      <c r="CT772" s="935"/>
      <c r="CU772" s="935"/>
      <c r="CV772" s="935"/>
      <c r="CY772" s="441" t="s">
        <v>3486</v>
      </c>
    </row>
    <row r="773" spans="1:104" s="441" customFormat="1">
      <c r="A773" s="375">
        <f t="shared" ref="A773:A836" si="228">MONTH(B773)</f>
        <v>10</v>
      </c>
      <c r="B773" s="862">
        <v>44473</v>
      </c>
      <c r="C773" s="493" t="s">
        <v>2001</v>
      </c>
      <c r="D773" s="376" t="str">
        <f>IFERROR(VLOOKUP(E:E,'Item Data Support Sheet'!A:O,7,0),"")</f>
        <v>NIPPLE MOLDED</v>
      </c>
      <c r="E773" s="447" t="s">
        <v>2484</v>
      </c>
      <c r="F773" s="500" t="s">
        <v>1678</v>
      </c>
      <c r="G773" s="497" t="s">
        <v>1691</v>
      </c>
      <c r="H773" s="602" t="str">
        <f>IFERROR(VLOOKUP(E:E,'Item Data Support Sheet'!A:O,2,0),"")</f>
        <v>NIPPLE S TYPE LL SIZE INJECTION</v>
      </c>
      <c r="I773" s="501" t="s">
        <v>3487</v>
      </c>
      <c r="J773" s="501" t="s">
        <v>2826</v>
      </c>
      <c r="K773" s="499">
        <v>8</v>
      </c>
      <c r="L773" s="499">
        <v>4815</v>
      </c>
      <c r="M773" s="366">
        <v>601.875</v>
      </c>
      <c r="N773" s="367">
        <f t="shared" si="227"/>
        <v>3585</v>
      </c>
      <c r="O773" s="61">
        <v>3200</v>
      </c>
      <c r="P773" s="368">
        <v>0</v>
      </c>
      <c r="Q773" s="368">
        <v>325</v>
      </c>
      <c r="R773" s="494">
        <v>0</v>
      </c>
      <c r="S773" s="493">
        <v>0</v>
      </c>
      <c r="T773" s="494">
        <v>60</v>
      </c>
      <c r="U773" s="493">
        <v>0</v>
      </c>
      <c r="V773" s="502">
        <v>1</v>
      </c>
      <c r="W773" s="453">
        <f t="shared" ref="W773:W836" si="229">IFERROR(O773/V773,0)</f>
        <v>3200</v>
      </c>
      <c r="X773" s="748">
        <f t="shared" ref="X773:X836" si="230">O773/L773</f>
        <v>0.66458982346832818</v>
      </c>
      <c r="Y773" s="451" t="str">
        <f>IFERROR(VLOOKUP(E:E,'Item Data Support Sheet'!A:J,6,0),0)</f>
        <v>FO148</v>
      </c>
      <c r="Z773" s="428">
        <f>IFERROR(VLOOKUP(E:E,'Item Data Support Sheet'!A:O,4,0),0)</f>
        <v>6.8</v>
      </c>
      <c r="AA773" s="428">
        <f t="shared" ref="AA773:AA836" si="231">IFERROR(((N773)*(Z773/1000))+P773,0)</f>
        <v>24.378</v>
      </c>
      <c r="AB773" s="429">
        <f t="shared" ref="AB773:AB836" si="232">IFERROR((O773*(Z773/1000)/(AA773))," ")</f>
        <v>0.89260808926080881</v>
      </c>
      <c r="AC773" s="424">
        <f t="shared" ref="AC773:AC836" si="233">IFERROR((T773)/((T773)+O773),0)</f>
        <v>1.8404907975460124E-2</v>
      </c>
      <c r="AD773" s="371">
        <f t="shared" ref="AD773:AD836" si="234">IFERROR(Q773/(Q773+N773),0)</f>
        <v>8.3120204603580564E-2</v>
      </c>
      <c r="AE773" s="748">
        <f t="shared" ref="AE773:AE836" si="235">(N773-T773)/N773</f>
        <v>0.98326359832635979</v>
      </c>
      <c r="AF773" s="417">
        <f t="shared" ref="AF773:AF836" si="236">BR773</f>
        <v>2.5</v>
      </c>
      <c r="AG773" s="416">
        <f t="shared" ref="AG773:AG836" si="237">K773-AF773</f>
        <v>5.5</v>
      </c>
      <c r="AH773" s="372">
        <f t="shared" ref="AH773:AH836" si="238">IFERROR(AG773/K773," ")</f>
        <v>0.6875</v>
      </c>
      <c r="AI773" s="373">
        <f t="shared" ref="AI773:AI836" si="239">IFERROR(O773/K773,0)</f>
        <v>400</v>
      </c>
      <c r="AJ773" s="418">
        <f>VLOOKUP(D773,'Standard Cycle time'!C:D,2,0)</f>
        <v>5.25</v>
      </c>
      <c r="AK773" s="418">
        <f t="shared" ref="AK773:AK836" si="240">AG773*V773*3600/O773</f>
        <v>6.1875</v>
      </c>
      <c r="AL773" s="374">
        <f t="shared" ref="AL773:AL836" si="241">AJ773/AK773</f>
        <v>0.84848484848484851</v>
      </c>
      <c r="AM773" s="372">
        <f t="shared" ref="AM773:AM836" si="242">AE773*AL773*AH773</f>
        <v>0.5735704323570433</v>
      </c>
      <c r="AN773" s="799">
        <v>0.5735704323570433</v>
      </c>
      <c r="AO773" s="448" t="s">
        <v>3488</v>
      </c>
      <c r="AP773" s="440">
        <v>0</v>
      </c>
      <c r="AQ773" s="440">
        <v>0</v>
      </c>
      <c r="AR773" s="440">
        <v>0</v>
      </c>
      <c r="AS773" s="440">
        <v>0</v>
      </c>
      <c r="AT773" s="440">
        <v>0</v>
      </c>
      <c r="AU773" s="440">
        <v>60</v>
      </c>
      <c r="AV773" s="440">
        <v>60</v>
      </c>
      <c r="AW773" s="440">
        <v>30</v>
      </c>
      <c r="AX773" s="440">
        <v>0</v>
      </c>
      <c r="AY773" s="440">
        <v>0</v>
      </c>
      <c r="AZ773" s="440">
        <v>0</v>
      </c>
      <c r="BA773" s="440">
        <v>0</v>
      </c>
      <c r="BB773" s="440">
        <v>0</v>
      </c>
      <c r="BC773" s="440">
        <v>0</v>
      </c>
      <c r="BD773" s="440">
        <v>0</v>
      </c>
      <c r="BE773" s="440">
        <v>0</v>
      </c>
      <c r="BF773" s="440">
        <v>0</v>
      </c>
      <c r="BG773" s="440">
        <v>0</v>
      </c>
      <c r="BH773" s="440">
        <v>0</v>
      </c>
      <c r="BI773" s="440">
        <v>0</v>
      </c>
      <c r="BJ773" s="440">
        <v>0</v>
      </c>
      <c r="BK773" s="440">
        <v>0</v>
      </c>
      <c r="BL773" s="440">
        <v>0</v>
      </c>
      <c r="BM773" s="440">
        <v>0</v>
      </c>
      <c r="BN773" s="440">
        <v>0</v>
      </c>
      <c r="BO773" s="440">
        <v>0</v>
      </c>
      <c r="BP773" s="440">
        <v>0</v>
      </c>
      <c r="BQ773" s="440">
        <v>0</v>
      </c>
      <c r="BR773" s="415">
        <v>2.5</v>
      </c>
      <c r="BS773" s="415">
        <v>2.5</v>
      </c>
      <c r="BT773" s="935"/>
      <c r="BU773" s="935"/>
      <c r="BV773" s="935"/>
      <c r="BW773" s="935"/>
      <c r="BX773" s="935"/>
      <c r="BY773" s="935"/>
      <c r="BZ773" s="935"/>
      <c r="CA773" s="935"/>
      <c r="CB773" s="935"/>
      <c r="CC773" s="935"/>
      <c r="CD773" s="935"/>
      <c r="CE773" s="935"/>
      <c r="CF773" s="935"/>
      <c r="CG773" s="935"/>
      <c r="CH773" s="935"/>
      <c r="CI773" s="935"/>
      <c r="CJ773" s="935"/>
      <c r="CK773" s="935"/>
      <c r="CL773" s="935"/>
      <c r="CM773" s="935"/>
      <c r="CN773" s="935"/>
      <c r="CO773" s="935"/>
      <c r="CP773" s="935"/>
      <c r="CQ773" s="935"/>
      <c r="CR773" s="935"/>
      <c r="CS773" s="935"/>
      <c r="CT773" s="935"/>
      <c r="CU773" s="935"/>
      <c r="CV773" s="935"/>
      <c r="CY773" s="441" t="s">
        <v>3484</v>
      </c>
    </row>
    <row r="774" spans="1:104" s="441" customFormat="1">
      <c r="A774" s="375">
        <f t="shared" si="228"/>
        <v>10</v>
      </c>
      <c r="B774" s="862">
        <v>44473</v>
      </c>
      <c r="C774" s="493" t="s">
        <v>2001</v>
      </c>
      <c r="D774" s="376" t="str">
        <f>IFERROR(VLOOKUP(E:E,'Item Data Support Sheet'!A:O,7,0),"")</f>
        <v>BOTTLE MOLDED</v>
      </c>
      <c r="E774" s="447" t="s">
        <v>67</v>
      </c>
      <c r="F774" s="500" t="s">
        <v>1682</v>
      </c>
      <c r="G774" s="497" t="s">
        <v>1888</v>
      </c>
      <c r="H774" s="602" t="str">
        <f>IFERROR(VLOOKUP(E:E,'Item Data Support Sheet'!A:O,2,0),"")</f>
        <v>RPP 120 ML BOTTLE MOLDED</v>
      </c>
      <c r="I774" s="501" t="s">
        <v>3489</v>
      </c>
      <c r="J774" s="501" t="s">
        <v>2826</v>
      </c>
      <c r="K774" s="499">
        <v>8</v>
      </c>
      <c r="L774" s="499">
        <v>2574</v>
      </c>
      <c r="M774" s="366">
        <v>321.75</v>
      </c>
      <c r="N774" s="367">
        <f t="shared" si="227"/>
        <v>3280</v>
      </c>
      <c r="O774" s="61">
        <v>3240</v>
      </c>
      <c r="P774" s="368">
        <v>0.2</v>
      </c>
      <c r="Q774" s="368">
        <v>0</v>
      </c>
      <c r="R774" s="494">
        <v>0</v>
      </c>
      <c r="S774" s="493">
        <v>0</v>
      </c>
      <c r="T774" s="494">
        <v>40</v>
      </c>
      <c r="U774" s="493">
        <v>0</v>
      </c>
      <c r="V774" s="502">
        <v>1</v>
      </c>
      <c r="W774" s="453">
        <f t="shared" si="229"/>
        <v>3240</v>
      </c>
      <c r="X774" s="748">
        <f t="shared" si="230"/>
        <v>1.2587412587412588</v>
      </c>
      <c r="Y774" s="451" t="str">
        <f>IFERROR(VLOOKUP(E:E,'Item Data Support Sheet'!A:J,6,0),0)</f>
        <v>HMC</v>
      </c>
      <c r="Z774" s="428">
        <f>IFERROR(VLOOKUP(E:E,'Item Data Support Sheet'!A:O,4,0),0)</f>
        <v>21.3</v>
      </c>
      <c r="AA774" s="428">
        <f t="shared" si="231"/>
        <v>70.064000000000007</v>
      </c>
      <c r="AB774" s="429">
        <f t="shared" si="232"/>
        <v>0.98498515642840823</v>
      </c>
      <c r="AC774" s="424">
        <f t="shared" si="233"/>
        <v>1.2195121951219513E-2</v>
      </c>
      <c r="AD774" s="371">
        <f t="shared" si="234"/>
        <v>0</v>
      </c>
      <c r="AE774" s="748">
        <f t="shared" si="235"/>
        <v>0.98780487804878048</v>
      </c>
      <c r="AF774" s="417">
        <f t="shared" si="236"/>
        <v>0</v>
      </c>
      <c r="AG774" s="416">
        <f t="shared" si="237"/>
        <v>8</v>
      </c>
      <c r="AH774" s="372">
        <f t="shared" si="238"/>
        <v>1</v>
      </c>
      <c r="AI774" s="373">
        <f t="shared" si="239"/>
        <v>405</v>
      </c>
      <c r="AJ774" s="418">
        <f>VLOOKUP(D774,'Standard Cycle time'!C:D,2,0)</f>
        <v>9</v>
      </c>
      <c r="AK774" s="418">
        <f t="shared" si="240"/>
        <v>8.8888888888888893</v>
      </c>
      <c r="AL774" s="374">
        <f t="shared" si="241"/>
        <v>1.0125</v>
      </c>
      <c r="AM774" s="372">
        <f t="shared" si="242"/>
        <v>1.0001524390243901</v>
      </c>
      <c r="AN774" s="799">
        <v>1.0001524390243901</v>
      </c>
      <c r="AO774" s="448"/>
      <c r="AP774" s="440">
        <v>0</v>
      </c>
      <c r="AQ774" s="440">
        <v>0</v>
      </c>
      <c r="AR774" s="440">
        <v>0</v>
      </c>
      <c r="AS774" s="440">
        <v>0</v>
      </c>
      <c r="AT774" s="440">
        <v>0</v>
      </c>
      <c r="AU774" s="440">
        <v>0</v>
      </c>
      <c r="AV774" s="440">
        <v>0</v>
      </c>
      <c r="AW774" s="440">
        <v>0</v>
      </c>
      <c r="AX774" s="440">
        <v>0</v>
      </c>
      <c r="AY774" s="440">
        <v>0</v>
      </c>
      <c r="AZ774" s="440">
        <v>0</v>
      </c>
      <c r="BA774" s="440">
        <v>0</v>
      </c>
      <c r="BB774" s="440">
        <v>0</v>
      </c>
      <c r="BC774" s="440">
        <v>0</v>
      </c>
      <c r="BD774" s="440">
        <v>0</v>
      </c>
      <c r="BE774" s="440">
        <v>0</v>
      </c>
      <c r="BF774" s="440">
        <v>0</v>
      </c>
      <c r="BG774" s="440">
        <v>0</v>
      </c>
      <c r="BH774" s="440">
        <v>0</v>
      </c>
      <c r="BI774" s="440">
        <v>0</v>
      </c>
      <c r="BJ774" s="440">
        <v>0</v>
      </c>
      <c r="BK774" s="440">
        <v>0</v>
      </c>
      <c r="BL774" s="440">
        <v>0</v>
      </c>
      <c r="BM774" s="440">
        <v>0</v>
      </c>
      <c r="BN774" s="440">
        <v>0</v>
      </c>
      <c r="BO774" s="440">
        <v>0</v>
      </c>
      <c r="BP774" s="440">
        <v>0</v>
      </c>
      <c r="BQ774" s="440">
        <v>0</v>
      </c>
      <c r="BR774" s="415">
        <v>0</v>
      </c>
      <c r="BS774" s="415">
        <v>0</v>
      </c>
      <c r="BT774" s="935"/>
      <c r="BU774" s="935"/>
      <c r="BV774" s="935"/>
      <c r="BW774" s="935"/>
      <c r="BX774" s="935"/>
      <c r="BY774" s="935"/>
      <c r="BZ774" s="935"/>
      <c r="CA774" s="935"/>
      <c r="CB774" s="935"/>
      <c r="CC774" s="935"/>
      <c r="CD774" s="935"/>
      <c r="CE774" s="935"/>
      <c r="CF774" s="935"/>
      <c r="CG774" s="935"/>
      <c r="CH774" s="935"/>
      <c r="CI774" s="935"/>
      <c r="CJ774" s="935"/>
      <c r="CK774" s="935"/>
      <c r="CL774" s="935"/>
      <c r="CM774" s="935"/>
      <c r="CN774" s="935"/>
      <c r="CO774" s="935"/>
      <c r="CP774" s="935"/>
      <c r="CQ774" s="935"/>
      <c r="CR774" s="935"/>
      <c r="CS774" s="935"/>
      <c r="CT774" s="935"/>
      <c r="CU774" s="935"/>
      <c r="CV774" s="935"/>
      <c r="CY774" s="441" t="s">
        <v>3490</v>
      </c>
      <c r="CZ774" s="441">
        <v>70.064000000000007</v>
      </c>
    </row>
    <row r="775" spans="1:104" s="441" customFormat="1">
      <c r="A775" s="375">
        <f t="shared" si="228"/>
        <v>10</v>
      </c>
      <c r="B775" s="862">
        <v>44473</v>
      </c>
      <c r="C775" s="493" t="s">
        <v>2001</v>
      </c>
      <c r="D775" s="376" t="str">
        <f>IFERROR(VLOOKUP(E:E,'Item Data Support Sheet'!A:O,7,0),"")</f>
        <v>CAP MOLDED</v>
      </c>
      <c r="E775" s="447" t="s">
        <v>2106</v>
      </c>
      <c r="F775" s="500"/>
      <c r="G775" s="497" t="s">
        <v>3212</v>
      </c>
      <c r="H775" s="602" t="str">
        <f>IFERROR(VLOOKUP(E:E,'Item Data Support Sheet'!A:O,2,0),"")</f>
        <v>CAP S TYPE MOLDED RED</v>
      </c>
      <c r="I775" s="501" t="s">
        <v>3491</v>
      </c>
      <c r="J775" s="501" t="s">
        <v>2826</v>
      </c>
      <c r="K775" s="499">
        <v>8</v>
      </c>
      <c r="L775" s="499">
        <v>4137</v>
      </c>
      <c r="M775" s="366">
        <v>517.125</v>
      </c>
      <c r="N775" s="367">
        <f t="shared" si="227"/>
        <v>4100</v>
      </c>
      <c r="O775" s="61">
        <v>4100</v>
      </c>
      <c r="P775" s="368">
        <v>0</v>
      </c>
      <c r="Q775" s="368">
        <v>0</v>
      </c>
      <c r="R775" s="494">
        <v>0</v>
      </c>
      <c r="S775" s="493">
        <v>0</v>
      </c>
      <c r="T775" s="494">
        <v>0</v>
      </c>
      <c r="U775" s="493">
        <v>0</v>
      </c>
      <c r="V775" s="502">
        <v>1</v>
      </c>
      <c r="W775" s="453">
        <f t="shared" si="229"/>
        <v>4100</v>
      </c>
      <c r="X775" s="748">
        <f t="shared" si="230"/>
        <v>0.99105632100555963</v>
      </c>
      <c r="Y775" s="451" t="str">
        <f>IFERROR(VLOOKUP(E:E,'Item Data Support Sheet'!A:J,6,0),0)</f>
        <v>FO153</v>
      </c>
      <c r="Z775" s="428">
        <f>IFERROR(VLOOKUP(E:E,'Item Data Support Sheet'!A:O,4,0),0)</f>
        <v>7.3</v>
      </c>
      <c r="AA775" s="428">
        <f t="shared" si="231"/>
        <v>29.93</v>
      </c>
      <c r="AB775" s="429">
        <f t="shared" si="232"/>
        <v>1</v>
      </c>
      <c r="AC775" s="424">
        <f t="shared" si="233"/>
        <v>0</v>
      </c>
      <c r="AD775" s="371">
        <f t="shared" si="234"/>
        <v>0</v>
      </c>
      <c r="AE775" s="748">
        <f t="shared" si="235"/>
        <v>1</v>
      </c>
      <c r="AF775" s="417">
        <f t="shared" si="236"/>
        <v>1</v>
      </c>
      <c r="AG775" s="416">
        <f t="shared" si="237"/>
        <v>7</v>
      </c>
      <c r="AH775" s="372">
        <f t="shared" si="238"/>
        <v>0.875</v>
      </c>
      <c r="AI775" s="373">
        <f t="shared" si="239"/>
        <v>512.5</v>
      </c>
      <c r="AJ775" s="418">
        <f>VLOOKUP(D775,'Standard Cycle time'!C:D,2,0)</f>
        <v>6</v>
      </c>
      <c r="AK775" s="418">
        <f t="shared" si="240"/>
        <v>6.1463414634146343</v>
      </c>
      <c r="AL775" s="374">
        <f t="shared" si="241"/>
        <v>0.97619047619047616</v>
      </c>
      <c r="AM775" s="372">
        <f t="shared" si="242"/>
        <v>0.85416666666666663</v>
      </c>
      <c r="AN775" s="799">
        <v>0.85416666666666663</v>
      </c>
      <c r="AO775" s="448"/>
      <c r="AP775" s="440">
        <v>0</v>
      </c>
      <c r="AQ775" s="440">
        <v>0</v>
      </c>
      <c r="AR775" s="440">
        <v>0</v>
      </c>
      <c r="AS775" s="440">
        <v>0</v>
      </c>
      <c r="AT775" s="440">
        <v>0</v>
      </c>
      <c r="AU775" s="440">
        <v>0</v>
      </c>
      <c r="AV775" s="440">
        <v>30</v>
      </c>
      <c r="AW775" s="440">
        <v>30</v>
      </c>
      <c r="AX775" s="440">
        <v>0</v>
      </c>
      <c r="AY775" s="440">
        <v>0</v>
      </c>
      <c r="AZ775" s="440">
        <v>0</v>
      </c>
      <c r="BA775" s="440">
        <v>0</v>
      </c>
      <c r="BB775" s="440">
        <v>0</v>
      </c>
      <c r="BC775" s="440">
        <v>0</v>
      </c>
      <c r="BD775" s="440">
        <v>0</v>
      </c>
      <c r="BE775" s="440">
        <v>0</v>
      </c>
      <c r="BF775" s="440">
        <v>0</v>
      </c>
      <c r="BG775" s="440">
        <v>0</v>
      </c>
      <c r="BH775" s="440">
        <v>0</v>
      </c>
      <c r="BI775" s="440">
        <v>0</v>
      </c>
      <c r="BJ775" s="440">
        <v>0</v>
      </c>
      <c r="BK775" s="440">
        <v>0</v>
      </c>
      <c r="BL775" s="440">
        <v>0</v>
      </c>
      <c r="BM775" s="440">
        <v>0</v>
      </c>
      <c r="BN775" s="440">
        <v>0</v>
      </c>
      <c r="BO775" s="440">
        <v>0</v>
      </c>
      <c r="BP775" s="440">
        <v>0</v>
      </c>
      <c r="BQ775" s="440">
        <v>0</v>
      </c>
      <c r="BR775" s="415">
        <v>1</v>
      </c>
      <c r="BS775" s="415">
        <v>1</v>
      </c>
      <c r="BT775" s="935"/>
      <c r="BU775" s="935"/>
      <c r="BV775" s="935"/>
      <c r="BW775" s="935"/>
      <c r="BX775" s="935"/>
      <c r="BY775" s="935"/>
      <c r="BZ775" s="935"/>
      <c r="CA775" s="935"/>
      <c r="CB775" s="935"/>
      <c r="CC775" s="935"/>
      <c r="CD775" s="935"/>
      <c r="CE775" s="935"/>
      <c r="CF775" s="935"/>
      <c r="CG775" s="935"/>
      <c r="CH775" s="935"/>
      <c r="CI775" s="935"/>
      <c r="CJ775" s="935"/>
      <c r="CK775" s="935"/>
      <c r="CL775" s="935"/>
      <c r="CM775" s="935"/>
      <c r="CN775" s="935"/>
      <c r="CO775" s="935"/>
      <c r="CP775" s="935"/>
      <c r="CQ775" s="935"/>
      <c r="CR775" s="935"/>
      <c r="CS775" s="935"/>
      <c r="CT775" s="935"/>
      <c r="CU775" s="935"/>
      <c r="CV775" s="935"/>
      <c r="CY775" s="441" t="s">
        <v>2611</v>
      </c>
    </row>
    <row r="776" spans="1:104" s="441" customFormat="1">
      <c r="A776" s="375">
        <f t="shared" si="228"/>
        <v>10</v>
      </c>
      <c r="B776" s="862">
        <v>44473</v>
      </c>
      <c r="C776" s="493" t="s">
        <v>2001</v>
      </c>
      <c r="D776" s="376" t="str">
        <f>IFERROR(VLOOKUP(E:E,'Item Data Support Sheet'!A:O,7,0),"")</f>
        <v>BOTTLE PRINTED</v>
      </c>
      <c r="E776" s="447" t="s">
        <v>15</v>
      </c>
      <c r="F776" s="500"/>
      <c r="G776" s="497" t="s">
        <v>1698</v>
      </c>
      <c r="H776" s="602" t="str">
        <f>IFERROR(VLOOKUP(E:E,'Item Data Support Sheet'!A:O,2,0),"")</f>
        <v>RPP 240 ML BOTTLE PRINTED</v>
      </c>
      <c r="I776" s="501" t="s">
        <v>3492</v>
      </c>
      <c r="J776" s="501" t="s">
        <v>2813</v>
      </c>
      <c r="K776" s="499">
        <v>8</v>
      </c>
      <c r="L776" s="499">
        <v>5800</v>
      </c>
      <c r="M776" s="366">
        <v>725</v>
      </c>
      <c r="N776" s="367">
        <f t="shared" si="227"/>
        <v>6041</v>
      </c>
      <c r="O776" s="61">
        <v>6000</v>
      </c>
      <c r="P776" s="368">
        <v>0</v>
      </c>
      <c r="Q776" s="368">
        <v>0</v>
      </c>
      <c r="R776" s="494">
        <v>41</v>
      </c>
      <c r="S776" s="493">
        <v>0</v>
      </c>
      <c r="T776" s="494">
        <v>41</v>
      </c>
      <c r="U776" s="493">
        <v>0</v>
      </c>
      <c r="V776" s="502">
        <v>6</v>
      </c>
      <c r="W776" s="453">
        <f t="shared" si="229"/>
        <v>1000</v>
      </c>
      <c r="X776" s="748">
        <f t="shared" si="230"/>
        <v>1.0344827586206897</v>
      </c>
      <c r="Y776" s="451" t="str">
        <f>IFERROR(VLOOKUP(E:E,'Item Data Support Sheet'!A:J,6,0),0)</f>
        <v>FO005</v>
      </c>
      <c r="Z776" s="428">
        <f>IFERROR(VLOOKUP(E:E,'Item Data Support Sheet'!A:O,4,0),0)</f>
        <v>0</v>
      </c>
      <c r="AA776" s="428">
        <f t="shared" si="231"/>
        <v>0</v>
      </c>
      <c r="AB776" s="429" t="str">
        <f t="shared" si="232"/>
        <v xml:space="preserve"> </v>
      </c>
      <c r="AC776" s="424">
        <f t="shared" si="233"/>
        <v>6.7869558020195331E-3</v>
      </c>
      <c r="AD776" s="371">
        <f t="shared" si="234"/>
        <v>0</v>
      </c>
      <c r="AE776" s="748">
        <f t="shared" si="235"/>
        <v>0.99321304419798051</v>
      </c>
      <c r="AF776" s="417">
        <f t="shared" si="236"/>
        <v>0.66666666666666663</v>
      </c>
      <c r="AG776" s="416">
        <f t="shared" si="237"/>
        <v>7.333333333333333</v>
      </c>
      <c r="AH776" s="372">
        <f t="shared" si="238"/>
        <v>0.91666666666666663</v>
      </c>
      <c r="AI776" s="373">
        <f t="shared" si="239"/>
        <v>750</v>
      </c>
      <c r="AJ776" s="418">
        <f>VLOOKUP(D776,'Standard Cycle time'!C:D,2,0)</f>
        <v>32.4</v>
      </c>
      <c r="AK776" s="418">
        <f t="shared" si="240"/>
        <v>26.4</v>
      </c>
      <c r="AL776" s="374">
        <f t="shared" si="241"/>
        <v>1.2272727272727273</v>
      </c>
      <c r="AM776" s="372">
        <f t="shared" si="242"/>
        <v>1.1173646747227279</v>
      </c>
      <c r="AN776" s="799">
        <v>1.1173646747227279</v>
      </c>
      <c r="AO776" s="448"/>
      <c r="AP776" s="440">
        <v>40</v>
      </c>
      <c r="AQ776" s="440">
        <v>0</v>
      </c>
      <c r="AR776" s="440">
        <v>0</v>
      </c>
      <c r="AS776" s="440">
        <v>0</v>
      </c>
      <c r="AT776" s="440">
        <v>0</v>
      </c>
      <c r="AU776" s="440">
        <v>0</v>
      </c>
      <c r="AV776" s="440">
        <v>0</v>
      </c>
      <c r="AW776" s="440">
        <v>0</v>
      </c>
      <c r="AX776" s="440">
        <v>0</v>
      </c>
      <c r="AY776" s="440">
        <v>0</v>
      </c>
      <c r="AZ776" s="440">
        <v>0</v>
      </c>
      <c r="BA776" s="440">
        <v>0</v>
      </c>
      <c r="BB776" s="440">
        <v>0</v>
      </c>
      <c r="BC776" s="440">
        <v>0</v>
      </c>
      <c r="BD776" s="440">
        <v>0</v>
      </c>
      <c r="BE776" s="440">
        <v>0</v>
      </c>
      <c r="BF776" s="440">
        <v>0</v>
      </c>
      <c r="BG776" s="440">
        <v>0</v>
      </c>
      <c r="BH776" s="440">
        <v>0</v>
      </c>
      <c r="BI776" s="440">
        <v>0</v>
      </c>
      <c r="BJ776" s="440">
        <v>0</v>
      </c>
      <c r="BK776" s="440">
        <v>0</v>
      </c>
      <c r="BL776" s="440">
        <v>0</v>
      </c>
      <c r="BM776" s="440">
        <v>0</v>
      </c>
      <c r="BN776" s="440">
        <v>0</v>
      </c>
      <c r="BO776" s="440">
        <v>0</v>
      </c>
      <c r="BP776" s="440">
        <v>0</v>
      </c>
      <c r="BQ776" s="440">
        <v>0</v>
      </c>
      <c r="BR776" s="415">
        <v>0.66666666666666663</v>
      </c>
      <c r="BS776" s="415">
        <v>0.66666666666666663</v>
      </c>
      <c r="BT776" s="935"/>
      <c r="BU776" s="935"/>
      <c r="BV776" s="935"/>
      <c r="BW776" s="935"/>
      <c r="BX776" s="935"/>
      <c r="BY776" s="935"/>
      <c r="BZ776" s="935"/>
      <c r="CA776" s="935"/>
      <c r="CB776" s="935"/>
      <c r="CC776" s="935"/>
      <c r="CD776" s="935"/>
      <c r="CE776" s="935"/>
      <c r="CF776" s="935"/>
      <c r="CG776" s="935"/>
      <c r="CH776" s="935"/>
      <c r="CI776" s="935"/>
      <c r="CJ776" s="935"/>
      <c r="CK776" s="935"/>
      <c r="CL776" s="935"/>
      <c r="CM776" s="935"/>
      <c r="CN776" s="935"/>
      <c r="CO776" s="935"/>
      <c r="CP776" s="935"/>
      <c r="CQ776" s="935"/>
      <c r="CR776" s="935"/>
      <c r="CS776" s="935"/>
      <c r="CT776" s="935"/>
      <c r="CU776" s="935"/>
      <c r="CV776" s="935"/>
      <c r="CY776" s="441" t="s">
        <v>3493</v>
      </c>
    </row>
    <row r="777" spans="1:104" s="441" customFormat="1">
      <c r="A777" s="375">
        <f t="shared" si="228"/>
        <v>10</v>
      </c>
      <c r="B777" s="862">
        <v>44473</v>
      </c>
      <c r="C777" s="493" t="s">
        <v>2053</v>
      </c>
      <c r="D777" s="376" t="str">
        <f>IFERROR(VLOOKUP(E:E,'Item Data Support Sheet'!A:O,7,0),"")</f>
        <v>CAP MOLDED</v>
      </c>
      <c r="E777" s="447" t="s">
        <v>2106</v>
      </c>
      <c r="F777" s="500"/>
      <c r="G777" s="497" t="s">
        <v>3212</v>
      </c>
      <c r="H777" s="602" t="str">
        <f>IFERROR(VLOOKUP(E:E,'Item Data Support Sheet'!A:O,2,0),"")</f>
        <v>CAP S TYPE MOLDED RED</v>
      </c>
      <c r="I777" s="501" t="s">
        <v>3494</v>
      </c>
      <c r="J777" s="501" t="s">
        <v>2811</v>
      </c>
      <c r="K777" s="499">
        <v>3</v>
      </c>
      <c r="L777" s="499">
        <v>1551</v>
      </c>
      <c r="M777" s="366">
        <v>517</v>
      </c>
      <c r="N777" s="367">
        <f t="shared" si="227"/>
        <v>1800</v>
      </c>
      <c r="O777" s="61">
        <v>1800</v>
      </c>
      <c r="P777" s="368">
        <v>0</v>
      </c>
      <c r="Q777" s="368">
        <v>0</v>
      </c>
      <c r="R777" s="494">
        <v>0</v>
      </c>
      <c r="S777" s="493">
        <v>0</v>
      </c>
      <c r="T777" s="494">
        <v>0</v>
      </c>
      <c r="U777" s="493">
        <v>0</v>
      </c>
      <c r="V777" s="502">
        <v>1</v>
      </c>
      <c r="W777" s="453">
        <f t="shared" si="229"/>
        <v>1800</v>
      </c>
      <c r="X777" s="748">
        <f t="shared" si="230"/>
        <v>1.1605415860735009</v>
      </c>
      <c r="Y777" s="451" t="str">
        <f>IFERROR(VLOOKUP(E:E,'Item Data Support Sheet'!A:J,6,0),0)</f>
        <v>FO153</v>
      </c>
      <c r="Z777" s="428">
        <f>IFERROR(VLOOKUP(E:E,'Item Data Support Sheet'!A:O,4,0),0)</f>
        <v>7.3</v>
      </c>
      <c r="AA777" s="428">
        <f t="shared" si="231"/>
        <v>13.14</v>
      </c>
      <c r="AB777" s="429">
        <f t="shared" si="232"/>
        <v>1</v>
      </c>
      <c r="AC777" s="424">
        <f t="shared" si="233"/>
        <v>0</v>
      </c>
      <c r="AD777" s="371">
        <f t="shared" si="234"/>
        <v>0</v>
      </c>
      <c r="AE777" s="748">
        <f t="shared" si="235"/>
        <v>1</v>
      </c>
      <c r="AF777" s="417">
        <f t="shared" si="236"/>
        <v>0</v>
      </c>
      <c r="AG777" s="416">
        <f t="shared" si="237"/>
        <v>3</v>
      </c>
      <c r="AH777" s="372">
        <f t="shared" si="238"/>
        <v>1</v>
      </c>
      <c r="AI777" s="373">
        <f t="shared" si="239"/>
        <v>600</v>
      </c>
      <c r="AJ777" s="418">
        <f>VLOOKUP(D777,'Standard Cycle time'!C:D,2,0)</f>
        <v>6</v>
      </c>
      <c r="AK777" s="418">
        <f t="shared" si="240"/>
        <v>6</v>
      </c>
      <c r="AL777" s="374">
        <f t="shared" si="241"/>
        <v>1</v>
      </c>
      <c r="AM777" s="372">
        <f t="shared" si="242"/>
        <v>1</v>
      </c>
      <c r="AN777" s="799">
        <v>1</v>
      </c>
      <c r="AO777" s="448"/>
      <c r="AP777" s="440">
        <v>0</v>
      </c>
      <c r="AQ777" s="440">
        <v>0</v>
      </c>
      <c r="AR777" s="440">
        <v>0</v>
      </c>
      <c r="AS777" s="440">
        <v>0</v>
      </c>
      <c r="AT777" s="440">
        <v>0</v>
      </c>
      <c r="AU777" s="440">
        <v>0</v>
      </c>
      <c r="AV777" s="440">
        <v>0</v>
      </c>
      <c r="AW777" s="440">
        <v>0</v>
      </c>
      <c r="AX777" s="440">
        <v>0</v>
      </c>
      <c r="AY777" s="440">
        <v>0</v>
      </c>
      <c r="AZ777" s="440">
        <v>0</v>
      </c>
      <c r="BA777" s="440">
        <v>0</v>
      </c>
      <c r="BB777" s="440">
        <v>0</v>
      </c>
      <c r="BC777" s="440">
        <v>0</v>
      </c>
      <c r="BD777" s="440">
        <v>0</v>
      </c>
      <c r="BE777" s="440">
        <v>0</v>
      </c>
      <c r="BF777" s="440">
        <v>0</v>
      </c>
      <c r="BG777" s="440">
        <v>0</v>
      </c>
      <c r="BH777" s="440">
        <v>0</v>
      </c>
      <c r="BI777" s="440">
        <v>0</v>
      </c>
      <c r="BJ777" s="440">
        <v>0</v>
      </c>
      <c r="BK777" s="440">
        <v>0</v>
      </c>
      <c r="BL777" s="440">
        <v>0</v>
      </c>
      <c r="BM777" s="440">
        <v>0</v>
      </c>
      <c r="BN777" s="440">
        <v>0</v>
      </c>
      <c r="BO777" s="440">
        <v>0</v>
      </c>
      <c r="BP777" s="440">
        <v>0</v>
      </c>
      <c r="BQ777" s="440">
        <v>0</v>
      </c>
      <c r="BR777" s="415">
        <v>0</v>
      </c>
      <c r="BS777" s="415">
        <v>0</v>
      </c>
      <c r="BT777" s="935"/>
      <c r="BU777" s="935"/>
      <c r="BV777" s="935"/>
      <c r="BW777" s="935"/>
      <c r="BX777" s="935"/>
      <c r="BY777" s="935"/>
      <c r="BZ777" s="935"/>
      <c r="CA777" s="935"/>
      <c r="CB777" s="935"/>
      <c r="CC777" s="935"/>
      <c r="CD777" s="935"/>
      <c r="CE777" s="935"/>
      <c r="CF777" s="935"/>
      <c r="CG777" s="935"/>
      <c r="CH777" s="935"/>
      <c r="CI777" s="935"/>
      <c r="CJ777" s="935"/>
      <c r="CK777" s="935"/>
      <c r="CL777" s="935"/>
      <c r="CM777" s="935"/>
      <c r="CN777" s="935"/>
      <c r="CO777" s="935"/>
      <c r="CP777" s="935"/>
      <c r="CQ777" s="935"/>
      <c r="CR777" s="935"/>
      <c r="CS777" s="935"/>
      <c r="CT777" s="935"/>
      <c r="CU777" s="935"/>
      <c r="CV777" s="935"/>
      <c r="CY777" s="441" t="s">
        <v>2291</v>
      </c>
    </row>
    <row r="778" spans="1:104" s="441" customFormat="1">
      <c r="A778" s="375">
        <f t="shared" si="228"/>
        <v>10</v>
      </c>
      <c r="B778" s="862">
        <v>44473</v>
      </c>
      <c r="C778" s="493" t="s">
        <v>2053</v>
      </c>
      <c r="D778" s="376" t="str">
        <f>IFERROR(VLOOKUP(E:E,'Item Data Support Sheet'!A:O,7,0),"")</f>
        <v>CAP MOLDED</v>
      </c>
      <c r="E778" s="447" t="s">
        <v>2106</v>
      </c>
      <c r="F778" s="500"/>
      <c r="G778" s="497" t="s">
        <v>3468</v>
      </c>
      <c r="H778" s="602" t="str">
        <f>IFERROR(VLOOKUP(E:E,'Item Data Support Sheet'!A:O,2,0),"")</f>
        <v>CAP S TYPE MOLDED RED</v>
      </c>
      <c r="I778" s="501" t="s">
        <v>3495</v>
      </c>
      <c r="J778" s="501" t="s">
        <v>2811</v>
      </c>
      <c r="K778" s="499">
        <v>5</v>
      </c>
      <c r="L778" s="499">
        <v>2585</v>
      </c>
      <c r="M778" s="366">
        <v>517</v>
      </c>
      <c r="N778" s="367">
        <f t="shared" si="227"/>
        <v>2304</v>
      </c>
      <c r="O778" s="61">
        <v>2300</v>
      </c>
      <c r="P778" s="368">
        <v>0.6</v>
      </c>
      <c r="Q778" s="368">
        <v>0</v>
      </c>
      <c r="R778" s="494">
        <v>0</v>
      </c>
      <c r="S778" s="493">
        <v>0</v>
      </c>
      <c r="T778" s="494">
        <v>4</v>
      </c>
      <c r="U778" s="493">
        <v>0</v>
      </c>
      <c r="V778" s="502">
        <v>1</v>
      </c>
      <c r="W778" s="453">
        <f t="shared" si="229"/>
        <v>2300</v>
      </c>
      <c r="X778" s="748">
        <f t="shared" si="230"/>
        <v>0.88974854932301739</v>
      </c>
      <c r="Y778" s="451" t="str">
        <f>IFERROR(VLOOKUP(E:E,'Item Data Support Sheet'!A:J,6,0),0)</f>
        <v>FO153</v>
      </c>
      <c r="Z778" s="428">
        <f>IFERROR(VLOOKUP(E:E,'Item Data Support Sheet'!A:O,4,0),0)</f>
        <v>7.3</v>
      </c>
      <c r="AA778" s="428">
        <f t="shared" si="231"/>
        <v>17.4192</v>
      </c>
      <c r="AB778" s="429">
        <f t="shared" si="232"/>
        <v>0.96387893818315418</v>
      </c>
      <c r="AC778" s="424">
        <f t="shared" si="233"/>
        <v>1.736111111111111E-3</v>
      </c>
      <c r="AD778" s="371">
        <f t="shared" si="234"/>
        <v>0</v>
      </c>
      <c r="AE778" s="748">
        <f t="shared" si="235"/>
        <v>0.99826388888888884</v>
      </c>
      <c r="AF778" s="417">
        <f t="shared" si="236"/>
        <v>1</v>
      </c>
      <c r="AG778" s="416">
        <f t="shared" si="237"/>
        <v>4</v>
      </c>
      <c r="AH778" s="372">
        <f t="shared" si="238"/>
        <v>0.8</v>
      </c>
      <c r="AI778" s="373">
        <f t="shared" si="239"/>
        <v>460</v>
      </c>
      <c r="AJ778" s="418">
        <f>VLOOKUP(D778,'Standard Cycle time'!C:D,2,0)</f>
        <v>6</v>
      </c>
      <c r="AK778" s="418">
        <f t="shared" si="240"/>
        <v>6.2608695652173916</v>
      </c>
      <c r="AL778" s="374">
        <f t="shared" si="241"/>
        <v>0.95833333333333326</v>
      </c>
      <c r="AM778" s="372">
        <f t="shared" si="242"/>
        <v>0.76533564814814814</v>
      </c>
      <c r="AN778" s="799">
        <v>0.76533564814814814</v>
      </c>
      <c r="AO778" s="448"/>
      <c r="AP778" s="440">
        <v>0</v>
      </c>
      <c r="AQ778" s="440">
        <v>0</v>
      </c>
      <c r="AR778" s="440">
        <v>0</v>
      </c>
      <c r="AS778" s="440">
        <v>0</v>
      </c>
      <c r="AT778" s="440">
        <v>0</v>
      </c>
      <c r="AU778" s="440">
        <v>0</v>
      </c>
      <c r="AV778" s="440">
        <v>30</v>
      </c>
      <c r="AW778" s="440">
        <v>30</v>
      </c>
      <c r="AX778" s="440">
        <v>0</v>
      </c>
      <c r="AY778" s="440">
        <v>0</v>
      </c>
      <c r="AZ778" s="440">
        <v>0</v>
      </c>
      <c r="BA778" s="440">
        <v>0</v>
      </c>
      <c r="BB778" s="440">
        <v>0</v>
      </c>
      <c r="BC778" s="440">
        <v>0</v>
      </c>
      <c r="BD778" s="440">
        <v>0</v>
      </c>
      <c r="BE778" s="440">
        <v>0</v>
      </c>
      <c r="BF778" s="440">
        <v>0</v>
      </c>
      <c r="BG778" s="440">
        <v>0</v>
      </c>
      <c r="BH778" s="440">
        <v>0</v>
      </c>
      <c r="BI778" s="440">
        <v>0</v>
      </c>
      <c r="BJ778" s="440">
        <v>0</v>
      </c>
      <c r="BK778" s="440">
        <v>0</v>
      </c>
      <c r="BL778" s="440">
        <v>0</v>
      </c>
      <c r="BM778" s="440">
        <v>0</v>
      </c>
      <c r="BN778" s="440">
        <v>0</v>
      </c>
      <c r="BO778" s="440">
        <v>0</v>
      </c>
      <c r="BP778" s="440">
        <v>0</v>
      </c>
      <c r="BQ778" s="440">
        <v>0</v>
      </c>
      <c r="BR778" s="415">
        <v>1</v>
      </c>
      <c r="BS778" s="415">
        <v>1</v>
      </c>
      <c r="BT778" s="935"/>
      <c r="BU778" s="935"/>
      <c r="BV778" s="935"/>
      <c r="BW778" s="935"/>
      <c r="BX778" s="935"/>
      <c r="BY778" s="935"/>
      <c r="BZ778" s="935"/>
      <c r="CA778" s="935"/>
      <c r="CB778" s="935"/>
      <c r="CC778" s="935"/>
      <c r="CD778" s="935"/>
      <c r="CE778" s="935"/>
      <c r="CF778" s="935"/>
      <c r="CG778" s="935"/>
      <c r="CH778" s="935"/>
      <c r="CI778" s="935"/>
      <c r="CJ778" s="935"/>
      <c r="CK778" s="935"/>
      <c r="CL778" s="935"/>
      <c r="CM778" s="935"/>
      <c r="CN778" s="935"/>
      <c r="CO778" s="935"/>
      <c r="CP778" s="935"/>
      <c r="CQ778" s="935"/>
      <c r="CR778" s="935"/>
      <c r="CS778" s="935"/>
      <c r="CT778" s="935"/>
      <c r="CU778" s="935"/>
      <c r="CV778" s="935"/>
      <c r="CY778" s="441" t="s">
        <v>3496</v>
      </c>
    </row>
    <row r="779" spans="1:104" s="441" customFormat="1">
      <c r="A779" s="375">
        <f t="shared" si="228"/>
        <v>10</v>
      </c>
      <c r="B779" s="862">
        <v>44473</v>
      </c>
      <c r="C779" s="493" t="s">
        <v>2053</v>
      </c>
      <c r="D779" s="376" t="str">
        <f>IFERROR(VLOOKUP(E:E,'Item Data Support Sheet'!A:O,7,0),"")</f>
        <v>BOTTLE MOLDED</v>
      </c>
      <c r="E779" s="447" t="s">
        <v>67</v>
      </c>
      <c r="F779" s="500" t="s">
        <v>1682</v>
      </c>
      <c r="G779" s="497" t="s">
        <v>1888</v>
      </c>
      <c r="H779" s="602" t="str">
        <f>IFERROR(VLOOKUP(E:E,'Item Data Support Sheet'!A:O,2,0),"")</f>
        <v>RPP 120 ML BOTTLE MOLDED</v>
      </c>
      <c r="I779" s="501" t="s">
        <v>3497</v>
      </c>
      <c r="J779" s="501" t="s">
        <v>2811</v>
      </c>
      <c r="K779" s="499">
        <v>8</v>
      </c>
      <c r="L779" s="499">
        <v>2574</v>
      </c>
      <c r="M779" s="366">
        <v>321.75</v>
      </c>
      <c r="N779" s="367">
        <f t="shared" si="227"/>
        <v>3279</v>
      </c>
      <c r="O779" s="61">
        <v>3240</v>
      </c>
      <c r="P779" s="368">
        <v>0.11</v>
      </c>
      <c r="Q779" s="368">
        <v>0</v>
      </c>
      <c r="R779" s="494">
        <v>0</v>
      </c>
      <c r="S779" s="493">
        <v>0</v>
      </c>
      <c r="T779" s="494">
        <v>39</v>
      </c>
      <c r="U779" s="493">
        <v>0</v>
      </c>
      <c r="V779" s="502">
        <v>1</v>
      </c>
      <c r="W779" s="453">
        <f t="shared" si="229"/>
        <v>3240</v>
      </c>
      <c r="X779" s="748">
        <f t="shared" si="230"/>
        <v>1.2587412587412588</v>
      </c>
      <c r="Y779" s="451" t="str">
        <f>IFERROR(VLOOKUP(E:E,'Item Data Support Sheet'!A:J,6,0),0)</f>
        <v>HMC</v>
      </c>
      <c r="Z779" s="428">
        <f>IFERROR(VLOOKUP(E:E,'Item Data Support Sheet'!A:O,4,0),0)</f>
        <v>21.3</v>
      </c>
      <c r="AA779" s="428">
        <f t="shared" si="231"/>
        <v>69.952699999999993</v>
      </c>
      <c r="AB779" s="429">
        <f t="shared" si="232"/>
        <v>0.98655234179667128</v>
      </c>
      <c r="AC779" s="424">
        <f t="shared" si="233"/>
        <v>1.1893870082342177E-2</v>
      </c>
      <c r="AD779" s="371">
        <f t="shared" si="234"/>
        <v>0</v>
      </c>
      <c r="AE779" s="748">
        <f t="shared" si="235"/>
        <v>0.98810612991765778</v>
      </c>
      <c r="AF779" s="417">
        <f t="shared" si="236"/>
        <v>0</v>
      </c>
      <c r="AG779" s="416">
        <f t="shared" si="237"/>
        <v>8</v>
      </c>
      <c r="AH779" s="372">
        <f t="shared" si="238"/>
        <v>1</v>
      </c>
      <c r="AI779" s="373">
        <f t="shared" si="239"/>
        <v>405</v>
      </c>
      <c r="AJ779" s="418">
        <f>VLOOKUP(D779,'Standard Cycle time'!C:D,2,0)</f>
        <v>9</v>
      </c>
      <c r="AK779" s="418">
        <f t="shared" si="240"/>
        <v>8.8888888888888893</v>
      </c>
      <c r="AL779" s="374">
        <f t="shared" si="241"/>
        <v>1.0125</v>
      </c>
      <c r="AM779" s="372">
        <f t="shared" si="242"/>
        <v>1.0004574565416284</v>
      </c>
      <c r="AN779" s="799">
        <v>1.0004574565416284</v>
      </c>
      <c r="AO779" s="448"/>
      <c r="AP779" s="440">
        <v>0</v>
      </c>
      <c r="AQ779" s="440">
        <v>0</v>
      </c>
      <c r="AR779" s="440">
        <v>0</v>
      </c>
      <c r="AS779" s="440">
        <v>0</v>
      </c>
      <c r="AT779" s="440">
        <v>0</v>
      </c>
      <c r="AU779" s="440">
        <v>0</v>
      </c>
      <c r="AV779" s="440">
        <v>0</v>
      </c>
      <c r="AW779" s="440">
        <v>0</v>
      </c>
      <c r="AX779" s="440">
        <v>0</v>
      </c>
      <c r="AY779" s="440">
        <v>0</v>
      </c>
      <c r="AZ779" s="440">
        <v>0</v>
      </c>
      <c r="BA779" s="440">
        <v>0</v>
      </c>
      <c r="BB779" s="440">
        <v>0</v>
      </c>
      <c r="BC779" s="440">
        <v>0</v>
      </c>
      <c r="BD779" s="440">
        <v>0</v>
      </c>
      <c r="BE779" s="440">
        <v>0</v>
      </c>
      <c r="BF779" s="440">
        <v>0</v>
      </c>
      <c r="BG779" s="440">
        <v>0</v>
      </c>
      <c r="BH779" s="440">
        <v>0</v>
      </c>
      <c r="BI779" s="440">
        <v>0</v>
      </c>
      <c r="BJ779" s="440">
        <v>0</v>
      </c>
      <c r="BK779" s="440">
        <v>0</v>
      </c>
      <c r="BL779" s="440">
        <v>0</v>
      </c>
      <c r="BM779" s="440">
        <v>0</v>
      </c>
      <c r="BN779" s="440">
        <v>0</v>
      </c>
      <c r="BO779" s="440">
        <v>0</v>
      </c>
      <c r="BP779" s="440">
        <v>0</v>
      </c>
      <c r="BQ779" s="440">
        <v>0</v>
      </c>
      <c r="BR779" s="415">
        <v>0</v>
      </c>
      <c r="BS779" s="415">
        <v>0</v>
      </c>
      <c r="BT779" s="935"/>
      <c r="BU779" s="935"/>
      <c r="BV779" s="935"/>
      <c r="BW779" s="935"/>
      <c r="BX779" s="935"/>
      <c r="BY779" s="935"/>
      <c r="BZ779" s="935"/>
      <c r="CA779" s="935"/>
      <c r="CB779" s="935"/>
      <c r="CC779" s="935"/>
      <c r="CD779" s="935"/>
      <c r="CE779" s="935"/>
      <c r="CF779" s="935"/>
      <c r="CG779" s="935"/>
      <c r="CH779" s="935"/>
      <c r="CI779" s="935"/>
      <c r="CJ779" s="935"/>
      <c r="CK779" s="935"/>
      <c r="CL779" s="935"/>
      <c r="CM779" s="935"/>
      <c r="CN779" s="935"/>
      <c r="CO779" s="935"/>
      <c r="CP779" s="935"/>
      <c r="CQ779" s="935"/>
      <c r="CR779" s="935"/>
      <c r="CS779" s="935"/>
      <c r="CT779" s="935"/>
      <c r="CU779" s="935"/>
      <c r="CV779" s="935"/>
      <c r="CY779" s="441" t="s">
        <v>3498</v>
      </c>
      <c r="CZ779" s="441">
        <v>69.952699999999993</v>
      </c>
    </row>
    <row r="780" spans="1:104" s="441" customFormat="1">
      <c r="A780" s="375">
        <f t="shared" si="228"/>
        <v>10</v>
      </c>
      <c r="B780" s="862">
        <v>44473</v>
      </c>
      <c r="C780" s="493" t="s">
        <v>2053</v>
      </c>
      <c r="D780" s="376" t="str">
        <f>IFERROR(VLOOKUP(E:E,'Item Data Support Sheet'!A:O,7,0),"")</f>
        <v>NIPPLE MOLDED</v>
      </c>
      <c r="E780" s="447" t="s">
        <v>2484</v>
      </c>
      <c r="F780" s="500" t="s">
        <v>1678</v>
      </c>
      <c r="G780" s="497" t="s">
        <v>1691</v>
      </c>
      <c r="H780" s="602" t="str">
        <f>IFERROR(VLOOKUP(E:E,'Item Data Support Sheet'!A:O,2,0),"")</f>
        <v>NIPPLE S TYPE LL SIZE INJECTION</v>
      </c>
      <c r="I780" s="501" t="s">
        <v>3499</v>
      </c>
      <c r="J780" s="501" t="s">
        <v>2811</v>
      </c>
      <c r="K780" s="499">
        <v>2</v>
      </c>
      <c r="L780" s="499">
        <v>644</v>
      </c>
      <c r="M780" s="366">
        <v>322</v>
      </c>
      <c r="N780" s="367">
        <f t="shared" si="227"/>
        <v>760</v>
      </c>
      <c r="O780" s="61">
        <v>600</v>
      </c>
      <c r="P780" s="368">
        <v>0</v>
      </c>
      <c r="Q780" s="368">
        <v>105</v>
      </c>
      <c r="R780" s="494">
        <v>0</v>
      </c>
      <c r="S780" s="493">
        <v>0</v>
      </c>
      <c r="T780" s="494">
        <v>55</v>
      </c>
      <c r="U780" s="493">
        <v>0</v>
      </c>
      <c r="V780" s="502">
        <v>1</v>
      </c>
      <c r="W780" s="453">
        <f t="shared" si="229"/>
        <v>600</v>
      </c>
      <c r="X780" s="748">
        <f t="shared" si="230"/>
        <v>0.93167701863354035</v>
      </c>
      <c r="Y780" s="451" t="str">
        <f>IFERROR(VLOOKUP(E:E,'Item Data Support Sheet'!A:J,6,0),0)</f>
        <v>FO148</v>
      </c>
      <c r="Z780" s="428">
        <f>IFERROR(VLOOKUP(E:E,'Item Data Support Sheet'!A:O,4,0),0)</f>
        <v>6.8</v>
      </c>
      <c r="AA780" s="428">
        <f t="shared" si="231"/>
        <v>5.1680000000000001</v>
      </c>
      <c r="AB780" s="429">
        <f t="shared" si="232"/>
        <v>0.78947368421052633</v>
      </c>
      <c r="AC780" s="424">
        <f t="shared" si="233"/>
        <v>8.3969465648854963E-2</v>
      </c>
      <c r="AD780" s="371">
        <f t="shared" si="234"/>
        <v>0.12138728323699421</v>
      </c>
      <c r="AE780" s="748">
        <f t="shared" si="235"/>
        <v>0.92763157894736847</v>
      </c>
      <c r="AF780" s="417">
        <f t="shared" si="236"/>
        <v>1.1666666666666667</v>
      </c>
      <c r="AG780" s="416">
        <f t="shared" si="237"/>
        <v>0.83333333333333326</v>
      </c>
      <c r="AH780" s="372">
        <f t="shared" si="238"/>
        <v>0.41666666666666663</v>
      </c>
      <c r="AI780" s="373">
        <f t="shared" si="239"/>
        <v>300</v>
      </c>
      <c r="AJ780" s="418">
        <f>VLOOKUP(D780,'Standard Cycle time'!C:D,2,0)</f>
        <v>5.25</v>
      </c>
      <c r="AK780" s="418">
        <f t="shared" si="240"/>
        <v>4.9999999999999991</v>
      </c>
      <c r="AL780" s="374">
        <f t="shared" si="241"/>
        <v>1.0500000000000003</v>
      </c>
      <c r="AM780" s="372">
        <f t="shared" si="242"/>
        <v>0.40583881578947378</v>
      </c>
      <c r="AN780" s="799">
        <v>0.40583881578947378</v>
      </c>
      <c r="AO780" s="448" t="s">
        <v>3500</v>
      </c>
      <c r="AP780" s="440">
        <v>0</v>
      </c>
      <c r="AQ780" s="440">
        <v>0</v>
      </c>
      <c r="AR780" s="440">
        <v>0</v>
      </c>
      <c r="AS780" s="440">
        <v>0</v>
      </c>
      <c r="AT780" s="440">
        <v>0</v>
      </c>
      <c r="AU780" s="440">
        <v>30</v>
      </c>
      <c r="AV780" s="440">
        <v>10</v>
      </c>
      <c r="AW780" s="440">
        <v>30</v>
      </c>
      <c r="AX780" s="440">
        <v>0</v>
      </c>
      <c r="AY780" s="440">
        <v>0</v>
      </c>
      <c r="AZ780" s="440">
        <v>0</v>
      </c>
      <c r="BA780" s="440">
        <v>0</v>
      </c>
      <c r="BB780" s="440">
        <v>0</v>
      </c>
      <c r="BC780" s="440">
        <v>0</v>
      </c>
      <c r="BD780" s="440">
        <v>0</v>
      </c>
      <c r="BE780" s="440">
        <v>0</v>
      </c>
      <c r="BF780" s="440">
        <v>0</v>
      </c>
      <c r="BG780" s="440">
        <v>0</v>
      </c>
      <c r="BH780" s="440">
        <v>0</v>
      </c>
      <c r="BI780" s="440">
        <v>0</v>
      </c>
      <c r="BJ780" s="440">
        <v>0</v>
      </c>
      <c r="BK780" s="440">
        <v>0</v>
      </c>
      <c r="BL780" s="440">
        <v>0</v>
      </c>
      <c r="BM780" s="440">
        <v>0</v>
      </c>
      <c r="BN780" s="440">
        <v>0</v>
      </c>
      <c r="BO780" s="440">
        <v>0</v>
      </c>
      <c r="BP780" s="440">
        <v>0</v>
      </c>
      <c r="BQ780" s="440">
        <v>0</v>
      </c>
      <c r="BR780" s="415">
        <v>1.1666666666666667</v>
      </c>
      <c r="BS780" s="415">
        <v>1.1666666666666667</v>
      </c>
      <c r="BT780" s="935"/>
      <c r="BU780" s="935"/>
      <c r="BV780" s="935"/>
      <c r="BW780" s="935"/>
      <c r="BX780" s="935"/>
      <c r="BY780" s="935"/>
      <c r="BZ780" s="935"/>
      <c r="CA780" s="935"/>
      <c r="CB780" s="935"/>
      <c r="CC780" s="935"/>
      <c r="CD780" s="935"/>
      <c r="CE780" s="935"/>
      <c r="CF780" s="935"/>
      <c r="CG780" s="935"/>
      <c r="CH780" s="935"/>
      <c r="CI780" s="935"/>
      <c r="CJ780" s="935"/>
      <c r="CK780" s="935"/>
      <c r="CL780" s="935"/>
      <c r="CM780" s="935"/>
      <c r="CN780" s="935"/>
      <c r="CO780" s="935"/>
      <c r="CP780" s="935"/>
      <c r="CQ780" s="935"/>
      <c r="CR780" s="935"/>
      <c r="CS780" s="935"/>
      <c r="CT780" s="935"/>
      <c r="CU780" s="935"/>
      <c r="CV780" s="935"/>
      <c r="CY780" s="441" t="s">
        <v>3501</v>
      </c>
    </row>
    <row r="781" spans="1:104" s="441" customFormat="1">
      <c r="A781" s="375">
        <f t="shared" si="228"/>
        <v>10</v>
      </c>
      <c r="B781" s="862">
        <v>44474</v>
      </c>
      <c r="C781" s="493" t="s">
        <v>1980</v>
      </c>
      <c r="D781" s="376" t="str">
        <f>IFERROR(VLOOKUP(E:E,'Item Data Support Sheet'!A:O,7,0),"")</f>
        <v>BOTTLE MOLDED</v>
      </c>
      <c r="E781" s="447" t="s">
        <v>67</v>
      </c>
      <c r="F781" s="500" t="s">
        <v>1682</v>
      </c>
      <c r="G781" s="497" t="s">
        <v>1888</v>
      </c>
      <c r="H781" s="602" t="str">
        <f>IFERROR(VLOOKUP(E:E,'Item Data Support Sheet'!A:O,2,0),"")</f>
        <v>RPP 120 ML BOTTLE MOLDED</v>
      </c>
      <c r="I781" s="501" t="s">
        <v>3502</v>
      </c>
      <c r="J781" s="501" t="s">
        <v>2808</v>
      </c>
      <c r="K781" s="499">
        <v>8</v>
      </c>
      <c r="L781" s="499">
        <v>2574</v>
      </c>
      <c r="M781" s="366">
        <v>321.75</v>
      </c>
      <c r="N781" s="367">
        <f t="shared" si="227"/>
        <v>3300</v>
      </c>
      <c r="O781" s="61">
        <v>3240</v>
      </c>
      <c r="P781" s="368">
        <v>0</v>
      </c>
      <c r="Q781" s="368">
        <v>20</v>
      </c>
      <c r="R781" s="494">
        <v>0</v>
      </c>
      <c r="S781" s="493">
        <v>0</v>
      </c>
      <c r="T781" s="494">
        <v>32</v>
      </c>
      <c r="U781" s="493">
        <v>8</v>
      </c>
      <c r="V781" s="502">
        <v>1</v>
      </c>
      <c r="W781" s="453">
        <f t="shared" si="229"/>
        <v>3240</v>
      </c>
      <c r="X781" s="748">
        <f t="shared" si="230"/>
        <v>1.2587412587412588</v>
      </c>
      <c r="Y781" s="451" t="str">
        <f>IFERROR(VLOOKUP(E:E,'Item Data Support Sheet'!A:J,6,0),0)</f>
        <v>HMC</v>
      </c>
      <c r="Z781" s="428">
        <f>IFERROR(VLOOKUP(E:E,'Item Data Support Sheet'!A:O,4,0),0)</f>
        <v>21.3</v>
      </c>
      <c r="AA781" s="428">
        <f t="shared" si="231"/>
        <v>70.289999999999992</v>
      </c>
      <c r="AB781" s="429">
        <f t="shared" si="232"/>
        <v>0.98181818181818192</v>
      </c>
      <c r="AC781" s="424">
        <f t="shared" si="233"/>
        <v>9.7799511002444987E-3</v>
      </c>
      <c r="AD781" s="371">
        <f t="shared" si="234"/>
        <v>6.024096385542169E-3</v>
      </c>
      <c r="AE781" s="748">
        <f t="shared" si="235"/>
        <v>0.99030303030303035</v>
      </c>
      <c r="AF781" s="417">
        <f t="shared" si="236"/>
        <v>0</v>
      </c>
      <c r="AG781" s="416">
        <f t="shared" si="237"/>
        <v>8</v>
      </c>
      <c r="AH781" s="372">
        <f t="shared" si="238"/>
        <v>1</v>
      </c>
      <c r="AI781" s="373">
        <f t="shared" si="239"/>
        <v>405</v>
      </c>
      <c r="AJ781" s="418">
        <f>VLOOKUP(D781,'Standard Cycle time'!C:D,2,0)</f>
        <v>9</v>
      </c>
      <c r="AK781" s="418">
        <f t="shared" si="240"/>
        <v>8.8888888888888893</v>
      </c>
      <c r="AL781" s="374">
        <f t="shared" si="241"/>
        <v>1.0125</v>
      </c>
      <c r="AM781" s="372">
        <f t="shared" si="242"/>
        <v>1.0026818181818182</v>
      </c>
      <c r="AN781" s="799">
        <v>1.0026818181818182</v>
      </c>
      <c r="AO781" s="448"/>
      <c r="AP781" s="440">
        <v>0</v>
      </c>
      <c r="AQ781" s="440">
        <v>0</v>
      </c>
      <c r="AR781" s="440">
        <v>0</v>
      </c>
      <c r="AS781" s="440">
        <v>0</v>
      </c>
      <c r="AT781" s="440">
        <v>0</v>
      </c>
      <c r="AU781" s="440">
        <v>0</v>
      </c>
      <c r="AV781" s="440">
        <v>0</v>
      </c>
      <c r="AW781" s="440">
        <v>0</v>
      </c>
      <c r="AX781" s="440">
        <v>0</v>
      </c>
      <c r="AY781" s="440">
        <v>0</v>
      </c>
      <c r="AZ781" s="440">
        <v>0</v>
      </c>
      <c r="BA781" s="440">
        <v>0</v>
      </c>
      <c r="BB781" s="440">
        <v>0</v>
      </c>
      <c r="BC781" s="440">
        <v>0</v>
      </c>
      <c r="BD781" s="440">
        <v>0</v>
      </c>
      <c r="BE781" s="440">
        <v>0</v>
      </c>
      <c r="BF781" s="440">
        <v>0</v>
      </c>
      <c r="BG781" s="440">
        <v>0</v>
      </c>
      <c r="BH781" s="440">
        <v>0</v>
      </c>
      <c r="BI781" s="440">
        <v>0</v>
      </c>
      <c r="BJ781" s="440">
        <v>0</v>
      </c>
      <c r="BK781" s="440">
        <v>0</v>
      </c>
      <c r="BL781" s="440">
        <v>0</v>
      </c>
      <c r="BM781" s="440">
        <v>0</v>
      </c>
      <c r="BN781" s="440">
        <v>0</v>
      </c>
      <c r="BO781" s="440">
        <v>0</v>
      </c>
      <c r="BP781" s="440">
        <v>0</v>
      </c>
      <c r="BQ781" s="440">
        <v>0</v>
      </c>
      <c r="BR781" s="415">
        <v>0</v>
      </c>
      <c r="BS781" s="415">
        <v>0</v>
      </c>
      <c r="BT781" s="935"/>
      <c r="BU781" s="935"/>
      <c r="BV781" s="935"/>
      <c r="BW781" s="935"/>
      <c r="BX781" s="935"/>
      <c r="BY781" s="935"/>
      <c r="BZ781" s="935"/>
      <c r="CA781" s="935"/>
      <c r="CB781" s="935"/>
      <c r="CC781" s="935"/>
      <c r="CD781" s="935"/>
      <c r="CE781" s="935"/>
      <c r="CF781" s="935"/>
      <c r="CG781" s="935"/>
      <c r="CH781" s="935"/>
      <c r="CI781" s="935"/>
      <c r="CJ781" s="935"/>
      <c r="CK781" s="935"/>
      <c r="CL781" s="935"/>
      <c r="CM781" s="935"/>
      <c r="CN781" s="935"/>
      <c r="CO781" s="935"/>
      <c r="CP781" s="935"/>
      <c r="CQ781" s="935"/>
      <c r="CR781" s="935"/>
      <c r="CS781" s="935"/>
      <c r="CT781" s="935"/>
      <c r="CU781" s="935"/>
      <c r="CV781" s="935"/>
      <c r="CY781" s="441" t="s">
        <v>3477</v>
      </c>
      <c r="CZ781" s="441">
        <v>70.289999999999992</v>
      </c>
    </row>
    <row r="782" spans="1:104" s="441" customFormat="1">
      <c r="A782" s="375">
        <f t="shared" si="228"/>
        <v>10</v>
      </c>
      <c r="B782" s="862">
        <v>44474</v>
      </c>
      <c r="C782" s="493" t="s">
        <v>1980</v>
      </c>
      <c r="D782" s="376" t="str">
        <f>IFERROR(VLOOKUP(E:E,'Item Data Support Sheet'!A:O,7,0),"")</f>
        <v>CAP MOLDED</v>
      </c>
      <c r="E782" s="447" t="s">
        <v>2106</v>
      </c>
      <c r="F782" s="500"/>
      <c r="G782" s="497" t="s">
        <v>3468</v>
      </c>
      <c r="H782" s="602" t="str">
        <f>IFERROR(VLOOKUP(E:E,'Item Data Support Sheet'!A:O,2,0),"")</f>
        <v>CAP S TYPE MOLDED RED</v>
      </c>
      <c r="I782" s="501" t="s">
        <v>3503</v>
      </c>
      <c r="J782" s="501" t="s">
        <v>2808</v>
      </c>
      <c r="K782" s="499">
        <v>2.5</v>
      </c>
      <c r="L782" s="499">
        <v>1292</v>
      </c>
      <c r="M782" s="366">
        <v>516.79999999999995</v>
      </c>
      <c r="N782" s="367">
        <f t="shared" si="227"/>
        <v>1130</v>
      </c>
      <c r="O782" s="61">
        <v>1130</v>
      </c>
      <c r="P782" s="368">
        <v>0</v>
      </c>
      <c r="Q782" s="368">
        <v>0</v>
      </c>
      <c r="R782" s="494">
        <v>0</v>
      </c>
      <c r="S782" s="493">
        <v>0</v>
      </c>
      <c r="T782" s="494">
        <v>0</v>
      </c>
      <c r="U782" s="493">
        <v>0</v>
      </c>
      <c r="V782" s="502">
        <v>1</v>
      </c>
      <c r="W782" s="453">
        <f t="shared" si="229"/>
        <v>1130</v>
      </c>
      <c r="X782" s="748">
        <f t="shared" si="230"/>
        <v>0.87461300309597523</v>
      </c>
      <c r="Y782" s="451" t="str">
        <f>IFERROR(VLOOKUP(E:E,'Item Data Support Sheet'!A:J,6,0),0)</f>
        <v>FO153</v>
      </c>
      <c r="Z782" s="428">
        <f>IFERROR(VLOOKUP(E:E,'Item Data Support Sheet'!A:O,4,0),0)</f>
        <v>7.3</v>
      </c>
      <c r="AA782" s="428">
        <f t="shared" si="231"/>
        <v>8.2490000000000006</v>
      </c>
      <c r="AB782" s="429">
        <f t="shared" si="232"/>
        <v>1</v>
      </c>
      <c r="AC782" s="424">
        <f t="shared" si="233"/>
        <v>0</v>
      </c>
      <c r="AD782" s="371">
        <f t="shared" si="234"/>
        <v>0</v>
      </c>
      <c r="AE782" s="748">
        <f t="shared" si="235"/>
        <v>1</v>
      </c>
      <c r="AF782" s="417">
        <f t="shared" si="236"/>
        <v>0.83333333333333337</v>
      </c>
      <c r="AG782" s="416">
        <f t="shared" si="237"/>
        <v>1.6666666666666665</v>
      </c>
      <c r="AH782" s="372">
        <f t="shared" si="238"/>
        <v>0.66666666666666663</v>
      </c>
      <c r="AI782" s="373">
        <f t="shared" si="239"/>
        <v>452</v>
      </c>
      <c r="AJ782" s="418">
        <f>VLOOKUP(D782,'Standard Cycle time'!C:D,2,0)</f>
        <v>6</v>
      </c>
      <c r="AK782" s="418">
        <f t="shared" si="240"/>
        <v>5.3097345132743357</v>
      </c>
      <c r="AL782" s="374">
        <f t="shared" si="241"/>
        <v>1.1300000000000001</v>
      </c>
      <c r="AM782" s="372">
        <f t="shared" si="242"/>
        <v>0.75333333333333341</v>
      </c>
      <c r="AN782" s="799">
        <v>0.75333333333333341</v>
      </c>
      <c r="AO782" s="448" t="s">
        <v>3504</v>
      </c>
      <c r="AP782" s="440">
        <v>0</v>
      </c>
      <c r="AQ782" s="440">
        <v>0</v>
      </c>
      <c r="AR782" s="440">
        <v>0</v>
      </c>
      <c r="AS782" s="440">
        <v>0</v>
      </c>
      <c r="AT782" s="440">
        <v>0</v>
      </c>
      <c r="AU782" s="440">
        <v>0</v>
      </c>
      <c r="AV782" s="440">
        <v>0</v>
      </c>
      <c r="AW782" s="440">
        <v>0</v>
      </c>
      <c r="AX782" s="440">
        <v>0</v>
      </c>
      <c r="AY782" s="440">
        <v>0</v>
      </c>
      <c r="AZ782" s="440">
        <v>30</v>
      </c>
      <c r="BA782" s="440">
        <v>0</v>
      </c>
      <c r="BB782" s="440">
        <v>0</v>
      </c>
      <c r="BC782" s="440">
        <v>0</v>
      </c>
      <c r="BD782" s="440">
        <v>0</v>
      </c>
      <c r="BE782" s="440">
        <v>0</v>
      </c>
      <c r="BF782" s="440">
        <v>0</v>
      </c>
      <c r="BG782" s="440">
        <v>0</v>
      </c>
      <c r="BH782" s="440">
        <v>0</v>
      </c>
      <c r="BI782" s="440">
        <v>0</v>
      </c>
      <c r="BJ782" s="440">
        <v>0</v>
      </c>
      <c r="BK782" s="440">
        <v>0</v>
      </c>
      <c r="BL782" s="440">
        <v>0</v>
      </c>
      <c r="BM782" s="440">
        <v>20</v>
      </c>
      <c r="BN782" s="440">
        <v>0</v>
      </c>
      <c r="BO782" s="440">
        <v>0</v>
      </c>
      <c r="BP782" s="440">
        <v>0</v>
      </c>
      <c r="BQ782" s="440">
        <v>0</v>
      </c>
      <c r="BR782" s="415">
        <v>0.83333333333333337</v>
      </c>
      <c r="BS782" s="415">
        <v>0.83333333333333337</v>
      </c>
      <c r="BT782" s="935"/>
      <c r="BU782" s="935"/>
      <c r="BV782" s="935"/>
      <c r="BW782" s="935"/>
      <c r="BX782" s="935"/>
      <c r="BY782" s="935"/>
      <c r="BZ782" s="935"/>
      <c r="CA782" s="935"/>
      <c r="CB782" s="935"/>
      <c r="CC782" s="935"/>
      <c r="CD782" s="935"/>
      <c r="CE782" s="935"/>
      <c r="CF782" s="935"/>
      <c r="CG782" s="935"/>
      <c r="CH782" s="935"/>
      <c r="CI782" s="935"/>
      <c r="CJ782" s="935"/>
      <c r="CK782" s="935"/>
      <c r="CL782" s="935"/>
      <c r="CM782" s="935"/>
      <c r="CN782" s="935"/>
      <c r="CO782" s="935"/>
      <c r="CP782" s="935"/>
      <c r="CQ782" s="935"/>
      <c r="CR782" s="935"/>
      <c r="CS782" s="935"/>
      <c r="CT782" s="935"/>
      <c r="CU782" s="935"/>
      <c r="CV782" s="935"/>
      <c r="CY782" s="441" t="s">
        <v>3505</v>
      </c>
    </row>
    <row r="783" spans="1:104" s="441" customFormat="1">
      <c r="A783" s="375">
        <f t="shared" si="228"/>
        <v>10</v>
      </c>
      <c r="B783" s="862">
        <v>44474</v>
      </c>
      <c r="C783" s="493" t="s">
        <v>1980</v>
      </c>
      <c r="D783" s="376" t="str">
        <f>IFERROR(VLOOKUP(E:E,'Item Data Support Sheet'!A:O,7,0),"")</f>
        <v>CAP MOLDED</v>
      </c>
      <c r="E783" s="447" t="s">
        <v>2106</v>
      </c>
      <c r="F783" s="500"/>
      <c r="G783" s="497" t="s">
        <v>3212</v>
      </c>
      <c r="H783" s="602" t="str">
        <f>IFERROR(VLOOKUP(E:E,'Item Data Support Sheet'!A:O,2,0),"")</f>
        <v>CAP S TYPE MOLDED RED</v>
      </c>
      <c r="I783" s="501" t="s">
        <v>3506</v>
      </c>
      <c r="J783" s="501" t="s">
        <v>2808</v>
      </c>
      <c r="K783" s="499">
        <v>5.5</v>
      </c>
      <c r="L783" s="499">
        <v>2845</v>
      </c>
      <c r="M783" s="366">
        <v>517.27272727272725</v>
      </c>
      <c r="N783" s="367">
        <f t="shared" si="227"/>
        <v>3208</v>
      </c>
      <c r="O783" s="61">
        <v>3200</v>
      </c>
      <c r="P783" s="368">
        <v>0</v>
      </c>
      <c r="Q783" s="368">
        <v>0</v>
      </c>
      <c r="R783" s="494">
        <v>0</v>
      </c>
      <c r="S783" s="493">
        <v>0</v>
      </c>
      <c r="T783" s="494">
        <v>0</v>
      </c>
      <c r="U783" s="493">
        <v>8</v>
      </c>
      <c r="V783" s="502">
        <v>1</v>
      </c>
      <c r="W783" s="453">
        <f t="shared" si="229"/>
        <v>3200</v>
      </c>
      <c r="X783" s="748">
        <f t="shared" si="230"/>
        <v>1.1247803163444641</v>
      </c>
      <c r="Y783" s="451" t="str">
        <f>IFERROR(VLOOKUP(E:E,'Item Data Support Sheet'!A:J,6,0),0)</f>
        <v>FO153</v>
      </c>
      <c r="Z783" s="428">
        <f>IFERROR(VLOOKUP(E:E,'Item Data Support Sheet'!A:O,4,0),0)</f>
        <v>7.3</v>
      </c>
      <c r="AA783" s="428">
        <f t="shared" si="231"/>
        <v>23.418400000000002</v>
      </c>
      <c r="AB783" s="429">
        <f t="shared" si="232"/>
        <v>0.99750623441396502</v>
      </c>
      <c r="AC783" s="424">
        <f t="shared" si="233"/>
        <v>0</v>
      </c>
      <c r="AD783" s="371">
        <f t="shared" si="234"/>
        <v>0</v>
      </c>
      <c r="AE783" s="748">
        <f t="shared" si="235"/>
        <v>1</v>
      </c>
      <c r="AF783" s="417">
        <f t="shared" si="236"/>
        <v>0</v>
      </c>
      <c r="AG783" s="416">
        <f t="shared" si="237"/>
        <v>5.5</v>
      </c>
      <c r="AH783" s="372">
        <f t="shared" si="238"/>
        <v>1</v>
      </c>
      <c r="AI783" s="373">
        <f t="shared" si="239"/>
        <v>581.81818181818187</v>
      </c>
      <c r="AJ783" s="418">
        <f>VLOOKUP(D783,'Standard Cycle time'!C:D,2,0)</f>
        <v>6</v>
      </c>
      <c r="AK783" s="418">
        <f t="shared" si="240"/>
        <v>6.1875</v>
      </c>
      <c r="AL783" s="374">
        <f t="shared" si="241"/>
        <v>0.96969696969696972</v>
      </c>
      <c r="AM783" s="372">
        <f t="shared" si="242"/>
        <v>0.96969696969696972</v>
      </c>
      <c r="AN783" s="799">
        <v>0.96969696969696972</v>
      </c>
      <c r="AO783" s="448"/>
      <c r="AP783" s="440">
        <v>0</v>
      </c>
      <c r="AQ783" s="440">
        <v>0</v>
      </c>
      <c r="AR783" s="440">
        <v>0</v>
      </c>
      <c r="AS783" s="440">
        <v>0</v>
      </c>
      <c r="AT783" s="440">
        <v>0</v>
      </c>
      <c r="AU783" s="440">
        <v>0</v>
      </c>
      <c r="AV783" s="440">
        <v>0</v>
      </c>
      <c r="AW783" s="440">
        <v>0</v>
      </c>
      <c r="AX783" s="440">
        <v>0</v>
      </c>
      <c r="AY783" s="440">
        <v>0</v>
      </c>
      <c r="AZ783" s="440">
        <v>0</v>
      </c>
      <c r="BA783" s="440">
        <v>0</v>
      </c>
      <c r="BB783" s="440">
        <v>0</v>
      </c>
      <c r="BC783" s="440">
        <v>0</v>
      </c>
      <c r="BD783" s="440">
        <v>0</v>
      </c>
      <c r="BE783" s="440">
        <v>0</v>
      </c>
      <c r="BF783" s="440">
        <v>0</v>
      </c>
      <c r="BG783" s="440">
        <v>0</v>
      </c>
      <c r="BH783" s="440">
        <v>0</v>
      </c>
      <c r="BI783" s="440">
        <v>0</v>
      </c>
      <c r="BJ783" s="440">
        <v>0</v>
      </c>
      <c r="BK783" s="440">
        <v>0</v>
      </c>
      <c r="BL783" s="440">
        <v>0</v>
      </c>
      <c r="BM783" s="440">
        <v>0</v>
      </c>
      <c r="BN783" s="440">
        <v>0</v>
      </c>
      <c r="BO783" s="440">
        <v>0</v>
      </c>
      <c r="BP783" s="440">
        <v>0</v>
      </c>
      <c r="BQ783" s="440">
        <v>0</v>
      </c>
      <c r="BR783" s="415">
        <v>0</v>
      </c>
      <c r="BS783" s="415">
        <v>0</v>
      </c>
      <c r="BT783" s="935"/>
      <c r="BU783" s="935"/>
      <c r="BV783" s="935"/>
      <c r="BW783" s="935"/>
      <c r="BX783" s="935"/>
      <c r="BY783" s="935"/>
      <c r="BZ783" s="935"/>
      <c r="CA783" s="935"/>
      <c r="CB783" s="935"/>
      <c r="CC783" s="935"/>
      <c r="CD783" s="935"/>
      <c r="CE783" s="935"/>
      <c r="CF783" s="935"/>
      <c r="CG783" s="935"/>
      <c r="CH783" s="935"/>
      <c r="CI783" s="935"/>
      <c r="CJ783" s="935"/>
      <c r="CK783" s="935"/>
      <c r="CL783" s="935"/>
      <c r="CM783" s="935"/>
      <c r="CN783" s="935"/>
      <c r="CO783" s="935"/>
      <c r="CP783" s="935"/>
      <c r="CQ783" s="935"/>
      <c r="CR783" s="935"/>
      <c r="CS783" s="935"/>
      <c r="CT783" s="935"/>
      <c r="CU783" s="935"/>
      <c r="CV783" s="935"/>
      <c r="CY783" s="441" t="s">
        <v>3507</v>
      </c>
    </row>
    <row r="784" spans="1:104" s="441" customFormat="1">
      <c r="A784" s="375">
        <f t="shared" si="228"/>
        <v>10</v>
      </c>
      <c r="B784" s="862">
        <v>44474</v>
      </c>
      <c r="C784" s="493" t="s">
        <v>1980</v>
      </c>
      <c r="D784" s="376" t="str">
        <f>IFERROR(VLOOKUP(E:E,'Item Data Support Sheet'!A:O,7,0),"")</f>
        <v>NIPPLE PUNCH</v>
      </c>
      <c r="E784" s="447" t="s">
        <v>2486</v>
      </c>
      <c r="F784" s="500"/>
      <c r="G784" s="497"/>
      <c r="H784" s="602" t="str">
        <f>IFERROR(VLOOKUP(E:E,'Item Data Support Sheet'!A:O,2,0),"")</f>
        <v>NIPPLE S TYPE LL SIZE PUNCHED</v>
      </c>
      <c r="I784" s="501" t="s">
        <v>3508</v>
      </c>
      <c r="J784" s="501" t="s">
        <v>2808</v>
      </c>
      <c r="K784" s="499">
        <v>8</v>
      </c>
      <c r="L784" s="499">
        <v>7000</v>
      </c>
      <c r="M784" s="366">
        <v>875</v>
      </c>
      <c r="N784" s="367">
        <f t="shared" si="227"/>
        <v>4400</v>
      </c>
      <c r="O784" s="61">
        <v>4400</v>
      </c>
      <c r="P784" s="368">
        <v>0</v>
      </c>
      <c r="Q784" s="368">
        <v>0</v>
      </c>
      <c r="R784" s="494">
        <v>0</v>
      </c>
      <c r="S784" s="493">
        <v>0</v>
      </c>
      <c r="T784" s="494">
        <v>0</v>
      </c>
      <c r="U784" s="493">
        <v>0</v>
      </c>
      <c r="V784" s="502">
        <v>1</v>
      </c>
      <c r="W784" s="453">
        <f t="shared" si="229"/>
        <v>4400</v>
      </c>
      <c r="X784" s="748">
        <f t="shared" si="230"/>
        <v>0.62857142857142856</v>
      </c>
      <c r="Y784" s="451" t="str">
        <f>IFERROR(VLOOKUP(E:E,'Item Data Support Sheet'!A:J,6,0),0)</f>
        <v>FO150</v>
      </c>
      <c r="Z784" s="428">
        <f>IFERROR(VLOOKUP(E:E,'Item Data Support Sheet'!A:O,4,0),0)</f>
        <v>0</v>
      </c>
      <c r="AA784" s="428">
        <f t="shared" si="231"/>
        <v>0</v>
      </c>
      <c r="AB784" s="429" t="str">
        <f t="shared" si="232"/>
        <v xml:space="preserve"> </v>
      </c>
      <c r="AC784" s="424">
        <f t="shared" si="233"/>
        <v>0</v>
      </c>
      <c r="AD784" s="371">
        <f t="shared" si="234"/>
        <v>0</v>
      </c>
      <c r="AE784" s="748">
        <f t="shared" si="235"/>
        <v>1</v>
      </c>
      <c r="AF784" s="417">
        <f t="shared" si="236"/>
        <v>2.6666666666666665</v>
      </c>
      <c r="AG784" s="416">
        <f t="shared" si="237"/>
        <v>5.3333333333333339</v>
      </c>
      <c r="AH784" s="372">
        <f t="shared" si="238"/>
        <v>0.66666666666666674</v>
      </c>
      <c r="AI784" s="373">
        <f t="shared" si="239"/>
        <v>550</v>
      </c>
      <c r="AJ784" s="418">
        <f>VLOOKUP(D784,'Standard Cycle time'!C:D,2,0)</f>
        <v>3.5</v>
      </c>
      <c r="AK784" s="418">
        <f t="shared" si="240"/>
        <v>4.3636363636363642</v>
      </c>
      <c r="AL784" s="374">
        <f t="shared" si="241"/>
        <v>0.80208333333333326</v>
      </c>
      <c r="AM784" s="372">
        <f t="shared" si="242"/>
        <v>0.53472222222222221</v>
      </c>
      <c r="AN784" s="799">
        <v>0.53472222222222221</v>
      </c>
      <c r="AO784" s="448" t="s">
        <v>2835</v>
      </c>
      <c r="AP784" s="440">
        <v>40</v>
      </c>
      <c r="AQ784" s="440">
        <v>0</v>
      </c>
      <c r="AR784" s="440">
        <v>0</v>
      </c>
      <c r="AS784" s="440">
        <v>120</v>
      </c>
      <c r="AT784" s="440">
        <v>0</v>
      </c>
      <c r="AU784" s="440">
        <v>0</v>
      </c>
      <c r="AV784" s="440">
        <v>0</v>
      </c>
      <c r="AW784" s="440">
        <v>0</v>
      </c>
      <c r="AX784" s="440">
        <v>0</v>
      </c>
      <c r="AY784" s="440">
        <v>0</v>
      </c>
      <c r="AZ784" s="440">
        <v>0</v>
      </c>
      <c r="BA784" s="440">
        <v>0</v>
      </c>
      <c r="BB784" s="440">
        <v>0</v>
      </c>
      <c r="BC784" s="440">
        <v>0</v>
      </c>
      <c r="BD784" s="440">
        <v>0</v>
      </c>
      <c r="BE784" s="440">
        <v>0</v>
      </c>
      <c r="BF784" s="440">
        <v>0</v>
      </c>
      <c r="BG784" s="440">
        <v>0</v>
      </c>
      <c r="BH784" s="440">
        <v>0</v>
      </c>
      <c r="BI784" s="440">
        <v>0</v>
      </c>
      <c r="BJ784" s="440">
        <v>0</v>
      </c>
      <c r="BK784" s="440">
        <v>0</v>
      </c>
      <c r="BL784" s="440">
        <v>0</v>
      </c>
      <c r="BM784" s="440">
        <v>0</v>
      </c>
      <c r="BN784" s="440">
        <v>0</v>
      </c>
      <c r="BO784" s="440">
        <v>0</v>
      </c>
      <c r="BP784" s="440">
        <v>0</v>
      </c>
      <c r="BQ784" s="440">
        <v>0</v>
      </c>
      <c r="BR784" s="415">
        <v>2.6666666666666665</v>
      </c>
      <c r="BS784" s="415">
        <v>2.6666666666666665</v>
      </c>
      <c r="BT784" s="935"/>
      <c r="BU784" s="935"/>
      <c r="BV784" s="935"/>
      <c r="BW784" s="935"/>
      <c r="BX784" s="935"/>
      <c r="BY784" s="935"/>
      <c r="BZ784" s="935"/>
      <c r="CA784" s="935"/>
      <c r="CB784" s="935"/>
      <c r="CC784" s="935"/>
      <c r="CD784" s="935"/>
      <c r="CE784" s="935"/>
      <c r="CF784" s="935"/>
      <c r="CG784" s="935"/>
      <c r="CH784" s="935"/>
      <c r="CI784" s="935"/>
      <c r="CJ784" s="935"/>
      <c r="CK784" s="935"/>
      <c r="CL784" s="935"/>
      <c r="CM784" s="935"/>
      <c r="CN784" s="935"/>
      <c r="CO784" s="935"/>
      <c r="CP784" s="935"/>
      <c r="CQ784" s="935"/>
      <c r="CR784" s="935"/>
      <c r="CS784" s="935"/>
      <c r="CT784" s="935"/>
      <c r="CU784" s="935"/>
      <c r="CV784" s="935"/>
      <c r="CY784" s="441" t="s">
        <v>3509</v>
      </c>
    </row>
    <row r="785" spans="1:104" s="441" customFormat="1">
      <c r="A785" s="375">
        <f t="shared" si="228"/>
        <v>10</v>
      </c>
      <c r="B785" s="862">
        <v>44474</v>
      </c>
      <c r="C785" s="493" t="s">
        <v>1980</v>
      </c>
      <c r="D785" s="376" t="str">
        <f>IFERROR(VLOOKUP(E:E,'Item Data Support Sheet'!A:O,7,0),"")</f>
        <v>NIPPLE LASER MARKING</v>
      </c>
      <c r="E785" s="447" t="s">
        <v>2487</v>
      </c>
      <c r="F785" s="500"/>
      <c r="G785" s="497" t="s">
        <v>1812</v>
      </c>
      <c r="H785" s="602" t="str">
        <f>IFERROR(VLOOKUP(E:E,'Item Data Support Sheet'!A:O,2,0),"")</f>
        <v>NIPPLE S TYPE LL SIZE LASER MARKED</v>
      </c>
      <c r="I785" s="501" t="s">
        <v>3510</v>
      </c>
      <c r="J785" s="501" t="s">
        <v>2808</v>
      </c>
      <c r="K785" s="499">
        <v>8</v>
      </c>
      <c r="L785" s="499">
        <v>7000</v>
      </c>
      <c r="M785" s="366">
        <v>875</v>
      </c>
      <c r="N785" s="367">
        <f t="shared" si="227"/>
        <v>3800</v>
      </c>
      <c r="O785" s="61">
        <v>3800</v>
      </c>
      <c r="P785" s="368">
        <v>0</v>
      </c>
      <c r="Q785" s="368">
        <v>0</v>
      </c>
      <c r="R785" s="494">
        <v>0</v>
      </c>
      <c r="S785" s="493">
        <v>0</v>
      </c>
      <c r="T785" s="494">
        <v>0</v>
      </c>
      <c r="U785" s="493">
        <v>0</v>
      </c>
      <c r="V785" s="502">
        <v>1</v>
      </c>
      <c r="W785" s="453">
        <f t="shared" si="229"/>
        <v>3800</v>
      </c>
      <c r="X785" s="748">
        <f t="shared" si="230"/>
        <v>0.54285714285714282</v>
      </c>
      <c r="Y785" s="451" t="str">
        <f>IFERROR(VLOOKUP(E:E,'Item Data Support Sheet'!A:J,6,0),0)</f>
        <v>FO151</v>
      </c>
      <c r="Z785" s="428">
        <f>IFERROR(VLOOKUP(E:E,'Item Data Support Sheet'!A:O,4,0),0)</f>
        <v>0</v>
      </c>
      <c r="AA785" s="428">
        <f t="shared" si="231"/>
        <v>0</v>
      </c>
      <c r="AB785" s="429" t="str">
        <f t="shared" si="232"/>
        <v xml:space="preserve"> </v>
      </c>
      <c r="AC785" s="424">
        <f t="shared" si="233"/>
        <v>0</v>
      </c>
      <c r="AD785" s="371">
        <f t="shared" si="234"/>
        <v>0</v>
      </c>
      <c r="AE785" s="748">
        <f t="shared" si="235"/>
        <v>1</v>
      </c>
      <c r="AF785" s="417">
        <f t="shared" si="236"/>
        <v>3.6666666666666665</v>
      </c>
      <c r="AG785" s="416">
        <f t="shared" si="237"/>
        <v>4.3333333333333339</v>
      </c>
      <c r="AH785" s="372">
        <f t="shared" si="238"/>
        <v>0.54166666666666674</v>
      </c>
      <c r="AI785" s="373">
        <f t="shared" si="239"/>
        <v>475</v>
      </c>
      <c r="AJ785" s="418">
        <f>VLOOKUP(D785,'Standard Cycle time'!C:D,2,0)</f>
        <v>3.5</v>
      </c>
      <c r="AK785" s="418">
        <f t="shared" si="240"/>
        <v>4.1052631578947372</v>
      </c>
      <c r="AL785" s="374">
        <f t="shared" si="241"/>
        <v>0.85256410256410253</v>
      </c>
      <c r="AM785" s="372">
        <f t="shared" si="242"/>
        <v>0.46180555555555558</v>
      </c>
      <c r="AN785" s="799">
        <v>0.46180555555555558</v>
      </c>
      <c r="AO785" s="448" t="s">
        <v>2835</v>
      </c>
      <c r="AP785" s="440">
        <v>40</v>
      </c>
      <c r="AQ785" s="440">
        <v>0</v>
      </c>
      <c r="AR785" s="440">
        <v>0</v>
      </c>
      <c r="AS785" s="440">
        <v>150</v>
      </c>
      <c r="AT785" s="440">
        <v>0</v>
      </c>
      <c r="AU785" s="440">
        <v>0</v>
      </c>
      <c r="AV785" s="440">
        <v>30</v>
      </c>
      <c r="AW785" s="440">
        <v>0</v>
      </c>
      <c r="AX785" s="440">
        <v>0</v>
      </c>
      <c r="AY785" s="440">
        <v>0</v>
      </c>
      <c r="AZ785" s="440">
        <v>0</v>
      </c>
      <c r="BA785" s="440">
        <v>0</v>
      </c>
      <c r="BB785" s="440">
        <v>0</v>
      </c>
      <c r="BC785" s="440">
        <v>0</v>
      </c>
      <c r="BD785" s="440">
        <v>0</v>
      </c>
      <c r="BE785" s="440">
        <v>0</v>
      </c>
      <c r="BF785" s="440">
        <v>0</v>
      </c>
      <c r="BG785" s="440">
        <v>0</v>
      </c>
      <c r="BH785" s="440">
        <v>0</v>
      </c>
      <c r="BI785" s="440">
        <v>0</v>
      </c>
      <c r="BJ785" s="440">
        <v>0</v>
      </c>
      <c r="BK785" s="440">
        <v>0</v>
      </c>
      <c r="BL785" s="440">
        <v>0</v>
      </c>
      <c r="BM785" s="440">
        <v>0</v>
      </c>
      <c r="BN785" s="440">
        <v>0</v>
      </c>
      <c r="BO785" s="440">
        <v>0</v>
      </c>
      <c r="BP785" s="440">
        <v>0</v>
      </c>
      <c r="BQ785" s="440">
        <v>0</v>
      </c>
      <c r="BR785" s="415">
        <v>3.6666666666666665</v>
      </c>
      <c r="BS785" s="415">
        <v>3.6666666666666665</v>
      </c>
      <c r="BT785" s="935"/>
      <c r="BU785" s="935"/>
      <c r="BV785" s="935"/>
      <c r="BW785" s="935"/>
      <c r="BX785" s="935"/>
      <c r="BY785" s="935"/>
      <c r="BZ785" s="935"/>
      <c r="CA785" s="935"/>
      <c r="CB785" s="935"/>
      <c r="CC785" s="935"/>
      <c r="CD785" s="935"/>
      <c r="CE785" s="935"/>
      <c r="CF785" s="935"/>
      <c r="CG785" s="935"/>
      <c r="CH785" s="935"/>
      <c r="CI785" s="935"/>
      <c r="CJ785" s="935"/>
      <c r="CK785" s="935"/>
      <c r="CL785" s="935"/>
      <c r="CM785" s="935"/>
      <c r="CN785" s="935"/>
      <c r="CO785" s="935"/>
      <c r="CP785" s="935"/>
      <c r="CQ785" s="935"/>
      <c r="CR785" s="935"/>
      <c r="CS785" s="935"/>
      <c r="CT785" s="935"/>
      <c r="CU785" s="935"/>
      <c r="CV785" s="935"/>
      <c r="CY785" s="441" t="s">
        <v>1948</v>
      </c>
    </row>
    <row r="786" spans="1:104" s="441" customFormat="1">
      <c r="A786" s="375">
        <f t="shared" si="228"/>
        <v>10</v>
      </c>
      <c r="B786" s="862">
        <v>44474</v>
      </c>
      <c r="C786" s="493" t="s">
        <v>1980</v>
      </c>
      <c r="D786" s="376" t="str">
        <f>IFERROR(VLOOKUP(E:E,'Item Data Support Sheet'!A:O,7,0),"")</f>
        <v>NIPPLE MOLDED</v>
      </c>
      <c r="E786" s="447" t="s">
        <v>2484</v>
      </c>
      <c r="F786" s="500" t="s">
        <v>1678</v>
      </c>
      <c r="G786" s="497" t="s">
        <v>1691</v>
      </c>
      <c r="H786" s="602" t="str">
        <f>IFERROR(VLOOKUP(E:E,'Item Data Support Sheet'!A:O,2,0),"")</f>
        <v>NIPPLE S TYPE LL SIZE INJECTION</v>
      </c>
      <c r="I786" s="501" t="s">
        <v>3511</v>
      </c>
      <c r="J786" s="501" t="s">
        <v>2808</v>
      </c>
      <c r="K786" s="499">
        <v>8</v>
      </c>
      <c r="L786" s="499">
        <v>4815</v>
      </c>
      <c r="M786" s="366">
        <v>601.875</v>
      </c>
      <c r="N786" s="367">
        <f t="shared" si="227"/>
        <v>3408</v>
      </c>
      <c r="O786" s="61">
        <v>2700</v>
      </c>
      <c r="P786" s="368">
        <v>1.2</v>
      </c>
      <c r="Q786" s="368">
        <v>630</v>
      </c>
      <c r="R786" s="494">
        <v>0</v>
      </c>
      <c r="S786" s="493">
        <v>0</v>
      </c>
      <c r="T786" s="494">
        <v>70</v>
      </c>
      <c r="U786" s="493">
        <v>8</v>
      </c>
      <c r="V786" s="502">
        <v>1</v>
      </c>
      <c r="W786" s="453">
        <f t="shared" si="229"/>
        <v>2700</v>
      </c>
      <c r="X786" s="748">
        <f t="shared" si="230"/>
        <v>0.56074766355140182</v>
      </c>
      <c r="Y786" s="451" t="str">
        <f>IFERROR(VLOOKUP(E:E,'Item Data Support Sheet'!A:J,6,0),0)</f>
        <v>FO148</v>
      </c>
      <c r="Z786" s="428">
        <f>IFERROR(VLOOKUP(E:E,'Item Data Support Sheet'!A:O,4,0),0)</f>
        <v>6.8</v>
      </c>
      <c r="AA786" s="428">
        <f t="shared" si="231"/>
        <v>24.374399999999998</v>
      </c>
      <c r="AB786" s="429">
        <f t="shared" si="232"/>
        <v>0.75324931075226476</v>
      </c>
      <c r="AC786" s="424">
        <f t="shared" si="233"/>
        <v>2.5270758122743681E-2</v>
      </c>
      <c r="AD786" s="371">
        <f t="shared" si="234"/>
        <v>0.15601783060921248</v>
      </c>
      <c r="AE786" s="748">
        <f t="shared" si="235"/>
        <v>0.97946009389671362</v>
      </c>
      <c r="AF786" s="417">
        <f t="shared" si="236"/>
        <v>3.6666666666666665</v>
      </c>
      <c r="AG786" s="416">
        <f t="shared" si="237"/>
        <v>4.3333333333333339</v>
      </c>
      <c r="AH786" s="372">
        <f t="shared" si="238"/>
        <v>0.54166666666666674</v>
      </c>
      <c r="AI786" s="373">
        <f t="shared" si="239"/>
        <v>337.5</v>
      </c>
      <c r="AJ786" s="418">
        <f>VLOOKUP(D786,'Standard Cycle time'!C:D,2,0)</f>
        <v>5.25</v>
      </c>
      <c r="AK786" s="418">
        <f t="shared" si="240"/>
        <v>5.7777777777777786</v>
      </c>
      <c r="AL786" s="374">
        <f t="shared" si="241"/>
        <v>0.90865384615384603</v>
      </c>
      <c r="AM786" s="372">
        <f t="shared" si="242"/>
        <v>0.48207801496478875</v>
      </c>
      <c r="AN786" s="799">
        <v>0.48207801496478875</v>
      </c>
      <c r="AO786" s="448" t="s">
        <v>3512</v>
      </c>
      <c r="AP786" s="440">
        <v>0</v>
      </c>
      <c r="AQ786" s="440">
        <v>0</v>
      </c>
      <c r="AR786" s="440">
        <v>0</v>
      </c>
      <c r="AS786" s="440">
        <v>0</v>
      </c>
      <c r="AT786" s="440">
        <v>0</v>
      </c>
      <c r="AU786" s="440">
        <v>80</v>
      </c>
      <c r="AV786" s="440">
        <v>0</v>
      </c>
      <c r="AW786" s="440">
        <v>140</v>
      </c>
      <c r="AX786" s="440">
        <v>0</v>
      </c>
      <c r="AY786" s="440">
        <v>0</v>
      </c>
      <c r="AZ786" s="440">
        <v>0</v>
      </c>
      <c r="BA786" s="440">
        <v>0</v>
      </c>
      <c r="BB786" s="440">
        <v>0</v>
      </c>
      <c r="BC786" s="440">
        <v>0</v>
      </c>
      <c r="BD786" s="440">
        <v>0</v>
      </c>
      <c r="BE786" s="440">
        <v>0</v>
      </c>
      <c r="BF786" s="440">
        <v>0</v>
      </c>
      <c r="BG786" s="440">
        <v>0</v>
      </c>
      <c r="BH786" s="440">
        <v>0</v>
      </c>
      <c r="BI786" s="440">
        <v>0</v>
      </c>
      <c r="BJ786" s="440">
        <v>0</v>
      </c>
      <c r="BK786" s="440">
        <v>0</v>
      </c>
      <c r="BL786" s="440">
        <v>0</v>
      </c>
      <c r="BM786" s="440">
        <v>0</v>
      </c>
      <c r="BN786" s="440">
        <v>0</v>
      </c>
      <c r="BO786" s="440">
        <v>0</v>
      </c>
      <c r="BP786" s="440">
        <v>0</v>
      </c>
      <c r="BQ786" s="440">
        <v>0</v>
      </c>
      <c r="BR786" s="415">
        <v>3.6666666666666665</v>
      </c>
      <c r="BS786" s="415">
        <v>3.6666666666666665</v>
      </c>
      <c r="BT786" s="935"/>
      <c r="BU786" s="935"/>
      <c r="BV786" s="935"/>
      <c r="BW786" s="935"/>
      <c r="BX786" s="935"/>
      <c r="BY786" s="935"/>
      <c r="BZ786" s="935"/>
      <c r="CA786" s="935"/>
      <c r="CB786" s="935"/>
      <c r="CC786" s="935"/>
      <c r="CD786" s="935"/>
      <c r="CE786" s="935"/>
      <c r="CF786" s="935"/>
      <c r="CG786" s="935"/>
      <c r="CH786" s="935"/>
      <c r="CI786" s="935"/>
      <c r="CJ786" s="935"/>
      <c r="CK786" s="935"/>
      <c r="CL786" s="935"/>
      <c r="CM786" s="935"/>
      <c r="CN786" s="935"/>
      <c r="CO786" s="935"/>
      <c r="CP786" s="935"/>
      <c r="CQ786" s="935"/>
      <c r="CR786" s="935"/>
      <c r="CS786" s="935"/>
      <c r="CT786" s="935"/>
      <c r="CU786" s="935"/>
      <c r="CV786" s="935"/>
      <c r="CY786" s="441" t="s">
        <v>3513</v>
      </c>
    </row>
    <row r="787" spans="1:104" s="441" customFormat="1">
      <c r="A787" s="375">
        <f t="shared" si="228"/>
        <v>10</v>
      </c>
      <c r="B787" s="862">
        <v>44474</v>
      </c>
      <c r="C787" s="493" t="s">
        <v>1980</v>
      </c>
      <c r="D787" s="376" t="str">
        <f>IFERROR(VLOOKUP(E:E,'Item Data Support Sheet'!A:O,7,0),"")</f>
        <v>BOTTLE PRINTED</v>
      </c>
      <c r="E787" s="447" t="s">
        <v>15</v>
      </c>
      <c r="F787" s="500"/>
      <c r="G787" s="497"/>
      <c r="H787" s="602" t="str">
        <f>IFERROR(VLOOKUP(E:E,'Item Data Support Sheet'!A:O,2,0),"")</f>
        <v>RPP 240 ML BOTTLE PRINTED</v>
      </c>
      <c r="I787" s="501" t="s">
        <v>3514</v>
      </c>
      <c r="J787" s="501" t="s">
        <v>2813</v>
      </c>
      <c r="K787" s="499">
        <v>2</v>
      </c>
      <c r="L787" s="499">
        <v>1450</v>
      </c>
      <c r="M787" s="366">
        <v>725</v>
      </c>
      <c r="N787" s="367">
        <f t="shared" si="227"/>
        <v>1145</v>
      </c>
      <c r="O787" s="61">
        <v>1137</v>
      </c>
      <c r="P787" s="368">
        <v>0</v>
      </c>
      <c r="Q787" s="368">
        <v>0</v>
      </c>
      <c r="R787" s="494">
        <v>11</v>
      </c>
      <c r="S787" s="493">
        <v>0</v>
      </c>
      <c r="T787" s="494">
        <v>8</v>
      </c>
      <c r="U787" s="493">
        <v>0</v>
      </c>
      <c r="V787" s="502">
        <v>5</v>
      </c>
      <c r="W787" s="453">
        <f t="shared" si="229"/>
        <v>227.4</v>
      </c>
      <c r="X787" s="748">
        <f t="shared" si="230"/>
        <v>0.7841379310344827</v>
      </c>
      <c r="Y787" s="451" t="str">
        <f>IFERROR(VLOOKUP(E:E,'Item Data Support Sheet'!A:J,6,0),0)</f>
        <v>FO005</v>
      </c>
      <c r="Z787" s="428">
        <f>IFERROR(VLOOKUP(E:E,'Item Data Support Sheet'!A:O,4,0),0)</f>
        <v>0</v>
      </c>
      <c r="AA787" s="428">
        <f t="shared" si="231"/>
        <v>0</v>
      </c>
      <c r="AB787" s="429" t="str">
        <f t="shared" si="232"/>
        <v xml:space="preserve"> </v>
      </c>
      <c r="AC787" s="424">
        <f t="shared" si="233"/>
        <v>6.9868995633187774E-3</v>
      </c>
      <c r="AD787" s="371">
        <f t="shared" si="234"/>
        <v>0</v>
      </c>
      <c r="AE787" s="748">
        <f t="shared" si="235"/>
        <v>0.99301310043668123</v>
      </c>
      <c r="AF787" s="417">
        <f t="shared" si="236"/>
        <v>0.83333333333333337</v>
      </c>
      <c r="AG787" s="416">
        <f t="shared" si="237"/>
        <v>1.1666666666666665</v>
      </c>
      <c r="AH787" s="372">
        <f t="shared" si="238"/>
        <v>0.58333333333333326</v>
      </c>
      <c r="AI787" s="373">
        <f t="shared" si="239"/>
        <v>568.5</v>
      </c>
      <c r="AJ787" s="418">
        <f>VLOOKUP(D787,'Standard Cycle time'!C:D,2,0)</f>
        <v>32.4</v>
      </c>
      <c r="AK787" s="418">
        <f t="shared" si="240"/>
        <v>18.469656992084431</v>
      </c>
      <c r="AL787" s="374">
        <f t="shared" si="241"/>
        <v>1.7542285714285715</v>
      </c>
      <c r="AM787" s="372">
        <f t="shared" si="242"/>
        <v>1.0161503056768559</v>
      </c>
      <c r="AN787" s="799">
        <v>1.0161503056768559</v>
      </c>
      <c r="AO787" s="448" t="s">
        <v>3165</v>
      </c>
      <c r="AP787" s="440">
        <v>10</v>
      </c>
      <c r="AQ787" s="440">
        <v>40</v>
      </c>
      <c r="AR787" s="440">
        <v>0</v>
      </c>
      <c r="AS787" s="440">
        <v>0</v>
      </c>
      <c r="AT787" s="440">
        <v>0</v>
      </c>
      <c r="AU787" s="440">
        <v>0</v>
      </c>
      <c r="AV787" s="440">
        <v>0</v>
      </c>
      <c r="AW787" s="440">
        <v>0</v>
      </c>
      <c r="AX787" s="440">
        <v>0</v>
      </c>
      <c r="AY787" s="440">
        <v>0</v>
      </c>
      <c r="AZ787" s="440">
        <v>0</v>
      </c>
      <c r="BA787" s="440">
        <v>0</v>
      </c>
      <c r="BB787" s="440">
        <v>0</v>
      </c>
      <c r="BC787" s="440">
        <v>0</v>
      </c>
      <c r="BD787" s="440">
        <v>0</v>
      </c>
      <c r="BE787" s="440">
        <v>0</v>
      </c>
      <c r="BF787" s="440">
        <v>0</v>
      </c>
      <c r="BG787" s="440">
        <v>0</v>
      </c>
      <c r="BH787" s="440">
        <v>0</v>
      </c>
      <c r="BI787" s="440">
        <v>0</v>
      </c>
      <c r="BJ787" s="440">
        <v>0</v>
      </c>
      <c r="BK787" s="440">
        <v>0</v>
      </c>
      <c r="BL787" s="440">
        <v>0</v>
      </c>
      <c r="BM787" s="440">
        <v>0</v>
      </c>
      <c r="BN787" s="440">
        <v>0</v>
      </c>
      <c r="BO787" s="440">
        <v>0</v>
      </c>
      <c r="BP787" s="440">
        <v>0</v>
      </c>
      <c r="BQ787" s="440">
        <v>0</v>
      </c>
      <c r="BR787" s="415">
        <v>0.83333333333333337</v>
      </c>
      <c r="BS787" s="415">
        <v>0.83333333333333337</v>
      </c>
      <c r="BT787" s="935"/>
      <c r="BU787" s="935"/>
      <c r="BV787" s="935"/>
      <c r="BW787" s="935"/>
      <c r="BX787" s="935"/>
      <c r="BY787" s="935"/>
      <c r="BZ787" s="935"/>
      <c r="CA787" s="935"/>
      <c r="CB787" s="935"/>
      <c r="CC787" s="935"/>
      <c r="CD787" s="935"/>
      <c r="CE787" s="935"/>
      <c r="CF787" s="935"/>
      <c r="CG787" s="935"/>
      <c r="CH787" s="935"/>
      <c r="CI787" s="935"/>
      <c r="CJ787" s="935"/>
      <c r="CK787" s="935"/>
      <c r="CL787" s="935"/>
      <c r="CM787" s="935"/>
      <c r="CN787" s="935"/>
      <c r="CO787" s="935"/>
      <c r="CP787" s="935"/>
      <c r="CQ787" s="935"/>
      <c r="CR787" s="935"/>
      <c r="CS787" s="935"/>
      <c r="CT787" s="935"/>
      <c r="CU787" s="935"/>
      <c r="CV787" s="935"/>
      <c r="CY787" s="441" t="s">
        <v>3515</v>
      </c>
    </row>
    <row r="788" spans="1:104" s="441" customFormat="1">
      <c r="A788" s="375">
        <f t="shared" si="228"/>
        <v>10</v>
      </c>
      <c r="B788" s="862">
        <v>44474</v>
      </c>
      <c r="C788" s="493" t="s">
        <v>1980</v>
      </c>
      <c r="D788" s="376" t="str">
        <f>IFERROR(VLOOKUP(E:E,'Item Data Support Sheet'!A:O,7,0),"")</f>
        <v>BOTTLE PRINTED</v>
      </c>
      <c r="E788" s="447" t="s">
        <v>71</v>
      </c>
      <c r="F788" s="500"/>
      <c r="G788" s="497"/>
      <c r="H788" s="602" t="str">
        <f>IFERROR(VLOOKUP(E:E,'Item Data Support Sheet'!A:O,2,0),"")</f>
        <v>RPP 120 ML BOTTLE PRINTED</v>
      </c>
      <c r="I788" s="501" t="s">
        <v>3516</v>
      </c>
      <c r="J788" s="501" t="s">
        <v>2813</v>
      </c>
      <c r="K788" s="499">
        <v>6</v>
      </c>
      <c r="L788" s="499">
        <v>4350</v>
      </c>
      <c r="M788" s="366">
        <v>725</v>
      </c>
      <c r="N788" s="367">
        <f t="shared" si="227"/>
        <v>4156</v>
      </c>
      <c r="O788" s="61">
        <v>4140</v>
      </c>
      <c r="P788" s="368">
        <v>0</v>
      </c>
      <c r="Q788" s="368">
        <v>0</v>
      </c>
      <c r="R788" s="494">
        <v>22</v>
      </c>
      <c r="S788" s="493">
        <v>0</v>
      </c>
      <c r="T788" s="494">
        <v>16</v>
      </c>
      <c r="U788" s="493">
        <v>0</v>
      </c>
      <c r="V788" s="502">
        <v>5</v>
      </c>
      <c r="W788" s="453">
        <f t="shared" si="229"/>
        <v>828</v>
      </c>
      <c r="X788" s="748">
        <f t="shared" si="230"/>
        <v>0.9517241379310345</v>
      </c>
      <c r="Y788" s="451" t="str">
        <f>IFERROR(VLOOKUP(E:E,'Item Data Support Sheet'!A:J,6,0),0)</f>
        <v>FO004</v>
      </c>
      <c r="Z788" s="428">
        <f>IFERROR(VLOOKUP(E:E,'Item Data Support Sheet'!A:O,4,0),0)</f>
        <v>0</v>
      </c>
      <c r="AA788" s="428">
        <f t="shared" si="231"/>
        <v>0</v>
      </c>
      <c r="AB788" s="429" t="str">
        <f t="shared" si="232"/>
        <v xml:space="preserve"> </v>
      </c>
      <c r="AC788" s="424">
        <f t="shared" si="233"/>
        <v>3.8498556304138597E-3</v>
      </c>
      <c r="AD788" s="371">
        <f t="shared" si="234"/>
        <v>0</v>
      </c>
      <c r="AE788" s="748">
        <f t="shared" si="235"/>
        <v>0.99615014436958615</v>
      </c>
      <c r="AF788" s="417">
        <f t="shared" si="236"/>
        <v>0.5</v>
      </c>
      <c r="AG788" s="416">
        <f t="shared" si="237"/>
        <v>5.5</v>
      </c>
      <c r="AH788" s="372">
        <f t="shared" si="238"/>
        <v>0.91666666666666663</v>
      </c>
      <c r="AI788" s="373">
        <f t="shared" si="239"/>
        <v>690</v>
      </c>
      <c r="AJ788" s="418">
        <f>VLOOKUP(D788,'Standard Cycle time'!C:D,2,0)</f>
        <v>32.4</v>
      </c>
      <c r="AK788" s="418">
        <f t="shared" si="240"/>
        <v>23.913043478260871</v>
      </c>
      <c r="AL788" s="374">
        <f t="shared" si="241"/>
        <v>1.3549090909090908</v>
      </c>
      <c r="AM788" s="372">
        <f t="shared" si="242"/>
        <v>1.237218479307026</v>
      </c>
      <c r="AN788" s="799">
        <v>1.237218479307026</v>
      </c>
      <c r="AO788" s="448"/>
      <c r="AP788" s="440">
        <v>30</v>
      </c>
      <c r="AQ788" s="440">
        <v>0</v>
      </c>
      <c r="AR788" s="440">
        <v>0</v>
      </c>
      <c r="AS788" s="440">
        <v>0</v>
      </c>
      <c r="AT788" s="440">
        <v>0</v>
      </c>
      <c r="AU788" s="440">
        <v>0</v>
      </c>
      <c r="AV788" s="440">
        <v>0</v>
      </c>
      <c r="AW788" s="440">
        <v>0</v>
      </c>
      <c r="AX788" s="440">
        <v>0</v>
      </c>
      <c r="AY788" s="440">
        <v>0</v>
      </c>
      <c r="AZ788" s="440">
        <v>0</v>
      </c>
      <c r="BA788" s="440">
        <v>0</v>
      </c>
      <c r="BB788" s="440">
        <v>0</v>
      </c>
      <c r="BC788" s="440">
        <v>0</v>
      </c>
      <c r="BD788" s="440">
        <v>0</v>
      </c>
      <c r="BE788" s="440">
        <v>0</v>
      </c>
      <c r="BF788" s="440">
        <v>0</v>
      </c>
      <c r="BG788" s="440">
        <v>0</v>
      </c>
      <c r="BH788" s="440">
        <v>0</v>
      </c>
      <c r="BI788" s="440">
        <v>0</v>
      </c>
      <c r="BJ788" s="440">
        <v>0</v>
      </c>
      <c r="BK788" s="440">
        <v>0</v>
      </c>
      <c r="BL788" s="440">
        <v>0</v>
      </c>
      <c r="BM788" s="440">
        <v>0</v>
      </c>
      <c r="BN788" s="440">
        <v>0</v>
      </c>
      <c r="BO788" s="440">
        <v>0</v>
      </c>
      <c r="BP788" s="440">
        <v>0</v>
      </c>
      <c r="BQ788" s="440">
        <v>0</v>
      </c>
      <c r="BR788" s="415">
        <v>0.5</v>
      </c>
      <c r="BS788" s="415">
        <v>0.5</v>
      </c>
      <c r="BT788" s="935"/>
      <c r="BU788" s="935"/>
      <c r="BV788" s="935"/>
      <c r="BW788" s="935"/>
      <c r="BX788" s="935"/>
      <c r="BY788" s="935"/>
      <c r="BZ788" s="935"/>
      <c r="CA788" s="935"/>
      <c r="CB788" s="935"/>
      <c r="CC788" s="935"/>
      <c r="CD788" s="935"/>
      <c r="CE788" s="935"/>
      <c r="CF788" s="935"/>
      <c r="CG788" s="935"/>
      <c r="CH788" s="935"/>
      <c r="CI788" s="935"/>
      <c r="CJ788" s="935"/>
      <c r="CK788" s="935"/>
      <c r="CL788" s="935"/>
      <c r="CM788" s="935"/>
      <c r="CN788" s="935"/>
      <c r="CO788" s="935"/>
      <c r="CP788" s="935"/>
      <c r="CQ788" s="935"/>
      <c r="CR788" s="935"/>
      <c r="CS788" s="935"/>
      <c r="CT788" s="935"/>
      <c r="CU788" s="935"/>
      <c r="CV788" s="935"/>
      <c r="CY788" s="441" t="s">
        <v>3517</v>
      </c>
    </row>
    <row r="789" spans="1:104" s="441" customFormat="1">
      <c r="A789" s="375">
        <f t="shared" si="228"/>
        <v>10</v>
      </c>
      <c r="B789" s="862">
        <v>44474</v>
      </c>
      <c r="C789" s="493" t="s">
        <v>2000</v>
      </c>
      <c r="D789" s="376" t="str">
        <f>IFERROR(VLOOKUP(E:E,'Item Data Support Sheet'!A:O,7,0),"")</f>
        <v>NIPPLE PUNCH INSPECTED</v>
      </c>
      <c r="E789" s="447" t="s">
        <v>1818</v>
      </c>
      <c r="F789" s="500"/>
      <c r="G789" s="497"/>
      <c r="H789" s="602" t="str">
        <f>IFERROR(VLOOKUP(E:E,'Item Data Support Sheet'!A:O,2,0),"")</f>
        <v>NIPPLE S TYPE S SIZE PUNCHED INSPECTED</v>
      </c>
      <c r="I789" s="501" t="s">
        <v>3518</v>
      </c>
      <c r="J789" s="501" t="s">
        <v>2812</v>
      </c>
      <c r="K789" s="499">
        <v>1</v>
      </c>
      <c r="L789" s="499">
        <v>1200</v>
      </c>
      <c r="M789" s="366">
        <v>1200</v>
      </c>
      <c r="N789" s="367">
        <f t="shared" si="227"/>
        <v>1233</v>
      </c>
      <c r="O789" s="61">
        <v>1198</v>
      </c>
      <c r="P789" s="368">
        <v>0</v>
      </c>
      <c r="Q789" s="368">
        <v>0</v>
      </c>
      <c r="R789" s="494">
        <v>0</v>
      </c>
      <c r="S789" s="493">
        <v>0</v>
      </c>
      <c r="T789" s="494">
        <v>35</v>
      </c>
      <c r="U789" s="493">
        <v>0</v>
      </c>
      <c r="V789" s="502">
        <v>1</v>
      </c>
      <c r="W789" s="453">
        <f t="shared" si="229"/>
        <v>1198</v>
      </c>
      <c r="X789" s="748">
        <f t="shared" si="230"/>
        <v>0.99833333333333329</v>
      </c>
      <c r="Y789" s="451" t="str">
        <f>IFERROR(VLOOKUP(E:E,'Item Data Support Sheet'!A:J,6,0),0)</f>
        <v>FO104</v>
      </c>
      <c r="Z789" s="428">
        <f>IFERROR(VLOOKUP(E:E,'Item Data Support Sheet'!A:O,4,0),0)</f>
        <v>0</v>
      </c>
      <c r="AA789" s="428">
        <f t="shared" si="231"/>
        <v>0</v>
      </c>
      <c r="AB789" s="429" t="str">
        <f t="shared" si="232"/>
        <v xml:space="preserve"> </v>
      </c>
      <c r="AC789" s="424">
        <f t="shared" si="233"/>
        <v>2.8386050283860504E-2</v>
      </c>
      <c r="AD789" s="371">
        <f t="shared" si="234"/>
        <v>0</v>
      </c>
      <c r="AE789" s="748">
        <f t="shared" si="235"/>
        <v>0.97161394971613946</v>
      </c>
      <c r="AF789" s="417">
        <f t="shared" si="236"/>
        <v>0.83333333333333337</v>
      </c>
      <c r="AG789" s="416">
        <f t="shared" si="237"/>
        <v>0.16666666666666663</v>
      </c>
      <c r="AH789" s="372">
        <f t="shared" si="238"/>
        <v>0.16666666666666663</v>
      </c>
      <c r="AI789" s="373">
        <f t="shared" si="239"/>
        <v>1198</v>
      </c>
      <c r="AJ789" s="418">
        <f>VLOOKUP(D789,'Standard Cycle time'!C:D,2,0)</f>
        <v>4</v>
      </c>
      <c r="AK789" s="418">
        <f t="shared" si="240"/>
        <v>0.50083472454090139</v>
      </c>
      <c r="AL789" s="374">
        <f t="shared" si="241"/>
        <v>7.9866666666666681</v>
      </c>
      <c r="AM789" s="372">
        <f t="shared" si="242"/>
        <v>1.2933261241777056</v>
      </c>
      <c r="AN789" s="799">
        <v>1.2933261241777056</v>
      </c>
      <c r="AO789" s="448"/>
      <c r="AP789" s="440">
        <v>50</v>
      </c>
      <c r="AQ789" s="440">
        <v>0</v>
      </c>
      <c r="AR789" s="440">
        <v>0</v>
      </c>
      <c r="AS789" s="440">
        <v>0</v>
      </c>
      <c r="AT789" s="440">
        <v>0</v>
      </c>
      <c r="AU789" s="440">
        <v>0</v>
      </c>
      <c r="AV789" s="440">
        <v>0</v>
      </c>
      <c r="AW789" s="440">
        <v>0</v>
      </c>
      <c r="AX789" s="440">
        <v>0</v>
      </c>
      <c r="AY789" s="440">
        <v>0</v>
      </c>
      <c r="AZ789" s="440">
        <v>0</v>
      </c>
      <c r="BA789" s="440">
        <v>0</v>
      </c>
      <c r="BB789" s="440">
        <v>0</v>
      </c>
      <c r="BC789" s="440">
        <v>0</v>
      </c>
      <c r="BD789" s="440">
        <v>0</v>
      </c>
      <c r="BE789" s="440">
        <v>0</v>
      </c>
      <c r="BF789" s="440">
        <v>0</v>
      </c>
      <c r="BG789" s="440">
        <v>0</v>
      </c>
      <c r="BH789" s="440">
        <v>0</v>
      </c>
      <c r="BI789" s="440">
        <v>0</v>
      </c>
      <c r="BJ789" s="440">
        <v>0</v>
      </c>
      <c r="BK789" s="440">
        <v>0</v>
      </c>
      <c r="BL789" s="440">
        <v>0</v>
      </c>
      <c r="BM789" s="440">
        <v>0</v>
      </c>
      <c r="BN789" s="440">
        <v>0</v>
      </c>
      <c r="BO789" s="440">
        <v>0</v>
      </c>
      <c r="BP789" s="440">
        <v>0</v>
      </c>
      <c r="BQ789" s="440">
        <v>0</v>
      </c>
      <c r="BR789" s="415">
        <v>0.83333333333333337</v>
      </c>
      <c r="BS789" s="415">
        <v>0.83333333333333337</v>
      </c>
      <c r="BT789" s="935"/>
      <c r="BU789" s="935"/>
      <c r="BV789" s="935"/>
      <c r="BW789" s="935"/>
      <c r="BX789" s="935"/>
      <c r="BY789" s="935"/>
      <c r="BZ789" s="935"/>
      <c r="CA789" s="935"/>
      <c r="CB789" s="935"/>
      <c r="CC789" s="935"/>
      <c r="CD789" s="935"/>
      <c r="CE789" s="935"/>
      <c r="CF789" s="935"/>
      <c r="CG789" s="935"/>
      <c r="CH789" s="935"/>
      <c r="CI789" s="935"/>
      <c r="CJ789" s="935"/>
      <c r="CK789" s="935"/>
      <c r="CL789" s="935"/>
      <c r="CM789" s="935"/>
      <c r="CN789" s="935"/>
      <c r="CO789" s="935"/>
      <c r="CP789" s="935"/>
      <c r="CQ789" s="935"/>
      <c r="CR789" s="935"/>
      <c r="CS789" s="935"/>
      <c r="CT789" s="935"/>
      <c r="CU789" s="935"/>
      <c r="CV789" s="935"/>
      <c r="CY789" s="441" t="s">
        <v>3519</v>
      </c>
    </row>
    <row r="790" spans="1:104" s="441" customFormat="1">
      <c r="A790" s="375">
        <f t="shared" si="228"/>
        <v>10</v>
      </c>
      <c r="B790" s="862">
        <v>44474</v>
      </c>
      <c r="C790" s="493" t="s">
        <v>2000</v>
      </c>
      <c r="D790" s="376" t="str">
        <f>IFERROR(VLOOKUP(E:E,'Item Data Support Sheet'!A:O,7,0),"")</f>
        <v>NIPPLE PUNCH INSPECTED</v>
      </c>
      <c r="E790" s="447" t="s">
        <v>2488</v>
      </c>
      <c r="F790" s="500"/>
      <c r="G790" s="497"/>
      <c r="H790" s="602" t="str">
        <f>IFERROR(VLOOKUP(E:E,'Item Data Support Sheet'!A:O,2,0),"")</f>
        <v>NIPPLE S TYPE LL SIZE INSPECTED</v>
      </c>
      <c r="I790" s="501" t="s">
        <v>3520</v>
      </c>
      <c r="J790" s="501" t="s">
        <v>2812</v>
      </c>
      <c r="K790" s="499">
        <v>7</v>
      </c>
      <c r="L790" s="499">
        <v>12411</v>
      </c>
      <c r="M790" s="366">
        <v>1773</v>
      </c>
      <c r="N790" s="367">
        <f t="shared" si="227"/>
        <v>5099</v>
      </c>
      <c r="O790" s="61">
        <v>5019</v>
      </c>
      <c r="P790" s="368">
        <v>0</v>
      </c>
      <c r="Q790" s="368">
        <v>0</v>
      </c>
      <c r="R790" s="494">
        <v>0</v>
      </c>
      <c r="S790" s="493">
        <v>0</v>
      </c>
      <c r="T790" s="494">
        <v>80</v>
      </c>
      <c r="U790" s="493">
        <v>0</v>
      </c>
      <c r="V790" s="502">
        <v>1</v>
      </c>
      <c r="W790" s="453">
        <f t="shared" si="229"/>
        <v>5019</v>
      </c>
      <c r="X790" s="748">
        <f t="shared" si="230"/>
        <v>0.40439932318104904</v>
      </c>
      <c r="Y790" s="451" t="str">
        <f>IFERROR(VLOOKUP(E:E,'Item Data Support Sheet'!A:J,6,0),0)</f>
        <v>FO152</v>
      </c>
      <c r="Z790" s="428">
        <f>IFERROR(VLOOKUP(E:E,'Item Data Support Sheet'!A:O,4,0),0)</f>
        <v>0</v>
      </c>
      <c r="AA790" s="428">
        <f t="shared" si="231"/>
        <v>0</v>
      </c>
      <c r="AB790" s="429" t="str">
        <f t="shared" si="232"/>
        <v xml:space="preserve"> </v>
      </c>
      <c r="AC790" s="424">
        <f t="shared" si="233"/>
        <v>1.5689350853108453E-2</v>
      </c>
      <c r="AD790" s="371">
        <f t="shared" si="234"/>
        <v>0</v>
      </c>
      <c r="AE790" s="748">
        <f t="shared" si="235"/>
        <v>0.98431064914689159</v>
      </c>
      <c r="AF790" s="417">
        <f t="shared" si="236"/>
        <v>0</v>
      </c>
      <c r="AG790" s="416">
        <f t="shared" si="237"/>
        <v>7</v>
      </c>
      <c r="AH790" s="372">
        <f t="shared" si="238"/>
        <v>1</v>
      </c>
      <c r="AI790" s="373">
        <f t="shared" si="239"/>
        <v>717</v>
      </c>
      <c r="AJ790" s="418">
        <f>VLOOKUP(D790,'Standard Cycle time'!C:D,2,0)</f>
        <v>4</v>
      </c>
      <c r="AK790" s="418">
        <f t="shared" si="240"/>
        <v>5.02092050209205</v>
      </c>
      <c r="AL790" s="374">
        <f t="shared" si="241"/>
        <v>0.79666666666666675</v>
      </c>
      <c r="AM790" s="372">
        <f t="shared" si="242"/>
        <v>0.78416748382035706</v>
      </c>
      <c r="AN790" s="799">
        <v>0.78416748382035706</v>
      </c>
      <c r="AO790" s="448" t="s">
        <v>2835</v>
      </c>
      <c r="AP790" s="440">
        <v>0</v>
      </c>
      <c r="AQ790" s="440">
        <v>0</v>
      </c>
      <c r="AR790" s="440">
        <v>0</v>
      </c>
      <c r="AS790" s="440">
        <v>0</v>
      </c>
      <c r="AT790" s="440">
        <v>0</v>
      </c>
      <c r="AU790" s="440">
        <v>0</v>
      </c>
      <c r="AV790" s="440">
        <v>0</v>
      </c>
      <c r="AW790" s="440">
        <v>0</v>
      </c>
      <c r="AX790" s="440">
        <v>0</v>
      </c>
      <c r="AY790" s="440">
        <v>0</v>
      </c>
      <c r="AZ790" s="440">
        <v>0</v>
      </c>
      <c r="BA790" s="440">
        <v>0</v>
      </c>
      <c r="BB790" s="440">
        <v>0</v>
      </c>
      <c r="BC790" s="440">
        <v>0</v>
      </c>
      <c r="BD790" s="440">
        <v>0</v>
      </c>
      <c r="BE790" s="440">
        <v>0</v>
      </c>
      <c r="BF790" s="440">
        <v>0</v>
      </c>
      <c r="BG790" s="440">
        <v>0</v>
      </c>
      <c r="BH790" s="440">
        <v>0</v>
      </c>
      <c r="BI790" s="440">
        <v>0</v>
      </c>
      <c r="BJ790" s="440">
        <v>0</v>
      </c>
      <c r="BK790" s="440">
        <v>0</v>
      </c>
      <c r="BL790" s="440">
        <v>0</v>
      </c>
      <c r="BM790" s="440">
        <v>0</v>
      </c>
      <c r="BN790" s="440">
        <v>0</v>
      </c>
      <c r="BO790" s="440">
        <v>0</v>
      </c>
      <c r="BP790" s="440">
        <v>0</v>
      </c>
      <c r="BQ790" s="440">
        <v>0</v>
      </c>
      <c r="BR790" s="415">
        <v>0</v>
      </c>
      <c r="BS790" s="415">
        <v>0</v>
      </c>
      <c r="BT790" s="935"/>
      <c r="BU790" s="935"/>
      <c r="BV790" s="935"/>
      <c r="BW790" s="935"/>
      <c r="BX790" s="935"/>
      <c r="BY790" s="935"/>
      <c r="BZ790" s="935"/>
      <c r="CA790" s="935"/>
      <c r="CB790" s="935"/>
      <c r="CC790" s="935"/>
      <c r="CD790" s="935"/>
      <c r="CE790" s="935"/>
      <c r="CF790" s="935"/>
      <c r="CG790" s="935"/>
      <c r="CH790" s="935"/>
      <c r="CI790" s="935"/>
      <c r="CJ790" s="935"/>
      <c r="CK790" s="935"/>
      <c r="CL790" s="935"/>
      <c r="CM790" s="935"/>
      <c r="CN790" s="935"/>
      <c r="CO790" s="935"/>
      <c r="CP790" s="935"/>
      <c r="CQ790" s="935"/>
      <c r="CR790" s="935"/>
      <c r="CS790" s="935"/>
      <c r="CT790" s="935"/>
      <c r="CU790" s="935"/>
      <c r="CV790" s="935"/>
      <c r="CY790" s="441" t="s">
        <v>3521</v>
      </c>
    </row>
    <row r="791" spans="1:104" s="441" customFormat="1">
      <c r="A791" s="375">
        <f t="shared" si="228"/>
        <v>10</v>
      </c>
      <c r="B791" s="862">
        <v>44474</v>
      </c>
      <c r="C791" s="493" t="s">
        <v>2000</v>
      </c>
      <c r="D791" s="376" t="str">
        <f>IFERROR(VLOOKUP(E:E,'Item Data Support Sheet'!A:O,7,0),"")</f>
        <v>NIPPLE WRAP PRINTED</v>
      </c>
      <c r="E791" s="447" t="s">
        <v>111</v>
      </c>
      <c r="F791" s="500"/>
      <c r="G791" s="497" t="s">
        <v>1693</v>
      </c>
      <c r="H791" s="602" t="str">
        <f>IFERROR(VLOOKUP(E:E,'Item Data Support Sheet'!A:O,2,0),"")</f>
        <v>NIPPLE S TYPE Y SIZE WITH PRINTED WRAP</v>
      </c>
      <c r="I791" s="501" t="s">
        <v>3522</v>
      </c>
      <c r="J791" s="501" t="s">
        <v>2812</v>
      </c>
      <c r="K791" s="499">
        <v>2.7</v>
      </c>
      <c r="L791" s="499">
        <v>5000</v>
      </c>
      <c r="M791" s="366">
        <v>1851.8518518518517</v>
      </c>
      <c r="N791" s="367">
        <f t="shared" si="227"/>
        <v>5190</v>
      </c>
      <c r="O791" s="61">
        <v>5190</v>
      </c>
      <c r="P791" s="368">
        <v>0</v>
      </c>
      <c r="Q791" s="368">
        <v>0</v>
      </c>
      <c r="R791" s="494">
        <v>0</v>
      </c>
      <c r="S791" s="493">
        <v>0</v>
      </c>
      <c r="T791" s="494">
        <v>0</v>
      </c>
      <c r="U791" s="493">
        <v>0</v>
      </c>
      <c r="V791" s="502">
        <v>2</v>
      </c>
      <c r="W791" s="453">
        <f t="shared" si="229"/>
        <v>2595</v>
      </c>
      <c r="X791" s="748">
        <f t="shared" si="230"/>
        <v>1.038</v>
      </c>
      <c r="Y791" s="451" t="str">
        <f>IFERROR(VLOOKUP(E:E,'Item Data Support Sheet'!A:J,6,0),0)</f>
        <v>FO022</v>
      </c>
      <c r="Z791" s="428">
        <f>IFERROR(VLOOKUP(E:E,'Item Data Support Sheet'!A:O,4,0),0)</f>
        <v>0</v>
      </c>
      <c r="AA791" s="428">
        <f t="shared" si="231"/>
        <v>0</v>
      </c>
      <c r="AB791" s="429" t="str">
        <f t="shared" si="232"/>
        <v xml:space="preserve"> </v>
      </c>
      <c r="AC791" s="424">
        <f t="shared" si="233"/>
        <v>0</v>
      </c>
      <c r="AD791" s="371">
        <f t="shared" si="234"/>
        <v>0</v>
      </c>
      <c r="AE791" s="748">
        <f t="shared" si="235"/>
        <v>1</v>
      </c>
      <c r="AF791" s="417">
        <f t="shared" si="236"/>
        <v>0</v>
      </c>
      <c r="AG791" s="416">
        <f t="shared" si="237"/>
        <v>2.7</v>
      </c>
      <c r="AH791" s="372">
        <f t="shared" si="238"/>
        <v>1</v>
      </c>
      <c r="AI791" s="373">
        <f t="shared" si="239"/>
        <v>1922.2222222222222</v>
      </c>
      <c r="AJ791" s="418">
        <f>VLOOKUP(D791,'Standard Cycle time'!C:D,2,0)</f>
        <v>2.5</v>
      </c>
      <c r="AK791" s="418">
        <f t="shared" si="240"/>
        <v>3.745664739884393</v>
      </c>
      <c r="AL791" s="374">
        <f t="shared" si="241"/>
        <v>0.66743827160493829</v>
      </c>
      <c r="AM791" s="372">
        <f t="shared" si="242"/>
        <v>0.66743827160493829</v>
      </c>
      <c r="AN791" s="799">
        <v>0.66743827160493829</v>
      </c>
      <c r="AO791" s="448"/>
      <c r="AP791" s="440">
        <v>0</v>
      </c>
      <c r="AQ791" s="440">
        <v>0</v>
      </c>
      <c r="AR791" s="440">
        <v>0</v>
      </c>
      <c r="AS791" s="440">
        <v>0</v>
      </c>
      <c r="AT791" s="440">
        <v>0</v>
      </c>
      <c r="AU791" s="440">
        <v>0</v>
      </c>
      <c r="AV791" s="440">
        <v>0</v>
      </c>
      <c r="AW791" s="440">
        <v>0</v>
      </c>
      <c r="AX791" s="440">
        <v>0</v>
      </c>
      <c r="AY791" s="440">
        <v>0</v>
      </c>
      <c r="AZ791" s="440">
        <v>0</v>
      </c>
      <c r="BA791" s="440">
        <v>0</v>
      </c>
      <c r="BB791" s="440">
        <v>0</v>
      </c>
      <c r="BC791" s="440">
        <v>0</v>
      </c>
      <c r="BD791" s="440">
        <v>0</v>
      </c>
      <c r="BE791" s="440">
        <v>0</v>
      </c>
      <c r="BF791" s="440">
        <v>0</v>
      </c>
      <c r="BG791" s="440">
        <v>0</v>
      </c>
      <c r="BH791" s="440">
        <v>0</v>
      </c>
      <c r="BI791" s="440">
        <v>0</v>
      </c>
      <c r="BJ791" s="440">
        <v>0</v>
      </c>
      <c r="BK791" s="440">
        <v>0</v>
      </c>
      <c r="BL791" s="440">
        <v>0</v>
      </c>
      <c r="BM791" s="440">
        <v>0</v>
      </c>
      <c r="BN791" s="440">
        <v>0</v>
      </c>
      <c r="BO791" s="440">
        <v>0</v>
      </c>
      <c r="BP791" s="440">
        <v>0</v>
      </c>
      <c r="BQ791" s="440">
        <v>0</v>
      </c>
      <c r="BR791" s="415">
        <v>0</v>
      </c>
      <c r="BS791" s="415">
        <v>0</v>
      </c>
      <c r="BT791" s="935"/>
      <c r="BU791" s="935"/>
      <c r="BV791" s="935"/>
      <c r="BW791" s="935"/>
      <c r="BX791" s="935"/>
      <c r="BY791" s="935"/>
      <c r="BZ791" s="935"/>
      <c r="CA791" s="935"/>
      <c r="CB791" s="935"/>
      <c r="CC791" s="935"/>
      <c r="CD791" s="935"/>
      <c r="CE791" s="935"/>
      <c r="CF791" s="935"/>
      <c r="CG791" s="935"/>
      <c r="CH791" s="935"/>
      <c r="CI791" s="935"/>
      <c r="CJ791" s="935"/>
      <c r="CK791" s="935"/>
      <c r="CL791" s="935"/>
      <c r="CM791" s="935"/>
      <c r="CN791" s="935"/>
      <c r="CO791" s="935"/>
      <c r="CP791" s="935"/>
      <c r="CQ791" s="935"/>
      <c r="CR791" s="935"/>
      <c r="CS791" s="935"/>
      <c r="CT791" s="935"/>
      <c r="CU791" s="935"/>
      <c r="CV791" s="935"/>
      <c r="CY791" s="441" t="s">
        <v>3523</v>
      </c>
    </row>
    <row r="792" spans="1:104" s="441" customFormat="1">
      <c r="A792" s="375">
        <f t="shared" si="228"/>
        <v>10</v>
      </c>
      <c r="B792" s="862">
        <v>44474</v>
      </c>
      <c r="C792" s="493" t="s">
        <v>2000</v>
      </c>
      <c r="D792" s="376" t="str">
        <f>IFERROR(VLOOKUP(E:E,'Item Data Support Sheet'!A:O,7,0),"")</f>
        <v>NIPPLE WRAP PRINTED</v>
      </c>
      <c r="E792" s="447" t="s">
        <v>2091</v>
      </c>
      <c r="F792" s="500"/>
      <c r="G792" s="497" t="s">
        <v>1693</v>
      </c>
      <c r="H792" s="602" t="str">
        <f>IFERROR(VLOOKUP(E:E,'Item Data Support Sheet'!A:O,2,0),"")</f>
        <v>NIPPLE S TYPE LL SIZE WRAPPED</v>
      </c>
      <c r="I792" s="501" t="s">
        <v>3436</v>
      </c>
      <c r="J792" s="501" t="s">
        <v>2812</v>
      </c>
      <c r="K792" s="499">
        <v>5.8</v>
      </c>
      <c r="L792" s="499">
        <v>11132</v>
      </c>
      <c r="M792" s="366">
        <v>1919.3103448275863</v>
      </c>
      <c r="N792" s="367">
        <f t="shared" si="227"/>
        <v>9558</v>
      </c>
      <c r="O792" s="61">
        <v>9558</v>
      </c>
      <c r="P792" s="368">
        <v>0</v>
      </c>
      <c r="Q792" s="368">
        <v>0</v>
      </c>
      <c r="R792" s="494">
        <v>0</v>
      </c>
      <c r="S792" s="493">
        <v>0</v>
      </c>
      <c r="T792" s="494">
        <v>0</v>
      </c>
      <c r="U792" s="493">
        <v>0</v>
      </c>
      <c r="V792" s="502">
        <v>2</v>
      </c>
      <c r="W792" s="453">
        <f t="shared" si="229"/>
        <v>4779</v>
      </c>
      <c r="X792" s="748">
        <f t="shared" si="230"/>
        <v>0.85860582105641392</v>
      </c>
      <c r="Y792" s="451" t="str">
        <f>IFERROR(VLOOKUP(E:E,'Item Data Support Sheet'!A:J,6,0),0)</f>
        <v>FO141</v>
      </c>
      <c r="Z792" s="428">
        <f>IFERROR(VLOOKUP(E:E,'Item Data Support Sheet'!A:O,4,0),0)</f>
        <v>0</v>
      </c>
      <c r="AA792" s="428">
        <f t="shared" si="231"/>
        <v>0</v>
      </c>
      <c r="AB792" s="429" t="str">
        <f t="shared" si="232"/>
        <v xml:space="preserve"> </v>
      </c>
      <c r="AC792" s="424">
        <f t="shared" si="233"/>
        <v>0</v>
      </c>
      <c r="AD792" s="371">
        <f t="shared" si="234"/>
        <v>0</v>
      </c>
      <c r="AE792" s="748">
        <f t="shared" si="235"/>
        <v>1</v>
      </c>
      <c r="AF792" s="417">
        <f t="shared" si="236"/>
        <v>2</v>
      </c>
      <c r="AG792" s="416">
        <f t="shared" si="237"/>
        <v>3.8</v>
      </c>
      <c r="AH792" s="372">
        <f t="shared" si="238"/>
        <v>0.65517241379310343</v>
      </c>
      <c r="AI792" s="373">
        <f t="shared" si="239"/>
        <v>1647.9310344827586</v>
      </c>
      <c r="AJ792" s="418">
        <f>VLOOKUP(D792,'Standard Cycle time'!C:D,2,0)</f>
        <v>2.5</v>
      </c>
      <c r="AK792" s="418">
        <f t="shared" si="240"/>
        <v>2.8625235404896423</v>
      </c>
      <c r="AL792" s="374">
        <f t="shared" si="241"/>
        <v>0.87335526315789469</v>
      </c>
      <c r="AM792" s="372">
        <f t="shared" si="242"/>
        <v>0.57219827586206895</v>
      </c>
      <c r="AN792" s="799">
        <v>0.57219827586206895</v>
      </c>
      <c r="AO792" s="448"/>
      <c r="AP792" s="440">
        <v>0</v>
      </c>
      <c r="AQ792" s="440">
        <v>0</v>
      </c>
      <c r="AR792" s="440">
        <v>0</v>
      </c>
      <c r="AS792" s="440">
        <v>0</v>
      </c>
      <c r="AT792" s="440">
        <v>0</v>
      </c>
      <c r="AU792" s="440">
        <v>0</v>
      </c>
      <c r="AV792" s="440">
        <v>120</v>
      </c>
      <c r="AW792" s="440">
        <v>0</v>
      </c>
      <c r="AX792" s="440">
        <v>0</v>
      </c>
      <c r="AY792" s="440">
        <v>0</v>
      </c>
      <c r="AZ792" s="440">
        <v>0</v>
      </c>
      <c r="BA792" s="440">
        <v>0</v>
      </c>
      <c r="BB792" s="440">
        <v>0</v>
      </c>
      <c r="BC792" s="440">
        <v>0</v>
      </c>
      <c r="BD792" s="440">
        <v>0</v>
      </c>
      <c r="BE792" s="440">
        <v>0</v>
      </c>
      <c r="BF792" s="440">
        <v>0</v>
      </c>
      <c r="BG792" s="440">
        <v>0</v>
      </c>
      <c r="BH792" s="440">
        <v>0</v>
      </c>
      <c r="BI792" s="440">
        <v>0</v>
      </c>
      <c r="BJ792" s="440">
        <v>0</v>
      </c>
      <c r="BK792" s="440">
        <v>0</v>
      </c>
      <c r="BL792" s="440">
        <v>0</v>
      </c>
      <c r="BM792" s="440">
        <v>0</v>
      </c>
      <c r="BN792" s="440">
        <v>0</v>
      </c>
      <c r="BO792" s="440">
        <v>0</v>
      </c>
      <c r="BP792" s="440">
        <v>0</v>
      </c>
      <c r="BQ792" s="440">
        <v>0</v>
      </c>
      <c r="BR792" s="415">
        <v>2</v>
      </c>
      <c r="BS792" s="415">
        <v>2</v>
      </c>
      <c r="BT792" s="935"/>
      <c r="BU792" s="935"/>
      <c r="BV792" s="935"/>
      <c r="BW792" s="935"/>
      <c r="BX792" s="935"/>
      <c r="BY792" s="935"/>
      <c r="BZ792" s="935"/>
      <c r="CA792" s="935"/>
      <c r="CB792" s="935"/>
      <c r="CC792" s="935"/>
      <c r="CD792" s="935"/>
      <c r="CE792" s="935"/>
      <c r="CF792" s="935"/>
      <c r="CG792" s="935"/>
      <c r="CH792" s="935"/>
      <c r="CI792" s="935"/>
      <c r="CJ792" s="935"/>
      <c r="CK792" s="935"/>
      <c r="CL792" s="935"/>
      <c r="CM792" s="935"/>
      <c r="CN792" s="935"/>
      <c r="CO792" s="935"/>
      <c r="CP792" s="935"/>
      <c r="CQ792" s="935"/>
      <c r="CR792" s="935"/>
      <c r="CS792" s="935"/>
      <c r="CT792" s="935"/>
      <c r="CU792" s="935"/>
      <c r="CV792" s="935"/>
    </row>
    <row r="793" spans="1:104" s="441" customFormat="1">
      <c r="A793" s="375">
        <f t="shared" si="228"/>
        <v>10</v>
      </c>
      <c r="B793" s="862">
        <v>44474</v>
      </c>
      <c r="C793" s="493" t="s">
        <v>2001</v>
      </c>
      <c r="D793" s="376" t="str">
        <f>IFERROR(VLOOKUP(E:E,'Item Data Support Sheet'!A:O,7,0),"")</f>
        <v>BOTTLE MOLDED</v>
      </c>
      <c r="E793" s="447" t="s">
        <v>67</v>
      </c>
      <c r="F793" s="500" t="s">
        <v>1682</v>
      </c>
      <c r="G793" s="497" t="s">
        <v>1888</v>
      </c>
      <c r="H793" s="602" t="str">
        <f>IFERROR(VLOOKUP(E:E,'Item Data Support Sheet'!A:O,2,0),"")</f>
        <v>RPP 120 ML BOTTLE MOLDED</v>
      </c>
      <c r="I793" s="501" t="s">
        <v>3524</v>
      </c>
      <c r="J793" s="501" t="s">
        <v>2811</v>
      </c>
      <c r="K793" s="499">
        <v>8</v>
      </c>
      <c r="L793" s="499">
        <v>2574</v>
      </c>
      <c r="M793" s="366">
        <v>321.75</v>
      </c>
      <c r="N793" s="367">
        <f t="shared" si="227"/>
        <v>3143</v>
      </c>
      <c r="O793" s="61">
        <v>3060</v>
      </c>
      <c r="P793" s="368">
        <v>0.2</v>
      </c>
      <c r="Q793" s="368">
        <v>40</v>
      </c>
      <c r="R793" s="494">
        <v>0</v>
      </c>
      <c r="S793" s="493">
        <v>0</v>
      </c>
      <c r="T793" s="494">
        <v>43</v>
      </c>
      <c r="U793" s="493">
        <v>0</v>
      </c>
      <c r="V793" s="502">
        <v>1</v>
      </c>
      <c r="W793" s="453">
        <f t="shared" si="229"/>
        <v>3060</v>
      </c>
      <c r="X793" s="748">
        <f t="shared" si="230"/>
        <v>1.1888111888111887</v>
      </c>
      <c r="Y793" s="451" t="str">
        <f>IFERROR(VLOOKUP(E:E,'Item Data Support Sheet'!A:J,6,0),0)</f>
        <v>HMC</v>
      </c>
      <c r="Z793" s="428">
        <f>IFERROR(VLOOKUP(E:E,'Item Data Support Sheet'!A:O,4,0),0)</f>
        <v>21.3</v>
      </c>
      <c r="AA793" s="428">
        <f t="shared" si="231"/>
        <v>67.145899999999997</v>
      </c>
      <c r="AB793" s="429">
        <f t="shared" si="232"/>
        <v>0.9706921792693225</v>
      </c>
      <c r="AC793" s="424">
        <f t="shared" si="233"/>
        <v>1.3857557202707057E-2</v>
      </c>
      <c r="AD793" s="371">
        <f t="shared" si="234"/>
        <v>1.2566760917373547E-2</v>
      </c>
      <c r="AE793" s="748">
        <f t="shared" si="235"/>
        <v>0.98631880369074132</v>
      </c>
      <c r="AF793" s="417">
        <f t="shared" si="236"/>
        <v>0</v>
      </c>
      <c r="AG793" s="416">
        <f t="shared" si="237"/>
        <v>8</v>
      </c>
      <c r="AH793" s="372">
        <f t="shared" si="238"/>
        <v>1</v>
      </c>
      <c r="AI793" s="373">
        <f t="shared" si="239"/>
        <v>382.5</v>
      </c>
      <c r="AJ793" s="418">
        <f>VLOOKUP(D793,'Standard Cycle time'!C:D,2,0)</f>
        <v>9</v>
      </c>
      <c r="AK793" s="418">
        <f t="shared" si="240"/>
        <v>9.4117647058823533</v>
      </c>
      <c r="AL793" s="374">
        <f t="shared" si="241"/>
        <v>0.95624999999999993</v>
      </c>
      <c r="AM793" s="372">
        <f t="shared" si="242"/>
        <v>0.94316735602927138</v>
      </c>
      <c r="AN793" s="799">
        <v>0.94316735602927138</v>
      </c>
      <c r="AO793" s="448"/>
      <c r="AP793" s="440">
        <v>0</v>
      </c>
      <c r="AQ793" s="440">
        <v>0</v>
      </c>
      <c r="AR793" s="440">
        <v>0</v>
      </c>
      <c r="AS793" s="440">
        <v>0</v>
      </c>
      <c r="AT793" s="440">
        <v>0</v>
      </c>
      <c r="AU793" s="440">
        <v>0</v>
      </c>
      <c r="AV793" s="440">
        <v>0</v>
      </c>
      <c r="AW793" s="440">
        <v>0</v>
      </c>
      <c r="AX793" s="440">
        <v>0</v>
      </c>
      <c r="AY793" s="440">
        <v>0</v>
      </c>
      <c r="AZ793" s="440">
        <v>0</v>
      </c>
      <c r="BA793" s="440">
        <v>0</v>
      </c>
      <c r="BB793" s="440">
        <v>0</v>
      </c>
      <c r="BC793" s="440">
        <v>0</v>
      </c>
      <c r="BD793" s="440">
        <v>0</v>
      </c>
      <c r="BE793" s="440">
        <v>0</v>
      </c>
      <c r="BF793" s="440">
        <v>0</v>
      </c>
      <c r="BG793" s="440">
        <v>0</v>
      </c>
      <c r="BH793" s="440">
        <v>0</v>
      </c>
      <c r="BI793" s="440">
        <v>0</v>
      </c>
      <c r="BJ793" s="440">
        <v>0</v>
      </c>
      <c r="BK793" s="440">
        <v>0</v>
      </c>
      <c r="BL793" s="440">
        <v>0</v>
      </c>
      <c r="BM793" s="440">
        <v>0</v>
      </c>
      <c r="BN793" s="440">
        <v>0</v>
      </c>
      <c r="BO793" s="440">
        <v>0</v>
      </c>
      <c r="BP793" s="440">
        <v>0</v>
      </c>
      <c r="BQ793" s="440">
        <v>0</v>
      </c>
      <c r="BR793" s="415">
        <v>0</v>
      </c>
      <c r="BS793" s="415">
        <v>0</v>
      </c>
      <c r="BT793" s="935"/>
      <c r="BU793" s="935"/>
      <c r="BV793" s="935"/>
      <c r="BW793" s="935"/>
      <c r="BX793" s="935"/>
      <c r="BY793" s="935"/>
      <c r="BZ793" s="935"/>
      <c r="CA793" s="935"/>
      <c r="CB793" s="935"/>
      <c r="CC793" s="935"/>
      <c r="CD793" s="935"/>
      <c r="CE793" s="935"/>
      <c r="CF793" s="935"/>
      <c r="CG793" s="935"/>
      <c r="CH793" s="935"/>
      <c r="CI793" s="935"/>
      <c r="CJ793" s="935"/>
      <c r="CK793" s="935"/>
      <c r="CL793" s="935"/>
      <c r="CM793" s="935"/>
      <c r="CN793" s="935"/>
      <c r="CO793" s="935"/>
      <c r="CP793" s="935"/>
      <c r="CQ793" s="935"/>
      <c r="CR793" s="935"/>
      <c r="CS793" s="935"/>
      <c r="CT793" s="935"/>
      <c r="CU793" s="935"/>
      <c r="CV793" s="935"/>
      <c r="CZ793" s="441">
        <v>67.145899999999997</v>
      </c>
    </row>
    <row r="794" spans="1:104" s="441" customFormat="1">
      <c r="A794" s="375">
        <f t="shared" si="228"/>
        <v>10</v>
      </c>
      <c r="B794" s="862">
        <v>44474</v>
      </c>
      <c r="C794" s="493" t="s">
        <v>2001</v>
      </c>
      <c r="D794" s="376" t="str">
        <f>IFERROR(VLOOKUP(E:E,'Item Data Support Sheet'!A:O,7,0),"")</f>
        <v>NIPPLE MOLDED</v>
      </c>
      <c r="E794" s="447" t="s">
        <v>2484</v>
      </c>
      <c r="F794" s="500" t="s">
        <v>1678</v>
      </c>
      <c r="G794" s="497" t="s">
        <v>1691</v>
      </c>
      <c r="H794" s="602" t="str">
        <f>IFERROR(VLOOKUP(E:E,'Item Data Support Sheet'!A:O,2,0),"")</f>
        <v>NIPPLE S TYPE LL SIZE INJECTION</v>
      </c>
      <c r="I794" s="501"/>
      <c r="J794" s="501" t="s">
        <v>2811</v>
      </c>
      <c r="K794" s="499">
        <v>8</v>
      </c>
      <c r="L794" s="499">
        <v>4815</v>
      </c>
      <c r="M794" s="366">
        <v>601.875</v>
      </c>
      <c r="N794" s="367">
        <f t="shared" si="227"/>
        <v>3800</v>
      </c>
      <c r="O794" s="61">
        <v>3400</v>
      </c>
      <c r="P794" s="368">
        <v>0</v>
      </c>
      <c r="Q794" s="368">
        <v>265</v>
      </c>
      <c r="R794" s="494">
        <v>0</v>
      </c>
      <c r="S794" s="493">
        <v>0</v>
      </c>
      <c r="T794" s="494">
        <v>135</v>
      </c>
      <c r="U794" s="493">
        <v>0</v>
      </c>
      <c r="V794" s="502">
        <v>1</v>
      </c>
      <c r="W794" s="453">
        <f t="shared" si="229"/>
        <v>3400</v>
      </c>
      <c r="X794" s="748">
        <f t="shared" si="230"/>
        <v>0.70612668743509865</v>
      </c>
      <c r="Y794" s="451" t="str">
        <f>IFERROR(VLOOKUP(E:E,'Item Data Support Sheet'!A:J,6,0),0)</f>
        <v>FO148</v>
      </c>
      <c r="Z794" s="428">
        <f>IFERROR(VLOOKUP(E:E,'Item Data Support Sheet'!A:O,4,0),0)</f>
        <v>6.8</v>
      </c>
      <c r="AA794" s="428">
        <f t="shared" si="231"/>
        <v>25.84</v>
      </c>
      <c r="AB794" s="429">
        <f t="shared" si="232"/>
        <v>0.89473684210526305</v>
      </c>
      <c r="AC794" s="424">
        <f t="shared" si="233"/>
        <v>3.818953323903819E-2</v>
      </c>
      <c r="AD794" s="371">
        <f t="shared" si="234"/>
        <v>6.519065190651907E-2</v>
      </c>
      <c r="AE794" s="748">
        <f t="shared" si="235"/>
        <v>0.96447368421052626</v>
      </c>
      <c r="AF794" s="417">
        <f t="shared" si="236"/>
        <v>2</v>
      </c>
      <c r="AG794" s="416">
        <f t="shared" si="237"/>
        <v>6</v>
      </c>
      <c r="AH794" s="372">
        <f t="shared" si="238"/>
        <v>0.75</v>
      </c>
      <c r="AI794" s="373">
        <f t="shared" si="239"/>
        <v>425</v>
      </c>
      <c r="AJ794" s="418">
        <f>VLOOKUP(D794,'Standard Cycle time'!C:D,2,0)</f>
        <v>5.25</v>
      </c>
      <c r="AK794" s="418">
        <f t="shared" si="240"/>
        <v>6.3529411764705879</v>
      </c>
      <c r="AL794" s="374">
        <f t="shared" si="241"/>
        <v>0.82638888888888895</v>
      </c>
      <c r="AM794" s="372">
        <f t="shared" si="242"/>
        <v>0.59777275219298243</v>
      </c>
      <c r="AN794" s="799">
        <v>0.59777275219298243</v>
      </c>
      <c r="AO794" s="448" t="s">
        <v>3525</v>
      </c>
      <c r="AP794" s="440">
        <v>0</v>
      </c>
      <c r="AQ794" s="440">
        <v>0</v>
      </c>
      <c r="AR794" s="440">
        <v>0</v>
      </c>
      <c r="AS794" s="440">
        <v>0</v>
      </c>
      <c r="AT794" s="440">
        <v>0</v>
      </c>
      <c r="AU794" s="440">
        <v>30</v>
      </c>
      <c r="AV794" s="440">
        <v>60</v>
      </c>
      <c r="AW794" s="440">
        <v>30</v>
      </c>
      <c r="AX794" s="440">
        <v>0</v>
      </c>
      <c r="AY794" s="440">
        <v>0</v>
      </c>
      <c r="AZ794" s="440">
        <v>0</v>
      </c>
      <c r="BA794" s="440">
        <v>0</v>
      </c>
      <c r="BB794" s="440">
        <v>0</v>
      </c>
      <c r="BC794" s="440">
        <v>0</v>
      </c>
      <c r="BD794" s="440">
        <v>0</v>
      </c>
      <c r="BE794" s="440">
        <v>0</v>
      </c>
      <c r="BF794" s="440">
        <v>0</v>
      </c>
      <c r="BG794" s="440">
        <v>0</v>
      </c>
      <c r="BH794" s="440">
        <v>0</v>
      </c>
      <c r="BI794" s="440">
        <v>0</v>
      </c>
      <c r="BJ794" s="440">
        <v>0</v>
      </c>
      <c r="BK794" s="440">
        <v>0</v>
      </c>
      <c r="BL794" s="440">
        <v>0</v>
      </c>
      <c r="BM794" s="440">
        <v>0</v>
      </c>
      <c r="BN794" s="440">
        <v>0</v>
      </c>
      <c r="BO794" s="440">
        <v>0</v>
      </c>
      <c r="BP794" s="440">
        <v>0</v>
      </c>
      <c r="BQ794" s="440">
        <v>0</v>
      </c>
      <c r="BR794" s="415">
        <v>2</v>
      </c>
      <c r="BS794" s="415">
        <v>2</v>
      </c>
      <c r="BT794" s="935"/>
      <c r="BU794" s="935"/>
      <c r="BV794" s="935"/>
      <c r="BW794" s="935"/>
      <c r="BX794" s="935"/>
      <c r="BY794" s="935"/>
      <c r="BZ794" s="935"/>
      <c r="CA794" s="935"/>
      <c r="CB794" s="935"/>
      <c r="CC794" s="935"/>
      <c r="CD794" s="935"/>
      <c r="CE794" s="935"/>
      <c r="CF794" s="935"/>
      <c r="CG794" s="935"/>
      <c r="CH794" s="935"/>
      <c r="CI794" s="935"/>
      <c r="CJ794" s="935"/>
      <c r="CK794" s="935"/>
      <c r="CL794" s="935"/>
      <c r="CM794" s="935"/>
      <c r="CN794" s="935"/>
      <c r="CO794" s="935"/>
      <c r="CP794" s="935"/>
      <c r="CQ794" s="935"/>
      <c r="CR794" s="935"/>
      <c r="CS794" s="935"/>
      <c r="CT794" s="935"/>
      <c r="CU794" s="935"/>
      <c r="CV794" s="935"/>
    </row>
    <row r="795" spans="1:104" s="441" customFormat="1">
      <c r="A795" s="375">
        <f t="shared" si="228"/>
        <v>10</v>
      </c>
      <c r="B795" s="862">
        <v>44474</v>
      </c>
      <c r="C795" s="493" t="s">
        <v>2001</v>
      </c>
      <c r="D795" s="376" t="str">
        <f>IFERROR(VLOOKUP(E:E,'Item Data Support Sheet'!A:O,7,0),"")</f>
        <v>CAP MOLDED</v>
      </c>
      <c r="E795" s="447" t="s">
        <v>2106</v>
      </c>
      <c r="F795" s="500"/>
      <c r="G795" s="497" t="s">
        <v>3212</v>
      </c>
      <c r="H795" s="602" t="str">
        <f>IFERROR(VLOOKUP(E:E,'Item Data Support Sheet'!A:O,2,0),"")</f>
        <v>CAP S TYPE MOLDED RED</v>
      </c>
      <c r="I795" s="501" t="s">
        <v>3526</v>
      </c>
      <c r="J795" s="501" t="s">
        <v>2811</v>
      </c>
      <c r="K795" s="499">
        <v>2</v>
      </c>
      <c r="L795" s="499">
        <v>1034</v>
      </c>
      <c r="M795" s="366">
        <v>517</v>
      </c>
      <c r="N795" s="367">
        <f t="shared" si="227"/>
        <v>1000</v>
      </c>
      <c r="O795" s="61">
        <v>1000</v>
      </c>
      <c r="P795" s="368">
        <v>0</v>
      </c>
      <c r="Q795" s="368">
        <v>0</v>
      </c>
      <c r="R795" s="494">
        <v>0</v>
      </c>
      <c r="S795" s="493">
        <v>0</v>
      </c>
      <c r="T795" s="494">
        <v>0</v>
      </c>
      <c r="U795" s="493">
        <v>0</v>
      </c>
      <c r="V795" s="502">
        <v>1</v>
      </c>
      <c r="W795" s="453">
        <f t="shared" si="229"/>
        <v>1000</v>
      </c>
      <c r="X795" s="748">
        <f t="shared" si="230"/>
        <v>0.96711798839458418</v>
      </c>
      <c r="Y795" s="451" t="str">
        <f>IFERROR(VLOOKUP(E:E,'Item Data Support Sheet'!A:J,6,0),0)</f>
        <v>FO153</v>
      </c>
      <c r="Z795" s="428">
        <f>IFERROR(VLOOKUP(E:E,'Item Data Support Sheet'!A:O,4,0),0)</f>
        <v>7.3</v>
      </c>
      <c r="AA795" s="428">
        <f t="shared" si="231"/>
        <v>7.3</v>
      </c>
      <c r="AB795" s="429">
        <f t="shared" si="232"/>
        <v>1</v>
      </c>
      <c r="AC795" s="424">
        <f t="shared" si="233"/>
        <v>0</v>
      </c>
      <c r="AD795" s="371">
        <f t="shared" si="234"/>
        <v>0</v>
      </c>
      <c r="AE795" s="748">
        <f t="shared" si="235"/>
        <v>1</v>
      </c>
      <c r="AF795" s="417">
        <f t="shared" si="236"/>
        <v>0.5</v>
      </c>
      <c r="AG795" s="416">
        <f t="shared" si="237"/>
        <v>1.5</v>
      </c>
      <c r="AH795" s="372">
        <f t="shared" si="238"/>
        <v>0.75</v>
      </c>
      <c r="AI795" s="373">
        <f t="shared" si="239"/>
        <v>500</v>
      </c>
      <c r="AJ795" s="418">
        <f>VLOOKUP(D795,'Standard Cycle time'!C:D,2,0)</f>
        <v>6</v>
      </c>
      <c r="AK795" s="418">
        <f t="shared" si="240"/>
        <v>5.4</v>
      </c>
      <c r="AL795" s="374">
        <f t="shared" si="241"/>
        <v>1.1111111111111109</v>
      </c>
      <c r="AM795" s="372">
        <f t="shared" si="242"/>
        <v>0.83333333333333326</v>
      </c>
      <c r="AN795" s="799">
        <v>0.83333333333333326</v>
      </c>
      <c r="AO795" s="448"/>
      <c r="AP795" s="440">
        <v>0</v>
      </c>
      <c r="AQ795" s="440">
        <v>0</v>
      </c>
      <c r="AR795" s="440">
        <v>0</v>
      </c>
      <c r="AS795" s="440">
        <v>0</v>
      </c>
      <c r="AT795" s="440">
        <v>0</v>
      </c>
      <c r="AU795" s="440">
        <v>0</v>
      </c>
      <c r="AV795" s="440">
        <v>0</v>
      </c>
      <c r="AW795" s="440">
        <v>30</v>
      </c>
      <c r="AX795" s="440">
        <v>0</v>
      </c>
      <c r="AY795" s="440">
        <v>0</v>
      </c>
      <c r="AZ795" s="440">
        <v>0</v>
      </c>
      <c r="BA795" s="440">
        <v>0</v>
      </c>
      <c r="BB795" s="440">
        <v>0</v>
      </c>
      <c r="BC795" s="440">
        <v>0</v>
      </c>
      <c r="BD795" s="440">
        <v>0</v>
      </c>
      <c r="BE795" s="440">
        <v>0</v>
      </c>
      <c r="BF795" s="440">
        <v>0</v>
      </c>
      <c r="BG795" s="440">
        <v>0</v>
      </c>
      <c r="BH795" s="440">
        <v>0</v>
      </c>
      <c r="BI795" s="440">
        <v>0</v>
      </c>
      <c r="BJ795" s="440">
        <v>0</v>
      </c>
      <c r="BK795" s="440">
        <v>0</v>
      </c>
      <c r="BL795" s="440">
        <v>0</v>
      </c>
      <c r="BM795" s="440">
        <v>0</v>
      </c>
      <c r="BN795" s="440">
        <v>0</v>
      </c>
      <c r="BO795" s="440">
        <v>0</v>
      </c>
      <c r="BP795" s="440">
        <v>0</v>
      </c>
      <c r="BQ795" s="440">
        <v>0</v>
      </c>
      <c r="BR795" s="415">
        <v>0.5</v>
      </c>
      <c r="BS795" s="415">
        <v>0.5</v>
      </c>
      <c r="BT795" s="935"/>
      <c r="BU795" s="935"/>
      <c r="BV795" s="935"/>
      <c r="BW795" s="935"/>
      <c r="BX795" s="935"/>
      <c r="BY795" s="935"/>
      <c r="BZ795" s="935"/>
      <c r="CA795" s="935"/>
      <c r="CB795" s="935"/>
      <c r="CC795" s="935"/>
      <c r="CD795" s="935"/>
      <c r="CE795" s="935"/>
      <c r="CF795" s="935"/>
      <c r="CG795" s="935"/>
      <c r="CH795" s="935"/>
      <c r="CI795" s="935"/>
      <c r="CJ795" s="935"/>
      <c r="CK795" s="935"/>
      <c r="CL795" s="935"/>
      <c r="CM795" s="935"/>
      <c r="CN795" s="935"/>
      <c r="CO795" s="935"/>
      <c r="CP795" s="935"/>
      <c r="CQ795" s="935"/>
      <c r="CR795" s="935"/>
      <c r="CS795" s="935"/>
      <c r="CT795" s="935"/>
      <c r="CU795" s="935"/>
      <c r="CV795" s="935"/>
    </row>
    <row r="796" spans="1:104" s="441" customFormat="1">
      <c r="A796" s="375">
        <f t="shared" si="228"/>
        <v>10</v>
      </c>
      <c r="B796" s="862">
        <v>44474</v>
      </c>
      <c r="C796" s="493" t="s">
        <v>2001</v>
      </c>
      <c r="D796" s="376" t="str">
        <f>IFERROR(VLOOKUP(E:E,'Item Data Support Sheet'!A:O,7,0),"")</f>
        <v>CAP MOLDED</v>
      </c>
      <c r="E796" s="447" t="s">
        <v>2106</v>
      </c>
      <c r="F796" s="500"/>
      <c r="G796" s="497" t="s">
        <v>3468</v>
      </c>
      <c r="H796" s="602" t="str">
        <f>IFERROR(VLOOKUP(E:E,'Item Data Support Sheet'!A:O,2,0),"")</f>
        <v>CAP S TYPE MOLDED RED</v>
      </c>
      <c r="I796" s="501" t="s">
        <v>3527</v>
      </c>
      <c r="J796" s="501" t="s">
        <v>2811</v>
      </c>
      <c r="K796" s="499">
        <v>6</v>
      </c>
      <c r="L796" s="499">
        <v>3102</v>
      </c>
      <c r="M796" s="366">
        <v>517</v>
      </c>
      <c r="N796" s="367">
        <f t="shared" si="227"/>
        <v>3308</v>
      </c>
      <c r="O796" s="61">
        <v>3304</v>
      </c>
      <c r="P796" s="368">
        <v>0</v>
      </c>
      <c r="Q796" s="368">
        <v>0</v>
      </c>
      <c r="R796" s="494">
        <v>0</v>
      </c>
      <c r="S796" s="493">
        <v>0</v>
      </c>
      <c r="T796" s="494">
        <v>4</v>
      </c>
      <c r="U796" s="493">
        <v>0</v>
      </c>
      <c r="V796" s="502">
        <v>1</v>
      </c>
      <c r="W796" s="453">
        <f t="shared" si="229"/>
        <v>3304</v>
      </c>
      <c r="X796" s="748">
        <f t="shared" si="230"/>
        <v>1.0651192778852354</v>
      </c>
      <c r="Y796" s="451" t="str">
        <f>IFERROR(VLOOKUP(E:E,'Item Data Support Sheet'!A:J,6,0),0)</f>
        <v>FO153</v>
      </c>
      <c r="Z796" s="428">
        <f>IFERROR(VLOOKUP(E:E,'Item Data Support Sheet'!A:O,4,0),0)</f>
        <v>7.3</v>
      </c>
      <c r="AA796" s="428">
        <f t="shared" si="231"/>
        <v>24.148399999999999</v>
      </c>
      <c r="AB796" s="429">
        <f t="shared" si="232"/>
        <v>0.99879081015719473</v>
      </c>
      <c r="AC796" s="424">
        <f t="shared" si="233"/>
        <v>1.2091898428053204E-3</v>
      </c>
      <c r="AD796" s="371">
        <f t="shared" si="234"/>
        <v>0</v>
      </c>
      <c r="AE796" s="748">
        <f t="shared" si="235"/>
        <v>0.99879081015719473</v>
      </c>
      <c r="AF796" s="417">
        <f t="shared" si="236"/>
        <v>0</v>
      </c>
      <c r="AG796" s="416">
        <f t="shared" si="237"/>
        <v>6</v>
      </c>
      <c r="AH796" s="372">
        <f t="shared" si="238"/>
        <v>1</v>
      </c>
      <c r="AI796" s="373">
        <f t="shared" si="239"/>
        <v>550.66666666666663</v>
      </c>
      <c r="AJ796" s="418">
        <f>VLOOKUP(D796,'Standard Cycle time'!C:D,2,0)</f>
        <v>6</v>
      </c>
      <c r="AK796" s="418">
        <f t="shared" si="240"/>
        <v>6.5375302663438255</v>
      </c>
      <c r="AL796" s="374">
        <f t="shared" si="241"/>
        <v>0.9177777777777778</v>
      </c>
      <c r="AM796" s="372">
        <f t="shared" si="242"/>
        <v>0.91666801021093647</v>
      </c>
      <c r="AN796" s="799">
        <v>0.91666801021093647</v>
      </c>
      <c r="AO796" s="448"/>
      <c r="AP796" s="440">
        <v>0</v>
      </c>
      <c r="AQ796" s="440">
        <v>0</v>
      </c>
      <c r="AR796" s="440">
        <v>0</v>
      </c>
      <c r="AS796" s="440">
        <v>0</v>
      </c>
      <c r="AT796" s="440">
        <v>0</v>
      </c>
      <c r="AU796" s="440">
        <v>0</v>
      </c>
      <c r="AV796" s="440">
        <v>0</v>
      </c>
      <c r="AW796" s="440">
        <v>0</v>
      </c>
      <c r="AX796" s="440">
        <v>0</v>
      </c>
      <c r="AY796" s="440">
        <v>0</v>
      </c>
      <c r="AZ796" s="440">
        <v>0</v>
      </c>
      <c r="BA796" s="440">
        <v>0</v>
      </c>
      <c r="BB796" s="440">
        <v>0</v>
      </c>
      <c r="BC796" s="440">
        <v>0</v>
      </c>
      <c r="BD796" s="440">
        <v>0</v>
      </c>
      <c r="BE796" s="440">
        <v>0</v>
      </c>
      <c r="BF796" s="440">
        <v>0</v>
      </c>
      <c r="BG796" s="440">
        <v>0</v>
      </c>
      <c r="BH796" s="440">
        <v>0</v>
      </c>
      <c r="BI796" s="440">
        <v>0</v>
      </c>
      <c r="BJ796" s="440">
        <v>0</v>
      </c>
      <c r="BK796" s="440">
        <v>0</v>
      </c>
      <c r="BL796" s="440">
        <v>0</v>
      </c>
      <c r="BM796" s="440">
        <v>0</v>
      </c>
      <c r="BN796" s="440">
        <v>0</v>
      </c>
      <c r="BO796" s="440">
        <v>0</v>
      </c>
      <c r="BP796" s="440">
        <v>0</v>
      </c>
      <c r="BQ796" s="440">
        <v>0</v>
      </c>
      <c r="BR796" s="415">
        <v>0</v>
      </c>
      <c r="BS796" s="415">
        <v>0</v>
      </c>
      <c r="BT796" s="935"/>
      <c r="BU796" s="935"/>
      <c r="BV796" s="935"/>
      <c r="BW796" s="935"/>
      <c r="BX796" s="935"/>
      <c r="BY796" s="935"/>
      <c r="BZ796" s="935"/>
      <c r="CA796" s="935"/>
      <c r="CB796" s="935"/>
      <c r="CC796" s="935"/>
      <c r="CD796" s="935"/>
      <c r="CE796" s="935"/>
      <c r="CF796" s="935"/>
      <c r="CG796" s="935"/>
      <c r="CH796" s="935"/>
      <c r="CI796" s="935"/>
      <c r="CJ796" s="935"/>
      <c r="CK796" s="935"/>
      <c r="CL796" s="935"/>
      <c r="CM796" s="935"/>
      <c r="CN796" s="935"/>
      <c r="CO796" s="935"/>
      <c r="CP796" s="935"/>
      <c r="CQ796" s="935"/>
      <c r="CR796" s="935"/>
      <c r="CS796" s="935"/>
      <c r="CT796" s="935"/>
      <c r="CU796" s="935"/>
      <c r="CV796" s="935"/>
    </row>
    <row r="797" spans="1:104" s="441" customFormat="1">
      <c r="A797" s="375">
        <f t="shared" si="228"/>
        <v>10</v>
      </c>
      <c r="B797" s="862">
        <v>44474</v>
      </c>
      <c r="C797" s="493" t="s">
        <v>2001</v>
      </c>
      <c r="D797" s="376" t="str">
        <f>IFERROR(VLOOKUP(E:E,'Item Data Support Sheet'!A:O,7,0),"")</f>
        <v>NIPPLE PUNCH</v>
      </c>
      <c r="E797" s="447" t="s">
        <v>2486</v>
      </c>
      <c r="F797" s="500"/>
      <c r="G797" s="497"/>
      <c r="H797" s="602" t="str">
        <f>IFERROR(VLOOKUP(E:E,'Item Data Support Sheet'!A:O,2,0),"")</f>
        <v>NIPPLE S TYPE LL SIZE PUNCHED</v>
      </c>
      <c r="I797" s="501" t="s">
        <v>3528</v>
      </c>
      <c r="J797" s="501" t="s">
        <v>2811</v>
      </c>
      <c r="K797" s="499">
        <v>8</v>
      </c>
      <c r="L797" s="499">
        <v>7000</v>
      </c>
      <c r="M797" s="366">
        <v>875</v>
      </c>
      <c r="N797" s="367">
        <f t="shared" si="227"/>
        <v>3699</v>
      </c>
      <c r="O797" s="61">
        <v>3699</v>
      </c>
      <c r="P797" s="368">
        <v>0</v>
      </c>
      <c r="Q797" s="368">
        <v>0</v>
      </c>
      <c r="R797" s="494">
        <v>0</v>
      </c>
      <c r="S797" s="493">
        <v>0</v>
      </c>
      <c r="T797" s="494">
        <v>0</v>
      </c>
      <c r="U797" s="493">
        <v>0</v>
      </c>
      <c r="V797" s="502">
        <v>1</v>
      </c>
      <c r="W797" s="453">
        <f t="shared" si="229"/>
        <v>3699</v>
      </c>
      <c r="X797" s="748">
        <f t="shared" si="230"/>
        <v>0.52842857142857147</v>
      </c>
      <c r="Y797" s="451" t="str">
        <f>IFERROR(VLOOKUP(E:E,'Item Data Support Sheet'!A:J,6,0),0)</f>
        <v>FO150</v>
      </c>
      <c r="Z797" s="428">
        <f>IFERROR(VLOOKUP(E:E,'Item Data Support Sheet'!A:O,4,0),0)</f>
        <v>0</v>
      </c>
      <c r="AA797" s="428">
        <f t="shared" si="231"/>
        <v>0</v>
      </c>
      <c r="AB797" s="429" t="str">
        <f t="shared" si="232"/>
        <v xml:space="preserve"> </v>
      </c>
      <c r="AC797" s="424">
        <f t="shared" si="233"/>
        <v>0</v>
      </c>
      <c r="AD797" s="371">
        <f t="shared" si="234"/>
        <v>0</v>
      </c>
      <c r="AE797" s="748">
        <f t="shared" si="235"/>
        <v>1</v>
      </c>
      <c r="AF797" s="417">
        <f t="shared" si="236"/>
        <v>2.6666666666666665</v>
      </c>
      <c r="AG797" s="416">
        <f t="shared" si="237"/>
        <v>5.3333333333333339</v>
      </c>
      <c r="AH797" s="372">
        <f t="shared" si="238"/>
        <v>0.66666666666666674</v>
      </c>
      <c r="AI797" s="373">
        <f t="shared" si="239"/>
        <v>462.375</v>
      </c>
      <c r="AJ797" s="418">
        <f>VLOOKUP(D797,'Standard Cycle time'!C:D,2,0)</f>
        <v>3.5</v>
      </c>
      <c r="AK797" s="418">
        <f t="shared" si="240"/>
        <v>5.1905920519059219</v>
      </c>
      <c r="AL797" s="374">
        <f t="shared" si="241"/>
        <v>0.6742968749999998</v>
      </c>
      <c r="AM797" s="372">
        <f t="shared" si="242"/>
        <v>0.44953124999999994</v>
      </c>
      <c r="AN797" s="799">
        <v>0.44953124999999994</v>
      </c>
      <c r="AO797" s="448" t="s">
        <v>2835</v>
      </c>
      <c r="AP797" s="440">
        <v>40</v>
      </c>
      <c r="AQ797" s="440">
        <v>0</v>
      </c>
      <c r="AR797" s="440">
        <v>0</v>
      </c>
      <c r="AS797" s="440">
        <v>120</v>
      </c>
      <c r="AT797" s="440">
        <v>0</v>
      </c>
      <c r="AU797" s="440">
        <v>0</v>
      </c>
      <c r="AV797" s="440">
        <v>0</v>
      </c>
      <c r="AW797" s="440">
        <v>0</v>
      </c>
      <c r="AX797" s="440">
        <v>0</v>
      </c>
      <c r="AY797" s="440">
        <v>0</v>
      </c>
      <c r="AZ797" s="440">
        <v>0</v>
      </c>
      <c r="BA797" s="440">
        <v>0</v>
      </c>
      <c r="BB797" s="440">
        <v>0</v>
      </c>
      <c r="BC797" s="440">
        <v>0</v>
      </c>
      <c r="BD797" s="440">
        <v>0</v>
      </c>
      <c r="BE797" s="440">
        <v>0</v>
      </c>
      <c r="BF797" s="440">
        <v>0</v>
      </c>
      <c r="BG797" s="440">
        <v>0</v>
      </c>
      <c r="BH797" s="440">
        <v>0</v>
      </c>
      <c r="BI797" s="440">
        <v>0</v>
      </c>
      <c r="BJ797" s="440">
        <v>0</v>
      </c>
      <c r="BK797" s="440">
        <v>0</v>
      </c>
      <c r="BL797" s="440">
        <v>0</v>
      </c>
      <c r="BM797" s="440">
        <v>0</v>
      </c>
      <c r="BN797" s="440">
        <v>0</v>
      </c>
      <c r="BO797" s="440">
        <v>0</v>
      </c>
      <c r="BP797" s="440">
        <v>0</v>
      </c>
      <c r="BQ797" s="440">
        <v>0</v>
      </c>
      <c r="BR797" s="415">
        <v>2.6666666666666665</v>
      </c>
      <c r="BS797" s="415">
        <v>2.6666666666666665</v>
      </c>
      <c r="BT797" s="935"/>
      <c r="BU797" s="935"/>
      <c r="BV797" s="935"/>
      <c r="BW797" s="935"/>
      <c r="BX797" s="935"/>
      <c r="BY797" s="935"/>
      <c r="BZ797" s="935"/>
      <c r="CA797" s="935"/>
      <c r="CB797" s="935"/>
      <c r="CC797" s="935"/>
      <c r="CD797" s="935"/>
      <c r="CE797" s="935"/>
      <c r="CF797" s="935"/>
      <c r="CG797" s="935"/>
      <c r="CH797" s="935"/>
      <c r="CI797" s="935"/>
      <c r="CJ797" s="935"/>
      <c r="CK797" s="935"/>
      <c r="CL797" s="935"/>
      <c r="CM797" s="935"/>
      <c r="CN797" s="935"/>
      <c r="CO797" s="935"/>
      <c r="CP797" s="935"/>
      <c r="CQ797" s="935"/>
      <c r="CR797" s="935"/>
      <c r="CS797" s="935"/>
      <c r="CT797" s="935"/>
      <c r="CU797" s="935"/>
      <c r="CV797" s="935"/>
    </row>
    <row r="798" spans="1:104" s="441" customFormat="1">
      <c r="A798" s="375">
        <f t="shared" si="228"/>
        <v>10</v>
      </c>
      <c r="B798" s="862">
        <v>44474</v>
      </c>
      <c r="C798" s="493" t="s">
        <v>2001</v>
      </c>
      <c r="D798" s="376" t="str">
        <f>IFERROR(VLOOKUP(E:E,'Item Data Support Sheet'!A:O,7,0),"")</f>
        <v>NIPPLE LASER MARKING</v>
      </c>
      <c r="E798" s="447" t="s">
        <v>2487</v>
      </c>
      <c r="F798" s="500"/>
      <c r="G798" s="497" t="s">
        <v>1812</v>
      </c>
      <c r="H798" s="602" t="str">
        <f>IFERROR(VLOOKUP(E:E,'Item Data Support Sheet'!A:O,2,0),"")</f>
        <v>NIPPLE S TYPE LL SIZE LASER MARKED</v>
      </c>
      <c r="I798" s="501" t="s">
        <v>3529</v>
      </c>
      <c r="J798" s="501" t="s">
        <v>2811</v>
      </c>
      <c r="K798" s="499">
        <v>8</v>
      </c>
      <c r="L798" s="499">
        <v>7000</v>
      </c>
      <c r="M798" s="366">
        <v>875</v>
      </c>
      <c r="N798" s="367">
        <f t="shared" si="227"/>
        <v>4299</v>
      </c>
      <c r="O798" s="61">
        <v>4299</v>
      </c>
      <c r="P798" s="368">
        <v>0</v>
      </c>
      <c r="Q798" s="368">
        <v>0</v>
      </c>
      <c r="R798" s="494">
        <v>0</v>
      </c>
      <c r="S798" s="493">
        <v>0</v>
      </c>
      <c r="T798" s="494">
        <v>0</v>
      </c>
      <c r="U798" s="493">
        <v>0</v>
      </c>
      <c r="V798" s="502">
        <v>1</v>
      </c>
      <c r="W798" s="453">
        <f t="shared" si="229"/>
        <v>4299</v>
      </c>
      <c r="X798" s="748">
        <f t="shared" si="230"/>
        <v>0.6141428571428571</v>
      </c>
      <c r="Y798" s="451" t="str">
        <f>IFERROR(VLOOKUP(E:E,'Item Data Support Sheet'!A:J,6,0),0)</f>
        <v>FO151</v>
      </c>
      <c r="Z798" s="428">
        <f>IFERROR(VLOOKUP(E:E,'Item Data Support Sheet'!A:O,4,0),0)</f>
        <v>0</v>
      </c>
      <c r="AA798" s="428">
        <f t="shared" si="231"/>
        <v>0</v>
      </c>
      <c r="AB798" s="429" t="str">
        <f t="shared" si="232"/>
        <v xml:space="preserve"> </v>
      </c>
      <c r="AC798" s="424">
        <f t="shared" si="233"/>
        <v>0</v>
      </c>
      <c r="AD798" s="371">
        <f t="shared" si="234"/>
        <v>0</v>
      </c>
      <c r="AE798" s="748">
        <f t="shared" si="235"/>
        <v>1</v>
      </c>
      <c r="AF798" s="417">
        <f t="shared" si="236"/>
        <v>2.6666666666666665</v>
      </c>
      <c r="AG798" s="416">
        <f t="shared" si="237"/>
        <v>5.3333333333333339</v>
      </c>
      <c r="AH798" s="372">
        <f t="shared" si="238"/>
        <v>0.66666666666666674</v>
      </c>
      <c r="AI798" s="373">
        <f t="shared" si="239"/>
        <v>537.375</v>
      </c>
      <c r="AJ798" s="418">
        <f>VLOOKUP(D798,'Standard Cycle time'!C:D,2,0)</f>
        <v>3.5</v>
      </c>
      <c r="AK798" s="418">
        <f t="shared" si="240"/>
        <v>4.4661549197487798</v>
      </c>
      <c r="AL798" s="374">
        <f t="shared" si="241"/>
        <v>0.7836718749999998</v>
      </c>
      <c r="AM798" s="372">
        <f t="shared" si="242"/>
        <v>0.52244791666666657</v>
      </c>
      <c r="AN798" s="799">
        <v>0.52244791666666657</v>
      </c>
      <c r="AO798" s="448" t="s">
        <v>2835</v>
      </c>
      <c r="AP798" s="440">
        <v>40</v>
      </c>
      <c r="AQ798" s="440">
        <v>0</v>
      </c>
      <c r="AR798" s="440">
        <v>0</v>
      </c>
      <c r="AS798" s="440">
        <v>120</v>
      </c>
      <c r="AT798" s="440">
        <v>0</v>
      </c>
      <c r="AU798" s="440">
        <v>0</v>
      </c>
      <c r="AV798" s="440">
        <v>0</v>
      </c>
      <c r="AW798" s="440">
        <v>0</v>
      </c>
      <c r="AX798" s="440">
        <v>0</v>
      </c>
      <c r="AY798" s="440">
        <v>0</v>
      </c>
      <c r="AZ798" s="440">
        <v>0</v>
      </c>
      <c r="BA798" s="440">
        <v>0</v>
      </c>
      <c r="BB798" s="440">
        <v>0</v>
      </c>
      <c r="BC798" s="440">
        <v>0</v>
      </c>
      <c r="BD798" s="440">
        <v>0</v>
      </c>
      <c r="BE798" s="440">
        <v>0</v>
      </c>
      <c r="BF798" s="440">
        <v>0</v>
      </c>
      <c r="BG798" s="440">
        <v>0</v>
      </c>
      <c r="BH798" s="440">
        <v>0</v>
      </c>
      <c r="BI798" s="440">
        <v>0</v>
      </c>
      <c r="BJ798" s="440">
        <v>0</v>
      </c>
      <c r="BK798" s="440">
        <v>0</v>
      </c>
      <c r="BL798" s="440">
        <v>0</v>
      </c>
      <c r="BM798" s="440">
        <v>0</v>
      </c>
      <c r="BN798" s="440">
        <v>0</v>
      </c>
      <c r="BO798" s="440">
        <v>0</v>
      </c>
      <c r="BP798" s="440">
        <v>0</v>
      </c>
      <c r="BQ798" s="440">
        <v>0</v>
      </c>
      <c r="BR798" s="415">
        <v>2.6666666666666665</v>
      </c>
      <c r="BS798" s="415">
        <v>2.6666666666666665</v>
      </c>
      <c r="BT798" s="935"/>
      <c r="BU798" s="935"/>
      <c r="BV798" s="935"/>
      <c r="BW798" s="935"/>
      <c r="BX798" s="935"/>
      <c r="BY798" s="935"/>
      <c r="BZ798" s="935"/>
      <c r="CA798" s="935"/>
      <c r="CB798" s="935"/>
      <c r="CC798" s="935"/>
      <c r="CD798" s="935"/>
      <c r="CE798" s="935"/>
      <c r="CF798" s="935"/>
      <c r="CG798" s="935"/>
      <c r="CH798" s="935"/>
      <c r="CI798" s="935"/>
      <c r="CJ798" s="935"/>
      <c r="CK798" s="935"/>
      <c r="CL798" s="935"/>
      <c r="CM798" s="935"/>
      <c r="CN798" s="935"/>
      <c r="CO798" s="935"/>
      <c r="CP798" s="935"/>
      <c r="CQ798" s="935"/>
      <c r="CR798" s="935"/>
      <c r="CS798" s="935"/>
      <c r="CT798" s="935"/>
      <c r="CU798" s="935"/>
      <c r="CV798" s="935"/>
    </row>
    <row r="799" spans="1:104" s="441" customFormat="1">
      <c r="A799" s="375">
        <f t="shared" si="228"/>
        <v>10</v>
      </c>
      <c r="B799" s="862">
        <v>44474</v>
      </c>
      <c r="C799" s="493" t="s">
        <v>2001</v>
      </c>
      <c r="D799" s="376" t="str">
        <f>IFERROR(VLOOKUP(E:E,'Item Data Support Sheet'!A:O,7,0),"")</f>
        <v>BOTTLE PRINTED</v>
      </c>
      <c r="E799" s="447" t="s">
        <v>71</v>
      </c>
      <c r="F799" s="500"/>
      <c r="G799" s="497"/>
      <c r="H799" s="602" t="str">
        <f>IFERROR(VLOOKUP(E:E,'Item Data Support Sheet'!A:O,2,0),"")</f>
        <v>RPP 120 ML BOTTLE PRINTED</v>
      </c>
      <c r="I799" s="501" t="s">
        <v>3530</v>
      </c>
      <c r="J799" s="501" t="s">
        <v>2813</v>
      </c>
      <c r="K799" s="499">
        <v>8</v>
      </c>
      <c r="L799" s="499">
        <v>5800</v>
      </c>
      <c r="M799" s="366">
        <v>725</v>
      </c>
      <c r="N799" s="367">
        <f t="shared" si="227"/>
        <v>7231</v>
      </c>
      <c r="O799" s="61">
        <v>7200</v>
      </c>
      <c r="P799" s="368">
        <v>0</v>
      </c>
      <c r="Q799" s="368">
        <v>0</v>
      </c>
      <c r="R799" s="494">
        <v>0</v>
      </c>
      <c r="S799" s="493">
        <v>0</v>
      </c>
      <c r="T799" s="494">
        <v>31</v>
      </c>
      <c r="U799" s="493">
        <v>0</v>
      </c>
      <c r="V799" s="502">
        <v>5</v>
      </c>
      <c r="W799" s="453">
        <f t="shared" si="229"/>
        <v>1440</v>
      </c>
      <c r="X799" s="748">
        <f t="shared" si="230"/>
        <v>1.2413793103448276</v>
      </c>
      <c r="Y799" s="451" t="str">
        <f>IFERROR(VLOOKUP(E:E,'Item Data Support Sheet'!A:J,6,0),0)</f>
        <v>FO004</v>
      </c>
      <c r="Z799" s="428">
        <f>IFERROR(VLOOKUP(E:E,'Item Data Support Sheet'!A:O,4,0),0)</f>
        <v>0</v>
      </c>
      <c r="AA799" s="428">
        <f t="shared" si="231"/>
        <v>0</v>
      </c>
      <c r="AB799" s="429" t="str">
        <f t="shared" si="232"/>
        <v xml:space="preserve"> </v>
      </c>
      <c r="AC799" s="424">
        <f t="shared" si="233"/>
        <v>4.2870972203014794E-3</v>
      </c>
      <c r="AD799" s="371">
        <f t="shared" si="234"/>
        <v>0</v>
      </c>
      <c r="AE799" s="748">
        <f t="shared" si="235"/>
        <v>0.99571290277969848</v>
      </c>
      <c r="AF799" s="417">
        <f t="shared" si="236"/>
        <v>0.66666666666666663</v>
      </c>
      <c r="AG799" s="416">
        <f t="shared" si="237"/>
        <v>7.333333333333333</v>
      </c>
      <c r="AH799" s="372">
        <f t="shared" si="238"/>
        <v>0.91666666666666663</v>
      </c>
      <c r="AI799" s="373">
        <f t="shared" si="239"/>
        <v>900</v>
      </c>
      <c r="AJ799" s="418">
        <f>VLOOKUP(D799,'Standard Cycle time'!C:D,2,0)</f>
        <v>32.4</v>
      </c>
      <c r="AK799" s="418">
        <f t="shared" si="240"/>
        <v>18.333333333333332</v>
      </c>
      <c r="AL799" s="374">
        <f t="shared" si="241"/>
        <v>1.7672727272727273</v>
      </c>
      <c r="AM799" s="372">
        <f t="shared" si="242"/>
        <v>1.6130549025031116</v>
      </c>
      <c r="AN799" s="799">
        <v>1.6130549025031116</v>
      </c>
      <c r="AO799" s="448"/>
      <c r="AP799" s="440">
        <v>40</v>
      </c>
      <c r="AQ799" s="440">
        <v>0</v>
      </c>
      <c r="AR799" s="440">
        <v>0</v>
      </c>
      <c r="AS799" s="440">
        <v>0</v>
      </c>
      <c r="AT799" s="440">
        <v>0</v>
      </c>
      <c r="AU799" s="440">
        <v>0</v>
      </c>
      <c r="AV799" s="440">
        <v>0</v>
      </c>
      <c r="AW799" s="440">
        <v>0</v>
      </c>
      <c r="AX799" s="440">
        <v>0</v>
      </c>
      <c r="AY799" s="440">
        <v>0</v>
      </c>
      <c r="AZ799" s="440">
        <v>0</v>
      </c>
      <c r="BA799" s="440">
        <v>0</v>
      </c>
      <c r="BB799" s="440">
        <v>0</v>
      </c>
      <c r="BC799" s="440">
        <v>0</v>
      </c>
      <c r="BD799" s="440">
        <v>0</v>
      </c>
      <c r="BE799" s="440">
        <v>0</v>
      </c>
      <c r="BF799" s="440">
        <v>0</v>
      </c>
      <c r="BG799" s="440">
        <v>0</v>
      </c>
      <c r="BH799" s="440">
        <v>0</v>
      </c>
      <c r="BI799" s="440">
        <v>0</v>
      </c>
      <c r="BJ799" s="440">
        <v>0</v>
      </c>
      <c r="BK799" s="440">
        <v>0</v>
      </c>
      <c r="BL799" s="440">
        <v>0</v>
      </c>
      <c r="BM799" s="440">
        <v>0</v>
      </c>
      <c r="BN799" s="440">
        <v>0</v>
      </c>
      <c r="BO799" s="440">
        <v>0</v>
      </c>
      <c r="BP799" s="440">
        <v>0</v>
      </c>
      <c r="BQ799" s="440">
        <v>0</v>
      </c>
      <c r="BR799" s="415">
        <v>0.66666666666666663</v>
      </c>
      <c r="BS799" s="415">
        <v>0.66666666666666663</v>
      </c>
      <c r="BT799" s="935"/>
      <c r="BU799" s="935"/>
      <c r="BV799" s="935"/>
      <c r="BW799" s="935"/>
      <c r="BX799" s="935"/>
      <c r="BY799" s="935"/>
      <c r="BZ799" s="935"/>
      <c r="CA799" s="935"/>
      <c r="CB799" s="935"/>
      <c r="CC799" s="935"/>
      <c r="CD799" s="935"/>
      <c r="CE799" s="935"/>
      <c r="CF799" s="935"/>
      <c r="CG799" s="935"/>
      <c r="CH799" s="935"/>
      <c r="CI799" s="935"/>
      <c r="CJ799" s="935"/>
      <c r="CK799" s="935"/>
      <c r="CL799" s="935"/>
      <c r="CM799" s="935"/>
      <c r="CN799" s="935"/>
      <c r="CO799" s="935"/>
      <c r="CP799" s="935"/>
      <c r="CQ799" s="935"/>
      <c r="CR799" s="935"/>
      <c r="CS799" s="935"/>
      <c r="CT799" s="935"/>
      <c r="CU799" s="935"/>
      <c r="CV799" s="935"/>
    </row>
    <row r="800" spans="1:104" s="441" customFormat="1">
      <c r="A800" s="375">
        <f t="shared" si="228"/>
        <v>10</v>
      </c>
      <c r="B800" s="862">
        <v>44474</v>
      </c>
      <c r="C800" s="493" t="s">
        <v>2053</v>
      </c>
      <c r="D800" s="376" t="str">
        <f>IFERROR(VLOOKUP(E:E,'Item Data Support Sheet'!A:O,7,0),"")</f>
        <v>NIPPLE MOLDED</v>
      </c>
      <c r="E800" s="447" t="s">
        <v>2484</v>
      </c>
      <c r="F800" s="500" t="s">
        <v>1678</v>
      </c>
      <c r="G800" s="497" t="s">
        <v>1691</v>
      </c>
      <c r="H800" s="602" t="str">
        <f>IFERROR(VLOOKUP(E:E,'Item Data Support Sheet'!A:O,2,0),"")</f>
        <v>NIPPLE S TYPE LL SIZE INJECTION</v>
      </c>
      <c r="I800" s="501" t="s">
        <v>3531</v>
      </c>
      <c r="J800" s="501" t="s">
        <v>2826</v>
      </c>
      <c r="K800" s="499">
        <v>8</v>
      </c>
      <c r="L800" s="499">
        <v>4815</v>
      </c>
      <c r="M800" s="366">
        <v>601.875</v>
      </c>
      <c r="N800" s="367">
        <f t="shared" si="227"/>
        <v>5378</v>
      </c>
      <c r="O800" s="61">
        <v>5300</v>
      </c>
      <c r="P800" s="368">
        <v>0</v>
      </c>
      <c r="Q800" s="368">
        <v>0</v>
      </c>
      <c r="R800" s="494">
        <v>0</v>
      </c>
      <c r="S800" s="493">
        <v>0</v>
      </c>
      <c r="T800" s="494">
        <v>70</v>
      </c>
      <c r="U800" s="493">
        <v>8</v>
      </c>
      <c r="V800" s="502">
        <v>1</v>
      </c>
      <c r="W800" s="453">
        <f t="shared" si="229"/>
        <v>5300</v>
      </c>
      <c r="X800" s="748">
        <f t="shared" si="230"/>
        <v>1.1007268951194185</v>
      </c>
      <c r="Y800" s="451" t="str">
        <f>IFERROR(VLOOKUP(E:E,'Item Data Support Sheet'!A:J,6,0),0)</f>
        <v>FO148</v>
      </c>
      <c r="Z800" s="428">
        <f>IFERROR(VLOOKUP(E:E,'Item Data Support Sheet'!A:O,4,0),0)</f>
        <v>6.8</v>
      </c>
      <c r="AA800" s="428">
        <f t="shared" si="231"/>
        <v>36.570399999999999</v>
      </c>
      <c r="AB800" s="429">
        <f t="shared" si="232"/>
        <v>0.98549646708813687</v>
      </c>
      <c r="AC800" s="424">
        <f t="shared" si="233"/>
        <v>1.3035381750465549E-2</v>
      </c>
      <c r="AD800" s="371">
        <f t="shared" si="234"/>
        <v>0</v>
      </c>
      <c r="AE800" s="748">
        <f t="shared" si="235"/>
        <v>0.98698400892525107</v>
      </c>
      <c r="AF800" s="417">
        <f t="shared" si="236"/>
        <v>0</v>
      </c>
      <c r="AG800" s="416">
        <f t="shared" si="237"/>
        <v>8</v>
      </c>
      <c r="AH800" s="372">
        <f t="shared" si="238"/>
        <v>1</v>
      </c>
      <c r="AI800" s="373">
        <f t="shared" si="239"/>
        <v>662.5</v>
      </c>
      <c r="AJ800" s="418">
        <f>VLOOKUP(D800,'Standard Cycle time'!C:D,2,0)</f>
        <v>5.25</v>
      </c>
      <c r="AK800" s="418">
        <f t="shared" si="240"/>
        <v>5.4339622641509431</v>
      </c>
      <c r="AL800" s="374">
        <f t="shared" si="241"/>
        <v>0.96614583333333337</v>
      </c>
      <c r="AM800" s="372">
        <f t="shared" si="242"/>
        <v>0.95357048778976083</v>
      </c>
      <c r="AN800" s="799">
        <v>0.95357048778976083</v>
      </c>
      <c r="AO800" s="448"/>
      <c r="AP800" s="440">
        <v>0</v>
      </c>
      <c r="AQ800" s="440">
        <v>0</v>
      </c>
      <c r="AR800" s="440">
        <v>0</v>
      </c>
      <c r="AS800" s="440">
        <v>0</v>
      </c>
      <c r="AT800" s="440">
        <v>0</v>
      </c>
      <c r="AU800" s="440">
        <v>0</v>
      </c>
      <c r="AV800" s="440">
        <v>0</v>
      </c>
      <c r="AW800" s="440">
        <v>0</v>
      </c>
      <c r="AX800" s="440">
        <v>0</v>
      </c>
      <c r="AY800" s="440">
        <v>0</v>
      </c>
      <c r="AZ800" s="440">
        <v>0</v>
      </c>
      <c r="BA800" s="440">
        <v>0</v>
      </c>
      <c r="BB800" s="440">
        <v>0</v>
      </c>
      <c r="BC800" s="440">
        <v>0</v>
      </c>
      <c r="BD800" s="440">
        <v>0</v>
      </c>
      <c r="BE800" s="440">
        <v>0</v>
      </c>
      <c r="BF800" s="440">
        <v>0</v>
      </c>
      <c r="BG800" s="440">
        <v>0</v>
      </c>
      <c r="BH800" s="440">
        <v>0</v>
      </c>
      <c r="BI800" s="440">
        <v>0</v>
      </c>
      <c r="BJ800" s="440">
        <v>0</v>
      </c>
      <c r="BK800" s="440">
        <v>0</v>
      </c>
      <c r="BL800" s="440">
        <v>0</v>
      </c>
      <c r="BM800" s="440">
        <v>0</v>
      </c>
      <c r="BN800" s="440">
        <v>0</v>
      </c>
      <c r="BO800" s="440">
        <v>0</v>
      </c>
      <c r="BP800" s="440">
        <v>0</v>
      </c>
      <c r="BQ800" s="440">
        <v>0</v>
      </c>
      <c r="BR800" s="415">
        <v>0</v>
      </c>
      <c r="BS800" s="415">
        <v>0</v>
      </c>
      <c r="BT800" s="935"/>
      <c r="BU800" s="935"/>
      <c r="BV800" s="935"/>
      <c r="BW800" s="935"/>
      <c r="BX800" s="935"/>
      <c r="BY800" s="935"/>
      <c r="BZ800" s="935"/>
      <c r="CA800" s="935"/>
      <c r="CB800" s="935"/>
      <c r="CC800" s="935"/>
      <c r="CD800" s="935"/>
      <c r="CE800" s="935"/>
      <c r="CF800" s="935"/>
      <c r="CG800" s="935"/>
      <c r="CH800" s="935"/>
      <c r="CI800" s="935"/>
      <c r="CJ800" s="935"/>
      <c r="CK800" s="935"/>
      <c r="CL800" s="935"/>
      <c r="CM800" s="935"/>
      <c r="CN800" s="935"/>
      <c r="CO800" s="935"/>
      <c r="CP800" s="935"/>
      <c r="CQ800" s="935"/>
      <c r="CR800" s="935"/>
      <c r="CS800" s="935"/>
      <c r="CT800" s="935"/>
      <c r="CU800" s="935"/>
      <c r="CV800" s="935"/>
    </row>
    <row r="801" spans="1:104" s="441" customFormat="1">
      <c r="A801" s="375">
        <f t="shared" si="228"/>
        <v>10</v>
      </c>
      <c r="B801" s="862">
        <v>44474</v>
      </c>
      <c r="C801" s="493" t="s">
        <v>2053</v>
      </c>
      <c r="D801" s="376" t="str">
        <f>IFERROR(VLOOKUP(E:E,'Item Data Support Sheet'!A:O,7,0),"")</f>
        <v>CAP MOLDED</v>
      </c>
      <c r="E801" s="447" t="s">
        <v>2106</v>
      </c>
      <c r="F801" s="500"/>
      <c r="G801" s="497" t="s">
        <v>3212</v>
      </c>
      <c r="H801" s="602" t="str">
        <f>IFERROR(VLOOKUP(E:E,'Item Data Support Sheet'!A:O,2,0),"")</f>
        <v>CAP S TYPE MOLDED RED</v>
      </c>
      <c r="I801" s="501" t="s">
        <v>3532</v>
      </c>
      <c r="J801" s="501" t="s">
        <v>2826</v>
      </c>
      <c r="K801" s="499">
        <v>8</v>
      </c>
      <c r="L801" s="499">
        <v>4137</v>
      </c>
      <c r="M801" s="366">
        <v>517.125</v>
      </c>
      <c r="N801" s="367">
        <f t="shared" si="227"/>
        <v>3275</v>
      </c>
      <c r="O801" s="61">
        <v>3200</v>
      </c>
      <c r="P801" s="368">
        <v>0.18</v>
      </c>
      <c r="Q801" s="368">
        <v>46</v>
      </c>
      <c r="R801" s="494">
        <v>0</v>
      </c>
      <c r="S801" s="493">
        <v>0</v>
      </c>
      <c r="T801" s="494">
        <v>21</v>
      </c>
      <c r="U801" s="493">
        <v>8</v>
      </c>
      <c r="V801" s="502">
        <v>1</v>
      </c>
      <c r="W801" s="453">
        <f t="shared" si="229"/>
        <v>3200</v>
      </c>
      <c r="X801" s="748">
        <f t="shared" si="230"/>
        <v>0.77350737249214407</v>
      </c>
      <c r="Y801" s="451" t="str">
        <f>IFERROR(VLOOKUP(E:E,'Item Data Support Sheet'!A:J,6,0),0)</f>
        <v>FO153</v>
      </c>
      <c r="Z801" s="428">
        <f>IFERROR(VLOOKUP(E:E,'Item Data Support Sheet'!A:O,4,0),0)</f>
        <v>7.3</v>
      </c>
      <c r="AA801" s="428">
        <f t="shared" si="231"/>
        <v>24.087499999999999</v>
      </c>
      <c r="AB801" s="429">
        <f t="shared" si="232"/>
        <v>0.96979761286974575</v>
      </c>
      <c r="AC801" s="424">
        <f t="shared" si="233"/>
        <v>6.5197143744178824E-3</v>
      </c>
      <c r="AD801" s="371">
        <f t="shared" si="234"/>
        <v>1.3851249623607348E-2</v>
      </c>
      <c r="AE801" s="748">
        <f t="shared" si="235"/>
        <v>0.99358778625954203</v>
      </c>
      <c r="AF801" s="417">
        <f t="shared" si="236"/>
        <v>2</v>
      </c>
      <c r="AG801" s="416">
        <f t="shared" si="237"/>
        <v>6</v>
      </c>
      <c r="AH801" s="372">
        <f t="shared" si="238"/>
        <v>0.75</v>
      </c>
      <c r="AI801" s="373">
        <f t="shared" si="239"/>
        <v>400</v>
      </c>
      <c r="AJ801" s="418">
        <f>VLOOKUP(D801,'Standard Cycle time'!C:D,2,0)</f>
        <v>6</v>
      </c>
      <c r="AK801" s="418">
        <f t="shared" si="240"/>
        <v>6.75</v>
      </c>
      <c r="AL801" s="374">
        <f t="shared" si="241"/>
        <v>0.88888888888888884</v>
      </c>
      <c r="AM801" s="372">
        <f t="shared" si="242"/>
        <v>0.66239185750636131</v>
      </c>
      <c r="AN801" s="799">
        <v>0.66239185750636131</v>
      </c>
      <c r="AO801" s="448" t="s">
        <v>3533</v>
      </c>
      <c r="AP801" s="440">
        <v>0</v>
      </c>
      <c r="AQ801" s="440">
        <v>0</v>
      </c>
      <c r="AR801" s="440">
        <v>0</v>
      </c>
      <c r="AS801" s="440">
        <v>0</v>
      </c>
      <c r="AT801" s="440">
        <v>0</v>
      </c>
      <c r="AU801" s="440">
        <v>0</v>
      </c>
      <c r="AV801" s="440">
        <v>0</v>
      </c>
      <c r="AW801" s="440">
        <v>120</v>
      </c>
      <c r="AX801" s="440">
        <v>0</v>
      </c>
      <c r="AY801" s="440">
        <v>0</v>
      </c>
      <c r="AZ801" s="440">
        <v>0</v>
      </c>
      <c r="BA801" s="440">
        <v>0</v>
      </c>
      <c r="BB801" s="440">
        <v>0</v>
      </c>
      <c r="BC801" s="440">
        <v>0</v>
      </c>
      <c r="BD801" s="440">
        <v>0</v>
      </c>
      <c r="BE801" s="440">
        <v>0</v>
      </c>
      <c r="BF801" s="440">
        <v>0</v>
      </c>
      <c r="BG801" s="440">
        <v>0</v>
      </c>
      <c r="BH801" s="440">
        <v>0</v>
      </c>
      <c r="BI801" s="440">
        <v>0</v>
      </c>
      <c r="BJ801" s="440">
        <v>0</v>
      </c>
      <c r="BK801" s="440">
        <v>0</v>
      </c>
      <c r="BL801" s="440">
        <v>0</v>
      </c>
      <c r="BM801" s="440">
        <v>0</v>
      </c>
      <c r="BN801" s="440">
        <v>0</v>
      </c>
      <c r="BO801" s="440">
        <v>0</v>
      </c>
      <c r="BP801" s="440">
        <v>0</v>
      </c>
      <c r="BQ801" s="440">
        <v>0</v>
      </c>
      <c r="BR801" s="415">
        <v>2</v>
      </c>
      <c r="BS801" s="415">
        <v>2</v>
      </c>
      <c r="BT801" s="935"/>
      <c r="BU801" s="935"/>
      <c r="BV801" s="935"/>
      <c r="BW801" s="935"/>
      <c r="BX801" s="935"/>
      <c r="BY801" s="935"/>
      <c r="BZ801" s="935"/>
      <c r="CA801" s="935"/>
      <c r="CB801" s="935"/>
      <c r="CC801" s="935"/>
      <c r="CD801" s="935"/>
      <c r="CE801" s="935"/>
      <c r="CF801" s="935"/>
      <c r="CG801" s="935"/>
      <c r="CH801" s="935"/>
      <c r="CI801" s="935"/>
      <c r="CJ801" s="935"/>
      <c r="CK801" s="935"/>
      <c r="CL801" s="935"/>
      <c r="CM801" s="935"/>
      <c r="CN801" s="935"/>
      <c r="CO801" s="935"/>
      <c r="CP801" s="935"/>
      <c r="CQ801" s="935"/>
      <c r="CR801" s="935"/>
      <c r="CS801" s="935"/>
      <c r="CT801" s="935"/>
      <c r="CU801" s="935"/>
      <c r="CV801" s="935"/>
    </row>
    <row r="802" spans="1:104" s="441" customFormat="1">
      <c r="A802" s="375">
        <f t="shared" si="228"/>
        <v>10</v>
      </c>
      <c r="B802" s="862">
        <v>44474</v>
      </c>
      <c r="C802" s="493" t="s">
        <v>2053</v>
      </c>
      <c r="D802" s="376" t="str">
        <f>IFERROR(VLOOKUP(E:E,'Item Data Support Sheet'!A:O,7,0),"")</f>
        <v>BOTTLE MOLDED</v>
      </c>
      <c r="E802" s="447" t="s">
        <v>67</v>
      </c>
      <c r="F802" s="500" t="s">
        <v>1682</v>
      </c>
      <c r="G802" s="497" t="s">
        <v>1888</v>
      </c>
      <c r="H802" s="602" t="str">
        <f>IFERROR(VLOOKUP(E:E,'Item Data Support Sheet'!A:O,2,0),"")</f>
        <v>RPP 120 ML BOTTLE MOLDED</v>
      </c>
      <c r="I802" s="501" t="s">
        <v>3534</v>
      </c>
      <c r="J802" s="501" t="s">
        <v>2826</v>
      </c>
      <c r="K802" s="499">
        <v>8</v>
      </c>
      <c r="L802" s="499">
        <v>2574</v>
      </c>
      <c r="M802" s="366">
        <v>321.75</v>
      </c>
      <c r="N802" s="367">
        <f t="shared" si="227"/>
        <v>3103</v>
      </c>
      <c r="O802" s="61">
        <v>3060</v>
      </c>
      <c r="P802" s="368">
        <v>0.2</v>
      </c>
      <c r="Q802" s="368">
        <v>0</v>
      </c>
      <c r="R802" s="494">
        <v>0</v>
      </c>
      <c r="S802" s="493">
        <v>0</v>
      </c>
      <c r="T802" s="494">
        <v>35</v>
      </c>
      <c r="U802" s="493">
        <v>8</v>
      </c>
      <c r="V802" s="502">
        <v>1</v>
      </c>
      <c r="W802" s="453">
        <f t="shared" si="229"/>
        <v>3060</v>
      </c>
      <c r="X802" s="748">
        <f t="shared" si="230"/>
        <v>1.1888111888111887</v>
      </c>
      <c r="Y802" s="451" t="str">
        <f>IFERROR(VLOOKUP(E:E,'Item Data Support Sheet'!A:J,6,0),0)</f>
        <v>HMC</v>
      </c>
      <c r="Z802" s="428">
        <f>IFERROR(VLOOKUP(E:E,'Item Data Support Sheet'!A:O,4,0),0)</f>
        <v>21.3</v>
      </c>
      <c r="AA802" s="428">
        <f t="shared" si="231"/>
        <v>66.293900000000008</v>
      </c>
      <c r="AB802" s="429">
        <f t="shared" si="232"/>
        <v>0.9831673804075487</v>
      </c>
      <c r="AC802" s="424">
        <f t="shared" si="233"/>
        <v>1.1308562197092083E-2</v>
      </c>
      <c r="AD802" s="371">
        <f t="shared" si="234"/>
        <v>0</v>
      </c>
      <c r="AE802" s="748">
        <f t="shared" si="235"/>
        <v>0.98872059297454074</v>
      </c>
      <c r="AF802" s="417">
        <f t="shared" si="236"/>
        <v>0</v>
      </c>
      <c r="AG802" s="416">
        <f t="shared" si="237"/>
        <v>8</v>
      </c>
      <c r="AH802" s="372">
        <f t="shared" si="238"/>
        <v>1</v>
      </c>
      <c r="AI802" s="373">
        <f t="shared" si="239"/>
        <v>382.5</v>
      </c>
      <c r="AJ802" s="418">
        <f>VLOOKUP(D802,'Standard Cycle time'!C:D,2,0)</f>
        <v>9</v>
      </c>
      <c r="AK802" s="418">
        <f t="shared" si="240"/>
        <v>9.4117647058823533</v>
      </c>
      <c r="AL802" s="374">
        <f t="shared" si="241"/>
        <v>0.95624999999999993</v>
      </c>
      <c r="AM802" s="372">
        <f t="shared" si="242"/>
        <v>0.94546406703190455</v>
      </c>
      <c r="AN802" s="799">
        <v>0.94546406703190455</v>
      </c>
      <c r="AO802" s="448"/>
      <c r="AP802" s="440">
        <v>0</v>
      </c>
      <c r="AQ802" s="440">
        <v>0</v>
      </c>
      <c r="AR802" s="440">
        <v>0</v>
      </c>
      <c r="AS802" s="440">
        <v>0</v>
      </c>
      <c r="AT802" s="440">
        <v>0</v>
      </c>
      <c r="AU802" s="440">
        <v>0</v>
      </c>
      <c r="AV802" s="440">
        <v>0</v>
      </c>
      <c r="AW802" s="440">
        <v>0</v>
      </c>
      <c r="AX802" s="440">
        <v>0</v>
      </c>
      <c r="AY802" s="440">
        <v>0</v>
      </c>
      <c r="AZ802" s="440">
        <v>0</v>
      </c>
      <c r="BA802" s="440">
        <v>0</v>
      </c>
      <c r="BB802" s="440">
        <v>0</v>
      </c>
      <c r="BC802" s="440">
        <v>0</v>
      </c>
      <c r="BD802" s="440">
        <v>0</v>
      </c>
      <c r="BE802" s="440">
        <v>0</v>
      </c>
      <c r="BF802" s="440">
        <v>0</v>
      </c>
      <c r="BG802" s="440">
        <v>0</v>
      </c>
      <c r="BH802" s="440">
        <v>0</v>
      </c>
      <c r="BI802" s="440">
        <v>0</v>
      </c>
      <c r="BJ802" s="440">
        <v>0</v>
      </c>
      <c r="BK802" s="440">
        <v>0</v>
      </c>
      <c r="BL802" s="440">
        <v>0</v>
      </c>
      <c r="BM802" s="440">
        <v>0</v>
      </c>
      <c r="BN802" s="440">
        <v>0</v>
      </c>
      <c r="BO802" s="440">
        <v>0</v>
      </c>
      <c r="BP802" s="440">
        <v>0</v>
      </c>
      <c r="BQ802" s="440">
        <v>0</v>
      </c>
      <c r="BR802" s="415">
        <v>0</v>
      </c>
      <c r="BS802" s="415">
        <v>0</v>
      </c>
      <c r="BT802" s="935"/>
      <c r="BU802" s="935"/>
      <c r="BV802" s="935"/>
      <c r="BW802" s="935"/>
      <c r="BX802" s="935"/>
      <c r="BY802" s="935"/>
      <c r="BZ802" s="935"/>
      <c r="CA802" s="935"/>
      <c r="CB802" s="935"/>
      <c r="CC802" s="935"/>
      <c r="CD802" s="935"/>
      <c r="CE802" s="935"/>
      <c r="CF802" s="935"/>
      <c r="CG802" s="935"/>
      <c r="CH802" s="935"/>
      <c r="CI802" s="935"/>
      <c r="CJ802" s="935"/>
      <c r="CK802" s="935"/>
      <c r="CL802" s="935"/>
      <c r="CM802" s="935"/>
      <c r="CN802" s="935"/>
      <c r="CO802" s="935"/>
      <c r="CP802" s="935"/>
      <c r="CQ802" s="935"/>
      <c r="CR802" s="935"/>
      <c r="CS802" s="935"/>
      <c r="CT802" s="935"/>
      <c r="CU802" s="935"/>
      <c r="CV802" s="935"/>
      <c r="CZ802" s="441">
        <v>66.293900000000008</v>
      </c>
    </row>
    <row r="803" spans="1:104" s="441" customFormat="1">
      <c r="A803" s="375">
        <f t="shared" si="228"/>
        <v>10</v>
      </c>
      <c r="B803" s="862">
        <v>44475</v>
      </c>
      <c r="C803" s="493" t="s">
        <v>1980</v>
      </c>
      <c r="D803" s="376" t="str">
        <f>IFERROR(VLOOKUP(E:E,'Item Data Support Sheet'!A:O,7,0),"")</f>
        <v>BOTTLE MOLDED</v>
      </c>
      <c r="E803" s="447" t="s">
        <v>67</v>
      </c>
      <c r="F803" s="500" t="s">
        <v>1682</v>
      </c>
      <c r="G803" s="497" t="s">
        <v>1888</v>
      </c>
      <c r="H803" s="602" t="str">
        <f>IFERROR(VLOOKUP(E:E,'Item Data Support Sheet'!A:O,2,0),"")</f>
        <v>RPP 120 ML BOTTLE MOLDED</v>
      </c>
      <c r="I803" s="501" t="s">
        <v>3535</v>
      </c>
      <c r="J803" s="501" t="s">
        <v>2808</v>
      </c>
      <c r="K803" s="499">
        <v>8</v>
      </c>
      <c r="L803" s="499">
        <v>2574</v>
      </c>
      <c r="M803" s="366">
        <v>321.75</v>
      </c>
      <c r="N803" s="367">
        <f t="shared" si="227"/>
        <v>3300</v>
      </c>
      <c r="O803" s="61">
        <v>3240</v>
      </c>
      <c r="P803" s="368">
        <v>0.28000000000000003</v>
      </c>
      <c r="Q803" s="368">
        <v>16</v>
      </c>
      <c r="R803" s="494">
        <v>0</v>
      </c>
      <c r="S803" s="493">
        <v>0</v>
      </c>
      <c r="T803" s="494">
        <v>36</v>
      </c>
      <c r="U803" s="493">
        <v>8</v>
      </c>
      <c r="V803" s="502">
        <v>1</v>
      </c>
      <c r="W803" s="453">
        <f t="shared" si="229"/>
        <v>3240</v>
      </c>
      <c r="X803" s="748">
        <f t="shared" si="230"/>
        <v>1.2587412587412588</v>
      </c>
      <c r="Y803" s="451" t="str">
        <f>IFERROR(VLOOKUP(E:E,'Item Data Support Sheet'!A:J,6,0),0)</f>
        <v>HMC</v>
      </c>
      <c r="Z803" s="428">
        <f>IFERROR(VLOOKUP(E:E,'Item Data Support Sheet'!A:O,4,0),0)</f>
        <v>21.3</v>
      </c>
      <c r="AA803" s="428">
        <f t="shared" si="231"/>
        <v>70.569999999999993</v>
      </c>
      <c r="AB803" s="429">
        <f t="shared" si="232"/>
        <v>0.97792263001275337</v>
      </c>
      <c r="AC803" s="424">
        <f t="shared" si="233"/>
        <v>1.098901098901099E-2</v>
      </c>
      <c r="AD803" s="371">
        <f t="shared" si="234"/>
        <v>4.8250904704463205E-3</v>
      </c>
      <c r="AE803" s="748">
        <f t="shared" si="235"/>
        <v>0.98909090909090913</v>
      </c>
      <c r="AF803" s="417">
        <f t="shared" si="236"/>
        <v>0.33333333333333331</v>
      </c>
      <c r="AG803" s="416">
        <f t="shared" si="237"/>
        <v>7.666666666666667</v>
      </c>
      <c r="AH803" s="372">
        <f t="shared" si="238"/>
        <v>0.95833333333333337</v>
      </c>
      <c r="AI803" s="373">
        <f t="shared" si="239"/>
        <v>405</v>
      </c>
      <c r="AJ803" s="418">
        <f>VLOOKUP(D803,'Standard Cycle time'!C:D,2,0)</f>
        <v>9</v>
      </c>
      <c r="AK803" s="418">
        <f t="shared" si="240"/>
        <v>8.518518518518519</v>
      </c>
      <c r="AL803" s="374">
        <f t="shared" si="241"/>
        <v>1.0565217391304347</v>
      </c>
      <c r="AM803" s="372">
        <f t="shared" si="242"/>
        <v>1.0014545454545454</v>
      </c>
      <c r="AN803" s="799">
        <v>1.0014545454545454</v>
      </c>
      <c r="AO803" s="448"/>
      <c r="AP803" s="440">
        <v>0</v>
      </c>
      <c r="AQ803" s="440">
        <v>0</v>
      </c>
      <c r="AR803" s="440">
        <v>0</v>
      </c>
      <c r="AS803" s="440">
        <v>0</v>
      </c>
      <c r="AT803" s="440">
        <v>0</v>
      </c>
      <c r="AU803" s="440">
        <v>0</v>
      </c>
      <c r="AV803" s="440">
        <v>0</v>
      </c>
      <c r="AW803" s="440">
        <v>0</v>
      </c>
      <c r="AX803" s="440">
        <v>0</v>
      </c>
      <c r="AY803" s="440">
        <v>0</v>
      </c>
      <c r="AZ803" s="440">
        <v>20</v>
      </c>
      <c r="BA803" s="440">
        <v>0</v>
      </c>
      <c r="BB803" s="440">
        <v>0</v>
      </c>
      <c r="BC803" s="440">
        <v>0</v>
      </c>
      <c r="BD803" s="440">
        <v>0</v>
      </c>
      <c r="BE803" s="440">
        <v>0</v>
      </c>
      <c r="BF803" s="440">
        <v>0</v>
      </c>
      <c r="BG803" s="440">
        <v>0</v>
      </c>
      <c r="BH803" s="440">
        <v>0</v>
      </c>
      <c r="BI803" s="440">
        <v>0</v>
      </c>
      <c r="BJ803" s="440">
        <v>0</v>
      </c>
      <c r="BK803" s="440">
        <v>0</v>
      </c>
      <c r="BL803" s="440">
        <v>0</v>
      </c>
      <c r="BM803" s="440">
        <v>0</v>
      </c>
      <c r="BN803" s="440">
        <v>0</v>
      </c>
      <c r="BO803" s="440">
        <v>0</v>
      </c>
      <c r="BP803" s="440">
        <v>0</v>
      </c>
      <c r="BQ803" s="440">
        <v>0</v>
      </c>
      <c r="BR803" s="415">
        <v>0.33333333333333331</v>
      </c>
      <c r="BS803" s="415">
        <v>0.33333333333333331</v>
      </c>
      <c r="BT803" s="935"/>
      <c r="BU803" s="935"/>
      <c r="BV803" s="935"/>
      <c r="BW803" s="935"/>
      <c r="BX803" s="935"/>
      <c r="BY803" s="935"/>
      <c r="BZ803" s="935"/>
      <c r="CA803" s="935"/>
      <c r="CB803" s="935"/>
      <c r="CC803" s="935"/>
      <c r="CD803" s="935"/>
      <c r="CE803" s="935"/>
      <c r="CF803" s="935"/>
      <c r="CG803" s="935"/>
      <c r="CH803" s="935"/>
      <c r="CI803" s="935"/>
      <c r="CJ803" s="935"/>
      <c r="CK803" s="935"/>
      <c r="CL803" s="935"/>
      <c r="CM803" s="935"/>
      <c r="CN803" s="935"/>
      <c r="CO803" s="935"/>
      <c r="CP803" s="935"/>
      <c r="CQ803" s="935"/>
      <c r="CR803" s="935"/>
      <c r="CS803" s="935"/>
      <c r="CT803" s="935"/>
      <c r="CU803" s="935"/>
      <c r="CV803" s="935"/>
      <c r="CZ803" s="441">
        <v>70.569999999999993</v>
      </c>
    </row>
    <row r="804" spans="1:104" s="441" customFormat="1">
      <c r="A804" s="375">
        <f t="shared" si="228"/>
        <v>10</v>
      </c>
      <c r="B804" s="862">
        <v>44475</v>
      </c>
      <c r="C804" s="493" t="s">
        <v>1980</v>
      </c>
      <c r="D804" s="376" t="str">
        <f>IFERROR(VLOOKUP(E:E,'Item Data Support Sheet'!A:O,7,0),"")</f>
        <v>NIPPLE MOLDED</v>
      </c>
      <c r="E804" s="447" t="s">
        <v>2484</v>
      </c>
      <c r="F804" s="500" t="s">
        <v>1678</v>
      </c>
      <c r="G804" s="497" t="s">
        <v>1691</v>
      </c>
      <c r="H804" s="602" t="str">
        <f>IFERROR(VLOOKUP(E:E,'Item Data Support Sheet'!A:O,2,0),"")</f>
        <v>NIPPLE S TYPE LL SIZE INJECTION</v>
      </c>
      <c r="I804" s="501" t="s">
        <v>3536</v>
      </c>
      <c r="J804" s="501" t="s">
        <v>2808</v>
      </c>
      <c r="K804" s="499">
        <v>8</v>
      </c>
      <c r="L804" s="499">
        <v>4815</v>
      </c>
      <c r="M804" s="366">
        <v>601.875</v>
      </c>
      <c r="N804" s="367">
        <f t="shared" si="227"/>
        <v>5108</v>
      </c>
      <c r="O804" s="61">
        <v>5000</v>
      </c>
      <c r="P804" s="368">
        <v>0</v>
      </c>
      <c r="Q804" s="368">
        <v>40</v>
      </c>
      <c r="R804" s="494">
        <v>0</v>
      </c>
      <c r="S804" s="493">
        <v>0</v>
      </c>
      <c r="T804" s="494">
        <v>60</v>
      </c>
      <c r="U804" s="493">
        <v>8</v>
      </c>
      <c r="V804" s="502">
        <v>1</v>
      </c>
      <c r="W804" s="453">
        <f t="shared" si="229"/>
        <v>5000</v>
      </c>
      <c r="X804" s="748">
        <f t="shared" si="230"/>
        <v>1.0384215991692627</v>
      </c>
      <c r="Y804" s="451" t="str">
        <f>IFERROR(VLOOKUP(E:E,'Item Data Support Sheet'!A:J,6,0),0)</f>
        <v>FO148</v>
      </c>
      <c r="Z804" s="428">
        <f>IFERROR(VLOOKUP(E:E,'Item Data Support Sheet'!A:O,4,0),0)</f>
        <v>6.8</v>
      </c>
      <c r="AA804" s="428">
        <f t="shared" si="231"/>
        <v>34.734400000000001</v>
      </c>
      <c r="AB804" s="429">
        <f t="shared" si="232"/>
        <v>0.97885669537979636</v>
      </c>
      <c r="AC804" s="424">
        <f t="shared" si="233"/>
        <v>1.1857707509881422E-2</v>
      </c>
      <c r="AD804" s="371">
        <f t="shared" si="234"/>
        <v>7.77000777000777E-3</v>
      </c>
      <c r="AE804" s="748">
        <f t="shared" si="235"/>
        <v>0.9882537196554424</v>
      </c>
      <c r="AF804" s="417">
        <f t="shared" si="236"/>
        <v>0</v>
      </c>
      <c r="AG804" s="416">
        <f t="shared" si="237"/>
        <v>8</v>
      </c>
      <c r="AH804" s="372">
        <f t="shared" si="238"/>
        <v>1</v>
      </c>
      <c r="AI804" s="373">
        <f t="shared" si="239"/>
        <v>625</v>
      </c>
      <c r="AJ804" s="418">
        <f>VLOOKUP(D804,'Standard Cycle time'!C:D,2,0)</f>
        <v>5.25</v>
      </c>
      <c r="AK804" s="418">
        <f t="shared" si="240"/>
        <v>5.76</v>
      </c>
      <c r="AL804" s="374">
        <f t="shared" si="241"/>
        <v>0.91145833333333337</v>
      </c>
      <c r="AM804" s="372">
        <f t="shared" si="242"/>
        <v>0.90075208822761677</v>
      </c>
      <c r="AN804" s="799">
        <v>0.90075208822761677</v>
      </c>
      <c r="AO804" s="448"/>
      <c r="AP804" s="440">
        <v>0</v>
      </c>
      <c r="AQ804" s="440">
        <v>0</v>
      </c>
      <c r="AR804" s="440">
        <v>0</v>
      </c>
      <c r="AS804" s="440">
        <v>0</v>
      </c>
      <c r="AT804" s="440">
        <v>0</v>
      </c>
      <c r="AU804" s="440">
        <v>0</v>
      </c>
      <c r="AV804" s="440">
        <v>0</v>
      </c>
      <c r="AW804" s="440">
        <v>0</v>
      </c>
      <c r="AX804" s="440">
        <v>0</v>
      </c>
      <c r="AY804" s="440">
        <v>0</v>
      </c>
      <c r="AZ804" s="440">
        <v>0</v>
      </c>
      <c r="BA804" s="440">
        <v>0</v>
      </c>
      <c r="BB804" s="440">
        <v>0</v>
      </c>
      <c r="BC804" s="440">
        <v>0</v>
      </c>
      <c r="BD804" s="440">
        <v>0</v>
      </c>
      <c r="BE804" s="440">
        <v>0</v>
      </c>
      <c r="BF804" s="440">
        <v>0</v>
      </c>
      <c r="BG804" s="440">
        <v>0</v>
      </c>
      <c r="BH804" s="440">
        <v>0</v>
      </c>
      <c r="BI804" s="440">
        <v>0</v>
      </c>
      <c r="BJ804" s="440">
        <v>0</v>
      </c>
      <c r="BK804" s="440">
        <v>0</v>
      </c>
      <c r="BL804" s="440">
        <v>0</v>
      </c>
      <c r="BM804" s="440">
        <v>0</v>
      </c>
      <c r="BN804" s="440">
        <v>0</v>
      </c>
      <c r="BO804" s="440">
        <v>0</v>
      </c>
      <c r="BP804" s="440">
        <v>0</v>
      </c>
      <c r="BQ804" s="440">
        <v>0</v>
      </c>
      <c r="BR804" s="415">
        <v>0</v>
      </c>
      <c r="BS804" s="415">
        <v>0</v>
      </c>
      <c r="BT804" s="935"/>
      <c r="BU804" s="935"/>
      <c r="BV804" s="935"/>
      <c r="BW804" s="935"/>
      <c r="BX804" s="935"/>
      <c r="BY804" s="935"/>
      <c r="BZ804" s="935"/>
      <c r="CA804" s="935"/>
      <c r="CB804" s="935"/>
      <c r="CC804" s="935"/>
      <c r="CD804" s="935"/>
      <c r="CE804" s="935"/>
      <c r="CF804" s="935"/>
      <c r="CG804" s="935"/>
      <c r="CH804" s="935"/>
      <c r="CI804" s="935"/>
      <c r="CJ804" s="935"/>
      <c r="CK804" s="935"/>
      <c r="CL804" s="935"/>
      <c r="CM804" s="935"/>
      <c r="CN804" s="935"/>
      <c r="CO804" s="935"/>
      <c r="CP804" s="935"/>
      <c r="CQ804" s="935"/>
      <c r="CR804" s="935"/>
      <c r="CS804" s="935"/>
      <c r="CT804" s="935"/>
      <c r="CU804" s="935"/>
      <c r="CV804" s="935"/>
    </row>
    <row r="805" spans="1:104" s="441" customFormat="1">
      <c r="A805" s="375">
        <f t="shared" si="228"/>
        <v>10</v>
      </c>
      <c r="B805" s="862">
        <v>44475</v>
      </c>
      <c r="C805" s="493" t="s">
        <v>1980</v>
      </c>
      <c r="D805" s="376" t="str">
        <f>IFERROR(VLOOKUP(E:E,'Item Data Support Sheet'!A:O,7,0),"")</f>
        <v>NIPPLE PUNCH</v>
      </c>
      <c r="E805" s="447" t="s">
        <v>2486</v>
      </c>
      <c r="F805" s="500"/>
      <c r="G805" s="497"/>
      <c r="H805" s="602" t="str">
        <f>IFERROR(VLOOKUP(E:E,'Item Data Support Sheet'!A:O,2,0),"")</f>
        <v>NIPPLE S TYPE LL SIZE PUNCHED</v>
      </c>
      <c r="I805" s="501" t="s">
        <v>3537</v>
      </c>
      <c r="J805" s="501" t="s">
        <v>2808</v>
      </c>
      <c r="K805" s="499">
        <v>8</v>
      </c>
      <c r="L805" s="499">
        <v>7000</v>
      </c>
      <c r="M805" s="366">
        <v>875</v>
      </c>
      <c r="N805" s="367">
        <f t="shared" si="227"/>
        <v>7400</v>
      </c>
      <c r="O805" s="61">
        <v>7400</v>
      </c>
      <c r="P805" s="368">
        <v>0</v>
      </c>
      <c r="Q805" s="368">
        <v>0</v>
      </c>
      <c r="R805" s="494">
        <v>0</v>
      </c>
      <c r="S805" s="493">
        <v>0</v>
      </c>
      <c r="T805" s="494">
        <v>0</v>
      </c>
      <c r="U805" s="493">
        <v>0</v>
      </c>
      <c r="V805" s="502">
        <v>1</v>
      </c>
      <c r="W805" s="453">
        <f t="shared" si="229"/>
        <v>7400</v>
      </c>
      <c r="X805" s="748">
        <f t="shared" si="230"/>
        <v>1.0571428571428572</v>
      </c>
      <c r="Y805" s="451" t="str">
        <f>IFERROR(VLOOKUP(E:E,'Item Data Support Sheet'!A:J,6,0),0)</f>
        <v>FO150</v>
      </c>
      <c r="Z805" s="428">
        <f>IFERROR(VLOOKUP(E:E,'Item Data Support Sheet'!A:O,4,0),0)</f>
        <v>0</v>
      </c>
      <c r="AA805" s="428">
        <f t="shared" si="231"/>
        <v>0</v>
      </c>
      <c r="AB805" s="429" t="str">
        <f t="shared" si="232"/>
        <v xml:space="preserve"> </v>
      </c>
      <c r="AC805" s="424">
        <f t="shared" si="233"/>
        <v>0</v>
      </c>
      <c r="AD805" s="371">
        <f t="shared" si="234"/>
        <v>0</v>
      </c>
      <c r="AE805" s="748">
        <f t="shared" si="235"/>
        <v>1</v>
      </c>
      <c r="AF805" s="417">
        <f t="shared" si="236"/>
        <v>0.66666666666666663</v>
      </c>
      <c r="AG805" s="416">
        <f t="shared" si="237"/>
        <v>7.333333333333333</v>
      </c>
      <c r="AH805" s="372">
        <f t="shared" si="238"/>
        <v>0.91666666666666663</v>
      </c>
      <c r="AI805" s="373">
        <f t="shared" si="239"/>
        <v>925</v>
      </c>
      <c r="AJ805" s="418">
        <f>VLOOKUP(D805,'Standard Cycle time'!C:D,2,0)</f>
        <v>3.5</v>
      </c>
      <c r="AK805" s="418">
        <f t="shared" si="240"/>
        <v>3.5675675675675675</v>
      </c>
      <c r="AL805" s="374">
        <f t="shared" si="241"/>
        <v>0.98106060606060608</v>
      </c>
      <c r="AM805" s="372">
        <f t="shared" si="242"/>
        <v>0.89930555555555558</v>
      </c>
      <c r="AN805" s="799">
        <v>0.89930555555555558</v>
      </c>
      <c r="AO805" s="448"/>
      <c r="AP805" s="440">
        <v>40</v>
      </c>
      <c r="AQ805" s="440">
        <v>0</v>
      </c>
      <c r="AR805" s="440">
        <v>0</v>
      </c>
      <c r="AS805" s="440">
        <v>0</v>
      </c>
      <c r="AT805" s="440">
        <v>0</v>
      </c>
      <c r="AU805" s="440">
        <v>0</v>
      </c>
      <c r="AV805" s="440">
        <v>0</v>
      </c>
      <c r="AW805" s="440">
        <v>0</v>
      </c>
      <c r="AX805" s="440">
        <v>0</v>
      </c>
      <c r="AY805" s="440">
        <v>0</v>
      </c>
      <c r="AZ805" s="440">
        <v>0</v>
      </c>
      <c r="BA805" s="440">
        <v>0</v>
      </c>
      <c r="BB805" s="440">
        <v>0</v>
      </c>
      <c r="BC805" s="440">
        <v>0</v>
      </c>
      <c r="BD805" s="440">
        <v>0</v>
      </c>
      <c r="BE805" s="440">
        <v>0</v>
      </c>
      <c r="BF805" s="440">
        <v>0</v>
      </c>
      <c r="BG805" s="440">
        <v>0</v>
      </c>
      <c r="BH805" s="440">
        <v>0</v>
      </c>
      <c r="BI805" s="440">
        <v>0</v>
      </c>
      <c r="BJ805" s="440">
        <v>0</v>
      </c>
      <c r="BK805" s="440">
        <v>0</v>
      </c>
      <c r="BL805" s="440">
        <v>0</v>
      </c>
      <c r="BM805" s="440">
        <v>0</v>
      </c>
      <c r="BN805" s="440">
        <v>0</v>
      </c>
      <c r="BO805" s="440">
        <v>0</v>
      </c>
      <c r="BP805" s="440">
        <v>0</v>
      </c>
      <c r="BQ805" s="440">
        <v>0</v>
      </c>
      <c r="BR805" s="415">
        <v>0.66666666666666663</v>
      </c>
      <c r="BS805" s="415">
        <v>0.66666666666666663</v>
      </c>
      <c r="BT805" s="935"/>
      <c r="BU805" s="935"/>
      <c r="BV805" s="935"/>
      <c r="BW805" s="935"/>
      <c r="BX805" s="935"/>
      <c r="BY805" s="935"/>
      <c r="BZ805" s="935"/>
      <c r="CA805" s="935"/>
      <c r="CB805" s="935"/>
      <c r="CC805" s="935"/>
      <c r="CD805" s="935"/>
      <c r="CE805" s="935"/>
      <c r="CF805" s="935"/>
      <c r="CG805" s="935"/>
      <c r="CH805" s="935"/>
      <c r="CI805" s="935"/>
      <c r="CJ805" s="935"/>
      <c r="CK805" s="935"/>
      <c r="CL805" s="935"/>
      <c r="CM805" s="935"/>
      <c r="CN805" s="935"/>
      <c r="CO805" s="935"/>
      <c r="CP805" s="935"/>
      <c r="CQ805" s="935"/>
      <c r="CR805" s="935"/>
      <c r="CS805" s="935"/>
      <c r="CT805" s="935"/>
      <c r="CU805" s="935"/>
      <c r="CV805" s="935"/>
    </row>
    <row r="806" spans="1:104" s="441" customFormat="1">
      <c r="A806" s="375">
        <f t="shared" si="228"/>
        <v>10</v>
      </c>
      <c r="B806" s="862">
        <v>44475</v>
      </c>
      <c r="C806" s="493" t="s">
        <v>1980</v>
      </c>
      <c r="D806" s="376" t="str">
        <f>IFERROR(VLOOKUP(E:E,'Item Data Support Sheet'!A:O,7,0),"")</f>
        <v>NIPPLE LASER MARKING</v>
      </c>
      <c r="E806" s="447" t="s">
        <v>2487</v>
      </c>
      <c r="F806" s="500"/>
      <c r="G806" s="497" t="s">
        <v>1812</v>
      </c>
      <c r="H806" s="602" t="str">
        <f>IFERROR(VLOOKUP(E:E,'Item Data Support Sheet'!A:O,2,0),"")</f>
        <v>NIPPLE S TYPE LL SIZE LASER MARKED</v>
      </c>
      <c r="I806" s="501" t="s">
        <v>3538</v>
      </c>
      <c r="J806" s="501" t="s">
        <v>2808</v>
      </c>
      <c r="K806" s="499">
        <v>8</v>
      </c>
      <c r="L806" s="499">
        <v>7000</v>
      </c>
      <c r="M806" s="366">
        <v>875</v>
      </c>
      <c r="N806" s="367">
        <f t="shared" si="227"/>
        <v>6400</v>
      </c>
      <c r="O806" s="61">
        <v>6400</v>
      </c>
      <c r="P806" s="368">
        <v>0</v>
      </c>
      <c r="Q806" s="368">
        <v>0</v>
      </c>
      <c r="R806" s="494">
        <v>0</v>
      </c>
      <c r="S806" s="493">
        <v>0</v>
      </c>
      <c r="T806" s="494">
        <v>0</v>
      </c>
      <c r="U806" s="493">
        <v>0</v>
      </c>
      <c r="V806" s="502">
        <v>1</v>
      </c>
      <c r="W806" s="453">
        <f t="shared" si="229"/>
        <v>6400</v>
      </c>
      <c r="X806" s="748">
        <f t="shared" si="230"/>
        <v>0.91428571428571426</v>
      </c>
      <c r="Y806" s="451" t="str">
        <f>IFERROR(VLOOKUP(E:E,'Item Data Support Sheet'!A:J,6,0),0)</f>
        <v>FO151</v>
      </c>
      <c r="Z806" s="428">
        <f>IFERROR(VLOOKUP(E:E,'Item Data Support Sheet'!A:O,4,0),0)</f>
        <v>0</v>
      </c>
      <c r="AA806" s="428">
        <f t="shared" si="231"/>
        <v>0</v>
      </c>
      <c r="AB806" s="429" t="str">
        <f t="shared" si="232"/>
        <v xml:space="preserve"> </v>
      </c>
      <c r="AC806" s="424">
        <f t="shared" si="233"/>
        <v>0</v>
      </c>
      <c r="AD806" s="371">
        <f t="shared" si="234"/>
        <v>0</v>
      </c>
      <c r="AE806" s="748">
        <f t="shared" si="235"/>
        <v>1</v>
      </c>
      <c r="AF806" s="417">
        <f t="shared" si="236"/>
        <v>1.6666666666666667</v>
      </c>
      <c r="AG806" s="416">
        <f t="shared" si="237"/>
        <v>6.333333333333333</v>
      </c>
      <c r="AH806" s="372">
        <f t="shared" si="238"/>
        <v>0.79166666666666663</v>
      </c>
      <c r="AI806" s="373">
        <f t="shared" si="239"/>
        <v>800</v>
      </c>
      <c r="AJ806" s="418">
        <f>VLOOKUP(D806,'Standard Cycle time'!C:D,2,0)</f>
        <v>3.5</v>
      </c>
      <c r="AK806" s="418">
        <f t="shared" si="240"/>
        <v>3.5625</v>
      </c>
      <c r="AL806" s="374">
        <f t="shared" si="241"/>
        <v>0.98245614035087714</v>
      </c>
      <c r="AM806" s="372">
        <f t="shared" si="242"/>
        <v>0.77777777777777768</v>
      </c>
      <c r="AN806" s="799">
        <v>0.77777777777777768</v>
      </c>
      <c r="AO806" s="448" t="s">
        <v>3539</v>
      </c>
      <c r="AP806" s="440">
        <v>40</v>
      </c>
      <c r="AQ806" s="440">
        <v>0</v>
      </c>
      <c r="AR806" s="440">
        <v>0</v>
      </c>
      <c r="AS806" s="440">
        <v>60</v>
      </c>
      <c r="AT806" s="440">
        <v>0</v>
      </c>
      <c r="AU806" s="440">
        <v>0</v>
      </c>
      <c r="AV806" s="440">
        <v>0</v>
      </c>
      <c r="AW806" s="440">
        <v>0</v>
      </c>
      <c r="AX806" s="440">
        <v>0</v>
      </c>
      <c r="AY806" s="440">
        <v>0</v>
      </c>
      <c r="AZ806" s="440">
        <v>0</v>
      </c>
      <c r="BA806" s="440">
        <v>0</v>
      </c>
      <c r="BB806" s="440">
        <v>0</v>
      </c>
      <c r="BC806" s="440">
        <v>0</v>
      </c>
      <c r="BD806" s="440">
        <v>0</v>
      </c>
      <c r="BE806" s="440">
        <v>0</v>
      </c>
      <c r="BF806" s="440">
        <v>0</v>
      </c>
      <c r="BG806" s="440">
        <v>0</v>
      </c>
      <c r="BH806" s="440">
        <v>0</v>
      </c>
      <c r="BI806" s="440">
        <v>0</v>
      </c>
      <c r="BJ806" s="440">
        <v>0</v>
      </c>
      <c r="BK806" s="440">
        <v>0</v>
      </c>
      <c r="BL806" s="440">
        <v>0</v>
      </c>
      <c r="BM806" s="440">
        <v>0</v>
      </c>
      <c r="BN806" s="440">
        <v>0</v>
      </c>
      <c r="BO806" s="440">
        <v>0</v>
      </c>
      <c r="BP806" s="440">
        <v>0</v>
      </c>
      <c r="BQ806" s="440">
        <v>0</v>
      </c>
      <c r="BR806" s="415">
        <v>1.6666666666666667</v>
      </c>
      <c r="BS806" s="415">
        <v>1.6666666666666667</v>
      </c>
      <c r="BT806" s="935"/>
      <c r="BU806" s="935"/>
      <c r="BV806" s="935"/>
      <c r="BW806" s="935"/>
      <c r="BX806" s="935"/>
      <c r="BY806" s="935"/>
      <c r="BZ806" s="935"/>
      <c r="CA806" s="935"/>
      <c r="CB806" s="935"/>
      <c r="CC806" s="935"/>
      <c r="CD806" s="935"/>
      <c r="CE806" s="935"/>
      <c r="CF806" s="935"/>
      <c r="CG806" s="935"/>
      <c r="CH806" s="935"/>
      <c r="CI806" s="935"/>
      <c r="CJ806" s="935"/>
      <c r="CK806" s="935"/>
      <c r="CL806" s="935"/>
      <c r="CM806" s="935"/>
      <c r="CN806" s="935"/>
      <c r="CO806" s="935"/>
      <c r="CP806" s="935"/>
      <c r="CQ806" s="935"/>
      <c r="CR806" s="935"/>
      <c r="CS806" s="935"/>
      <c r="CT806" s="935"/>
      <c r="CU806" s="935"/>
      <c r="CV806" s="935"/>
    </row>
    <row r="807" spans="1:104" s="441" customFormat="1">
      <c r="A807" s="375">
        <f t="shared" si="228"/>
        <v>10</v>
      </c>
      <c r="B807" s="862">
        <v>44475</v>
      </c>
      <c r="C807" s="493" t="s">
        <v>1980</v>
      </c>
      <c r="D807" s="376" t="str">
        <f>IFERROR(VLOOKUP(E:E,'Item Data Support Sheet'!A:O,7,0),"")</f>
        <v>CAP MOLDED</v>
      </c>
      <c r="E807" s="447" t="s">
        <v>2106</v>
      </c>
      <c r="F807" s="500"/>
      <c r="G807" s="497" t="s">
        <v>3212</v>
      </c>
      <c r="H807" s="602" t="str">
        <f>IFERROR(VLOOKUP(E:E,'Item Data Support Sheet'!A:O,2,0),"")</f>
        <v>CAP S TYPE MOLDED RED</v>
      </c>
      <c r="I807" s="501" t="s">
        <v>3540</v>
      </c>
      <c r="J807" s="501" t="s">
        <v>2808</v>
      </c>
      <c r="K807" s="499">
        <v>2</v>
      </c>
      <c r="L807" s="499">
        <v>1034</v>
      </c>
      <c r="M807" s="366">
        <v>517</v>
      </c>
      <c r="N807" s="367">
        <f t="shared" si="227"/>
        <v>850</v>
      </c>
      <c r="O807" s="61">
        <v>850</v>
      </c>
      <c r="P807" s="368">
        <v>0</v>
      </c>
      <c r="Q807" s="368">
        <v>0</v>
      </c>
      <c r="R807" s="494">
        <v>0</v>
      </c>
      <c r="S807" s="493">
        <v>0</v>
      </c>
      <c r="T807" s="494">
        <v>0</v>
      </c>
      <c r="U807" s="493">
        <v>0</v>
      </c>
      <c r="V807" s="502">
        <v>1</v>
      </c>
      <c r="W807" s="453">
        <f t="shared" si="229"/>
        <v>850</v>
      </c>
      <c r="X807" s="748">
        <f t="shared" si="230"/>
        <v>0.82205029013539654</v>
      </c>
      <c r="Y807" s="451" t="str">
        <f>IFERROR(VLOOKUP(E:E,'Item Data Support Sheet'!A:J,6,0),0)</f>
        <v>FO153</v>
      </c>
      <c r="Z807" s="428">
        <f>IFERROR(VLOOKUP(E:E,'Item Data Support Sheet'!A:O,4,0),0)</f>
        <v>7.3</v>
      </c>
      <c r="AA807" s="428">
        <f t="shared" si="231"/>
        <v>6.2050000000000001</v>
      </c>
      <c r="AB807" s="429">
        <f t="shared" si="232"/>
        <v>1</v>
      </c>
      <c r="AC807" s="424">
        <f t="shared" si="233"/>
        <v>0</v>
      </c>
      <c r="AD807" s="371">
        <f t="shared" si="234"/>
        <v>0</v>
      </c>
      <c r="AE807" s="748">
        <f t="shared" si="235"/>
        <v>1</v>
      </c>
      <c r="AF807" s="417">
        <f t="shared" si="236"/>
        <v>0.5</v>
      </c>
      <c r="AG807" s="416">
        <f t="shared" si="237"/>
        <v>1.5</v>
      </c>
      <c r="AH807" s="372">
        <f t="shared" si="238"/>
        <v>0.75</v>
      </c>
      <c r="AI807" s="373">
        <f t="shared" si="239"/>
        <v>425</v>
      </c>
      <c r="AJ807" s="418">
        <f>VLOOKUP(D807,'Standard Cycle time'!C:D,2,0)</f>
        <v>6</v>
      </c>
      <c r="AK807" s="418">
        <f t="shared" si="240"/>
        <v>6.3529411764705879</v>
      </c>
      <c r="AL807" s="374">
        <f t="shared" si="241"/>
        <v>0.94444444444444453</v>
      </c>
      <c r="AM807" s="372">
        <f t="shared" si="242"/>
        <v>0.70833333333333337</v>
      </c>
      <c r="AN807" s="799">
        <v>0.70833333333333337</v>
      </c>
      <c r="AO807" s="448"/>
      <c r="AP807" s="440">
        <v>0</v>
      </c>
      <c r="AQ807" s="440">
        <v>0</v>
      </c>
      <c r="AR807" s="440">
        <v>0</v>
      </c>
      <c r="AS807" s="440">
        <v>0</v>
      </c>
      <c r="AT807" s="440">
        <v>0</v>
      </c>
      <c r="AU807" s="440">
        <v>0</v>
      </c>
      <c r="AV807" s="440">
        <v>0</v>
      </c>
      <c r="AW807" s="440">
        <v>0</v>
      </c>
      <c r="AX807" s="440">
        <v>0</v>
      </c>
      <c r="AY807" s="440">
        <v>0</v>
      </c>
      <c r="AZ807" s="440">
        <v>30</v>
      </c>
      <c r="BA807" s="440">
        <v>0</v>
      </c>
      <c r="BB807" s="440">
        <v>0</v>
      </c>
      <c r="BC807" s="440">
        <v>0</v>
      </c>
      <c r="BD807" s="440">
        <v>0</v>
      </c>
      <c r="BE807" s="440">
        <v>0</v>
      </c>
      <c r="BF807" s="440">
        <v>0</v>
      </c>
      <c r="BG807" s="440">
        <v>0</v>
      </c>
      <c r="BH807" s="440">
        <v>0</v>
      </c>
      <c r="BI807" s="440">
        <v>0</v>
      </c>
      <c r="BJ807" s="440">
        <v>0</v>
      </c>
      <c r="BK807" s="440">
        <v>0</v>
      </c>
      <c r="BL807" s="440">
        <v>0</v>
      </c>
      <c r="BM807" s="440">
        <v>0</v>
      </c>
      <c r="BN807" s="440">
        <v>0</v>
      </c>
      <c r="BO807" s="440">
        <v>0</v>
      </c>
      <c r="BP807" s="440">
        <v>0</v>
      </c>
      <c r="BQ807" s="440">
        <v>0</v>
      </c>
      <c r="BR807" s="415">
        <v>0.5</v>
      </c>
      <c r="BS807" s="415">
        <v>0.5</v>
      </c>
      <c r="BT807" s="935"/>
      <c r="BU807" s="935"/>
      <c r="BV807" s="935"/>
      <c r="BW807" s="935"/>
      <c r="BX807" s="935"/>
      <c r="BY807" s="935"/>
      <c r="BZ807" s="935"/>
      <c r="CA807" s="935"/>
      <c r="CB807" s="935"/>
      <c r="CC807" s="935"/>
      <c r="CD807" s="935"/>
      <c r="CE807" s="935"/>
      <c r="CF807" s="935"/>
      <c r="CG807" s="935"/>
      <c r="CH807" s="935"/>
      <c r="CI807" s="935"/>
      <c r="CJ807" s="935"/>
      <c r="CK807" s="935"/>
      <c r="CL807" s="935"/>
      <c r="CM807" s="935"/>
      <c r="CN807" s="935"/>
      <c r="CO807" s="935"/>
      <c r="CP807" s="935"/>
      <c r="CQ807" s="935"/>
      <c r="CR807" s="935"/>
      <c r="CS807" s="935"/>
      <c r="CT807" s="935"/>
      <c r="CU807" s="935"/>
      <c r="CV807" s="935"/>
    </row>
    <row r="808" spans="1:104" s="441" customFormat="1">
      <c r="A808" s="375">
        <f t="shared" si="228"/>
        <v>10</v>
      </c>
      <c r="B808" s="862">
        <v>44475</v>
      </c>
      <c r="C808" s="493" t="s">
        <v>1980</v>
      </c>
      <c r="D808" s="376" t="str">
        <f>IFERROR(VLOOKUP(E:E,'Item Data Support Sheet'!A:O,7,0),"")</f>
        <v>CAP MOLDED</v>
      </c>
      <c r="E808" s="447" t="s">
        <v>2106</v>
      </c>
      <c r="F808" s="500"/>
      <c r="G808" s="497" t="s">
        <v>3468</v>
      </c>
      <c r="H808" s="602" t="str">
        <f>IFERROR(VLOOKUP(E:E,'Item Data Support Sheet'!A:O,2,0),"")</f>
        <v>CAP S TYPE MOLDED RED</v>
      </c>
      <c r="I808" s="501" t="s">
        <v>3541</v>
      </c>
      <c r="J808" s="501" t="s">
        <v>2808</v>
      </c>
      <c r="K808" s="499">
        <v>6</v>
      </c>
      <c r="L808" s="499">
        <v>3103</v>
      </c>
      <c r="M808" s="366">
        <v>517.16666666666663</v>
      </c>
      <c r="N808" s="367">
        <f t="shared" si="227"/>
        <v>2308</v>
      </c>
      <c r="O808" s="61">
        <v>2300</v>
      </c>
      <c r="P808" s="368">
        <v>0.1</v>
      </c>
      <c r="Q808" s="368">
        <v>0</v>
      </c>
      <c r="R808" s="494">
        <v>0</v>
      </c>
      <c r="S808" s="493">
        <v>0</v>
      </c>
      <c r="T808" s="494">
        <v>0</v>
      </c>
      <c r="U808" s="493">
        <v>8</v>
      </c>
      <c r="V808" s="502">
        <v>1</v>
      </c>
      <c r="W808" s="453">
        <f t="shared" si="229"/>
        <v>2300</v>
      </c>
      <c r="X808" s="748">
        <f t="shared" si="230"/>
        <v>0.74121817595874961</v>
      </c>
      <c r="Y808" s="451" t="str">
        <f>IFERROR(VLOOKUP(E:E,'Item Data Support Sheet'!A:J,6,0),0)</f>
        <v>FO153</v>
      </c>
      <c r="Z808" s="428">
        <f>IFERROR(VLOOKUP(E:E,'Item Data Support Sheet'!A:O,4,0),0)</f>
        <v>7.3</v>
      </c>
      <c r="AA808" s="428">
        <f t="shared" si="231"/>
        <v>16.948400000000003</v>
      </c>
      <c r="AB808" s="429">
        <f t="shared" si="232"/>
        <v>0.99065398503693536</v>
      </c>
      <c r="AC808" s="424">
        <f t="shared" si="233"/>
        <v>0</v>
      </c>
      <c r="AD808" s="371">
        <f t="shared" si="234"/>
        <v>0</v>
      </c>
      <c r="AE808" s="748">
        <f t="shared" si="235"/>
        <v>1</v>
      </c>
      <c r="AF808" s="417">
        <f t="shared" si="236"/>
        <v>2</v>
      </c>
      <c r="AG808" s="416">
        <f t="shared" si="237"/>
        <v>4</v>
      </c>
      <c r="AH808" s="372">
        <f t="shared" si="238"/>
        <v>0.66666666666666663</v>
      </c>
      <c r="AI808" s="373">
        <f t="shared" si="239"/>
        <v>383.33333333333331</v>
      </c>
      <c r="AJ808" s="418">
        <f>VLOOKUP(D808,'Standard Cycle time'!C:D,2,0)</f>
        <v>6</v>
      </c>
      <c r="AK808" s="418">
        <f t="shared" si="240"/>
        <v>6.2608695652173916</v>
      </c>
      <c r="AL808" s="374">
        <f t="shared" si="241"/>
        <v>0.95833333333333326</v>
      </c>
      <c r="AM808" s="372">
        <f t="shared" si="242"/>
        <v>0.63888888888888884</v>
      </c>
      <c r="AN808" s="799">
        <v>0.63888888888888884</v>
      </c>
      <c r="AO808" s="448"/>
      <c r="AP808" s="440">
        <v>0</v>
      </c>
      <c r="AQ808" s="440">
        <v>0</v>
      </c>
      <c r="AR808" s="440">
        <v>0</v>
      </c>
      <c r="AS808" s="440">
        <v>0</v>
      </c>
      <c r="AT808" s="440">
        <v>0</v>
      </c>
      <c r="AU808" s="440">
        <v>0</v>
      </c>
      <c r="AV808" s="440">
        <v>0</v>
      </c>
      <c r="AW808" s="440">
        <v>60</v>
      </c>
      <c r="AX808" s="440">
        <v>0</v>
      </c>
      <c r="AY808" s="440">
        <v>0</v>
      </c>
      <c r="AZ808" s="440">
        <v>30</v>
      </c>
      <c r="BA808" s="440">
        <v>0</v>
      </c>
      <c r="BB808" s="440">
        <v>0</v>
      </c>
      <c r="BC808" s="440">
        <v>0</v>
      </c>
      <c r="BD808" s="440">
        <v>0</v>
      </c>
      <c r="BE808" s="440">
        <v>0</v>
      </c>
      <c r="BF808" s="440">
        <v>0</v>
      </c>
      <c r="BG808" s="440">
        <v>0</v>
      </c>
      <c r="BH808" s="440">
        <v>0</v>
      </c>
      <c r="BI808" s="440">
        <v>30</v>
      </c>
      <c r="BJ808" s="440">
        <v>0</v>
      </c>
      <c r="BK808" s="440">
        <v>0</v>
      </c>
      <c r="BL808" s="440">
        <v>0</v>
      </c>
      <c r="BM808" s="440">
        <v>0</v>
      </c>
      <c r="BN808" s="440">
        <v>0</v>
      </c>
      <c r="BO808" s="440">
        <v>0</v>
      </c>
      <c r="BP808" s="440">
        <v>0</v>
      </c>
      <c r="BQ808" s="440">
        <v>0</v>
      </c>
      <c r="BR808" s="415">
        <v>2</v>
      </c>
      <c r="BS808" s="415">
        <v>2</v>
      </c>
      <c r="BT808" s="935"/>
      <c r="BU808" s="935"/>
      <c r="BV808" s="935"/>
      <c r="BW808" s="935"/>
      <c r="BX808" s="935"/>
      <c r="BY808" s="935"/>
      <c r="BZ808" s="935"/>
      <c r="CA808" s="935"/>
      <c r="CB808" s="935"/>
      <c r="CC808" s="935"/>
      <c r="CD808" s="935"/>
      <c r="CE808" s="935"/>
      <c r="CF808" s="935"/>
      <c r="CG808" s="935"/>
      <c r="CH808" s="935"/>
      <c r="CI808" s="935"/>
      <c r="CJ808" s="935"/>
      <c r="CK808" s="935"/>
      <c r="CL808" s="935"/>
      <c r="CM808" s="935"/>
      <c r="CN808" s="935"/>
      <c r="CO808" s="935"/>
      <c r="CP808" s="935"/>
      <c r="CQ808" s="935"/>
      <c r="CR808" s="935"/>
      <c r="CS808" s="935"/>
      <c r="CT808" s="935"/>
      <c r="CU808" s="935"/>
      <c r="CV808" s="935"/>
    </row>
    <row r="809" spans="1:104" s="441" customFormat="1">
      <c r="A809" s="375">
        <f t="shared" si="228"/>
        <v>10</v>
      </c>
      <c r="B809" s="862">
        <v>44475</v>
      </c>
      <c r="C809" s="493" t="s">
        <v>2000</v>
      </c>
      <c r="D809" s="376" t="str">
        <f>IFERROR(VLOOKUP(E:E,'Item Data Support Sheet'!A:O,7,0),"")</f>
        <v>NIPPLE PUNCH INSPECTED</v>
      </c>
      <c r="E809" s="447" t="s">
        <v>2488</v>
      </c>
      <c r="F809" s="500"/>
      <c r="G809" s="497"/>
      <c r="H809" s="602" t="str">
        <f>IFERROR(VLOOKUP(E:E,'Item Data Support Sheet'!A:O,2,0),"")</f>
        <v>NIPPLE S TYPE LL SIZE INSPECTED</v>
      </c>
      <c r="I809" s="501" t="s">
        <v>3542</v>
      </c>
      <c r="J809" s="501" t="s">
        <v>2812</v>
      </c>
      <c r="K809" s="499">
        <v>8</v>
      </c>
      <c r="L809" s="499">
        <v>14132</v>
      </c>
      <c r="M809" s="366">
        <v>1766.5</v>
      </c>
      <c r="N809" s="367">
        <f t="shared" si="227"/>
        <v>11700</v>
      </c>
      <c r="O809" s="61">
        <v>11651</v>
      </c>
      <c r="P809" s="368">
        <v>0</v>
      </c>
      <c r="Q809" s="368">
        <v>0</v>
      </c>
      <c r="R809" s="494">
        <v>0</v>
      </c>
      <c r="S809" s="493">
        <v>0</v>
      </c>
      <c r="T809" s="494">
        <v>49</v>
      </c>
      <c r="U809" s="493">
        <v>0</v>
      </c>
      <c r="V809" s="502">
        <v>2</v>
      </c>
      <c r="W809" s="453">
        <f t="shared" si="229"/>
        <v>5825.5</v>
      </c>
      <c r="X809" s="748">
        <f t="shared" si="230"/>
        <v>0.82444098499858476</v>
      </c>
      <c r="Y809" s="451" t="str">
        <f>IFERROR(VLOOKUP(E:E,'Item Data Support Sheet'!A:J,6,0),0)</f>
        <v>FO152</v>
      </c>
      <c r="Z809" s="428">
        <f>IFERROR(VLOOKUP(E:E,'Item Data Support Sheet'!A:O,4,0),0)</f>
        <v>0</v>
      </c>
      <c r="AA809" s="428">
        <f t="shared" si="231"/>
        <v>0</v>
      </c>
      <c r="AB809" s="429" t="str">
        <f t="shared" si="232"/>
        <v xml:space="preserve"> </v>
      </c>
      <c r="AC809" s="424">
        <f t="shared" si="233"/>
        <v>4.1880341880341882E-3</v>
      </c>
      <c r="AD809" s="371">
        <f t="shared" si="234"/>
        <v>0</v>
      </c>
      <c r="AE809" s="748">
        <f t="shared" si="235"/>
        <v>0.99581196581196585</v>
      </c>
      <c r="AF809" s="417">
        <f t="shared" si="236"/>
        <v>0.83333333333333337</v>
      </c>
      <c r="AG809" s="416">
        <f t="shared" si="237"/>
        <v>7.166666666666667</v>
      </c>
      <c r="AH809" s="372">
        <f t="shared" si="238"/>
        <v>0.89583333333333337</v>
      </c>
      <c r="AI809" s="373">
        <f t="shared" si="239"/>
        <v>1456.375</v>
      </c>
      <c r="AJ809" s="418">
        <f>VLOOKUP(D809,'Standard Cycle time'!C:D,2,0)</f>
        <v>4</v>
      </c>
      <c r="AK809" s="418">
        <f t="shared" si="240"/>
        <v>4.4288043944725777</v>
      </c>
      <c r="AL809" s="374">
        <f t="shared" si="241"/>
        <v>0.9031782945736434</v>
      </c>
      <c r="AM809" s="372">
        <f t="shared" si="242"/>
        <v>0.80570869539411216</v>
      </c>
      <c r="AN809" s="799">
        <v>0.80570869539411216</v>
      </c>
      <c r="AO809" s="448"/>
      <c r="AP809" s="440">
        <v>50</v>
      </c>
      <c r="AQ809" s="440">
        <v>0</v>
      </c>
      <c r="AR809" s="440">
        <v>0</v>
      </c>
      <c r="AS809" s="440">
        <v>0</v>
      </c>
      <c r="AT809" s="440">
        <v>0</v>
      </c>
      <c r="AU809" s="440">
        <v>0</v>
      </c>
      <c r="AV809" s="440">
        <v>0</v>
      </c>
      <c r="AW809" s="440">
        <v>0</v>
      </c>
      <c r="AX809" s="440">
        <v>0</v>
      </c>
      <c r="AY809" s="440">
        <v>0</v>
      </c>
      <c r="AZ809" s="440">
        <v>0</v>
      </c>
      <c r="BA809" s="440">
        <v>0</v>
      </c>
      <c r="BB809" s="440">
        <v>0</v>
      </c>
      <c r="BC809" s="440">
        <v>0</v>
      </c>
      <c r="BD809" s="440">
        <v>0</v>
      </c>
      <c r="BE809" s="440">
        <v>0</v>
      </c>
      <c r="BF809" s="440">
        <v>0</v>
      </c>
      <c r="BG809" s="440">
        <v>0</v>
      </c>
      <c r="BH809" s="440">
        <v>0</v>
      </c>
      <c r="BI809" s="440">
        <v>0</v>
      </c>
      <c r="BJ809" s="440">
        <v>0</v>
      </c>
      <c r="BK809" s="440">
        <v>0</v>
      </c>
      <c r="BL809" s="440">
        <v>0</v>
      </c>
      <c r="BM809" s="440">
        <v>0</v>
      </c>
      <c r="BN809" s="440">
        <v>0</v>
      </c>
      <c r="BO809" s="440">
        <v>0</v>
      </c>
      <c r="BP809" s="440">
        <v>0</v>
      </c>
      <c r="BQ809" s="440">
        <v>0</v>
      </c>
      <c r="BR809" s="415">
        <v>0.83333333333333337</v>
      </c>
      <c r="BS809" s="415">
        <v>0.83333333333333337</v>
      </c>
      <c r="BT809" s="935"/>
      <c r="BU809" s="935"/>
      <c r="BV809" s="935"/>
      <c r="BW809" s="935"/>
      <c r="BX809" s="935"/>
      <c r="BY809" s="935"/>
      <c r="BZ809" s="935"/>
      <c r="CA809" s="935"/>
      <c r="CB809" s="935"/>
      <c r="CC809" s="935"/>
      <c r="CD809" s="935"/>
      <c r="CE809" s="935"/>
      <c r="CF809" s="935"/>
      <c r="CG809" s="935"/>
      <c r="CH809" s="935"/>
      <c r="CI809" s="935"/>
      <c r="CJ809" s="935"/>
      <c r="CK809" s="935"/>
      <c r="CL809" s="935"/>
      <c r="CM809" s="935"/>
      <c r="CN809" s="935"/>
      <c r="CO809" s="935"/>
      <c r="CP809" s="935"/>
      <c r="CQ809" s="935"/>
      <c r="CR809" s="935"/>
      <c r="CS809" s="935"/>
      <c r="CT809" s="935"/>
      <c r="CU809" s="935"/>
      <c r="CV809" s="935"/>
    </row>
    <row r="810" spans="1:104" s="441" customFormat="1">
      <c r="A810" s="375">
        <f t="shared" si="228"/>
        <v>10</v>
      </c>
      <c r="B810" s="862">
        <v>44475</v>
      </c>
      <c r="C810" s="493" t="s">
        <v>2000</v>
      </c>
      <c r="D810" s="376" t="str">
        <f>IFERROR(VLOOKUP(E:E,'Item Data Support Sheet'!A:O,7,0),"")</f>
        <v>NIPPLE WRAP PRINTED</v>
      </c>
      <c r="E810" s="447" t="s">
        <v>2091</v>
      </c>
      <c r="F810" s="500"/>
      <c r="G810" s="497" t="s">
        <v>1693</v>
      </c>
      <c r="H810" s="602" t="str">
        <f>IFERROR(VLOOKUP(E:E,'Item Data Support Sheet'!A:O,2,0),"")</f>
        <v>NIPPLE S TYPE LL SIZE WRAPPED</v>
      </c>
      <c r="I810" s="501" t="s">
        <v>3543</v>
      </c>
      <c r="J810" s="501" t="s">
        <v>2812</v>
      </c>
      <c r="K810" s="499">
        <v>8</v>
      </c>
      <c r="L810" s="499">
        <v>16132</v>
      </c>
      <c r="M810" s="366">
        <v>2016.5</v>
      </c>
      <c r="N810" s="367">
        <f t="shared" si="227"/>
        <v>15422</v>
      </c>
      <c r="O810" s="61">
        <v>15411</v>
      </c>
      <c r="P810" s="368">
        <v>0</v>
      </c>
      <c r="Q810" s="368">
        <v>0</v>
      </c>
      <c r="R810" s="494">
        <v>0</v>
      </c>
      <c r="S810" s="493">
        <v>0</v>
      </c>
      <c r="T810" s="494">
        <v>11</v>
      </c>
      <c r="U810" s="493">
        <v>0</v>
      </c>
      <c r="V810" s="502">
        <v>2</v>
      </c>
      <c r="W810" s="453">
        <f t="shared" si="229"/>
        <v>7705.5</v>
      </c>
      <c r="X810" s="748">
        <f t="shared" si="230"/>
        <v>0.95530622365484752</v>
      </c>
      <c r="Y810" s="451" t="str">
        <f>IFERROR(VLOOKUP(E:E,'Item Data Support Sheet'!A:J,6,0),0)</f>
        <v>FO141</v>
      </c>
      <c r="Z810" s="428">
        <f>IFERROR(VLOOKUP(E:E,'Item Data Support Sheet'!A:O,4,0),0)</f>
        <v>0</v>
      </c>
      <c r="AA810" s="428">
        <f t="shared" si="231"/>
        <v>0</v>
      </c>
      <c r="AB810" s="429" t="str">
        <f t="shared" si="232"/>
        <v xml:space="preserve"> </v>
      </c>
      <c r="AC810" s="424">
        <f t="shared" si="233"/>
        <v>7.1326676176890159E-4</v>
      </c>
      <c r="AD810" s="371">
        <f t="shared" si="234"/>
        <v>0</v>
      </c>
      <c r="AE810" s="748">
        <f t="shared" si="235"/>
        <v>0.99928673323823114</v>
      </c>
      <c r="AF810" s="417">
        <f t="shared" si="236"/>
        <v>0.83333333333333337</v>
      </c>
      <c r="AG810" s="416">
        <f t="shared" si="237"/>
        <v>7.166666666666667</v>
      </c>
      <c r="AH810" s="372">
        <f t="shared" si="238"/>
        <v>0.89583333333333337</v>
      </c>
      <c r="AI810" s="373">
        <f t="shared" si="239"/>
        <v>1926.375</v>
      </c>
      <c r="AJ810" s="418">
        <f>VLOOKUP(D810,'Standard Cycle time'!C:D,2,0)</f>
        <v>2.5</v>
      </c>
      <c r="AK810" s="418">
        <f t="shared" si="240"/>
        <v>3.3482577379793654</v>
      </c>
      <c r="AL810" s="374">
        <f t="shared" si="241"/>
        <v>0.74665697674418607</v>
      </c>
      <c r="AM810" s="372">
        <f t="shared" si="242"/>
        <v>0.66840311831312416</v>
      </c>
      <c r="AN810" s="799">
        <v>0.66840311831312416</v>
      </c>
      <c r="AO810" s="448"/>
      <c r="AP810" s="440">
        <v>50</v>
      </c>
      <c r="AQ810" s="440">
        <v>0</v>
      </c>
      <c r="AR810" s="440">
        <v>0</v>
      </c>
      <c r="AS810" s="440">
        <v>0</v>
      </c>
      <c r="AT810" s="440">
        <v>0</v>
      </c>
      <c r="AU810" s="440">
        <v>0</v>
      </c>
      <c r="AV810" s="440">
        <v>0</v>
      </c>
      <c r="AW810" s="440">
        <v>0</v>
      </c>
      <c r="AX810" s="440">
        <v>0</v>
      </c>
      <c r="AY810" s="440">
        <v>0</v>
      </c>
      <c r="AZ810" s="440">
        <v>0</v>
      </c>
      <c r="BA810" s="440">
        <v>0</v>
      </c>
      <c r="BB810" s="440">
        <v>0</v>
      </c>
      <c r="BC810" s="440">
        <v>0</v>
      </c>
      <c r="BD810" s="440">
        <v>0</v>
      </c>
      <c r="BE810" s="440">
        <v>0</v>
      </c>
      <c r="BF810" s="440">
        <v>0</v>
      </c>
      <c r="BG810" s="440">
        <v>0</v>
      </c>
      <c r="BH810" s="440">
        <v>0</v>
      </c>
      <c r="BI810" s="440">
        <v>0</v>
      </c>
      <c r="BJ810" s="440">
        <v>0</v>
      </c>
      <c r="BK810" s="440">
        <v>0</v>
      </c>
      <c r="BL810" s="440">
        <v>0</v>
      </c>
      <c r="BM810" s="440">
        <v>0</v>
      </c>
      <c r="BN810" s="440">
        <v>0</v>
      </c>
      <c r="BO810" s="440">
        <v>0</v>
      </c>
      <c r="BP810" s="440">
        <v>0</v>
      </c>
      <c r="BQ810" s="440">
        <v>0</v>
      </c>
      <c r="BR810" s="415">
        <v>0.83333333333333337</v>
      </c>
      <c r="BS810" s="415">
        <v>0.83333333333333337</v>
      </c>
      <c r="BT810" s="935"/>
      <c r="BU810" s="935"/>
      <c r="BV810" s="935"/>
      <c r="BW810" s="935"/>
      <c r="BX810" s="935"/>
      <c r="BY810" s="935"/>
      <c r="BZ810" s="935"/>
      <c r="CA810" s="935"/>
      <c r="CB810" s="935"/>
      <c r="CC810" s="935"/>
      <c r="CD810" s="935"/>
      <c r="CE810" s="935"/>
      <c r="CF810" s="935"/>
      <c r="CG810" s="935"/>
      <c r="CH810" s="935"/>
      <c r="CI810" s="935"/>
      <c r="CJ810" s="935"/>
      <c r="CK810" s="935"/>
      <c r="CL810" s="935"/>
      <c r="CM810" s="935"/>
      <c r="CN810" s="935"/>
      <c r="CO810" s="935"/>
      <c r="CP810" s="935"/>
      <c r="CQ810" s="935"/>
      <c r="CR810" s="935"/>
      <c r="CS810" s="935"/>
      <c r="CT810" s="935"/>
      <c r="CU810" s="935"/>
      <c r="CV810" s="935"/>
    </row>
    <row r="811" spans="1:104" s="441" customFormat="1">
      <c r="A811" s="375">
        <f t="shared" si="228"/>
        <v>10</v>
      </c>
      <c r="B811" s="862">
        <v>44475</v>
      </c>
      <c r="C811" s="493" t="s">
        <v>2001</v>
      </c>
      <c r="D811" s="376" t="str">
        <f>IFERROR(VLOOKUP(E:E,'Item Data Support Sheet'!A:O,7,0),"")</f>
        <v>NIPPLE PUNCH</v>
      </c>
      <c r="E811" s="447" t="s">
        <v>2486</v>
      </c>
      <c r="F811" s="500"/>
      <c r="G811" s="497"/>
      <c r="H811" s="602" t="str">
        <f>IFERROR(VLOOKUP(E:E,'Item Data Support Sheet'!A:O,2,0),"")</f>
        <v>NIPPLE S TYPE LL SIZE PUNCHED</v>
      </c>
      <c r="I811" s="501" t="s">
        <v>3544</v>
      </c>
      <c r="J811" s="501" t="s">
        <v>2811</v>
      </c>
      <c r="K811" s="499">
        <v>8</v>
      </c>
      <c r="L811" s="499">
        <v>7000</v>
      </c>
      <c r="M811" s="366">
        <v>875</v>
      </c>
      <c r="N811" s="367">
        <f t="shared" si="227"/>
        <v>6300</v>
      </c>
      <c r="O811" s="61">
        <v>6300</v>
      </c>
      <c r="P811" s="368">
        <v>0</v>
      </c>
      <c r="Q811" s="368">
        <v>0</v>
      </c>
      <c r="R811" s="494">
        <v>0</v>
      </c>
      <c r="S811" s="493">
        <v>0</v>
      </c>
      <c r="T811" s="494">
        <v>0</v>
      </c>
      <c r="U811" s="493">
        <v>0</v>
      </c>
      <c r="V811" s="502">
        <v>1</v>
      </c>
      <c r="W811" s="453">
        <f t="shared" si="229"/>
        <v>6300</v>
      </c>
      <c r="X811" s="748">
        <f t="shared" si="230"/>
        <v>0.9</v>
      </c>
      <c r="Y811" s="451" t="str">
        <f>IFERROR(VLOOKUP(E:E,'Item Data Support Sheet'!A:J,6,0),0)</f>
        <v>FO150</v>
      </c>
      <c r="Z811" s="428">
        <f>IFERROR(VLOOKUP(E:E,'Item Data Support Sheet'!A:O,4,0),0)</f>
        <v>0</v>
      </c>
      <c r="AA811" s="428">
        <f t="shared" si="231"/>
        <v>0</v>
      </c>
      <c r="AB811" s="429" t="str">
        <f t="shared" si="232"/>
        <v xml:space="preserve"> </v>
      </c>
      <c r="AC811" s="424">
        <f t="shared" si="233"/>
        <v>0</v>
      </c>
      <c r="AD811" s="371">
        <f t="shared" si="234"/>
        <v>0</v>
      </c>
      <c r="AE811" s="748">
        <f t="shared" si="235"/>
        <v>1</v>
      </c>
      <c r="AF811" s="417">
        <f t="shared" si="236"/>
        <v>0.66666666666666663</v>
      </c>
      <c r="AG811" s="416">
        <f t="shared" si="237"/>
        <v>7.333333333333333</v>
      </c>
      <c r="AH811" s="372">
        <f t="shared" si="238"/>
        <v>0.91666666666666663</v>
      </c>
      <c r="AI811" s="373">
        <f t="shared" si="239"/>
        <v>787.5</v>
      </c>
      <c r="AJ811" s="418">
        <f>VLOOKUP(D811,'Standard Cycle time'!C:D,2,0)</f>
        <v>3.5</v>
      </c>
      <c r="AK811" s="418">
        <f t="shared" si="240"/>
        <v>4.1904761904761907</v>
      </c>
      <c r="AL811" s="374">
        <f t="shared" si="241"/>
        <v>0.83522727272727271</v>
      </c>
      <c r="AM811" s="372">
        <f t="shared" si="242"/>
        <v>0.765625</v>
      </c>
      <c r="AN811" s="799">
        <v>0.765625</v>
      </c>
      <c r="AO811" s="448" t="s">
        <v>3545</v>
      </c>
      <c r="AP811" s="440">
        <v>40</v>
      </c>
      <c r="AQ811" s="440">
        <v>0</v>
      </c>
      <c r="AR811" s="440">
        <v>0</v>
      </c>
      <c r="AS811" s="440">
        <v>0</v>
      </c>
      <c r="AT811" s="440">
        <v>0</v>
      </c>
      <c r="AU811" s="440">
        <v>0</v>
      </c>
      <c r="AV811" s="440">
        <v>0</v>
      </c>
      <c r="AW811" s="440">
        <v>0</v>
      </c>
      <c r="AX811" s="440">
        <v>0</v>
      </c>
      <c r="AY811" s="440">
        <v>0</v>
      </c>
      <c r="AZ811" s="440">
        <v>0</v>
      </c>
      <c r="BA811" s="440">
        <v>0</v>
      </c>
      <c r="BB811" s="440">
        <v>0</v>
      </c>
      <c r="BC811" s="440">
        <v>0</v>
      </c>
      <c r="BD811" s="440">
        <v>0</v>
      </c>
      <c r="BE811" s="440">
        <v>0</v>
      </c>
      <c r="BF811" s="440">
        <v>0</v>
      </c>
      <c r="BG811" s="440">
        <v>0</v>
      </c>
      <c r="BH811" s="440">
        <v>0</v>
      </c>
      <c r="BI811" s="440">
        <v>0</v>
      </c>
      <c r="BJ811" s="440">
        <v>0</v>
      </c>
      <c r="BK811" s="440">
        <v>0</v>
      </c>
      <c r="BL811" s="440">
        <v>0</v>
      </c>
      <c r="BM811" s="440">
        <v>0</v>
      </c>
      <c r="BN811" s="440">
        <v>0</v>
      </c>
      <c r="BO811" s="440">
        <v>0</v>
      </c>
      <c r="BP811" s="440">
        <v>0</v>
      </c>
      <c r="BQ811" s="440">
        <v>0</v>
      </c>
      <c r="BR811" s="415">
        <v>0.66666666666666663</v>
      </c>
      <c r="BS811" s="415">
        <v>0.66666666666666663</v>
      </c>
      <c r="BT811" s="935"/>
      <c r="BU811" s="935"/>
      <c r="BV811" s="935"/>
      <c r="BW811" s="935"/>
      <c r="BX811" s="935"/>
      <c r="BY811" s="935"/>
      <c r="BZ811" s="935"/>
      <c r="CA811" s="935"/>
      <c r="CB811" s="935"/>
      <c r="CC811" s="935"/>
      <c r="CD811" s="935"/>
      <c r="CE811" s="935"/>
      <c r="CF811" s="935"/>
      <c r="CG811" s="935"/>
      <c r="CH811" s="935"/>
      <c r="CI811" s="935"/>
      <c r="CJ811" s="935"/>
      <c r="CK811" s="935"/>
      <c r="CL811" s="935"/>
      <c r="CM811" s="935"/>
      <c r="CN811" s="935"/>
      <c r="CO811" s="935"/>
      <c r="CP811" s="935"/>
      <c r="CQ811" s="935"/>
      <c r="CR811" s="935"/>
      <c r="CS811" s="935"/>
      <c r="CT811" s="935"/>
      <c r="CU811" s="935"/>
      <c r="CV811" s="935"/>
    </row>
    <row r="812" spans="1:104" s="441" customFormat="1">
      <c r="A812" s="375">
        <f t="shared" si="228"/>
        <v>10</v>
      </c>
      <c r="B812" s="862">
        <v>44475</v>
      </c>
      <c r="C812" s="493" t="s">
        <v>2001</v>
      </c>
      <c r="D812" s="376" t="str">
        <f>IFERROR(VLOOKUP(E:E,'Item Data Support Sheet'!A:O,7,0),"")</f>
        <v>NIPPLE LASER MARKING</v>
      </c>
      <c r="E812" s="447" t="s">
        <v>2487</v>
      </c>
      <c r="F812" s="500"/>
      <c r="G812" s="497" t="s">
        <v>1812</v>
      </c>
      <c r="H812" s="602" t="str">
        <f>IFERROR(VLOOKUP(E:E,'Item Data Support Sheet'!A:O,2,0),"")</f>
        <v>NIPPLE S TYPE LL SIZE LASER MARKED</v>
      </c>
      <c r="I812" s="501" t="s">
        <v>3546</v>
      </c>
      <c r="J812" s="501" t="s">
        <v>2811</v>
      </c>
      <c r="K812" s="499">
        <v>8</v>
      </c>
      <c r="L812" s="499">
        <v>7000</v>
      </c>
      <c r="M812" s="366">
        <v>875</v>
      </c>
      <c r="N812" s="367">
        <f t="shared" si="227"/>
        <v>6300</v>
      </c>
      <c r="O812" s="61">
        <v>6300</v>
      </c>
      <c r="P812" s="368">
        <v>0</v>
      </c>
      <c r="Q812" s="368">
        <v>0</v>
      </c>
      <c r="R812" s="494">
        <v>0</v>
      </c>
      <c r="S812" s="493">
        <v>0</v>
      </c>
      <c r="T812" s="494">
        <v>0</v>
      </c>
      <c r="U812" s="493">
        <v>0</v>
      </c>
      <c r="V812" s="502">
        <v>1</v>
      </c>
      <c r="W812" s="453">
        <f t="shared" si="229"/>
        <v>6300</v>
      </c>
      <c r="X812" s="748">
        <f t="shared" si="230"/>
        <v>0.9</v>
      </c>
      <c r="Y812" s="451" t="str">
        <f>IFERROR(VLOOKUP(E:E,'Item Data Support Sheet'!A:J,6,0),0)</f>
        <v>FO151</v>
      </c>
      <c r="Z812" s="428">
        <f>IFERROR(VLOOKUP(E:E,'Item Data Support Sheet'!A:O,4,0),0)</f>
        <v>0</v>
      </c>
      <c r="AA812" s="428">
        <f t="shared" si="231"/>
        <v>0</v>
      </c>
      <c r="AB812" s="429" t="str">
        <f t="shared" si="232"/>
        <v xml:space="preserve"> </v>
      </c>
      <c r="AC812" s="424">
        <f t="shared" si="233"/>
        <v>0</v>
      </c>
      <c r="AD812" s="371">
        <f t="shared" si="234"/>
        <v>0</v>
      </c>
      <c r="AE812" s="748">
        <f t="shared" si="235"/>
        <v>1</v>
      </c>
      <c r="AF812" s="417">
        <f t="shared" si="236"/>
        <v>0.66666666666666663</v>
      </c>
      <c r="AG812" s="416">
        <f t="shared" si="237"/>
        <v>7.333333333333333</v>
      </c>
      <c r="AH812" s="372">
        <f t="shared" si="238"/>
        <v>0.91666666666666663</v>
      </c>
      <c r="AI812" s="373">
        <f t="shared" si="239"/>
        <v>787.5</v>
      </c>
      <c r="AJ812" s="418">
        <f>VLOOKUP(D812,'Standard Cycle time'!C:D,2,0)</f>
        <v>3.5</v>
      </c>
      <c r="AK812" s="418">
        <f t="shared" si="240"/>
        <v>4.1904761904761907</v>
      </c>
      <c r="AL812" s="374">
        <f t="shared" si="241"/>
        <v>0.83522727272727271</v>
      </c>
      <c r="AM812" s="372">
        <f t="shared" si="242"/>
        <v>0.765625</v>
      </c>
      <c r="AN812" s="799">
        <v>0.765625</v>
      </c>
      <c r="AO812" s="448" t="s">
        <v>3545</v>
      </c>
      <c r="AP812" s="440">
        <v>40</v>
      </c>
      <c r="AQ812" s="440">
        <v>0</v>
      </c>
      <c r="AR812" s="440">
        <v>0</v>
      </c>
      <c r="AS812" s="440">
        <v>0</v>
      </c>
      <c r="AT812" s="440">
        <v>0</v>
      </c>
      <c r="AU812" s="440">
        <v>0</v>
      </c>
      <c r="AV812" s="440">
        <v>0</v>
      </c>
      <c r="AW812" s="440">
        <v>0</v>
      </c>
      <c r="AX812" s="440">
        <v>0</v>
      </c>
      <c r="AY812" s="440">
        <v>0</v>
      </c>
      <c r="AZ812" s="440">
        <v>0</v>
      </c>
      <c r="BA812" s="440">
        <v>0</v>
      </c>
      <c r="BB812" s="440">
        <v>0</v>
      </c>
      <c r="BC812" s="440">
        <v>0</v>
      </c>
      <c r="BD812" s="440">
        <v>0</v>
      </c>
      <c r="BE812" s="440">
        <v>0</v>
      </c>
      <c r="BF812" s="440">
        <v>0</v>
      </c>
      <c r="BG812" s="440">
        <v>0</v>
      </c>
      <c r="BH812" s="440">
        <v>0</v>
      </c>
      <c r="BI812" s="440">
        <v>0</v>
      </c>
      <c r="BJ812" s="440">
        <v>0</v>
      </c>
      <c r="BK812" s="440">
        <v>0</v>
      </c>
      <c r="BL812" s="440">
        <v>0</v>
      </c>
      <c r="BM812" s="440">
        <v>0</v>
      </c>
      <c r="BN812" s="440">
        <v>0</v>
      </c>
      <c r="BO812" s="440">
        <v>0</v>
      </c>
      <c r="BP812" s="440">
        <v>0</v>
      </c>
      <c r="BQ812" s="440">
        <v>0</v>
      </c>
      <c r="BR812" s="415">
        <v>0.66666666666666663</v>
      </c>
      <c r="BS812" s="415">
        <v>0.66666666666666663</v>
      </c>
      <c r="BT812" s="935"/>
      <c r="BU812" s="935"/>
      <c r="BV812" s="935"/>
      <c r="BW812" s="935"/>
      <c r="BX812" s="935"/>
      <c r="BY812" s="935"/>
      <c r="BZ812" s="935"/>
      <c r="CA812" s="935"/>
      <c r="CB812" s="935"/>
      <c r="CC812" s="935"/>
      <c r="CD812" s="935"/>
      <c r="CE812" s="935"/>
      <c r="CF812" s="935"/>
      <c r="CG812" s="935"/>
      <c r="CH812" s="935"/>
      <c r="CI812" s="935"/>
      <c r="CJ812" s="935"/>
      <c r="CK812" s="935"/>
      <c r="CL812" s="935"/>
      <c r="CM812" s="935"/>
      <c r="CN812" s="935"/>
      <c r="CO812" s="935"/>
      <c r="CP812" s="935"/>
      <c r="CQ812" s="935"/>
      <c r="CR812" s="935"/>
      <c r="CS812" s="935"/>
      <c r="CT812" s="935"/>
      <c r="CU812" s="935"/>
      <c r="CV812" s="935"/>
    </row>
    <row r="813" spans="1:104" s="441" customFormat="1">
      <c r="A813" s="375">
        <f t="shared" si="228"/>
        <v>10</v>
      </c>
      <c r="B813" s="862">
        <v>44475</v>
      </c>
      <c r="C813" s="493" t="s">
        <v>2001</v>
      </c>
      <c r="D813" s="376" t="str">
        <f>IFERROR(VLOOKUP(E:E,'Item Data Support Sheet'!A:O,7,0),"")</f>
        <v>NIPPLE MOLDED</v>
      </c>
      <c r="E813" s="447" t="s">
        <v>2484</v>
      </c>
      <c r="F813" s="500" t="s">
        <v>1678</v>
      </c>
      <c r="G813" s="497" t="s">
        <v>1691</v>
      </c>
      <c r="H813" s="602" t="str">
        <f>IFERROR(VLOOKUP(E:E,'Item Data Support Sheet'!A:O,2,0),"")</f>
        <v>NIPPLE S TYPE LL SIZE INJECTION</v>
      </c>
      <c r="I813" s="501" t="s">
        <v>3547</v>
      </c>
      <c r="J813" s="501" t="s">
        <v>2811</v>
      </c>
      <c r="K813" s="499">
        <v>8</v>
      </c>
      <c r="L813" s="499">
        <v>4815</v>
      </c>
      <c r="M813" s="366">
        <v>601.875</v>
      </c>
      <c r="N813" s="367">
        <f t="shared" si="227"/>
        <v>5390</v>
      </c>
      <c r="O813" s="61">
        <v>5300</v>
      </c>
      <c r="P813" s="368">
        <v>0</v>
      </c>
      <c r="Q813" s="368">
        <v>27</v>
      </c>
      <c r="R813" s="494">
        <v>0</v>
      </c>
      <c r="S813" s="493">
        <v>0</v>
      </c>
      <c r="T813" s="494">
        <v>63</v>
      </c>
      <c r="U813" s="493">
        <v>0</v>
      </c>
      <c r="V813" s="502">
        <v>1</v>
      </c>
      <c r="W813" s="453">
        <f t="shared" si="229"/>
        <v>5300</v>
      </c>
      <c r="X813" s="748">
        <f t="shared" si="230"/>
        <v>1.1007268951194185</v>
      </c>
      <c r="Y813" s="451" t="str">
        <f>IFERROR(VLOOKUP(E:E,'Item Data Support Sheet'!A:J,6,0),0)</f>
        <v>FO148</v>
      </c>
      <c r="Z813" s="428">
        <f>IFERROR(VLOOKUP(E:E,'Item Data Support Sheet'!A:O,4,0),0)</f>
        <v>6.8</v>
      </c>
      <c r="AA813" s="428">
        <f t="shared" si="231"/>
        <v>36.652000000000001</v>
      </c>
      <c r="AB813" s="429">
        <f t="shared" si="232"/>
        <v>0.98330241187384038</v>
      </c>
      <c r="AC813" s="424">
        <f t="shared" si="233"/>
        <v>1.1747156442289764E-2</v>
      </c>
      <c r="AD813" s="371">
        <f t="shared" si="234"/>
        <v>4.9843086579287425E-3</v>
      </c>
      <c r="AE813" s="748">
        <f t="shared" si="235"/>
        <v>0.98831168831168836</v>
      </c>
      <c r="AF813" s="417">
        <f t="shared" si="236"/>
        <v>0</v>
      </c>
      <c r="AG813" s="416">
        <f t="shared" si="237"/>
        <v>8</v>
      </c>
      <c r="AH813" s="372">
        <f t="shared" si="238"/>
        <v>1</v>
      </c>
      <c r="AI813" s="373">
        <f t="shared" si="239"/>
        <v>662.5</v>
      </c>
      <c r="AJ813" s="418">
        <f>VLOOKUP(D813,'Standard Cycle time'!C:D,2,0)</f>
        <v>5.25</v>
      </c>
      <c r="AK813" s="418">
        <f t="shared" si="240"/>
        <v>5.4339622641509431</v>
      </c>
      <c r="AL813" s="374">
        <f t="shared" si="241"/>
        <v>0.96614583333333337</v>
      </c>
      <c r="AM813" s="372">
        <f t="shared" si="242"/>
        <v>0.95485321969696979</v>
      </c>
      <c r="AN813" s="799">
        <v>0.95485321969696979</v>
      </c>
      <c r="AO813" s="448"/>
      <c r="AP813" s="440">
        <v>0</v>
      </c>
      <c r="AQ813" s="440">
        <v>0</v>
      </c>
      <c r="AR813" s="440">
        <v>0</v>
      </c>
      <c r="AS813" s="440">
        <v>0</v>
      </c>
      <c r="AT813" s="440">
        <v>0</v>
      </c>
      <c r="AU813" s="440">
        <v>0</v>
      </c>
      <c r="AV813" s="440">
        <v>0</v>
      </c>
      <c r="AW813" s="440">
        <v>0</v>
      </c>
      <c r="AX813" s="440">
        <v>0</v>
      </c>
      <c r="AY813" s="440">
        <v>0</v>
      </c>
      <c r="AZ813" s="440">
        <v>0</v>
      </c>
      <c r="BA813" s="440">
        <v>0</v>
      </c>
      <c r="BB813" s="440">
        <v>0</v>
      </c>
      <c r="BC813" s="440">
        <v>0</v>
      </c>
      <c r="BD813" s="440">
        <v>0</v>
      </c>
      <c r="BE813" s="440">
        <v>0</v>
      </c>
      <c r="BF813" s="440">
        <v>0</v>
      </c>
      <c r="BG813" s="440">
        <v>0</v>
      </c>
      <c r="BH813" s="440">
        <v>0</v>
      </c>
      <c r="BI813" s="440">
        <v>0</v>
      </c>
      <c r="BJ813" s="440">
        <v>0</v>
      </c>
      <c r="BK813" s="440">
        <v>0</v>
      </c>
      <c r="BL813" s="440">
        <v>0</v>
      </c>
      <c r="BM813" s="440">
        <v>0</v>
      </c>
      <c r="BN813" s="440">
        <v>0</v>
      </c>
      <c r="BO813" s="440">
        <v>0</v>
      </c>
      <c r="BP813" s="440">
        <v>0</v>
      </c>
      <c r="BQ813" s="440">
        <v>0</v>
      </c>
      <c r="BR813" s="415">
        <v>0</v>
      </c>
      <c r="BS813" s="415">
        <v>0</v>
      </c>
      <c r="BT813" s="935"/>
      <c r="BU813" s="935"/>
      <c r="BV813" s="935"/>
      <c r="BW813" s="935"/>
      <c r="BX813" s="935"/>
      <c r="BY813" s="935"/>
      <c r="BZ813" s="935"/>
      <c r="CA813" s="935"/>
      <c r="CB813" s="935"/>
      <c r="CC813" s="935"/>
      <c r="CD813" s="935"/>
      <c r="CE813" s="935"/>
      <c r="CF813" s="935"/>
      <c r="CG813" s="935"/>
      <c r="CH813" s="935"/>
      <c r="CI813" s="935"/>
      <c r="CJ813" s="935"/>
      <c r="CK813" s="935"/>
      <c r="CL813" s="935"/>
      <c r="CM813" s="935"/>
      <c r="CN813" s="935"/>
      <c r="CO813" s="935"/>
      <c r="CP813" s="935"/>
      <c r="CQ813" s="935"/>
      <c r="CR813" s="935"/>
      <c r="CS813" s="935"/>
      <c r="CT813" s="935"/>
      <c r="CU813" s="935"/>
      <c r="CV813" s="935"/>
    </row>
    <row r="814" spans="1:104" s="441" customFormat="1">
      <c r="A814" s="375">
        <f t="shared" si="228"/>
        <v>10</v>
      </c>
      <c r="B814" s="862">
        <v>44475</v>
      </c>
      <c r="C814" s="493" t="s">
        <v>2001</v>
      </c>
      <c r="D814" s="376" t="str">
        <f>IFERROR(VLOOKUP(E:E,'Item Data Support Sheet'!A:O,7,0),"")</f>
        <v>BOTTLE MOLDED</v>
      </c>
      <c r="E814" s="447" t="s">
        <v>67</v>
      </c>
      <c r="F814" s="500" t="s">
        <v>1682</v>
      </c>
      <c r="G814" s="497" t="s">
        <v>1888</v>
      </c>
      <c r="H814" s="602" t="str">
        <f>IFERROR(VLOOKUP(E:E,'Item Data Support Sheet'!A:O,2,0),"")</f>
        <v>RPP 120 ML BOTTLE MOLDED</v>
      </c>
      <c r="I814" s="501" t="s">
        <v>3548</v>
      </c>
      <c r="J814" s="501" t="s">
        <v>2811</v>
      </c>
      <c r="K814" s="499">
        <v>8</v>
      </c>
      <c r="L814" s="499">
        <v>2574</v>
      </c>
      <c r="M814" s="366">
        <v>321.75</v>
      </c>
      <c r="N814" s="367">
        <f t="shared" si="227"/>
        <v>2831</v>
      </c>
      <c r="O814" s="61">
        <v>2739</v>
      </c>
      <c r="P814" s="368">
        <v>0.2</v>
      </c>
      <c r="Q814" s="368">
        <v>48</v>
      </c>
      <c r="R814" s="494">
        <v>0</v>
      </c>
      <c r="S814" s="493">
        <v>0</v>
      </c>
      <c r="T814" s="494">
        <v>44</v>
      </c>
      <c r="U814" s="493">
        <v>0</v>
      </c>
      <c r="V814" s="502">
        <v>1</v>
      </c>
      <c r="W814" s="453">
        <f t="shared" si="229"/>
        <v>2739</v>
      </c>
      <c r="X814" s="748">
        <f t="shared" si="230"/>
        <v>1.0641025641025641</v>
      </c>
      <c r="Y814" s="451" t="str">
        <f>IFERROR(VLOOKUP(E:E,'Item Data Support Sheet'!A:J,6,0),0)</f>
        <v>HMC</v>
      </c>
      <c r="Z814" s="428">
        <f>IFERROR(VLOOKUP(E:E,'Item Data Support Sheet'!A:O,4,0),0)</f>
        <v>21.3</v>
      </c>
      <c r="AA814" s="428">
        <f t="shared" si="231"/>
        <v>60.500300000000003</v>
      </c>
      <c r="AB814" s="429">
        <f t="shared" si="232"/>
        <v>0.96430430923483013</v>
      </c>
      <c r="AC814" s="424">
        <f t="shared" si="233"/>
        <v>1.5810276679841896E-2</v>
      </c>
      <c r="AD814" s="371">
        <f t="shared" si="234"/>
        <v>1.6672455713789509E-2</v>
      </c>
      <c r="AE814" s="748">
        <f t="shared" si="235"/>
        <v>0.98445778876722001</v>
      </c>
      <c r="AF814" s="417">
        <f t="shared" si="236"/>
        <v>0</v>
      </c>
      <c r="AG814" s="416">
        <f t="shared" si="237"/>
        <v>8</v>
      </c>
      <c r="AH814" s="372">
        <f t="shared" si="238"/>
        <v>1</v>
      </c>
      <c r="AI814" s="373">
        <f t="shared" si="239"/>
        <v>342.375</v>
      </c>
      <c r="AJ814" s="418">
        <f>VLOOKUP(D814,'Standard Cycle time'!C:D,2,0)</f>
        <v>9</v>
      </c>
      <c r="AK814" s="418">
        <f t="shared" si="240"/>
        <v>10.514786418400876</v>
      </c>
      <c r="AL814" s="374">
        <f t="shared" si="241"/>
        <v>0.85593750000000002</v>
      </c>
      <c r="AM814" s="372">
        <f t="shared" si="242"/>
        <v>0.84263433857294234</v>
      </c>
      <c r="AN814" s="799">
        <v>0.84263433857294234</v>
      </c>
      <c r="AO814" s="448"/>
      <c r="AP814" s="440">
        <v>0</v>
      </c>
      <c r="AQ814" s="440">
        <v>0</v>
      </c>
      <c r="AR814" s="440">
        <v>0</v>
      </c>
      <c r="AS814" s="440">
        <v>0</v>
      </c>
      <c r="AT814" s="440">
        <v>0</v>
      </c>
      <c r="AU814" s="440">
        <v>0</v>
      </c>
      <c r="AV814" s="440">
        <v>0</v>
      </c>
      <c r="AW814" s="440">
        <v>0</v>
      </c>
      <c r="AX814" s="440">
        <v>0</v>
      </c>
      <c r="AY814" s="440">
        <v>0</v>
      </c>
      <c r="AZ814" s="440">
        <v>0</v>
      </c>
      <c r="BA814" s="440">
        <v>0</v>
      </c>
      <c r="BB814" s="440">
        <v>0</v>
      </c>
      <c r="BC814" s="440">
        <v>0</v>
      </c>
      <c r="BD814" s="440">
        <v>0</v>
      </c>
      <c r="BE814" s="440">
        <v>0</v>
      </c>
      <c r="BF814" s="440">
        <v>0</v>
      </c>
      <c r="BG814" s="440">
        <v>0</v>
      </c>
      <c r="BH814" s="440">
        <v>0</v>
      </c>
      <c r="BI814" s="440">
        <v>0</v>
      </c>
      <c r="BJ814" s="440">
        <v>0</v>
      </c>
      <c r="BK814" s="440">
        <v>0</v>
      </c>
      <c r="BL814" s="440">
        <v>0</v>
      </c>
      <c r="BM814" s="440">
        <v>0</v>
      </c>
      <c r="BN814" s="440">
        <v>0</v>
      </c>
      <c r="BO814" s="440">
        <v>0</v>
      </c>
      <c r="BP814" s="440">
        <v>0</v>
      </c>
      <c r="BQ814" s="440">
        <v>0</v>
      </c>
      <c r="BR814" s="415">
        <v>0</v>
      </c>
      <c r="BS814" s="415">
        <v>0</v>
      </c>
      <c r="BT814" s="935"/>
      <c r="BU814" s="935"/>
      <c r="BV814" s="935"/>
      <c r="BW814" s="935"/>
      <c r="BX814" s="935"/>
      <c r="BY814" s="935"/>
      <c r="BZ814" s="935"/>
      <c r="CA814" s="935"/>
      <c r="CB814" s="935"/>
      <c r="CC814" s="935"/>
      <c r="CD814" s="935"/>
      <c r="CE814" s="935"/>
      <c r="CF814" s="935"/>
      <c r="CG814" s="935"/>
      <c r="CH814" s="935"/>
      <c r="CI814" s="935"/>
      <c r="CJ814" s="935"/>
      <c r="CK814" s="935"/>
      <c r="CL814" s="935"/>
      <c r="CM814" s="935"/>
      <c r="CN814" s="935"/>
      <c r="CO814" s="935"/>
      <c r="CP814" s="935"/>
      <c r="CQ814" s="935"/>
      <c r="CR814" s="935"/>
      <c r="CS814" s="935"/>
      <c r="CT814" s="935"/>
      <c r="CU814" s="935"/>
      <c r="CV814" s="935"/>
    </row>
    <row r="815" spans="1:104" s="441" customFormat="1">
      <c r="A815" s="375">
        <f t="shared" si="228"/>
        <v>10</v>
      </c>
      <c r="B815" s="862">
        <v>44475</v>
      </c>
      <c r="C815" s="493" t="s">
        <v>2001</v>
      </c>
      <c r="D815" s="376" t="str">
        <f>IFERROR(VLOOKUP(E:E,'Item Data Support Sheet'!A:O,7,0),"")</f>
        <v>CAP MOLDED</v>
      </c>
      <c r="E815" s="447" t="s">
        <v>2106</v>
      </c>
      <c r="F815" s="500"/>
      <c r="G815" s="497" t="s">
        <v>3468</v>
      </c>
      <c r="H815" s="602" t="str">
        <f>IFERROR(VLOOKUP(E:E,'Item Data Support Sheet'!A:O,2,0),"")</f>
        <v>CAP S TYPE MOLDED RED</v>
      </c>
      <c r="I815" s="501" t="s">
        <v>3549</v>
      </c>
      <c r="J815" s="501" t="s">
        <v>2811</v>
      </c>
      <c r="K815" s="499">
        <v>1</v>
      </c>
      <c r="L815" s="499">
        <v>517</v>
      </c>
      <c r="M815" s="366">
        <v>517</v>
      </c>
      <c r="N815" s="367">
        <f t="shared" si="227"/>
        <v>750</v>
      </c>
      <c r="O815" s="61">
        <v>750</v>
      </c>
      <c r="P815" s="368">
        <v>0</v>
      </c>
      <c r="Q815" s="368">
        <v>0</v>
      </c>
      <c r="R815" s="494">
        <v>0</v>
      </c>
      <c r="S815" s="493">
        <v>0</v>
      </c>
      <c r="T815" s="494">
        <v>0</v>
      </c>
      <c r="U815" s="493">
        <v>0</v>
      </c>
      <c r="V815" s="502">
        <v>1</v>
      </c>
      <c r="W815" s="453">
        <f t="shared" si="229"/>
        <v>750</v>
      </c>
      <c r="X815" s="748">
        <f t="shared" si="230"/>
        <v>1.4506769825918762</v>
      </c>
      <c r="Y815" s="451" t="str">
        <f>IFERROR(VLOOKUP(E:E,'Item Data Support Sheet'!A:J,6,0),0)</f>
        <v>FO153</v>
      </c>
      <c r="Z815" s="428">
        <f>IFERROR(VLOOKUP(E:E,'Item Data Support Sheet'!A:O,4,0),0)</f>
        <v>7.3</v>
      </c>
      <c r="AA815" s="428">
        <f t="shared" si="231"/>
        <v>5.4749999999999996</v>
      </c>
      <c r="AB815" s="429">
        <f t="shared" si="232"/>
        <v>1</v>
      </c>
      <c r="AC815" s="424">
        <f t="shared" si="233"/>
        <v>0</v>
      </c>
      <c r="AD815" s="371">
        <f t="shared" si="234"/>
        <v>0</v>
      </c>
      <c r="AE815" s="748">
        <f t="shared" si="235"/>
        <v>1</v>
      </c>
      <c r="AF815" s="417">
        <f t="shared" si="236"/>
        <v>0</v>
      </c>
      <c r="AG815" s="416">
        <f t="shared" si="237"/>
        <v>1</v>
      </c>
      <c r="AH815" s="372">
        <f t="shared" si="238"/>
        <v>1</v>
      </c>
      <c r="AI815" s="373">
        <f t="shared" si="239"/>
        <v>750</v>
      </c>
      <c r="AJ815" s="418">
        <f>VLOOKUP(D815,'Standard Cycle time'!C:D,2,0)</f>
        <v>6</v>
      </c>
      <c r="AK815" s="418">
        <f t="shared" si="240"/>
        <v>4.8</v>
      </c>
      <c r="AL815" s="374">
        <f t="shared" si="241"/>
        <v>1.25</v>
      </c>
      <c r="AM815" s="372">
        <f t="shared" si="242"/>
        <v>1.25</v>
      </c>
      <c r="AN815" s="799">
        <v>1.25</v>
      </c>
      <c r="AO815" s="448"/>
      <c r="AP815" s="440">
        <v>0</v>
      </c>
      <c r="AQ815" s="440">
        <v>0</v>
      </c>
      <c r="AR815" s="440">
        <v>0</v>
      </c>
      <c r="AS815" s="440">
        <v>0</v>
      </c>
      <c r="AT815" s="440">
        <v>0</v>
      </c>
      <c r="AU815" s="440">
        <v>0</v>
      </c>
      <c r="AV815" s="440">
        <v>0</v>
      </c>
      <c r="AW815" s="440">
        <v>0</v>
      </c>
      <c r="AX815" s="440">
        <v>0</v>
      </c>
      <c r="AY815" s="440">
        <v>0</v>
      </c>
      <c r="AZ815" s="440">
        <v>0</v>
      </c>
      <c r="BA815" s="440">
        <v>0</v>
      </c>
      <c r="BB815" s="440">
        <v>0</v>
      </c>
      <c r="BC815" s="440">
        <v>0</v>
      </c>
      <c r="BD815" s="440">
        <v>0</v>
      </c>
      <c r="BE815" s="440">
        <v>0</v>
      </c>
      <c r="BF815" s="440">
        <v>0</v>
      </c>
      <c r="BG815" s="440">
        <v>0</v>
      </c>
      <c r="BH815" s="440">
        <v>0</v>
      </c>
      <c r="BI815" s="440">
        <v>0</v>
      </c>
      <c r="BJ815" s="440">
        <v>0</v>
      </c>
      <c r="BK815" s="440">
        <v>0</v>
      </c>
      <c r="BL815" s="440">
        <v>0</v>
      </c>
      <c r="BM815" s="440">
        <v>0</v>
      </c>
      <c r="BN815" s="440">
        <v>0</v>
      </c>
      <c r="BO815" s="440">
        <v>0</v>
      </c>
      <c r="BP815" s="440">
        <v>0</v>
      </c>
      <c r="BQ815" s="440">
        <v>0</v>
      </c>
      <c r="BR815" s="415">
        <v>0</v>
      </c>
      <c r="BS815" s="415">
        <v>0</v>
      </c>
      <c r="BT815" s="935"/>
      <c r="BU815" s="935"/>
      <c r="BV815" s="935"/>
      <c r="BW815" s="935"/>
      <c r="BX815" s="935"/>
      <c r="BY815" s="935"/>
      <c r="BZ815" s="935"/>
      <c r="CA815" s="935"/>
      <c r="CB815" s="935"/>
      <c r="CC815" s="935"/>
      <c r="CD815" s="935"/>
      <c r="CE815" s="935"/>
      <c r="CF815" s="935"/>
      <c r="CG815" s="935"/>
      <c r="CH815" s="935"/>
      <c r="CI815" s="935"/>
      <c r="CJ815" s="935"/>
      <c r="CK815" s="935"/>
      <c r="CL815" s="935"/>
      <c r="CM815" s="935"/>
      <c r="CN815" s="935"/>
      <c r="CO815" s="935"/>
      <c r="CP815" s="935"/>
      <c r="CQ815" s="935"/>
      <c r="CR815" s="935"/>
      <c r="CS815" s="935"/>
      <c r="CT815" s="935"/>
      <c r="CU815" s="935"/>
      <c r="CV815" s="935"/>
    </row>
    <row r="816" spans="1:104" s="441" customFormat="1">
      <c r="A816" s="375">
        <f t="shared" si="228"/>
        <v>10</v>
      </c>
      <c r="B816" s="862">
        <v>44475</v>
      </c>
      <c r="C816" s="493" t="s">
        <v>2001</v>
      </c>
      <c r="D816" s="376" t="str">
        <f>IFERROR(VLOOKUP(E:E,'Item Data Support Sheet'!A:O,7,0),"")</f>
        <v>CAP MOLDED</v>
      </c>
      <c r="E816" s="447" t="s">
        <v>2106</v>
      </c>
      <c r="F816" s="500"/>
      <c r="G816" s="497" t="s">
        <v>3212</v>
      </c>
      <c r="H816" s="602" t="str">
        <f>IFERROR(VLOOKUP(E:E,'Item Data Support Sheet'!A:O,2,0),"")</f>
        <v>CAP S TYPE MOLDED RED</v>
      </c>
      <c r="I816" s="501" t="s">
        <v>3550</v>
      </c>
      <c r="J816" s="501" t="s">
        <v>2811</v>
      </c>
      <c r="K816" s="499">
        <v>7</v>
      </c>
      <c r="L816" s="499">
        <v>3620</v>
      </c>
      <c r="M816" s="366">
        <v>517.14285714285711</v>
      </c>
      <c r="N816" s="367">
        <f t="shared" si="227"/>
        <v>3304</v>
      </c>
      <c r="O816" s="61">
        <v>3300</v>
      </c>
      <c r="P816" s="368">
        <v>0</v>
      </c>
      <c r="Q816" s="368">
        <v>0</v>
      </c>
      <c r="R816" s="494">
        <v>0</v>
      </c>
      <c r="S816" s="493">
        <v>0</v>
      </c>
      <c r="T816" s="494">
        <v>4</v>
      </c>
      <c r="U816" s="493">
        <v>0</v>
      </c>
      <c r="V816" s="502">
        <v>1</v>
      </c>
      <c r="W816" s="453">
        <f t="shared" si="229"/>
        <v>3300</v>
      </c>
      <c r="X816" s="748">
        <f t="shared" si="230"/>
        <v>0.91160220994475138</v>
      </c>
      <c r="Y816" s="451" t="str">
        <f>IFERROR(VLOOKUP(E:E,'Item Data Support Sheet'!A:J,6,0),0)</f>
        <v>FO153</v>
      </c>
      <c r="Z816" s="428">
        <f>IFERROR(VLOOKUP(E:E,'Item Data Support Sheet'!A:O,4,0),0)</f>
        <v>7.3</v>
      </c>
      <c r="AA816" s="428">
        <f t="shared" si="231"/>
        <v>24.119199999999999</v>
      </c>
      <c r="AB816" s="429">
        <f t="shared" si="232"/>
        <v>0.99878934624697335</v>
      </c>
      <c r="AC816" s="424">
        <f t="shared" si="233"/>
        <v>1.2106537530266344E-3</v>
      </c>
      <c r="AD816" s="371">
        <f t="shared" si="234"/>
        <v>0</v>
      </c>
      <c r="AE816" s="748">
        <f t="shared" si="235"/>
        <v>0.99878934624697335</v>
      </c>
      <c r="AF816" s="417">
        <f t="shared" si="236"/>
        <v>1.25</v>
      </c>
      <c r="AG816" s="416">
        <f t="shared" si="237"/>
        <v>5.75</v>
      </c>
      <c r="AH816" s="372">
        <f t="shared" si="238"/>
        <v>0.8214285714285714</v>
      </c>
      <c r="AI816" s="373">
        <f t="shared" si="239"/>
        <v>471.42857142857144</v>
      </c>
      <c r="AJ816" s="418">
        <f>VLOOKUP(D816,'Standard Cycle time'!C:D,2,0)</f>
        <v>6</v>
      </c>
      <c r="AK816" s="418">
        <f t="shared" si="240"/>
        <v>6.2727272727272725</v>
      </c>
      <c r="AL816" s="374">
        <f t="shared" si="241"/>
        <v>0.95652173913043481</v>
      </c>
      <c r="AM816" s="372">
        <f t="shared" si="242"/>
        <v>0.78476305776547906</v>
      </c>
      <c r="AN816" s="799">
        <v>0.78476305776547906</v>
      </c>
      <c r="AO816" s="448"/>
      <c r="AP816" s="440">
        <v>0</v>
      </c>
      <c r="AQ816" s="440">
        <v>0</v>
      </c>
      <c r="AR816" s="440">
        <v>0</v>
      </c>
      <c r="AS816" s="440">
        <v>0</v>
      </c>
      <c r="AT816" s="440">
        <v>0</v>
      </c>
      <c r="AU816" s="440">
        <v>0</v>
      </c>
      <c r="AV816" s="440">
        <v>0</v>
      </c>
      <c r="AW816" s="440">
        <v>30</v>
      </c>
      <c r="AX816" s="440">
        <v>0</v>
      </c>
      <c r="AY816" s="440">
        <v>0</v>
      </c>
      <c r="AZ816" s="440">
        <v>45</v>
      </c>
      <c r="BA816" s="440">
        <v>0</v>
      </c>
      <c r="BB816" s="440">
        <v>0</v>
      </c>
      <c r="BC816" s="440">
        <v>0</v>
      </c>
      <c r="BD816" s="440">
        <v>0</v>
      </c>
      <c r="BE816" s="440">
        <v>0</v>
      </c>
      <c r="BF816" s="440">
        <v>0</v>
      </c>
      <c r="BG816" s="440">
        <v>0</v>
      </c>
      <c r="BH816" s="440">
        <v>0</v>
      </c>
      <c r="BI816" s="440">
        <v>0</v>
      </c>
      <c r="BJ816" s="440">
        <v>0</v>
      </c>
      <c r="BK816" s="440">
        <v>0</v>
      </c>
      <c r="BL816" s="440">
        <v>0</v>
      </c>
      <c r="BM816" s="440">
        <v>0</v>
      </c>
      <c r="BN816" s="440">
        <v>0</v>
      </c>
      <c r="BO816" s="440">
        <v>0</v>
      </c>
      <c r="BP816" s="440">
        <v>0</v>
      </c>
      <c r="BQ816" s="440">
        <v>0</v>
      </c>
      <c r="BR816" s="415">
        <v>1.25</v>
      </c>
      <c r="BS816" s="415">
        <v>1.25</v>
      </c>
      <c r="BT816" s="935"/>
      <c r="BU816" s="935"/>
      <c r="BV816" s="935"/>
      <c r="BW816" s="935"/>
      <c r="BX816" s="935"/>
      <c r="BY816" s="935"/>
      <c r="BZ816" s="935"/>
      <c r="CA816" s="935"/>
      <c r="CB816" s="935"/>
      <c r="CC816" s="935"/>
      <c r="CD816" s="935"/>
      <c r="CE816" s="935"/>
      <c r="CF816" s="935"/>
      <c r="CG816" s="935"/>
      <c r="CH816" s="935"/>
      <c r="CI816" s="935"/>
      <c r="CJ816" s="935"/>
      <c r="CK816" s="935"/>
      <c r="CL816" s="935"/>
      <c r="CM816" s="935"/>
      <c r="CN816" s="935"/>
      <c r="CO816" s="935"/>
      <c r="CP816" s="935"/>
      <c r="CQ816" s="935"/>
      <c r="CR816" s="935"/>
      <c r="CS816" s="935"/>
      <c r="CT816" s="935"/>
      <c r="CU816" s="935"/>
      <c r="CV816" s="935"/>
    </row>
    <row r="817" spans="1:100" s="441" customFormat="1">
      <c r="A817" s="375">
        <f t="shared" si="228"/>
        <v>10</v>
      </c>
      <c r="B817" s="862">
        <v>44475</v>
      </c>
      <c r="C817" s="493" t="s">
        <v>1980</v>
      </c>
      <c r="D817" s="376" t="str">
        <f>IFERROR(VLOOKUP(E:E,'Item Data Support Sheet'!A:O,7,0),"")</f>
        <v>BOTTLE PRINTED</v>
      </c>
      <c r="E817" s="447" t="s">
        <v>71</v>
      </c>
      <c r="F817" s="500"/>
      <c r="G817" s="497"/>
      <c r="H817" s="602" t="str">
        <f>IFERROR(VLOOKUP(E:E,'Item Data Support Sheet'!A:O,2,0),"")</f>
        <v>RPP 120 ML BOTTLE PRINTED</v>
      </c>
      <c r="I817" s="501" t="s">
        <v>3551</v>
      </c>
      <c r="J817" s="501" t="s">
        <v>2813</v>
      </c>
      <c r="K817" s="499">
        <v>8</v>
      </c>
      <c r="L817" s="499">
        <v>5800</v>
      </c>
      <c r="M817" s="366">
        <v>725</v>
      </c>
      <c r="N817" s="367">
        <f t="shared" si="227"/>
        <v>4878</v>
      </c>
      <c r="O817" s="61">
        <v>4860</v>
      </c>
      <c r="P817" s="368">
        <v>0</v>
      </c>
      <c r="Q817" s="368">
        <v>0</v>
      </c>
      <c r="R817" s="494">
        <v>27</v>
      </c>
      <c r="S817" s="493">
        <v>0</v>
      </c>
      <c r="T817" s="494">
        <v>18</v>
      </c>
      <c r="U817" s="493">
        <v>0</v>
      </c>
      <c r="V817" s="502">
        <v>4</v>
      </c>
      <c r="W817" s="453">
        <f t="shared" si="229"/>
        <v>1215</v>
      </c>
      <c r="X817" s="748">
        <f t="shared" si="230"/>
        <v>0.83793103448275863</v>
      </c>
      <c r="Y817" s="451" t="str">
        <f>IFERROR(VLOOKUP(E:E,'Item Data Support Sheet'!A:J,6,0),0)</f>
        <v>FO004</v>
      </c>
      <c r="Z817" s="428">
        <f>IFERROR(VLOOKUP(E:E,'Item Data Support Sheet'!A:O,4,0),0)</f>
        <v>0</v>
      </c>
      <c r="AA817" s="428">
        <f t="shared" si="231"/>
        <v>0</v>
      </c>
      <c r="AB817" s="429" t="str">
        <f t="shared" si="232"/>
        <v xml:space="preserve"> </v>
      </c>
      <c r="AC817" s="424">
        <f t="shared" si="233"/>
        <v>3.6900369003690036E-3</v>
      </c>
      <c r="AD817" s="371">
        <f t="shared" si="234"/>
        <v>0</v>
      </c>
      <c r="AE817" s="748">
        <f t="shared" si="235"/>
        <v>0.99630996309963105</v>
      </c>
      <c r="AF817" s="417">
        <f t="shared" si="236"/>
        <v>0.83333333333333337</v>
      </c>
      <c r="AG817" s="416">
        <f t="shared" si="237"/>
        <v>7.166666666666667</v>
      </c>
      <c r="AH817" s="372">
        <f t="shared" si="238"/>
        <v>0.89583333333333337</v>
      </c>
      <c r="AI817" s="373">
        <f t="shared" si="239"/>
        <v>607.5</v>
      </c>
      <c r="AJ817" s="418">
        <f>VLOOKUP(D817,'Standard Cycle time'!C:D,2,0)</f>
        <v>32.4</v>
      </c>
      <c r="AK817" s="418">
        <f t="shared" si="240"/>
        <v>21.234567901234566</v>
      </c>
      <c r="AL817" s="374">
        <f t="shared" si="241"/>
        <v>1.5258139534883721</v>
      </c>
      <c r="AM817" s="372">
        <f t="shared" si="242"/>
        <v>1.3618311808118084</v>
      </c>
      <c r="AN817" s="799">
        <v>1.3618311808118084</v>
      </c>
      <c r="AO817" s="448"/>
      <c r="AP817" s="440">
        <v>50</v>
      </c>
      <c r="AQ817" s="440">
        <v>0</v>
      </c>
      <c r="AR817" s="440">
        <v>0</v>
      </c>
      <c r="AS817" s="440">
        <v>0</v>
      </c>
      <c r="AT817" s="440">
        <v>0</v>
      </c>
      <c r="AU817" s="440">
        <v>0</v>
      </c>
      <c r="AV817" s="440">
        <v>0</v>
      </c>
      <c r="AW817" s="440">
        <v>0</v>
      </c>
      <c r="AX817" s="440">
        <v>0</v>
      </c>
      <c r="AY817" s="440">
        <v>0</v>
      </c>
      <c r="AZ817" s="440">
        <v>0</v>
      </c>
      <c r="BA817" s="440">
        <v>0</v>
      </c>
      <c r="BB817" s="440">
        <v>0</v>
      </c>
      <c r="BC817" s="440">
        <v>0</v>
      </c>
      <c r="BD817" s="440">
        <v>0</v>
      </c>
      <c r="BE817" s="440">
        <v>0</v>
      </c>
      <c r="BF817" s="440">
        <v>0</v>
      </c>
      <c r="BG817" s="440">
        <v>0</v>
      </c>
      <c r="BH817" s="440">
        <v>0</v>
      </c>
      <c r="BI817" s="440">
        <v>0</v>
      </c>
      <c r="BJ817" s="440">
        <v>0</v>
      </c>
      <c r="BK817" s="440">
        <v>0</v>
      </c>
      <c r="BL817" s="440">
        <v>0</v>
      </c>
      <c r="BM817" s="440">
        <v>0</v>
      </c>
      <c r="BN817" s="440">
        <v>0</v>
      </c>
      <c r="BO817" s="440">
        <v>0</v>
      </c>
      <c r="BP817" s="440">
        <v>0</v>
      </c>
      <c r="BQ817" s="440">
        <v>0</v>
      </c>
      <c r="BR817" s="415">
        <v>0.83333333333333337</v>
      </c>
      <c r="BS817" s="415">
        <v>0.83333333333333337</v>
      </c>
      <c r="BT817" s="935"/>
      <c r="BU817" s="935"/>
      <c r="BV817" s="935"/>
      <c r="BW817" s="935"/>
      <c r="BX817" s="935"/>
      <c r="BY817" s="935"/>
      <c r="BZ817" s="935"/>
      <c r="CA817" s="935"/>
      <c r="CB817" s="935"/>
      <c r="CC817" s="935"/>
      <c r="CD817" s="935"/>
      <c r="CE817" s="935"/>
      <c r="CF817" s="935"/>
      <c r="CG817" s="935"/>
      <c r="CH817" s="935"/>
      <c r="CI817" s="935"/>
      <c r="CJ817" s="935"/>
      <c r="CK817" s="935"/>
      <c r="CL817" s="935"/>
      <c r="CM817" s="935"/>
      <c r="CN817" s="935"/>
      <c r="CO817" s="935"/>
      <c r="CP817" s="935"/>
      <c r="CQ817" s="935"/>
      <c r="CR817" s="935"/>
      <c r="CS817" s="935"/>
      <c r="CT817" s="935"/>
      <c r="CU817" s="935"/>
      <c r="CV817" s="935"/>
    </row>
    <row r="818" spans="1:100" s="441" customFormat="1">
      <c r="A818" s="375">
        <f t="shared" si="228"/>
        <v>10</v>
      </c>
      <c r="B818" s="862">
        <v>44475</v>
      </c>
      <c r="C818" s="493" t="s">
        <v>2001</v>
      </c>
      <c r="D818" s="376" t="str">
        <f>IFERROR(VLOOKUP(E:E,'Item Data Support Sheet'!A:O,7,0),"")</f>
        <v>BOTTLE PRINTED</v>
      </c>
      <c r="E818" s="447" t="s">
        <v>71</v>
      </c>
      <c r="F818" s="500"/>
      <c r="G818" s="497"/>
      <c r="H818" s="602" t="str">
        <f>IFERROR(VLOOKUP(E:E,'Item Data Support Sheet'!A:O,2,0),"")</f>
        <v>RPP 120 ML BOTTLE PRINTED</v>
      </c>
      <c r="I818" s="501" t="s">
        <v>3552</v>
      </c>
      <c r="J818" s="501" t="s">
        <v>2813</v>
      </c>
      <c r="K818" s="499">
        <v>8</v>
      </c>
      <c r="L818" s="499">
        <v>5800</v>
      </c>
      <c r="M818" s="366">
        <v>725</v>
      </c>
      <c r="N818" s="367">
        <f t="shared" si="227"/>
        <v>6415</v>
      </c>
      <c r="O818" s="61">
        <v>6401</v>
      </c>
      <c r="P818" s="368">
        <v>0</v>
      </c>
      <c r="Q818" s="368">
        <v>0</v>
      </c>
      <c r="R818" s="494">
        <v>32</v>
      </c>
      <c r="S818" s="493">
        <v>0</v>
      </c>
      <c r="T818" s="494">
        <v>14</v>
      </c>
      <c r="U818" s="493">
        <v>0</v>
      </c>
      <c r="V818" s="502">
        <v>5</v>
      </c>
      <c r="W818" s="453">
        <f t="shared" si="229"/>
        <v>1280.2</v>
      </c>
      <c r="X818" s="748">
        <f t="shared" si="230"/>
        <v>1.1036206896551723</v>
      </c>
      <c r="Y818" s="451" t="str">
        <f>IFERROR(VLOOKUP(E:E,'Item Data Support Sheet'!A:J,6,0),0)</f>
        <v>FO004</v>
      </c>
      <c r="Z818" s="428">
        <f>IFERROR(VLOOKUP(E:E,'Item Data Support Sheet'!A:O,4,0),0)</f>
        <v>0</v>
      </c>
      <c r="AA818" s="428">
        <f t="shared" si="231"/>
        <v>0</v>
      </c>
      <c r="AB818" s="429" t="str">
        <f t="shared" si="232"/>
        <v xml:space="preserve"> </v>
      </c>
      <c r="AC818" s="424">
        <f t="shared" si="233"/>
        <v>2.182385035074045E-3</v>
      </c>
      <c r="AD818" s="371">
        <f t="shared" si="234"/>
        <v>0</v>
      </c>
      <c r="AE818" s="748">
        <f t="shared" si="235"/>
        <v>0.99781761496492594</v>
      </c>
      <c r="AF818" s="417">
        <f t="shared" si="236"/>
        <v>0.66666666666666663</v>
      </c>
      <c r="AG818" s="416">
        <f t="shared" si="237"/>
        <v>7.333333333333333</v>
      </c>
      <c r="AH818" s="372">
        <f t="shared" si="238"/>
        <v>0.91666666666666663</v>
      </c>
      <c r="AI818" s="373">
        <f t="shared" si="239"/>
        <v>800.125</v>
      </c>
      <c r="AJ818" s="418">
        <f>VLOOKUP(D818,'Standard Cycle time'!C:D,2,0)</f>
        <v>32.4</v>
      </c>
      <c r="AK818" s="418">
        <f t="shared" si="240"/>
        <v>20.621777847211373</v>
      </c>
      <c r="AL818" s="374">
        <f t="shared" si="241"/>
        <v>1.5711545454545455</v>
      </c>
      <c r="AM818" s="372">
        <f t="shared" si="242"/>
        <v>1.4370818745128604</v>
      </c>
      <c r="AN818" s="799">
        <v>1.4370818745128604</v>
      </c>
      <c r="AO818" s="448"/>
      <c r="AP818" s="440">
        <v>40</v>
      </c>
      <c r="AQ818" s="440">
        <v>0</v>
      </c>
      <c r="AR818" s="440">
        <v>0</v>
      </c>
      <c r="AS818" s="440">
        <v>0</v>
      </c>
      <c r="AT818" s="440">
        <v>0</v>
      </c>
      <c r="AU818" s="440">
        <v>0</v>
      </c>
      <c r="AV818" s="440">
        <v>0</v>
      </c>
      <c r="AW818" s="440">
        <v>0</v>
      </c>
      <c r="AX818" s="440">
        <v>0</v>
      </c>
      <c r="AY818" s="440">
        <v>0</v>
      </c>
      <c r="AZ818" s="440">
        <v>0</v>
      </c>
      <c r="BA818" s="440">
        <v>0</v>
      </c>
      <c r="BB818" s="440">
        <v>0</v>
      </c>
      <c r="BC818" s="440">
        <v>0</v>
      </c>
      <c r="BD818" s="440">
        <v>0</v>
      </c>
      <c r="BE818" s="440">
        <v>0</v>
      </c>
      <c r="BF818" s="440">
        <v>0</v>
      </c>
      <c r="BG818" s="440">
        <v>0</v>
      </c>
      <c r="BH818" s="440">
        <v>0</v>
      </c>
      <c r="BI818" s="440">
        <v>0</v>
      </c>
      <c r="BJ818" s="440">
        <v>0</v>
      </c>
      <c r="BK818" s="440">
        <v>0</v>
      </c>
      <c r="BL818" s="440">
        <v>0</v>
      </c>
      <c r="BM818" s="440">
        <v>0</v>
      </c>
      <c r="BN818" s="440">
        <v>0</v>
      </c>
      <c r="BO818" s="440">
        <v>0</v>
      </c>
      <c r="BP818" s="440">
        <v>0</v>
      </c>
      <c r="BQ818" s="440">
        <v>0</v>
      </c>
      <c r="BR818" s="415">
        <v>0.66666666666666663</v>
      </c>
      <c r="BS818" s="415">
        <v>0.66666666666666663</v>
      </c>
      <c r="BT818" s="935"/>
      <c r="BU818" s="935"/>
      <c r="BV818" s="935"/>
      <c r="BW818" s="935"/>
      <c r="BX818" s="935"/>
      <c r="BY818" s="935"/>
      <c r="BZ818" s="935"/>
      <c r="CA818" s="935"/>
      <c r="CB818" s="935"/>
      <c r="CC818" s="935"/>
      <c r="CD818" s="935"/>
      <c r="CE818" s="935"/>
      <c r="CF818" s="935"/>
      <c r="CG818" s="935"/>
      <c r="CH818" s="935"/>
      <c r="CI818" s="935"/>
      <c r="CJ818" s="935"/>
      <c r="CK818" s="935"/>
      <c r="CL818" s="935"/>
      <c r="CM818" s="935"/>
      <c r="CN818" s="935"/>
      <c r="CO818" s="935"/>
      <c r="CP818" s="935"/>
      <c r="CQ818" s="935"/>
      <c r="CR818" s="935"/>
      <c r="CS818" s="935"/>
      <c r="CT818" s="935"/>
      <c r="CU818" s="935"/>
      <c r="CV818" s="935"/>
    </row>
    <row r="819" spans="1:100" s="441" customFormat="1">
      <c r="A819" s="375">
        <f t="shared" si="228"/>
        <v>10</v>
      </c>
      <c r="B819" s="862">
        <v>44475</v>
      </c>
      <c r="C819" s="493" t="s">
        <v>2053</v>
      </c>
      <c r="D819" s="376" t="str">
        <f>IFERROR(VLOOKUP(E:E,'Item Data Support Sheet'!A:O,7,0),"")</f>
        <v>NIPPLE MOLDED</v>
      </c>
      <c r="E819" s="447" t="s">
        <v>2484</v>
      </c>
      <c r="F819" s="500" t="s">
        <v>1678</v>
      </c>
      <c r="G819" s="497" t="s">
        <v>1691</v>
      </c>
      <c r="H819" s="602" t="str">
        <f>IFERROR(VLOOKUP(E:E,'Item Data Support Sheet'!A:O,2,0),"")</f>
        <v>NIPPLE S TYPE LL SIZE INJECTION</v>
      </c>
      <c r="I819" s="501" t="s">
        <v>3553</v>
      </c>
      <c r="J819" s="501" t="s">
        <v>2826</v>
      </c>
      <c r="K819" s="499">
        <v>8</v>
      </c>
      <c r="L819" s="499">
        <v>4815</v>
      </c>
      <c r="M819" s="366">
        <v>601.875</v>
      </c>
      <c r="N819" s="367">
        <f t="shared" si="227"/>
        <v>5406</v>
      </c>
      <c r="O819" s="61">
        <v>5300</v>
      </c>
      <c r="P819" s="368">
        <v>0</v>
      </c>
      <c r="Q819" s="368">
        <v>32</v>
      </c>
      <c r="R819" s="494">
        <v>0</v>
      </c>
      <c r="S819" s="493">
        <v>0</v>
      </c>
      <c r="T819" s="494">
        <v>66</v>
      </c>
      <c r="U819" s="493">
        <v>8</v>
      </c>
      <c r="V819" s="502">
        <v>1</v>
      </c>
      <c r="W819" s="453">
        <f t="shared" si="229"/>
        <v>5300</v>
      </c>
      <c r="X819" s="748">
        <f t="shared" si="230"/>
        <v>1.1007268951194185</v>
      </c>
      <c r="Y819" s="451" t="str">
        <f>IFERROR(VLOOKUP(E:E,'Item Data Support Sheet'!A:J,6,0),0)</f>
        <v>FO148</v>
      </c>
      <c r="Z819" s="428">
        <f>IFERROR(VLOOKUP(E:E,'Item Data Support Sheet'!A:O,4,0),0)</f>
        <v>6.8</v>
      </c>
      <c r="AA819" s="428">
        <f t="shared" si="231"/>
        <v>36.760799999999996</v>
      </c>
      <c r="AB819" s="429">
        <f t="shared" si="232"/>
        <v>0.98039215686274517</v>
      </c>
      <c r="AC819" s="424">
        <f t="shared" si="233"/>
        <v>1.2299664554603056E-2</v>
      </c>
      <c r="AD819" s="371">
        <f t="shared" si="234"/>
        <v>5.884516366311144E-3</v>
      </c>
      <c r="AE819" s="748">
        <f t="shared" si="235"/>
        <v>0.98779134295227522</v>
      </c>
      <c r="AF819" s="417">
        <f t="shared" si="236"/>
        <v>0</v>
      </c>
      <c r="AG819" s="416">
        <f t="shared" si="237"/>
        <v>8</v>
      </c>
      <c r="AH819" s="372">
        <f t="shared" si="238"/>
        <v>1</v>
      </c>
      <c r="AI819" s="373">
        <f t="shared" si="239"/>
        <v>662.5</v>
      </c>
      <c r="AJ819" s="418">
        <f>VLOOKUP(D819,'Standard Cycle time'!C:D,2,0)</f>
        <v>5.25</v>
      </c>
      <c r="AK819" s="418">
        <f t="shared" si="240"/>
        <v>5.4339622641509431</v>
      </c>
      <c r="AL819" s="374">
        <f t="shared" si="241"/>
        <v>0.96614583333333337</v>
      </c>
      <c r="AM819" s="372">
        <f t="shared" si="242"/>
        <v>0.95435049019607843</v>
      </c>
      <c r="AN819" s="799">
        <v>0.95435049019607843</v>
      </c>
      <c r="AO819" s="448"/>
      <c r="AP819" s="440">
        <v>0</v>
      </c>
      <c r="AQ819" s="440">
        <v>0</v>
      </c>
      <c r="AR819" s="440">
        <v>0</v>
      </c>
      <c r="AS819" s="440">
        <v>0</v>
      </c>
      <c r="AT819" s="440">
        <v>0</v>
      </c>
      <c r="AU819" s="440">
        <v>0</v>
      </c>
      <c r="AV819" s="440">
        <v>0</v>
      </c>
      <c r="AW819" s="440">
        <v>0</v>
      </c>
      <c r="AX819" s="440">
        <v>0</v>
      </c>
      <c r="AY819" s="440">
        <v>0</v>
      </c>
      <c r="AZ819" s="440">
        <v>0</v>
      </c>
      <c r="BA819" s="440">
        <v>0</v>
      </c>
      <c r="BB819" s="440">
        <v>0</v>
      </c>
      <c r="BC819" s="440">
        <v>0</v>
      </c>
      <c r="BD819" s="440">
        <v>0</v>
      </c>
      <c r="BE819" s="440">
        <v>0</v>
      </c>
      <c r="BF819" s="440">
        <v>0</v>
      </c>
      <c r="BG819" s="440">
        <v>0</v>
      </c>
      <c r="BH819" s="440">
        <v>0</v>
      </c>
      <c r="BI819" s="440">
        <v>0</v>
      </c>
      <c r="BJ819" s="440">
        <v>0</v>
      </c>
      <c r="BK819" s="440">
        <v>0</v>
      </c>
      <c r="BL819" s="440">
        <v>0</v>
      </c>
      <c r="BM819" s="440">
        <v>0</v>
      </c>
      <c r="BN819" s="440">
        <v>0</v>
      </c>
      <c r="BO819" s="440">
        <v>0</v>
      </c>
      <c r="BP819" s="440">
        <v>0</v>
      </c>
      <c r="BQ819" s="440">
        <v>0</v>
      </c>
      <c r="BR819" s="415">
        <v>0</v>
      </c>
      <c r="BS819" s="415">
        <v>0</v>
      </c>
      <c r="BT819" s="935"/>
      <c r="BU819" s="935"/>
      <c r="BV819" s="935"/>
      <c r="BW819" s="935"/>
      <c r="BX819" s="935"/>
      <c r="BY819" s="935"/>
      <c r="BZ819" s="935"/>
      <c r="CA819" s="935"/>
      <c r="CB819" s="935"/>
      <c r="CC819" s="935"/>
      <c r="CD819" s="935"/>
      <c r="CE819" s="935"/>
      <c r="CF819" s="935"/>
      <c r="CG819" s="935"/>
      <c r="CH819" s="935"/>
      <c r="CI819" s="935"/>
      <c r="CJ819" s="935"/>
      <c r="CK819" s="935"/>
      <c r="CL819" s="935"/>
      <c r="CM819" s="935"/>
      <c r="CN819" s="935"/>
      <c r="CO819" s="935"/>
      <c r="CP819" s="935"/>
      <c r="CQ819" s="935"/>
      <c r="CR819" s="935"/>
      <c r="CS819" s="935"/>
      <c r="CT819" s="935"/>
      <c r="CU819" s="935"/>
      <c r="CV819" s="935"/>
    </row>
    <row r="820" spans="1:100" s="441" customFormat="1">
      <c r="A820" s="375">
        <f t="shared" si="228"/>
        <v>10</v>
      </c>
      <c r="B820" s="862">
        <v>44475</v>
      </c>
      <c r="C820" s="493" t="s">
        <v>2053</v>
      </c>
      <c r="D820" s="376" t="str">
        <f>IFERROR(VLOOKUP(E:E,'Item Data Support Sheet'!A:O,7,0),"")</f>
        <v>CAP MOLDED</v>
      </c>
      <c r="E820" s="447" t="s">
        <v>2106</v>
      </c>
      <c r="F820" s="500"/>
      <c r="G820" s="497" t="s">
        <v>3468</v>
      </c>
      <c r="H820" s="602" t="str">
        <f>IFERROR(VLOOKUP(E:E,'Item Data Support Sheet'!A:O,2,0),"")</f>
        <v>CAP S TYPE MOLDED RED</v>
      </c>
      <c r="I820" s="501" t="s">
        <v>3554</v>
      </c>
      <c r="J820" s="501" t="s">
        <v>2826</v>
      </c>
      <c r="K820" s="499">
        <v>6.2</v>
      </c>
      <c r="L820" s="499">
        <v>3200</v>
      </c>
      <c r="M820" s="366">
        <v>516.12903225806451</v>
      </c>
      <c r="N820" s="367">
        <f t="shared" si="227"/>
        <v>3203</v>
      </c>
      <c r="O820" s="61">
        <v>3200</v>
      </c>
      <c r="P820" s="368">
        <v>0</v>
      </c>
      <c r="Q820" s="368">
        <v>0</v>
      </c>
      <c r="R820" s="494">
        <v>0</v>
      </c>
      <c r="S820" s="493">
        <v>0</v>
      </c>
      <c r="T820" s="494">
        <v>3</v>
      </c>
      <c r="U820" s="493">
        <v>0</v>
      </c>
      <c r="V820" s="502">
        <v>1</v>
      </c>
      <c r="W820" s="453">
        <f t="shared" si="229"/>
        <v>3200</v>
      </c>
      <c r="X820" s="748">
        <f t="shared" si="230"/>
        <v>1</v>
      </c>
      <c r="Y820" s="451" t="str">
        <f>IFERROR(VLOOKUP(E:E,'Item Data Support Sheet'!A:J,6,0),0)</f>
        <v>FO153</v>
      </c>
      <c r="Z820" s="428">
        <f>IFERROR(VLOOKUP(E:E,'Item Data Support Sheet'!A:O,4,0),0)</f>
        <v>7.3</v>
      </c>
      <c r="AA820" s="428">
        <f t="shared" si="231"/>
        <v>23.381900000000002</v>
      </c>
      <c r="AB820" s="429">
        <f t="shared" si="232"/>
        <v>0.99906337808304702</v>
      </c>
      <c r="AC820" s="424">
        <f t="shared" si="233"/>
        <v>9.3662191695285675E-4</v>
      </c>
      <c r="AD820" s="371">
        <f t="shared" si="234"/>
        <v>0</v>
      </c>
      <c r="AE820" s="748">
        <f t="shared" si="235"/>
        <v>0.99906337808304713</v>
      </c>
      <c r="AF820" s="417">
        <f t="shared" si="236"/>
        <v>0.83333333333333337</v>
      </c>
      <c r="AG820" s="416">
        <f t="shared" si="237"/>
        <v>5.3666666666666671</v>
      </c>
      <c r="AH820" s="372">
        <f t="shared" si="238"/>
        <v>0.86559139784946237</v>
      </c>
      <c r="AI820" s="373">
        <f t="shared" si="239"/>
        <v>516.12903225806451</v>
      </c>
      <c r="AJ820" s="418">
        <f>VLOOKUP(D820,'Standard Cycle time'!C:D,2,0)</f>
        <v>6</v>
      </c>
      <c r="AK820" s="418">
        <f t="shared" si="240"/>
        <v>6.0374999999999996</v>
      </c>
      <c r="AL820" s="374">
        <f t="shared" si="241"/>
        <v>0.9937888198757765</v>
      </c>
      <c r="AM820" s="372">
        <f t="shared" si="242"/>
        <v>0.85940935749079328</v>
      </c>
      <c r="AN820" s="799">
        <v>0.85940935749079328</v>
      </c>
      <c r="AO820" s="448"/>
      <c r="AP820" s="440">
        <v>0</v>
      </c>
      <c r="AQ820" s="440">
        <v>0</v>
      </c>
      <c r="AR820" s="440">
        <v>0</v>
      </c>
      <c r="AS820" s="440">
        <v>0</v>
      </c>
      <c r="AT820" s="440">
        <v>0</v>
      </c>
      <c r="AU820" s="440">
        <v>0</v>
      </c>
      <c r="AV820" s="440">
        <v>30</v>
      </c>
      <c r="AW820" s="440">
        <v>0</v>
      </c>
      <c r="AX820" s="440">
        <v>0</v>
      </c>
      <c r="AY820" s="440">
        <v>0</v>
      </c>
      <c r="AZ820" s="440">
        <v>20</v>
      </c>
      <c r="BA820" s="440">
        <v>0</v>
      </c>
      <c r="BB820" s="440">
        <v>0</v>
      </c>
      <c r="BC820" s="440">
        <v>0</v>
      </c>
      <c r="BD820" s="440">
        <v>0</v>
      </c>
      <c r="BE820" s="440">
        <v>0</v>
      </c>
      <c r="BF820" s="440">
        <v>0</v>
      </c>
      <c r="BG820" s="440">
        <v>0</v>
      </c>
      <c r="BH820" s="440">
        <v>0</v>
      </c>
      <c r="BI820" s="440">
        <v>0</v>
      </c>
      <c r="BJ820" s="440">
        <v>0</v>
      </c>
      <c r="BK820" s="440">
        <v>0</v>
      </c>
      <c r="BL820" s="440">
        <v>0</v>
      </c>
      <c r="BM820" s="440">
        <v>0</v>
      </c>
      <c r="BN820" s="440">
        <v>0</v>
      </c>
      <c r="BO820" s="440">
        <v>0</v>
      </c>
      <c r="BP820" s="440">
        <v>0</v>
      </c>
      <c r="BQ820" s="440">
        <v>0</v>
      </c>
      <c r="BR820" s="415">
        <v>0.83333333333333337</v>
      </c>
      <c r="BS820" s="415">
        <v>0.83333333333333337</v>
      </c>
      <c r="BT820" s="935"/>
      <c r="BU820" s="935"/>
      <c r="BV820" s="935"/>
      <c r="BW820" s="935"/>
      <c r="BX820" s="935"/>
      <c r="BY820" s="935"/>
      <c r="BZ820" s="935"/>
      <c r="CA820" s="935"/>
      <c r="CB820" s="935"/>
      <c r="CC820" s="935"/>
      <c r="CD820" s="935"/>
      <c r="CE820" s="935"/>
      <c r="CF820" s="935"/>
      <c r="CG820" s="935"/>
      <c r="CH820" s="935"/>
      <c r="CI820" s="935"/>
      <c r="CJ820" s="935"/>
      <c r="CK820" s="935"/>
      <c r="CL820" s="935"/>
      <c r="CM820" s="935"/>
      <c r="CN820" s="935"/>
      <c r="CO820" s="935"/>
      <c r="CP820" s="935"/>
      <c r="CQ820" s="935"/>
      <c r="CR820" s="935"/>
      <c r="CS820" s="935"/>
      <c r="CT820" s="935"/>
      <c r="CU820" s="935"/>
      <c r="CV820" s="935"/>
    </row>
    <row r="821" spans="1:100" s="441" customFormat="1">
      <c r="A821" s="375">
        <f t="shared" si="228"/>
        <v>10</v>
      </c>
      <c r="B821" s="862">
        <v>44475</v>
      </c>
      <c r="C821" s="493" t="s">
        <v>2053</v>
      </c>
      <c r="D821" s="376" t="str">
        <f>IFERROR(VLOOKUP(E:E,'Item Data Support Sheet'!A:O,7,0),"")</f>
        <v>CAP MOLDED</v>
      </c>
      <c r="E821" s="447" t="s">
        <v>2106</v>
      </c>
      <c r="F821" s="500"/>
      <c r="G821" s="497" t="s">
        <v>3212</v>
      </c>
      <c r="H821" s="602" t="str">
        <f>IFERROR(VLOOKUP(E:E,'Item Data Support Sheet'!A:O,2,0),"")</f>
        <v>CAP S TYPE MOLDED RED</v>
      </c>
      <c r="I821" s="501" t="s">
        <v>3555</v>
      </c>
      <c r="J821" s="501" t="s">
        <v>2826</v>
      </c>
      <c r="K821" s="499">
        <v>1.8</v>
      </c>
      <c r="L821" s="499">
        <v>937</v>
      </c>
      <c r="M821" s="366">
        <v>520.55555555555554</v>
      </c>
      <c r="N821" s="367">
        <f t="shared" si="227"/>
        <v>1000</v>
      </c>
      <c r="O821" s="61">
        <v>1000</v>
      </c>
      <c r="P821" s="368">
        <v>0</v>
      </c>
      <c r="Q821" s="368">
        <v>0</v>
      </c>
      <c r="R821" s="494">
        <v>0</v>
      </c>
      <c r="S821" s="493">
        <v>0</v>
      </c>
      <c r="T821" s="494">
        <v>0</v>
      </c>
      <c r="U821" s="493">
        <v>0</v>
      </c>
      <c r="V821" s="502">
        <v>1</v>
      </c>
      <c r="W821" s="453">
        <f t="shared" si="229"/>
        <v>1000</v>
      </c>
      <c r="X821" s="748">
        <f t="shared" si="230"/>
        <v>1.0672358591248665</v>
      </c>
      <c r="Y821" s="451" t="str">
        <f>IFERROR(VLOOKUP(E:E,'Item Data Support Sheet'!A:J,6,0),0)</f>
        <v>FO153</v>
      </c>
      <c r="Z821" s="428">
        <f>IFERROR(VLOOKUP(E:E,'Item Data Support Sheet'!A:O,4,0),0)</f>
        <v>7.3</v>
      </c>
      <c r="AA821" s="428">
        <f t="shared" si="231"/>
        <v>7.3</v>
      </c>
      <c r="AB821" s="429">
        <f t="shared" si="232"/>
        <v>1</v>
      </c>
      <c r="AC821" s="424">
        <f t="shared" si="233"/>
        <v>0</v>
      </c>
      <c r="AD821" s="371">
        <f t="shared" si="234"/>
        <v>0</v>
      </c>
      <c r="AE821" s="748">
        <f t="shared" si="235"/>
        <v>1</v>
      </c>
      <c r="AF821" s="417">
        <f t="shared" si="236"/>
        <v>0</v>
      </c>
      <c r="AG821" s="416">
        <f t="shared" si="237"/>
        <v>1.8</v>
      </c>
      <c r="AH821" s="372">
        <f t="shared" si="238"/>
        <v>1</v>
      </c>
      <c r="AI821" s="373">
        <f t="shared" si="239"/>
        <v>555.55555555555554</v>
      </c>
      <c r="AJ821" s="418">
        <f>VLOOKUP(D821,'Standard Cycle time'!C:D,2,0)</f>
        <v>6</v>
      </c>
      <c r="AK821" s="418">
        <f t="shared" si="240"/>
        <v>6.48</v>
      </c>
      <c r="AL821" s="374">
        <f t="shared" si="241"/>
        <v>0.92592592592592582</v>
      </c>
      <c r="AM821" s="372">
        <f t="shared" si="242"/>
        <v>0.92592592592592582</v>
      </c>
      <c r="AN821" s="799">
        <v>0.92592592592592582</v>
      </c>
      <c r="AO821" s="448"/>
      <c r="AP821" s="440">
        <v>0</v>
      </c>
      <c r="AQ821" s="440">
        <v>0</v>
      </c>
      <c r="AR821" s="440">
        <v>0</v>
      </c>
      <c r="AS821" s="440">
        <v>0</v>
      </c>
      <c r="AT821" s="440">
        <v>0</v>
      </c>
      <c r="AU821" s="440">
        <v>0</v>
      </c>
      <c r="AV821" s="440">
        <v>0</v>
      </c>
      <c r="AW821" s="440">
        <v>0</v>
      </c>
      <c r="AX821" s="440">
        <v>0</v>
      </c>
      <c r="AY821" s="440">
        <v>0</v>
      </c>
      <c r="AZ821" s="440">
        <v>0</v>
      </c>
      <c r="BA821" s="440">
        <v>0</v>
      </c>
      <c r="BB821" s="440">
        <v>0</v>
      </c>
      <c r="BC821" s="440">
        <v>0</v>
      </c>
      <c r="BD821" s="440">
        <v>0</v>
      </c>
      <c r="BE821" s="440">
        <v>0</v>
      </c>
      <c r="BF821" s="440">
        <v>0</v>
      </c>
      <c r="BG821" s="440">
        <v>0</v>
      </c>
      <c r="BH821" s="440">
        <v>0</v>
      </c>
      <c r="BI821" s="440">
        <v>0</v>
      </c>
      <c r="BJ821" s="440">
        <v>0</v>
      </c>
      <c r="BK821" s="440">
        <v>0</v>
      </c>
      <c r="BL821" s="440">
        <v>0</v>
      </c>
      <c r="BM821" s="440">
        <v>0</v>
      </c>
      <c r="BN821" s="440">
        <v>0</v>
      </c>
      <c r="BO821" s="440">
        <v>0</v>
      </c>
      <c r="BP821" s="440">
        <v>0</v>
      </c>
      <c r="BQ821" s="440">
        <v>0</v>
      </c>
      <c r="BR821" s="415">
        <v>0</v>
      </c>
      <c r="BS821" s="415">
        <v>0</v>
      </c>
      <c r="BT821" s="935"/>
      <c r="BU821" s="935"/>
      <c r="BV821" s="935"/>
      <c r="BW821" s="935"/>
      <c r="BX821" s="935"/>
      <c r="BY821" s="935"/>
      <c r="BZ821" s="935"/>
      <c r="CA821" s="935"/>
      <c r="CB821" s="935"/>
      <c r="CC821" s="935"/>
      <c r="CD821" s="935"/>
      <c r="CE821" s="935"/>
      <c r="CF821" s="935"/>
      <c r="CG821" s="935"/>
      <c r="CH821" s="935"/>
      <c r="CI821" s="935"/>
      <c r="CJ821" s="935"/>
      <c r="CK821" s="935"/>
      <c r="CL821" s="935"/>
      <c r="CM821" s="935"/>
      <c r="CN821" s="935"/>
      <c r="CO821" s="935"/>
      <c r="CP821" s="935"/>
      <c r="CQ821" s="935"/>
      <c r="CR821" s="935"/>
      <c r="CS821" s="935"/>
      <c r="CT821" s="935"/>
      <c r="CU821" s="935"/>
      <c r="CV821" s="935"/>
    </row>
    <row r="822" spans="1:100" s="441" customFormat="1">
      <c r="A822" s="375">
        <f t="shared" si="228"/>
        <v>10</v>
      </c>
      <c r="B822" s="862">
        <v>44476</v>
      </c>
      <c r="C822" s="493" t="s">
        <v>1980</v>
      </c>
      <c r="D822" s="376" t="str">
        <f>IFERROR(VLOOKUP(E:E,'Item Data Support Sheet'!A:O,7,0),"")</f>
        <v>BOTTLE MOLDED</v>
      </c>
      <c r="E822" s="447" t="s">
        <v>68</v>
      </c>
      <c r="F822" s="500" t="s">
        <v>1664</v>
      </c>
      <c r="G822" s="497" t="s">
        <v>1665</v>
      </c>
      <c r="H822" s="602" t="str">
        <f>IFERROR(VLOOKUP(E:E,'Item Data Support Sheet'!A:O,2,0),"")</f>
        <v>RPP 240 ML BOTTLE MOLDED</v>
      </c>
      <c r="I822" s="501" t="s">
        <v>3556</v>
      </c>
      <c r="J822" s="501" t="s">
        <v>2808</v>
      </c>
      <c r="K822" s="499">
        <v>8</v>
      </c>
      <c r="L822" s="499">
        <v>2574</v>
      </c>
      <c r="M822" s="366">
        <v>321.75</v>
      </c>
      <c r="N822" s="367">
        <f t="shared" si="227"/>
        <v>1400</v>
      </c>
      <c r="O822" s="61">
        <v>1320</v>
      </c>
      <c r="P822" s="368">
        <v>0.3</v>
      </c>
      <c r="Q822" s="368">
        <v>32</v>
      </c>
      <c r="R822" s="494">
        <v>0</v>
      </c>
      <c r="S822" s="493">
        <v>0</v>
      </c>
      <c r="T822" s="494">
        <v>40</v>
      </c>
      <c r="U822" s="493">
        <v>8</v>
      </c>
      <c r="V822" s="502">
        <v>1</v>
      </c>
      <c r="W822" s="453">
        <f t="shared" si="229"/>
        <v>1320</v>
      </c>
      <c r="X822" s="748">
        <f t="shared" si="230"/>
        <v>0.51282051282051277</v>
      </c>
      <c r="Y822" s="451" t="str">
        <f>IFERROR(VLOOKUP(E:E,'Item Data Support Sheet'!A:J,6,0),0)</f>
        <v>HMC</v>
      </c>
      <c r="Z822" s="428">
        <f>IFERROR(VLOOKUP(E:E,'Item Data Support Sheet'!A:O,4,0),0)</f>
        <v>32.1</v>
      </c>
      <c r="AA822" s="428">
        <f t="shared" si="231"/>
        <v>45.24</v>
      </c>
      <c r="AB822" s="429">
        <f t="shared" si="232"/>
        <v>0.93660477453580915</v>
      </c>
      <c r="AC822" s="424">
        <f t="shared" si="233"/>
        <v>2.9411764705882353E-2</v>
      </c>
      <c r="AD822" s="371">
        <f t="shared" si="234"/>
        <v>2.23463687150838E-2</v>
      </c>
      <c r="AE822" s="748">
        <f t="shared" si="235"/>
        <v>0.97142857142857142</v>
      </c>
      <c r="AF822" s="417">
        <f t="shared" si="236"/>
        <v>5.5</v>
      </c>
      <c r="AG822" s="416">
        <f t="shared" si="237"/>
        <v>2.5</v>
      </c>
      <c r="AH822" s="372">
        <f t="shared" si="238"/>
        <v>0.3125</v>
      </c>
      <c r="AI822" s="373">
        <f t="shared" si="239"/>
        <v>165</v>
      </c>
      <c r="AJ822" s="418">
        <f>VLOOKUP(D822,'Standard Cycle time'!C:D,2,0)</f>
        <v>9</v>
      </c>
      <c r="AK822" s="418">
        <f t="shared" si="240"/>
        <v>6.8181818181818183</v>
      </c>
      <c r="AL822" s="374">
        <f t="shared" si="241"/>
        <v>1.32</v>
      </c>
      <c r="AM822" s="372">
        <f t="shared" si="242"/>
        <v>0.40071428571428569</v>
      </c>
      <c r="AN822" s="799">
        <v>0.40071428571428569</v>
      </c>
      <c r="AO822" s="448" t="s">
        <v>3557</v>
      </c>
      <c r="AP822" s="440">
        <v>0</v>
      </c>
      <c r="AQ822" s="440">
        <v>0</v>
      </c>
      <c r="AR822" s="440">
        <v>180</v>
      </c>
      <c r="AS822" s="440">
        <v>0</v>
      </c>
      <c r="AT822" s="440">
        <v>0</v>
      </c>
      <c r="AU822" s="440">
        <v>0</v>
      </c>
      <c r="AV822" s="440">
        <v>60</v>
      </c>
      <c r="AW822" s="440">
        <v>60</v>
      </c>
      <c r="AX822" s="440">
        <v>0</v>
      </c>
      <c r="AY822" s="440">
        <v>0</v>
      </c>
      <c r="AZ822" s="440">
        <v>0</v>
      </c>
      <c r="BA822" s="440">
        <v>0</v>
      </c>
      <c r="BB822" s="440">
        <v>30</v>
      </c>
      <c r="BC822" s="440">
        <v>0</v>
      </c>
      <c r="BD822" s="440">
        <v>0</v>
      </c>
      <c r="BE822" s="440">
        <v>0</v>
      </c>
      <c r="BF822" s="440">
        <v>0</v>
      </c>
      <c r="BG822" s="440">
        <v>0</v>
      </c>
      <c r="BH822" s="440">
        <v>0</v>
      </c>
      <c r="BI822" s="440">
        <v>0</v>
      </c>
      <c r="BJ822" s="440">
        <v>0</v>
      </c>
      <c r="BK822" s="440">
        <v>0</v>
      </c>
      <c r="BL822" s="440">
        <v>0</v>
      </c>
      <c r="BM822" s="440">
        <v>0</v>
      </c>
      <c r="BN822" s="440">
        <v>0</v>
      </c>
      <c r="BO822" s="440">
        <v>0</v>
      </c>
      <c r="BP822" s="440">
        <v>0</v>
      </c>
      <c r="BQ822" s="440">
        <v>0</v>
      </c>
      <c r="BR822" s="415">
        <v>5.5</v>
      </c>
      <c r="BS822" s="415">
        <v>5.5</v>
      </c>
      <c r="BT822" s="935"/>
      <c r="BU822" s="935"/>
      <c r="BV822" s="935"/>
      <c r="BW822" s="935"/>
      <c r="BX822" s="935"/>
      <c r="BY822" s="935"/>
      <c r="BZ822" s="935"/>
      <c r="CA822" s="935"/>
      <c r="CB822" s="935"/>
      <c r="CC822" s="935"/>
      <c r="CD822" s="935"/>
      <c r="CE822" s="935"/>
      <c r="CF822" s="935"/>
      <c r="CG822" s="935"/>
      <c r="CH822" s="935"/>
      <c r="CI822" s="935"/>
      <c r="CJ822" s="935"/>
      <c r="CK822" s="935"/>
      <c r="CL822" s="935"/>
      <c r="CM822" s="935"/>
      <c r="CN822" s="935"/>
      <c r="CO822" s="935"/>
      <c r="CP822" s="935"/>
      <c r="CQ822" s="935"/>
      <c r="CR822" s="935"/>
      <c r="CS822" s="935"/>
      <c r="CT822" s="935"/>
      <c r="CU822" s="935"/>
      <c r="CV822" s="935"/>
    </row>
    <row r="823" spans="1:100" s="441" customFormat="1">
      <c r="A823" s="375">
        <f t="shared" si="228"/>
        <v>10</v>
      </c>
      <c r="B823" s="862">
        <v>44476</v>
      </c>
      <c r="C823" s="493" t="s">
        <v>1980</v>
      </c>
      <c r="D823" s="376" t="str">
        <f>IFERROR(VLOOKUP(E:E,'Item Data Support Sheet'!A:O,7,0),"")</f>
        <v>NIPPLE MOLDED</v>
      </c>
      <c r="E823" s="447" t="s">
        <v>2484</v>
      </c>
      <c r="F823" s="500" t="s">
        <v>1678</v>
      </c>
      <c r="G823" s="497" t="s">
        <v>1691</v>
      </c>
      <c r="H823" s="602" t="str">
        <f>IFERROR(VLOOKUP(E:E,'Item Data Support Sheet'!A:O,2,0),"")</f>
        <v>NIPPLE S TYPE LL SIZE INJECTION</v>
      </c>
      <c r="I823" s="501" t="s">
        <v>3558</v>
      </c>
      <c r="J823" s="501" t="s">
        <v>2808</v>
      </c>
      <c r="K823" s="499">
        <v>8</v>
      </c>
      <c r="L823" s="499">
        <v>4815</v>
      </c>
      <c r="M823" s="366">
        <v>601.875</v>
      </c>
      <c r="N823" s="367">
        <f t="shared" si="227"/>
        <v>5517</v>
      </c>
      <c r="O823" s="61">
        <v>5400</v>
      </c>
      <c r="P823" s="368">
        <v>0</v>
      </c>
      <c r="Q823" s="368">
        <v>56</v>
      </c>
      <c r="R823" s="494">
        <v>0</v>
      </c>
      <c r="S823" s="493">
        <v>0</v>
      </c>
      <c r="T823" s="494">
        <v>53</v>
      </c>
      <c r="U823" s="493">
        <v>8</v>
      </c>
      <c r="V823" s="502">
        <v>1</v>
      </c>
      <c r="W823" s="453">
        <f t="shared" si="229"/>
        <v>5400</v>
      </c>
      <c r="X823" s="748">
        <f t="shared" si="230"/>
        <v>1.1214953271028036</v>
      </c>
      <c r="Y823" s="451" t="str">
        <f>IFERROR(VLOOKUP(E:E,'Item Data Support Sheet'!A:J,6,0),0)</f>
        <v>FO148</v>
      </c>
      <c r="Z823" s="428">
        <f>IFERROR(VLOOKUP(E:E,'Item Data Support Sheet'!A:O,4,0),0)</f>
        <v>6.8</v>
      </c>
      <c r="AA823" s="428">
        <f t="shared" si="231"/>
        <v>37.515599999999999</v>
      </c>
      <c r="AB823" s="429">
        <f t="shared" si="232"/>
        <v>0.97879282218597063</v>
      </c>
      <c r="AC823" s="424">
        <f t="shared" si="233"/>
        <v>9.7194205024757011E-3</v>
      </c>
      <c r="AD823" s="371">
        <f t="shared" si="234"/>
        <v>1.0048447873676656E-2</v>
      </c>
      <c r="AE823" s="748">
        <f t="shared" si="235"/>
        <v>0.99039332970817473</v>
      </c>
      <c r="AF823" s="417">
        <f t="shared" si="236"/>
        <v>0.5</v>
      </c>
      <c r="AG823" s="416">
        <f t="shared" si="237"/>
        <v>7.5</v>
      </c>
      <c r="AH823" s="372">
        <f t="shared" si="238"/>
        <v>0.9375</v>
      </c>
      <c r="AI823" s="373">
        <f t="shared" si="239"/>
        <v>675</v>
      </c>
      <c r="AJ823" s="418">
        <f>VLOOKUP(D823,'Standard Cycle time'!C:D,2,0)</f>
        <v>5.25</v>
      </c>
      <c r="AK823" s="418">
        <f t="shared" si="240"/>
        <v>5</v>
      </c>
      <c r="AL823" s="374">
        <f t="shared" si="241"/>
        <v>1.05</v>
      </c>
      <c r="AM823" s="372">
        <f t="shared" si="242"/>
        <v>0.97491843393148458</v>
      </c>
      <c r="AN823" s="799">
        <v>0.97491843393148458</v>
      </c>
      <c r="AO823" s="448"/>
      <c r="AP823" s="440">
        <v>0</v>
      </c>
      <c r="AQ823" s="440">
        <v>0</v>
      </c>
      <c r="AR823" s="440">
        <v>0</v>
      </c>
      <c r="AS823" s="440">
        <v>0</v>
      </c>
      <c r="AT823" s="440">
        <v>0</v>
      </c>
      <c r="AU823" s="440">
        <v>30</v>
      </c>
      <c r="AV823" s="440">
        <v>0</v>
      </c>
      <c r="AW823" s="440">
        <v>0</v>
      </c>
      <c r="AX823" s="440">
        <v>0</v>
      </c>
      <c r="AY823" s="440">
        <v>0</v>
      </c>
      <c r="AZ823" s="440">
        <v>0</v>
      </c>
      <c r="BA823" s="440">
        <v>0</v>
      </c>
      <c r="BB823" s="440">
        <v>0</v>
      </c>
      <c r="BC823" s="440">
        <v>0</v>
      </c>
      <c r="BD823" s="440">
        <v>0</v>
      </c>
      <c r="BE823" s="440">
        <v>0</v>
      </c>
      <c r="BF823" s="440">
        <v>0</v>
      </c>
      <c r="BG823" s="440">
        <v>0</v>
      </c>
      <c r="BH823" s="440">
        <v>0</v>
      </c>
      <c r="BI823" s="440">
        <v>0</v>
      </c>
      <c r="BJ823" s="440">
        <v>0</v>
      </c>
      <c r="BK823" s="440">
        <v>0</v>
      </c>
      <c r="BL823" s="440">
        <v>0</v>
      </c>
      <c r="BM823" s="440">
        <v>0</v>
      </c>
      <c r="BN823" s="440">
        <v>0</v>
      </c>
      <c r="BO823" s="440">
        <v>0</v>
      </c>
      <c r="BP823" s="440">
        <v>0</v>
      </c>
      <c r="BQ823" s="440">
        <v>0</v>
      </c>
      <c r="BR823" s="415">
        <v>0.5</v>
      </c>
      <c r="BS823" s="415">
        <v>0.5</v>
      </c>
      <c r="BT823" s="935"/>
      <c r="BU823" s="935"/>
      <c r="BV823" s="935"/>
      <c r="BW823" s="935"/>
      <c r="BX823" s="935"/>
      <c r="BY823" s="935"/>
      <c r="BZ823" s="935"/>
      <c r="CA823" s="935"/>
      <c r="CB823" s="935"/>
      <c r="CC823" s="935"/>
      <c r="CD823" s="935"/>
      <c r="CE823" s="935"/>
      <c r="CF823" s="935"/>
      <c r="CG823" s="935"/>
      <c r="CH823" s="935"/>
      <c r="CI823" s="935"/>
      <c r="CJ823" s="935"/>
      <c r="CK823" s="935"/>
      <c r="CL823" s="935"/>
      <c r="CM823" s="935"/>
      <c r="CN823" s="935"/>
      <c r="CO823" s="935"/>
      <c r="CP823" s="935"/>
      <c r="CQ823" s="935"/>
      <c r="CR823" s="935"/>
      <c r="CS823" s="935"/>
      <c r="CT823" s="935"/>
      <c r="CU823" s="935"/>
      <c r="CV823" s="935"/>
    </row>
    <row r="824" spans="1:100" s="441" customFormat="1">
      <c r="A824" s="375">
        <f t="shared" si="228"/>
        <v>10</v>
      </c>
      <c r="B824" s="862">
        <v>44476</v>
      </c>
      <c r="C824" s="493" t="s">
        <v>1980</v>
      </c>
      <c r="D824" s="376" t="str">
        <f>IFERROR(VLOOKUP(E:E,'Item Data Support Sheet'!A:O,7,0),"")</f>
        <v>NIPPLE PUNCH</v>
      </c>
      <c r="E824" s="447" t="s">
        <v>2486</v>
      </c>
      <c r="F824" s="500"/>
      <c r="G824" s="497" t="s">
        <v>1692</v>
      </c>
      <c r="H824" s="602" t="str">
        <f>IFERROR(VLOOKUP(E:E,'Item Data Support Sheet'!A:O,2,0),"")</f>
        <v>NIPPLE S TYPE LL SIZE PUNCHED</v>
      </c>
      <c r="I824" s="501" t="s">
        <v>3559</v>
      </c>
      <c r="J824" s="501" t="s">
        <v>2808</v>
      </c>
      <c r="K824" s="499">
        <v>8</v>
      </c>
      <c r="L824" s="499">
        <v>7000</v>
      </c>
      <c r="M824" s="366">
        <v>875</v>
      </c>
      <c r="N824" s="367">
        <f t="shared" si="227"/>
        <v>7300</v>
      </c>
      <c r="O824" s="61">
        <v>7300</v>
      </c>
      <c r="P824" s="368">
        <v>0</v>
      </c>
      <c r="Q824" s="368">
        <v>0</v>
      </c>
      <c r="R824" s="494">
        <v>0</v>
      </c>
      <c r="S824" s="493">
        <v>0</v>
      </c>
      <c r="T824" s="494">
        <v>0</v>
      </c>
      <c r="U824" s="493">
        <v>0</v>
      </c>
      <c r="V824" s="502">
        <v>1</v>
      </c>
      <c r="W824" s="453">
        <f t="shared" si="229"/>
        <v>7300</v>
      </c>
      <c r="X824" s="748">
        <f t="shared" si="230"/>
        <v>1.0428571428571429</v>
      </c>
      <c r="Y824" s="451" t="str">
        <f>IFERROR(VLOOKUP(E:E,'Item Data Support Sheet'!A:J,6,0),0)</f>
        <v>FO150</v>
      </c>
      <c r="Z824" s="428">
        <f>IFERROR(VLOOKUP(E:E,'Item Data Support Sheet'!A:O,4,0),0)</f>
        <v>0</v>
      </c>
      <c r="AA824" s="428">
        <f t="shared" si="231"/>
        <v>0</v>
      </c>
      <c r="AB824" s="429" t="str">
        <f t="shared" si="232"/>
        <v xml:space="preserve"> </v>
      </c>
      <c r="AC824" s="424">
        <f t="shared" si="233"/>
        <v>0</v>
      </c>
      <c r="AD824" s="371">
        <f t="shared" si="234"/>
        <v>0</v>
      </c>
      <c r="AE824" s="748">
        <f t="shared" si="235"/>
        <v>1</v>
      </c>
      <c r="AF824" s="417">
        <f t="shared" si="236"/>
        <v>0.66666666666666663</v>
      </c>
      <c r="AG824" s="416">
        <f t="shared" si="237"/>
        <v>7.333333333333333</v>
      </c>
      <c r="AH824" s="372">
        <f t="shared" si="238"/>
        <v>0.91666666666666663</v>
      </c>
      <c r="AI824" s="373">
        <f t="shared" si="239"/>
        <v>912.5</v>
      </c>
      <c r="AJ824" s="418">
        <f>VLOOKUP(D824,'Standard Cycle time'!C:D,2,0)</f>
        <v>3.5</v>
      </c>
      <c r="AK824" s="418">
        <f t="shared" si="240"/>
        <v>3.6164383561643834</v>
      </c>
      <c r="AL824" s="374">
        <f t="shared" si="241"/>
        <v>0.96780303030303039</v>
      </c>
      <c r="AM824" s="372">
        <f t="shared" si="242"/>
        <v>0.88715277777777779</v>
      </c>
      <c r="AN824" s="799">
        <v>0.88715277777777779</v>
      </c>
      <c r="AO824" s="448"/>
      <c r="AP824" s="440">
        <v>40</v>
      </c>
      <c r="AQ824" s="440">
        <v>0</v>
      </c>
      <c r="AR824" s="440">
        <v>0</v>
      </c>
      <c r="AS824" s="440">
        <v>0</v>
      </c>
      <c r="AT824" s="440">
        <v>0</v>
      </c>
      <c r="AU824" s="440">
        <v>0</v>
      </c>
      <c r="AV824" s="440">
        <v>0</v>
      </c>
      <c r="AW824" s="440">
        <v>0</v>
      </c>
      <c r="AX824" s="440">
        <v>0</v>
      </c>
      <c r="AY824" s="440">
        <v>0</v>
      </c>
      <c r="AZ824" s="440">
        <v>0</v>
      </c>
      <c r="BA824" s="440">
        <v>0</v>
      </c>
      <c r="BB824" s="440">
        <v>0</v>
      </c>
      <c r="BC824" s="440">
        <v>0</v>
      </c>
      <c r="BD824" s="440">
        <v>0</v>
      </c>
      <c r="BE824" s="440">
        <v>0</v>
      </c>
      <c r="BF824" s="440">
        <v>0</v>
      </c>
      <c r="BG824" s="440">
        <v>0</v>
      </c>
      <c r="BH824" s="440">
        <v>0</v>
      </c>
      <c r="BI824" s="440">
        <v>0</v>
      </c>
      <c r="BJ824" s="440">
        <v>0</v>
      </c>
      <c r="BK824" s="440">
        <v>0</v>
      </c>
      <c r="BL824" s="440">
        <v>0</v>
      </c>
      <c r="BM824" s="440">
        <v>0</v>
      </c>
      <c r="BN824" s="440">
        <v>0</v>
      </c>
      <c r="BO824" s="440">
        <v>0</v>
      </c>
      <c r="BP824" s="440">
        <v>0</v>
      </c>
      <c r="BQ824" s="440">
        <v>0</v>
      </c>
      <c r="BR824" s="415">
        <v>0.66666666666666663</v>
      </c>
      <c r="BS824" s="415">
        <v>0.66666666666666663</v>
      </c>
      <c r="BT824" s="935"/>
      <c r="BU824" s="935"/>
      <c r="BV824" s="935"/>
      <c r="BW824" s="935"/>
      <c r="BX824" s="935"/>
      <c r="BY824" s="935"/>
      <c r="BZ824" s="935"/>
      <c r="CA824" s="935"/>
      <c r="CB824" s="935"/>
      <c r="CC824" s="935"/>
      <c r="CD824" s="935"/>
      <c r="CE824" s="935"/>
      <c r="CF824" s="935"/>
      <c r="CG824" s="935"/>
      <c r="CH824" s="935"/>
      <c r="CI824" s="935"/>
      <c r="CJ824" s="935"/>
      <c r="CK824" s="935"/>
      <c r="CL824" s="935"/>
      <c r="CM824" s="935"/>
      <c r="CN824" s="935"/>
      <c r="CO824" s="935"/>
      <c r="CP824" s="935"/>
      <c r="CQ824" s="935"/>
      <c r="CR824" s="935"/>
      <c r="CS824" s="935"/>
      <c r="CT824" s="935"/>
      <c r="CU824" s="935"/>
      <c r="CV824" s="935"/>
    </row>
    <row r="825" spans="1:100" s="441" customFormat="1">
      <c r="A825" s="375">
        <f t="shared" si="228"/>
        <v>10</v>
      </c>
      <c r="B825" s="862">
        <v>44476</v>
      </c>
      <c r="C825" s="493" t="s">
        <v>1980</v>
      </c>
      <c r="D825" s="376" t="str">
        <f>IFERROR(VLOOKUP(E:E,'Item Data Support Sheet'!A:O,7,0),"")</f>
        <v>NIPPLE LASER MARKING</v>
      </c>
      <c r="E825" s="447" t="s">
        <v>2487</v>
      </c>
      <c r="F825" s="500"/>
      <c r="G825" s="497" t="s">
        <v>1812</v>
      </c>
      <c r="H825" s="602" t="str">
        <f>IFERROR(VLOOKUP(E:E,'Item Data Support Sheet'!A:O,2,0),"")</f>
        <v>NIPPLE S TYPE LL SIZE LASER MARKED</v>
      </c>
      <c r="I825" s="501" t="s">
        <v>3560</v>
      </c>
      <c r="J825" s="501" t="s">
        <v>2808</v>
      </c>
      <c r="K825" s="499">
        <v>8</v>
      </c>
      <c r="L825" s="499">
        <v>7000</v>
      </c>
      <c r="M825" s="366">
        <v>875</v>
      </c>
      <c r="N825" s="367">
        <f t="shared" si="227"/>
        <v>7300</v>
      </c>
      <c r="O825" s="61">
        <v>7300</v>
      </c>
      <c r="P825" s="368">
        <v>0</v>
      </c>
      <c r="Q825" s="368">
        <v>0</v>
      </c>
      <c r="R825" s="494">
        <v>0</v>
      </c>
      <c r="S825" s="493">
        <v>0</v>
      </c>
      <c r="T825" s="494">
        <v>0</v>
      </c>
      <c r="U825" s="493">
        <v>0</v>
      </c>
      <c r="V825" s="502">
        <v>1</v>
      </c>
      <c r="W825" s="453">
        <f t="shared" si="229"/>
        <v>7300</v>
      </c>
      <c r="X825" s="748">
        <f t="shared" si="230"/>
        <v>1.0428571428571429</v>
      </c>
      <c r="Y825" s="451" t="str">
        <f>IFERROR(VLOOKUP(E:E,'Item Data Support Sheet'!A:J,6,0),0)</f>
        <v>FO151</v>
      </c>
      <c r="Z825" s="428">
        <f>IFERROR(VLOOKUP(E:E,'Item Data Support Sheet'!A:O,4,0),0)</f>
        <v>0</v>
      </c>
      <c r="AA825" s="428">
        <f t="shared" si="231"/>
        <v>0</v>
      </c>
      <c r="AB825" s="429" t="str">
        <f t="shared" si="232"/>
        <v xml:space="preserve"> </v>
      </c>
      <c r="AC825" s="424">
        <f t="shared" si="233"/>
        <v>0</v>
      </c>
      <c r="AD825" s="371">
        <f t="shared" si="234"/>
        <v>0</v>
      </c>
      <c r="AE825" s="748">
        <f t="shared" si="235"/>
        <v>1</v>
      </c>
      <c r="AF825" s="417">
        <f t="shared" si="236"/>
        <v>0.66666666666666663</v>
      </c>
      <c r="AG825" s="416">
        <f t="shared" si="237"/>
        <v>7.333333333333333</v>
      </c>
      <c r="AH825" s="372">
        <f t="shared" si="238"/>
        <v>0.91666666666666663</v>
      </c>
      <c r="AI825" s="373">
        <f t="shared" si="239"/>
        <v>912.5</v>
      </c>
      <c r="AJ825" s="418">
        <f>VLOOKUP(D825,'Standard Cycle time'!C:D,2,0)</f>
        <v>3.5</v>
      </c>
      <c r="AK825" s="418">
        <f t="shared" si="240"/>
        <v>3.6164383561643834</v>
      </c>
      <c r="AL825" s="374">
        <f t="shared" si="241"/>
        <v>0.96780303030303039</v>
      </c>
      <c r="AM825" s="372">
        <f t="shared" si="242"/>
        <v>0.88715277777777779</v>
      </c>
      <c r="AN825" s="799">
        <v>0.88715277777777779</v>
      </c>
      <c r="AO825" s="448"/>
      <c r="AP825" s="440">
        <v>40</v>
      </c>
      <c r="AQ825" s="440">
        <v>0</v>
      </c>
      <c r="AR825" s="440">
        <v>0</v>
      </c>
      <c r="AS825" s="440">
        <v>0</v>
      </c>
      <c r="AT825" s="440">
        <v>0</v>
      </c>
      <c r="AU825" s="440">
        <v>0</v>
      </c>
      <c r="AV825" s="440">
        <v>0</v>
      </c>
      <c r="AW825" s="440">
        <v>0</v>
      </c>
      <c r="AX825" s="440">
        <v>0</v>
      </c>
      <c r="AY825" s="440">
        <v>0</v>
      </c>
      <c r="AZ825" s="440">
        <v>0</v>
      </c>
      <c r="BA825" s="440">
        <v>0</v>
      </c>
      <c r="BB825" s="440">
        <v>0</v>
      </c>
      <c r="BC825" s="440">
        <v>0</v>
      </c>
      <c r="BD825" s="440">
        <v>0</v>
      </c>
      <c r="BE825" s="440">
        <v>0</v>
      </c>
      <c r="BF825" s="440">
        <v>0</v>
      </c>
      <c r="BG825" s="440">
        <v>0</v>
      </c>
      <c r="BH825" s="440">
        <v>0</v>
      </c>
      <c r="BI825" s="440">
        <v>0</v>
      </c>
      <c r="BJ825" s="440">
        <v>0</v>
      </c>
      <c r="BK825" s="440">
        <v>0</v>
      </c>
      <c r="BL825" s="440">
        <v>0</v>
      </c>
      <c r="BM825" s="440">
        <v>0</v>
      </c>
      <c r="BN825" s="440">
        <v>0</v>
      </c>
      <c r="BO825" s="440">
        <v>0</v>
      </c>
      <c r="BP825" s="440">
        <v>0</v>
      </c>
      <c r="BQ825" s="440">
        <v>0</v>
      </c>
      <c r="BR825" s="415">
        <v>0.66666666666666663</v>
      </c>
      <c r="BS825" s="415">
        <v>0.66666666666666663</v>
      </c>
      <c r="BT825" s="935"/>
      <c r="BU825" s="935"/>
      <c r="BV825" s="935"/>
      <c r="BW825" s="935"/>
      <c r="BX825" s="935"/>
      <c r="BY825" s="935"/>
      <c r="BZ825" s="935"/>
      <c r="CA825" s="935"/>
      <c r="CB825" s="935"/>
      <c r="CC825" s="935"/>
      <c r="CD825" s="935"/>
      <c r="CE825" s="935"/>
      <c r="CF825" s="935"/>
      <c r="CG825" s="935"/>
      <c r="CH825" s="935"/>
      <c r="CI825" s="935"/>
      <c r="CJ825" s="935"/>
      <c r="CK825" s="935"/>
      <c r="CL825" s="935"/>
      <c r="CM825" s="935"/>
      <c r="CN825" s="935"/>
      <c r="CO825" s="935"/>
      <c r="CP825" s="935"/>
      <c r="CQ825" s="935"/>
      <c r="CR825" s="935"/>
      <c r="CS825" s="935"/>
      <c r="CT825" s="935"/>
      <c r="CU825" s="935"/>
      <c r="CV825" s="935"/>
    </row>
    <row r="826" spans="1:100" s="441" customFormat="1">
      <c r="A826" s="375">
        <f t="shared" si="228"/>
        <v>10</v>
      </c>
      <c r="B826" s="862">
        <v>44476</v>
      </c>
      <c r="C826" s="493" t="s">
        <v>1980</v>
      </c>
      <c r="D826" s="376" t="str">
        <f>IFERROR(VLOOKUP(E:E,'Item Data Support Sheet'!A:O,7,0),"")</f>
        <v>CAP MOLDED</v>
      </c>
      <c r="E826" s="447" t="s">
        <v>2106</v>
      </c>
      <c r="F826" s="500"/>
      <c r="G826" s="497" t="s">
        <v>3468</v>
      </c>
      <c r="H826" s="602" t="str">
        <f>IFERROR(VLOOKUP(E:E,'Item Data Support Sheet'!A:O,2,0),"")</f>
        <v>CAP S TYPE MOLDED RED</v>
      </c>
      <c r="I826" s="501" t="s">
        <v>3561</v>
      </c>
      <c r="J826" s="501" t="s">
        <v>2808</v>
      </c>
      <c r="K826" s="499">
        <v>8</v>
      </c>
      <c r="L826" s="499">
        <v>4137</v>
      </c>
      <c r="M826" s="366">
        <v>517.125</v>
      </c>
      <c r="N826" s="367">
        <f t="shared" si="227"/>
        <v>4014</v>
      </c>
      <c r="O826" s="61">
        <v>4000</v>
      </c>
      <c r="P826" s="368">
        <v>0</v>
      </c>
      <c r="Q826" s="368">
        <v>0</v>
      </c>
      <c r="R826" s="494">
        <v>0</v>
      </c>
      <c r="S826" s="493">
        <v>0</v>
      </c>
      <c r="T826" s="494">
        <v>6</v>
      </c>
      <c r="U826" s="493">
        <v>8</v>
      </c>
      <c r="V826" s="502">
        <v>1</v>
      </c>
      <c r="W826" s="453">
        <f t="shared" si="229"/>
        <v>4000</v>
      </c>
      <c r="X826" s="748">
        <f t="shared" si="230"/>
        <v>0.96688421561518012</v>
      </c>
      <c r="Y826" s="451" t="str">
        <f>IFERROR(VLOOKUP(E:E,'Item Data Support Sheet'!A:J,6,0),0)</f>
        <v>FO153</v>
      </c>
      <c r="Z826" s="428">
        <f>IFERROR(VLOOKUP(E:E,'Item Data Support Sheet'!A:O,4,0),0)</f>
        <v>7.3</v>
      </c>
      <c r="AA826" s="428">
        <f t="shared" si="231"/>
        <v>29.302199999999999</v>
      </c>
      <c r="AB826" s="429">
        <f t="shared" si="232"/>
        <v>0.99651220727453915</v>
      </c>
      <c r="AC826" s="424">
        <f t="shared" si="233"/>
        <v>1.4977533699450823E-3</v>
      </c>
      <c r="AD826" s="371">
        <f t="shared" si="234"/>
        <v>0</v>
      </c>
      <c r="AE826" s="748">
        <f t="shared" si="235"/>
        <v>0.99850523168908822</v>
      </c>
      <c r="AF826" s="417">
        <f t="shared" si="236"/>
        <v>1</v>
      </c>
      <c r="AG826" s="416">
        <f t="shared" si="237"/>
        <v>7</v>
      </c>
      <c r="AH826" s="372">
        <f t="shared" si="238"/>
        <v>0.875</v>
      </c>
      <c r="AI826" s="373">
        <f t="shared" si="239"/>
        <v>500</v>
      </c>
      <c r="AJ826" s="418">
        <f>VLOOKUP(D826,'Standard Cycle time'!C:D,2,0)</f>
        <v>6</v>
      </c>
      <c r="AK826" s="418">
        <f t="shared" si="240"/>
        <v>6.3</v>
      </c>
      <c r="AL826" s="374">
        <f t="shared" si="241"/>
        <v>0.95238095238095244</v>
      </c>
      <c r="AM826" s="372">
        <f t="shared" si="242"/>
        <v>0.83208769307424024</v>
      </c>
      <c r="AN826" s="799">
        <v>0.83208769307424024</v>
      </c>
      <c r="AO826" s="448"/>
      <c r="AP826" s="440">
        <v>0</v>
      </c>
      <c r="AQ826" s="440">
        <v>0</v>
      </c>
      <c r="AR826" s="440">
        <v>0</v>
      </c>
      <c r="AS826" s="440">
        <v>0</v>
      </c>
      <c r="AT826" s="440">
        <v>0</v>
      </c>
      <c r="AU826" s="440">
        <v>0</v>
      </c>
      <c r="AV826" s="440">
        <v>0</v>
      </c>
      <c r="AW826" s="440">
        <v>30</v>
      </c>
      <c r="AX826" s="440">
        <v>0</v>
      </c>
      <c r="AY826" s="440">
        <v>0</v>
      </c>
      <c r="AZ826" s="440">
        <v>30</v>
      </c>
      <c r="BA826" s="440">
        <v>0</v>
      </c>
      <c r="BB826" s="440">
        <v>0</v>
      </c>
      <c r="BC826" s="440">
        <v>0</v>
      </c>
      <c r="BD826" s="440">
        <v>0</v>
      </c>
      <c r="BE826" s="440">
        <v>0</v>
      </c>
      <c r="BF826" s="440">
        <v>0</v>
      </c>
      <c r="BG826" s="440">
        <v>0</v>
      </c>
      <c r="BH826" s="440">
        <v>0</v>
      </c>
      <c r="BI826" s="440">
        <v>0</v>
      </c>
      <c r="BJ826" s="440">
        <v>0</v>
      </c>
      <c r="BK826" s="440">
        <v>0</v>
      </c>
      <c r="BL826" s="440">
        <v>0</v>
      </c>
      <c r="BM826" s="440">
        <v>0</v>
      </c>
      <c r="BN826" s="440">
        <v>0</v>
      </c>
      <c r="BO826" s="440">
        <v>0</v>
      </c>
      <c r="BP826" s="440">
        <v>0</v>
      </c>
      <c r="BQ826" s="440">
        <v>0</v>
      </c>
      <c r="BR826" s="415">
        <v>1</v>
      </c>
      <c r="BS826" s="415">
        <v>1</v>
      </c>
      <c r="BT826" s="935"/>
      <c r="BU826" s="935"/>
      <c r="BV826" s="935"/>
      <c r="BW826" s="935"/>
      <c r="BX826" s="935"/>
      <c r="BY826" s="935"/>
      <c r="BZ826" s="935"/>
      <c r="CA826" s="935"/>
      <c r="CB826" s="935"/>
      <c r="CC826" s="935"/>
      <c r="CD826" s="935"/>
      <c r="CE826" s="935"/>
      <c r="CF826" s="935"/>
      <c r="CG826" s="935"/>
      <c r="CH826" s="935"/>
      <c r="CI826" s="935"/>
      <c r="CJ826" s="935"/>
      <c r="CK826" s="935"/>
      <c r="CL826" s="935"/>
      <c r="CM826" s="935"/>
      <c r="CN826" s="935"/>
      <c r="CO826" s="935"/>
      <c r="CP826" s="935"/>
      <c r="CQ826" s="935"/>
      <c r="CR826" s="935"/>
      <c r="CS826" s="935"/>
      <c r="CT826" s="935"/>
      <c r="CU826" s="935"/>
      <c r="CV826" s="935"/>
    </row>
    <row r="827" spans="1:100" s="441" customFormat="1">
      <c r="A827" s="375">
        <f t="shared" si="228"/>
        <v>10</v>
      </c>
      <c r="B827" s="862">
        <v>44476</v>
      </c>
      <c r="C827" s="493" t="s">
        <v>2000</v>
      </c>
      <c r="D827" s="376" t="str">
        <f>IFERROR(VLOOKUP(E:E,'Item Data Support Sheet'!A:O,7,0),"")</f>
        <v>NIPPLE PUNCH INSPECTED</v>
      </c>
      <c r="E827" s="447" t="s">
        <v>2488</v>
      </c>
      <c r="F827" s="500"/>
      <c r="G827" s="497"/>
      <c r="H827" s="602" t="str">
        <f>IFERROR(VLOOKUP(E:E,'Item Data Support Sheet'!A:O,2,0),"")</f>
        <v>NIPPLE S TYPE LL SIZE INSPECTED</v>
      </c>
      <c r="I827" s="501" t="s">
        <v>3543</v>
      </c>
      <c r="J827" s="501" t="s">
        <v>2811</v>
      </c>
      <c r="K827" s="499">
        <v>8</v>
      </c>
      <c r="L827" s="499">
        <v>14132</v>
      </c>
      <c r="M827" s="366">
        <v>1766.5</v>
      </c>
      <c r="N827" s="367">
        <f t="shared" si="227"/>
        <v>14600</v>
      </c>
      <c r="O827" s="61">
        <v>14530</v>
      </c>
      <c r="P827" s="368">
        <v>0</v>
      </c>
      <c r="Q827" s="368">
        <v>0</v>
      </c>
      <c r="R827" s="494">
        <v>0</v>
      </c>
      <c r="S827" s="493">
        <v>0</v>
      </c>
      <c r="T827" s="494">
        <v>70</v>
      </c>
      <c r="U827" s="493">
        <v>0</v>
      </c>
      <c r="V827" s="502">
        <v>2</v>
      </c>
      <c r="W827" s="453">
        <f t="shared" si="229"/>
        <v>7265</v>
      </c>
      <c r="X827" s="748">
        <f t="shared" si="230"/>
        <v>1.028163034248514</v>
      </c>
      <c r="Y827" s="451" t="str">
        <f>IFERROR(VLOOKUP(E:E,'Item Data Support Sheet'!A:J,6,0),0)</f>
        <v>FO152</v>
      </c>
      <c r="Z827" s="428">
        <f>IFERROR(VLOOKUP(E:E,'Item Data Support Sheet'!A:O,4,0),0)</f>
        <v>0</v>
      </c>
      <c r="AA827" s="428">
        <f t="shared" si="231"/>
        <v>0</v>
      </c>
      <c r="AB827" s="429" t="str">
        <f t="shared" si="232"/>
        <v xml:space="preserve"> </v>
      </c>
      <c r="AC827" s="424">
        <f t="shared" si="233"/>
        <v>4.7945205479452057E-3</v>
      </c>
      <c r="AD827" s="371">
        <f t="shared" si="234"/>
        <v>0</v>
      </c>
      <c r="AE827" s="748">
        <f t="shared" si="235"/>
        <v>0.99520547945205484</v>
      </c>
      <c r="AF827" s="417">
        <f t="shared" si="236"/>
        <v>0.83333333333333337</v>
      </c>
      <c r="AG827" s="416">
        <f t="shared" si="237"/>
        <v>7.166666666666667</v>
      </c>
      <c r="AH827" s="372">
        <f t="shared" si="238"/>
        <v>0.89583333333333337</v>
      </c>
      <c r="AI827" s="373">
        <f t="shared" si="239"/>
        <v>1816.25</v>
      </c>
      <c r="AJ827" s="418">
        <f>VLOOKUP(D827,'Standard Cycle time'!C:D,2,0)</f>
        <v>4</v>
      </c>
      <c r="AK827" s="418">
        <f t="shared" si="240"/>
        <v>3.5512732278045425</v>
      </c>
      <c r="AL827" s="374">
        <f t="shared" si="241"/>
        <v>1.1263565891472869</v>
      </c>
      <c r="AM827" s="372">
        <f t="shared" si="242"/>
        <v>1.0041899733637749</v>
      </c>
      <c r="AN827" s="799">
        <v>1.0041899733637749</v>
      </c>
      <c r="AO827" s="448"/>
      <c r="AP827" s="440">
        <v>50</v>
      </c>
      <c r="AQ827" s="440">
        <v>0</v>
      </c>
      <c r="AR827" s="440">
        <v>0</v>
      </c>
      <c r="AS827" s="440">
        <v>0</v>
      </c>
      <c r="AT827" s="440">
        <v>0</v>
      </c>
      <c r="AU827" s="440">
        <v>0</v>
      </c>
      <c r="AV827" s="440">
        <v>0</v>
      </c>
      <c r="AW827" s="440">
        <v>0</v>
      </c>
      <c r="AX827" s="440">
        <v>0</v>
      </c>
      <c r="AY827" s="440">
        <v>0</v>
      </c>
      <c r="AZ827" s="440">
        <v>0</v>
      </c>
      <c r="BA827" s="440">
        <v>0</v>
      </c>
      <c r="BB827" s="440">
        <v>0</v>
      </c>
      <c r="BC827" s="440">
        <v>0</v>
      </c>
      <c r="BD827" s="440">
        <v>0</v>
      </c>
      <c r="BE827" s="440">
        <v>0</v>
      </c>
      <c r="BF827" s="440">
        <v>0</v>
      </c>
      <c r="BG827" s="440">
        <v>0</v>
      </c>
      <c r="BH827" s="440">
        <v>0</v>
      </c>
      <c r="BI827" s="440">
        <v>0</v>
      </c>
      <c r="BJ827" s="440">
        <v>0</v>
      </c>
      <c r="BK827" s="440">
        <v>0</v>
      </c>
      <c r="BL827" s="440">
        <v>0</v>
      </c>
      <c r="BM827" s="440">
        <v>0</v>
      </c>
      <c r="BN827" s="440">
        <v>0</v>
      </c>
      <c r="BO827" s="440">
        <v>0</v>
      </c>
      <c r="BP827" s="440">
        <v>0</v>
      </c>
      <c r="BQ827" s="440">
        <v>0</v>
      </c>
      <c r="BR827" s="415">
        <v>0.83333333333333337</v>
      </c>
      <c r="BS827" s="415">
        <v>0.83333333333333337</v>
      </c>
      <c r="BT827" s="935"/>
      <c r="BU827" s="935"/>
      <c r="BV827" s="935"/>
      <c r="BW827" s="935"/>
      <c r="BX827" s="935"/>
      <c r="BY827" s="935"/>
      <c r="BZ827" s="935"/>
      <c r="CA827" s="935"/>
      <c r="CB827" s="935"/>
      <c r="CC827" s="935"/>
      <c r="CD827" s="935"/>
      <c r="CE827" s="935"/>
      <c r="CF827" s="935"/>
      <c r="CG827" s="935"/>
      <c r="CH827" s="935"/>
      <c r="CI827" s="935"/>
      <c r="CJ827" s="935"/>
      <c r="CK827" s="935"/>
      <c r="CL827" s="935"/>
      <c r="CM827" s="935"/>
      <c r="CN827" s="935"/>
      <c r="CO827" s="935"/>
      <c r="CP827" s="935"/>
      <c r="CQ827" s="935"/>
      <c r="CR827" s="935"/>
      <c r="CS827" s="935"/>
      <c r="CT827" s="935"/>
      <c r="CU827" s="935"/>
      <c r="CV827" s="935"/>
    </row>
    <row r="828" spans="1:100" s="441" customFormat="1">
      <c r="A828" s="375">
        <f t="shared" si="228"/>
        <v>10</v>
      </c>
      <c r="B828" s="862">
        <v>44476</v>
      </c>
      <c r="C828" s="493" t="s">
        <v>2001</v>
      </c>
      <c r="D828" s="376" t="str">
        <f>IFERROR(VLOOKUP(E:E,'Item Data Support Sheet'!A:O,7,0),"")</f>
        <v>NIPPLE PUNCH</v>
      </c>
      <c r="E828" s="447" t="s">
        <v>2486</v>
      </c>
      <c r="F828" s="500"/>
      <c r="G828" s="497"/>
      <c r="H828" s="602" t="str">
        <f>IFERROR(VLOOKUP(E:E,'Item Data Support Sheet'!A:O,2,0),"")</f>
        <v>NIPPLE S TYPE LL SIZE PUNCHED</v>
      </c>
      <c r="I828" s="501" t="s">
        <v>3562</v>
      </c>
      <c r="J828" s="501" t="s">
        <v>2811</v>
      </c>
      <c r="K828" s="499">
        <v>8</v>
      </c>
      <c r="L828" s="499">
        <v>7000</v>
      </c>
      <c r="M828" s="366">
        <v>875</v>
      </c>
      <c r="N828" s="367">
        <f t="shared" si="227"/>
        <v>7300</v>
      </c>
      <c r="O828" s="61">
        <v>7300</v>
      </c>
      <c r="P828" s="368">
        <v>0</v>
      </c>
      <c r="Q828" s="368">
        <v>0</v>
      </c>
      <c r="R828" s="494">
        <v>0</v>
      </c>
      <c r="S828" s="493">
        <v>0</v>
      </c>
      <c r="T828" s="494">
        <v>0</v>
      </c>
      <c r="U828" s="493">
        <v>0</v>
      </c>
      <c r="V828" s="502">
        <v>1</v>
      </c>
      <c r="W828" s="453">
        <f t="shared" si="229"/>
        <v>7300</v>
      </c>
      <c r="X828" s="748">
        <f t="shared" si="230"/>
        <v>1.0428571428571429</v>
      </c>
      <c r="Y828" s="451" t="str">
        <f>IFERROR(VLOOKUP(E:E,'Item Data Support Sheet'!A:J,6,0),0)</f>
        <v>FO150</v>
      </c>
      <c r="Z828" s="428">
        <f>IFERROR(VLOOKUP(E:E,'Item Data Support Sheet'!A:O,4,0),0)</f>
        <v>0</v>
      </c>
      <c r="AA828" s="428">
        <f t="shared" si="231"/>
        <v>0</v>
      </c>
      <c r="AB828" s="429" t="str">
        <f t="shared" si="232"/>
        <v xml:space="preserve"> </v>
      </c>
      <c r="AC828" s="424">
        <f t="shared" si="233"/>
        <v>0</v>
      </c>
      <c r="AD828" s="371">
        <f t="shared" si="234"/>
        <v>0</v>
      </c>
      <c r="AE828" s="748">
        <f t="shared" si="235"/>
        <v>1</v>
      </c>
      <c r="AF828" s="417">
        <f t="shared" si="236"/>
        <v>0.66666666666666663</v>
      </c>
      <c r="AG828" s="416">
        <f t="shared" si="237"/>
        <v>7.333333333333333</v>
      </c>
      <c r="AH828" s="372">
        <f t="shared" si="238"/>
        <v>0.91666666666666663</v>
      </c>
      <c r="AI828" s="373">
        <f t="shared" si="239"/>
        <v>912.5</v>
      </c>
      <c r="AJ828" s="418">
        <f>VLOOKUP(D828,'Standard Cycle time'!C:D,2,0)</f>
        <v>3.5</v>
      </c>
      <c r="AK828" s="418">
        <f t="shared" si="240"/>
        <v>3.6164383561643834</v>
      </c>
      <c r="AL828" s="374">
        <f t="shared" si="241"/>
        <v>0.96780303030303039</v>
      </c>
      <c r="AM828" s="372">
        <f t="shared" si="242"/>
        <v>0.88715277777777779</v>
      </c>
      <c r="AN828" s="799">
        <v>0.88715277777777779</v>
      </c>
      <c r="AO828" s="448"/>
      <c r="AP828" s="440">
        <v>40</v>
      </c>
      <c r="AQ828" s="440">
        <v>0</v>
      </c>
      <c r="AR828" s="440">
        <v>0</v>
      </c>
      <c r="AS828" s="440">
        <v>0</v>
      </c>
      <c r="AT828" s="440">
        <v>0</v>
      </c>
      <c r="AU828" s="440">
        <v>0</v>
      </c>
      <c r="AV828" s="440">
        <v>0</v>
      </c>
      <c r="AW828" s="440">
        <v>0</v>
      </c>
      <c r="AX828" s="440">
        <v>0</v>
      </c>
      <c r="AY828" s="440">
        <v>0</v>
      </c>
      <c r="AZ828" s="440">
        <v>0</v>
      </c>
      <c r="BA828" s="440">
        <v>0</v>
      </c>
      <c r="BB828" s="440">
        <v>0</v>
      </c>
      <c r="BC828" s="440">
        <v>0</v>
      </c>
      <c r="BD828" s="440">
        <v>0</v>
      </c>
      <c r="BE828" s="440">
        <v>0</v>
      </c>
      <c r="BF828" s="440">
        <v>0</v>
      </c>
      <c r="BG828" s="440">
        <v>0</v>
      </c>
      <c r="BH828" s="440">
        <v>0</v>
      </c>
      <c r="BI828" s="440">
        <v>0</v>
      </c>
      <c r="BJ828" s="440">
        <v>0</v>
      </c>
      <c r="BK828" s="440">
        <v>0</v>
      </c>
      <c r="BL828" s="440">
        <v>0</v>
      </c>
      <c r="BM828" s="440">
        <v>0</v>
      </c>
      <c r="BN828" s="440">
        <v>0</v>
      </c>
      <c r="BO828" s="440">
        <v>0</v>
      </c>
      <c r="BP828" s="440">
        <v>0</v>
      </c>
      <c r="BQ828" s="440">
        <v>0</v>
      </c>
      <c r="BR828" s="415">
        <v>0.66666666666666663</v>
      </c>
      <c r="BS828" s="415">
        <v>0.66666666666666663</v>
      </c>
      <c r="BT828" s="935"/>
      <c r="BU828" s="935"/>
      <c r="BV828" s="935"/>
      <c r="BW828" s="935"/>
      <c r="BX828" s="935"/>
      <c r="BY828" s="935"/>
      <c r="BZ828" s="935"/>
      <c r="CA828" s="935"/>
      <c r="CB828" s="935"/>
      <c r="CC828" s="935"/>
      <c r="CD828" s="935"/>
      <c r="CE828" s="935"/>
      <c r="CF828" s="935"/>
      <c r="CG828" s="935"/>
      <c r="CH828" s="935"/>
      <c r="CI828" s="935"/>
      <c r="CJ828" s="935"/>
      <c r="CK828" s="935"/>
      <c r="CL828" s="935"/>
      <c r="CM828" s="935"/>
      <c r="CN828" s="935"/>
      <c r="CO828" s="935"/>
      <c r="CP828" s="935"/>
      <c r="CQ828" s="935"/>
      <c r="CR828" s="935"/>
      <c r="CS828" s="935"/>
      <c r="CT828" s="935"/>
      <c r="CU828" s="935"/>
      <c r="CV828" s="935"/>
    </row>
    <row r="829" spans="1:100" s="441" customFormat="1">
      <c r="A829" s="375">
        <f t="shared" si="228"/>
        <v>10</v>
      </c>
      <c r="B829" s="862">
        <v>44476</v>
      </c>
      <c r="C829" s="493" t="s">
        <v>2001</v>
      </c>
      <c r="D829" s="376" t="str">
        <f>IFERROR(VLOOKUP(E:E,'Item Data Support Sheet'!A:O,7,0),"")</f>
        <v>NIPPLE LASER MARKING</v>
      </c>
      <c r="E829" s="447" t="s">
        <v>2487</v>
      </c>
      <c r="F829" s="500"/>
      <c r="G829" s="497" t="s">
        <v>1812</v>
      </c>
      <c r="H829" s="602" t="str">
        <f>IFERROR(VLOOKUP(E:E,'Item Data Support Sheet'!A:O,2,0),"")</f>
        <v>NIPPLE S TYPE LL SIZE LASER MARKED</v>
      </c>
      <c r="I829" s="501"/>
      <c r="J829" s="501" t="s">
        <v>2811</v>
      </c>
      <c r="K829" s="499">
        <v>8</v>
      </c>
      <c r="L829" s="499">
        <v>7000</v>
      </c>
      <c r="M829" s="366">
        <v>875</v>
      </c>
      <c r="N829" s="367">
        <f t="shared" si="227"/>
        <v>7300</v>
      </c>
      <c r="O829" s="61">
        <v>7300</v>
      </c>
      <c r="P829" s="368">
        <v>0</v>
      </c>
      <c r="Q829" s="368">
        <v>0</v>
      </c>
      <c r="R829" s="494">
        <v>0</v>
      </c>
      <c r="S829" s="493">
        <v>0</v>
      </c>
      <c r="T829" s="494">
        <v>0</v>
      </c>
      <c r="U829" s="493">
        <v>0</v>
      </c>
      <c r="V829" s="502">
        <v>1</v>
      </c>
      <c r="W829" s="453">
        <f t="shared" si="229"/>
        <v>7300</v>
      </c>
      <c r="X829" s="748">
        <f t="shared" si="230"/>
        <v>1.0428571428571429</v>
      </c>
      <c r="Y829" s="451" t="str">
        <f>IFERROR(VLOOKUP(E:E,'Item Data Support Sheet'!A:J,6,0),0)</f>
        <v>FO151</v>
      </c>
      <c r="Z829" s="428">
        <f>IFERROR(VLOOKUP(E:E,'Item Data Support Sheet'!A:O,4,0),0)</f>
        <v>0</v>
      </c>
      <c r="AA829" s="428">
        <f t="shared" si="231"/>
        <v>0</v>
      </c>
      <c r="AB829" s="429" t="str">
        <f t="shared" si="232"/>
        <v xml:space="preserve"> </v>
      </c>
      <c r="AC829" s="424">
        <f t="shared" si="233"/>
        <v>0</v>
      </c>
      <c r="AD829" s="371">
        <f t="shared" si="234"/>
        <v>0</v>
      </c>
      <c r="AE829" s="748">
        <f t="shared" si="235"/>
        <v>1</v>
      </c>
      <c r="AF829" s="417">
        <f t="shared" si="236"/>
        <v>0.66666666666666663</v>
      </c>
      <c r="AG829" s="416">
        <f t="shared" si="237"/>
        <v>7.333333333333333</v>
      </c>
      <c r="AH829" s="372">
        <f t="shared" si="238"/>
        <v>0.91666666666666663</v>
      </c>
      <c r="AI829" s="373">
        <f t="shared" si="239"/>
        <v>912.5</v>
      </c>
      <c r="AJ829" s="418">
        <f>VLOOKUP(D829,'Standard Cycle time'!C:D,2,0)</f>
        <v>3.5</v>
      </c>
      <c r="AK829" s="418">
        <f t="shared" si="240"/>
        <v>3.6164383561643834</v>
      </c>
      <c r="AL829" s="374">
        <f t="shared" si="241"/>
        <v>0.96780303030303039</v>
      </c>
      <c r="AM829" s="372">
        <f t="shared" si="242"/>
        <v>0.88715277777777779</v>
      </c>
      <c r="AN829" s="799">
        <v>0.88715277777777779</v>
      </c>
      <c r="AO829" s="448"/>
      <c r="AP829" s="440">
        <v>40</v>
      </c>
      <c r="AQ829" s="440">
        <v>0</v>
      </c>
      <c r="AR829" s="440">
        <v>0</v>
      </c>
      <c r="AS829" s="440">
        <v>0</v>
      </c>
      <c r="AT829" s="440">
        <v>0</v>
      </c>
      <c r="AU829" s="440">
        <v>0</v>
      </c>
      <c r="AV829" s="440">
        <v>0</v>
      </c>
      <c r="AW829" s="440">
        <v>0</v>
      </c>
      <c r="AX829" s="440">
        <v>0</v>
      </c>
      <c r="AY829" s="440">
        <v>0</v>
      </c>
      <c r="AZ829" s="440">
        <v>0</v>
      </c>
      <c r="BA829" s="440">
        <v>0</v>
      </c>
      <c r="BB829" s="440">
        <v>0</v>
      </c>
      <c r="BC829" s="440">
        <v>0</v>
      </c>
      <c r="BD829" s="440">
        <v>0</v>
      </c>
      <c r="BE829" s="440">
        <v>0</v>
      </c>
      <c r="BF829" s="440">
        <v>0</v>
      </c>
      <c r="BG829" s="440">
        <v>0</v>
      </c>
      <c r="BH829" s="440">
        <v>0</v>
      </c>
      <c r="BI829" s="440">
        <v>0</v>
      </c>
      <c r="BJ829" s="440">
        <v>0</v>
      </c>
      <c r="BK829" s="440">
        <v>0</v>
      </c>
      <c r="BL829" s="440">
        <v>0</v>
      </c>
      <c r="BM829" s="440">
        <v>0</v>
      </c>
      <c r="BN829" s="440">
        <v>0</v>
      </c>
      <c r="BO829" s="440">
        <v>0</v>
      </c>
      <c r="BP829" s="440">
        <v>0</v>
      </c>
      <c r="BQ829" s="440">
        <v>0</v>
      </c>
      <c r="BR829" s="415">
        <v>0.66666666666666663</v>
      </c>
      <c r="BS829" s="415">
        <v>0.66666666666666663</v>
      </c>
      <c r="BT829" s="935"/>
      <c r="BU829" s="935"/>
      <c r="BV829" s="935"/>
      <c r="BW829" s="935"/>
      <c r="BX829" s="935"/>
      <c r="BY829" s="935"/>
      <c r="BZ829" s="935"/>
      <c r="CA829" s="935"/>
      <c r="CB829" s="935"/>
      <c r="CC829" s="935"/>
      <c r="CD829" s="935"/>
      <c r="CE829" s="935"/>
      <c r="CF829" s="935"/>
      <c r="CG829" s="935"/>
      <c r="CH829" s="935"/>
      <c r="CI829" s="935"/>
      <c r="CJ829" s="935"/>
      <c r="CK829" s="935"/>
      <c r="CL829" s="935"/>
      <c r="CM829" s="935"/>
      <c r="CN829" s="935"/>
      <c r="CO829" s="935"/>
      <c r="CP829" s="935"/>
      <c r="CQ829" s="935"/>
      <c r="CR829" s="935"/>
      <c r="CS829" s="935"/>
      <c r="CT829" s="935"/>
      <c r="CU829" s="935"/>
      <c r="CV829" s="935"/>
    </row>
    <row r="830" spans="1:100" s="441" customFormat="1">
      <c r="A830" s="375">
        <f t="shared" si="228"/>
        <v>10</v>
      </c>
      <c r="B830" s="862">
        <v>44476</v>
      </c>
      <c r="C830" s="493" t="s">
        <v>2001</v>
      </c>
      <c r="D830" s="376" t="str">
        <f>IFERROR(VLOOKUP(E:E,'Item Data Support Sheet'!A:O,7,0),"")</f>
        <v>CAP MOLDED</v>
      </c>
      <c r="E830" s="447" t="s">
        <v>2106</v>
      </c>
      <c r="F830" s="500"/>
      <c r="G830" s="497" t="s">
        <v>3212</v>
      </c>
      <c r="H830" s="602" t="str">
        <f>IFERROR(VLOOKUP(E:E,'Item Data Support Sheet'!A:O,2,0),"")</f>
        <v>CAP S TYPE MOLDED RED</v>
      </c>
      <c r="I830" s="501" t="s">
        <v>3563</v>
      </c>
      <c r="J830" s="501" t="s">
        <v>2811</v>
      </c>
      <c r="K830" s="499">
        <v>8</v>
      </c>
      <c r="L830" s="499">
        <v>4137</v>
      </c>
      <c r="M830" s="366">
        <v>517.125</v>
      </c>
      <c r="N830" s="367">
        <f t="shared" si="227"/>
        <v>4200</v>
      </c>
      <c r="O830" s="61">
        <v>4200</v>
      </c>
      <c r="P830" s="368">
        <v>0.14699999999999999</v>
      </c>
      <c r="Q830" s="368">
        <v>0</v>
      </c>
      <c r="R830" s="494">
        <v>0</v>
      </c>
      <c r="S830" s="493">
        <v>0</v>
      </c>
      <c r="T830" s="494">
        <v>0</v>
      </c>
      <c r="U830" s="493">
        <v>0</v>
      </c>
      <c r="V830" s="502">
        <v>1</v>
      </c>
      <c r="W830" s="453">
        <f t="shared" si="229"/>
        <v>4200</v>
      </c>
      <c r="X830" s="748">
        <f t="shared" si="230"/>
        <v>1.015228426395939</v>
      </c>
      <c r="Y830" s="451" t="str">
        <f>IFERROR(VLOOKUP(E:E,'Item Data Support Sheet'!A:J,6,0),0)</f>
        <v>FO153</v>
      </c>
      <c r="Z830" s="428">
        <f>IFERROR(VLOOKUP(E:E,'Item Data Support Sheet'!A:O,4,0),0)</f>
        <v>7.3</v>
      </c>
      <c r="AA830" s="428">
        <f t="shared" si="231"/>
        <v>30.806999999999999</v>
      </c>
      <c r="AB830" s="429">
        <f t="shared" si="232"/>
        <v>0.99522835719154745</v>
      </c>
      <c r="AC830" s="424">
        <f t="shared" si="233"/>
        <v>0</v>
      </c>
      <c r="AD830" s="371">
        <f t="shared" si="234"/>
        <v>0</v>
      </c>
      <c r="AE830" s="748">
        <f t="shared" si="235"/>
        <v>1</v>
      </c>
      <c r="AF830" s="417">
        <f t="shared" si="236"/>
        <v>0.83333333333333337</v>
      </c>
      <c r="AG830" s="416">
        <f t="shared" si="237"/>
        <v>7.166666666666667</v>
      </c>
      <c r="AH830" s="372">
        <f t="shared" si="238"/>
        <v>0.89583333333333337</v>
      </c>
      <c r="AI830" s="373">
        <f t="shared" si="239"/>
        <v>525</v>
      </c>
      <c r="AJ830" s="418">
        <f>VLOOKUP(D830,'Standard Cycle time'!C:D,2,0)</f>
        <v>6</v>
      </c>
      <c r="AK830" s="418">
        <f t="shared" si="240"/>
        <v>6.1428571428571432</v>
      </c>
      <c r="AL830" s="374">
        <f t="shared" si="241"/>
        <v>0.97674418604651159</v>
      </c>
      <c r="AM830" s="372">
        <f t="shared" si="242"/>
        <v>0.875</v>
      </c>
      <c r="AN830" s="799">
        <v>0.875</v>
      </c>
      <c r="AO830" s="448"/>
      <c r="AP830" s="440">
        <v>0</v>
      </c>
      <c r="AQ830" s="440">
        <v>0</v>
      </c>
      <c r="AR830" s="440">
        <v>0</v>
      </c>
      <c r="AS830" s="440">
        <v>0</v>
      </c>
      <c r="AT830" s="440">
        <v>0</v>
      </c>
      <c r="AU830" s="440">
        <v>0</v>
      </c>
      <c r="AV830" s="440">
        <v>30</v>
      </c>
      <c r="AW830" s="440">
        <v>0</v>
      </c>
      <c r="AX830" s="440">
        <v>0</v>
      </c>
      <c r="AY830" s="440">
        <v>0</v>
      </c>
      <c r="AZ830" s="440">
        <v>20</v>
      </c>
      <c r="BA830" s="440">
        <v>0</v>
      </c>
      <c r="BB830" s="440">
        <v>0</v>
      </c>
      <c r="BC830" s="440">
        <v>0</v>
      </c>
      <c r="BD830" s="440">
        <v>0</v>
      </c>
      <c r="BE830" s="440">
        <v>0</v>
      </c>
      <c r="BF830" s="440">
        <v>0</v>
      </c>
      <c r="BG830" s="440">
        <v>0</v>
      </c>
      <c r="BH830" s="440">
        <v>0</v>
      </c>
      <c r="BI830" s="440">
        <v>0</v>
      </c>
      <c r="BJ830" s="440">
        <v>0</v>
      </c>
      <c r="BK830" s="440">
        <v>0</v>
      </c>
      <c r="BL830" s="440">
        <v>0</v>
      </c>
      <c r="BM830" s="440">
        <v>0</v>
      </c>
      <c r="BN830" s="440">
        <v>0</v>
      </c>
      <c r="BO830" s="440">
        <v>0</v>
      </c>
      <c r="BP830" s="440">
        <v>0</v>
      </c>
      <c r="BQ830" s="440">
        <v>0</v>
      </c>
      <c r="BR830" s="415">
        <v>0.83333333333333337</v>
      </c>
      <c r="BS830" s="415">
        <v>0.83333333333333337</v>
      </c>
      <c r="BT830" s="935"/>
      <c r="BU830" s="935"/>
      <c r="BV830" s="935"/>
      <c r="BW830" s="935"/>
      <c r="BX830" s="935"/>
      <c r="BY830" s="935"/>
      <c r="BZ830" s="935"/>
      <c r="CA830" s="935"/>
      <c r="CB830" s="935"/>
      <c r="CC830" s="935"/>
      <c r="CD830" s="935"/>
      <c r="CE830" s="935"/>
      <c r="CF830" s="935"/>
      <c r="CG830" s="935"/>
      <c r="CH830" s="935"/>
      <c r="CI830" s="935"/>
      <c r="CJ830" s="935"/>
      <c r="CK830" s="935"/>
      <c r="CL830" s="935"/>
      <c r="CM830" s="935"/>
      <c r="CN830" s="935"/>
      <c r="CO830" s="935"/>
      <c r="CP830" s="935"/>
      <c r="CQ830" s="935"/>
      <c r="CR830" s="935"/>
      <c r="CS830" s="935"/>
      <c r="CT830" s="935"/>
      <c r="CU830" s="935"/>
      <c r="CV830" s="935"/>
    </row>
    <row r="831" spans="1:100" s="441" customFormat="1">
      <c r="A831" s="375">
        <f t="shared" si="228"/>
        <v>10</v>
      </c>
      <c r="B831" s="862">
        <v>44476</v>
      </c>
      <c r="C831" s="493" t="s">
        <v>2001</v>
      </c>
      <c r="D831" s="376" t="str">
        <f>IFERROR(VLOOKUP(E:E,'Item Data Support Sheet'!A:O,7,0),"")</f>
        <v>NIPPLE MOLDED</v>
      </c>
      <c r="E831" s="447" t="s">
        <v>2484</v>
      </c>
      <c r="F831" s="500" t="s">
        <v>1678</v>
      </c>
      <c r="G831" s="497" t="s">
        <v>1691</v>
      </c>
      <c r="H831" s="602" t="str">
        <f>IFERROR(VLOOKUP(E:E,'Item Data Support Sheet'!A:O,2,0),"")</f>
        <v>NIPPLE S TYPE LL SIZE INJECTION</v>
      </c>
      <c r="I831" s="501" t="s">
        <v>3564</v>
      </c>
      <c r="J831" s="501" t="s">
        <v>2811</v>
      </c>
      <c r="K831" s="499">
        <v>8</v>
      </c>
      <c r="L831" s="499">
        <v>4814</v>
      </c>
      <c r="M831" s="366">
        <v>601.75</v>
      </c>
      <c r="N831" s="367">
        <f t="shared" si="227"/>
        <v>5104</v>
      </c>
      <c r="O831" s="61">
        <v>5000</v>
      </c>
      <c r="P831" s="368">
        <v>0</v>
      </c>
      <c r="Q831" s="368">
        <v>42</v>
      </c>
      <c r="R831" s="494">
        <v>0</v>
      </c>
      <c r="S831" s="493">
        <v>0</v>
      </c>
      <c r="T831" s="494">
        <v>62</v>
      </c>
      <c r="U831" s="493">
        <v>0</v>
      </c>
      <c r="V831" s="502">
        <v>1</v>
      </c>
      <c r="W831" s="453">
        <f t="shared" si="229"/>
        <v>5000</v>
      </c>
      <c r="X831" s="748">
        <f t="shared" si="230"/>
        <v>1.0386373078520981</v>
      </c>
      <c r="Y831" s="451" t="str">
        <f>IFERROR(VLOOKUP(E:E,'Item Data Support Sheet'!A:J,6,0),0)</f>
        <v>FO148</v>
      </c>
      <c r="Z831" s="428">
        <f>IFERROR(VLOOKUP(E:E,'Item Data Support Sheet'!A:O,4,0),0)</f>
        <v>6.8</v>
      </c>
      <c r="AA831" s="428">
        <f t="shared" si="231"/>
        <v>34.7072</v>
      </c>
      <c r="AB831" s="429">
        <f t="shared" si="232"/>
        <v>0.97962382445141061</v>
      </c>
      <c r="AC831" s="424">
        <f t="shared" si="233"/>
        <v>1.2248123271434215E-2</v>
      </c>
      <c r="AD831" s="371">
        <f t="shared" si="234"/>
        <v>8.1616789739603571E-3</v>
      </c>
      <c r="AE831" s="748">
        <f t="shared" si="235"/>
        <v>0.98785266457680254</v>
      </c>
      <c r="AF831" s="417">
        <f t="shared" si="236"/>
        <v>0</v>
      </c>
      <c r="AG831" s="416">
        <f t="shared" si="237"/>
        <v>8</v>
      </c>
      <c r="AH831" s="372">
        <f t="shared" si="238"/>
        <v>1</v>
      </c>
      <c r="AI831" s="373">
        <f t="shared" si="239"/>
        <v>625</v>
      </c>
      <c r="AJ831" s="418">
        <f>VLOOKUP(D831,'Standard Cycle time'!C:D,2,0)</f>
        <v>5.25</v>
      </c>
      <c r="AK831" s="418">
        <f t="shared" si="240"/>
        <v>5.76</v>
      </c>
      <c r="AL831" s="374">
        <f t="shared" si="241"/>
        <v>0.91145833333333337</v>
      </c>
      <c r="AM831" s="372">
        <f t="shared" si="242"/>
        <v>0.90038654323406486</v>
      </c>
      <c r="AN831" s="799">
        <v>0.90038654323406486</v>
      </c>
      <c r="AO831" s="448" t="s">
        <v>3565</v>
      </c>
      <c r="AP831" s="440">
        <v>0</v>
      </c>
      <c r="AQ831" s="440">
        <v>0</v>
      </c>
      <c r="AR831" s="440">
        <v>0</v>
      </c>
      <c r="AS831" s="440">
        <v>0</v>
      </c>
      <c r="AT831" s="440">
        <v>0</v>
      </c>
      <c r="AU831" s="440">
        <v>0</v>
      </c>
      <c r="AV831" s="440">
        <v>0</v>
      </c>
      <c r="AW831" s="440">
        <v>0</v>
      </c>
      <c r="AX831" s="440">
        <v>0</v>
      </c>
      <c r="AY831" s="440">
        <v>0</v>
      </c>
      <c r="AZ831" s="440">
        <v>0</v>
      </c>
      <c r="BA831" s="440">
        <v>0</v>
      </c>
      <c r="BB831" s="440">
        <v>0</v>
      </c>
      <c r="BC831" s="440">
        <v>0</v>
      </c>
      <c r="BD831" s="440">
        <v>0</v>
      </c>
      <c r="BE831" s="440">
        <v>0</v>
      </c>
      <c r="BF831" s="440">
        <v>0</v>
      </c>
      <c r="BG831" s="440">
        <v>0</v>
      </c>
      <c r="BH831" s="440">
        <v>0</v>
      </c>
      <c r="BI831" s="440">
        <v>0</v>
      </c>
      <c r="BJ831" s="440">
        <v>0</v>
      </c>
      <c r="BK831" s="440">
        <v>0</v>
      </c>
      <c r="BL831" s="440">
        <v>0</v>
      </c>
      <c r="BM831" s="440">
        <v>0</v>
      </c>
      <c r="BN831" s="440">
        <v>0</v>
      </c>
      <c r="BO831" s="440">
        <v>0</v>
      </c>
      <c r="BP831" s="440">
        <v>0</v>
      </c>
      <c r="BQ831" s="440">
        <v>0</v>
      </c>
      <c r="BR831" s="415">
        <v>0</v>
      </c>
      <c r="BS831" s="415">
        <v>0</v>
      </c>
      <c r="BT831" s="935"/>
      <c r="BU831" s="935"/>
      <c r="BV831" s="935"/>
      <c r="BW831" s="935"/>
      <c r="BX831" s="935"/>
      <c r="BY831" s="935"/>
      <c r="BZ831" s="935"/>
      <c r="CA831" s="935"/>
      <c r="CB831" s="935"/>
      <c r="CC831" s="935"/>
      <c r="CD831" s="935"/>
      <c r="CE831" s="935"/>
      <c r="CF831" s="935"/>
      <c r="CG831" s="935"/>
      <c r="CH831" s="935"/>
      <c r="CI831" s="935"/>
      <c r="CJ831" s="935"/>
      <c r="CK831" s="935"/>
      <c r="CL831" s="935"/>
      <c r="CM831" s="935"/>
      <c r="CN831" s="935"/>
      <c r="CO831" s="935"/>
      <c r="CP831" s="935"/>
      <c r="CQ831" s="935"/>
      <c r="CR831" s="935"/>
      <c r="CS831" s="935"/>
      <c r="CT831" s="935"/>
      <c r="CU831" s="935"/>
      <c r="CV831" s="935"/>
    </row>
    <row r="832" spans="1:100" s="441" customFormat="1">
      <c r="A832" s="375">
        <f t="shared" si="228"/>
        <v>10</v>
      </c>
      <c r="B832" s="862">
        <v>44476</v>
      </c>
      <c r="C832" s="493" t="s">
        <v>2053</v>
      </c>
      <c r="D832" s="376" t="str">
        <f>IFERROR(VLOOKUP(E:E,'Item Data Support Sheet'!A:O,7,0),"")</f>
        <v>BOTTLE MOLDED</v>
      </c>
      <c r="E832" s="447" t="s">
        <v>66</v>
      </c>
      <c r="F832" s="500" t="s">
        <v>3566</v>
      </c>
      <c r="G832" s="497" t="s">
        <v>1888</v>
      </c>
      <c r="H832" s="602" t="str">
        <f>IFERROR(VLOOKUP(E:E,'Item Data Support Sheet'!A:O,2,0),"")</f>
        <v>KPP 200 ML BOTTLE MOLDED</v>
      </c>
      <c r="I832" s="501" t="s">
        <v>3567</v>
      </c>
      <c r="J832" s="501" t="s">
        <v>2826</v>
      </c>
      <c r="K832" s="499">
        <v>8</v>
      </c>
      <c r="L832" s="499">
        <v>2574</v>
      </c>
      <c r="M832" s="366">
        <v>321.75</v>
      </c>
      <c r="N832" s="367">
        <f t="shared" si="227"/>
        <v>1614</v>
      </c>
      <c r="O832" s="61">
        <v>1512</v>
      </c>
      <c r="P832" s="368">
        <v>0.3</v>
      </c>
      <c r="Q832" s="368">
        <v>51</v>
      </c>
      <c r="R832" s="494">
        <v>0</v>
      </c>
      <c r="S832" s="493">
        <v>0</v>
      </c>
      <c r="T832" s="494">
        <v>21</v>
      </c>
      <c r="U832" s="493">
        <v>30</v>
      </c>
      <c r="V832" s="502">
        <v>1</v>
      </c>
      <c r="W832" s="453">
        <f t="shared" si="229"/>
        <v>1512</v>
      </c>
      <c r="X832" s="748">
        <f t="shared" si="230"/>
        <v>0.58741258741258739</v>
      </c>
      <c r="Y832" s="451" t="str">
        <f>IFERROR(VLOOKUP(E:E,'Item Data Support Sheet'!A:J,6,0),0)</f>
        <v>HMC</v>
      </c>
      <c r="Z832" s="428">
        <f>IFERROR(VLOOKUP(E:E,'Item Data Support Sheet'!A:O,4,0),0)</f>
        <v>28.1</v>
      </c>
      <c r="AA832" s="428">
        <f t="shared" si="231"/>
        <v>45.653399999999998</v>
      </c>
      <c r="AB832" s="429">
        <f t="shared" si="232"/>
        <v>0.93064700548042434</v>
      </c>
      <c r="AC832" s="424">
        <f t="shared" si="233"/>
        <v>1.3698630136986301E-2</v>
      </c>
      <c r="AD832" s="371">
        <f t="shared" si="234"/>
        <v>3.063063063063063E-2</v>
      </c>
      <c r="AE832" s="748">
        <f t="shared" si="235"/>
        <v>0.98698884758364314</v>
      </c>
      <c r="AF832" s="417">
        <f t="shared" si="236"/>
        <v>4.25</v>
      </c>
      <c r="AG832" s="416">
        <f t="shared" si="237"/>
        <v>3.75</v>
      </c>
      <c r="AH832" s="372">
        <f t="shared" si="238"/>
        <v>0.46875</v>
      </c>
      <c r="AI832" s="373">
        <f t="shared" si="239"/>
        <v>189</v>
      </c>
      <c r="AJ832" s="418">
        <f>VLOOKUP(D832,'Standard Cycle time'!C:D,2,0)</f>
        <v>9</v>
      </c>
      <c r="AK832" s="418">
        <f t="shared" si="240"/>
        <v>8.9285714285714288</v>
      </c>
      <c r="AL832" s="374">
        <f t="shared" si="241"/>
        <v>1.008</v>
      </c>
      <c r="AM832" s="372">
        <f t="shared" si="242"/>
        <v>0.4663522304832714</v>
      </c>
      <c r="AN832" s="799">
        <v>0.4663522304832714</v>
      </c>
      <c r="AO832" s="448" t="s">
        <v>3568</v>
      </c>
      <c r="AP832" s="440">
        <v>0</v>
      </c>
      <c r="AQ832" s="440">
        <v>0</v>
      </c>
      <c r="AR832" s="440">
        <v>120</v>
      </c>
      <c r="AS832" s="440">
        <v>0</v>
      </c>
      <c r="AT832" s="440">
        <v>0</v>
      </c>
      <c r="AU832" s="440">
        <v>0</v>
      </c>
      <c r="AV832" s="440">
        <v>45</v>
      </c>
      <c r="AW832" s="440">
        <v>90</v>
      </c>
      <c r="AX832" s="440">
        <v>0</v>
      </c>
      <c r="AY832" s="440">
        <v>0</v>
      </c>
      <c r="AZ832" s="440">
        <v>0</v>
      </c>
      <c r="BA832" s="440">
        <v>0</v>
      </c>
      <c r="BB832" s="440">
        <v>0</v>
      </c>
      <c r="BC832" s="440">
        <v>0</v>
      </c>
      <c r="BD832" s="440">
        <v>0</v>
      </c>
      <c r="BE832" s="440">
        <v>0</v>
      </c>
      <c r="BF832" s="440">
        <v>0</v>
      </c>
      <c r="BG832" s="440">
        <v>0</v>
      </c>
      <c r="BH832" s="440">
        <v>0</v>
      </c>
      <c r="BI832" s="440">
        <v>0</v>
      </c>
      <c r="BJ832" s="440">
        <v>0</v>
      </c>
      <c r="BK832" s="440">
        <v>0</v>
      </c>
      <c r="BL832" s="440">
        <v>0</v>
      </c>
      <c r="BM832" s="440">
        <v>0</v>
      </c>
      <c r="BN832" s="440">
        <v>0</v>
      </c>
      <c r="BO832" s="440">
        <v>0</v>
      </c>
      <c r="BP832" s="440">
        <v>0</v>
      </c>
      <c r="BQ832" s="440">
        <v>0</v>
      </c>
      <c r="BR832" s="415">
        <v>4.25</v>
      </c>
      <c r="BS832" s="415">
        <v>4.25</v>
      </c>
      <c r="BT832" s="935"/>
      <c r="BU832" s="935"/>
      <c r="BV832" s="935"/>
      <c r="BW832" s="935"/>
      <c r="BX832" s="935"/>
      <c r="BY832" s="935"/>
      <c r="BZ832" s="935"/>
      <c r="CA832" s="935"/>
      <c r="CB832" s="935"/>
      <c r="CC832" s="935"/>
      <c r="CD832" s="935"/>
      <c r="CE832" s="935"/>
      <c r="CF832" s="935"/>
      <c r="CG832" s="935"/>
      <c r="CH832" s="935"/>
      <c r="CI832" s="935"/>
      <c r="CJ832" s="935"/>
      <c r="CK832" s="935"/>
      <c r="CL832" s="935"/>
      <c r="CM832" s="935"/>
      <c r="CN832" s="935"/>
      <c r="CO832" s="935"/>
      <c r="CP832" s="935"/>
      <c r="CQ832" s="935"/>
      <c r="CR832" s="935"/>
      <c r="CS832" s="935"/>
      <c r="CT832" s="935"/>
      <c r="CU832" s="935"/>
      <c r="CV832" s="935"/>
    </row>
    <row r="833" spans="1:100" s="441" customFormat="1">
      <c r="A833" s="375">
        <f t="shared" si="228"/>
        <v>10</v>
      </c>
      <c r="B833" s="862">
        <v>44476</v>
      </c>
      <c r="C833" s="493" t="s">
        <v>2053</v>
      </c>
      <c r="D833" s="376" t="str">
        <f>IFERROR(VLOOKUP(E:E,'Item Data Support Sheet'!A:O,7,0),"")</f>
        <v>NIPPLE MOLDED</v>
      </c>
      <c r="E833" s="447" t="s">
        <v>2484</v>
      </c>
      <c r="F833" s="500" t="s">
        <v>1678</v>
      </c>
      <c r="G833" s="497" t="s">
        <v>1691</v>
      </c>
      <c r="H833" s="602" t="str">
        <f>IFERROR(VLOOKUP(E:E,'Item Data Support Sheet'!A:O,2,0),"")</f>
        <v>NIPPLE S TYPE LL SIZE INJECTION</v>
      </c>
      <c r="I833" s="501" t="s">
        <v>3569</v>
      </c>
      <c r="J833" s="501" t="s">
        <v>2826</v>
      </c>
      <c r="K833" s="499">
        <v>8</v>
      </c>
      <c r="L833" s="499">
        <v>4815</v>
      </c>
      <c r="M833" s="366">
        <v>601.875</v>
      </c>
      <c r="N833" s="367">
        <f t="shared" si="227"/>
        <v>4343</v>
      </c>
      <c r="O833" s="61">
        <v>4200</v>
      </c>
      <c r="P833" s="368">
        <v>0</v>
      </c>
      <c r="Q833" s="368">
        <v>76</v>
      </c>
      <c r="R833" s="494">
        <v>0</v>
      </c>
      <c r="S833" s="493">
        <v>0</v>
      </c>
      <c r="T833" s="494">
        <v>59</v>
      </c>
      <c r="U833" s="493">
        <v>8</v>
      </c>
      <c r="V833" s="502">
        <v>1</v>
      </c>
      <c r="W833" s="453">
        <f t="shared" si="229"/>
        <v>4200</v>
      </c>
      <c r="X833" s="748">
        <f t="shared" si="230"/>
        <v>0.87227414330218067</v>
      </c>
      <c r="Y833" s="451" t="str">
        <f>IFERROR(VLOOKUP(E:E,'Item Data Support Sheet'!A:J,6,0),0)</f>
        <v>FO148</v>
      </c>
      <c r="Z833" s="428">
        <f>IFERROR(VLOOKUP(E:E,'Item Data Support Sheet'!A:O,4,0),0)</f>
        <v>6.8</v>
      </c>
      <c r="AA833" s="428">
        <f t="shared" si="231"/>
        <v>29.532399999999999</v>
      </c>
      <c r="AB833" s="429">
        <f t="shared" si="232"/>
        <v>0.96707345153119961</v>
      </c>
      <c r="AC833" s="424">
        <f t="shared" si="233"/>
        <v>1.385301714017375E-2</v>
      </c>
      <c r="AD833" s="371">
        <f t="shared" si="234"/>
        <v>1.7198461190314551E-2</v>
      </c>
      <c r="AE833" s="748">
        <f t="shared" si="235"/>
        <v>0.98641492056182367</v>
      </c>
      <c r="AF833" s="417">
        <f t="shared" si="236"/>
        <v>1.5</v>
      </c>
      <c r="AG833" s="416">
        <f t="shared" si="237"/>
        <v>6.5</v>
      </c>
      <c r="AH833" s="372">
        <f t="shared" si="238"/>
        <v>0.8125</v>
      </c>
      <c r="AI833" s="373">
        <f t="shared" si="239"/>
        <v>525</v>
      </c>
      <c r="AJ833" s="418">
        <f>VLOOKUP(D833,'Standard Cycle time'!C:D,2,0)</f>
        <v>5.25</v>
      </c>
      <c r="AK833" s="418">
        <f t="shared" si="240"/>
        <v>5.5714285714285712</v>
      </c>
      <c r="AL833" s="374">
        <f t="shared" si="241"/>
        <v>0.9423076923076924</v>
      </c>
      <c r="AM833" s="372">
        <f t="shared" si="242"/>
        <v>0.75522392355514634</v>
      </c>
      <c r="AN833" s="799">
        <v>0.75522392355514634</v>
      </c>
      <c r="AO833" s="448" t="s">
        <v>3570</v>
      </c>
      <c r="AP833" s="440">
        <v>0</v>
      </c>
      <c r="AQ833" s="440">
        <v>0</v>
      </c>
      <c r="AR833" s="440">
        <v>0</v>
      </c>
      <c r="AS833" s="440">
        <v>0</v>
      </c>
      <c r="AT833" s="440">
        <v>0</v>
      </c>
      <c r="AU833" s="440">
        <v>60</v>
      </c>
      <c r="AV833" s="440">
        <v>30</v>
      </c>
      <c r="AW833" s="440">
        <v>0</v>
      </c>
      <c r="AX833" s="440">
        <v>0</v>
      </c>
      <c r="AY833" s="440">
        <v>0</v>
      </c>
      <c r="AZ833" s="440">
        <v>0</v>
      </c>
      <c r="BA833" s="440">
        <v>0</v>
      </c>
      <c r="BB833" s="440">
        <v>0</v>
      </c>
      <c r="BC833" s="440">
        <v>0</v>
      </c>
      <c r="BD833" s="440">
        <v>0</v>
      </c>
      <c r="BE833" s="440">
        <v>0</v>
      </c>
      <c r="BF833" s="440">
        <v>0</v>
      </c>
      <c r="BG833" s="440">
        <v>0</v>
      </c>
      <c r="BH833" s="440">
        <v>0</v>
      </c>
      <c r="BI833" s="440">
        <v>0</v>
      </c>
      <c r="BJ833" s="440">
        <v>0</v>
      </c>
      <c r="BK833" s="440">
        <v>0</v>
      </c>
      <c r="BL833" s="440">
        <v>0</v>
      </c>
      <c r="BM833" s="440">
        <v>0</v>
      </c>
      <c r="BN833" s="440">
        <v>0</v>
      </c>
      <c r="BO833" s="440">
        <v>0</v>
      </c>
      <c r="BP833" s="440">
        <v>0</v>
      </c>
      <c r="BQ833" s="440">
        <v>0</v>
      </c>
      <c r="BR833" s="415">
        <v>1.5</v>
      </c>
      <c r="BS833" s="415">
        <v>1.5</v>
      </c>
      <c r="BT833" s="935"/>
      <c r="BU833" s="935"/>
      <c r="BV833" s="935"/>
      <c r="BW833" s="935"/>
      <c r="BX833" s="935"/>
      <c r="BY833" s="935"/>
      <c r="BZ833" s="935"/>
      <c r="CA833" s="935"/>
      <c r="CB833" s="935"/>
      <c r="CC833" s="935"/>
      <c r="CD833" s="935"/>
      <c r="CE833" s="935"/>
      <c r="CF833" s="935"/>
      <c r="CG833" s="935"/>
      <c r="CH833" s="935"/>
      <c r="CI833" s="935"/>
      <c r="CJ833" s="935"/>
      <c r="CK833" s="935"/>
      <c r="CL833" s="935"/>
      <c r="CM833" s="935"/>
      <c r="CN833" s="935"/>
      <c r="CO833" s="935"/>
      <c r="CP833" s="935"/>
      <c r="CQ833" s="935"/>
      <c r="CR833" s="935"/>
      <c r="CS833" s="935"/>
      <c r="CT833" s="935"/>
      <c r="CU833" s="935"/>
      <c r="CV833" s="935"/>
    </row>
    <row r="834" spans="1:100" s="441" customFormat="1">
      <c r="A834" s="375">
        <f t="shared" si="228"/>
        <v>10</v>
      </c>
      <c r="B834" s="862">
        <v>44476</v>
      </c>
      <c r="C834" s="493" t="s">
        <v>2053</v>
      </c>
      <c r="D834" s="376" t="str">
        <f>IFERROR(VLOOKUP(E:E,'Item Data Support Sheet'!A:O,7,0),"")</f>
        <v>CAP MOLDED</v>
      </c>
      <c r="E834" s="447" t="s">
        <v>2106</v>
      </c>
      <c r="F834" s="500"/>
      <c r="G834" s="497" t="s">
        <v>3212</v>
      </c>
      <c r="H834" s="602" t="str">
        <f>IFERROR(VLOOKUP(E:E,'Item Data Support Sheet'!A:O,2,0),"")</f>
        <v>CAP S TYPE MOLDED RED</v>
      </c>
      <c r="I834" s="501" t="s">
        <v>3571</v>
      </c>
      <c r="J834" s="501" t="s">
        <v>2826</v>
      </c>
      <c r="K834" s="499">
        <v>8</v>
      </c>
      <c r="L834" s="499">
        <v>4137</v>
      </c>
      <c r="M834" s="366">
        <v>517.125</v>
      </c>
      <c r="N834" s="367">
        <f t="shared" si="227"/>
        <v>4010</v>
      </c>
      <c r="O834" s="61">
        <v>4000</v>
      </c>
      <c r="P834" s="368">
        <v>0</v>
      </c>
      <c r="Q834" s="368">
        <v>0</v>
      </c>
      <c r="R834" s="494">
        <v>0</v>
      </c>
      <c r="S834" s="493">
        <v>0</v>
      </c>
      <c r="T834" s="494">
        <v>2</v>
      </c>
      <c r="U834" s="493">
        <v>8</v>
      </c>
      <c r="V834" s="502">
        <v>1</v>
      </c>
      <c r="W834" s="453">
        <f t="shared" si="229"/>
        <v>4000</v>
      </c>
      <c r="X834" s="748">
        <f t="shared" si="230"/>
        <v>0.96688421561518012</v>
      </c>
      <c r="Y834" s="451" t="str">
        <f>IFERROR(VLOOKUP(E:E,'Item Data Support Sheet'!A:J,6,0),0)</f>
        <v>FO153</v>
      </c>
      <c r="Z834" s="428">
        <f>IFERROR(VLOOKUP(E:E,'Item Data Support Sheet'!A:O,4,0),0)</f>
        <v>7.3</v>
      </c>
      <c r="AA834" s="428">
        <f t="shared" si="231"/>
        <v>29.273</v>
      </c>
      <c r="AB834" s="429">
        <f t="shared" si="232"/>
        <v>0.99750623441396502</v>
      </c>
      <c r="AC834" s="424">
        <f t="shared" si="233"/>
        <v>4.9975012493753122E-4</v>
      </c>
      <c r="AD834" s="371">
        <f t="shared" si="234"/>
        <v>0</v>
      </c>
      <c r="AE834" s="748">
        <f t="shared" si="235"/>
        <v>0.99950124688279307</v>
      </c>
      <c r="AF834" s="417">
        <f t="shared" si="236"/>
        <v>1.3333333333333333</v>
      </c>
      <c r="AG834" s="416">
        <f t="shared" si="237"/>
        <v>6.666666666666667</v>
      </c>
      <c r="AH834" s="372">
        <f t="shared" si="238"/>
        <v>0.83333333333333337</v>
      </c>
      <c r="AI834" s="373">
        <f t="shared" si="239"/>
        <v>500</v>
      </c>
      <c r="AJ834" s="418">
        <f>VLOOKUP(D834,'Standard Cycle time'!C:D,2,0)</f>
        <v>6</v>
      </c>
      <c r="AK834" s="418">
        <f t="shared" si="240"/>
        <v>6</v>
      </c>
      <c r="AL834" s="374">
        <f t="shared" si="241"/>
        <v>1</v>
      </c>
      <c r="AM834" s="372">
        <f t="shared" si="242"/>
        <v>0.83291770573566093</v>
      </c>
      <c r="AN834" s="799">
        <v>0.83291770573566093</v>
      </c>
      <c r="AO834" s="448"/>
      <c r="AP834" s="440">
        <v>0</v>
      </c>
      <c r="AQ834" s="440">
        <v>0</v>
      </c>
      <c r="AR834" s="440">
        <v>0</v>
      </c>
      <c r="AS834" s="440">
        <v>0</v>
      </c>
      <c r="AT834" s="440">
        <v>0</v>
      </c>
      <c r="AU834" s="440">
        <v>0</v>
      </c>
      <c r="AV834" s="440">
        <v>30</v>
      </c>
      <c r="AW834" s="440">
        <v>30</v>
      </c>
      <c r="AX834" s="440">
        <v>0</v>
      </c>
      <c r="AY834" s="440">
        <v>0</v>
      </c>
      <c r="AZ834" s="440">
        <v>20</v>
      </c>
      <c r="BA834" s="440">
        <v>0</v>
      </c>
      <c r="BB834" s="440">
        <v>0</v>
      </c>
      <c r="BC834" s="440">
        <v>0</v>
      </c>
      <c r="BD834" s="440">
        <v>0</v>
      </c>
      <c r="BE834" s="440">
        <v>0</v>
      </c>
      <c r="BF834" s="440">
        <v>0</v>
      </c>
      <c r="BG834" s="440">
        <v>0</v>
      </c>
      <c r="BH834" s="440">
        <v>0</v>
      </c>
      <c r="BI834" s="440">
        <v>0</v>
      </c>
      <c r="BJ834" s="440">
        <v>0</v>
      </c>
      <c r="BK834" s="440">
        <v>0</v>
      </c>
      <c r="BL834" s="440">
        <v>0</v>
      </c>
      <c r="BM834" s="440">
        <v>0</v>
      </c>
      <c r="BN834" s="440">
        <v>0</v>
      </c>
      <c r="BO834" s="440">
        <v>0</v>
      </c>
      <c r="BP834" s="440">
        <v>0</v>
      </c>
      <c r="BQ834" s="440">
        <v>0</v>
      </c>
      <c r="BR834" s="415">
        <v>1.3333333333333333</v>
      </c>
      <c r="BS834" s="415">
        <v>1.3333333333333333</v>
      </c>
      <c r="BT834" s="935"/>
      <c r="BU834" s="935"/>
      <c r="BV834" s="935"/>
      <c r="BW834" s="935"/>
      <c r="BX834" s="935"/>
      <c r="BY834" s="935"/>
      <c r="BZ834" s="935"/>
      <c r="CA834" s="935"/>
      <c r="CB834" s="935"/>
      <c r="CC834" s="935"/>
      <c r="CD834" s="935"/>
      <c r="CE834" s="935"/>
      <c r="CF834" s="935"/>
      <c r="CG834" s="935"/>
      <c r="CH834" s="935"/>
      <c r="CI834" s="935"/>
      <c r="CJ834" s="935"/>
      <c r="CK834" s="935"/>
      <c r="CL834" s="935"/>
      <c r="CM834" s="935"/>
      <c r="CN834" s="935"/>
      <c r="CO834" s="935"/>
      <c r="CP834" s="935"/>
      <c r="CQ834" s="935"/>
      <c r="CR834" s="935"/>
      <c r="CS834" s="935"/>
      <c r="CT834" s="935"/>
      <c r="CU834" s="935"/>
      <c r="CV834" s="935"/>
    </row>
    <row r="835" spans="1:100" s="441" customFormat="1">
      <c r="A835" s="375">
        <f t="shared" si="228"/>
        <v>10</v>
      </c>
      <c r="B835" s="862">
        <v>44476</v>
      </c>
      <c r="C835" s="493" t="s">
        <v>1980</v>
      </c>
      <c r="D835" s="376" t="str">
        <f>IFERROR(VLOOKUP(E:E,'Item Data Support Sheet'!A:O,7,0),"")</f>
        <v>BOTTLE PRINTED</v>
      </c>
      <c r="E835" s="447" t="s">
        <v>69</v>
      </c>
      <c r="F835" s="500"/>
      <c r="G835" s="497"/>
      <c r="H835" s="602" t="str">
        <f>IFERROR(VLOOKUP(E:E,'Item Data Support Sheet'!A:O,2,0),"")</f>
        <v>KPP 120 ML BOTTLE PRINTED</v>
      </c>
      <c r="I835" s="501" t="s">
        <v>3572</v>
      </c>
      <c r="J835" s="501" t="s">
        <v>2813</v>
      </c>
      <c r="K835" s="499">
        <v>8</v>
      </c>
      <c r="L835" s="499">
        <v>5123</v>
      </c>
      <c r="M835" s="366">
        <v>640.375</v>
      </c>
      <c r="N835" s="367">
        <f t="shared" si="227"/>
        <v>3978</v>
      </c>
      <c r="O835" s="61">
        <v>3960</v>
      </c>
      <c r="P835" s="368">
        <v>0</v>
      </c>
      <c r="Q835" s="368">
        <v>0</v>
      </c>
      <c r="R835" s="494">
        <v>25</v>
      </c>
      <c r="S835" s="493">
        <v>0</v>
      </c>
      <c r="T835" s="494">
        <v>18</v>
      </c>
      <c r="U835" s="493">
        <v>0</v>
      </c>
      <c r="V835" s="502">
        <v>5</v>
      </c>
      <c r="W835" s="453">
        <f t="shared" si="229"/>
        <v>792</v>
      </c>
      <c r="X835" s="748">
        <f t="shared" si="230"/>
        <v>0.77298457934803821</v>
      </c>
      <c r="Y835" s="451" t="str">
        <f>IFERROR(VLOOKUP(E:E,'Item Data Support Sheet'!A:J,6,0),0)</f>
        <v>FO001</v>
      </c>
      <c r="Z835" s="428">
        <f>IFERROR(VLOOKUP(E:E,'Item Data Support Sheet'!A:O,4,0),0)</f>
        <v>0</v>
      </c>
      <c r="AA835" s="428">
        <f t="shared" si="231"/>
        <v>0</v>
      </c>
      <c r="AB835" s="429" t="str">
        <f t="shared" si="232"/>
        <v xml:space="preserve"> </v>
      </c>
      <c r="AC835" s="424">
        <f t="shared" si="233"/>
        <v>4.5248868778280547E-3</v>
      </c>
      <c r="AD835" s="371">
        <f t="shared" si="234"/>
        <v>0</v>
      </c>
      <c r="AE835" s="748">
        <f t="shared" si="235"/>
        <v>0.99547511312217196</v>
      </c>
      <c r="AF835" s="417">
        <f t="shared" si="236"/>
        <v>1.8333333333333333</v>
      </c>
      <c r="AG835" s="416">
        <f t="shared" si="237"/>
        <v>6.166666666666667</v>
      </c>
      <c r="AH835" s="372">
        <f t="shared" si="238"/>
        <v>0.77083333333333337</v>
      </c>
      <c r="AI835" s="373">
        <f t="shared" si="239"/>
        <v>495</v>
      </c>
      <c r="AJ835" s="418">
        <f>VLOOKUP(D835,'Standard Cycle time'!C:D,2,0)</f>
        <v>32.4</v>
      </c>
      <c r="AK835" s="418">
        <f t="shared" si="240"/>
        <v>28.030303030303035</v>
      </c>
      <c r="AL835" s="374">
        <f t="shared" si="241"/>
        <v>1.1558918918918917</v>
      </c>
      <c r="AM835" s="372">
        <f t="shared" si="242"/>
        <v>0.88696832579185503</v>
      </c>
      <c r="AN835" s="799">
        <v>0.88696832579185503</v>
      </c>
      <c r="AO835" s="448" t="s">
        <v>3573</v>
      </c>
      <c r="AP835" s="440">
        <v>0</v>
      </c>
      <c r="AQ835" s="440">
        <v>60</v>
      </c>
      <c r="AR835" s="440">
        <v>0</v>
      </c>
      <c r="AS835" s="440">
        <v>0</v>
      </c>
      <c r="AT835" s="440">
        <v>50</v>
      </c>
      <c r="AU835" s="440">
        <v>0</v>
      </c>
      <c r="AV835" s="440">
        <v>0</v>
      </c>
      <c r="AW835" s="440">
        <v>0</v>
      </c>
      <c r="AX835" s="440">
        <v>0</v>
      </c>
      <c r="AY835" s="440">
        <v>0</v>
      </c>
      <c r="AZ835" s="440">
        <v>0</v>
      </c>
      <c r="BA835" s="440">
        <v>0</v>
      </c>
      <c r="BB835" s="440">
        <v>0</v>
      </c>
      <c r="BC835" s="440">
        <v>0</v>
      </c>
      <c r="BD835" s="440">
        <v>0</v>
      </c>
      <c r="BE835" s="440">
        <v>0</v>
      </c>
      <c r="BF835" s="440">
        <v>0</v>
      </c>
      <c r="BG835" s="440">
        <v>0</v>
      </c>
      <c r="BH835" s="440">
        <v>0</v>
      </c>
      <c r="BI835" s="440">
        <v>0</v>
      </c>
      <c r="BJ835" s="440">
        <v>0</v>
      </c>
      <c r="BK835" s="440">
        <v>0</v>
      </c>
      <c r="BL835" s="440">
        <v>0</v>
      </c>
      <c r="BM835" s="440">
        <v>0</v>
      </c>
      <c r="BN835" s="440">
        <v>0</v>
      </c>
      <c r="BO835" s="440">
        <v>0</v>
      </c>
      <c r="BP835" s="440">
        <v>0</v>
      </c>
      <c r="BQ835" s="440">
        <v>0</v>
      </c>
      <c r="BR835" s="415">
        <v>1.8333333333333333</v>
      </c>
      <c r="BS835" s="415">
        <v>1.8333333333333333</v>
      </c>
      <c r="BT835" s="935"/>
      <c r="BU835" s="935"/>
      <c r="BV835" s="935"/>
      <c r="BW835" s="935"/>
      <c r="BX835" s="935"/>
      <c r="BY835" s="935"/>
      <c r="BZ835" s="935"/>
      <c r="CA835" s="935"/>
      <c r="CB835" s="935"/>
      <c r="CC835" s="935"/>
      <c r="CD835" s="935"/>
      <c r="CE835" s="935"/>
      <c r="CF835" s="935"/>
      <c r="CG835" s="935"/>
      <c r="CH835" s="935"/>
      <c r="CI835" s="935"/>
      <c r="CJ835" s="935"/>
      <c r="CK835" s="935"/>
      <c r="CL835" s="935"/>
      <c r="CM835" s="935"/>
      <c r="CN835" s="935"/>
      <c r="CO835" s="935"/>
      <c r="CP835" s="935"/>
      <c r="CQ835" s="935"/>
      <c r="CR835" s="935"/>
      <c r="CS835" s="935"/>
      <c r="CT835" s="935"/>
      <c r="CU835" s="935"/>
      <c r="CV835" s="935"/>
    </row>
    <row r="836" spans="1:100" s="441" customFormat="1">
      <c r="A836" s="375">
        <f t="shared" si="228"/>
        <v>10</v>
      </c>
      <c r="B836" s="862">
        <v>44476</v>
      </c>
      <c r="C836" s="493" t="s">
        <v>2001</v>
      </c>
      <c r="D836" s="376" t="str">
        <f>IFERROR(VLOOKUP(E:E,'Item Data Support Sheet'!A:O,7,0),"")</f>
        <v>BOTTLE PRINTED</v>
      </c>
      <c r="E836" s="447" t="s">
        <v>69</v>
      </c>
      <c r="F836" s="500"/>
      <c r="G836" s="497"/>
      <c r="H836" s="602" t="str">
        <f>IFERROR(VLOOKUP(E:E,'Item Data Support Sheet'!A:O,2,0),"")</f>
        <v>KPP 120 ML BOTTLE PRINTED</v>
      </c>
      <c r="I836" s="501" t="s">
        <v>3574</v>
      </c>
      <c r="J836" s="501" t="s">
        <v>2813</v>
      </c>
      <c r="K836" s="499">
        <v>8</v>
      </c>
      <c r="L836" s="499">
        <v>5123</v>
      </c>
      <c r="M836" s="366">
        <v>640.375</v>
      </c>
      <c r="N836" s="367">
        <f t="shared" ref="N836:N899" si="243">+O836+Q836+T836+U836</f>
        <v>5432</v>
      </c>
      <c r="O836" s="61">
        <v>5400</v>
      </c>
      <c r="P836" s="368">
        <v>0</v>
      </c>
      <c r="Q836" s="368">
        <v>0</v>
      </c>
      <c r="R836" s="494">
        <v>58</v>
      </c>
      <c r="S836" s="493">
        <v>0</v>
      </c>
      <c r="T836" s="494">
        <v>32</v>
      </c>
      <c r="U836" s="493">
        <v>0</v>
      </c>
      <c r="V836" s="502">
        <v>5</v>
      </c>
      <c r="W836" s="453">
        <f t="shared" si="229"/>
        <v>1080</v>
      </c>
      <c r="X836" s="748">
        <f t="shared" si="230"/>
        <v>1.0540698809291431</v>
      </c>
      <c r="Y836" s="451" t="str">
        <f>IFERROR(VLOOKUP(E:E,'Item Data Support Sheet'!A:J,6,0),0)</f>
        <v>FO001</v>
      </c>
      <c r="Z836" s="428">
        <f>IFERROR(VLOOKUP(E:E,'Item Data Support Sheet'!A:O,4,0),0)</f>
        <v>0</v>
      </c>
      <c r="AA836" s="428">
        <f t="shared" si="231"/>
        <v>0</v>
      </c>
      <c r="AB836" s="429" t="str">
        <f t="shared" si="232"/>
        <v xml:space="preserve"> </v>
      </c>
      <c r="AC836" s="424">
        <f t="shared" si="233"/>
        <v>5.8910162002945507E-3</v>
      </c>
      <c r="AD836" s="371">
        <f t="shared" si="234"/>
        <v>0</v>
      </c>
      <c r="AE836" s="748">
        <f t="shared" si="235"/>
        <v>0.99410898379970547</v>
      </c>
      <c r="AF836" s="417">
        <f t="shared" si="236"/>
        <v>0</v>
      </c>
      <c r="AG836" s="416">
        <f t="shared" si="237"/>
        <v>8</v>
      </c>
      <c r="AH836" s="372">
        <f t="shared" si="238"/>
        <v>1</v>
      </c>
      <c r="AI836" s="373">
        <f t="shared" si="239"/>
        <v>675</v>
      </c>
      <c r="AJ836" s="418">
        <f>VLOOKUP(D836,'Standard Cycle time'!C:D,2,0)</f>
        <v>32.4</v>
      </c>
      <c r="AK836" s="418">
        <f t="shared" si="240"/>
        <v>26.666666666666668</v>
      </c>
      <c r="AL836" s="374">
        <f t="shared" si="241"/>
        <v>1.2149999999999999</v>
      </c>
      <c r="AM836" s="372">
        <f t="shared" si="242"/>
        <v>1.207842415316642</v>
      </c>
      <c r="AN836" s="799">
        <v>1.207842415316642</v>
      </c>
      <c r="AO836" s="448"/>
      <c r="AP836" s="440">
        <v>0</v>
      </c>
      <c r="AQ836" s="440">
        <v>0</v>
      </c>
      <c r="AR836" s="440">
        <v>0</v>
      </c>
      <c r="AS836" s="440">
        <v>0</v>
      </c>
      <c r="AT836" s="440">
        <v>0</v>
      </c>
      <c r="AU836" s="440">
        <v>0</v>
      </c>
      <c r="AV836" s="440">
        <v>0</v>
      </c>
      <c r="AW836" s="440">
        <v>0</v>
      </c>
      <c r="AX836" s="440">
        <v>0</v>
      </c>
      <c r="AY836" s="440">
        <v>0</v>
      </c>
      <c r="AZ836" s="440">
        <v>0</v>
      </c>
      <c r="BA836" s="440">
        <v>0</v>
      </c>
      <c r="BB836" s="440">
        <v>0</v>
      </c>
      <c r="BC836" s="440">
        <v>0</v>
      </c>
      <c r="BD836" s="440">
        <v>0</v>
      </c>
      <c r="BE836" s="440">
        <v>0</v>
      </c>
      <c r="BF836" s="440">
        <v>0</v>
      </c>
      <c r="BG836" s="440">
        <v>0</v>
      </c>
      <c r="BH836" s="440">
        <v>0</v>
      </c>
      <c r="BI836" s="440">
        <v>0</v>
      </c>
      <c r="BJ836" s="440">
        <v>0</v>
      </c>
      <c r="BK836" s="440">
        <v>0</v>
      </c>
      <c r="BL836" s="440">
        <v>0</v>
      </c>
      <c r="BM836" s="440">
        <v>0</v>
      </c>
      <c r="BN836" s="440">
        <v>0</v>
      </c>
      <c r="BO836" s="440">
        <v>0</v>
      </c>
      <c r="BP836" s="440">
        <v>0</v>
      </c>
      <c r="BQ836" s="440">
        <v>0</v>
      </c>
      <c r="BR836" s="415">
        <v>0</v>
      </c>
      <c r="BS836" s="415">
        <v>0</v>
      </c>
      <c r="BT836" s="935"/>
      <c r="BU836" s="935"/>
      <c r="BV836" s="935"/>
      <c r="BW836" s="935"/>
      <c r="BX836" s="935"/>
      <c r="BY836" s="935"/>
      <c r="BZ836" s="935"/>
      <c r="CA836" s="935"/>
      <c r="CB836" s="935"/>
      <c r="CC836" s="935"/>
      <c r="CD836" s="935"/>
      <c r="CE836" s="935"/>
      <c r="CF836" s="935"/>
      <c r="CG836" s="935"/>
      <c r="CH836" s="935"/>
      <c r="CI836" s="935"/>
      <c r="CJ836" s="935"/>
      <c r="CK836" s="935"/>
      <c r="CL836" s="935"/>
      <c r="CM836" s="935"/>
      <c r="CN836" s="935"/>
      <c r="CO836" s="935"/>
      <c r="CP836" s="935"/>
      <c r="CQ836" s="935"/>
      <c r="CR836" s="935"/>
      <c r="CS836" s="935"/>
      <c r="CT836" s="935"/>
      <c r="CU836" s="935"/>
      <c r="CV836" s="935"/>
    </row>
    <row r="837" spans="1:100" s="441" customFormat="1">
      <c r="A837" s="375">
        <f t="shared" ref="A837:A900" si="244">MONTH(B837)</f>
        <v>10</v>
      </c>
      <c r="B837" s="862">
        <v>44477</v>
      </c>
      <c r="C837" s="493" t="s">
        <v>1980</v>
      </c>
      <c r="D837" s="376" t="str">
        <f>IFERROR(VLOOKUP(E:E,'Item Data Support Sheet'!A:O,7,0),"")</f>
        <v>BOTTLE MOLDED</v>
      </c>
      <c r="E837" s="447" t="s">
        <v>66</v>
      </c>
      <c r="F837" s="500" t="s">
        <v>1680</v>
      </c>
      <c r="G837" s="497" t="s">
        <v>1888</v>
      </c>
      <c r="H837" s="602" t="str">
        <f>IFERROR(VLOOKUP(E:E,'Item Data Support Sheet'!A:O,2,0),"")</f>
        <v>KPP 200 ML BOTTLE MOLDED</v>
      </c>
      <c r="I837" s="501" t="s">
        <v>3575</v>
      </c>
      <c r="J837" s="501" t="s">
        <v>2809</v>
      </c>
      <c r="K837" s="499">
        <v>8</v>
      </c>
      <c r="L837" s="499">
        <v>2574</v>
      </c>
      <c r="M837" s="366">
        <v>321.75</v>
      </c>
      <c r="N837" s="367">
        <f t="shared" si="243"/>
        <v>3194</v>
      </c>
      <c r="O837" s="61">
        <v>3132</v>
      </c>
      <c r="P837" s="368">
        <v>0</v>
      </c>
      <c r="Q837" s="368">
        <v>24</v>
      </c>
      <c r="R837" s="494">
        <v>0</v>
      </c>
      <c r="S837" s="493">
        <v>0</v>
      </c>
      <c r="T837" s="494">
        <v>30</v>
      </c>
      <c r="U837" s="493">
        <v>8</v>
      </c>
      <c r="V837" s="502">
        <v>1</v>
      </c>
      <c r="W837" s="453">
        <f t="shared" ref="W837:W900" si="245">IFERROR(O837/V837,0)</f>
        <v>3132</v>
      </c>
      <c r="X837" s="748">
        <f t="shared" ref="X837:X900" si="246">O837/L837</f>
        <v>1.2167832167832169</v>
      </c>
      <c r="Y837" s="451" t="str">
        <f>IFERROR(VLOOKUP(E:E,'Item Data Support Sheet'!A:J,6,0),0)</f>
        <v>HMC</v>
      </c>
      <c r="Z837" s="428">
        <f>IFERROR(VLOOKUP(E:E,'Item Data Support Sheet'!A:O,4,0),0)</f>
        <v>28.1</v>
      </c>
      <c r="AA837" s="428">
        <f t="shared" ref="AA837:AA900" si="247">IFERROR(((N837)*(Z837/1000))+P837,0)</f>
        <v>89.751400000000004</v>
      </c>
      <c r="AB837" s="429">
        <f t="shared" ref="AB837:AB900" si="248">IFERROR((O837*(Z837/1000)/(AA837))," ")</f>
        <v>0.98058860363180966</v>
      </c>
      <c r="AC837" s="424">
        <f t="shared" ref="AC837:AC900" si="249">IFERROR((T837)/((T837)+O837),0)</f>
        <v>9.4876660341555973E-3</v>
      </c>
      <c r="AD837" s="371">
        <f t="shared" ref="AD837:AD900" si="250">IFERROR(Q837/(Q837+N837),0)</f>
        <v>7.4580484773151025E-3</v>
      </c>
      <c r="AE837" s="748">
        <f t="shared" ref="AE837:AE900" si="251">(N837-T837)/N837</f>
        <v>0.99060738885410149</v>
      </c>
      <c r="AF837" s="417">
        <f t="shared" ref="AF837:AF900" si="252">BR837</f>
        <v>0</v>
      </c>
      <c r="AG837" s="416">
        <f t="shared" ref="AG837:AG900" si="253">K837-AF837</f>
        <v>8</v>
      </c>
      <c r="AH837" s="372">
        <f t="shared" ref="AH837:AH900" si="254">IFERROR(AG837/K837," ")</f>
        <v>1</v>
      </c>
      <c r="AI837" s="373">
        <f t="shared" ref="AI837:AI900" si="255">IFERROR(O837/K837,0)</f>
        <v>391.5</v>
      </c>
      <c r="AJ837" s="418">
        <f>VLOOKUP(D837,'Standard Cycle time'!C:D,2,0)</f>
        <v>9</v>
      </c>
      <c r="AK837" s="418">
        <f t="shared" ref="AK837:AK900" si="256">AG837*V837*3600/O837</f>
        <v>9.1954022988505741</v>
      </c>
      <c r="AL837" s="374">
        <f t="shared" ref="AL837:AL900" si="257">AJ837/AK837</f>
        <v>0.97875000000000001</v>
      </c>
      <c r="AM837" s="372">
        <f t="shared" ref="AM837:AM900" si="258">AE837*AL837*AH837</f>
        <v>0.96955698184095185</v>
      </c>
      <c r="AN837" s="799">
        <v>0.96955698184095185</v>
      </c>
      <c r="AO837" s="448"/>
      <c r="AP837" s="440">
        <v>0</v>
      </c>
      <c r="AQ837" s="440">
        <v>0</v>
      </c>
      <c r="AR837" s="440">
        <v>0</v>
      </c>
      <c r="AS837" s="440">
        <v>0</v>
      </c>
      <c r="AT837" s="440">
        <v>0</v>
      </c>
      <c r="AU837" s="440">
        <v>0</v>
      </c>
      <c r="AV837" s="440">
        <v>0</v>
      </c>
      <c r="AW837" s="440">
        <v>0</v>
      </c>
      <c r="AX837" s="440">
        <v>0</v>
      </c>
      <c r="AY837" s="440">
        <v>0</v>
      </c>
      <c r="AZ837" s="440">
        <v>0</v>
      </c>
      <c r="BA837" s="440">
        <v>0</v>
      </c>
      <c r="BB837" s="440">
        <v>0</v>
      </c>
      <c r="BC837" s="440">
        <v>0</v>
      </c>
      <c r="BD837" s="440">
        <v>0</v>
      </c>
      <c r="BE837" s="440">
        <v>0</v>
      </c>
      <c r="BF837" s="440">
        <v>0</v>
      </c>
      <c r="BG837" s="440">
        <v>0</v>
      </c>
      <c r="BH837" s="440">
        <v>0</v>
      </c>
      <c r="BI837" s="440">
        <v>0</v>
      </c>
      <c r="BJ837" s="440">
        <v>0</v>
      </c>
      <c r="BK837" s="440">
        <v>0</v>
      </c>
      <c r="BL837" s="440">
        <v>0</v>
      </c>
      <c r="BM837" s="440">
        <v>0</v>
      </c>
      <c r="BN837" s="440">
        <v>0</v>
      </c>
      <c r="BO837" s="440">
        <v>0</v>
      </c>
      <c r="BP837" s="440">
        <v>0</v>
      </c>
      <c r="BQ837" s="440">
        <v>0</v>
      </c>
      <c r="BR837" s="415">
        <v>0</v>
      </c>
      <c r="BS837" s="415">
        <v>0</v>
      </c>
      <c r="BT837" s="935"/>
      <c r="BU837" s="935"/>
      <c r="BV837" s="935"/>
      <c r="BW837" s="935"/>
      <c r="BX837" s="935"/>
      <c r="BY837" s="935"/>
      <c r="BZ837" s="935"/>
      <c r="CA837" s="935"/>
      <c r="CB837" s="935"/>
      <c r="CC837" s="935"/>
      <c r="CD837" s="935"/>
      <c r="CE837" s="935"/>
      <c r="CF837" s="935"/>
      <c r="CG837" s="935"/>
      <c r="CH837" s="935"/>
      <c r="CI837" s="935"/>
      <c r="CJ837" s="935"/>
      <c r="CK837" s="935"/>
      <c r="CL837" s="935"/>
      <c r="CM837" s="935"/>
      <c r="CN837" s="935"/>
      <c r="CO837" s="935"/>
      <c r="CP837" s="935"/>
      <c r="CQ837" s="935"/>
      <c r="CR837" s="935"/>
      <c r="CS837" s="935"/>
      <c r="CT837" s="935"/>
      <c r="CU837" s="935"/>
      <c r="CV837" s="935"/>
    </row>
    <row r="838" spans="1:100" s="441" customFormat="1">
      <c r="A838" s="375">
        <f t="shared" si="244"/>
        <v>10</v>
      </c>
      <c r="B838" s="862">
        <v>44477</v>
      </c>
      <c r="C838" s="493" t="s">
        <v>1980</v>
      </c>
      <c r="D838" s="376" t="str">
        <f>IFERROR(VLOOKUP(E:E,'Item Data Support Sheet'!A:O,7,0),"")</f>
        <v>NIPPLE MOLDED</v>
      </c>
      <c r="E838" s="447" t="s">
        <v>2484</v>
      </c>
      <c r="F838" s="500" t="s">
        <v>1678</v>
      </c>
      <c r="G838" s="497" t="s">
        <v>1691</v>
      </c>
      <c r="H838" s="602" t="str">
        <f>IFERROR(VLOOKUP(E:E,'Item Data Support Sheet'!A:O,2,0),"")</f>
        <v>NIPPLE S TYPE LL SIZE INJECTION</v>
      </c>
      <c r="I838" s="501" t="s">
        <v>3576</v>
      </c>
      <c r="J838" s="501" t="s">
        <v>2809</v>
      </c>
      <c r="K838" s="499">
        <v>8</v>
      </c>
      <c r="L838" s="499">
        <v>4815</v>
      </c>
      <c r="M838" s="366">
        <v>601.875</v>
      </c>
      <c r="N838" s="367">
        <f t="shared" si="243"/>
        <v>1898</v>
      </c>
      <c r="O838" s="61">
        <v>1849</v>
      </c>
      <c r="P838" s="368">
        <v>0</v>
      </c>
      <c r="Q838" s="368">
        <v>20</v>
      </c>
      <c r="R838" s="494">
        <v>0</v>
      </c>
      <c r="S838" s="493">
        <v>0</v>
      </c>
      <c r="T838" s="494">
        <v>21</v>
      </c>
      <c r="U838" s="493">
        <v>8</v>
      </c>
      <c r="V838" s="502">
        <v>1</v>
      </c>
      <c r="W838" s="453">
        <f t="shared" si="245"/>
        <v>1849</v>
      </c>
      <c r="X838" s="748">
        <f t="shared" si="246"/>
        <v>0.38400830737279334</v>
      </c>
      <c r="Y838" s="451" t="str">
        <f>IFERROR(VLOOKUP(E:E,'Item Data Support Sheet'!A:J,6,0),0)</f>
        <v>FO148</v>
      </c>
      <c r="Z838" s="428">
        <f>IFERROR(VLOOKUP(E:E,'Item Data Support Sheet'!A:O,4,0),0)</f>
        <v>6.8</v>
      </c>
      <c r="AA838" s="428">
        <f t="shared" si="247"/>
        <v>12.9064</v>
      </c>
      <c r="AB838" s="429">
        <f t="shared" si="248"/>
        <v>0.97418335089567965</v>
      </c>
      <c r="AC838" s="424">
        <f t="shared" si="249"/>
        <v>1.1229946524064172E-2</v>
      </c>
      <c r="AD838" s="371">
        <f t="shared" si="250"/>
        <v>1.0427528675703858E-2</v>
      </c>
      <c r="AE838" s="748">
        <f t="shared" si="251"/>
        <v>0.98893572181243417</v>
      </c>
      <c r="AF838" s="417">
        <f t="shared" si="252"/>
        <v>5.25</v>
      </c>
      <c r="AG838" s="416">
        <f t="shared" si="253"/>
        <v>2.75</v>
      </c>
      <c r="AH838" s="372">
        <f t="shared" si="254"/>
        <v>0.34375</v>
      </c>
      <c r="AI838" s="373">
        <f t="shared" si="255"/>
        <v>231.125</v>
      </c>
      <c r="AJ838" s="418">
        <f>VLOOKUP(D838,'Standard Cycle time'!C:D,2,0)</f>
        <v>5.25</v>
      </c>
      <c r="AK838" s="418">
        <f t="shared" si="256"/>
        <v>5.3542455381287182</v>
      </c>
      <c r="AL838" s="374">
        <f t="shared" si="257"/>
        <v>0.98053030303030309</v>
      </c>
      <c r="AM838" s="372">
        <f t="shared" si="258"/>
        <v>0.33332799602651919</v>
      </c>
      <c r="AN838" s="799">
        <v>0.33332799602651919</v>
      </c>
      <c r="AO838" s="448" t="s">
        <v>3577</v>
      </c>
      <c r="AP838" s="440">
        <v>0</v>
      </c>
      <c r="AQ838" s="440">
        <v>240</v>
      </c>
      <c r="AR838" s="440">
        <v>0</v>
      </c>
      <c r="AS838" s="440">
        <v>0</v>
      </c>
      <c r="AT838" s="440">
        <v>0</v>
      </c>
      <c r="AU838" s="440">
        <v>0</v>
      </c>
      <c r="AV838" s="440">
        <v>0</v>
      </c>
      <c r="AW838" s="440">
        <v>30</v>
      </c>
      <c r="AX838" s="440">
        <v>0</v>
      </c>
      <c r="AY838" s="440">
        <v>0</v>
      </c>
      <c r="AZ838" s="440">
        <v>0</v>
      </c>
      <c r="BA838" s="440">
        <v>0</v>
      </c>
      <c r="BB838" s="440">
        <v>0</v>
      </c>
      <c r="BC838" s="440">
        <v>0</v>
      </c>
      <c r="BD838" s="440">
        <v>0</v>
      </c>
      <c r="BE838" s="440">
        <v>0</v>
      </c>
      <c r="BF838" s="440">
        <v>0</v>
      </c>
      <c r="BG838" s="440">
        <v>0</v>
      </c>
      <c r="BH838" s="440">
        <v>0</v>
      </c>
      <c r="BI838" s="440">
        <v>0</v>
      </c>
      <c r="BJ838" s="440">
        <v>0</v>
      </c>
      <c r="BK838" s="440">
        <v>0</v>
      </c>
      <c r="BL838" s="440">
        <v>0</v>
      </c>
      <c r="BM838" s="440">
        <v>45</v>
      </c>
      <c r="BN838" s="440">
        <v>0</v>
      </c>
      <c r="BO838" s="440">
        <v>0</v>
      </c>
      <c r="BP838" s="440">
        <v>0</v>
      </c>
      <c r="BQ838" s="440">
        <v>0</v>
      </c>
      <c r="BR838" s="415">
        <v>5.25</v>
      </c>
      <c r="BS838" s="415">
        <v>5.25</v>
      </c>
      <c r="BT838" s="935"/>
      <c r="BU838" s="935"/>
      <c r="BV838" s="935"/>
      <c r="BW838" s="935"/>
      <c r="BX838" s="935"/>
      <c r="BY838" s="935"/>
      <c r="BZ838" s="935"/>
      <c r="CA838" s="935"/>
      <c r="CB838" s="935"/>
      <c r="CC838" s="935"/>
      <c r="CD838" s="935"/>
      <c r="CE838" s="935"/>
      <c r="CF838" s="935"/>
      <c r="CG838" s="935"/>
      <c r="CH838" s="935"/>
      <c r="CI838" s="935"/>
      <c r="CJ838" s="935"/>
      <c r="CK838" s="935"/>
      <c r="CL838" s="935"/>
      <c r="CM838" s="935"/>
      <c r="CN838" s="935"/>
      <c r="CO838" s="935"/>
      <c r="CP838" s="935"/>
      <c r="CQ838" s="935"/>
      <c r="CR838" s="935"/>
      <c r="CS838" s="935"/>
      <c r="CT838" s="935"/>
      <c r="CU838" s="935"/>
      <c r="CV838" s="935"/>
    </row>
    <row r="839" spans="1:100" s="441" customFormat="1">
      <c r="A839" s="375">
        <f t="shared" si="244"/>
        <v>10</v>
      </c>
      <c r="B839" s="862">
        <v>44477</v>
      </c>
      <c r="C839" s="493" t="s">
        <v>1980</v>
      </c>
      <c r="D839" s="376" t="str">
        <f>IFERROR(VLOOKUP(E:E,'Item Data Support Sheet'!A:O,7,0),"")</f>
        <v>NIPPLE PUNCH</v>
      </c>
      <c r="E839" s="447" t="s">
        <v>2486</v>
      </c>
      <c r="F839" s="500"/>
      <c r="G839" s="497" t="s">
        <v>1692</v>
      </c>
      <c r="H839" s="602" t="str">
        <f>IFERROR(VLOOKUP(E:E,'Item Data Support Sheet'!A:O,2,0),"")</f>
        <v>NIPPLE S TYPE LL SIZE PUNCHED</v>
      </c>
      <c r="I839" s="501"/>
      <c r="J839" s="501" t="s">
        <v>2809</v>
      </c>
      <c r="K839" s="499">
        <v>8</v>
      </c>
      <c r="L839" s="499">
        <v>7000</v>
      </c>
      <c r="M839" s="366">
        <v>875</v>
      </c>
      <c r="N839" s="367">
        <f t="shared" si="243"/>
        <v>7400</v>
      </c>
      <c r="O839" s="61">
        <v>7400</v>
      </c>
      <c r="P839" s="368">
        <v>0</v>
      </c>
      <c r="Q839" s="368">
        <v>0</v>
      </c>
      <c r="R839" s="494">
        <v>0</v>
      </c>
      <c r="S839" s="493">
        <v>0</v>
      </c>
      <c r="T839" s="494">
        <v>0</v>
      </c>
      <c r="U839" s="493">
        <v>0</v>
      </c>
      <c r="V839" s="502">
        <v>1</v>
      </c>
      <c r="W839" s="453">
        <f t="shared" si="245"/>
        <v>7400</v>
      </c>
      <c r="X839" s="748">
        <f t="shared" si="246"/>
        <v>1.0571428571428572</v>
      </c>
      <c r="Y839" s="451" t="str">
        <f>IFERROR(VLOOKUP(E:E,'Item Data Support Sheet'!A:J,6,0),0)</f>
        <v>FO150</v>
      </c>
      <c r="Z839" s="428">
        <f>IFERROR(VLOOKUP(E:E,'Item Data Support Sheet'!A:O,4,0),0)</f>
        <v>0</v>
      </c>
      <c r="AA839" s="428">
        <f t="shared" si="247"/>
        <v>0</v>
      </c>
      <c r="AB839" s="429" t="str">
        <f t="shared" si="248"/>
        <v xml:space="preserve"> </v>
      </c>
      <c r="AC839" s="424">
        <f t="shared" si="249"/>
        <v>0</v>
      </c>
      <c r="AD839" s="371">
        <f t="shared" si="250"/>
        <v>0</v>
      </c>
      <c r="AE839" s="748">
        <f t="shared" si="251"/>
        <v>1</v>
      </c>
      <c r="AF839" s="417">
        <f t="shared" si="252"/>
        <v>0</v>
      </c>
      <c r="AG839" s="416">
        <f t="shared" si="253"/>
        <v>8</v>
      </c>
      <c r="AH839" s="372">
        <f t="shared" si="254"/>
        <v>1</v>
      </c>
      <c r="AI839" s="373">
        <f t="shared" si="255"/>
        <v>925</v>
      </c>
      <c r="AJ839" s="418">
        <f>VLOOKUP(D839,'Standard Cycle time'!C:D,2,0)</f>
        <v>3.5</v>
      </c>
      <c r="AK839" s="418">
        <f t="shared" si="256"/>
        <v>3.8918918918918921</v>
      </c>
      <c r="AL839" s="374">
        <f t="shared" si="257"/>
        <v>0.89930555555555547</v>
      </c>
      <c r="AM839" s="372">
        <f t="shared" si="258"/>
        <v>0.89930555555555547</v>
      </c>
      <c r="AN839" s="799">
        <v>0.89930555555555547</v>
      </c>
      <c r="AO839" s="448"/>
      <c r="AP839" s="440">
        <v>0</v>
      </c>
      <c r="AQ839" s="440">
        <v>0</v>
      </c>
      <c r="AR839" s="440">
        <v>0</v>
      </c>
      <c r="AS839" s="440">
        <v>0</v>
      </c>
      <c r="AT839" s="440">
        <v>0</v>
      </c>
      <c r="AU839" s="440">
        <v>0</v>
      </c>
      <c r="AV839" s="440">
        <v>0</v>
      </c>
      <c r="AW839" s="440">
        <v>0</v>
      </c>
      <c r="AX839" s="440">
        <v>0</v>
      </c>
      <c r="AY839" s="440">
        <v>0</v>
      </c>
      <c r="AZ839" s="440">
        <v>0</v>
      </c>
      <c r="BA839" s="440">
        <v>0</v>
      </c>
      <c r="BB839" s="440">
        <v>0</v>
      </c>
      <c r="BC839" s="440">
        <v>0</v>
      </c>
      <c r="BD839" s="440">
        <v>0</v>
      </c>
      <c r="BE839" s="440">
        <v>0</v>
      </c>
      <c r="BF839" s="440">
        <v>0</v>
      </c>
      <c r="BG839" s="440">
        <v>0</v>
      </c>
      <c r="BH839" s="440">
        <v>0</v>
      </c>
      <c r="BI839" s="440">
        <v>0</v>
      </c>
      <c r="BJ839" s="440">
        <v>0</v>
      </c>
      <c r="BK839" s="440">
        <v>0</v>
      </c>
      <c r="BL839" s="440">
        <v>0</v>
      </c>
      <c r="BM839" s="440">
        <v>0</v>
      </c>
      <c r="BN839" s="440">
        <v>0</v>
      </c>
      <c r="BO839" s="440">
        <v>0</v>
      </c>
      <c r="BP839" s="440">
        <v>0</v>
      </c>
      <c r="BQ839" s="440">
        <v>0</v>
      </c>
      <c r="BR839" s="415">
        <v>0</v>
      </c>
      <c r="BS839" s="415">
        <v>0</v>
      </c>
      <c r="BT839" s="935"/>
      <c r="BU839" s="935"/>
      <c r="BV839" s="935"/>
      <c r="BW839" s="935"/>
      <c r="BX839" s="935"/>
      <c r="BY839" s="935"/>
      <c r="BZ839" s="935"/>
      <c r="CA839" s="935"/>
      <c r="CB839" s="935"/>
      <c r="CC839" s="935"/>
      <c r="CD839" s="935"/>
      <c r="CE839" s="935"/>
      <c r="CF839" s="935"/>
      <c r="CG839" s="935"/>
      <c r="CH839" s="935"/>
      <c r="CI839" s="935"/>
      <c r="CJ839" s="935"/>
      <c r="CK839" s="935"/>
      <c r="CL839" s="935"/>
      <c r="CM839" s="935"/>
      <c r="CN839" s="935"/>
      <c r="CO839" s="935"/>
      <c r="CP839" s="935"/>
      <c r="CQ839" s="935"/>
      <c r="CR839" s="935"/>
      <c r="CS839" s="935"/>
      <c r="CT839" s="935"/>
      <c r="CU839" s="935"/>
      <c r="CV839" s="935"/>
    </row>
    <row r="840" spans="1:100" s="441" customFormat="1">
      <c r="A840" s="375">
        <f t="shared" si="244"/>
        <v>10</v>
      </c>
      <c r="B840" s="862">
        <v>44477</v>
      </c>
      <c r="C840" s="493" t="s">
        <v>1980</v>
      </c>
      <c r="D840" s="376" t="str">
        <f>IFERROR(VLOOKUP(E:E,'Item Data Support Sheet'!A:O,7,0),"")</f>
        <v>CAP MOLDED</v>
      </c>
      <c r="E840" s="447" t="s">
        <v>2106</v>
      </c>
      <c r="F840" s="500"/>
      <c r="G840" s="497" t="s">
        <v>3212</v>
      </c>
      <c r="H840" s="602" t="str">
        <f>IFERROR(VLOOKUP(E:E,'Item Data Support Sheet'!A:O,2,0),"")</f>
        <v>CAP S TYPE MOLDED RED</v>
      </c>
      <c r="I840" s="501" t="s">
        <v>3578</v>
      </c>
      <c r="J840" s="501" t="s">
        <v>2809</v>
      </c>
      <c r="K840" s="499">
        <v>1</v>
      </c>
      <c r="L840" s="499">
        <v>487</v>
      </c>
      <c r="M840" s="366">
        <v>487</v>
      </c>
      <c r="N840" s="367">
        <f t="shared" si="243"/>
        <v>445</v>
      </c>
      <c r="O840" s="61">
        <v>437</v>
      </c>
      <c r="P840" s="368">
        <v>0</v>
      </c>
      <c r="Q840" s="368">
        <v>0</v>
      </c>
      <c r="R840" s="494">
        <v>0</v>
      </c>
      <c r="S840" s="493">
        <v>0</v>
      </c>
      <c r="T840" s="494">
        <v>0</v>
      </c>
      <c r="U840" s="493">
        <v>8</v>
      </c>
      <c r="V840" s="502">
        <v>1</v>
      </c>
      <c r="W840" s="453">
        <f t="shared" si="245"/>
        <v>437</v>
      </c>
      <c r="X840" s="748">
        <f t="shared" si="246"/>
        <v>0.89733059548254623</v>
      </c>
      <c r="Y840" s="451" t="str">
        <f>IFERROR(VLOOKUP(E:E,'Item Data Support Sheet'!A:J,6,0),0)</f>
        <v>FO153</v>
      </c>
      <c r="Z840" s="428">
        <f>IFERROR(VLOOKUP(E:E,'Item Data Support Sheet'!A:O,4,0),0)</f>
        <v>7.3</v>
      </c>
      <c r="AA840" s="428">
        <f t="shared" si="247"/>
        <v>3.2484999999999999</v>
      </c>
      <c r="AB840" s="429">
        <f t="shared" si="248"/>
        <v>0.98202247191011238</v>
      </c>
      <c r="AC840" s="424">
        <f t="shared" si="249"/>
        <v>0</v>
      </c>
      <c r="AD840" s="371">
        <f t="shared" si="250"/>
        <v>0</v>
      </c>
      <c r="AE840" s="748">
        <f t="shared" si="251"/>
        <v>1</v>
      </c>
      <c r="AF840" s="417">
        <f t="shared" si="252"/>
        <v>0.25</v>
      </c>
      <c r="AG840" s="416">
        <f t="shared" si="253"/>
        <v>0.75</v>
      </c>
      <c r="AH840" s="372">
        <f t="shared" si="254"/>
        <v>0.75</v>
      </c>
      <c r="AI840" s="373">
        <f t="shared" si="255"/>
        <v>437</v>
      </c>
      <c r="AJ840" s="418">
        <f>VLOOKUP(D840,'Standard Cycle time'!C:D,2,0)</f>
        <v>6</v>
      </c>
      <c r="AK840" s="418">
        <f t="shared" si="256"/>
        <v>6.1784897025171626</v>
      </c>
      <c r="AL840" s="374">
        <f t="shared" si="257"/>
        <v>0.97111111111111115</v>
      </c>
      <c r="AM840" s="372">
        <f t="shared" si="258"/>
        <v>0.72833333333333339</v>
      </c>
      <c r="AN840" s="799">
        <v>0.72833333333333339</v>
      </c>
      <c r="AO840" s="448"/>
      <c r="AP840" s="440">
        <v>0</v>
      </c>
      <c r="AQ840" s="440">
        <v>0</v>
      </c>
      <c r="AR840" s="440">
        <v>0</v>
      </c>
      <c r="AS840" s="440">
        <v>0</v>
      </c>
      <c r="AT840" s="440">
        <v>0</v>
      </c>
      <c r="AU840" s="440">
        <v>0</v>
      </c>
      <c r="AV840" s="440">
        <v>0</v>
      </c>
      <c r="AW840" s="440">
        <v>0</v>
      </c>
      <c r="AX840" s="440">
        <v>0</v>
      </c>
      <c r="AY840" s="440">
        <v>0</v>
      </c>
      <c r="AZ840" s="440">
        <v>0</v>
      </c>
      <c r="BA840" s="440">
        <v>0</v>
      </c>
      <c r="BB840" s="440">
        <v>0</v>
      </c>
      <c r="BC840" s="440">
        <v>0</v>
      </c>
      <c r="BD840" s="440">
        <v>0</v>
      </c>
      <c r="BE840" s="440">
        <v>0</v>
      </c>
      <c r="BF840" s="440">
        <v>0</v>
      </c>
      <c r="BG840" s="440">
        <v>0</v>
      </c>
      <c r="BH840" s="440">
        <v>0</v>
      </c>
      <c r="BI840" s="440">
        <v>0</v>
      </c>
      <c r="BJ840" s="440">
        <v>0</v>
      </c>
      <c r="BK840" s="440">
        <v>0</v>
      </c>
      <c r="BL840" s="440">
        <v>0</v>
      </c>
      <c r="BM840" s="440">
        <v>15</v>
      </c>
      <c r="BN840" s="440">
        <v>0</v>
      </c>
      <c r="BO840" s="440">
        <v>0</v>
      </c>
      <c r="BP840" s="440">
        <v>0</v>
      </c>
      <c r="BQ840" s="440">
        <v>0</v>
      </c>
      <c r="BR840" s="415">
        <v>0.25</v>
      </c>
      <c r="BS840" s="415">
        <v>0.25</v>
      </c>
      <c r="BT840" s="935"/>
      <c r="BU840" s="935"/>
      <c r="BV840" s="935"/>
      <c r="BW840" s="935"/>
      <c r="BX840" s="935"/>
      <c r="BY840" s="935"/>
      <c r="BZ840" s="935"/>
      <c r="CA840" s="935"/>
      <c r="CB840" s="935"/>
      <c r="CC840" s="935"/>
      <c r="CD840" s="935"/>
      <c r="CE840" s="935"/>
      <c r="CF840" s="935"/>
      <c r="CG840" s="935"/>
      <c r="CH840" s="935"/>
      <c r="CI840" s="935"/>
      <c r="CJ840" s="935"/>
      <c r="CK840" s="935"/>
      <c r="CL840" s="935"/>
      <c r="CM840" s="935"/>
      <c r="CN840" s="935"/>
      <c r="CO840" s="935"/>
      <c r="CP840" s="935"/>
      <c r="CQ840" s="935"/>
      <c r="CR840" s="935"/>
      <c r="CS840" s="935"/>
      <c r="CT840" s="935"/>
      <c r="CU840" s="935"/>
      <c r="CV840" s="935"/>
    </row>
    <row r="841" spans="1:100" s="441" customFormat="1">
      <c r="A841" s="375">
        <f t="shared" si="244"/>
        <v>10</v>
      </c>
      <c r="B841" s="862">
        <v>44477</v>
      </c>
      <c r="C841" s="493" t="s">
        <v>1980</v>
      </c>
      <c r="D841" s="376" t="str">
        <f>IFERROR(VLOOKUP(E:E,'Item Data Support Sheet'!A:O,7,0),"")</f>
        <v>CAP MOLDED</v>
      </c>
      <c r="E841" s="447" t="s">
        <v>2106</v>
      </c>
      <c r="F841" s="500"/>
      <c r="G841" s="497" t="s">
        <v>3579</v>
      </c>
      <c r="H841" s="602" t="str">
        <f>IFERROR(VLOOKUP(E:E,'Item Data Support Sheet'!A:O,2,0),"")</f>
        <v>CAP S TYPE MOLDED RED</v>
      </c>
      <c r="I841" s="501" t="s">
        <v>3580</v>
      </c>
      <c r="J841" s="501" t="s">
        <v>2809</v>
      </c>
      <c r="K841" s="499">
        <v>7</v>
      </c>
      <c r="L841" s="499">
        <v>3650</v>
      </c>
      <c r="M841" s="366">
        <v>521.42857142857144</v>
      </c>
      <c r="N841" s="367">
        <f t="shared" si="243"/>
        <v>3650</v>
      </c>
      <c r="O841" s="61">
        <v>3650</v>
      </c>
      <c r="P841" s="368">
        <v>0</v>
      </c>
      <c r="Q841" s="368">
        <v>0</v>
      </c>
      <c r="R841" s="494">
        <v>0</v>
      </c>
      <c r="S841" s="493">
        <v>0</v>
      </c>
      <c r="T841" s="494">
        <v>0</v>
      </c>
      <c r="U841" s="493">
        <v>0</v>
      </c>
      <c r="V841" s="502">
        <v>1</v>
      </c>
      <c r="W841" s="453">
        <f t="shared" si="245"/>
        <v>3650</v>
      </c>
      <c r="X841" s="748">
        <f t="shared" si="246"/>
        <v>1</v>
      </c>
      <c r="Y841" s="451" t="str">
        <f>IFERROR(VLOOKUP(E:E,'Item Data Support Sheet'!A:J,6,0),0)</f>
        <v>FO153</v>
      </c>
      <c r="Z841" s="428">
        <f>IFERROR(VLOOKUP(E:E,'Item Data Support Sheet'!A:O,4,0),0)</f>
        <v>7.3</v>
      </c>
      <c r="AA841" s="428">
        <f t="shared" si="247"/>
        <v>26.645</v>
      </c>
      <c r="AB841" s="429">
        <f t="shared" si="248"/>
        <v>1</v>
      </c>
      <c r="AC841" s="424">
        <f t="shared" si="249"/>
        <v>0</v>
      </c>
      <c r="AD841" s="371">
        <f t="shared" si="250"/>
        <v>0</v>
      </c>
      <c r="AE841" s="748">
        <f t="shared" si="251"/>
        <v>1</v>
      </c>
      <c r="AF841" s="417">
        <f t="shared" si="252"/>
        <v>0.83333333333333337</v>
      </c>
      <c r="AG841" s="416">
        <f t="shared" si="253"/>
        <v>6.166666666666667</v>
      </c>
      <c r="AH841" s="372">
        <f t="shared" si="254"/>
        <v>0.88095238095238104</v>
      </c>
      <c r="AI841" s="373">
        <f t="shared" si="255"/>
        <v>521.42857142857144</v>
      </c>
      <c r="AJ841" s="418">
        <f>VLOOKUP(D841,'Standard Cycle time'!C:D,2,0)</f>
        <v>6</v>
      </c>
      <c r="AK841" s="418">
        <f t="shared" si="256"/>
        <v>6.0821917808219181</v>
      </c>
      <c r="AL841" s="374">
        <f t="shared" si="257"/>
        <v>0.9864864864864864</v>
      </c>
      <c r="AM841" s="372">
        <f t="shared" si="258"/>
        <v>0.86904761904761907</v>
      </c>
      <c r="AN841" s="799">
        <v>0.86904761904761907</v>
      </c>
      <c r="AO841" s="448"/>
      <c r="AP841" s="440">
        <v>0</v>
      </c>
      <c r="AQ841" s="440">
        <v>0</v>
      </c>
      <c r="AR841" s="440">
        <v>0</v>
      </c>
      <c r="AS841" s="440">
        <v>0</v>
      </c>
      <c r="AT841" s="440">
        <v>0</v>
      </c>
      <c r="AU841" s="440">
        <v>0</v>
      </c>
      <c r="AV841" s="440">
        <v>30</v>
      </c>
      <c r="AW841" s="440">
        <v>0</v>
      </c>
      <c r="AX841" s="440">
        <v>0</v>
      </c>
      <c r="AY841" s="440">
        <v>0</v>
      </c>
      <c r="AZ841" s="440">
        <v>20</v>
      </c>
      <c r="BA841" s="440">
        <v>0</v>
      </c>
      <c r="BB841" s="440">
        <v>0</v>
      </c>
      <c r="BC841" s="440">
        <v>0</v>
      </c>
      <c r="BD841" s="440">
        <v>0</v>
      </c>
      <c r="BE841" s="440">
        <v>0</v>
      </c>
      <c r="BF841" s="440">
        <v>0</v>
      </c>
      <c r="BG841" s="440">
        <v>0</v>
      </c>
      <c r="BH841" s="440">
        <v>0</v>
      </c>
      <c r="BI841" s="440">
        <v>0</v>
      </c>
      <c r="BJ841" s="440">
        <v>0</v>
      </c>
      <c r="BK841" s="440">
        <v>0</v>
      </c>
      <c r="BL841" s="440">
        <v>0</v>
      </c>
      <c r="BM841" s="440">
        <v>0</v>
      </c>
      <c r="BN841" s="440">
        <v>0</v>
      </c>
      <c r="BO841" s="440">
        <v>0</v>
      </c>
      <c r="BP841" s="440">
        <v>0</v>
      </c>
      <c r="BQ841" s="440">
        <v>0</v>
      </c>
      <c r="BR841" s="415">
        <v>0.83333333333333337</v>
      </c>
      <c r="BS841" s="415">
        <v>0.83333333333333337</v>
      </c>
      <c r="BT841" s="935"/>
      <c r="BU841" s="935"/>
      <c r="BV841" s="935"/>
      <c r="BW841" s="935"/>
      <c r="BX841" s="935"/>
      <c r="BY841" s="935"/>
      <c r="BZ841" s="935"/>
      <c r="CA841" s="935"/>
      <c r="CB841" s="935"/>
      <c r="CC841" s="935"/>
      <c r="CD841" s="935"/>
      <c r="CE841" s="935"/>
      <c r="CF841" s="935"/>
      <c r="CG841" s="935"/>
      <c r="CH841" s="935"/>
      <c r="CI841" s="935"/>
      <c r="CJ841" s="935"/>
      <c r="CK841" s="935"/>
      <c r="CL841" s="935"/>
      <c r="CM841" s="935"/>
      <c r="CN841" s="935"/>
      <c r="CO841" s="935"/>
      <c r="CP841" s="935"/>
      <c r="CQ841" s="935"/>
      <c r="CR841" s="935"/>
      <c r="CS841" s="935"/>
      <c r="CT841" s="935"/>
      <c r="CU841" s="935"/>
      <c r="CV841" s="935"/>
    </row>
    <row r="842" spans="1:100" s="441" customFormat="1">
      <c r="A842" s="375">
        <f t="shared" si="244"/>
        <v>10</v>
      </c>
      <c r="B842" s="862">
        <v>44477</v>
      </c>
      <c r="C842" s="493" t="s">
        <v>1980</v>
      </c>
      <c r="D842" s="376" t="str">
        <f>IFERROR(VLOOKUP(E:E,'Item Data Support Sheet'!A:O,7,0),"")</f>
        <v>NIPPLE LASER MARKING</v>
      </c>
      <c r="E842" s="447" t="s">
        <v>2487</v>
      </c>
      <c r="F842" s="500"/>
      <c r="G842" s="497" t="s">
        <v>1812</v>
      </c>
      <c r="H842" s="602" t="str">
        <f>IFERROR(VLOOKUP(E:E,'Item Data Support Sheet'!A:O,2,0),"")</f>
        <v>NIPPLE S TYPE LL SIZE LASER MARKED</v>
      </c>
      <c r="I842" s="501" t="s">
        <v>3581</v>
      </c>
      <c r="J842" s="501" t="s">
        <v>2809</v>
      </c>
      <c r="K842" s="499">
        <v>8</v>
      </c>
      <c r="L842" s="499">
        <v>7000</v>
      </c>
      <c r="M842" s="366">
        <v>875</v>
      </c>
      <c r="N842" s="367">
        <f t="shared" si="243"/>
        <v>7400</v>
      </c>
      <c r="O842" s="61">
        <v>7400</v>
      </c>
      <c r="P842" s="368">
        <v>0</v>
      </c>
      <c r="Q842" s="368">
        <v>0</v>
      </c>
      <c r="R842" s="494">
        <v>0</v>
      </c>
      <c r="S842" s="493">
        <v>0</v>
      </c>
      <c r="T842" s="494">
        <v>0</v>
      </c>
      <c r="U842" s="493">
        <v>0</v>
      </c>
      <c r="V842" s="502">
        <v>1</v>
      </c>
      <c r="W842" s="453">
        <f t="shared" si="245"/>
        <v>7400</v>
      </c>
      <c r="X842" s="748">
        <f t="shared" si="246"/>
        <v>1.0571428571428572</v>
      </c>
      <c r="Y842" s="451" t="str">
        <f>IFERROR(VLOOKUP(E:E,'Item Data Support Sheet'!A:J,6,0),0)</f>
        <v>FO151</v>
      </c>
      <c r="Z842" s="428">
        <f>IFERROR(VLOOKUP(E:E,'Item Data Support Sheet'!A:O,4,0),0)</f>
        <v>0</v>
      </c>
      <c r="AA842" s="428">
        <f t="shared" si="247"/>
        <v>0</v>
      </c>
      <c r="AB842" s="429" t="str">
        <f t="shared" si="248"/>
        <v xml:space="preserve"> </v>
      </c>
      <c r="AC842" s="424">
        <f t="shared" si="249"/>
        <v>0</v>
      </c>
      <c r="AD842" s="371">
        <f t="shared" si="250"/>
        <v>0</v>
      </c>
      <c r="AE842" s="748">
        <f t="shared" si="251"/>
        <v>1</v>
      </c>
      <c r="AF842" s="417">
        <f t="shared" si="252"/>
        <v>0</v>
      </c>
      <c r="AG842" s="416">
        <f t="shared" si="253"/>
        <v>8</v>
      </c>
      <c r="AH842" s="372">
        <f t="shared" si="254"/>
        <v>1</v>
      </c>
      <c r="AI842" s="373">
        <f t="shared" si="255"/>
        <v>925</v>
      </c>
      <c r="AJ842" s="418">
        <f>VLOOKUP(D842,'Standard Cycle time'!C:D,2,0)</f>
        <v>3.5</v>
      </c>
      <c r="AK842" s="418">
        <f t="shared" si="256"/>
        <v>3.8918918918918921</v>
      </c>
      <c r="AL842" s="374">
        <f t="shared" si="257"/>
        <v>0.89930555555555547</v>
      </c>
      <c r="AM842" s="372">
        <f t="shared" si="258"/>
        <v>0.89930555555555547</v>
      </c>
      <c r="AN842" s="799">
        <v>0.89930555555555547</v>
      </c>
      <c r="AO842" s="448"/>
      <c r="AP842" s="440">
        <v>0</v>
      </c>
      <c r="AQ842" s="440">
        <v>0</v>
      </c>
      <c r="AR842" s="440">
        <v>0</v>
      </c>
      <c r="AS842" s="440">
        <v>0</v>
      </c>
      <c r="AT842" s="440">
        <v>0</v>
      </c>
      <c r="AU842" s="440">
        <v>0</v>
      </c>
      <c r="AV842" s="440">
        <v>0</v>
      </c>
      <c r="AW842" s="440">
        <v>0</v>
      </c>
      <c r="AX842" s="440">
        <v>0</v>
      </c>
      <c r="AY842" s="440">
        <v>0</v>
      </c>
      <c r="AZ842" s="440">
        <v>0</v>
      </c>
      <c r="BA842" s="440">
        <v>0</v>
      </c>
      <c r="BB842" s="440">
        <v>0</v>
      </c>
      <c r="BC842" s="440">
        <v>0</v>
      </c>
      <c r="BD842" s="440">
        <v>0</v>
      </c>
      <c r="BE842" s="440">
        <v>0</v>
      </c>
      <c r="BF842" s="440">
        <v>0</v>
      </c>
      <c r="BG842" s="440">
        <v>0</v>
      </c>
      <c r="BH842" s="440">
        <v>0</v>
      </c>
      <c r="BI842" s="440">
        <v>0</v>
      </c>
      <c r="BJ842" s="440">
        <v>0</v>
      </c>
      <c r="BK842" s="440">
        <v>0</v>
      </c>
      <c r="BL842" s="440">
        <v>0</v>
      </c>
      <c r="BM842" s="440">
        <v>0</v>
      </c>
      <c r="BN842" s="440">
        <v>0</v>
      </c>
      <c r="BO842" s="440">
        <v>0</v>
      </c>
      <c r="BP842" s="440">
        <v>0</v>
      </c>
      <c r="BQ842" s="440">
        <v>0</v>
      </c>
      <c r="BR842" s="415">
        <v>0</v>
      </c>
      <c r="BS842" s="415">
        <v>0</v>
      </c>
      <c r="BT842" s="935"/>
      <c r="BU842" s="935"/>
      <c r="BV842" s="935"/>
      <c r="BW842" s="935"/>
      <c r="BX842" s="935"/>
      <c r="BY842" s="935"/>
      <c r="BZ842" s="935"/>
      <c r="CA842" s="935"/>
      <c r="CB842" s="935"/>
      <c r="CC842" s="935"/>
      <c r="CD842" s="935"/>
      <c r="CE842" s="935"/>
      <c r="CF842" s="935"/>
      <c r="CG842" s="935"/>
      <c r="CH842" s="935"/>
      <c r="CI842" s="935"/>
      <c r="CJ842" s="935"/>
      <c r="CK842" s="935"/>
      <c r="CL842" s="935"/>
      <c r="CM842" s="935"/>
      <c r="CN842" s="935"/>
      <c r="CO842" s="935"/>
      <c r="CP842" s="935"/>
      <c r="CQ842" s="935"/>
      <c r="CR842" s="935"/>
      <c r="CS842" s="935"/>
      <c r="CT842" s="935"/>
      <c r="CU842" s="935"/>
      <c r="CV842" s="935"/>
    </row>
    <row r="843" spans="1:100" s="441" customFormat="1">
      <c r="A843" s="375">
        <f t="shared" si="244"/>
        <v>10</v>
      </c>
      <c r="B843" s="862">
        <v>44477</v>
      </c>
      <c r="C843" s="493" t="s">
        <v>1980</v>
      </c>
      <c r="D843" s="376" t="str">
        <f>IFERROR(VLOOKUP(E:E,'Item Data Support Sheet'!A:O,7,0),"")</f>
        <v>BOTTLE PRINTED</v>
      </c>
      <c r="E843" s="447" t="s">
        <v>69</v>
      </c>
      <c r="F843" s="500"/>
      <c r="G843" s="497"/>
      <c r="H843" s="602" t="str">
        <f>IFERROR(VLOOKUP(E:E,'Item Data Support Sheet'!A:O,2,0),"")</f>
        <v>KPP 120 ML BOTTLE PRINTED</v>
      </c>
      <c r="I843" s="501" t="s">
        <v>3582</v>
      </c>
      <c r="J843" s="501" t="s">
        <v>2813</v>
      </c>
      <c r="K843" s="499">
        <v>8</v>
      </c>
      <c r="L843" s="499">
        <v>5134</v>
      </c>
      <c r="M843" s="366">
        <v>641.75</v>
      </c>
      <c r="N843" s="367">
        <f t="shared" si="243"/>
        <v>4338</v>
      </c>
      <c r="O843" s="61">
        <v>4320</v>
      </c>
      <c r="P843" s="368">
        <v>0</v>
      </c>
      <c r="Q843" s="368">
        <v>0</v>
      </c>
      <c r="R843" s="494">
        <v>34</v>
      </c>
      <c r="S843" s="493">
        <v>0</v>
      </c>
      <c r="T843" s="494">
        <v>18</v>
      </c>
      <c r="U843" s="493">
        <v>0</v>
      </c>
      <c r="V843" s="502">
        <v>5</v>
      </c>
      <c r="W843" s="453">
        <f t="shared" si="245"/>
        <v>864</v>
      </c>
      <c r="X843" s="748">
        <f t="shared" si="246"/>
        <v>0.84144916244643553</v>
      </c>
      <c r="Y843" s="451" t="str">
        <f>IFERROR(VLOOKUP(E:E,'Item Data Support Sheet'!A:J,6,0),0)</f>
        <v>FO001</v>
      </c>
      <c r="Z843" s="428">
        <f>IFERROR(VLOOKUP(E:E,'Item Data Support Sheet'!A:O,4,0),0)</f>
        <v>0</v>
      </c>
      <c r="AA843" s="428">
        <f t="shared" si="247"/>
        <v>0</v>
      </c>
      <c r="AB843" s="429" t="str">
        <f t="shared" si="248"/>
        <v xml:space="preserve"> </v>
      </c>
      <c r="AC843" s="424">
        <f t="shared" si="249"/>
        <v>4.1493775933609959E-3</v>
      </c>
      <c r="AD843" s="371">
        <f t="shared" si="250"/>
        <v>0</v>
      </c>
      <c r="AE843" s="748">
        <f t="shared" si="251"/>
        <v>0.99585062240663902</v>
      </c>
      <c r="AF843" s="417">
        <f t="shared" si="252"/>
        <v>1.1666666666666667</v>
      </c>
      <c r="AG843" s="416">
        <f t="shared" si="253"/>
        <v>6.833333333333333</v>
      </c>
      <c r="AH843" s="372">
        <f t="shared" si="254"/>
        <v>0.85416666666666663</v>
      </c>
      <c r="AI843" s="373">
        <f t="shared" si="255"/>
        <v>540</v>
      </c>
      <c r="AJ843" s="418">
        <f>VLOOKUP(D843,'Standard Cycle time'!C:D,2,0)</f>
        <v>32.4</v>
      </c>
      <c r="AK843" s="418">
        <f t="shared" si="256"/>
        <v>28.472222222222218</v>
      </c>
      <c r="AL843" s="374">
        <f t="shared" si="257"/>
        <v>1.1379512195121952</v>
      </c>
      <c r="AM843" s="372">
        <f t="shared" si="258"/>
        <v>0.96796680497925314</v>
      </c>
      <c r="AN843" s="799">
        <v>0.96796680497925314</v>
      </c>
      <c r="AO843" s="448" t="s">
        <v>3583</v>
      </c>
      <c r="AP843" s="440"/>
      <c r="AQ843" s="440">
        <v>0</v>
      </c>
      <c r="AR843" s="440">
        <v>0</v>
      </c>
      <c r="AS843" s="440">
        <v>0</v>
      </c>
      <c r="AT843" s="440">
        <v>70</v>
      </c>
      <c r="AU843" s="440">
        <v>0</v>
      </c>
      <c r="AV843" s="440">
        <v>0</v>
      </c>
      <c r="AW843" s="440">
        <v>0</v>
      </c>
      <c r="AX843" s="440">
        <v>0</v>
      </c>
      <c r="AY843" s="440">
        <v>0</v>
      </c>
      <c r="AZ843" s="440">
        <v>0</v>
      </c>
      <c r="BA843" s="440">
        <v>0</v>
      </c>
      <c r="BB843" s="440">
        <v>0</v>
      </c>
      <c r="BC843" s="440">
        <v>0</v>
      </c>
      <c r="BD843" s="440">
        <v>0</v>
      </c>
      <c r="BE843" s="440">
        <v>0</v>
      </c>
      <c r="BF843" s="440">
        <v>0</v>
      </c>
      <c r="BG843" s="440">
        <v>0</v>
      </c>
      <c r="BH843" s="440">
        <v>0</v>
      </c>
      <c r="BI843" s="440">
        <v>0</v>
      </c>
      <c r="BJ843" s="440">
        <v>0</v>
      </c>
      <c r="BK843" s="440">
        <v>0</v>
      </c>
      <c r="BL843" s="440">
        <v>0</v>
      </c>
      <c r="BM843" s="440">
        <v>0</v>
      </c>
      <c r="BN843" s="440">
        <v>0</v>
      </c>
      <c r="BO843" s="440">
        <v>0</v>
      </c>
      <c r="BP843" s="440">
        <v>0</v>
      </c>
      <c r="BQ843" s="440">
        <v>0</v>
      </c>
      <c r="BR843" s="415">
        <v>1.1666666666666667</v>
      </c>
      <c r="BS843" s="415">
        <v>1.1666666666666667</v>
      </c>
      <c r="BT843" s="935"/>
      <c r="BU843" s="935"/>
      <c r="BV843" s="935"/>
      <c r="BW843" s="935"/>
      <c r="BX843" s="935"/>
      <c r="BY843" s="935"/>
      <c r="BZ843" s="935"/>
      <c r="CA843" s="935"/>
      <c r="CB843" s="935"/>
      <c r="CC843" s="935"/>
      <c r="CD843" s="935"/>
      <c r="CE843" s="935"/>
      <c r="CF843" s="935"/>
      <c r="CG843" s="935"/>
      <c r="CH843" s="935"/>
      <c r="CI843" s="935"/>
      <c r="CJ843" s="935"/>
      <c r="CK843" s="935"/>
      <c r="CL843" s="935"/>
      <c r="CM843" s="935"/>
      <c r="CN843" s="935"/>
      <c r="CO843" s="935"/>
      <c r="CP843" s="935"/>
      <c r="CQ843" s="935"/>
      <c r="CR843" s="935"/>
      <c r="CS843" s="935"/>
      <c r="CT843" s="935"/>
      <c r="CU843" s="935"/>
      <c r="CV843" s="935"/>
    </row>
    <row r="844" spans="1:100" s="441" customFormat="1">
      <c r="A844" s="375">
        <f t="shared" si="244"/>
        <v>10</v>
      </c>
      <c r="B844" s="862">
        <v>44477</v>
      </c>
      <c r="C844" s="493" t="s">
        <v>2000</v>
      </c>
      <c r="D844" s="376" t="str">
        <f>IFERROR(VLOOKUP(E:E,'Item Data Support Sheet'!A:O,7,0),"")</f>
        <v>NIPPLE PUNCH INSPECTED</v>
      </c>
      <c r="E844" s="447" t="s">
        <v>2488</v>
      </c>
      <c r="F844" s="500"/>
      <c r="G844" s="497"/>
      <c r="H844" s="602" t="str">
        <f>IFERROR(VLOOKUP(E:E,'Item Data Support Sheet'!A:O,2,0),"")</f>
        <v>NIPPLE S TYPE LL SIZE INSPECTED</v>
      </c>
      <c r="I844" s="501" t="s">
        <v>3581</v>
      </c>
      <c r="J844" s="501" t="s">
        <v>2812</v>
      </c>
      <c r="K844" s="499">
        <v>8</v>
      </c>
      <c r="L844" s="499">
        <v>14132</v>
      </c>
      <c r="M844" s="366">
        <v>1766.5</v>
      </c>
      <c r="N844" s="367">
        <f t="shared" si="243"/>
        <v>14400</v>
      </c>
      <c r="O844" s="61">
        <v>14364</v>
      </c>
      <c r="P844" s="368">
        <v>0</v>
      </c>
      <c r="Q844" s="368">
        <v>0</v>
      </c>
      <c r="R844" s="494">
        <v>0</v>
      </c>
      <c r="S844" s="493">
        <v>0</v>
      </c>
      <c r="T844" s="494">
        <v>36</v>
      </c>
      <c r="U844" s="493">
        <v>0</v>
      </c>
      <c r="V844" s="502">
        <v>2</v>
      </c>
      <c r="W844" s="453">
        <f t="shared" si="245"/>
        <v>7182</v>
      </c>
      <c r="X844" s="748">
        <f t="shared" si="246"/>
        <v>1.0164166430795358</v>
      </c>
      <c r="Y844" s="451" t="str">
        <f>IFERROR(VLOOKUP(E:E,'Item Data Support Sheet'!A:J,6,0),0)</f>
        <v>FO152</v>
      </c>
      <c r="Z844" s="428">
        <f>IFERROR(VLOOKUP(E:E,'Item Data Support Sheet'!A:O,4,0),0)</f>
        <v>0</v>
      </c>
      <c r="AA844" s="428">
        <f t="shared" si="247"/>
        <v>0</v>
      </c>
      <c r="AB844" s="429" t="str">
        <f t="shared" si="248"/>
        <v xml:space="preserve"> </v>
      </c>
      <c r="AC844" s="424">
        <f t="shared" si="249"/>
        <v>2.5000000000000001E-3</v>
      </c>
      <c r="AD844" s="371">
        <f t="shared" si="250"/>
        <v>0</v>
      </c>
      <c r="AE844" s="748">
        <f t="shared" si="251"/>
        <v>0.99750000000000005</v>
      </c>
      <c r="AF844" s="417">
        <f t="shared" si="252"/>
        <v>0.83333333333333337</v>
      </c>
      <c r="AG844" s="416">
        <f t="shared" si="253"/>
        <v>7.166666666666667</v>
      </c>
      <c r="AH844" s="372">
        <f t="shared" si="254"/>
        <v>0.89583333333333337</v>
      </c>
      <c r="AI844" s="373">
        <f t="shared" si="255"/>
        <v>1795.5</v>
      </c>
      <c r="AJ844" s="418">
        <f>VLOOKUP(D844,'Standard Cycle time'!C:D,2,0)</f>
        <v>4</v>
      </c>
      <c r="AK844" s="418">
        <f t="shared" si="256"/>
        <v>3.5923141186299081</v>
      </c>
      <c r="AL844" s="374">
        <f t="shared" si="257"/>
        <v>1.1134883720930233</v>
      </c>
      <c r="AM844" s="372">
        <f t="shared" si="258"/>
        <v>0.99500625000000009</v>
      </c>
      <c r="AN844" s="799">
        <v>0.99500625000000009</v>
      </c>
      <c r="AO844" s="448"/>
      <c r="AP844" s="440">
        <v>50</v>
      </c>
      <c r="AQ844" s="440">
        <v>0</v>
      </c>
      <c r="AR844" s="440">
        <v>0</v>
      </c>
      <c r="AS844" s="440">
        <v>0</v>
      </c>
      <c r="AT844" s="440">
        <v>0</v>
      </c>
      <c r="AU844" s="440">
        <v>0</v>
      </c>
      <c r="AV844" s="440">
        <v>0</v>
      </c>
      <c r="AW844" s="440">
        <v>0</v>
      </c>
      <c r="AX844" s="440">
        <v>0</v>
      </c>
      <c r="AY844" s="440">
        <v>0</v>
      </c>
      <c r="AZ844" s="440">
        <v>0</v>
      </c>
      <c r="BA844" s="440">
        <v>0</v>
      </c>
      <c r="BB844" s="440">
        <v>0</v>
      </c>
      <c r="BC844" s="440">
        <v>0</v>
      </c>
      <c r="BD844" s="440">
        <v>0</v>
      </c>
      <c r="BE844" s="440">
        <v>0</v>
      </c>
      <c r="BF844" s="440">
        <v>0</v>
      </c>
      <c r="BG844" s="440">
        <v>0</v>
      </c>
      <c r="BH844" s="440">
        <v>0</v>
      </c>
      <c r="BI844" s="440">
        <v>0</v>
      </c>
      <c r="BJ844" s="440">
        <v>0</v>
      </c>
      <c r="BK844" s="440">
        <v>0</v>
      </c>
      <c r="BL844" s="440">
        <v>0</v>
      </c>
      <c r="BM844" s="440">
        <v>0</v>
      </c>
      <c r="BN844" s="440">
        <v>0</v>
      </c>
      <c r="BO844" s="440">
        <v>0</v>
      </c>
      <c r="BP844" s="440">
        <v>0</v>
      </c>
      <c r="BQ844" s="440">
        <v>0</v>
      </c>
      <c r="BR844" s="415">
        <v>0.83333333333333337</v>
      </c>
      <c r="BS844" s="415">
        <v>0.83333333333333337</v>
      </c>
      <c r="BT844" s="935"/>
      <c r="BU844" s="935"/>
      <c r="BV844" s="935"/>
      <c r="BW844" s="935"/>
      <c r="BX844" s="935"/>
      <c r="BY844" s="935"/>
      <c r="BZ844" s="935"/>
      <c r="CA844" s="935"/>
      <c r="CB844" s="935"/>
      <c r="CC844" s="935"/>
      <c r="CD844" s="935"/>
      <c r="CE844" s="935"/>
      <c r="CF844" s="935"/>
      <c r="CG844" s="935"/>
      <c r="CH844" s="935"/>
      <c r="CI844" s="935"/>
      <c r="CJ844" s="935"/>
      <c r="CK844" s="935"/>
      <c r="CL844" s="935"/>
      <c r="CM844" s="935"/>
      <c r="CN844" s="935"/>
      <c r="CO844" s="935"/>
      <c r="CP844" s="935"/>
      <c r="CQ844" s="935"/>
      <c r="CR844" s="935"/>
      <c r="CS844" s="935"/>
      <c r="CT844" s="935"/>
      <c r="CU844" s="935"/>
      <c r="CV844" s="935"/>
    </row>
    <row r="845" spans="1:100" s="441" customFormat="1">
      <c r="A845" s="375">
        <f t="shared" si="244"/>
        <v>10</v>
      </c>
      <c r="B845" s="862">
        <v>44477</v>
      </c>
      <c r="C845" s="493" t="s">
        <v>2001</v>
      </c>
      <c r="D845" s="376" t="str">
        <f>IFERROR(VLOOKUP(E:E,'Item Data Support Sheet'!A:O,7,0),"")</f>
        <v>NIPPLE PUNCH</v>
      </c>
      <c r="E845" s="447" t="s">
        <v>2486</v>
      </c>
      <c r="F845" s="500"/>
      <c r="G845" s="497" t="s">
        <v>1692</v>
      </c>
      <c r="H845" s="602" t="str">
        <f>IFERROR(VLOOKUP(E:E,'Item Data Support Sheet'!A:O,2,0),"")</f>
        <v>NIPPLE S TYPE LL SIZE PUNCHED</v>
      </c>
      <c r="I845" s="501" t="s">
        <v>3584</v>
      </c>
      <c r="J845" s="501" t="s">
        <v>2811</v>
      </c>
      <c r="K845" s="499">
        <v>5</v>
      </c>
      <c r="L845" s="499">
        <v>4375</v>
      </c>
      <c r="M845" s="366">
        <v>875</v>
      </c>
      <c r="N845" s="367">
        <f t="shared" si="243"/>
        <v>4050</v>
      </c>
      <c r="O845" s="61">
        <v>4050</v>
      </c>
      <c r="P845" s="368">
        <v>0</v>
      </c>
      <c r="Q845" s="368">
        <v>0</v>
      </c>
      <c r="R845" s="494">
        <v>0</v>
      </c>
      <c r="S845" s="493">
        <v>0</v>
      </c>
      <c r="T845" s="494">
        <v>0</v>
      </c>
      <c r="U845" s="493">
        <v>0</v>
      </c>
      <c r="V845" s="502">
        <v>1</v>
      </c>
      <c r="W845" s="453">
        <f t="shared" si="245"/>
        <v>4050</v>
      </c>
      <c r="X845" s="748">
        <f t="shared" si="246"/>
        <v>0.92571428571428571</v>
      </c>
      <c r="Y845" s="451" t="str">
        <f>IFERROR(VLOOKUP(E:E,'Item Data Support Sheet'!A:J,6,0),0)</f>
        <v>FO150</v>
      </c>
      <c r="Z845" s="428">
        <f>IFERROR(VLOOKUP(E:E,'Item Data Support Sheet'!A:O,4,0),0)</f>
        <v>0</v>
      </c>
      <c r="AA845" s="428">
        <f t="shared" si="247"/>
        <v>0</v>
      </c>
      <c r="AB845" s="429" t="str">
        <f t="shared" si="248"/>
        <v xml:space="preserve"> </v>
      </c>
      <c r="AC845" s="424">
        <f t="shared" si="249"/>
        <v>0</v>
      </c>
      <c r="AD845" s="371">
        <f t="shared" si="250"/>
        <v>0</v>
      </c>
      <c r="AE845" s="748">
        <f t="shared" si="251"/>
        <v>1</v>
      </c>
      <c r="AF845" s="417">
        <f t="shared" si="252"/>
        <v>0.66666666666666663</v>
      </c>
      <c r="AG845" s="416">
        <f t="shared" si="253"/>
        <v>4.333333333333333</v>
      </c>
      <c r="AH845" s="372">
        <f t="shared" si="254"/>
        <v>0.86666666666666659</v>
      </c>
      <c r="AI845" s="373">
        <f t="shared" si="255"/>
        <v>810</v>
      </c>
      <c r="AJ845" s="418">
        <f>VLOOKUP(D845,'Standard Cycle time'!C:D,2,0)</f>
        <v>3.5</v>
      </c>
      <c r="AK845" s="418">
        <f t="shared" si="256"/>
        <v>3.8518518518518512</v>
      </c>
      <c r="AL845" s="374">
        <f t="shared" si="257"/>
        <v>0.90865384615384626</v>
      </c>
      <c r="AM845" s="372">
        <f t="shared" si="258"/>
        <v>0.78749999999999998</v>
      </c>
      <c r="AN845" s="799">
        <v>0.78749999999999998</v>
      </c>
      <c r="AO845" s="448"/>
      <c r="AP845" s="440">
        <v>40</v>
      </c>
      <c r="AQ845" s="440">
        <v>0</v>
      </c>
      <c r="AR845" s="440">
        <v>0</v>
      </c>
      <c r="AS845" s="440">
        <v>0</v>
      </c>
      <c r="AT845" s="440">
        <v>0</v>
      </c>
      <c r="AU845" s="440">
        <v>0</v>
      </c>
      <c r="AV845" s="440">
        <v>0</v>
      </c>
      <c r="AW845" s="440">
        <v>0</v>
      </c>
      <c r="AX845" s="440">
        <v>0</v>
      </c>
      <c r="AY845" s="440">
        <v>0</v>
      </c>
      <c r="AZ845" s="440">
        <v>0</v>
      </c>
      <c r="BA845" s="440">
        <v>0</v>
      </c>
      <c r="BB845" s="440">
        <v>0</v>
      </c>
      <c r="BC845" s="440">
        <v>0</v>
      </c>
      <c r="BD845" s="440">
        <v>0</v>
      </c>
      <c r="BE845" s="440">
        <v>0</v>
      </c>
      <c r="BF845" s="440">
        <v>0</v>
      </c>
      <c r="BG845" s="440">
        <v>0</v>
      </c>
      <c r="BH845" s="440">
        <v>0</v>
      </c>
      <c r="BI845" s="440">
        <v>0</v>
      </c>
      <c r="BJ845" s="440">
        <v>0</v>
      </c>
      <c r="BK845" s="440">
        <v>0</v>
      </c>
      <c r="BL845" s="440">
        <v>0</v>
      </c>
      <c r="BM845" s="440">
        <v>0</v>
      </c>
      <c r="BN845" s="440">
        <v>0</v>
      </c>
      <c r="BO845" s="440">
        <v>0</v>
      </c>
      <c r="BP845" s="440">
        <v>0</v>
      </c>
      <c r="BQ845" s="440">
        <v>0</v>
      </c>
      <c r="BR845" s="415">
        <v>0.66666666666666663</v>
      </c>
      <c r="BS845" s="415">
        <v>0.66666666666666663</v>
      </c>
      <c r="BT845" s="935"/>
      <c r="BU845" s="935"/>
      <c r="BV845" s="935"/>
      <c r="BW845" s="935"/>
      <c r="BX845" s="935"/>
      <c r="BY845" s="935"/>
      <c r="BZ845" s="935"/>
      <c r="CA845" s="935"/>
      <c r="CB845" s="935"/>
      <c r="CC845" s="935"/>
      <c r="CD845" s="935"/>
      <c r="CE845" s="935"/>
      <c r="CF845" s="935"/>
      <c r="CG845" s="935"/>
      <c r="CH845" s="935"/>
      <c r="CI845" s="935"/>
      <c r="CJ845" s="935"/>
      <c r="CK845" s="935"/>
      <c r="CL845" s="935"/>
      <c r="CM845" s="935"/>
      <c r="CN845" s="935"/>
      <c r="CO845" s="935"/>
      <c r="CP845" s="935"/>
      <c r="CQ845" s="935"/>
      <c r="CR845" s="935"/>
      <c r="CS845" s="935"/>
      <c r="CT845" s="935"/>
      <c r="CU845" s="935"/>
      <c r="CV845" s="935"/>
    </row>
    <row r="846" spans="1:100" s="441" customFormat="1">
      <c r="A846" s="375">
        <f t="shared" si="244"/>
        <v>10</v>
      </c>
      <c r="B846" s="862">
        <v>44477</v>
      </c>
      <c r="C846" s="493" t="s">
        <v>2001</v>
      </c>
      <c r="D846" s="376" t="str">
        <f>IFERROR(VLOOKUP(E:E,'Item Data Support Sheet'!A:O,7,0),"")</f>
        <v>NIPPLE LASER MARKING</v>
      </c>
      <c r="E846" s="447" t="s">
        <v>2487</v>
      </c>
      <c r="F846" s="500"/>
      <c r="G846" s="497" t="s">
        <v>1812</v>
      </c>
      <c r="H846" s="602" t="str">
        <f>IFERROR(VLOOKUP(E:E,'Item Data Support Sheet'!A:O,2,0),"")</f>
        <v>NIPPLE S TYPE LL SIZE LASER MARKED</v>
      </c>
      <c r="I846" s="501" t="s">
        <v>3585</v>
      </c>
      <c r="J846" s="501" t="s">
        <v>2811</v>
      </c>
      <c r="K846" s="499">
        <v>5</v>
      </c>
      <c r="L846" s="499">
        <v>4375</v>
      </c>
      <c r="M846" s="366">
        <v>875</v>
      </c>
      <c r="N846" s="367">
        <f t="shared" si="243"/>
        <v>5050</v>
      </c>
      <c r="O846" s="61">
        <v>5050</v>
      </c>
      <c r="P846" s="368">
        <v>0</v>
      </c>
      <c r="Q846" s="368">
        <v>0</v>
      </c>
      <c r="R846" s="494">
        <v>0</v>
      </c>
      <c r="S846" s="493">
        <v>0</v>
      </c>
      <c r="T846" s="494">
        <v>0</v>
      </c>
      <c r="U846" s="493">
        <v>0</v>
      </c>
      <c r="V846" s="502">
        <v>1</v>
      </c>
      <c r="W846" s="453">
        <f t="shared" si="245"/>
        <v>5050</v>
      </c>
      <c r="X846" s="748">
        <f t="shared" si="246"/>
        <v>1.1542857142857144</v>
      </c>
      <c r="Y846" s="451" t="str">
        <f>IFERROR(VLOOKUP(E:E,'Item Data Support Sheet'!A:J,6,0),0)</f>
        <v>FO151</v>
      </c>
      <c r="Z846" s="428">
        <f>IFERROR(VLOOKUP(E:E,'Item Data Support Sheet'!A:O,4,0),0)</f>
        <v>0</v>
      </c>
      <c r="AA846" s="428">
        <f t="shared" si="247"/>
        <v>0</v>
      </c>
      <c r="AB846" s="429" t="str">
        <f t="shared" si="248"/>
        <v xml:space="preserve"> </v>
      </c>
      <c r="AC846" s="424">
        <f t="shared" si="249"/>
        <v>0</v>
      </c>
      <c r="AD846" s="371">
        <f t="shared" si="250"/>
        <v>0</v>
      </c>
      <c r="AE846" s="748">
        <f t="shared" si="251"/>
        <v>1</v>
      </c>
      <c r="AF846" s="417">
        <f t="shared" si="252"/>
        <v>0.66666666666666663</v>
      </c>
      <c r="AG846" s="416">
        <f t="shared" si="253"/>
        <v>4.333333333333333</v>
      </c>
      <c r="AH846" s="372">
        <f t="shared" si="254"/>
        <v>0.86666666666666659</v>
      </c>
      <c r="AI846" s="373">
        <f t="shared" si="255"/>
        <v>1010</v>
      </c>
      <c r="AJ846" s="418">
        <f>VLOOKUP(D846,'Standard Cycle time'!C:D,2,0)</f>
        <v>3.5</v>
      </c>
      <c r="AK846" s="418">
        <f t="shared" si="256"/>
        <v>3.0891089108910887</v>
      </c>
      <c r="AL846" s="374">
        <f t="shared" si="257"/>
        <v>1.1330128205128207</v>
      </c>
      <c r="AM846" s="372">
        <f t="shared" si="258"/>
        <v>0.98194444444444451</v>
      </c>
      <c r="AN846" s="799">
        <v>0.98194444444444451</v>
      </c>
      <c r="AO846" s="448"/>
      <c r="AP846" s="440">
        <v>40</v>
      </c>
      <c r="AQ846" s="440">
        <v>0</v>
      </c>
      <c r="AR846" s="440">
        <v>0</v>
      </c>
      <c r="AS846" s="440">
        <v>0</v>
      </c>
      <c r="AT846" s="440">
        <v>0</v>
      </c>
      <c r="AU846" s="440">
        <v>0</v>
      </c>
      <c r="AV846" s="440">
        <v>0</v>
      </c>
      <c r="AW846" s="440">
        <v>0</v>
      </c>
      <c r="AX846" s="440">
        <v>0</v>
      </c>
      <c r="AY846" s="440">
        <v>0</v>
      </c>
      <c r="AZ846" s="440">
        <v>0</v>
      </c>
      <c r="BA846" s="440">
        <v>0</v>
      </c>
      <c r="BB846" s="440">
        <v>0</v>
      </c>
      <c r="BC846" s="440">
        <v>0</v>
      </c>
      <c r="BD846" s="440">
        <v>0</v>
      </c>
      <c r="BE846" s="440">
        <v>0</v>
      </c>
      <c r="BF846" s="440">
        <v>0</v>
      </c>
      <c r="BG846" s="440">
        <v>0</v>
      </c>
      <c r="BH846" s="440">
        <v>0</v>
      </c>
      <c r="BI846" s="440">
        <v>0</v>
      </c>
      <c r="BJ846" s="440">
        <v>0</v>
      </c>
      <c r="BK846" s="440">
        <v>0</v>
      </c>
      <c r="BL846" s="440">
        <v>0</v>
      </c>
      <c r="BM846" s="440">
        <v>0</v>
      </c>
      <c r="BN846" s="440">
        <v>0</v>
      </c>
      <c r="BO846" s="440">
        <v>0</v>
      </c>
      <c r="BP846" s="440">
        <v>0</v>
      </c>
      <c r="BQ846" s="440">
        <v>0</v>
      </c>
      <c r="BR846" s="415">
        <v>0.66666666666666663</v>
      </c>
      <c r="BS846" s="415">
        <v>0.66666666666666663</v>
      </c>
      <c r="BT846" s="935"/>
      <c r="BU846" s="935"/>
      <c r="BV846" s="935"/>
      <c r="BW846" s="935"/>
      <c r="BX846" s="935"/>
      <c r="BY846" s="935"/>
      <c r="BZ846" s="935"/>
      <c r="CA846" s="935"/>
      <c r="CB846" s="935"/>
      <c r="CC846" s="935"/>
      <c r="CD846" s="935"/>
      <c r="CE846" s="935"/>
      <c r="CF846" s="935"/>
      <c r="CG846" s="935"/>
      <c r="CH846" s="935"/>
      <c r="CI846" s="935"/>
      <c r="CJ846" s="935"/>
      <c r="CK846" s="935"/>
      <c r="CL846" s="935"/>
      <c r="CM846" s="935"/>
      <c r="CN846" s="935"/>
      <c r="CO846" s="935"/>
      <c r="CP846" s="935"/>
      <c r="CQ846" s="935"/>
      <c r="CR846" s="935"/>
      <c r="CS846" s="935"/>
      <c r="CT846" s="935"/>
      <c r="CU846" s="935"/>
      <c r="CV846" s="935"/>
    </row>
    <row r="847" spans="1:100" s="441" customFormat="1">
      <c r="A847" s="375">
        <f t="shared" si="244"/>
        <v>10</v>
      </c>
      <c r="B847" s="862">
        <v>44477</v>
      </c>
      <c r="C847" s="493" t="s">
        <v>2001</v>
      </c>
      <c r="D847" s="376" t="str">
        <f>IFERROR(VLOOKUP(E:E,'Item Data Support Sheet'!A:O,7,0),"")</f>
        <v>NIPPLE PUNCH</v>
      </c>
      <c r="E847" s="447" t="s">
        <v>82</v>
      </c>
      <c r="F847" s="500"/>
      <c r="G847" s="497" t="s">
        <v>1692</v>
      </c>
      <c r="H847" s="602" t="str">
        <f>IFERROR(VLOOKUP(E:E,'Item Data Support Sheet'!A:O,2,0),"")</f>
        <v>NIPPLE S TYPE L SIZE PUNCHED</v>
      </c>
      <c r="I847" s="501" t="s">
        <v>3586</v>
      </c>
      <c r="J847" s="501" t="s">
        <v>2811</v>
      </c>
      <c r="K847" s="499">
        <v>2</v>
      </c>
      <c r="L847" s="499">
        <v>1750</v>
      </c>
      <c r="M847" s="366">
        <v>875</v>
      </c>
      <c r="N847" s="367">
        <f t="shared" si="243"/>
        <v>2000</v>
      </c>
      <c r="O847" s="61">
        <v>2000</v>
      </c>
      <c r="P847" s="368">
        <v>0</v>
      </c>
      <c r="Q847" s="368">
        <v>0</v>
      </c>
      <c r="R847" s="494">
        <v>0</v>
      </c>
      <c r="S847" s="493">
        <v>0</v>
      </c>
      <c r="T847" s="494">
        <v>0</v>
      </c>
      <c r="U847" s="493">
        <v>0</v>
      </c>
      <c r="V847" s="502">
        <v>1</v>
      </c>
      <c r="W847" s="453">
        <f t="shared" si="245"/>
        <v>2000</v>
      </c>
      <c r="X847" s="748">
        <f t="shared" si="246"/>
        <v>1.1428571428571428</v>
      </c>
      <c r="Y847" s="451" t="str">
        <f>IFERROR(VLOOKUP(E:E,'Item Data Support Sheet'!A:J,6,0),0)</f>
        <v>FO017</v>
      </c>
      <c r="Z847" s="428">
        <f>IFERROR(VLOOKUP(E:E,'Item Data Support Sheet'!A:O,4,0),0)</f>
        <v>0</v>
      </c>
      <c r="AA847" s="428">
        <f t="shared" si="247"/>
        <v>0</v>
      </c>
      <c r="AB847" s="429" t="str">
        <f t="shared" si="248"/>
        <v xml:space="preserve"> </v>
      </c>
      <c r="AC847" s="424">
        <f t="shared" si="249"/>
        <v>0</v>
      </c>
      <c r="AD847" s="371">
        <f t="shared" si="250"/>
        <v>0</v>
      </c>
      <c r="AE847" s="748">
        <f t="shared" si="251"/>
        <v>1</v>
      </c>
      <c r="AF847" s="417">
        <f t="shared" si="252"/>
        <v>0</v>
      </c>
      <c r="AG847" s="416">
        <f t="shared" si="253"/>
        <v>2</v>
      </c>
      <c r="AH847" s="372">
        <f t="shared" si="254"/>
        <v>1</v>
      </c>
      <c r="AI847" s="373">
        <f t="shared" si="255"/>
        <v>1000</v>
      </c>
      <c r="AJ847" s="418">
        <f>VLOOKUP(D847,'Standard Cycle time'!C:D,2,0)</f>
        <v>3.5</v>
      </c>
      <c r="AK847" s="418">
        <f t="shared" si="256"/>
        <v>3.6</v>
      </c>
      <c r="AL847" s="374">
        <f t="shared" si="257"/>
        <v>0.97222222222222221</v>
      </c>
      <c r="AM847" s="372">
        <f t="shared" si="258"/>
        <v>0.97222222222222221</v>
      </c>
      <c r="AN847" s="799">
        <v>0.97222222222222221</v>
      </c>
      <c r="AO847" s="448" t="s">
        <v>3587</v>
      </c>
      <c r="AP847" s="440">
        <v>0</v>
      </c>
      <c r="AQ847" s="440">
        <v>0</v>
      </c>
      <c r="AR847" s="440">
        <v>0</v>
      </c>
      <c r="AS847" s="440">
        <v>0</v>
      </c>
      <c r="AT847" s="440">
        <v>0</v>
      </c>
      <c r="AU847" s="440">
        <v>0</v>
      </c>
      <c r="AV847" s="440">
        <v>0</v>
      </c>
      <c r="AW847" s="440">
        <v>0</v>
      </c>
      <c r="AX847" s="440">
        <v>0</v>
      </c>
      <c r="AY847" s="440">
        <v>0</v>
      </c>
      <c r="AZ847" s="440">
        <v>0</v>
      </c>
      <c r="BA847" s="440">
        <v>0</v>
      </c>
      <c r="BB847" s="440">
        <v>0</v>
      </c>
      <c r="BC847" s="440">
        <v>0</v>
      </c>
      <c r="BD847" s="440">
        <v>0</v>
      </c>
      <c r="BE847" s="440">
        <v>0</v>
      </c>
      <c r="BF847" s="440">
        <v>0</v>
      </c>
      <c r="BG847" s="440">
        <v>0</v>
      </c>
      <c r="BH847" s="440">
        <v>0</v>
      </c>
      <c r="BI847" s="440">
        <v>0</v>
      </c>
      <c r="BJ847" s="440">
        <v>0</v>
      </c>
      <c r="BK847" s="440">
        <v>0</v>
      </c>
      <c r="BL847" s="440">
        <v>0</v>
      </c>
      <c r="BM847" s="440">
        <v>0</v>
      </c>
      <c r="BN847" s="440">
        <v>0</v>
      </c>
      <c r="BO847" s="440">
        <v>0</v>
      </c>
      <c r="BP847" s="440">
        <v>0</v>
      </c>
      <c r="BQ847" s="440">
        <v>0</v>
      </c>
      <c r="BR847" s="415">
        <v>0</v>
      </c>
      <c r="BS847" s="415">
        <v>0</v>
      </c>
      <c r="BT847" s="935"/>
      <c r="BU847" s="935"/>
      <c r="BV847" s="935"/>
      <c r="BW847" s="935"/>
      <c r="BX847" s="935"/>
      <c r="BY847" s="935"/>
      <c r="BZ847" s="935"/>
      <c r="CA847" s="935"/>
      <c r="CB847" s="935"/>
      <c r="CC847" s="935"/>
      <c r="CD847" s="935"/>
      <c r="CE847" s="935"/>
      <c r="CF847" s="935"/>
      <c r="CG847" s="935"/>
      <c r="CH847" s="935"/>
      <c r="CI847" s="935"/>
      <c r="CJ847" s="935"/>
      <c r="CK847" s="935"/>
      <c r="CL847" s="935"/>
      <c r="CM847" s="935"/>
      <c r="CN847" s="935"/>
      <c r="CO847" s="935"/>
      <c r="CP847" s="935"/>
      <c r="CQ847" s="935"/>
      <c r="CR847" s="935"/>
      <c r="CS847" s="935"/>
      <c r="CT847" s="935"/>
      <c r="CU847" s="935"/>
      <c r="CV847" s="935"/>
    </row>
    <row r="848" spans="1:100" s="441" customFormat="1">
      <c r="A848" s="375">
        <f t="shared" si="244"/>
        <v>10</v>
      </c>
      <c r="B848" s="862">
        <v>44477</v>
      </c>
      <c r="C848" s="493" t="s">
        <v>2001</v>
      </c>
      <c r="D848" s="376" t="str">
        <f>IFERROR(VLOOKUP(E:E,'Item Data Support Sheet'!A:O,7,0),"")</f>
        <v>NIPPLE LASER MARKING</v>
      </c>
      <c r="E848" s="447" t="s">
        <v>1816</v>
      </c>
      <c r="F848" s="500"/>
      <c r="G848" s="497" t="s">
        <v>1812</v>
      </c>
      <c r="H848" s="602" t="str">
        <f>IFERROR(VLOOKUP(E:E,'Item Data Support Sheet'!A:O,2,0),"")</f>
        <v>NIPPLE S TYPE L SIZE PUNCHED LASER MARKED</v>
      </c>
      <c r="I848" s="501" t="s">
        <v>3588</v>
      </c>
      <c r="J848" s="501" t="s">
        <v>2811</v>
      </c>
      <c r="K848" s="499">
        <v>1</v>
      </c>
      <c r="L848" s="499">
        <v>875</v>
      </c>
      <c r="M848" s="366">
        <v>875</v>
      </c>
      <c r="N848" s="367">
        <f t="shared" si="243"/>
        <v>1000</v>
      </c>
      <c r="O848" s="61">
        <v>1000</v>
      </c>
      <c r="P848" s="368">
        <v>0</v>
      </c>
      <c r="Q848" s="368">
        <v>0</v>
      </c>
      <c r="R848" s="494">
        <v>0</v>
      </c>
      <c r="S848" s="493">
        <v>0</v>
      </c>
      <c r="T848" s="494">
        <v>0</v>
      </c>
      <c r="U848" s="493">
        <v>0</v>
      </c>
      <c r="V848" s="502">
        <v>1</v>
      </c>
      <c r="W848" s="453">
        <f t="shared" si="245"/>
        <v>1000</v>
      </c>
      <c r="X848" s="748">
        <f t="shared" si="246"/>
        <v>1.1428571428571428</v>
      </c>
      <c r="Y848" s="451" t="str">
        <f>IFERROR(VLOOKUP(E:E,'Item Data Support Sheet'!A:J,6,0),0)</f>
        <v>FO021</v>
      </c>
      <c r="Z848" s="428">
        <f>IFERROR(VLOOKUP(E:E,'Item Data Support Sheet'!A:O,4,0),0)</f>
        <v>0</v>
      </c>
      <c r="AA848" s="428">
        <f t="shared" si="247"/>
        <v>0</v>
      </c>
      <c r="AB848" s="429" t="str">
        <f t="shared" si="248"/>
        <v xml:space="preserve"> </v>
      </c>
      <c r="AC848" s="424">
        <f t="shared" si="249"/>
        <v>0</v>
      </c>
      <c r="AD848" s="371">
        <f t="shared" si="250"/>
        <v>0</v>
      </c>
      <c r="AE848" s="748">
        <f t="shared" si="251"/>
        <v>1</v>
      </c>
      <c r="AF848" s="417">
        <f t="shared" si="252"/>
        <v>0</v>
      </c>
      <c r="AG848" s="416">
        <f t="shared" si="253"/>
        <v>1</v>
      </c>
      <c r="AH848" s="372">
        <f t="shared" si="254"/>
        <v>1</v>
      </c>
      <c r="AI848" s="373">
        <f t="shared" si="255"/>
        <v>1000</v>
      </c>
      <c r="AJ848" s="418">
        <f>VLOOKUP(D848,'Standard Cycle time'!C:D,2,0)</f>
        <v>3.5</v>
      </c>
      <c r="AK848" s="418">
        <f t="shared" si="256"/>
        <v>3.6</v>
      </c>
      <c r="AL848" s="374">
        <f t="shared" si="257"/>
        <v>0.97222222222222221</v>
      </c>
      <c r="AM848" s="372">
        <f t="shared" si="258"/>
        <v>0.97222222222222221</v>
      </c>
      <c r="AN848" s="799">
        <v>0.97222222222222221</v>
      </c>
      <c r="AO848" s="448" t="s">
        <v>3589</v>
      </c>
      <c r="AP848" s="440">
        <v>0</v>
      </c>
      <c r="AQ848" s="440">
        <v>0</v>
      </c>
      <c r="AR848" s="440">
        <v>0</v>
      </c>
      <c r="AS848" s="440">
        <v>0</v>
      </c>
      <c r="AT848" s="440">
        <v>0</v>
      </c>
      <c r="AU848" s="440">
        <v>0</v>
      </c>
      <c r="AV848" s="440">
        <v>0</v>
      </c>
      <c r="AW848" s="440">
        <v>0</v>
      </c>
      <c r="AX848" s="440">
        <v>0</v>
      </c>
      <c r="AY848" s="440">
        <v>0</v>
      </c>
      <c r="AZ848" s="440">
        <v>0</v>
      </c>
      <c r="BA848" s="440">
        <v>0</v>
      </c>
      <c r="BB848" s="440">
        <v>0</v>
      </c>
      <c r="BC848" s="440">
        <v>0</v>
      </c>
      <c r="BD848" s="440">
        <v>0</v>
      </c>
      <c r="BE848" s="440">
        <v>0</v>
      </c>
      <c r="BF848" s="440">
        <v>0</v>
      </c>
      <c r="BG848" s="440">
        <v>0</v>
      </c>
      <c r="BH848" s="440">
        <v>0</v>
      </c>
      <c r="BI848" s="440">
        <v>0</v>
      </c>
      <c r="BJ848" s="440">
        <v>0</v>
      </c>
      <c r="BK848" s="440">
        <v>0</v>
      </c>
      <c r="BL848" s="440">
        <v>0</v>
      </c>
      <c r="BM848" s="440">
        <v>0</v>
      </c>
      <c r="BN848" s="440">
        <v>0</v>
      </c>
      <c r="BO848" s="440">
        <v>0</v>
      </c>
      <c r="BP848" s="440">
        <v>0</v>
      </c>
      <c r="BQ848" s="440">
        <v>0</v>
      </c>
      <c r="BR848" s="415">
        <v>0</v>
      </c>
      <c r="BS848" s="415">
        <v>0</v>
      </c>
      <c r="BT848" s="935"/>
      <c r="BU848" s="935"/>
      <c r="BV848" s="935"/>
      <c r="BW848" s="935"/>
      <c r="BX848" s="935"/>
      <c r="BY848" s="935"/>
      <c r="BZ848" s="935"/>
      <c r="CA848" s="935"/>
      <c r="CB848" s="935"/>
      <c r="CC848" s="935"/>
      <c r="CD848" s="935"/>
      <c r="CE848" s="935"/>
      <c r="CF848" s="935"/>
      <c r="CG848" s="935"/>
      <c r="CH848" s="935"/>
      <c r="CI848" s="935"/>
      <c r="CJ848" s="935"/>
      <c r="CK848" s="935"/>
      <c r="CL848" s="935"/>
      <c r="CM848" s="935"/>
      <c r="CN848" s="935"/>
      <c r="CO848" s="935"/>
      <c r="CP848" s="935"/>
      <c r="CQ848" s="935"/>
      <c r="CR848" s="935"/>
      <c r="CS848" s="935"/>
      <c r="CT848" s="935"/>
      <c r="CU848" s="935"/>
      <c r="CV848" s="935"/>
    </row>
    <row r="849" spans="1:100" s="441" customFormat="1">
      <c r="A849" s="375">
        <f t="shared" si="244"/>
        <v>10</v>
      </c>
      <c r="B849" s="862">
        <v>44477</v>
      </c>
      <c r="C849" s="493" t="s">
        <v>2001</v>
      </c>
      <c r="D849" s="376" t="str">
        <f>IFERROR(VLOOKUP(E:E,'Item Data Support Sheet'!A:O,7,0),"")</f>
        <v>CAP MOLDED</v>
      </c>
      <c r="E849" s="447" t="s">
        <v>2106</v>
      </c>
      <c r="F849" s="500"/>
      <c r="G849" s="497" t="s">
        <v>3468</v>
      </c>
      <c r="H849" s="602" t="str">
        <f>IFERROR(VLOOKUP(E:E,'Item Data Support Sheet'!A:O,2,0),"")</f>
        <v>CAP S TYPE MOLDED RED</v>
      </c>
      <c r="I849" s="501" t="s">
        <v>3590</v>
      </c>
      <c r="J849" s="501" t="s">
        <v>2811</v>
      </c>
      <c r="K849" s="499">
        <v>8</v>
      </c>
      <c r="L849" s="499">
        <v>4137</v>
      </c>
      <c r="M849" s="366">
        <v>517.125</v>
      </c>
      <c r="N849" s="367">
        <f t="shared" si="243"/>
        <v>3246</v>
      </c>
      <c r="O849" s="61">
        <v>3246</v>
      </c>
      <c r="P849" s="368">
        <v>0.6</v>
      </c>
      <c r="Q849" s="368">
        <v>0</v>
      </c>
      <c r="R849" s="494">
        <v>0</v>
      </c>
      <c r="S849" s="493">
        <v>0</v>
      </c>
      <c r="T849" s="494">
        <v>0</v>
      </c>
      <c r="U849" s="493">
        <v>0</v>
      </c>
      <c r="V849" s="502">
        <v>1</v>
      </c>
      <c r="W849" s="453">
        <f t="shared" si="245"/>
        <v>3246</v>
      </c>
      <c r="X849" s="748">
        <f t="shared" si="246"/>
        <v>0.78462654097171869</v>
      </c>
      <c r="Y849" s="451" t="str">
        <f>IFERROR(VLOOKUP(E:E,'Item Data Support Sheet'!A:J,6,0),0)</f>
        <v>FO153</v>
      </c>
      <c r="Z849" s="428">
        <f>IFERROR(VLOOKUP(E:E,'Item Data Support Sheet'!A:O,4,0),0)</f>
        <v>7.3</v>
      </c>
      <c r="AA849" s="428">
        <f t="shared" si="247"/>
        <v>24.295800000000003</v>
      </c>
      <c r="AB849" s="429">
        <f t="shared" si="248"/>
        <v>0.9753043735954362</v>
      </c>
      <c r="AC849" s="424">
        <f t="shared" si="249"/>
        <v>0</v>
      </c>
      <c r="AD849" s="371">
        <f t="shared" si="250"/>
        <v>0</v>
      </c>
      <c r="AE849" s="748">
        <f t="shared" si="251"/>
        <v>1</v>
      </c>
      <c r="AF849" s="417">
        <f t="shared" si="252"/>
        <v>2.3333333333333335</v>
      </c>
      <c r="AG849" s="416">
        <f t="shared" si="253"/>
        <v>5.6666666666666661</v>
      </c>
      <c r="AH849" s="372">
        <f t="shared" si="254"/>
        <v>0.70833333333333326</v>
      </c>
      <c r="AI849" s="373">
        <f t="shared" si="255"/>
        <v>405.75</v>
      </c>
      <c r="AJ849" s="418">
        <f>VLOOKUP(D849,'Standard Cycle time'!C:D,2,0)</f>
        <v>6</v>
      </c>
      <c r="AK849" s="418">
        <f t="shared" si="256"/>
        <v>6.2846580406654331</v>
      </c>
      <c r="AL849" s="374">
        <f t="shared" si="257"/>
        <v>0.9547058823529414</v>
      </c>
      <c r="AM849" s="372">
        <f t="shared" si="258"/>
        <v>0.67625000000000013</v>
      </c>
      <c r="AN849" s="799">
        <v>0.67625000000000013</v>
      </c>
      <c r="AO849" s="448"/>
      <c r="AP849" s="440">
        <v>0</v>
      </c>
      <c r="AQ849" s="440">
        <v>0</v>
      </c>
      <c r="AR849" s="440">
        <v>0</v>
      </c>
      <c r="AS849" s="440">
        <v>0</v>
      </c>
      <c r="AT849" s="440">
        <v>0</v>
      </c>
      <c r="AU849" s="440">
        <v>0</v>
      </c>
      <c r="AV849" s="440">
        <v>60</v>
      </c>
      <c r="AW849" s="440">
        <v>30</v>
      </c>
      <c r="AX849" s="440">
        <v>0</v>
      </c>
      <c r="AY849" s="440">
        <v>0</v>
      </c>
      <c r="AZ849" s="440">
        <v>50</v>
      </c>
      <c r="BA849" s="440">
        <v>0</v>
      </c>
      <c r="BB849" s="440">
        <v>0</v>
      </c>
      <c r="BC849" s="440">
        <v>0</v>
      </c>
      <c r="BD849" s="440">
        <v>0</v>
      </c>
      <c r="BE849" s="440">
        <v>0</v>
      </c>
      <c r="BF849" s="440">
        <v>0</v>
      </c>
      <c r="BG849" s="440">
        <v>0</v>
      </c>
      <c r="BH849" s="440">
        <v>0</v>
      </c>
      <c r="BI849" s="440">
        <v>0</v>
      </c>
      <c r="BJ849" s="440">
        <v>0</v>
      </c>
      <c r="BK849" s="440">
        <v>0</v>
      </c>
      <c r="BL849" s="440">
        <v>0</v>
      </c>
      <c r="BM849" s="440">
        <v>0</v>
      </c>
      <c r="BN849" s="440">
        <v>0</v>
      </c>
      <c r="BO849" s="440">
        <v>0</v>
      </c>
      <c r="BP849" s="440">
        <v>0</v>
      </c>
      <c r="BQ849" s="440">
        <v>0</v>
      </c>
      <c r="BR849" s="415">
        <v>2.3333333333333335</v>
      </c>
      <c r="BS849" s="415">
        <v>2.3333333333333335</v>
      </c>
      <c r="BT849" s="935"/>
      <c r="BU849" s="935"/>
      <c r="BV849" s="935"/>
      <c r="BW849" s="935"/>
      <c r="BX849" s="935"/>
      <c r="BY849" s="935"/>
      <c r="BZ849" s="935"/>
      <c r="CA849" s="935"/>
      <c r="CB849" s="935"/>
      <c r="CC849" s="935"/>
      <c r="CD849" s="935"/>
      <c r="CE849" s="935"/>
      <c r="CF849" s="935"/>
      <c r="CG849" s="935"/>
      <c r="CH849" s="935"/>
      <c r="CI849" s="935"/>
      <c r="CJ849" s="935"/>
      <c r="CK849" s="935"/>
      <c r="CL849" s="935"/>
      <c r="CM849" s="935"/>
      <c r="CN849" s="935"/>
      <c r="CO849" s="935"/>
      <c r="CP849" s="935"/>
      <c r="CQ849" s="935"/>
      <c r="CR849" s="935"/>
      <c r="CS849" s="935"/>
      <c r="CT849" s="935"/>
      <c r="CU849" s="935"/>
      <c r="CV849" s="935"/>
    </row>
    <row r="850" spans="1:100" s="441" customFormat="1">
      <c r="A850" s="375">
        <f t="shared" si="244"/>
        <v>10</v>
      </c>
      <c r="B850" s="862">
        <v>44477</v>
      </c>
      <c r="C850" s="493" t="s">
        <v>2001</v>
      </c>
      <c r="D850" s="376" t="str">
        <f>IFERROR(VLOOKUP(E:E,'Item Data Support Sheet'!A:O,7,0),"")</f>
        <v>NIPPLE MOLDED</v>
      </c>
      <c r="E850" s="447" t="s">
        <v>74</v>
      </c>
      <c r="F850" s="500" t="s">
        <v>1678</v>
      </c>
      <c r="G850" s="497" t="s">
        <v>1691</v>
      </c>
      <c r="H850" s="602" t="str">
        <f>IFERROR(VLOOKUP(E:E,'Item Data Support Sheet'!A:O,2,0),"")</f>
        <v>NIPPLE S TYPE L SIZE INJECTION</v>
      </c>
      <c r="I850" s="501" t="s">
        <v>3591</v>
      </c>
      <c r="J850" s="501" t="s">
        <v>2811</v>
      </c>
      <c r="K850" s="499">
        <v>8</v>
      </c>
      <c r="L850" s="499">
        <v>4815</v>
      </c>
      <c r="M850" s="366">
        <v>601.875</v>
      </c>
      <c r="N850" s="367">
        <f t="shared" si="243"/>
        <v>5370</v>
      </c>
      <c r="O850" s="61">
        <v>5200</v>
      </c>
      <c r="P850" s="368">
        <v>0</v>
      </c>
      <c r="Q850" s="368">
        <v>91</v>
      </c>
      <c r="R850" s="494">
        <v>0</v>
      </c>
      <c r="S850" s="493">
        <v>0</v>
      </c>
      <c r="T850" s="494">
        <v>79</v>
      </c>
      <c r="U850" s="493">
        <v>0</v>
      </c>
      <c r="V850" s="502">
        <v>1</v>
      </c>
      <c r="W850" s="453">
        <f t="shared" si="245"/>
        <v>5200</v>
      </c>
      <c r="X850" s="748">
        <f t="shared" si="246"/>
        <v>1.0799584631360333</v>
      </c>
      <c r="Y850" s="451" t="str">
        <f>IFERROR(VLOOKUP(E:E,'Item Data Support Sheet'!A:J,6,0),0)</f>
        <v>Silicon</v>
      </c>
      <c r="Z850" s="428">
        <f>IFERROR(VLOOKUP(E:E,'Item Data Support Sheet'!A:O,4,0),0)</f>
        <v>6.8</v>
      </c>
      <c r="AA850" s="428">
        <f t="shared" si="247"/>
        <v>36.515999999999998</v>
      </c>
      <c r="AB850" s="429">
        <f t="shared" si="248"/>
        <v>0.96834264432029793</v>
      </c>
      <c r="AC850" s="424">
        <f t="shared" si="249"/>
        <v>1.4964955483993181E-2</v>
      </c>
      <c r="AD850" s="371">
        <f t="shared" si="250"/>
        <v>1.6663614722578282E-2</v>
      </c>
      <c r="AE850" s="748">
        <f t="shared" si="251"/>
        <v>0.98528864059590315</v>
      </c>
      <c r="AF850" s="417">
        <f t="shared" si="252"/>
        <v>0</v>
      </c>
      <c r="AG850" s="416">
        <f t="shared" si="253"/>
        <v>8</v>
      </c>
      <c r="AH850" s="372">
        <f t="shared" si="254"/>
        <v>1</v>
      </c>
      <c r="AI850" s="373">
        <f t="shared" si="255"/>
        <v>650</v>
      </c>
      <c r="AJ850" s="418">
        <f>VLOOKUP(D850,'Standard Cycle time'!C:D,2,0)</f>
        <v>5.25</v>
      </c>
      <c r="AK850" s="418">
        <f t="shared" si="256"/>
        <v>5.5384615384615383</v>
      </c>
      <c r="AL850" s="374">
        <f t="shared" si="257"/>
        <v>0.94791666666666674</v>
      </c>
      <c r="AM850" s="372">
        <f t="shared" si="258"/>
        <v>0.93397152389819993</v>
      </c>
      <c r="AN850" s="799">
        <v>0.93397152389819993</v>
      </c>
      <c r="AO850" s="448"/>
      <c r="AP850" s="440">
        <v>0</v>
      </c>
      <c r="AQ850" s="440">
        <v>0</v>
      </c>
      <c r="AR850" s="440">
        <v>0</v>
      </c>
      <c r="AS850" s="440">
        <v>0</v>
      </c>
      <c r="AT850" s="440">
        <v>0</v>
      </c>
      <c r="AU850" s="440">
        <v>0</v>
      </c>
      <c r="AV850" s="440">
        <v>0</v>
      </c>
      <c r="AW850" s="440">
        <v>0</v>
      </c>
      <c r="AX850" s="440">
        <v>0</v>
      </c>
      <c r="AY850" s="440">
        <v>0</v>
      </c>
      <c r="AZ850" s="440">
        <v>0</v>
      </c>
      <c r="BA850" s="440">
        <v>0</v>
      </c>
      <c r="BB850" s="440">
        <v>0</v>
      </c>
      <c r="BC850" s="440">
        <v>0</v>
      </c>
      <c r="BD850" s="440">
        <v>0</v>
      </c>
      <c r="BE850" s="440">
        <v>0</v>
      </c>
      <c r="BF850" s="440">
        <v>0</v>
      </c>
      <c r="BG850" s="440">
        <v>0</v>
      </c>
      <c r="BH850" s="440">
        <v>0</v>
      </c>
      <c r="BI850" s="440">
        <v>0</v>
      </c>
      <c r="BJ850" s="440">
        <v>0</v>
      </c>
      <c r="BK850" s="440">
        <v>0</v>
      </c>
      <c r="BL850" s="440">
        <v>0</v>
      </c>
      <c r="BM850" s="440">
        <v>0</v>
      </c>
      <c r="BN850" s="440">
        <v>0</v>
      </c>
      <c r="BO850" s="440">
        <v>0</v>
      </c>
      <c r="BP850" s="440">
        <v>0</v>
      </c>
      <c r="BQ850" s="440">
        <v>0</v>
      </c>
      <c r="BR850" s="415"/>
      <c r="BS850" s="415"/>
      <c r="BT850" s="935"/>
      <c r="BU850" s="935"/>
      <c r="BV850" s="935"/>
      <c r="BW850" s="935"/>
      <c r="BX850" s="935"/>
      <c r="BY850" s="935"/>
      <c r="BZ850" s="935"/>
      <c r="CA850" s="935"/>
      <c r="CB850" s="935"/>
      <c r="CC850" s="935"/>
      <c r="CD850" s="935"/>
      <c r="CE850" s="935"/>
      <c r="CF850" s="935"/>
      <c r="CG850" s="935"/>
      <c r="CH850" s="935"/>
      <c r="CI850" s="935"/>
      <c r="CJ850" s="935"/>
      <c r="CK850" s="935"/>
      <c r="CL850" s="935"/>
      <c r="CM850" s="935"/>
      <c r="CN850" s="935"/>
      <c r="CO850" s="935"/>
      <c r="CP850" s="935"/>
      <c r="CQ850" s="935"/>
      <c r="CR850" s="935"/>
      <c r="CS850" s="935"/>
      <c r="CT850" s="935"/>
      <c r="CU850" s="935"/>
      <c r="CV850" s="935"/>
    </row>
    <row r="851" spans="1:100" s="441" customFormat="1">
      <c r="A851" s="375">
        <f t="shared" si="244"/>
        <v>10</v>
      </c>
      <c r="B851" s="862">
        <v>44477</v>
      </c>
      <c r="C851" s="493" t="s">
        <v>2001</v>
      </c>
      <c r="D851" s="376" t="str">
        <f>IFERROR(VLOOKUP(E:E,'Item Data Support Sheet'!A:O,7,0),"")</f>
        <v>BOTTLE MOLDED</v>
      </c>
      <c r="E851" s="447" t="s">
        <v>66</v>
      </c>
      <c r="F851" s="500" t="s">
        <v>1680</v>
      </c>
      <c r="G851" s="497" t="s">
        <v>1888</v>
      </c>
      <c r="H851" s="602" t="str">
        <f>IFERROR(VLOOKUP(E:E,'Item Data Support Sheet'!A:O,2,0),"")</f>
        <v>KPP 200 ML BOTTLE MOLDED</v>
      </c>
      <c r="I851" s="501" t="s">
        <v>3592</v>
      </c>
      <c r="J851" s="501" t="s">
        <v>2811</v>
      </c>
      <c r="K851" s="499">
        <v>8</v>
      </c>
      <c r="L851" s="499">
        <v>2574</v>
      </c>
      <c r="M851" s="366">
        <v>321.75</v>
      </c>
      <c r="N851" s="367">
        <f t="shared" si="243"/>
        <v>2908</v>
      </c>
      <c r="O851" s="61">
        <v>2808</v>
      </c>
      <c r="P851" s="368">
        <v>0</v>
      </c>
      <c r="Q851" s="368">
        <v>38</v>
      </c>
      <c r="R851" s="494">
        <v>0</v>
      </c>
      <c r="S851" s="493">
        <v>0</v>
      </c>
      <c r="T851" s="494">
        <v>62</v>
      </c>
      <c r="U851" s="493">
        <v>0</v>
      </c>
      <c r="V851" s="502">
        <v>1</v>
      </c>
      <c r="W851" s="453">
        <f t="shared" si="245"/>
        <v>2808</v>
      </c>
      <c r="X851" s="748">
        <f t="shared" si="246"/>
        <v>1.0909090909090908</v>
      </c>
      <c r="Y851" s="451" t="str">
        <f>IFERROR(VLOOKUP(E:E,'Item Data Support Sheet'!A:J,6,0),0)</f>
        <v>HMC</v>
      </c>
      <c r="Z851" s="428">
        <f>IFERROR(VLOOKUP(E:E,'Item Data Support Sheet'!A:O,4,0),0)</f>
        <v>28.1</v>
      </c>
      <c r="AA851" s="428">
        <f t="shared" si="247"/>
        <v>81.714799999999997</v>
      </c>
      <c r="AB851" s="429">
        <f t="shared" si="248"/>
        <v>0.96561210453920221</v>
      </c>
      <c r="AC851" s="424">
        <f t="shared" si="249"/>
        <v>2.1602787456445994E-2</v>
      </c>
      <c r="AD851" s="371">
        <f t="shared" si="250"/>
        <v>1.2898845892735914E-2</v>
      </c>
      <c r="AE851" s="748">
        <f t="shared" si="251"/>
        <v>0.97867950481430532</v>
      </c>
      <c r="AF851" s="417">
        <f t="shared" si="252"/>
        <v>0</v>
      </c>
      <c r="AG851" s="416">
        <f t="shared" si="253"/>
        <v>8</v>
      </c>
      <c r="AH851" s="372">
        <f t="shared" si="254"/>
        <v>1</v>
      </c>
      <c r="AI851" s="373">
        <f t="shared" si="255"/>
        <v>351</v>
      </c>
      <c r="AJ851" s="418">
        <f>VLOOKUP(D851,'Standard Cycle time'!C:D,2,0)</f>
        <v>9</v>
      </c>
      <c r="AK851" s="418">
        <f t="shared" si="256"/>
        <v>10.256410256410257</v>
      </c>
      <c r="AL851" s="374">
        <f t="shared" si="257"/>
        <v>0.87749999999999995</v>
      </c>
      <c r="AM851" s="372">
        <f t="shared" si="258"/>
        <v>0.85879126547455287</v>
      </c>
      <c r="AN851" s="799">
        <v>0.85879126547455287</v>
      </c>
      <c r="AO851" s="448"/>
      <c r="AP851" s="440">
        <v>0</v>
      </c>
      <c r="AQ851" s="440">
        <v>0</v>
      </c>
      <c r="AR851" s="440">
        <v>0</v>
      </c>
      <c r="AS851" s="440">
        <v>0</v>
      </c>
      <c r="AT851" s="440">
        <v>0</v>
      </c>
      <c r="AU851" s="440">
        <v>0</v>
      </c>
      <c r="AV851" s="440">
        <v>0</v>
      </c>
      <c r="AW851" s="440">
        <v>0</v>
      </c>
      <c r="AX851" s="440">
        <v>0</v>
      </c>
      <c r="AY851" s="440">
        <v>0</v>
      </c>
      <c r="AZ851" s="440">
        <v>0</v>
      </c>
      <c r="BA851" s="440">
        <v>0</v>
      </c>
      <c r="BB851" s="440">
        <v>0</v>
      </c>
      <c r="BC851" s="440">
        <v>0</v>
      </c>
      <c r="BD851" s="440">
        <v>0</v>
      </c>
      <c r="BE851" s="440">
        <v>0</v>
      </c>
      <c r="BF851" s="440">
        <v>0</v>
      </c>
      <c r="BG851" s="440">
        <v>0</v>
      </c>
      <c r="BH851" s="440">
        <v>0</v>
      </c>
      <c r="BI851" s="440">
        <v>0</v>
      </c>
      <c r="BJ851" s="440">
        <v>0</v>
      </c>
      <c r="BK851" s="440">
        <v>0</v>
      </c>
      <c r="BL851" s="440">
        <v>0</v>
      </c>
      <c r="BM851" s="440">
        <v>0</v>
      </c>
      <c r="BN851" s="440">
        <v>0</v>
      </c>
      <c r="BO851" s="440">
        <v>0</v>
      </c>
      <c r="BP851" s="440">
        <v>0</v>
      </c>
      <c r="BQ851" s="440">
        <v>0</v>
      </c>
      <c r="BR851" s="415">
        <v>0</v>
      </c>
      <c r="BS851" s="415">
        <v>0</v>
      </c>
      <c r="BT851" s="935"/>
      <c r="BU851" s="935"/>
      <c r="BV851" s="935"/>
      <c r="BW851" s="935"/>
      <c r="BX851" s="935"/>
      <c r="BY851" s="935"/>
      <c r="BZ851" s="935"/>
      <c r="CA851" s="935"/>
      <c r="CB851" s="935"/>
      <c r="CC851" s="935"/>
      <c r="CD851" s="935"/>
      <c r="CE851" s="935"/>
      <c r="CF851" s="935"/>
      <c r="CG851" s="935"/>
      <c r="CH851" s="935"/>
      <c r="CI851" s="935"/>
      <c r="CJ851" s="935"/>
      <c r="CK851" s="935"/>
      <c r="CL851" s="935"/>
      <c r="CM851" s="935"/>
      <c r="CN851" s="935"/>
      <c r="CO851" s="935"/>
      <c r="CP851" s="935"/>
      <c r="CQ851" s="935"/>
      <c r="CR851" s="935"/>
      <c r="CS851" s="935"/>
      <c r="CT851" s="935"/>
      <c r="CU851" s="935"/>
      <c r="CV851" s="935"/>
    </row>
    <row r="852" spans="1:100" s="441" customFormat="1">
      <c r="A852" s="375">
        <f t="shared" si="244"/>
        <v>10</v>
      </c>
      <c r="B852" s="862">
        <v>44477</v>
      </c>
      <c r="C852" s="493" t="s">
        <v>2001</v>
      </c>
      <c r="D852" s="376" t="str">
        <f>IFERROR(VLOOKUP(E:E,'Item Data Support Sheet'!A:O,7,0),"")</f>
        <v>BOTTLE PRINTED</v>
      </c>
      <c r="E852" s="447" t="s">
        <v>69</v>
      </c>
      <c r="F852" s="500"/>
      <c r="G852" s="497" t="s">
        <v>1698</v>
      </c>
      <c r="H852" s="602" t="str">
        <f>IFERROR(VLOOKUP(E:E,'Item Data Support Sheet'!A:O,2,0),"")</f>
        <v>KPP 120 ML BOTTLE PRINTED</v>
      </c>
      <c r="I852" s="501" t="s">
        <v>3574</v>
      </c>
      <c r="J852" s="501" t="s">
        <v>2813</v>
      </c>
      <c r="K852" s="499">
        <v>8</v>
      </c>
      <c r="L852" s="499">
        <v>5123</v>
      </c>
      <c r="M852" s="366">
        <v>640.375</v>
      </c>
      <c r="N852" s="367">
        <f t="shared" si="243"/>
        <v>5438</v>
      </c>
      <c r="O852" s="61">
        <v>5400</v>
      </c>
      <c r="P852" s="368">
        <v>0</v>
      </c>
      <c r="Q852" s="368">
        <v>0</v>
      </c>
      <c r="R852" s="494">
        <v>43</v>
      </c>
      <c r="S852" s="493">
        <v>0</v>
      </c>
      <c r="T852" s="494">
        <v>38</v>
      </c>
      <c r="U852" s="493">
        <v>0</v>
      </c>
      <c r="V852" s="502">
        <v>5</v>
      </c>
      <c r="W852" s="453">
        <f t="shared" si="245"/>
        <v>1080</v>
      </c>
      <c r="X852" s="748">
        <f t="shared" si="246"/>
        <v>1.0540698809291431</v>
      </c>
      <c r="Y852" s="451" t="str">
        <f>IFERROR(VLOOKUP(E:E,'Item Data Support Sheet'!A:J,6,0),0)</f>
        <v>FO001</v>
      </c>
      <c r="Z852" s="428">
        <f>IFERROR(VLOOKUP(E:E,'Item Data Support Sheet'!A:O,4,0),0)</f>
        <v>0</v>
      </c>
      <c r="AA852" s="428">
        <f t="shared" si="247"/>
        <v>0</v>
      </c>
      <c r="AB852" s="429" t="str">
        <f t="shared" si="248"/>
        <v xml:space="preserve"> </v>
      </c>
      <c r="AC852" s="424">
        <f t="shared" si="249"/>
        <v>6.9878631849944837E-3</v>
      </c>
      <c r="AD852" s="371">
        <f t="shared" si="250"/>
        <v>0</v>
      </c>
      <c r="AE852" s="748">
        <f t="shared" si="251"/>
        <v>0.99301213681500555</v>
      </c>
      <c r="AF852" s="417">
        <f t="shared" si="252"/>
        <v>0</v>
      </c>
      <c r="AG852" s="416">
        <f t="shared" si="253"/>
        <v>8</v>
      </c>
      <c r="AH852" s="372">
        <f t="shared" si="254"/>
        <v>1</v>
      </c>
      <c r="AI852" s="373">
        <f t="shared" si="255"/>
        <v>675</v>
      </c>
      <c r="AJ852" s="418">
        <f>VLOOKUP(D852,'Standard Cycle time'!C:D,2,0)</f>
        <v>32.4</v>
      </c>
      <c r="AK852" s="418">
        <f t="shared" si="256"/>
        <v>26.666666666666668</v>
      </c>
      <c r="AL852" s="374">
        <f t="shared" si="257"/>
        <v>1.2149999999999999</v>
      </c>
      <c r="AM852" s="372">
        <f t="shared" si="258"/>
        <v>1.2065097462302317</v>
      </c>
      <c r="AN852" s="799">
        <v>1.2065097462302317</v>
      </c>
      <c r="AO852" s="448"/>
      <c r="AP852" s="440">
        <v>0</v>
      </c>
      <c r="AQ852" s="440">
        <v>0</v>
      </c>
      <c r="AR852" s="440">
        <v>0</v>
      </c>
      <c r="AS852" s="440">
        <v>0</v>
      </c>
      <c r="AT852" s="440">
        <v>0</v>
      </c>
      <c r="AU852" s="440">
        <v>0</v>
      </c>
      <c r="AV852" s="440">
        <v>0</v>
      </c>
      <c r="AW852" s="440">
        <v>0</v>
      </c>
      <c r="AX852" s="440">
        <v>0</v>
      </c>
      <c r="AY852" s="440">
        <v>0</v>
      </c>
      <c r="AZ852" s="440">
        <v>0</v>
      </c>
      <c r="BA852" s="440">
        <v>0</v>
      </c>
      <c r="BB852" s="440">
        <v>0</v>
      </c>
      <c r="BC852" s="440">
        <v>0</v>
      </c>
      <c r="BD852" s="440">
        <v>0</v>
      </c>
      <c r="BE852" s="440">
        <v>0</v>
      </c>
      <c r="BF852" s="440">
        <v>0</v>
      </c>
      <c r="BG852" s="440">
        <v>0</v>
      </c>
      <c r="BH852" s="440">
        <v>0</v>
      </c>
      <c r="BI852" s="440">
        <v>0</v>
      </c>
      <c r="BJ852" s="440">
        <v>0</v>
      </c>
      <c r="BK852" s="440">
        <v>0</v>
      </c>
      <c r="BL852" s="440">
        <v>0</v>
      </c>
      <c r="BM852" s="440">
        <v>0</v>
      </c>
      <c r="BN852" s="440">
        <v>0</v>
      </c>
      <c r="BO852" s="440">
        <v>0</v>
      </c>
      <c r="BP852" s="440">
        <v>0</v>
      </c>
      <c r="BQ852" s="440">
        <v>0</v>
      </c>
      <c r="BR852" s="415">
        <v>0</v>
      </c>
      <c r="BS852" s="415">
        <v>0</v>
      </c>
      <c r="BT852" s="935"/>
      <c r="BU852" s="935"/>
      <c r="BV852" s="935"/>
      <c r="BW852" s="935"/>
      <c r="BX852" s="935"/>
      <c r="BY852" s="935"/>
      <c r="BZ852" s="935"/>
      <c r="CA852" s="935"/>
      <c r="CB852" s="935"/>
      <c r="CC852" s="935"/>
      <c r="CD852" s="935"/>
      <c r="CE852" s="935"/>
      <c r="CF852" s="935"/>
      <c r="CG852" s="935"/>
      <c r="CH852" s="935"/>
      <c r="CI852" s="935"/>
      <c r="CJ852" s="935"/>
      <c r="CK852" s="935"/>
      <c r="CL852" s="935"/>
      <c r="CM852" s="935"/>
      <c r="CN852" s="935"/>
      <c r="CO852" s="935"/>
      <c r="CP852" s="935"/>
      <c r="CQ852" s="935"/>
      <c r="CR852" s="935"/>
      <c r="CS852" s="935"/>
      <c r="CT852" s="935"/>
      <c r="CU852" s="935"/>
      <c r="CV852" s="935"/>
    </row>
    <row r="853" spans="1:100" s="441" customFormat="1">
      <c r="A853" s="375">
        <f t="shared" si="244"/>
        <v>10</v>
      </c>
      <c r="B853" s="862">
        <v>44477</v>
      </c>
      <c r="C853" s="493" t="s">
        <v>2053</v>
      </c>
      <c r="D853" s="376" t="str">
        <f>IFERROR(VLOOKUP(E:E,'Item Data Support Sheet'!A:O,7,0),"")</f>
        <v>CAP MOLDED</v>
      </c>
      <c r="E853" s="447" t="s">
        <v>2108</v>
      </c>
      <c r="F853" s="500"/>
      <c r="G853" s="497" t="s">
        <v>3468</v>
      </c>
      <c r="H853" s="602" t="str">
        <f>IFERROR(VLOOKUP(E:E,'Item Data Support Sheet'!A:O,2,0),"")</f>
        <v>CAP S TYPE MOLDED BLUE</v>
      </c>
      <c r="I853" s="501" t="s">
        <v>3593</v>
      </c>
      <c r="J853" s="501" t="s">
        <v>2808</v>
      </c>
      <c r="K853" s="499">
        <v>8</v>
      </c>
      <c r="L853" s="499">
        <v>4137</v>
      </c>
      <c r="M853" s="366">
        <v>517.125</v>
      </c>
      <c r="N853" s="367">
        <f t="shared" si="243"/>
        <v>4610</v>
      </c>
      <c r="O853" s="61">
        <v>4600</v>
      </c>
      <c r="P853" s="368">
        <v>0</v>
      </c>
      <c r="Q853" s="368">
        <v>0</v>
      </c>
      <c r="R853" s="494">
        <v>0</v>
      </c>
      <c r="S853" s="493">
        <v>0</v>
      </c>
      <c r="T853" s="494">
        <v>2</v>
      </c>
      <c r="U853" s="493">
        <v>8</v>
      </c>
      <c r="V853" s="502">
        <v>1</v>
      </c>
      <c r="W853" s="453">
        <f t="shared" si="245"/>
        <v>4600</v>
      </c>
      <c r="X853" s="748">
        <f t="shared" si="246"/>
        <v>1.111916847957457</v>
      </c>
      <c r="Y853" s="451" t="str">
        <f>IFERROR(VLOOKUP(E:E,'Item Data Support Sheet'!A:J,6,0),0)</f>
        <v>RM000114</v>
      </c>
      <c r="Z853" s="428">
        <f>IFERROR(VLOOKUP(E:E,'Item Data Support Sheet'!A:O,4,0),0)</f>
        <v>7.3</v>
      </c>
      <c r="AA853" s="428">
        <f t="shared" si="247"/>
        <v>33.652999999999999</v>
      </c>
      <c r="AB853" s="429">
        <f t="shared" si="248"/>
        <v>0.99783080260303691</v>
      </c>
      <c r="AC853" s="424">
        <f t="shared" si="249"/>
        <v>4.3459365493263801E-4</v>
      </c>
      <c r="AD853" s="371">
        <f t="shared" si="250"/>
        <v>0</v>
      </c>
      <c r="AE853" s="748">
        <f t="shared" si="251"/>
        <v>0.99956616052060743</v>
      </c>
      <c r="AF853" s="417">
        <f t="shared" si="252"/>
        <v>0</v>
      </c>
      <c r="AG853" s="416">
        <f t="shared" si="253"/>
        <v>8</v>
      </c>
      <c r="AH853" s="372">
        <f t="shared" si="254"/>
        <v>1</v>
      </c>
      <c r="AI853" s="373">
        <f t="shared" si="255"/>
        <v>575</v>
      </c>
      <c r="AJ853" s="418">
        <f>VLOOKUP(D853,'Standard Cycle time'!C:D,2,0)</f>
        <v>6</v>
      </c>
      <c r="AK853" s="418">
        <f t="shared" si="256"/>
        <v>6.2608695652173916</v>
      </c>
      <c r="AL853" s="374">
        <f t="shared" si="257"/>
        <v>0.95833333333333326</v>
      </c>
      <c r="AM853" s="372">
        <f t="shared" si="258"/>
        <v>0.95791757049891535</v>
      </c>
      <c r="AN853" s="799">
        <v>0.95791757049891535</v>
      </c>
      <c r="AO853" s="448"/>
      <c r="AP853" s="440">
        <v>0</v>
      </c>
      <c r="AQ853" s="440">
        <v>0</v>
      </c>
      <c r="AR853" s="440">
        <v>0</v>
      </c>
      <c r="AS853" s="440">
        <v>0</v>
      </c>
      <c r="AT853" s="440">
        <v>0</v>
      </c>
      <c r="AU853" s="440">
        <v>0</v>
      </c>
      <c r="AV853" s="440">
        <v>0</v>
      </c>
      <c r="AW853" s="440">
        <v>0</v>
      </c>
      <c r="AX853" s="440">
        <v>0</v>
      </c>
      <c r="AY853" s="440">
        <v>0</v>
      </c>
      <c r="AZ853" s="440">
        <v>0</v>
      </c>
      <c r="BA853" s="440">
        <v>0</v>
      </c>
      <c r="BB853" s="440">
        <v>0</v>
      </c>
      <c r="BC853" s="440">
        <v>0</v>
      </c>
      <c r="BD853" s="440">
        <v>0</v>
      </c>
      <c r="BE853" s="440">
        <v>0</v>
      </c>
      <c r="BF853" s="440">
        <v>0</v>
      </c>
      <c r="BG853" s="440">
        <v>0</v>
      </c>
      <c r="BH853" s="440">
        <v>0</v>
      </c>
      <c r="BI853" s="440">
        <v>0</v>
      </c>
      <c r="BJ853" s="440">
        <v>0</v>
      </c>
      <c r="BK853" s="440">
        <v>0</v>
      </c>
      <c r="BL853" s="440">
        <v>0</v>
      </c>
      <c r="BM853" s="440">
        <v>0</v>
      </c>
      <c r="BN853" s="440">
        <v>0</v>
      </c>
      <c r="BO853" s="440">
        <v>0</v>
      </c>
      <c r="BP853" s="440">
        <v>0</v>
      </c>
      <c r="BQ853" s="440">
        <v>0</v>
      </c>
      <c r="BR853" s="415">
        <v>0</v>
      </c>
      <c r="BS853" s="415">
        <v>0</v>
      </c>
      <c r="BT853" s="935"/>
      <c r="BU853" s="935"/>
      <c r="BV853" s="935"/>
      <c r="BW853" s="935"/>
      <c r="BX853" s="935"/>
      <c r="BY853" s="935"/>
      <c r="BZ853" s="935"/>
      <c r="CA853" s="935"/>
      <c r="CB853" s="935"/>
      <c r="CC853" s="935"/>
      <c r="CD853" s="935"/>
      <c r="CE853" s="935"/>
      <c r="CF853" s="935"/>
      <c r="CG853" s="935"/>
      <c r="CH853" s="935"/>
      <c r="CI853" s="935"/>
      <c r="CJ853" s="935"/>
      <c r="CK853" s="935"/>
      <c r="CL853" s="935"/>
      <c r="CM853" s="935"/>
      <c r="CN853" s="935"/>
      <c r="CO853" s="935"/>
      <c r="CP853" s="935"/>
      <c r="CQ853" s="935"/>
      <c r="CR853" s="935"/>
      <c r="CS853" s="935"/>
      <c r="CT853" s="935"/>
      <c r="CU853" s="935"/>
      <c r="CV853" s="935"/>
    </row>
    <row r="854" spans="1:100" s="441" customFormat="1">
      <c r="A854" s="375">
        <f t="shared" si="244"/>
        <v>10</v>
      </c>
      <c r="B854" s="862">
        <v>44477</v>
      </c>
      <c r="C854" s="493" t="s">
        <v>2053</v>
      </c>
      <c r="D854" s="376" t="str">
        <f>IFERROR(VLOOKUP(E:E,'Item Data Support Sheet'!A:O,7,0),"")</f>
        <v>NIPPLE MOLDED</v>
      </c>
      <c r="E854" s="447" t="s">
        <v>74</v>
      </c>
      <c r="F854" s="500" t="s">
        <v>1678</v>
      </c>
      <c r="G854" s="497" t="s">
        <v>1691</v>
      </c>
      <c r="H854" s="602" t="str">
        <f>IFERROR(VLOOKUP(E:E,'Item Data Support Sheet'!A:O,2,0),"")</f>
        <v>NIPPLE S TYPE L SIZE INJECTION</v>
      </c>
      <c r="I854" s="501" t="s">
        <v>3594</v>
      </c>
      <c r="J854" s="501" t="s">
        <v>2808</v>
      </c>
      <c r="K854" s="499">
        <v>8</v>
      </c>
      <c r="L854" s="499">
        <v>4815</v>
      </c>
      <c r="M854" s="366">
        <v>601.875</v>
      </c>
      <c r="N854" s="367">
        <f t="shared" si="243"/>
        <v>4950</v>
      </c>
      <c r="O854" s="61">
        <v>4850</v>
      </c>
      <c r="P854" s="368">
        <v>0</v>
      </c>
      <c r="Q854" s="368">
        <v>40</v>
      </c>
      <c r="R854" s="494">
        <v>0</v>
      </c>
      <c r="S854" s="493">
        <v>0</v>
      </c>
      <c r="T854" s="494">
        <v>60</v>
      </c>
      <c r="U854" s="493">
        <v>0</v>
      </c>
      <c r="V854" s="502">
        <v>1</v>
      </c>
      <c r="W854" s="453">
        <f t="shared" si="245"/>
        <v>4850</v>
      </c>
      <c r="X854" s="748">
        <f t="shared" si="246"/>
        <v>1.0072689511941848</v>
      </c>
      <c r="Y854" s="451" t="str">
        <f>IFERROR(VLOOKUP(E:E,'Item Data Support Sheet'!A:J,6,0),0)</f>
        <v>Silicon</v>
      </c>
      <c r="Z854" s="428">
        <f>IFERROR(VLOOKUP(E:E,'Item Data Support Sheet'!A:O,4,0),0)</f>
        <v>6.8</v>
      </c>
      <c r="AA854" s="428">
        <f t="shared" si="247"/>
        <v>33.659999999999997</v>
      </c>
      <c r="AB854" s="429">
        <f t="shared" si="248"/>
        <v>0.97979797979797978</v>
      </c>
      <c r="AC854" s="424">
        <f t="shared" si="249"/>
        <v>1.2219959266802444E-2</v>
      </c>
      <c r="AD854" s="371">
        <f t="shared" si="250"/>
        <v>8.0160320641282558E-3</v>
      </c>
      <c r="AE854" s="748">
        <f t="shared" si="251"/>
        <v>0.98787878787878791</v>
      </c>
      <c r="AF854" s="417">
        <f t="shared" si="252"/>
        <v>0</v>
      </c>
      <c r="AG854" s="416">
        <f t="shared" si="253"/>
        <v>8</v>
      </c>
      <c r="AH854" s="372">
        <f t="shared" si="254"/>
        <v>1</v>
      </c>
      <c r="AI854" s="373">
        <f t="shared" si="255"/>
        <v>606.25</v>
      </c>
      <c r="AJ854" s="418">
        <f>VLOOKUP(D854,'Standard Cycle time'!C:D,2,0)</f>
        <v>5.25</v>
      </c>
      <c r="AK854" s="418">
        <f t="shared" si="256"/>
        <v>5.9381443298969074</v>
      </c>
      <c r="AL854" s="374">
        <f t="shared" si="257"/>
        <v>0.88411458333333326</v>
      </c>
      <c r="AM854" s="372">
        <f t="shared" si="258"/>
        <v>0.87339804292929291</v>
      </c>
      <c r="AN854" s="799">
        <v>0.87339804292929291</v>
      </c>
      <c r="AO854" s="448" t="s">
        <v>3595</v>
      </c>
      <c r="AP854" s="440">
        <v>0</v>
      </c>
      <c r="AQ854" s="440">
        <v>0</v>
      </c>
      <c r="AR854" s="440">
        <v>0</v>
      </c>
      <c r="AS854" s="440">
        <v>0</v>
      </c>
      <c r="AT854" s="440">
        <v>0</v>
      </c>
      <c r="AU854" s="440">
        <v>0</v>
      </c>
      <c r="AV854" s="440">
        <v>0</v>
      </c>
      <c r="AW854" s="440">
        <v>0</v>
      </c>
      <c r="AX854" s="440">
        <v>0</v>
      </c>
      <c r="AY854" s="440">
        <v>0</v>
      </c>
      <c r="AZ854" s="440">
        <v>0</v>
      </c>
      <c r="BA854" s="440">
        <v>0</v>
      </c>
      <c r="BB854" s="440">
        <v>0</v>
      </c>
      <c r="BC854" s="440">
        <v>0</v>
      </c>
      <c r="BD854" s="440">
        <v>0</v>
      </c>
      <c r="BE854" s="440">
        <v>0</v>
      </c>
      <c r="BF854" s="440">
        <v>0</v>
      </c>
      <c r="BG854" s="440">
        <v>0</v>
      </c>
      <c r="BH854" s="440">
        <v>0</v>
      </c>
      <c r="BI854" s="440">
        <v>0</v>
      </c>
      <c r="BJ854" s="440">
        <v>0</v>
      </c>
      <c r="BK854" s="440">
        <v>0</v>
      </c>
      <c r="BL854" s="440">
        <v>0</v>
      </c>
      <c r="BM854" s="440">
        <v>0</v>
      </c>
      <c r="BN854" s="440">
        <v>0</v>
      </c>
      <c r="BO854" s="440">
        <v>0</v>
      </c>
      <c r="BP854" s="440">
        <v>0</v>
      </c>
      <c r="BQ854" s="440">
        <v>0</v>
      </c>
      <c r="BR854" s="415">
        <v>0</v>
      </c>
      <c r="BS854" s="415">
        <v>0</v>
      </c>
      <c r="BT854" s="935"/>
      <c r="BU854" s="935"/>
      <c r="BV854" s="935"/>
      <c r="BW854" s="935"/>
      <c r="BX854" s="935"/>
      <c r="BY854" s="935"/>
      <c r="BZ854" s="935"/>
      <c r="CA854" s="935"/>
      <c r="CB854" s="935"/>
      <c r="CC854" s="935"/>
      <c r="CD854" s="935"/>
      <c r="CE854" s="935"/>
      <c r="CF854" s="935"/>
      <c r="CG854" s="935"/>
      <c r="CH854" s="935"/>
      <c r="CI854" s="935"/>
      <c r="CJ854" s="935"/>
      <c r="CK854" s="935"/>
      <c r="CL854" s="935"/>
      <c r="CM854" s="935"/>
      <c r="CN854" s="935"/>
      <c r="CO854" s="935"/>
      <c r="CP854" s="935"/>
      <c r="CQ854" s="935"/>
      <c r="CR854" s="935"/>
      <c r="CS854" s="935"/>
      <c r="CT854" s="935"/>
      <c r="CU854" s="935"/>
      <c r="CV854" s="935"/>
    </row>
    <row r="855" spans="1:100" s="441" customFormat="1">
      <c r="A855" s="375">
        <f t="shared" si="244"/>
        <v>10</v>
      </c>
      <c r="B855" s="862">
        <v>44477</v>
      </c>
      <c r="C855" s="493" t="s">
        <v>2053</v>
      </c>
      <c r="D855" s="376" t="str">
        <f>IFERROR(VLOOKUP(E:E,'Item Data Support Sheet'!A:O,7,0),"")</f>
        <v>BOTTLE MOLDED</v>
      </c>
      <c r="E855" s="447" t="s">
        <v>66</v>
      </c>
      <c r="F855" s="500" t="s">
        <v>1680</v>
      </c>
      <c r="G855" s="497" t="s">
        <v>1888</v>
      </c>
      <c r="H855" s="602" t="str">
        <f>IFERROR(VLOOKUP(E:E,'Item Data Support Sheet'!A:O,2,0),"")</f>
        <v>KPP 200 ML BOTTLE MOLDED</v>
      </c>
      <c r="I855" s="501" t="s">
        <v>3596</v>
      </c>
      <c r="J855" s="501" t="s">
        <v>2808</v>
      </c>
      <c r="K855" s="499">
        <v>8</v>
      </c>
      <c r="L855" s="499">
        <v>2574</v>
      </c>
      <c r="M855" s="366">
        <v>321.75</v>
      </c>
      <c r="N855" s="367">
        <f t="shared" si="243"/>
        <v>3004</v>
      </c>
      <c r="O855" s="61">
        <v>2916</v>
      </c>
      <c r="P855" s="368">
        <v>0.1</v>
      </c>
      <c r="Q855" s="368">
        <v>44</v>
      </c>
      <c r="R855" s="494">
        <v>0</v>
      </c>
      <c r="S855" s="493">
        <v>0</v>
      </c>
      <c r="T855" s="494">
        <v>36</v>
      </c>
      <c r="U855" s="493">
        <v>8</v>
      </c>
      <c r="V855" s="502">
        <v>1</v>
      </c>
      <c r="W855" s="453">
        <f t="shared" si="245"/>
        <v>2916</v>
      </c>
      <c r="X855" s="748">
        <f t="shared" si="246"/>
        <v>1.1328671328671329</v>
      </c>
      <c r="Y855" s="451" t="str">
        <f>IFERROR(VLOOKUP(E:E,'Item Data Support Sheet'!A:J,6,0),0)</f>
        <v>HMC</v>
      </c>
      <c r="Z855" s="428">
        <f>IFERROR(VLOOKUP(E:E,'Item Data Support Sheet'!A:O,4,0),0)</f>
        <v>28.1</v>
      </c>
      <c r="AA855" s="428">
        <f t="shared" si="247"/>
        <v>84.5124</v>
      </c>
      <c r="AB855" s="429">
        <f t="shared" si="248"/>
        <v>0.96955713007795308</v>
      </c>
      <c r="AC855" s="424">
        <f t="shared" si="249"/>
        <v>1.2195121951219513E-2</v>
      </c>
      <c r="AD855" s="371">
        <f t="shared" si="250"/>
        <v>1.4435695538057743E-2</v>
      </c>
      <c r="AE855" s="748">
        <f t="shared" si="251"/>
        <v>0.98801597869507318</v>
      </c>
      <c r="AF855" s="417">
        <f t="shared" si="252"/>
        <v>0</v>
      </c>
      <c r="AG855" s="416">
        <f t="shared" si="253"/>
        <v>8</v>
      </c>
      <c r="AH855" s="372">
        <f t="shared" si="254"/>
        <v>1</v>
      </c>
      <c r="AI855" s="373">
        <f t="shared" si="255"/>
        <v>364.5</v>
      </c>
      <c r="AJ855" s="418">
        <f>VLOOKUP(D855,'Standard Cycle time'!C:D,2,0)</f>
        <v>9</v>
      </c>
      <c r="AK855" s="418">
        <f t="shared" si="256"/>
        <v>9.8765432098765427</v>
      </c>
      <c r="AL855" s="374">
        <f t="shared" si="257"/>
        <v>0.91125</v>
      </c>
      <c r="AM855" s="372">
        <f t="shared" si="258"/>
        <v>0.90032956058588542</v>
      </c>
      <c r="AN855" s="799">
        <v>0.90032956058588542</v>
      </c>
      <c r="AO855" s="448" t="s">
        <v>3597</v>
      </c>
      <c r="AP855" s="440">
        <v>0</v>
      </c>
      <c r="AQ855" s="440">
        <v>0</v>
      </c>
      <c r="AR855" s="440">
        <v>0</v>
      </c>
      <c r="AS855" s="440">
        <v>0</v>
      </c>
      <c r="AT855" s="440">
        <v>0</v>
      </c>
      <c r="AU855" s="440">
        <v>0</v>
      </c>
      <c r="AV855" s="440">
        <v>0</v>
      </c>
      <c r="AW855" s="440">
        <v>0</v>
      </c>
      <c r="AX855" s="440">
        <v>0</v>
      </c>
      <c r="AY855" s="440">
        <v>0</v>
      </c>
      <c r="AZ855" s="440">
        <v>0</v>
      </c>
      <c r="BA855" s="440">
        <v>0</v>
      </c>
      <c r="BB855" s="440">
        <v>0</v>
      </c>
      <c r="BC855" s="440">
        <v>0</v>
      </c>
      <c r="BD855" s="440">
        <v>0</v>
      </c>
      <c r="BE855" s="440">
        <v>0</v>
      </c>
      <c r="BF855" s="440">
        <v>0</v>
      </c>
      <c r="BG855" s="440">
        <v>0</v>
      </c>
      <c r="BH855" s="440">
        <v>0</v>
      </c>
      <c r="BI855" s="440">
        <v>0</v>
      </c>
      <c r="BJ855" s="440">
        <v>0</v>
      </c>
      <c r="BK855" s="440">
        <v>0</v>
      </c>
      <c r="BL855" s="440">
        <v>0</v>
      </c>
      <c r="BM855" s="440">
        <v>0</v>
      </c>
      <c r="BN855" s="440">
        <v>0</v>
      </c>
      <c r="BO855" s="440">
        <v>0</v>
      </c>
      <c r="BP855" s="440">
        <v>0</v>
      </c>
      <c r="BQ855" s="440">
        <v>0</v>
      </c>
      <c r="BR855" s="415">
        <v>0</v>
      </c>
      <c r="BS855" s="415">
        <v>0</v>
      </c>
      <c r="BT855" s="935"/>
      <c r="BU855" s="935"/>
      <c r="BV855" s="935"/>
      <c r="BW855" s="935"/>
      <c r="BX855" s="935"/>
      <c r="BY855" s="935"/>
      <c r="BZ855" s="935"/>
      <c r="CA855" s="935"/>
      <c r="CB855" s="935"/>
      <c r="CC855" s="935"/>
      <c r="CD855" s="935"/>
      <c r="CE855" s="935"/>
      <c r="CF855" s="935"/>
      <c r="CG855" s="935"/>
      <c r="CH855" s="935"/>
      <c r="CI855" s="935"/>
      <c r="CJ855" s="935"/>
      <c r="CK855" s="935"/>
      <c r="CL855" s="935"/>
      <c r="CM855" s="935"/>
      <c r="CN855" s="935"/>
      <c r="CO855" s="935"/>
      <c r="CP855" s="935"/>
      <c r="CQ855" s="935"/>
      <c r="CR855" s="935"/>
      <c r="CS855" s="935"/>
      <c r="CT855" s="935"/>
      <c r="CU855" s="935"/>
      <c r="CV855" s="935"/>
    </row>
    <row r="856" spans="1:100" s="441" customFormat="1">
      <c r="A856" s="375">
        <f t="shared" si="244"/>
        <v>10</v>
      </c>
      <c r="B856" s="862">
        <v>44478</v>
      </c>
      <c r="C856" s="493" t="s">
        <v>1980</v>
      </c>
      <c r="D856" s="376" t="str">
        <f>IFERROR(VLOOKUP(E:E,'Item Data Support Sheet'!A:O,7,0),"")</f>
        <v>BOTTLE MOLDED</v>
      </c>
      <c r="E856" s="447" t="s">
        <v>66</v>
      </c>
      <c r="F856" s="500" t="s">
        <v>1680</v>
      </c>
      <c r="G856" s="497" t="s">
        <v>1888</v>
      </c>
      <c r="H856" s="602" t="str">
        <f>IFERROR(VLOOKUP(E:E,'Item Data Support Sheet'!A:O,2,0),"")</f>
        <v>KPP 200 ML BOTTLE MOLDED</v>
      </c>
      <c r="I856" s="501" t="s">
        <v>3598</v>
      </c>
      <c r="J856" s="501" t="s">
        <v>2809</v>
      </c>
      <c r="K856" s="499">
        <v>8</v>
      </c>
      <c r="L856" s="499">
        <v>2574</v>
      </c>
      <c r="M856" s="366">
        <v>321.75</v>
      </c>
      <c r="N856" s="367">
        <f t="shared" si="243"/>
        <v>3314</v>
      </c>
      <c r="O856" s="61">
        <v>3240</v>
      </c>
      <c r="P856" s="368">
        <v>0</v>
      </c>
      <c r="Q856" s="368">
        <v>25</v>
      </c>
      <c r="R856" s="494">
        <v>0</v>
      </c>
      <c r="S856" s="493">
        <v>0</v>
      </c>
      <c r="T856" s="494">
        <v>41</v>
      </c>
      <c r="U856" s="493">
        <v>8</v>
      </c>
      <c r="V856" s="502">
        <v>1</v>
      </c>
      <c r="W856" s="453">
        <f t="shared" si="245"/>
        <v>3240</v>
      </c>
      <c r="X856" s="748">
        <f t="shared" si="246"/>
        <v>1.2587412587412588</v>
      </c>
      <c r="Y856" s="451" t="str">
        <f>IFERROR(VLOOKUP(E:E,'Item Data Support Sheet'!A:J,6,0),0)</f>
        <v>HMC</v>
      </c>
      <c r="Z856" s="428">
        <f>IFERROR(VLOOKUP(E:E,'Item Data Support Sheet'!A:O,4,0),0)</f>
        <v>28.1</v>
      </c>
      <c r="AA856" s="428">
        <f t="shared" si="247"/>
        <v>93.123400000000004</v>
      </c>
      <c r="AB856" s="429">
        <f t="shared" si="248"/>
        <v>0.97767048883524432</v>
      </c>
      <c r="AC856" s="424">
        <f t="shared" si="249"/>
        <v>1.2496190185918927E-2</v>
      </c>
      <c r="AD856" s="371">
        <f t="shared" si="250"/>
        <v>7.4872716382150348E-3</v>
      </c>
      <c r="AE856" s="748">
        <f t="shared" si="251"/>
        <v>0.98762824381412195</v>
      </c>
      <c r="AF856" s="417">
        <f t="shared" si="252"/>
        <v>0</v>
      </c>
      <c r="AG856" s="416">
        <f t="shared" si="253"/>
        <v>8</v>
      </c>
      <c r="AH856" s="372">
        <f t="shared" si="254"/>
        <v>1</v>
      </c>
      <c r="AI856" s="373">
        <f t="shared" si="255"/>
        <v>405</v>
      </c>
      <c r="AJ856" s="418">
        <f>VLOOKUP(D856,'Standard Cycle time'!C:D,2,0)</f>
        <v>9</v>
      </c>
      <c r="AK856" s="418">
        <f t="shared" si="256"/>
        <v>8.8888888888888893</v>
      </c>
      <c r="AL856" s="374">
        <f t="shared" si="257"/>
        <v>1.0125</v>
      </c>
      <c r="AM856" s="372">
        <f t="shared" si="258"/>
        <v>0.99997359686179843</v>
      </c>
      <c r="AN856" s="799">
        <v>0.99997359686179843</v>
      </c>
      <c r="AO856" s="448"/>
      <c r="AP856" s="440">
        <v>0</v>
      </c>
      <c r="AQ856" s="440">
        <v>0</v>
      </c>
      <c r="AR856" s="440">
        <v>0</v>
      </c>
      <c r="AS856" s="440">
        <v>0</v>
      </c>
      <c r="AT856" s="440">
        <v>0</v>
      </c>
      <c r="AU856" s="440">
        <v>0</v>
      </c>
      <c r="AV856" s="440">
        <v>0</v>
      </c>
      <c r="AW856" s="440">
        <v>0</v>
      </c>
      <c r="AX856" s="440">
        <v>0</v>
      </c>
      <c r="AY856" s="440">
        <v>0</v>
      </c>
      <c r="AZ856" s="440">
        <v>0</v>
      </c>
      <c r="BA856" s="440">
        <v>0</v>
      </c>
      <c r="BB856" s="440">
        <v>0</v>
      </c>
      <c r="BC856" s="440">
        <v>0</v>
      </c>
      <c r="BD856" s="440">
        <v>0</v>
      </c>
      <c r="BE856" s="440">
        <v>0</v>
      </c>
      <c r="BF856" s="440">
        <v>0</v>
      </c>
      <c r="BG856" s="440">
        <v>0</v>
      </c>
      <c r="BH856" s="440">
        <v>0</v>
      </c>
      <c r="BI856" s="440">
        <v>0</v>
      </c>
      <c r="BJ856" s="440">
        <v>0</v>
      </c>
      <c r="BK856" s="440">
        <v>0</v>
      </c>
      <c r="BL856" s="440">
        <v>0</v>
      </c>
      <c r="BM856" s="440">
        <v>0</v>
      </c>
      <c r="BN856" s="440">
        <v>0</v>
      </c>
      <c r="BO856" s="440">
        <v>0</v>
      </c>
      <c r="BP856" s="440">
        <v>0</v>
      </c>
      <c r="BQ856" s="440">
        <v>0</v>
      </c>
      <c r="BR856" s="415">
        <v>0</v>
      </c>
      <c r="BS856" s="415">
        <v>0</v>
      </c>
      <c r="BT856" s="935"/>
      <c r="BU856" s="935"/>
      <c r="BV856" s="935"/>
      <c r="BW856" s="935"/>
      <c r="BX856" s="935"/>
      <c r="BY856" s="935"/>
      <c r="BZ856" s="935"/>
      <c r="CA856" s="935"/>
      <c r="CB856" s="935"/>
      <c r="CC856" s="935"/>
      <c r="CD856" s="935"/>
      <c r="CE856" s="935"/>
      <c r="CF856" s="935"/>
      <c r="CG856" s="935"/>
      <c r="CH856" s="935"/>
      <c r="CI856" s="935"/>
      <c r="CJ856" s="935"/>
      <c r="CK856" s="935"/>
      <c r="CL856" s="935"/>
      <c r="CM856" s="935"/>
      <c r="CN856" s="935"/>
      <c r="CO856" s="935"/>
      <c r="CP856" s="935"/>
      <c r="CQ856" s="935"/>
      <c r="CR856" s="935"/>
      <c r="CS856" s="935"/>
      <c r="CT856" s="935"/>
      <c r="CU856" s="935"/>
      <c r="CV856" s="935"/>
    </row>
    <row r="857" spans="1:100" s="441" customFormat="1">
      <c r="A857" s="375">
        <f t="shared" si="244"/>
        <v>10</v>
      </c>
      <c r="B857" s="862">
        <v>44478</v>
      </c>
      <c r="C857" s="493" t="s">
        <v>1980</v>
      </c>
      <c r="D857" s="376" t="str">
        <f>IFERROR(VLOOKUP(E:E,'Item Data Support Sheet'!A:O,7,0),"")</f>
        <v>NIPPLE MOLDED</v>
      </c>
      <c r="E857" s="447" t="s">
        <v>74</v>
      </c>
      <c r="F857" s="500" t="s">
        <v>1678</v>
      </c>
      <c r="G857" s="497" t="s">
        <v>1691</v>
      </c>
      <c r="H857" s="602" t="str">
        <f>IFERROR(VLOOKUP(E:E,'Item Data Support Sheet'!A:O,2,0),"")</f>
        <v>NIPPLE S TYPE L SIZE INJECTION</v>
      </c>
      <c r="I857" s="501" t="s">
        <v>3599</v>
      </c>
      <c r="J857" s="501" t="s">
        <v>2809</v>
      </c>
      <c r="K857" s="499">
        <v>8</v>
      </c>
      <c r="L857" s="499">
        <v>4815</v>
      </c>
      <c r="M857" s="366">
        <v>601.875</v>
      </c>
      <c r="N857" s="367">
        <f t="shared" si="243"/>
        <v>5085</v>
      </c>
      <c r="O857" s="61">
        <v>5000</v>
      </c>
      <c r="P857" s="368">
        <v>0</v>
      </c>
      <c r="Q857" s="368">
        <v>30</v>
      </c>
      <c r="R857" s="494">
        <v>0</v>
      </c>
      <c r="S857" s="493">
        <v>0</v>
      </c>
      <c r="T857" s="494">
        <v>47</v>
      </c>
      <c r="U857" s="493">
        <v>8</v>
      </c>
      <c r="V857" s="502">
        <v>1</v>
      </c>
      <c r="W857" s="453">
        <f t="shared" si="245"/>
        <v>5000</v>
      </c>
      <c r="X857" s="748">
        <f t="shared" si="246"/>
        <v>1.0384215991692627</v>
      </c>
      <c r="Y857" s="451" t="str">
        <f>IFERROR(VLOOKUP(E:E,'Item Data Support Sheet'!A:J,6,0),0)</f>
        <v>Silicon</v>
      </c>
      <c r="Z857" s="428">
        <f>IFERROR(VLOOKUP(E:E,'Item Data Support Sheet'!A:O,4,0),0)</f>
        <v>6.8</v>
      </c>
      <c r="AA857" s="428">
        <f t="shared" si="247"/>
        <v>34.577999999999996</v>
      </c>
      <c r="AB857" s="429">
        <f t="shared" si="248"/>
        <v>0.98328416912487726</v>
      </c>
      <c r="AC857" s="424">
        <f t="shared" si="249"/>
        <v>9.3124628492173567E-3</v>
      </c>
      <c r="AD857" s="371">
        <f t="shared" si="250"/>
        <v>5.8651026392961877E-3</v>
      </c>
      <c r="AE857" s="748">
        <f t="shared" si="251"/>
        <v>0.99075712881022615</v>
      </c>
      <c r="AF857" s="417">
        <f t="shared" si="252"/>
        <v>0</v>
      </c>
      <c r="AG857" s="416">
        <f t="shared" si="253"/>
        <v>8</v>
      </c>
      <c r="AH857" s="372">
        <f t="shared" si="254"/>
        <v>1</v>
      </c>
      <c r="AI857" s="373">
        <f t="shared" si="255"/>
        <v>625</v>
      </c>
      <c r="AJ857" s="418">
        <f>VLOOKUP(D857,'Standard Cycle time'!C:D,2,0)</f>
        <v>5.25</v>
      </c>
      <c r="AK857" s="418">
        <f t="shared" si="256"/>
        <v>5.76</v>
      </c>
      <c r="AL857" s="374">
        <f t="shared" si="257"/>
        <v>0.91145833333333337</v>
      </c>
      <c r="AM857" s="372">
        <f t="shared" si="258"/>
        <v>0.90303384136348741</v>
      </c>
      <c r="AN857" s="799">
        <v>0.90303384136348741</v>
      </c>
      <c r="AO857" s="448"/>
      <c r="AP857" s="440">
        <v>0</v>
      </c>
      <c r="AQ857" s="440">
        <v>0</v>
      </c>
      <c r="AR857" s="440">
        <v>0</v>
      </c>
      <c r="AS857" s="440">
        <v>0</v>
      </c>
      <c r="AT857" s="440">
        <v>0</v>
      </c>
      <c r="AU857" s="440">
        <v>0</v>
      </c>
      <c r="AV857" s="440">
        <v>0</v>
      </c>
      <c r="AW857" s="440">
        <v>0</v>
      </c>
      <c r="AX857" s="440">
        <v>0</v>
      </c>
      <c r="AY857" s="440">
        <v>0</v>
      </c>
      <c r="AZ857" s="440">
        <v>0</v>
      </c>
      <c r="BA857" s="440">
        <v>0</v>
      </c>
      <c r="BB857" s="440">
        <v>0</v>
      </c>
      <c r="BC857" s="440">
        <v>0</v>
      </c>
      <c r="BD857" s="440">
        <v>0</v>
      </c>
      <c r="BE857" s="440">
        <v>0</v>
      </c>
      <c r="BF857" s="440">
        <v>0</v>
      </c>
      <c r="BG857" s="440">
        <v>0</v>
      </c>
      <c r="BH857" s="440">
        <v>0</v>
      </c>
      <c r="BI857" s="440">
        <v>0</v>
      </c>
      <c r="BJ857" s="440">
        <v>0</v>
      </c>
      <c r="BK857" s="440">
        <v>0</v>
      </c>
      <c r="BL857" s="440">
        <v>0</v>
      </c>
      <c r="BM857" s="440">
        <v>0</v>
      </c>
      <c r="BN857" s="440">
        <v>0</v>
      </c>
      <c r="BO857" s="440">
        <v>0</v>
      </c>
      <c r="BP857" s="440">
        <v>0</v>
      </c>
      <c r="BQ857" s="440">
        <v>0</v>
      </c>
      <c r="BR857" s="415">
        <v>0</v>
      </c>
      <c r="BS857" s="415">
        <v>0</v>
      </c>
      <c r="BT857" s="935"/>
      <c r="BU857" s="935"/>
      <c r="BV857" s="935"/>
      <c r="BW857" s="935"/>
      <c r="BX857" s="935"/>
      <c r="BY857" s="935"/>
      <c r="BZ857" s="935"/>
      <c r="CA857" s="935"/>
      <c r="CB857" s="935"/>
      <c r="CC857" s="935"/>
      <c r="CD857" s="935"/>
      <c r="CE857" s="935"/>
      <c r="CF857" s="935"/>
      <c r="CG857" s="935"/>
      <c r="CH857" s="935"/>
      <c r="CI857" s="935"/>
      <c r="CJ857" s="935"/>
      <c r="CK857" s="935"/>
      <c r="CL857" s="935"/>
      <c r="CM857" s="935"/>
      <c r="CN857" s="935"/>
      <c r="CO857" s="935"/>
      <c r="CP857" s="935"/>
      <c r="CQ857" s="935"/>
      <c r="CR857" s="935"/>
      <c r="CS857" s="935"/>
      <c r="CT857" s="935"/>
      <c r="CU857" s="935"/>
      <c r="CV857" s="935"/>
    </row>
    <row r="858" spans="1:100" s="441" customFormat="1">
      <c r="A858" s="375">
        <f t="shared" si="244"/>
        <v>10</v>
      </c>
      <c r="B858" s="862">
        <v>44478</v>
      </c>
      <c r="C858" s="493" t="s">
        <v>1980</v>
      </c>
      <c r="D858" s="376" t="str">
        <f>IFERROR(VLOOKUP(E:E,'Item Data Support Sheet'!A:O,7,0),"")</f>
        <v>CAP MOLDED</v>
      </c>
      <c r="E858" s="447" t="s">
        <v>2108</v>
      </c>
      <c r="F858" s="500"/>
      <c r="G858" s="497" t="s">
        <v>3579</v>
      </c>
      <c r="H858" s="602" t="str">
        <f>IFERROR(VLOOKUP(E:E,'Item Data Support Sheet'!A:O,2,0),"")</f>
        <v>CAP S TYPE MOLDED BLUE</v>
      </c>
      <c r="I858" s="501" t="s">
        <v>3600</v>
      </c>
      <c r="J858" s="501" t="s">
        <v>2809</v>
      </c>
      <c r="K858" s="499">
        <v>8</v>
      </c>
      <c r="L858" s="499">
        <v>4137</v>
      </c>
      <c r="M858" s="366">
        <v>517.125</v>
      </c>
      <c r="N858" s="367">
        <f t="shared" si="243"/>
        <v>4210</v>
      </c>
      <c r="O858" s="61">
        <v>4200</v>
      </c>
      <c r="P858" s="368">
        <v>0</v>
      </c>
      <c r="Q858" s="368">
        <v>0</v>
      </c>
      <c r="R858" s="494">
        <v>0</v>
      </c>
      <c r="S858" s="493">
        <v>0</v>
      </c>
      <c r="T858" s="494">
        <v>2</v>
      </c>
      <c r="U858" s="493">
        <v>8</v>
      </c>
      <c r="V858" s="502">
        <v>1</v>
      </c>
      <c r="W858" s="453">
        <f t="shared" si="245"/>
        <v>4200</v>
      </c>
      <c r="X858" s="748">
        <f t="shared" si="246"/>
        <v>1.015228426395939</v>
      </c>
      <c r="Y858" s="451" t="str">
        <f>IFERROR(VLOOKUP(E:E,'Item Data Support Sheet'!A:J,6,0),0)</f>
        <v>RM000114</v>
      </c>
      <c r="Z858" s="428">
        <f>IFERROR(VLOOKUP(E:E,'Item Data Support Sheet'!A:O,4,0),0)</f>
        <v>7.3</v>
      </c>
      <c r="AA858" s="428">
        <f t="shared" si="247"/>
        <v>30.733000000000001</v>
      </c>
      <c r="AB858" s="429">
        <f t="shared" si="248"/>
        <v>0.99762470308788598</v>
      </c>
      <c r="AC858" s="424">
        <f t="shared" si="249"/>
        <v>4.7596382674916705E-4</v>
      </c>
      <c r="AD858" s="371">
        <f t="shared" si="250"/>
        <v>0</v>
      </c>
      <c r="AE858" s="748">
        <f t="shared" si="251"/>
        <v>0.99952494061757724</v>
      </c>
      <c r="AF858" s="417">
        <f t="shared" si="252"/>
        <v>0.75</v>
      </c>
      <c r="AG858" s="416">
        <f t="shared" si="253"/>
        <v>7.25</v>
      </c>
      <c r="AH858" s="372">
        <f t="shared" si="254"/>
        <v>0.90625</v>
      </c>
      <c r="AI858" s="373">
        <f t="shared" si="255"/>
        <v>525</v>
      </c>
      <c r="AJ858" s="418">
        <f>VLOOKUP(D858,'Standard Cycle time'!C:D,2,0)</f>
        <v>6</v>
      </c>
      <c r="AK858" s="418">
        <f t="shared" si="256"/>
        <v>6.2142857142857144</v>
      </c>
      <c r="AL858" s="374">
        <f t="shared" si="257"/>
        <v>0.96551724137931028</v>
      </c>
      <c r="AM858" s="372">
        <f t="shared" si="258"/>
        <v>0.87458432304038003</v>
      </c>
      <c r="AN858" s="799">
        <v>0.87458432304038003</v>
      </c>
      <c r="AO858" s="448" t="s">
        <v>3601</v>
      </c>
      <c r="AP858" s="440">
        <v>0</v>
      </c>
      <c r="AQ858" s="440">
        <v>0</v>
      </c>
      <c r="AR858" s="440">
        <v>0</v>
      </c>
      <c r="AS858" s="440">
        <v>0</v>
      </c>
      <c r="AT858" s="440">
        <v>0</v>
      </c>
      <c r="AU858" s="440">
        <v>0</v>
      </c>
      <c r="AV858" s="440">
        <v>0</v>
      </c>
      <c r="AW858" s="440">
        <v>0</v>
      </c>
      <c r="AX858" s="440">
        <v>0</v>
      </c>
      <c r="AY858" s="440">
        <v>0</v>
      </c>
      <c r="AZ858" s="440">
        <v>45</v>
      </c>
      <c r="BA858" s="440">
        <v>0</v>
      </c>
      <c r="BB858" s="440">
        <v>0</v>
      </c>
      <c r="BC858" s="440">
        <v>0</v>
      </c>
      <c r="BD858" s="440">
        <v>0</v>
      </c>
      <c r="BE858" s="440">
        <v>0</v>
      </c>
      <c r="BF858" s="440">
        <v>0</v>
      </c>
      <c r="BG858" s="440">
        <v>0</v>
      </c>
      <c r="BH858" s="440">
        <v>0</v>
      </c>
      <c r="BI858" s="440">
        <v>0</v>
      </c>
      <c r="BJ858" s="440">
        <v>0</v>
      </c>
      <c r="BK858" s="440">
        <v>0</v>
      </c>
      <c r="BL858" s="440">
        <v>0</v>
      </c>
      <c r="BM858" s="440">
        <v>0</v>
      </c>
      <c r="BN858" s="440">
        <v>0</v>
      </c>
      <c r="BO858" s="440">
        <v>0</v>
      </c>
      <c r="BP858" s="440">
        <v>0</v>
      </c>
      <c r="BQ858" s="440">
        <v>0</v>
      </c>
      <c r="BR858" s="415">
        <v>0.75</v>
      </c>
      <c r="BS858" s="415">
        <v>0.75</v>
      </c>
      <c r="BT858" s="935"/>
      <c r="BU858" s="935"/>
      <c r="BV858" s="935"/>
      <c r="BW858" s="935"/>
      <c r="BX858" s="935"/>
      <c r="BY858" s="935"/>
      <c r="BZ858" s="935"/>
      <c r="CA858" s="935"/>
      <c r="CB858" s="935"/>
      <c r="CC858" s="935"/>
      <c r="CD858" s="935"/>
      <c r="CE858" s="935"/>
      <c r="CF858" s="935"/>
      <c r="CG858" s="935"/>
      <c r="CH858" s="935"/>
      <c r="CI858" s="935"/>
      <c r="CJ858" s="935"/>
      <c r="CK858" s="935"/>
      <c r="CL858" s="935"/>
      <c r="CM858" s="935"/>
      <c r="CN858" s="935"/>
      <c r="CO858" s="935"/>
      <c r="CP858" s="935"/>
      <c r="CQ858" s="935"/>
      <c r="CR858" s="935"/>
      <c r="CS858" s="935"/>
      <c r="CT858" s="935"/>
      <c r="CU858" s="935"/>
      <c r="CV858" s="935"/>
    </row>
    <row r="859" spans="1:100" s="441" customFormat="1">
      <c r="A859" s="375">
        <f t="shared" si="244"/>
        <v>10</v>
      </c>
      <c r="B859" s="862">
        <v>44478</v>
      </c>
      <c r="C859" s="493" t="s">
        <v>1980</v>
      </c>
      <c r="D859" s="376" t="str">
        <f>IFERROR(VLOOKUP(E:E,'Item Data Support Sheet'!A:O,7,0),"")</f>
        <v>NIPPLE PUNCH</v>
      </c>
      <c r="E859" s="447" t="s">
        <v>82</v>
      </c>
      <c r="F859" s="500"/>
      <c r="G859" s="497" t="s">
        <v>1692</v>
      </c>
      <c r="H859" s="602" t="str">
        <f>IFERROR(VLOOKUP(E:E,'Item Data Support Sheet'!A:O,2,0),"")</f>
        <v>NIPPLE S TYPE L SIZE PUNCHED</v>
      </c>
      <c r="I859" s="501" t="s">
        <v>3602</v>
      </c>
      <c r="J859" s="501" t="s">
        <v>2809</v>
      </c>
      <c r="K859" s="499">
        <v>8</v>
      </c>
      <c r="L859" s="499">
        <v>7000</v>
      </c>
      <c r="M859" s="366">
        <v>875</v>
      </c>
      <c r="N859" s="367">
        <f t="shared" si="243"/>
        <v>7050</v>
      </c>
      <c r="O859" s="61">
        <v>7050</v>
      </c>
      <c r="P859" s="368">
        <v>0</v>
      </c>
      <c r="Q859" s="368">
        <v>0</v>
      </c>
      <c r="R859" s="494">
        <v>0</v>
      </c>
      <c r="S859" s="493">
        <v>0</v>
      </c>
      <c r="T859" s="494">
        <v>0</v>
      </c>
      <c r="U859" s="493">
        <v>0</v>
      </c>
      <c r="V859" s="502">
        <v>1</v>
      </c>
      <c r="W859" s="453">
        <f t="shared" si="245"/>
        <v>7050</v>
      </c>
      <c r="X859" s="748">
        <f t="shared" si="246"/>
        <v>1.0071428571428571</v>
      </c>
      <c r="Y859" s="451" t="str">
        <f>IFERROR(VLOOKUP(E:E,'Item Data Support Sheet'!A:J,6,0),0)</f>
        <v>FO017</v>
      </c>
      <c r="Z859" s="428">
        <f>IFERROR(VLOOKUP(E:E,'Item Data Support Sheet'!A:O,4,0),0)</f>
        <v>0</v>
      </c>
      <c r="AA859" s="428">
        <f t="shared" si="247"/>
        <v>0</v>
      </c>
      <c r="AB859" s="429" t="str">
        <f t="shared" si="248"/>
        <v xml:space="preserve"> </v>
      </c>
      <c r="AC859" s="424">
        <f t="shared" si="249"/>
        <v>0</v>
      </c>
      <c r="AD859" s="371">
        <f t="shared" si="250"/>
        <v>0</v>
      </c>
      <c r="AE859" s="748">
        <f t="shared" si="251"/>
        <v>1</v>
      </c>
      <c r="AF859" s="417">
        <f t="shared" si="252"/>
        <v>0.75</v>
      </c>
      <c r="AG859" s="416">
        <f t="shared" si="253"/>
        <v>7.25</v>
      </c>
      <c r="AH859" s="372">
        <f t="shared" si="254"/>
        <v>0.90625</v>
      </c>
      <c r="AI859" s="373">
        <f t="shared" si="255"/>
        <v>881.25</v>
      </c>
      <c r="AJ859" s="418">
        <f>VLOOKUP(D859,'Standard Cycle time'!C:D,2,0)</f>
        <v>3.5</v>
      </c>
      <c r="AK859" s="418">
        <f t="shared" si="256"/>
        <v>3.7021276595744679</v>
      </c>
      <c r="AL859" s="374">
        <f t="shared" si="257"/>
        <v>0.94540229885057481</v>
      </c>
      <c r="AM859" s="372">
        <f t="shared" si="258"/>
        <v>0.85677083333333337</v>
      </c>
      <c r="AN859" s="799">
        <v>0.85677083333333337</v>
      </c>
      <c r="AO859" s="448"/>
      <c r="AP859" s="440">
        <v>45</v>
      </c>
      <c r="AQ859" s="440">
        <v>0</v>
      </c>
      <c r="AR859" s="440">
        <v>0</v>
      </c>
      <c r="AS859" s="440">
        <v>0</v>
      </c>
      <c r="AT859" s="440">
        <v>0</v>
      </c>
      <c r="AU859" s="440">
        <v>0</v>
      </c>
      <c r="AV859" s="440">
        <v>0</v>
      </c>
      <c r="AW859" s="440">
        <v>0</v>
      </c>
      <c r="AX859" s="440">
        <v>0</v>
      </c>
      <c r="AY859" s="440">
        <v>0</v>
      </c>
      <c r="AZ859" s="440">
        <v>0</v>
      </c>
      <c r="BA859" s="440">
        <v>0</v>
      </c>
      <c r="BB859" s="440">
        <v>0</v>
      </c>
      <c r="BC859" s="440">
        <v>0</v>
      </c>
      <c r="BD859" s="440">
        <v>0</v>
      </c>
      <c r="BE859" s="440">
        <v>0</v>
      </c>
      <c r="BF859" s="440">
        <v>0</v>
      </c>
      <c r="BG859" s="440">
        <v>0</v>
      </c>
      <c r="BH859" s="440">
        <v>0</v>
      </c>
      <c r="BI859" s="440">
        <v>0</v>
      </c>
      <c r="BJ859" s="440">
        <v>0</v>
      </c>
      <c r="BK859" s="440">
        <v>0</v>
      </c>
      <c r="BL859" s="440">
        <v>0</v>
      </c>
      <c r="BM859" s="440">
        <v>0</v>
      </c>
      <c r="BN859" s="440">
        <v>0</v>
      </c>
      <c r="BO859" s="440">
        <v>0</v>
      </c>
      <c r="BP859" s="440">
        <v>0</v>
      </c>
      <c r="BQ859" s="440">
        <v>0</v>
      </c>
      <c r="BR859" s="415">
        <v>0.75</v>
      </c>
      <c r="BS859" s="415">
        <v>0.75</v>
      </c>
      <c r="BT859" s="935"/>
      <c r="BU859" s="935"/>
      <c r="BV859" s="935"/>
      <c r="BW859" s="935"/>
      <c r="BX859" s="935"/>
      <c r="BY859" s="935"/>
      <c r="BZ859" s="935"/>
      <c r="CA859" s="935"/>
      <c r="CB859" s="935"/>
      <c r="CC859" s="935"/>
      <c r="CD859" s="935"/>
      <c r="CE859" s="935"/>
      <c r="CF859" s="935"/>
      <c r="CG859" s="935"/>
      <c r="CH859" s="935"/>
      <c r="CI859" s="935"/>
      <c r="CJ859" s="935"/>
      <c r="CK859" s="935"/>
      <c r="CL859" s="935"/>
      <c r="CM859" s="935"/>
      <c r="CN859" s="935"/>
      <c r="CO859" s="935"/>
      <c r="CP859" s="935"/>
      <c r="CQ859" s="935"/>
      <c r="CR859" s="935"/>
      <c r="CS859" s="935"/>
      <c r="CT859" s="935"/>
      <c r="CU859" s="935"/>
      <c r="CV859" s="935"/>
    </row>
    <row r="860" spans="1:100" s="441" customFormat="1">
      <c r="A860" s="375">
        <f t="shared" si="244"/>
        <v>10</v>
      </c>
      <c r="B860" s="862">
        <v>44478</v>
      </c>
      <c r="C860" s="493" t="s">
        <v>1980</v>
      </c>
      <c r="D860" s="376" t="str">
        <f>IFERROR(VLOOKUP(E:E,'Item Data Support Sheet'!A:O,7,0),"")</f>
        <v>NIPPLE LASER MARKING</v>
      </c>
      <c r="E860" s="447" t="s">
        <v>1816</v>
      </c>
      <c r="F860" s="500"/>
      <c r="G860" s="497" t="s">
        <v>1812</v>
      </c>
      <c r="H860" s="602" t="str">
        <f>IFERROR(VLOOKUP(E:E,'Item Data Support Sheet'!A:O,2,0),"")</f>
        <v>NIPPLE S TYPE L SIZE PUNCHED LASER MARKED</v>
      </c>
      <c r="I860" s="501"/>
      <c r="J860" s="501" t="s">
        <v>2809</v>
      </c>
      <c r="K860" s="499">
        <v>8</v>
      </c>
      <c r="L860" s="499">
        <v>7000</v>
      </c>
      <c r="M860" s="366">
        <v>875</v>
      </c>
      <c r="N860" s="367">
        <f t="shared" si="243"/>
        <v>7050</v>
      </c>
      <c r="O860" s="61">
        <v>7050</v>
      </c>
      <c r="P860" s="368">
        <v>0</v>
      </c>
      <c r="Q860" s="368">
        <v>0</v>
      </c>
      <c r="R860" s="494">
        <v>0</v>
      </c>
      <c r="S860" s="493">
        <v>0</v>
      </c>
      <c r="T860" s="494">
        <v>0</v>
      </c>
      <c r="U860" s="493">
        <v>0</v>
      </c>
      <c r="V860" s="502">
        <v>1</v>
      </c>
      <c r="W860" s="453">
        <f t="shared" si="245"/>
        <v>7050</v>
      </c>
      <c r="X860" s="748">
        <f t="shared" si="246"/>
        <v>1.0071428571428571</v>
      </c>
      <c r="Y860" s="451" t="str">
        <f>IFERROR(VLOOKUP(E:E,'Item Data Support Sheet'!A:J,6,0),0)</f>
        <v>FO021</v>
      </c>
      <c r="Z860" s="428">
        <f>IFERROR(VLOOKUP(E:E,'Item Data Support Sheet'!A:O,4,0),0)</f>
        <v>0</v>
      </c>
      <c r="AA860" s="428">
        <f t="shared" si="247"/>
        <v>0</v>
      </c>
      <c r="AB860" s="429" t="str">
        <f t="shared" si="248"/>
        <v xml:space="preserve"> </v>
      </c>
      <c r="AC860" s="424">
        <f t="shared" si="249"/>
        <v>0</v>
      </c>
      <c r="AD860" s="371">
        <f t="shared" si="250"/>
        <v>0</v>
      </c>
      <c r="AE860" s="748">
        <f t="shared" si="251"/>
        <v>1</v>
      </c>
      <c r="AF860" s="417">
        <f t="shared" si="252"/>
        <v>0.75</v>
      </c>
      <c r="AG860" s="416">
        <f t="shared" si="253"/>
        <v>7.25</v>
      </c>
      <c r="AH860" s="372">
        <f t="shared" si="254"/>
        <v>0.90625</v>
      </c>
      <c r="AI860" s="373">
        <f t="shared" si="255"/>
        <v>881.25</v>
      </c>
      <c r="AJ860" s="418">
        <f>VLOOKUP(D860,'Standard Cycle time'!C:D,2,0)</f>
        <v>3.5</v>
      </c>
      <c r="AK860" s="418">
        <f t="shared" si="256"/>
        <v>3.7021276595744679</v>
      </c>
      <c r="AL860" s="374">
        <f t="shared" si="257"/>
        <v>0.94540229885057481</v>
      </c>
      <c r="AM860" s="372">
        <f t="shared" si="258"/>
        <v>0.85677083333333337</v>
      </c>
      <c r="AN860" s="799">
        <v>0.85677083333333337</v>
      </c>
      <c r="AO860" s="448"/>
      <c r="AP860" s="440">
        <v>45</v>
      </c>
      <c r="AQ860" s="440">
        <v>0</v>
      </c>
      <c r="AR860" s="440">
        <v>0</v>
      </c>
      <c r="AS860" s="440">
        <v>0</v>
      </c>
      <c r="AT860" s="440">
        <v>0</v>
      </c>
      <c r="AU860" s="440">
        <v>0</v>
      </c>
      <c r="AV860" s="440">
        <v>0</v>
      </c>
      <c r="AW860" s="440">
        <v>0</v>
      </c>
      <c r="AX860" s="440">
        <v>0</v>
      </c>
      <c r="AY860" s="440">
        <v>0</v>
      </c>
      <c r="AZ860" s="440">
        <v>0</v>
      </c>
      <c r="BA860" s="440">
        <v>0</v>
      </c>
      <c r="BB860" s="440">
        <v>0</v>
      </c>
      <c r="BC860" s="440">
        <v>0</v>
      </c>
      <c r="BD860" s="440">
        <v>0</v>
      </c>
      <c r="BE860" s="440">
        <v>0</v>
      </c>
      <c r="BF860" s="440">
        <v>0</v>
      </c>
      <c r="BG860" s="440">
        <v>0</v>
      </c>
      <c r="BH860" s="440">
        <v>0</v>
      </c>
      <c r="BI860" s="440">
        <v>0</v>
      </c>
      <c r="BJ860" s="440">
        <v>0</v>
      </c>
      <c r="BK860" s="440">
        <v>0</v>
      </c>
      <c r="BL860" s="440">
        <v>0</v>
      </c>
      <c r="BM860" s="440">
        <v>0</v>
      </c>
      <c r="BN860" s="440">
        <v>0</v>
      </c>
      <c r="BO860" s="440">
        <v>0</v>
      </c>
      <c r="BP860" s="440">
        <v>0</v>
      </c>
      <c r="BQ860" s="440">
        <v>0</v>
      </c>
      <c r="BR860" s="415">
        <v>0.75</v>
      </c>
      <c r="BS860" s="415">
        <v>0.75</v>
      </c>
      <c r="BT860" s="935"/>
      <c r="BU860" s="935"/>
      <c r="BV860" s="935"/>
      <c r="BW860" s="935"/>
      <c r="BX860" s="935"/>
      <c r="BY860" s="935"/>
      <c r="BZ860" s="935"/>
      <c r="CA860" s="935"/>
      <c r="CB860" s="935"/>
      <c r="CC860" s="935"/>
      <c r="CD860" s="935"/>
      <c r="CE860" s="935"/>
      <c r="CF860" s="935"/>
      <c r="CG860" s="935"/>
      <c r="CH860" s="935"/>
      <c r="CI860" s="935"/>
      <c r="CJ860" s="935"/>
      <c r="CK860" s="935"/>
      <c r="CL860" s="935"/>
      <c r="CM860" s="935"/>
      <c r="CN860" s="935"/>
      <c r="CO860" s="935"/>
      <c r="CP860" s="935"/>
      <c r="CQ860" s="935"/>
      <c r="CR860" s="935"/>
      <c r="CS860" s="935"/>
      <c r="CT860" s="935"/>
      <c r="CU860" s="935"/>
      <c r="CV860" s="935"/>
    </row>
    <row r="861" spans="1:100" s="441" customFormat="1">
      <c r="A861" s="375">
        <f t="shared" si="244"/>
        <v>10</v>
      </c>
      <c r="B861" s="862">
        <v>44478</v>
      </c>
      <c r="C861" s="493" t="s">
        <v>1980</v>
      </c>
      <c r="D861" s="376" t="str">
        <f>IFERROR(VLOOKUP(E:E,'Item Data Support Sheet'!A:O,7,0),"")</f>
        <v>BOTTLE PRINTED</v>
      </c>
      <c r="E861" s="447" t="s">
        <v>69</v>
      </c>
      <c r="F861" s="500"/>
      <c r="G861" s="497" t="s">
        <v>1698</v>
      </c>
      <c r="H861" s="602" t="str">
        <f>IFERROR(VLOOKUP(E:E,'Item Data Support Sheet'!A:O,2,0),"")</f>
        <v>KPP 120 ML BOTTLE PRINTED</v>
      </c>
      <c r="I861" s="501" t="s">
        <v>3603</v>
      </c>
      <c r="J861" s="501" t="s">
        <v>2811</v>
      </c>
      <c r="K861" s="499">
        <v>8</v>
      </c>
      <c r="L861" s="499">
        <v>5100</v>
      </c>
      <c r="M861" s="366">
        <v>637.5</v>
      </c>
      <c r="N861" s="367">
        <f t="shared" si="243"/>
        <v>5316</v>
      </c>
      <c r="O861" s="61">
        <v>5292</v>
      </c>
      <c r="P861" s="368">
        <v>0</v>
      </c>
      <c r="Q861" s="368">
        <v>0</v>
      </c>
      <c r="R861" s="494">
        <v>37</v>
      </c>
      <c r="S861" s="493">
        <v>0</v>
      </c>
      <c r="T861" s="494">
        <v>24</v>
      </c>
      <c r="U861" s="493">
        <v>0</v>
      </c>
      <c r="V861" s="502">
        <v>5</v>
      </c>
      <c r="W861" s="453">
        <f t="shared" si="245"/>
        <v>1058.4000000000001</v>
      </c>
      <c r="X861" s="748">
        <f t="shared" si="246"/>
        <v>1.0376470588235294</v>
      </c>
      <c r="Y861" s="451" t="str">
        <f>IFERROR(VLOOKUP(E:E,'Item Data Support Sheet'!A:J,6,0),0)</f>
        <v>FO001</v>
      </c>
      <c r="Z861" s="428">
        <f>IFERROR(VLOOKUP(E:E,'Item Data Support Sheet'!A:O,4,0),0)</f>
        <v>0</v>
      </c>
      <c r="AA861" s="428">
        <f t="shared" si="247"/>
        <v>0</v>
      </c>
      <c r="AB861" s="429" t="str">
        <f t="shared" si="248"/>
        <v xml:space="preserve"> </v>
      </c>
      <c r="AC861" s="424">
        <f t="shared" si="249"/>
        <v>4.5146726862302479E-3</v>
      </c>
      <c r="AD861" s="371">
        <f t="shared" si="250"/>
        <v>0</v>
      </c>
      <c r="AE861" s="748">
        <f t="shared" si="251"/>
        <v>0.99548532731376971</v>
      </c>
      <c r="AF861" s="417">
        <f t="shared" si="252"/>
        <v>0.66666666666666663</v>
      </c>
      <c r="AG861" s="416">
        <f t="shared" si="253"/>
        <v>7.333333333333333</v>
      </c>
      <c r="AH861" s="372">
        <f t="shared" si="254"/>
        <v>0.91666666666666663</v>
      </c>
      <c r="AI861" s="373">
        <f t="shared" si="255"/>
        <v>661.5</v>
      </c>
      <c r="AJ861" s="418">
        <f>VLOOKUP(D861,'Standard Cycle time'!C:D,2,0)</f>
        <v>32.4</v>
      </c>
      <c r="AK861" s="418">
        <f t="shared" si="256"/>
        <v>24.943310657596371</v>
      </c>
      <c r="AL861" s="374">
        <f t="shared" si="257"/>
        <v>1.2989454545454546</v>
      </c>
      <c r="AM861" s="372">
        <f t="shared" si="258"/>
        <v>1.1853243792325057</v>
      </c>
      <c r="AN861" s="799">
        <v>1.1853243792325057</v>
      </c>
      <c r="AO861" s="448"/>
      <c r="AP861" s="440">
        <v>40</v>
      </c>
      <c r="AQ861" s="440">
        <v>0</v>
      </c>
      <c r="AR861" s="440">
        <v>0</v>
      </c>
      <c r="AS861" s="440">
        <v>0</v>
      </c>
      <c r="AT861" s="440">
        <v>0</v>
      </c>
      <c r="AU861" s="440">
        <v>0</v>
      </c>
      <c r="AV861" s="440">
        <v>0</v>
      </c>
      <c r="AW861" s="440">
        <v>0</v>
      </c>
      <c r="AX861" s="440">
        <v>0</v>
      </c>
      <c r="AY861" s="440">
        <v>0</v>
      </c>
      <c r="AZ861" s="440">
        <v>0</v>
      </c>
      <c r="BA861" s="440">
        <v>0</v>
      </c>
      <c r="BB861" s="440">
        <v>0</v>
      </c>
      <c r="BC861" s="440">
        <v>0</v>
      </c>
      <c r="BD861" s="440">
        <v>0</v>
      </c>
      <c r="BE861" s="440">
        <v>0</v>
      </c>
      <c r="BF861" s="440">
        <v>0</v>
      </c>
      <c r="BG861" s="440">
        <v>0</v>
      </c>
      <c r="BH861" s="440">
        <v>0</v>
      </c>
      <c r="BI861" s="440">
        <v>0</v>
      </c>
      <c r="BJ861" s="440">
        <v>0</v>
      </c>
      <c r="BK861" s="440">
        <v>0</v>
      </c>
      <c r="BL861" s="440">
        <v>0</v>
      </c>
      <c r="BM861" s="440">
        <v>0</v>
      </c>
      <c r="BN861" s="440">
        <v>0</v>
      </c>
      <c r="BO861" s="440">
        <v>0</v>
      </c>
      <c r="BP861" s="440">
        <v>0</v>
      </c>
      <c r="BQ861" s="440">
        <v>0</v>
      </c>
      <c r="BR861" s="415">
        <v>0.66666666666666663</v>
      </c>
      <c r="BS861" s="415">
        <v>0.66666666666666663</v>
      </c>
      <c r="BT861" s="935"/>
      <c r="BU861" s="935"/>
      <c r="BV861" s="935"/>
      <c r="BW861" s="935"/>
      <c r="BX861" s="935"/>
      <c r="BY861" s="935"/>
      <c r="BZ861" s="935"/>
      <c r="CA861" s="935"/>
      <c r="CB861" s="935"/>
      <c r="CC861" s="935"/>
      <c r="CD861" s="935"/>
      <c r="CE861" s="935"/>
      <c r="CF861" s="935"/>
      <c r="CG861" s="935"/>
      <c r="CH861" s="935"/>
      <c r="CI861" s="935"/>
      <c r="CJ861" s="935"/>
      <c r="CK861" s="935"/>
      <c r="CL861" s="935"/>
      <c r="CM861" s="935"/>
      <c r="CN861" s="935"/>
      <c r="CO861" s="935"/>
      <c r="CP861" s="935"/>
      <c r="CQ861" s="935"/>
      <c r="CR861" s="935"/>
      <c r="CS861" s="935"/>
      <c r="CT861" s="935"/>
      <c r="CU861" s="935"/>
      <c r="CV861" s="935"/>
    </row>
    <row r="862" spans="1:100" s="441" customFormat="1">
      <c r="A862" s="375">
        <f t="shared" si="244"/>
        <v>10</v>
      </c>
      <c r="B862" s="862">
        <v>44478</v>
      </c>
      <c r="C862" s="493" t="s">
        <v>2000</v>
      </c>
      <c r="D862" s="376" t="str">
        <f>IFERROR(VLOOKUP(E:E,'Item Data Support Sheet'!A:O,7,0),"")</f>
        <v>NIPPLE PUNCH INSPECTED</v>
      </c>
      <c r="E862" s="447" t="s">
        <v>2488</v>
      </c>
      <c r="F862" s="500"/>
      <c r="G862" s="497"/>
      <c r="H862" s="602" t="str">
        <f>IFERROR(VLOOKUP(E:E,'Item Data Support Sheet'!A:O,2,0),"")</f>
        <v>NIPPLE S TYPE LL SIZE INSPECTED</v>
      </c>
      <c r="I862" s="501" t="s">
        <v>3585</v>
      </c>
      <c r="J862" s="501" t="s">
        <v>2812</v>
      </c>
      <c r="K862" s="499">
        <v>1</v>
      </c>
      <c r="L862" s="499">
        <v>1767</v>
      </c>
      <c r="M862" s="366">
        <v>1767</v>
      </c>
      <c r="N862" s="367">
        <f t="shared" si="243"/>
        <v>2050</v>
      </c>
      <c r="O862" s="61">
        <v>2040</v>
      </c>
      <c r="P862" s="368">
        <v>0</v>
      </c>
      <c r="Q862" s="368">
        <v>0</v>
      </c>
      <c r="R862" s="494">
        <v>0</v>
      </c>
      <c r="S862" s="493">
        <v>0</v>
      </c>
      <c r="T862" s="494">
        <v>10</v>
      </c>
      <c r="U862" s="493">
        <v>0</v>
      </c>
      <c r="V862" s="502">
        <v>1</v>
      </c>
      <c r="W862" s="453">
        <f t="shared" si="245"/>
        <v>2040</v>
      </c>
      <c r="X862" s="748">
        <f t="shared" si="246"/>
        <v>1.1544991511035654</v>
      </c>
      <c r="Y862" s="451" t="str">
        <f>IFERROR(VLOOKUP(E:E,'Item Data Support Sheet'!A:J,6,0),0)</f>
        <v>FO152</v>
      </c>
      <c r="Z862" s="428">
        <f>IFERROR(VLOOKUP(E:E,'Item Data Support Sheet'!A:O,4,0),0)</f>
        <v>0</v>
      </c>
      <c r="AA862" s="428">
        <f t="shared" si="247"/>
        <v>0</v>
      </c>
      <c r="AB862" s="429" t="str">
        <f t="shared" si="248"/>
        <v xml:space="preserve"> </v>
      </c>
      <c r="AC862" s="424">
        <f t="shared" si="249"/>
        <v>4.8780487804878049E-3</v>
      </c>
      <c r="AD862" s="371">
        <f t="shared" si="250"/>
        <v>0</v>
      </c>
      <c r="AE862" s="748">
        <f t="shared" si="251"/>
        <v>0.99512195121951219</v>
      </c>
      <c r="AF862" s="417">
        <f t="shared" si="252"/>
        <v>0</v>
      </c>
      <c r="AG862" s="416">
        <f t="shared" si="253"/>
        <v>1</v>
      </c>
      <c r="AH862" s="372">
        <f t="shared" si="254"/>
        <v>1</v>
      </c>
      <c r="AI862" s="373">
        <f t="shared" si="255"/>
        <v>2040</v>
      </c>
      <c r="AJ862" s="418">
        <f>VLOOKUP(D862,'Standard Cycle time'!C:D,2,0)</f>
        <v>4</v>
      </c>
      <c r="AK862" s="418">
        <f t="shared" si="256"/>
        <v>1.7647058823529411</v>
      </c>
      <c r="AL862" s="374">
        <f t="shared" si="257"/>
        <v>2.2666666666666666</v>
      </c>
      <c r="AM862" s="372">
        <f t="shared" si="258"/>
        <v>2.2556097560975608</v>
      </c>
      <c r="AN862" s="799">
        <v>2.2556097560975608</v>
      </c>
      <c r="AO862" s="448"/>
      <c r="AP862" s="440"/>
      <c r="AQ862" s="440">
        <v>0</v>
      </c>
      <c r="AR862" s="440">
        <v>0</v>
      </c>
      <c r="AS862" s="440">
        <v>0</v>
      </c>
      <c r="AT862" s="440">
        <v>0</v>
      </c>
      <c r="AU862" s="440">
        <v>0</v>
      </c>
      <c r="AV862" s="440">
        <v>0</v>
      </c>
      <c r="AW862" s="440">
        <v>0</v>
      </c>
      <c r="AX862" s="440">
        <v>0</v>
      </c>
      <c r="AY862" s="440">
        <v>0</v>
      </c>
      <c r="AZ862" s="440">
        <v>0</v>
      </c>
      <c r="BA862" s="440">
        <v>0</v>
      </c>
      <c r="BB862" s="440">
        <v>0</v>
      </c>
      <c r="BC862" s="440">
        <v>0</v>
      </c>
      <c r="BD862" s="440">
        <v>0</v>
      </c>
      <c r="BE862" s="440">
        <v>0</v>
      </c>
      <c r="BF862" s="440">
        <v>0</v>
      </c>
      <c r="BG862" s="440">
        <v>0</v>
      </c>
      <c r="BH862" s="440">
        <v>0</v>
      </c>
      <c r="BI862" s="440">
        <v>0</v>
      </c>
      <c r="BJ862" s="440">
        <v>0</v>
      </c>
      <c r="BK862" s="440">
        <v>0</v>
      </c>
      <c r="BL862" s="440">
        <v>0</v>
      </c>
      <c r="BM862" s="440">
        <v>0</v>
      </c>
      <c r="BN862" s="440">
        <v>0</v>
      </c>
      <c r="BO862" s="440">
        <v>0</v>
      </c>
      <c r="BP862" s="440">
        <v>0</v>
      </c>
      <c r="BQ862" s="440">
        <v>0</v>
      </c>
      <c r="BR862" s="415">
        <v>0</v>
      </c>
      <c r="BS862" s="415">
        <v>0</v>
      </c>
      <c r="BT862" s="935"/>
      <c r="BU862" s="935"/>
      <c r="BV862" s="935"/>
      <c r="BW862" s="935"/>
      <c r="BX862" s="935"/>
      <c r="BY862" s="935"/>
      <c r="BZ862" s="935"/>
      <c r="CA862" s="935"/>
      <c r="CB862" s="935"/>
      <c r="CC862" s="935"/>
      <c r="CD862" s="935"/>
      <c r="CE862" s="935"/>
      <c r="CF862" s="935"/>
      <c r="CG862" s="935"/>
      <c r="CH862" s="935"/>
      <c r="CI862" s="935"/>
      <c r="CJ862" s="935"/>
      <c r="CK862" s="935"/>
      <c r="CL862" s="935"/>
      <c r="CM862" s="935"/>
      <c r="CN862" s="935"/>
      <c r="CO862" s="935"/>
      <c r="CP862" s="935"/>
      <c r="CQ862" s="935"/>
      <c r="CR862" s="935"/>
      <c r="CS862" s="935"/>
      <c r="CT862" s="935"/>
      <c r="CU862" s="935"/>
      <c r="CV862" s="935"/>
    </row>
    <row r="863" spans="1:100" s="441" customFormat="1">
      <c r="A863" s="375">
        <f t="shared" si="244"/>
        <v>10</v>
      </c>
      <c r="B863" s="862">
        <v>44478</v>
      </c>
      <c r="C863" s="493" t="s">
        <v>2000</v>
      </c>
      <c r="D863" s="376" t="str">
        <f>IFERROR(VLOOKUP(E:E,'Item Data Support Sheet'!A:O,7,0),"")</f>
        <v>NIPPLE PUNCH INSPECTED</v>
      </c>
      <c r="E863" s="447" t="s">
        <v>1820</v>
      </c>
      <c r="F863" s="500"/>
      <c r="G863" s="497"/>
      <c r="H863" s="602" t="str">
        <f>IFERROR(VLOOKUP(E:E,'Item Data Support Sheet'!A:O,2,0),"")</f>
        <v>NIPPLE S TYPE L SIZE PUNCHED INSPECTED</v>
      </c>
      <c r="I863" s="501" t="s">
        <v>3604</v>
      </c>
      <c r="J863" s="501" t="s">
        <v>2812</v>
      </c>
      <c r="K863" s="499">
        <v>7</v>
      </c>
      <c r="L863" s="499">
        <v>10598</v>
      </c>
      <c r="M863" s="366">
        <v>1514</v>
      </c>
      <c r="N863" s="367">
        <f t="shared" si="243"/>
        <v>9050</v>
      </c>
      <c r="O863" s="61">
        <v>8970</v>
      </c>
      <c r="P863" s="368">
        <v>0</v>
      </c>
      <c r="Q863" s="368">
        <v>0</v>
      </c>
      <c r="R863" s="494">
        <v>0</v>
      </c>
      <c r="S863" s="493">
        <v>0</v>
      </c>
      <c r="T863" s="494">
        <v>80</v>
      </c>
      <c r="U863" s="493">
        <v>0</v>
      </c>
      <c r="V863" s="502">
        <v>1</v>
      </c>
      <c r="W863" s="453">
        <f t="shared" si="245"/>
        <v>8970</v>
      </c>
      <c r="X863" s="748">
        <f t="shared" si="246"/>
        <v>0.84638611058690316</v>
      </c>
      <c r="Y863" s="451" t="str">
        <f>IFERROR(VLOOKUP(E:E,'Item Data Support Sheet'!A:J,6,0),0)</f>
        <v>FO106</v>
      </c>
      <c r="Z863" s="428">
        <f>IFERROR(VLOOKUP(E:E,'Item Data Support Sheet'!A:O,4,0),0)</f>
        <v>0</v>
      </c>
      <c r="AA863" s="428">
        <f t="shared" si="247"/>
        <v>0</v>
      </c>
      <c r="AB863" s="429" t="str">
        <f t="shared" si="248"/>
        <v xml:space="preserve"> </v>
      </c>
      <c r="AC863" s="424">
        <f t="shared" si="249"/>
        <v>8.8397790055248626E-3</v>
      </c>
      <c r="AD863" s="371">
        <f t="shared" si="250"/>
        <v>0</v>
      </c>
      <c r="AE863" s="748">
        <f t="shared" si="251"/>
        <v>0.99116022099447509</v>
      </c>
      <c r="AF863" s="417">
        <f t="shared" si="252"/>
        <v>0.83333333333333337</v>
      </c>
      <c r="AG863" s="416">
        <f t="shared" si="253"/>
        <v>6.166666666666667</v>
      </c>
      <c r="AH863" s="372">
        <f t="shared" si="254"/>
        <v>0.88095238095238104</v>
      </c>
      <c r="AI863" s="373">
        <f t="shared" si="255"/>
        <v>1281.4285714285713</v>
      </c>
      <c r="AJ863" s="418">
        <f>VLOOKUP(D863,'Standard Cycle time'!C:D,2,0)</f>
        <v>4</v>
      </c>
      <c r="AK863" s="418">
        <f t="shared" si="256"/>
        <v>2.4749163879598663</v>
      </c>
      <c r="AL863" s="374">
        <f t="shared" si="257"/>
        <v>1.6162162162162161</v>
      </c>
      <c r="AM863" s="372">
        <f t="shared" si="258"/>
        <v>1.4112233622730861</v>
      </c>
      <c r="AN863" s="799">
        <v>1.4112233622730861</v>
      </c>
      <c r="AO863" s="448"/>
      <c r="AP863" s="440">
        <v>50</v>
      </c>
      <c r="AQ863" s="440">
        <v>0</v>
      </c>
      <c r="AR863" s="440">
        <v>0</v>
      </c>
      <c r="AS863" s="440">
        <v>0</v>
      </c>
      <c r="AT863" s="440">
        <v>0</v>
      </c>
      <c r="AU863" s="440">
        <v>0</v>
      </c>
      <c r="AV863" s="440">
        <v>0</v>
      </c>
      <c r="AW863" s="440">
        <v>0</v>
      </c>
      <c r="AX863" s="440">
        <v>0</v>
      </c>
      <c r="AY863" s="440">
        <v>0</v>
      </c>
      <c r="AZ863" s="440">
        <v>0</v>
      </c>
      <c r="BA863" s="440">
        <v>0</v>
      </c>
      <c r="BB863" s="440">
        <v>0</v>
      </c>
      <c r="BC863" s="440">
        <v>0</v>
      </c>
      <c r="BD863" s="440">
        <v>0</v>
      </c>
      <c r="BE863" s="440">
        <v>0</v>
      </c>
      <c r="BF863" s="440">
        <v>0</v>
      </c>
      <c r="BG863" s="440">
        <v>0</v>
      </c>
      <c r="BH863" s="440">
        <v>0</v>
      </c>
      <c r="BI863" s="440">
        <v>0</v>
      </c>
      <c r="BJ863" s="440">
        <v>0</v>
      </c>
      <c r="BK863" s="440">
        <v>0</v>
      </c>
      <c r="BL863" s="440">
        <v>0</v>
      </c>
      <c r="BM863" s="440">
        <v>0</v>
      </c>
      <c r="BN863" s="440">
        <v>0</v>
      </c>
      <c r="BO863" s="440">
        <v>0</v>
      </c>
      <c r="BP863" s="440">
        <v>0</v>
      </c>
      <c r="BQ863" s="440">
        <v>0</v>
      </c>
      <c r="BR863" s="415">
        <v>0.83333333333333337</v>
      </c>
      <c r="BS863" s="415">
        <v>0.83333333333333337</v>
      </c>
      <c r="BT863" s="935"/>
      <c r="BU863" s="935"/>
      <c r="BV863" s="935"/>
      <c r="BW863" s="935"/>
      <c r="BX863" s="935"/>
      <c r="BY863" s="935"/>
      <c r="BZ863" s="935"/>
      <c r="CA863" s="935"/>
      <c r="CB863" s="935"/>
      <c r="CC863" s="935"/>
      <c r="CD863" s="935"/>
      <c r="CE863" s="935"/>
      <c r="CF863" s="935"/>
      <c r="CG863" s="935"/>
      <c r="CH863" s="935"/>
      <c r="CI863" s="935"/>
      <c r="CJ863" s="935"/>
      <c r="CK863" s="935"/>
      <c r="CL863" s="935"/>
      <c r="CM863" s="935"/>
      <c r="CN863" s="935"/>
      <c r="CO863" s="935"/>
      <c r="CP863" s="935"/>
      <c r="CQ863" s="935"/>
      <c r="CR863" s="935"/>
      <c r="CS863" s="935"/>
      <c r="CT863" s="935"/>
      <c r="CU863" s="935"/>
      <c r="CV863" s="935"/>
    </row>
    <row r="864" spans="1:100" s="441" customFormat="1">
      <c r="A864" s="375">
        <f t="shared" si="244"/>
        <v>10</v>
      </c>
      <c r="B864" s="862">
        <v>44478</v>
      </c>
      <c r="C864" s="493" t="s">
        <v>2000</v>
      </c>
      <c r="D864" s="376" t="str">
        <f>IFERROR(VLOOKUP(E:E,'Item Data Support Sheet'!A:O,7,0),"")</f>
        <v>NIPPLE WRAP PRINTED</v>
      </c>
      <c r="E864" s="447" t="s">
        <v>110</v>
      </c>
      <c r="F864" s="500"/>
      <c r="G864" s="497" t="s">
        <v>1693</v>
      </c>
      <c r="H864" s="602" t="str">
        <f>IFERROR(VLOOKUP(E:E,'Item Data Support Sheet'!A:O,2,0),"")</f>
        <v>NIPPLE S TYPE L SIZE WITH PRINTED WRAP</v>
      </c>
      <c r="I864" s="501" t="s">
        <v>3605</v>
      </c>
      <c r="J864" s="501" t="s">
        <v>2812</v>
      </c>
      <c r="K864" s="499">
        <v>8</v>
      </c>
      <c r="L864" s="499">
        <v>16132</v>
      </c>
      <c r="M864" s="366">
        <v>2016.5</v>
      </c>
      <c r="N864" s="367">
        <f t="shared" si="243"/>
        <v>14408</v>
      </c>
      <c r="O864" s="61">
        <v>14390</v>
      </c>
      <c r="P864" s="368">
        <v>0</v>
      </c>
      <c r="Q864" s="368">
        <v>0</v>
      </c>
      <c r="R864" s="494">
        <v>0</v>
      </c>
      <c r="S864" s="493">
        <v>0</v>
      </c>
      <c r="T864" s="494">
        <v>18</v>
      </c>
      <c r="U864" s="493">
        <v>0</v>
      </c>
      <c r="V864" s="502">
        <v>2</v>
      </c>
      <c r="W864" s="453">
        <f t="shared" si="245"/>
        <v>7195</v>
      </c>
      <c r="X864" s="748">
        <f t="shared" si="246"/>
        <v>0.89201586908008923</v>
      </c>
      <c r="Y864" s="451" t="str">
        <f>IFERROR(VLOOKUP(E:E,'Item Data Support Sheet'!A:J,6,0),0)</f>
        <v>FO021</v>
      </c>
      <c r="Z864" s="428">
        <f>IFERROR(VLOOKUP(E:E,'Item Data Support Sheet'!A:O,4,0),0)</f>
        <v>0</v>
      </c>
      <c r="AA864" s="428">
        <f t="shared" si="247"/>
        <v>0</v>
      </c>
      <c r="AB864" s="429" t="str">
        <f t="shared" si="248"/>
        <v xml:space="preserve"> </v>
      </c>
      <c r="AC864" s="424">
        <f t="shared" si="249"/>
        <v>1.249305941143809E-3</v>
      </c>
      <c r="AD864" s="371">
        <f t="shared" si="250"/>
        <v>0</v>
      </c>
      <c r="AE864" s="748">
        <f t="shared" si="251"/>
        <v>0.99875069405885619</v>
      </c>
      <c r="AF864" s="417">
        <f t="shared" si="252"/>
        <v>0.83333333333333337</v>
      </c>
      <c r="AG864" s="416">
        <f t="shared" si="253"/>
        <v>7.166666666666667</v>
      </c>
      <c r="AH864" s="372">
        <f t="shared" si="254"/>
        <v>0.89583333333333337</v>
      </c>
      <c r="AI864" s="373">
        <f t="shared" si="255"/>
        <v>1798.75</v>
      </c>
      <c r="AJ864" s="418">
        <f>VLOOKUP(D864,'Standard Cycle time'!C:D,2,0)</f>
        <v>2.5</v>
      </c>
      <c r="AK864" s="418">
        <f t="shared" si="256"/>
        <v>3.5858234885337041</v>
      </c>
      <c r="AL864" s="374">
        <f t="shared" si="257"/>
        <v>0.69718992248062017</v>
      </c>
      <c r="AM864" s="372">
        <f t="shared" si="258"/>
        <v>0.62378569824248875</v>
      </c>
      <c r="AN864" s="799">
        <v>0.62378569824248875</v>
      </c>
      <c r="AO864" s="448"/>
      <c r="AP864" s="440">
        <v>50</v>
      </c>
      <c r="AQ864" s="440">
        <v>0</v>
      </c>
      <c r="AR864" s="440">
        <v>0</v>
      </c>
      <c r="AS864" s="440">
        <v>0</v>
      </c>
      <c r="AT864" s="440">
        <v>0</v>
      </c>
      <c r="AU864" s="440">
        <v>0</v>
      </c>
      <c r="AV864" s="440">
        <v>0</v>
      </c>
      <c r="AW864" s="440">
        <v>0</v>
      </c>
      <c r="AX864" s="440">
        <v>0</v>
      </c>
      <c r="AY864" s="440">
        <v>0</v>
      </c>
      <c r="AZ864" s="440">
        <v>0</v>
      </c>
      <c r="BA864" s="440">
        <v>0</v>
      </c>
      <c r="BB864" s="440">
        <v>0</v>
      </c>
      <c r="BC864" s="440">
        <v>0</v>
      </c>
      <c r="BD864" s="440">
        <v>0</v>
      </c>
      <c r="BE864" s="440">
        <v>0</v>
      </c>
      <c r="BF864" s="440">
        <v>0</v>
      </c>
      <c r="BG864" s="440">
        <v>0</v>
      </c>
      <c r="BH864" s="440">
        <v>0</v>
      </c>
      <c r="BI864" s="440">
        <v>0</v>
      </c>
      <c r="BJ864" s="440">
        <v>0</v>
      </c>
      <c r="BK864" s="440">
        <v>0</v>
      </c>
      <c r="BL864" s="440">
        <v>0</v>
      </c>
      <c r="BM864" s="440">
        <v>0</v>
      </c>
      <c r="BN864" s="440">
        <v>0</v>
      </c>
      <c r="BO864" s="440">
        <v>0</v>
      </c>
      <c r="BP864" s="440">
        <v>0</v>
      </c>
      <c r="BQ864" s="440">
        <v>0</v>
      </c>
      <c r="BR864" s="415">
        <v>0.83333333333333337</v>
      </c>
      <c r="BS864" s="415">
        <v>0.83333333333333337</v>
      </c>
      <c r="BT864" s="935"/>
      <c r="BU864" s="935"/>
      <c r="BV864" s="935"/>
      <c r="BW864" s="935"/>
      <c r="BX864" s="935"/>
      <c r="BY864" s="935"/>
      <c r="BZ864" s="935"/>
      <c r="CA864" s="935"/>
      <c r="CB864" s="935"/>
      <c r="CC864" s="935"/>
      <c r="CD864" s="935"/>
      <c r="CE864" s="935"/>
      <c r="CF864" s="935"/>
      <c r="CG864" s="935"/>
      <c r="CH864" s="935"/>
      <c r="CI864" s="935"/>
      <c r="CJ864" s="935"/>
      <c r="CK864" s="935"/>
      <c r="CL864" s="935"/>
      <c r="CM864" s="935"/>
      <c r="CN864" s="935"/>
      <c r="CO864" s="935"/>
      <c r="CP864" s="935"/>
      <c r="CQ864" s="935"/>
      <c r="CR864" s="935"/>
      <c r="CS864" s="935"/>
      <c r="CT864" s="935"/>
      <c r="CU864" s="935"/>
      <c r="CV864" s="935"/>
    </row>
    <row r="865" spans="1:100" s="441" customFormat="1">
      <c r="A865" s="375">
        <f t="shared" si="244"/>
        <v>10</v>
      </c>
      <c r="B865" s="862">
        <v>44478</v>
      </c>
      <c r="C865" s="493" t="s">
        <v>2001</v>
      </c>
      <c r="D865" s="376" t="str">
        <f>IFERROR(VLOOKUP(E:E,'Item Data Support Sheet'!A:O,7,0),"")</f>
        <v>CAP MOLDED</v>
      </c>
      <c r="E865" s="447" t="s">
        <v>2108</v>
      </c>
      <c r="F865" s="500"/>
      <c r="G865" s="497" t="s">
        <v>3579</v>
      </c>
      <c r="H865" s="602" t="str">
        <f>IFERROR(VLOOKUP(E:E,'Item Data Support Sheet'!A:O,2,0),"")</f>
        <v>CAP S TYPE MOLDED BLUE</v>
      </c>
      <c r="I865" s="501" t="s">
        <v>3606</v>
      </c>
      <c r="J865" s="501" t="s">
        <v>2811</v>
      </c>
      <c r="K865" s="499">
        <v>2</v>
      </c>
      <c r="L865" s="499">
        <v>1036</v>
      </c>
      <c r="M865" s="366">
        <v>518</v>
      </c>
      <c r="N865" s="367">
        <f t="shared" si="243"/>
        <v>1370</v>
      </c>
      <c r="O865" s="61">
        <v>1370</v>
      </c>
      <c r="P865" s="368">
        <v>0</v>
      </c>
      <c r="Q865" s="368">
        <v>0</v>
      </c>
      <c r="R865" s="494">
        <v>0</v>
      </c>
      <c r="S865" s="493">
        <v>0</v>
      </c>
      <c r="T865" s="494">
        <v>0</v>
      </c>
      <c r="U865" s="493">
        <v>0</v>
      </c>
      <c r="V865" s="502">
        <v>1</v>
      </c>
      <c r="W865" s="453">
        <f t="shared" si="245"/>
        <v>1370</v>
      </c>
      <c r="X865" s="748">
        <f t="shared" si="246"/>
        <v>1.3223938223938223</v>
      </c>
      <c r="Y865" s="451" t="str">
        <f>IFERROR(VLOOKUP(E:E,'Item Data Support Sheet'!A:J,6,0),0)</f>
        <v>RM000114</v>
      </c>
      <c r="Z865" s="428">
        <f>IFERROR(VLOOKUP(E:E,'Item Data Support Sheet'!A:O,4,0),0)</f>
        <v>7.3</v>
      </c>
      <c r="AA865" s="428">
        <f t="shared" si="247"/>
        <v>10.000999999999999</v>
      </c>
      <c r="AB865" s="429">
        <f t="shared" si="248"/>
        <v>1</v>
      </c>
      <c r="AC865" s="424">
        <f t="shared" si="249"/>
        <v>0</v>
      </c>
      <c r="AD865" s="371">
        <f t="shared" si="250"/>
        <v>0</v>
      </c>
      <c r="AE865" s="748">
        <f t="shared" si="251"/>
        <v>1</v>
      </c>
      <c r="AF865" s="417">
        <f t="shared" si="252"/>
        <v>0</v>
      </c>
      <c r="AG865" s="416">
        <f t="shared" si="253"/>
        <v>2</v>
      </c>
      <c r="AH865" s="372">
        <f t="shared" si="254"/>
        <v>1</v>
      </c>
      <c r="AI865" s="373">
        <f t="shared" si="255"/>
        <v>685</v>
      </c>
      <c r="AJ865" s="418">
        <f>VLOOKUP(D865,'Standard Cycle time'!C:D,2,0)</f>
        <v>6</v>
      </c>
      <c r="AK865" s="418">
        <f t="shared" si="256"/>
        <v>5.2554744525547443</v>
      </c>
      <c r="AL865" s="374">
        <f t="shared" si="257"/>
        <v>1.1416666666666666</v>
      </c>
      <c r="AM865" s="372">
        <f t="shared" si="258"/>
        <v>1.1416666666666666</v>
      </c>
      <c r="AN865" s="799">
        <v>1.1416666666666666</v>
      </c>
      <c r="AO865" s="448"/>
      <c r="AP865" s="440">
        <v>0</v>
      </c>
      <c r="AQ865" s="440">
        <v>0</v>
      </c>
      <c r="AR865" s="440">
        <v>0</v>
      </c>
      <c r="AS865" s="440">
        <v>0</v>
      </c>
      <c r="AT865" s="440">
        <v>0</v>
      </c>
      <c r="AU865" s="440">
        <v>0</v>
      </c>
      <c r="AV865" s="440">
        <v>0</v>
      </c>
      <c r="AW865" s="440">
        <v>0</v>
      </c>
      <c r="AX865" s="440">
        <v>0</v>
      </c>
      <c r="AY865" s="440">
        <v>0</v>
      </c>
      <c r="AZ865" s="440">
        <v>0</v>
      </c>
      <c r="BA865" s="440">
        <v>0</v>
      </c>
      <c r="BB865" s="440">
        <v>0</v>
      </c>
      <c r="BC865" s="440">
        <v>0</v>
      </c>
      <c r="BD865" s="440">
        <v>0</v>
      </c>
      <c r="BE865" s="440">
        <v>0</v>
      </c>
      <c r="BF865" s="440">
        <v>0</v>
      </c>
      <c r="BG865" s="440">
        <v>0</v>
      </c>
      <c r="BH865" s="440">
        <v>0</v>
      </c>
      <c r="BI865" s="440">
        <v>0</v>
      </c>
      <c r="BJ865" s="440">
        <v>0</v>
      </c>
      <c r="BK865" s="440">
        <v>0</v>
      </c>
      <c r="BL865" s="440">
        <v>0</v>
      </c>
      <c r="BM865" s="440">
        <v>0</v>
      </c>
      <c r="BN865" s="440">
        <v>0</v>
      </c>
      <c r="BO865" s="440">
        <v>0</v>
      </c>
      <c r="BP865" s="440">
        <v>0</v>
      </c>
      <c r="BQ865" s="440">
        <v>0</v>
      </c>
      <c r="BR865" s="415">
        <v>0</v>
      </c>
      <c r="BS865" s="415">
        <v>0</v>
      </c>
      <c r="BT865" s="935"/>
      <c r="BU865" s="935"/>
      <c r="BV865" s="935"/>
      <c r="BW865" s="935"/>
      <c r="BX865" s="935"/>
      <c r="BY865" s="935"/>
      <c r="BZ865" s="935"/>
      <c r="CA865" s="935"/>
      <c r="CB865" s="935"/>
      <c r="CC865" s="935"/>
      <c r="CD865" s="935"/>
      <c r="CE865" s="935"/>
      <c r="CF865" s="935"/>
      <c r="CG865" s="935"/>
      <c r="CH865" s="935"/>
      <c r="CI865" s="935"/>
      <c r="CJ865" s="935"/>
      <c r="CK865" s="935"/>
      <c r="CL865" s="935"/>
      <c r="CM865" s="935"/>
      <c r="CN865" s="935"/>
      <c r="CO865" s="935"/>
      <c r="CP865" s="935"/>
      <c r="CQ865" s="935"/>
      <c r="CR865" s="935"/>
      <c r="CS865" s="935"/>
      <c r="CT865" s="935"/>
      <c r="CU865" s="935"/>
      <c r="CV865" s="935"/>
    </row>
    <row r="866" spans="1:100" s="441" customFormat="1">
      <c r="A866" s="375">
        <f t="shared" si="244"/>
        <v>10</v>
      </c>
      <c r="B866" s="862">
        <v>44478</v>
      </c>
      <c r="C866" s="493" t="s">
        <v>2001</v>
      </c>
      <c r="D866" s="376" t="str">
        <f>IFERROR(VLOOKUP(E:E,'Item Data Support Sheet'!A:O,7,0),"")</f>
        <v>NIPPLE PUNCH</v>
      </c>
      <c r="E866" s="447" t="s">
        <v>82</v>
      </c>
      <c r="F866" s="500"/>
      <c r="G866" s="497" t="s">
        <v>1692</v>
      </c>
      <c r="H866" s="602" t="str">
        <f>IFERROR(VLOOKUP(E:E,'Item Data Support Sheet'!A:O,2,0),"")</f>
        <v>NIPPLE S TYPE L SIZE PUNCHED</v>
      </c>
      <c r="I866" s="501" t="s">
        <v>3607</v>
      </c>
      <c r="J866" s="501" t="s">
        <v>2811</v>
      </c>
      <c r="K866" s="499">
        <v>8</v>
      </c>
      <c r="L866" s="499">
        <v>7000</v>
      </c>
      <c r="M866" s="366">
        <v>875</v>
      </c>
      <c r="N866" s="367">
        <f t="shared" si="243"/>
        <v>6000</v>
      </c>
      <c r="O866" s="61">
        <v>6000</v>
      </c>
      <c r="P866" s="368">
        <v>0</v>
      </c>
      <c r="Q866" s="368">
        <v>0</v>
      </c>
      <c r="R866" s="494">
        <v>0</v>
      </c>
      <c r="S866" s="493">
        <v>0</v>
      </c>
      <c r="T866" s="494">
        <v>0</v>
      </c>
      <c r="U866" s="493">
        <v>0</v>
      </c>
      <c r="V866" s="502">
        <v>1</v>
      </c>
      <c r="W866" s="453">
        <f t="shared" si="245"/>
        <v>6000</v>
      </c>
      <c r="X866" s="748">
        <f t="shared" si="246"/>
        <v>0.8571428571428571</v>
      </c>
      <c r="Y866" s="451" t="str">
        <f>IFERROR(VLOOKUP(E:E,'Item Data Support Sheet'!A:J,6,0),0)</f>
        <v>FO017</v>
      </c>
      <c r="Z866" s="428">
        <f>IFERROR(VLOOKUP(E:E,'Item Data Support Sheet'!A:O,4,0),0)</f>
        <v>0</v>
      </c>
      <c r="AA866" s="428">
        <f t="shared" si="247"/>
        <v>0</v>
      </c>
      <c r="AB866" s="429" t="str">
        <f t="shared" si="248"/>
        <v xml:space="preserve"> </v>
      </c>
      <c r="AC866" s="424">
        <f t="shared" si="249"/>
        <v>0</v>
      </c>
      <c r="AD866" s="371">
        <f t="shared" si="250"/>
        <v>0</v>
      </c>
      <c r="AE866" s="748">
        <f t="shared" si="251"/>
        <v>1</v>
      </c>
      <c r="AF866" s="417">
        <f t="shared" si="252"/>
        <v>0.66666666666666663</v>
      </c>
      <c r="AG866" s="416">
        <f t="shared" si="253"/>
        <v>7.333333333333333</v>
      </c>
      <c r="AH866" s="372">
        <f t="shared" si="254"/>
        <v>0.91666666666666663</v>
      </c>
      <c r="AI866" s="373">
        <f t="shared" si="255"/>
        <v>750</v>
      </c>
      <c r="AJ866" s="418">
        <f>VLOOKUP(D866,'Standard Cycle time'!C:D,2,0)</f>
        <v>3.5</v>
      </c>
      <c r="AK866" s="418">
        <f t="shared" si="256"/>
        <v>4.4000000000000004</v>
      </c>
      <c r="AL866" s="374">
        <f t="shared" si="257"/>
        <v>0.79545454545454541</v>
      </c>
      <c r="AM866" s="372">
        <f t="shared" si="258"/>
        <v>0.72916666666666663</v>
      </c>
      <c r="AN866" s="799">
        <v>0.72916666666666663</v>
      </c>
      <c r="AO866" s="448" t="s">
        <v>3608</v>
      </c>
      <c r="AP866" s="440">
        <v>40</v>
      </c>
      <c r="AQ866" s="440">
        <v>0</v>
      </c>
      <c r="AR866" s="440">
        <v>0</v>
      </c>
      <c r="AS866" s="440">
        <v>0</v>
      </c>
      <c r="AT866" s="440">
        <v>0</v>
      </c>
      <c r="AU866" s="440">
        <v>0</v>
      </c>
      <c r="AV866" s="440">
        <v>0</v>
      </c>
      <c r="AW866" s="440">
        <v>0</v>
      </c>
      <c r="AX866" s="440">
        <v>0</v>
      </c>
      <c r="AY866" s="440">
        <v>0</v>
      </c>
      <c r="AZ866" s="440">
        <v>0</v>
      </c>
      <c r="BA866" s="440">
        <v>0</v>
      </c>
      <c r="BB866" s="440">
        <v>0</v>
      </c>
      <c r="BC866" s="440">
        <v>0</v>
      </c>
      <c r="BD866" s="440">
        <v>0</v>
      </c>
      <c r="BE866" s="440">
        <v>0</v>
      </c>
      <c r="BF866" s="440">
        <v>0</v>
      </c>
      <c r="BG866" s="440">
        <v>0</v>
      </c>
      <c r="BH866" s="440">
        <v>0</v>
      </c>
      <c r="BI866" s="440">
        <v>0</v>
      </c>
      <c r="BJ866" s="440">
        <v>0</v>
      </c>
      <c r="BK866" s="440">
        <v>0</v>
      </c>
      <c r="BL866" s="440">
        <v>0</v>
      </c>
      <c r="BM866" s="440">
        <v>0</v>
      </c>
      <c r="BN866" s="440">
        <v>0</v>
      </c>
      <c r="BO866" s="440">
        <v>0</v>
      </c>
      <c r="BP866" s="440">
        <v>0</v>
      </c>
      <c r="BQ866" s="440">
        <v>0</v>
      </c>
      <c r="BR866" s="415">
        <v>0.66666666666666663</v>
      </c>
      <c r="BS866" s="415">
        <v>0.66666666666666663</v>
      </c>
      <c r="BT866" s="935"/>
      <c r="BU866" s="935"/>
      <c r="BV866" s="935"/>
      <c r="BW866" s="935"/>
      <c r="BX866" s="935"/>
      <c r="BY866" s="935"/>
      <c r="BZ866" s="935"/>
      <c r="CA866" s="935"/>
      <c r="CB866" s="935"/>
      <c r="CC866" s="935"/>
      <c r="CD866" s="935"/>
      <c r="CE866" s="935"/>
      <c r="CF866" s="935"/>
      <c r="CG866" s="935"/>
      <c r="CH866" s="935"/>
      <c r="CI866" s="935"/>
      <c r="CJ866" s="935"/>
      <c r="CK866" s="935"/>
      <c r="CL866" s="935"/>
      <c r="CM866" s="935"/>
      <c r="CN866" s="935"/>
      <c r="CO866" s="935"/>
      <c r="CP866" s="935"/>
      <c r="CQ866" s="935"/>
      <c r="CR866" s="935"/>
      <c r="CS866" s="935"/>
      <c r="CT866" s="935"/>
      <c r="CU866" s="935"/>
      <c r="CV866" s="935"/>
    </row>
    <row r="867" spans="1:100" s="441" customFormat="1">
      <c r="A867" s="375">
        <f t="shared" si="244"/>
        <v>10</v>
      </c>
      <c r="B867" s="862">
        <v>44478</v>
      </c>
      <c r="C867" s="493" t="s">
        <v>2001</v>
      </c>
      <c r="D867" s="376" t="str">
        <f>IFERROR(VLOOKUP(E:E,'Item Data Support Sheet'!A:O,7,0),"")</f>
        <v>NIPPLE LASER MARKING</v>
      </c>
      <c r="E867" s="447" t="s">
        <v>1816</v>
      </c>
      <c r="F867" s="500"/>
      <c r="G867" s="497" t="s">
        <v>1812</v>
      </c>
      <c r="H867" s="602" t="str">
        <f>IFERROR(VLOOKUP(E:E,'Item Data Support Sheet'!A:O,2,0),"")</f>
        <v>NIPPLE S TYPE L SIZE PUNCHED LASER MARKED</v>
      </c>
      <c r="I867" s="501" t="s">
        <v>3604</v>
      </c>
      <c r="J867" s="501" t="s">
        <v>2811</v>
      </c>
      <c r="K867" s="499">
        <v>8</v>
      </c>
      <c r="L867" s="499">
        <v>7000</v>
      </c>
      <c r="M867" s="366">
        <v>875</v>
      </c>
      <c r="N867" s="367">
        <f t="shared" si="243"/>
        <v>7000</v>
      </c>
      <c r="O867" s="61">
        <v>7000</v>
      </c>
      <c r="P867" s="368">
        <v>0</v>
      </c>
      <c r="Q867" s="368">
        <v>0</v>
      </c>
      <c r="R867" s="494">
        <v>0</v>
      </c>
      <c r="S867" s="493">
        <v>0</v>
      </c>
      <c r="T867" s="494">
        <v>0</v>
      </c>
      <c r="U867" s="493">
        <v>0</v>
      </c>
      <c r="V867" s="502">
        <v>1</v>
      </c>
      <c r="W867" s="453">
        <f t="shared" si="245"/>
        <v>7000</v>
      </c>
      <c r="X867" s="748">
        <f t="shared" si="246"/>
        <v>1</v>
      </c>
      <c r="Y867" s="451" t="str">
        <f>IFERROR(VLOOKUP(E:E,'Item Data Support Sheet'!A:J,6,0),0)</f>
        <v>FO021</v>
      </c>
      <c r="Z867" s="428">
        <f>IFERROR(VLOOKUP(E:E,'Item Data Support Sheet'!A:O,4,0),0)</f>
        <v>0</v>
      </c>
      <c r="AA867" s="428">
        <f t="shared" si="247"/>
        <v>0</v>
      </c>
      <c r="AB867" s="429" t="str">
        <f t="shared" si="248"/>
        <v xml:space="preserve"> </v>
      </c>
      <c r="AC867" s="424">
        <f t="shared" si="249"/>
        <v>0</v>
      </c>
      <c r="AD867" s="371">
        <f t="shared" si="250"/>
        <v>0</v>
      </c>
      <c r="AE867" s="748">
        <f t="shared" si="251"/>
        <v>1</v>
      </c>
      <c r="AF867" s="417">
        <f t="shared" si="252"/>
        <v>0.66666666666666663</v>
      </c>
      <c r="AG867" s="416">
        <f t="shared" si="253"/>
        <v>7.333333333333333</v>
      </c>
      <c r="AH867" s="372">
        <f t="shared" si="254"/>
        <v>0.91666666666666663</v>
      </c>
      <c r="AI867" s="373">
        <f t="shared" si="255"/>
        <v>875</v>
      </c>
      <c r="AJ867" s="418">
        <f>VLOOKUP(D867,'Standard Cycle time'!C:D,2,0)</f>
        <v>3.5</v>
      </c>
      <c r="AK867" s="418">
        <f t="shared" si="256"/>
        <v>3.7714285714285714</v>
      </c>
      <c r="AL867" s="374">
        <f t="shared" si="257"/>
        <v>0.92803030303030309</v>
      </c>
      <c r="AM867" s="372">
        <f t="shared" si="258"/>
        <v>0.85069444444444442</v>
      </c>
      <c r="AN867" s="799">
        <v>0.85069444444444442</v>
      </c>
      <c r="AO867" s="448"/>
      <c r="AP867" s="440">
        <v>40</v>
      </c>
      <c r="AQ867" s="440">
        <v>0</v>
      </c>
      <c r="AR867" s="440">
        <v>0</v>
      </c>
      <c r="AS867" s="440">
        <v>0</v>
      </c>
      <c r="AT867" s="440">
        <v>0</v>
      </c>
      <c r="AU867" s="440">
        <v>0</v>
      </c>
      <c r="AV867" s="440">
        <v>0</v>
      </c>
      <c r="AW867" s="440">
        <v>0</v>
      </c>
      <c r="AX867" s="440">
        <v>0</v>
      </c>
      <c r="AY867" s="440">
        <v>0</v>
      </c>
      <c r="AZ867" s="440">
        <v>0</v>
      </c>
      <c r="BA867" s="440">
        <v>0</v>
      </c>
      <c r="BB867" s="440">
        <v>0</v>
      </c>
      <c r="BC867" s="440">
        <v>0</v>
      </c>
      <c r="BD867" s="440">
        <v>0</v>
      </c>
      <c r="BE867" s="440">
        <v>0</v>
      </c>
      <c r="BF867" s="440">
        <v>0</v>
      </c>
      <c r="BG867" s="440">
        <v>0</v>
      </c>
      <c r="BH867" s="440">
        <v>0</v>
      </c>
      <c r="BI867" s="440">
        <v>0</v>
      </c>
      <c r="BJ867" s="440">
        <v>0</v>
      </c>
      <c r="BK867" s="440">
        <v>0</v>
      </c>
      <c r="BL867" s="440">
        <v>0</v>
      </c>
      <c r="BM867" s="440">
        <v>0</v>
      </c>
      <c r="BN867" s="440">
        <v>0</v>
      </c>
      <c r="BO867" s="440">
        <v>0</v>
      </c>
      <c r="BP867" s="440">
        <v>0</v>
      </c>
      <c r="BQ867" s="440">
        <v>0</v>
      </c>
      <c r="BR867" s="415">
        <v>0.66666666666666663</v>
      </c>
      <c r="BS867" s="415">
        <v>0.66666666666666663</v>
      </c>
      <c r="BT867" s="935"/>
      <c r="BU867" s="935"/>
      <c r="BV867" s="935"/>
      <c r="BW867" s="935"/>
      <c r="BX867" s="935"/>
      <c r="BY867" s="935"/>
      <c r="BZ867" s="935"/>
      <c r="CA867" s="935"/>
      <c r="CB867" s="935"/>
      <c r="CC867" s="935"/>
      <c r="CD867" s="935"/>
      <c r="CE867" s="935"/>
      <c r="CF867" s="935"/>
      <c r="CG867" s="935"/>
      <c r="CH867" s="935"/>
      <c r="CI867" s="935"/>
      <c r="CJ867" s="935"/>
      <c r="CK867" s="935"/>
      <c r="CL867" s="935"/>
      <c r="CM867" s="935"/>
      <c r="CN867" s="935"/>
      <c r="CO867" s="935"/>
      <c r="CP867" s="935"/>
      <c r="CQ867" s="935"/>
      <c r="CR867" s="935"/>
      <c r="CS867" s="935"/>
      <c r="CT867" s="935"/>
      <c r="CU867" s="935"/>
      <c r="CV867" s="935"/>
    </row>
    <row r="868" spans="1:100" s="441" customFormat="1">
      <c r="A868" s="375">
        <f t="shared" si="244"/>
        <v>10</v>
      </c>
      <c r="B868" s="862">
        <v>44478</v>
      </c>
      <c r="C868" s="493" t="s">
        <v>2001</v>
      </c>
      <c r="D868" s="376" t="str">
        <f>IFERROR(VLOOKUP(E:E,'Item Data Support Sheet'!A:O,7,0),"")</f>
        <v>NIPPLE MOLDED</v>
      </c>
      <c r="E868" s="447" t="s">
        <v>74</v>
      </c>
      <c r="F868" s="500" t="s">
        <v>1678</v>
      </c>
      <c r="G868" s="497" t="s">
        <v>1691</v>
      </c>
      <c r="H868" s="602" t="str">
        <f>IFERROR(VLOOKUP(E:E,'Item Data Support Sheet'!A:O,2,0),"")</f>
        <v>NIPPLE S TYPE L SIZE INJECTION</v>
      </c>
      <c r="I868" s="501" t="s">
        <v>3609</v>
      </c>
      <c r="J868" s="501" t="s">
        <v>2811</v>
      </c>
      <c r="K868" s="499">
        <v>8</v>
      </c>
      <c r="L868" s="499">
        <v>4815</v>
      </c>
      <c r="M868" s="366">
        <v>601.875</v>
      </c>
      <c r="N868" s="367">
        <f t="shared" si="243"/>
        <v>4664</v>
      </c>
      <c r="O868" s="61">
        <v>4562</v>
      </c>
      <c r="P868" s="368">
        <v>0</v>
      </c>
      <c r="Q868" s="368">
        <v>40</v>
      </c>
      <c r="R868" s="494">
        <v>0</v>
      </c>
      <c r="S868" s="493">
        <v>0</v>
      </c>
      <c r="T868" s="494">
        <v>62</v>
      </c>
      <c r="U868" s="493">
        <v>0</v>
      </c>
      <c r="V868" s="502">
        <v>1</v>
      </c>
      <c r="W868" s="453">
        <f t="shared" si="245"/>
        <v>4562</v>
      </c>
      <c r="X868" s="748">
        <f t="shared" si="246"/>
        <v>0.94745586708203533</v>
      </c>
      <c r="Y868" s="451" t="str">
        <f>IFERROR(VLOOKUP(E:E,'Item Data Support Sheet'!A:J,6,0),0)</f>
        <v>Silicon</v>
      </c>
      <c r="Z868" s="428">
        <f>IFERROR(VLOOKUP(E:E,'Item Data Support Sheet'!A:O,4,0),0)</f>
        <v>6.8</v>
      </c>
      <c r="AA868" s="428">
        <f t="shared" si="247"/>
        <v>31.715199999999999</v>
      </c>
      <c r="AB868" s="429">
        <f t="shared" si="248"/>
        <v>0.97813036020583188</v>
      </c>
      <c r="AC868" s="424">
        <f t="shared" si="249"/>
        <v>1.3408304498269897E-2</v>
      </c>
      <c r="AD868" s="371">
        <f t="shared" si="250"/>
        <v>8.5034013605442185E-3</v>
      </c>
      <c r="AE868" s="748">
        <f t="shared" si="251"/>
        <v>0.98670668953687823</v>
      </c>
      <c r="AF868" s="417">
        <f t="shared" si="252"/>
        <v>1</v>
      </c>
      <c r="AG868" s="416">
        <f t="shared" si="253"/>
        <v>7</v>
      </c>
      <c r="AH868" s="372">
        <f t="shared" si="254"/>
        <v>0.875</v>
      </c>
      <c r="AI868" s="373">
        <f t="shared" si="255"/>
        <v>570.25</v>
      </c>
      <c r="AJ868" s="418">
        <f>VLOOKUP(D868,'Standard Cycle time'!C:D,2,0)</f>
        <v>5.25</v>
      </c>
      <c r="AK868" s="418">
        <f t="shared" si="256"/>
        <v>5.5238930293730819</v>
      </c>
      <c r="AL868" s="374">
        <f t="shared" si="257"/>
        <v>0.95041666666666669</v>
      </c>
      <c r="AM868" s="372">
        <f t="shared" si="258"/>
        <v>0.8205596724914237</v>
      </c>
      <c r="AN868" s="799">
        <v>0.8205596724914237</v>
      </c>
      <c r="AO868" s="448"/>
      <c r="AP868" s="440">
        <v>0</v>
      </c>
      <c r="AQ868" s="440">
        <v>0</v>
      </c>
      <c r="AR868" s="440">
        <v>0</v>
      </c>
      <c r="AS868" s="440">
        <v>0</v>
      </c>
      <c r="AT868" s="440">
        <v>0</v>
      </c>
      <c r="AU868" s="440">
        <v>30</v>
      </c>
      <c r="AV868" s="440">
        <v>30</v>
      </c>
      <c r="AW868" s="440">
        <v>0</v>
      </c>
      <c r="AX868" s="440">
        <v>0</v>
      </c>
      <c r="AY868" s="440">
        <v>0</v>
      </c>
      <c r="AZ868" s="440">
        <v>0</v>
      </c>
      <c r="BA868" s="440">
        <v>0</v>
      </c>
      <c r="BB868" s="440">
        <v>0</v>
      </c>
      <c r="BC868" s="440">
        <v>0</v>
      </c>
      <c r="BD868" s="440">
        <v>0</v>
      </c>
      <c r="BE868" s="440">
        <v>0</v>
      </c>
      <c r="BF868" s="440">
        <v>0</v>
      </c>
      <c r="BG868" s="440">
        <v>0</v>
      </c>
      <c r="BH868" s="440">
        <v>0</v>
      </c>
      <c r="BI868" s="440">
        <v>0</v>
      </c>
      <c r="BJ868" s="440">
        <v>0</v>
      </c>
      <c r="BK868" s="440">
        <v>0</v>
      </c>
      <c r="BL868" s="440">
        <v>0</v>
      </c>
      <c r="BM868" s="440">
        <v>0</v>
      </c>
      <c r="BN868" s="440">
        <v>0</v>
      </c>
      <c r="BO868" s="440">
        <v>0</v>
      </c>
      <c r="BP868" s="440">
        <v>0</v>
      </c>
      <c r="BQ868" s="440">
        <v>0</v>
      </c>
      <c r="BR868" s="415">
        <v>1</v>
      </c>
      <c r="BS868" s="415">
        <v>1</v>
      </c>
      <c r="BT868" s="935"/>
      <c r="BU868" s="935"/>
      <c r="BV868" s="935"/>
      <c r="BW868" s="935"/>
      <c r="BX868" s="935"/>
      <c r="BY868" s="935"/>
      <c r="BZ868" s="935"/>
      <c r="CA868" s="935"/>
      <c r="CB868" s="935"/>
      <c r="CC868" s="935"/>
      <c r="CD868" s="935"/>
      <c r="CE868" s="935"/>
      <c r="CF868" s="935"/>
      <c r="CG868" s="935"/>
      <c r="CH868" s="935"/>
      <c r="CI868" s="935"/>
      <c r="CJ868" s="935"/>
      <c r="CK868" s="935"/>
      <c r="CL868" s="935"/>
      <c r="CM868" s="935"/>
      <c r="CN868" s="935"/>
      <c r="CO868" s="935"/>
      <c r="CP868" s="935"/>
      <c r="CQ868" s="935"/>
      <c r="CR868" s="935"/>
      <c r="CS868" s="935"/>
      <c r="CT868" s="935"/>
      <c r="CU868" s="935"/>
      <c r="CV868" s="935"/>
    </row>
    <row r="869" spans="1:100" s="441" customFormat="1">
      <c r="A869" s="375">
        <f t="shared" si="244"/>
        <v>10</v>
      </c>
      <c r="B869" s="862">
        <v>44478</v>
      </c>
      <c r="C869" s="493" t="s">
        <v>2001</v>
      </c>
      <c r="D869" s="376" t="str">
        <f>IFERROR(VLOOKUP(E:E,'Item Data Support Sheet'!A:O,7,0),"")</f>
        <v>BOTTLE MOLDED</v>
      </c>
      <c r="E869" s="447" t="s">
        <v>66</v>
      </c>
      <c r="F869" s="500" t="s">
        <v>1680</v>
      </c>
      <c r="G869" s="497" t="s">
        <v>1888</v>
      </c>
      <c r="H869" s="602" t="str">
        <f>IFERROR(VLOOKUP(E:E,'Item Data Support Sheet'!A:O,2,0),"")</f>
        <v>KPP 200 ML BOTTLE MOLDED</v>
      </c>
      <c r="I869" s="501" t="s">
        <v>3610</v>
      </c>
      <c r="J869" s="501" t="s">
        <v>2811</v>
      </c>
      <c r="K869" s="499">
        <v>8</v>
      </c>
      <c r="L869" s="499">
        <v>2574</v>
      </c>
      <c r="M869" s="366">
        <v>321.75</v>
      </c>
      <c r="N869" s="367">
        <f t="shared" si="243"/>
        <v>3204</v>
      </c>
      <c r="O869" s="61">
        <v>3132</v>
      </c>
      <c r="P869" s="368">
        <v>0</v>
      </c>
      <c r="Q869" s="368">
        <v>24</v>
      </c>
      <c r="R869" s="494">
        <v>0</v>
      </c>
      <c r="S869" s="493">
        <v>0</v>
      </c>
      <c r="T869" s="494">
        <v>40</v>
      </c>
      <c r="U869" s="493">
        <v>8</v>
      </c>
      <c r="V869" s="502">
        <v>1</v>
      </c>
      <c r="W869" s="453">
        <f t="shared" si="245"/>
        <v>3132</v>
      </c>
      <c r="X869" s="748">
        <f t="shared" si="246"/>
        <v>1.2167832167832169</v>
      </c>
      <c r="Y869" s="451" t="str">
        <f>IFERROR(VLOOKUP(E:E,'Item Data Support Sheet'!A:J,6,0),0)</f>
        <v>HMC</v>
      </c>
      <c r="Z869" s="428">
        <f>IFERROR(VLOOKUP(E:E,'Item Data Support Sheet'!A:O,4,0),0)</f>
        <v>28.1</v>
      </c>
      <c r="AA869" s="428">
        <f t="shared" si="247"/>
        <v>90.032399999999996</v>
      </c>
      <c r="AB869" s="429">
        <f t="shared" si="248"/>
        <v>0.97752808988764062</v>
      </c>
      <c r="AC869" s="424">
        <f t="shared" si="249"/>
        <v>1.2610340479192938E-2</v>
      </c>
      <c r="AD869" s="371">
        <f t="shared" si="250"/>
        <v>7.4349442379182153E-3</v>
      </c>
      <c r="AE869" s="748">
        <f t="shared" si="251"/>
        <v>0.98751560549313355</v>
      </c>
      <c r="AF869" s="417">
        <f t="shared" si="252"/>
        <v>0</v>
      </c>
      <c r="AG869" s="416">
        <f t="shared" si="253"/>
        <v>8</v>
      </c>
      <c r="AH869" s="372">
        <f t="shared" si="254"/>
        <v>1</v>
      </c>
      <c r="AI869" s="373">
        <f t="shared" si="255"/>
        <v>391.5</v>
      </c>
      <c r="AJ869" s="418">
        <f>VLOOKUP(D869,'Standard Cycle time'!C:D,2,0)</f>
        <v>9</v>
      </c>
      <c r="AK869" s="418">
        <f t="shared" si="256"/>
        <v>9.1954022988505741</v>
      </c>
      <c r="AL869" s="374">
        <f t="shared" si="257"/>
        <v>0.97875000000000001</v>
      </c>
      <c r="AM869" s="372">
        <f t="shared" si="258"/>
        <v>0.96653089887640442</v>
      </c>
      <c r="AN869" s="799">
        <v>0.96653089887640442</v>
      </c>
      <c r="AO869" s="448"/>
      <c r="AP869" s="440">
        <v>0</v>
      </c>
      <c r="AQ869" s="440">
        <v>0</v>
      </c>
      <c r="AR869" s="440">
        <v>0</v>
      </c>
      <c r="AS869" s="440">
        <v>0</v>
      </c>
      <c r="AT869" s="440">
        <v>0</v>
      </c>
      <c r="AU869" s="440">
        <v>0</v>
      </c>
      <c r="AV869" s="440">
        <v>0</v>
      </c>
      <c r="AW869" s="440">
        <v>0</v>
      </c>
      <c r="AX869" s="440">
        <v>0</v>
      </c>
      <c r="AY869" s="440">
        <v>0</v>
      </c>
      <c r="AZ869" s="440">
        <v>0</v>
      </c>
      <c r="BA869" s="440">
        <v>0</v>
      </c>
      <c r="BB869" s="440">
        <v>0</v>
      </c>
      <c r="BC869" s="440">
        <v>0</v>
      </c>
      <c r="BD869" s="440">
        <v>0</v>
      </c>
      <c r="BE869" s="440">
        <v>0</v>
      </c>
      <c r="BF869" s="440">
        <v>0</v>
      </c>
      <c r="BG869" s="440">
        <v>0</v>
      </c>
      <c r="BH869" s="440">
        <v>0</v>
      </c>
      <c r="BI869" s="440">
        <v>0</v>
      </c>
      <c r="BJ869" s="440">
        <v>0</v>
      </c>
      <c r="BK869" s="440">
        <v>0</v>
      </c>
      <c r="BL869" s="440">
        <v>0</v>
      </c>
      <c r="BM869" s="440">
        <v>0</v>
      </c>
      <c r="BN869" s="440">
        <v>0</v>
      </c>
      <c r="BO869" s="440">
        <v>0</v>
      </c>
      <c r="BP869" s="440">
        <v>0</v>
      </c>
      <c r="BQ869" s="440">
        <v>0</v>
      </c>
      <c r="BR869" s="415">
        <v>0</v>
      </c>
      <c r="BS869" s="415">
        <v>0</v>
      </c>
      <c r="BT869" s="935"/>
      <c r="BU869" s="935"/>
      <c r="BV869" s="935"/>
      <c r="BW869" s="935"/>
      <c r="BX869" s="935"/>
      <c r="BY869" s="935"/>
      <c r="BZ869" s="935"/>
      <c r="CA869" s="935"/>
      <c r="CB869" s="935"/>
      <c r="CC869" s="935"/>
      <c r="CD869" s="935"/>
      <c r="CE869" s="935"/>
      <c r="CF869" s="935"/>
      <c r="CG869" s="935"/>
      <c r="CH869" s="935"/>
      <c r="CI869" s="935"/>
      <c r="CJ869" s="935"/>
      <c r="CK869" s="935"/>
      <c r="CL869" s="935"/>
      <c r="CM869" s="935"/>
      <c r="CN869" s="935"/>
      <c r="CO869" s="935"/>
      <c r="CP869" s="935"/>
      <c r="CQ869" s="935"/>
      <c r="CR869" s="935"/>
      <c r="CS869" s="935"/>
      <c r="CT869" s="935"/>
      <c r="CU869" s="935"/>
      <c r="CV869" s="935"/>
    </row>
    <row r="870" spans="1:100" s="441" customFormat="1">
      <c r="A870" s="375">
        <f t="shared" si="244"/>
        <v>10</v>
      </c>
      <c r="B870" s="862">
        <v>44478</v>
      </c>
      <c r="C870" s="493" t="s">
        <v>2001</v>
      </c>
      <c r="D870" s="376" t="str">
        <f>IFERROR(VLOOKUP(E:E,'Item Data Support Sheet'!A:O,7,0),"")</f>
        <v>CAP MOLDED</v>
      </c>
      <c r="E870" s="447" t="s">
        <v>2108</v>
      </c>
      <c r="F870" s="500"/>
      <c r="G870" s="497" t="s">
        <v>3212</v>
      </c>
      <c r="H870" s="602" t="str">
        <f>IFERROR(VLOOKUP(E:E,'Item Data Support Sheet'!A:O,2,0),"")</f>
        <v>CAP S TYPE MOLDED BLUE</v>
      </c>
      <c r="I870" s="501" t="s">
        <v>3611</v>
      </c>
      <c r="J870" s="501" t="s">
        <v>2811</v>
      </c>
      <c r="K870" s="499">
        <v>6</v>
      </c>
      <c r="L870" s="499">
        <v>3101</v>
      </c>
      <c r="M870" s="366">
        <v>516.83333333333337</v>
      </c>
      <c r="N870" s="367">
        <f t="shared" si="243"/>
        <v>2604</v>
      </c>
      <c r="O870" s="61">
        <v>2600</v>
      </c>
      <c r="P870" s="368">
        <v>0</v>
      </c>
      <c r="Q870" s="368">
        <v>0</v>
      </c>
      <c r="R870" s="494">
        <v>0</v>
      </c>
      <c r="S870" s="493">
        <v>0</v>
      </c>
      <c r="T870" s="494">
        <v>4</v>
      </c>
      <c r="U870" s="493">
        <v>0</v>
      </c>
      <c r="V870" s="502">
        <v>1</v>
      </c>
      <c r="W870" s="453">
        <f t="shared" si="245"/>
        <v>2600</v>
      </c>
      <c r="X870" s="748">
        <f t="shared" si="246"/>
        <v>0.83843921315704606</v>
      </c>
      <c r="Y870" s="451" t="str">
        <f>IFERROR(VLOOKUP(E:E,'Item Data Support Sheet'!A:J,6,0),0)</f>
        <v>RM000114</v>
      </c>
      <c r="Z870" s="428">
        <f>IFERROR(VLOOKUP(E:E,'Item Data Support Sheet'!A:O,4,0),0)</f>
        <v>7.3</v>
      </c>
      <c r="AA870" s="428">
        <f t="shared" si="247"/>
        <v>19.0092</v>
      </c>
      <c r="AB870" s="429">
        <f t="shared" si="248"/>
        <v>0.99846390168970822</v>
      </c>
      <c r="AC870" s="424">
        <f t="shared" si="249"/>
        <v>1.5360983102918587E-3</v>
      </c>
      <c r="AD870" s="371">
        <f t="shared" si="250"/>
        <v>0</v>
      </c>
      <c r="AE870" s="748">
        <f t="shared" si="251"/>
        <v>0.99846390168970811</v>
      </c>
      <c r="AF870" s="417">
        <f t="shared" si="252"/>
        <v>1.5</v>
      </c>
      <c r="AG870" s="416">
        <f t="shared" si="253"/>
        <v>4.5</v>
      </c>
      <c r="AH870" s="372">
        <f t="shared" si="254"/>
        <v>0.75</v>
      </c>
      <c r="AI870" s="373">
        <f t="shared" si="255"/>
        <v>433.33333333333331</v>
      </c>
      <c r="AJ870" s="418">
        <f>VLOOKUP(D870,'Standard Cycle time'!C:D,2,0)</f>
        <v>6</v>
      </c>
      <c r="AK870" s="418">
        <f t="shared" si="256"/>
        <v>6.2307692307692308</v>
      </c>
      <c r="AL870" s="374">
        <f t="shared" si="257"/>
        <v>0.96296296296296291</v>
      </c>
      <c r="AM870" s="372">
        <f t="shared" si="258"/>
        <v>0.72111281788701143</v>
      </c>
      <c r="AN870" s="799">
        <v>0.72111281788701143</v>
      </c>
      <c r="AO870" s="448"/>
      <c r="AP870" s="440">
        <v>0</v>
      </c>
      <c r="AQ870" s="440">
        <v>0</v>
      </c>
      <c r="AR870" s="440">
        <v>0</v>
      </c>
      <c r="AS870" s="440">
        <v>0</v>
      </c>
      <c r="AT870" s="440">
        <v>0</v>
      </c>
      <c r="AU870" s="440">
        <v>0</v>
      </c>
      <c r="AV870" s="440">
        <v>30</v>
      </c>
      <c r="AW870" s="440">
        <v>30</v>
      </c>
      <c r="AX870" s="440">
        <v>0</v>
      </c>
      <c r="AY870" s="440">
        <v>0</v>
      </c>
      <c r="AZ870" s="440">
        <v>30</v>
      </c>
      <c r="BA870" s="440">
        <v>0</v>
      </c>
      <c r="BB870" s="440">
        <v>0</v>
      </c>
      <c r="BC870" s="440">
        <v>0</v>
      </c>
      <c r="BD870" s="440">
        <v>0</v>
      </c>
      <c r="BE870" s="440">
        <v>0</v>
      </c>
      <c r="BF870" s="440">
        <v>0</v>
      </c>
      <c r="BG870" s="440">
        <v>0</v>
      </c>
      <c r="BH870" s="440">
        <v>0</v>
      </c>
      <c r="BI870" s="440">
        <v>0</v>
      </c>
      <c r="BJ870" s="440">
        <v>0</v>
      </c>
      <c r="BK870" s="440">
        <v>0</v>
      </c>
      <c r="BL870" s="440">
        <v>0</v>
      </c>
      <c r="BM870" s="440">
        <v>0</v>
      </c>
      <c r="BN870" s="440">
        <v>0</v>
      </c>
      <c r="BO870" s="440">
        <v>0</v>
      </c>
      <c r="BP870" s="440">
        <v>0</v>
      </c>
      <c r="BQ870" s="440">
        <v>0</v>
      </c>
      <c r="BR870" s="415">
        <v>1.5</v>
      </c>
      <c r="BS870" s="415">
        <v>1.5</v>
      </c>
      <c r="BT870" s="935"/>
      <c r="BU870" s="935"/>
      <c r="BV870" s="935"/>
      <c r="BW870" s="935"/>
      <c r="BX870" s="935"/>
      <c r="BY870" s="935"/>
      <c r="BZ870" s="935"/>
      <c r="CA870" s="935"/>
      <c r="CB870" s="935"/>
      <c r="CC870" s="935"/>
      <c r="CD870" s="935"/>
      <c r="CE870" s="935"/>
      <c r="CF870" s="935"/>
      <c r="CG870" s="935"/>
      <c r="CH870" s="935"/>
      <c r="CI870" s="935"/>
      <c r="CJ870" s="935"/>
      <c r="CK870" s="935"/>
      <c r="CL870" s="935"/>
      <c r="CM870" s="935"/>
      <c r="CN870" s="935"/>
      <c r="CO870" s="935"/>
      <c r="CP870" s="935"/>
      <c r="CQ870" s="935"/>
      <c r="CR870" s="935"/>
      <c r="CS870" s="935"/>
      <c r="CT870" s="935"/>
      <c r="CU870" s="935"/>
      <c r="CV870" s="935"/>
    </row>
    <row r="871" spans="1:100" s="441" customFormat="1">
      <c r="A871" s="375">
        <f t="shared" si="244"/>
        <v>10</v>
      </c>
      <c r="B871" s="862">
        <v>44478</v>
      </c>
      <c r="C871" s="493" t="s">
        <v>2001</v>
      </c>
      <c r="D871" s="376" t="str">
        <f>IFERROR(VLOOKUP(E:E,'Item Data Support Sheet'!A:O,7,0),"")</f>
        <v>BOTTLE PRINTED</v>
      </c>
      <c r="E871" s="447" t="s">
        <v>69</v>
      </c>
      <c r="F871" s="500"/>
      <c r="G871" s="497"/>
      <c r="H871" s="602" t="str">
        <f>IFERROR(VLOOKUP(E:E,'Item Data Support Sheet'!A:O,2,0),"")</f>
        <v>KPP 120 ML BOTTLE PRINTED</v>
      </c>
      <c r="I871" s="501" t="s">
        <v>3612</v>
      </c>
      <c r="J871" s="501" t="s">
        <v>2811</v>
      </c>
      <c r="K871" s="499">
        <v>8</v>
      </c>
      <c r="L871" s="499">
        <v>5100</v>
      </c>
      <c r="M871" s="366">
        <v>637.5</v>
      </c>
      <c r="N871" s="367">
        <f t="shared" si="243"/>
        <v>4886</v>
      </c>
      <c r="O871" s="61">
        <v>4860</v>
      </c>
      <c r="P871" s="368">
        <v>0</v>
      </c>
      <c r="Q871" s="368">
        <v>0</v>
      </c>
      <c r="R871" s="494">
        <v>40</v>
      </c>
      <c r="S871" s="493">
        <v>0</v>
      </c>
      <c r="T871" s="494">
        <v>26</v>
      </c>
      <c r="U871" s="493">
        <v>0</v>
      </c>
      <c r="V871" s="502">
        <v>5</v>
      </c>
      <c r="W871" s="453">
        <f t="shared" si="245"/>
        <v>972</v>
      </c>
      <c r="X871" s="748">
        <f t="shared" si="246"/>
        <v>0.95294117647058818</v>
      </c>
      <c r="Y871" s="451" t="str">
        <f>IFERROR(VLOOKUP(E:E,'Item Data Support Sheet'!A:J,6,0),0)</f>
        <v>FO001</v>
      </c>
      <c r="Z871" s="428">
        <f>IFERROR(VLOOKUP(E:E,'Item Data Support Sheet'!A:O,4,0),0)</f>
        <v>0</v>
      </c>
      <c r="AA871" s="428">
        <f t="shared" si="247"/>
        <v>0</v>
      </c>
      <c r="AB871" s="429" t="str">
        <f t="shared" si="248"/>
        <v xml:space="preserve"> </v>
      </c>
      <c r="AC871" s="424">
        <f t="shared" si="249"/>
        <v>5.3213262382316821E-3</v>
      </c>
      <c r="AD871" s="371">
        <f t="shared" si="250"/>
        <v>0</v>
      </c>
      <c r="AE871" s="748">
        <f t="shared" si="251"/>
        <v>0.99467867376176833</v>
      </c>
      <c r="AF871" s="417">
        <f t="shared" si="252"/>
        <v>0.66666666666666663</v>
      </c>
      <c r="AG871" s="416">
        <f t="shared" si="253"/>
        <v>7.333333333333333</v>
      </c>
      <c r="AH871" s="372">
        <f t="shared" si="254"/>
        <v>0.91666666666666663</v>
      </c>
      <c r="AI871" s="373">
        <f t="shared" si="255"/>
        <v>607.5</v>
      </c>
      <c r="AJ871" s="418">
        <f>VLOOKUP(D871,'Standard Cycle time'!C:D,2,0)</f>
        <v>32.4</v>
      </c>
      <c r="AK871" s="418">
        <f t="shared" si="256"/>
        <v>27.160493827160494</v>
      </c>
      <c r="AL871" s="374">
        <f t="shared" si="257"/>
        <v>1.1929090909090909</v>
      </c>
      <c r="AM871" s="372">
        <f t="shared" si="258"/>
        <v>1.0876811297584936</v>
      </c>
      <c r="AN871" s="799">
        <v>1.0876811297584936</v>
      </c>
      <c r="AO871" s="448"/>
      <c r="AP871" s="440">
        <v>40</v>
      </c>
      <c r="AQ871" s="440">
        <v>0</v>
      </c>
      <c r="AR871" s="440">
        <v>0</v>
      </c>
      <c r="AS871" s="440">
        <v>0</v>
      </c>
      <c r="AT871" s="440">
        <v>0</v>
      </c>
      <c r="AU871" s="440">
        <v>0</v>
      </c>
      <c r="AV871" s="440">
        <v>0</v>
      </c>
      <c r="AW871" s="440">
        <v>0</v>
      </c>
      <c r="AX871" s="440">
        <v>0</v>
      </c>
      <c r="AY871" s="440">
        <v>0</v>
      </c>
      <c r="AZ871" s="440">
        <v>0</v>
      </c>
      <c r="BA871" s="440">
        <v>0</v>
      </c>
      <c r="BB871" s="440">
        <v>0</v>
      </c>
      <c r="BC871" s="440">
        <v>0</v>
      </c>
      <c r="BD871" s="440">
        <v>0</v>
      </c>
      <c r="BE871" s="440">
        <v>0</v>
      </c>
      <c r="BF871" s="440">
        <v>0</v>
      </c>
      <c r="BG871" s="440">
        <v>0</v>
      </c>
      <c r="BH871" s="440">
        <v>0</v>
      </c>
      <c r="BI871" s="440">
        <v>0</v>
      </c>
      <c r="BJ871" s="440">
        <v>0</v>
      </c>
      <c r="BK871" s="440">
        <v>0</v>
      </c>
      <c r="BL871" s="440">
        <v>0</v>
      </c>
      <c r="BM871" s="440">
        <v>0</v>
      </c>
      <c r="BN871" s="440">
        <v>0</v>
      </c>
      <c r="BO871" s="440">
        <v>0</v>
      </c>
      <c r="BP871" s="440">
        <v>0</v>
      </c>
      <c r="BQ871" s="440">
        <v>0</v>
      </c>
      <c r="BR871" s="415">
        <v>0.66666666666666663</v>
      </c>
      <c r="BS871" s="415">
        <v>0.66666666666666663</v>
      </c>
      <c r="BT871" s="935"/>
      <c r="BU871" s="935"/>
      <c r="BV871" s="935"/>
      <c r="BW871" s="935"/>
      <c r="BX871" s="935"/>
      <c r="BY871" s="935"/>
      <c r="BZ871" s="935"/>
      <c r="CA871" s="935"/>
      <c r="CB871" s="935"/>
      <c r="CC871" s="935"/>
      <c r="CD871" s="935"/>
      <c r="CE871" s="935"/>
      <c r="CF871" s="935"/>
      <c r="CG871" s="935"/>
      <c r="CH871" s="935"/>
      <c r="CI871" s="935"/>
      <c r="CJ871" s="935"/>
      <c r="CK871" s="935"/>
      <c r="CL871" s="935"/>
      <c r="CM871" s="935"/>
      <c r="CN871" s="935"/>
      <c r="CO871" s="935"/>
      <c r="CP871" s="935"/>
      <c r="CQ871" s="935"/>
      <c r="CR871" s="935"/>
      <c r="CS871" s="935"/>
      <c r="CT871" s="935"/>
      <c r="CU871" s="935"/>
      <c r="CV871" s="935"/>
    </row>
    <row r="872" spans="1:100" s="441" customFormat="1">
      <c r="A872" s="375">
        <f t="shared" si="244"/>
        <v>10</v>
      </c>
      <c r="B872" s="862">
        <v>44478</v>
      </c>
      <c r="C872" s="493" t="s">
        <v>2053</v>
      </c>
      <c r="D872" s="376" t="str">
        <f>IFERROR(VLOOKUP(E:E,'Item Data Support Sheet'!A:O,7,0),"")</f>
        <v>BOTTLE MOLDED</v>
      </c>
      <c r="E872" s="447" t="s">
        <v>66</v>
      </c>
      <c r="F872" s="500" t="s">
        <v>1680</v>
      </c>
      <c r="G872" s="497" t="s">
        <v>1888</v>
      </c>
      <c r="H872" s="602" t="str">
        <f>IFERROR(VLOOKUP(E:E,'Item Data Support Sheet'!A:O,2,0),"")</f>
        <v>KPP 200 ML BOTTLE MOLDED</v>
      </c>
      <c r="I872" s="501" t="s">
        <v>3613</v>
      </c>
      <c r="J872" s="501" t="s">
        <v>2808</v>
      </c>
      <c r="K872" s="499">
        <v>8</v>
      </c>
      <c r="L872" s="499">
        <v>2574</v>
      </c>
      <c r="M872" s="366">
        <v>321.75</v>
      </c>
      <c r="N872" s="367">
        <f t="shared" si="243"/>
        <v>3097</v>
      </c>
      <c r="O872" s="61">
        <v>3024</v>
      </c>
      <c r="P872" s="368">
        <v>0</v>
      </c>
      <c r="Q872" s="368">
        <v>35</v>
      </c>
      <c r="R872" s="494">
        <v>0</v>
      </c>
      <c r="S872" s="493">
        <v>0</v>
      </c>
      <c r="T872" s="494">
        <v>30</v>
      </c>
      <c r="U872" s="493">
        <v>8</v>
      </c>
      <c r="V872" s="502">
        <v>1</v>
      </c>
      <c r="W872" s="453">
        <f t="shared" si="245"/>
        <v>3024</v>
      </c>
      <c r="X872" s="748">
        <f t="shared" si="246"/>
        <v>1.1748251748251748</v>
      </c>
      <c r="Y872" s="451" t="str">
        <f>IFERROR(VLOOKUP(E:E,'Item Data Support Sheet'!A:J,6,0),0)</f>
        <v>HMC</v>
      </c>
      <c r="Z872" s="428">
        <f>IFERROR(VLOOKUP(E:E,'Item Data Support Sheet'!A:O,4,0),0)</f>
        <v>28.1</v>
      </c>
      <c r="AA872" s="428">
        <f t="shared" si="247"/>
        <v>87.025700000000001</v>
      </c>
      <c r="AB872" s="429">
        <f t="shared" si="248"/>
        <v>0.97642880206651606</v>
      </c>
      <c r="AC872" s="424">
        <f t="shared" si="249"/>
        <v>9.823182711198428E-3</v>
      </c>
      <c r="AD872" s="371">
        <f t="shared" si="250"/>
        <v>1.1174968071519796E-2</v>
      </c>
      <c r="AE872" s="748">
        <f t="shared" si="251"/>
        <v>0.99031320632870523</v>
      </c>
      <c r="AF872" s="417">
        <f t="shared" si="252"/>
        <v>0</v>
      </c>
      <c r="AG872" s="416">
        <f t="shared" si="253"/>
        <v>8</v>
      </c>
      <c r="AH872" s="372">
        <f t="shared" si="254"/>
        <v>1</v>
      </c>
      <c r="AI872" s="373">
        <f t="shared" si="255"/>
        <v>378</v>
      </c>
      <c r="AJ872" s="418">
        <f>VLOOKUP(D872,'Standard Cycle time'!C:D,2,0)</f>
        <v>9</v>
      </c>
      <c r="AK872" s="418">
        <f t="shared" si="256"/>
        <v>9.5238095238095237</v>
      </c>
      <c r="AL872" s="374">
        <f t="shared" si="257"/>
        <v>0.94500000000000006</v>
      </c>
      <c r="AM872" s="372">
        <f t="shared" si="258"/>
        <v>0.93584597998062646</v>
      </c>
      <c r="AN872" s="799">
        <v>0.93584597998062646</v>
      </c>
      <c r="AO872" s="448"/>
      <c r="AP872" s="440">
        <v>0</v>
      </c>
      <c r="AQ872" s="440">
        <v>0</v>
      </c>
      <c r="AR872" s="440">
        <v>0</v>
      </c>
      <c r="AS872" s="440">
        <v>0</v>
      </c>
      <c r="AT872" s="440">
        <v>0</v>
      </c>
      <c r="AU872" s="440">
        <v>0</v>
      </c>
      <c r="AV872" s="440">
        <v>0</v>
      </c>
      <c r="AW872" s="440">
        <v>0</v>
      </c>
      <c r="AX872" s="440">
        <v>0</v>
      </c>
      <c r="AY872" s="440">
        <v>0</v>
      </c>
      <c r="AZ872" s="440">
        <v>0</v>
      </c>
      <c r="BA872" s="440">
        <v>0</v>
      </c>
      <c r="BB872" s="440">
        <v>0</v>
      </c>
      <c r="BC872" s="440">
        <v>0</v>
      </c>
      <c r="BD872" s="440">
        <v>0</v>
      </c>
      <c r="BE872" s="440">
        <v>0</v>
      </c>
      <c r="BF872" s="440">
        <v>0</v>
      </c>
      <c r="BG872" s="440">
        <v>0</v>
      </c>
      <c r="BH872" s="440">
        <v>0</v>
      </c>
      <c r="BI872" s="440">
        <v>0</v>
      </c>
      <c r="BJ872" s="440">
        <v>0</v>
      </c>
      <c r="BK872" s="440">
        <v>0</v>
      </c>
      <c r="BL872" s="440">
        <v>0</v>
      </c>
      <c r="BM872" s="440">
        <v>0</v>
      </c>
      <c r="BN872" s="440">
        <v>0</v>
      </c>
      <c r="BO872" s="440">
        <v>0</v>
      </c>
      <c r="BP872" s="440">
        <v>0</v>
      </c>
      <c r="BQ872" s="440">
        <v>0</v>
      </c>
      <c r="BR872" s="415">
        <v>0</v>
      </c>
      <c r="BS872" s="415">
        <v>0</v>
      </c>
      <c r="BT872" s="935"/>
      <c r="BU872" s="935"/>
      <c r="BV872" s="935"/>
      <c r="BW872" s="935"/>
      <c r="BX872" s="935"/>
      <c r="BY872" s="935"/>
      <c r="BZ872" s="935"/>
      <c r="CA872" s="935"/>
      <c r="CB872" s="935"/>
      <c r="CC872" s="935"/>
      <c r="CD872" s="935"/>
      <c r="CE872" s="935"/>
      <c r="CF872" s="935"/>
      <c r="CG872" s="935"/>
      <c r="CH872" s="935"/>
      <c r="CI872" s="935"/>
      <c r="CJ872" s="935"/>
      <c r="CK872" s="935"/>
      <c r="CL872" s="935"/>
      <c r="CM872" s="935"/>
      <c r="CN872" s="935"/>
      <c r="CO872" s="935"/>
      <c r="CP872" s="935"/>
      <c r="CQ872" s="935"/>
      <c r="CR872" s="935"/>
      <c r="CS872" s="935"/>
      <c r="CT872" s="935"/>
      <c r="CU872" s="935"/>
      <c r="CV872" s="935"/>
    </row>
    <row r="873" spans="1:100" s="441" customFormat="1">
      <c r="A873" s="375">
        <f t="shared" si="244"/>
        <v>10</v>
      </c>
      <c r="B873" s="862">
        <v>44478</v>
      </c>
      <c r="C873" s="493" t="s">
        <v>2053</v>
      </c>
      <c r="D873" s="376" t="str">
        <f>IFERROR(VLOOKUP(E:E,'Item Data Support Sheet'!A:O,7,0),"")</f>
        <v>NIPPLE MOLDED</v>
      </c>
      <c r="E873" s="447" t="s">
        <v>74</v>
      </c>
      <c r="F873" s="500" t="s">
        <v>1678</v>
      </c>
      <c r="G873" s="497" t="s">
        <v>1691</v>
      </c>
      <c r="H873" s="602" t="str">
        <f>IFERROR(VLOOKUP(E:E,'Item Data Support Sheet'!A:O,2,0),"")</f>
        <v>NIPPLE S TYPE L SIZE INJECTION</v>
      </c>
      <c r="I873" s="501" t="s">
        <v>3614</v>
      </c>
      <c r="J873" s="501" t="s">
        <v>2808</v>
      </c>
      <c r="K873" s="499">
        <v>8</v>
      </c>
      <c r="L873" s="499">
        <v>4815</v>
      </c>
      <c r="M873" s="366">
        <v>601.875</v>
      </c>
      <c r="N873" s="367">
        <f t="shared" si="243"/>
        <v>4302</v>
      </c>
      <c r="O873" s="61">
        <v>4200</v>
      </c>
      <c r="P873" s="368">
        <v>1.4</v>
      </c>
      <c r="Q873" s="368">
        <v>40</v>
      </c>
      <c r="R873" s="494">
        <v>0</v>
      </c>
      <c r="S873" s="493">
        <v>0</v>
      </c>
      <c r="T873" s="494">
        <v>54</v>
      </c>
      <c r="U873" s="493">
        <v>8</v>
      </c>
      <c r="V873" s="502">
        <v>1</v>
      </c>
      <c r="W873" s="453">
        <f t="shared" si="245"/>
        <v>4200</v>
      </c>
      <c r="X873" s="748">
        <f t="shared" si="246"/>
        <v>0.87227414330218067</v>
      </c>
      <c r="Y873" s="451" t="str">
        <f>IFERROR(VLOOKUP(E:E,'Item Data Support Sheet'!A:J,6,0),0)</f>
        <v>Silicon</v>
      </c>
      <c r="Z873" s="428">
        <f>IFERROR(VLOOKUP(E:E,'Item Data Support Sheet'!A:O,4,0),0)</f>
        <v>6.8</v>
      </c>
      <c r="AA873" s="428">
        <f t="shared" si="247"/>
        <v>30.653599999999997</v>
      </c>
      <c r="AB873" s="429">
        <f t="shared" si="248"/>
        <v>0.93170133361171281</v>
      </c>
      <c r="AC873" s="424">
        <f t="shared" si="249"/>
        <v>1.2693935119887164E-2</v>
      </c>
      <c r="AD873" s="371">
        <f t="shared" si="250"/>
        <v>9.2123445416858584E-3</v>
      </c>
      <c r="AE873" s="748">
        <f t="shared" si="251"/>
        <v>0.9874476987447699</v>
      </c>
      <c r="AF873" s="417">
        <f t="shared" si="252"/>
        <v>1.5</v>
      </c>
      <c r="AG873" s="416">
        <f t="shared" si="253"/>
        <v>6.5</v>
      </c>
      <c r="AH873" s="372">
        <f t="shared" si="254"/>
        <v>0.8125</v>
      </c>
      <c r="AI873" s="373">
        <f t="shared" si="255"/>
        <v>525</v>
      </c>
      <c r="AJ873" s="418">
        <f>VLOOKUP(D873,'Standard Cycle time'!C:D,2,0)</f>
        <v>5.25</v>
      </c>
      <c r="AK873" s="418">
        <f t="shared" si="256"/>
        <v>5.5714285714285712</v>
      </c>
      <c r="AL873" s="374">
        <f t="shared" si="257"/>
        <v>0.9423076923076924</v>
      </c>
      <c r="AM873" s="372">
        <f t="shared" si="258"/>
        <v>0.75601464435146448</v>
      </c>
      <c r="AN873" s="799">
        <v>0.75601464435146448</v>
      </c>
      <c r="AO873" s="448" t="s">
        <v>3615</v>
      </c>
      <c r="AP873" s="440">
        <v>0</v>
      </c>
      <c r="AQ873" s="440">
        <v>0</v>
      </c>
      <c r="AR873" s="440">
        <v>0</v>
      </c>
      <c r="AS873" s="440">
        <v>0</v>
      </c>
      <c r="AT873" s="440">
        <v>0</v>
      </c>
      <c r="AU873" s="440">
        <v>30</v>
      </c>
      <c r="AV873" s="440">
        <v>0</v>
      </c>
      <c r="AW873" s="440">
        <v>0</v>
      </c>
      <c r="AX873" s="440">
        <v>0</v>
      </c>
      <c r="AY873" s="440">
        <v>0</v>
      </c>
      <c r="AZ873" s="440">
        <v>0</v>
      </c>
      <c r="BA873" s="440">
        <v>0</v>
      </c>
      <c r="BB873" s="440">
        <v>60</v>
      </c>
      <c r="BC873" s="440">
        <v>0</v>
      </c>
      <c r="BD873" s="440">
        <v>0</v>
      </c>
      <c r="BE873" s="440">
        <v>0</v>
      </c>
      <c r="BF873" s="440">
        <v>0</v>
      </c>
      <c r="BG873" s="440">
        <v>0</v>
      </c>
      <c r="BH873" s="440">
        <v>0</v>
      </c>
      <c r="BI873" s="440">
        <v>0</v>
      </c>
      <c r="BJ873" s="440">
        <v>0</v>
      </c>
      <c r="BK873" s="440">
        <v>0</v>
      </c>
      <c r="BL873" s="440">
        <v>0</v>
      </c>
      <c r="BM873" s="440">
        <v>0</v>
      </c>
      <c r="BN873" s="440">
        <v>0</v>
      </c>
      <c r="BO873" s="440">
        <v>0</v>
      </c>
      <c r="BP873" s="440">
        <v>0</v>
      </c>
      <c r="BQ873" s="440">
        <v>0</v>
      </c>
      <c r="BR873" s="415">
        <v>1.5</v>
      </c>
      <c r="BS873" s="415">
        <v>1.5</v>
      </c>
      <c r="BT873" s="935"/>
      <c r="BU873" s="935"/>
      <c r="BV873" s="935"/>
      <c r="BW873" s="935"/>
      <c r="BX873" s="935"/>
      <c r="BY873" s="935"/>
      <c r="BZ873" s="935"/>
      <c r="CA873" s="935"/>
      <c r="CB873" s="935"/>
      <c r="CC873" s="935"/>
      <c r="CD873" s="935"/>
      <c r="CE873" s="935"/>
      <c r="CF873" s="935"/>
      <c r="CG873" s="935"/>
      <c r="CH873" s="935"/>
      <c r="CI873" s="935"/>
      <c r="CJ873" s="935"/>
      <c r="CK873" s="935"/>
      <c r="CL873" s="935"/>
      <c r="CM873" s="935"/>
      <c r="CN873" s="935"/>
      <c r="CO873" s="935"/>
      <c r="CP873" s="935"/>
      <c r="CQ873" s="935"/>
      <c r="CR873" s="935"/>
      <c r="CS873" s="935"/>
      <c r="CT873" s="935"/>
      <c r="CU873" s="935"/>
      <c r="CV873" s="935"/>
    </row>
    <row r="874" spans="1:100" s="441" customFormat="1">
      <c r="A874" s="375">
        <f t="shared" si="244"/>
        <v>10</v>
      </c>
      <c r="B874" s="862">
        <v>44478</v>
      </c>
      <c r="C874" s="493" t="s">
        <v>2053</v>
      </c>
      <c r="D874" s="376" t="str">
        <f>IFERROR(VLOOKUP(E:E,'Item Data Support Sheet'!A:O,7,0),"")</f>
        <v>CAP MOLDED</v>
      </c>
      <c r="E874" s="447" t="s">
        <v>2108</v>
      </c>
      <c r="F874" s="500"/>
      <c r="G874" s="497" t="s">
        <v>3212</v>
      </c>
      <c r="H874" s="602" t="str">
        <f>IFERROR(VLOOKUP(E:E,'Item Data Support Sheet'!A:O,2,0),"")</f>
        <v>CAP S TYPE MOLDED BLUE</v>
      </c>
      <c r="I874" s="501" t="s">
        <v>3616</v>
      </c>
      <c r="J874" s="501" t="s">
        <v>2808</v>
      </c>
      <c r="K874" s="499">
        <v>8</v>
      </c>
      <c r="L874" s="499">
        <v>4137</v>
      </c>
      <c r="M874" s="366">
        <v>517.125</v>
      </c>
      <c r="N874" s="367">
        <f t="shared" si="243"/>
        <v>4011</v>
      </c>
      <c r="O874" s="61">
        <v>4000</v>
      </c>
      <c r="P874" s="368">
        <v>0</v>
      </c>
      <c r="Q874" s="368">
        <v>0</v>
      </c>
      <c r="R874" s="494">
        <v>0</v>
      </c>
      <c r="S874" s="493">
        <v>0</v>
      </c>
      <c r="T874" s="494">
        <v>3</v>
      </c>
      <c r="U874" s="493">
        <v>8</v>
      </c>
      <c r="V874" s="502">
        <v>1</v>
      </c>
      <c r="W874" s="453">
        <f t="shared" si="245"/>
        <v>4000</v>
      </c>
      <c r="X874" s="748">
        <f t="shared" si="246"/>
        <v>0.96688421561518012</v>
      </c>
      <c r="Y874" s="451" t="str">
        <f>IFERROR(VLOOKUP(E:E,'Item Data Support Sheet'!A:J,6,0),0)</f>
        <v>RM000114</v>
      </c>
      <c r="Z874" s="428">
        <f>IFERROR(VLOOKUP(E:E,'Item Data Support Sheet'!A:O,4,0),0)</f>
        <v>7.3</v>
      </c>
      <c r="AA874" s="428">
        <f t="shared" si="247"/>
        <v>29.2803</v>
      </c>
      <c r="AB874" s="429">
        <f t="shared" si="248"/>
        <v>0.99725754176015957</v>
      </c>
      <c r="AC874" s="424">
        <f t="shared" si="249"/>
        <v>7.4943792155883092E-4</v>
      </c>
      <c r="AD874" s="371">
        <f t="shared" si="250"/>
        <v>0</v>
      </c>
      <c r="AE874" s="748">
        <f t="shared" si="251"/>
        <v>0.9992520568436799</v>
      </c>
      <c r="AF874" s="417">
        <f t="shared" si="252"/>
        <v>1</v>
      </c>
      <c r="AG874" s="416">
        <f t="shared" si="253"/>
        <v>7</v>
      </c>
      <c r="AH874" s="372">
        <f t="shared" si="254"/>
        <v>0.875</v>
      </c>
      <c r="AI874" s="373">
        <f t="shared" si="255"/>
        <v>500</v>
      </c>
      <c r="AJ874" s="418">
        <f>VLOOKUP(D874,'Standard Cycle time'!C:D,2,0)</f>
        <v>6</v>
      </c>
      <c r="AK874" s="418">
        <f t="shared" si="256"/>
        <v>6.3</v>
      </c>
      <c r="AL874" s="374">
        <f t="shared" si="257"/>
        <v>0.95238095238095244</v>
      </c>
      <c r="AM874" s="372">
        <f t="shared" si="258"/>
        <v>0.83271004736973331</v>
      </c>
      <c r="AN874" s="799">
        <v>0.83271004736973331</v>
      </c>
      <c r="AO874" s="448"/>
      <c r="AP874" s="440">
        <v>0</v>
      </c>
      <c r="AQ874" s="440">
        <v>0</v>
      </c>
      <c r="AR874" s="440">
        <v>0</v>
      </c>
      <c r="AS874" s="440">
        <v>0</v>
      </c>
      <c r="AT874" s="440">
        <v>0</v>
      </c>
      <c r="AU874" s="440">
        <v>0</v>
      </c>
      <c r="AV874" s="440">
        <v>30</v>
      </c>
      <c r="AW874" s="440">
        <v>30</v>
      </c>
      <c r="AX874" s="440">
        <v>0</v>
      </c>
      <c r="AY874" s="440">
        <v>0</v>
      </c>
      <c r="AZ874" s="440">
        <v>0</v>
      </c>
      <c r="BA874" s="440">
        <v>0</v>
      </c>
      <c r="BB874" s="440">
        <v>0</v>
      </c>
      <c r="BC874" s="440">
        <v>0</v>
      </c>
      <c r="BD874" s="440">
        <v>0</v>
      </c>
      <c r="BE874" s="440">
        <v>0</v>
      </c>
      <c r="BF874" s="440">
        <v>0</v>
      </c>
      <c r="BG874" s="440">
        <v>0</v>
      </c>
      <c r="BH874" s="440">
        <v>0</v>
      </c>
      <c r="BI874" s="440">
        <v>0</v>
      </c>
      <c r="BJ874" s="440">
        <v>0</v>
      </c>
      <c r="BK874" s="440">
        <v>0</v>
      </c>
      <c r="BL874" s="440">
        <v>0</v>
      </c>
      <c r="BM874" s="440">
        <v>0</v>
      </c>
      <c r="BN874" s="440">
        <v>0</v>
      </c>
      <c r="BO874" s="440">
        <v>0</v>
      </c>
      <c r="BP874" s="440">
        <v>0</v>
      </c>
      <c r="BQ874" s="440">
        <v>0</v>
      </c>
      <c r="BR874" s="415">
        <v>1</v>
      </c>
      <c r="BS874" s="415">
        <v>1</v>
      </c>
      <c r="BT874" s="935"/>
      <c r="BU874" s="935"/>
      <c r="BV874" s="935"/>
      <c r="BW874" s="935"/>
      <c r="BX874" s="935"/>
      <c r="BY874" s="935"/>
      <c r="BZ874" s="935"/>
      <c r="CA874" s="935"/>
      <c r="CB874" s="935"/>
      <c r="CC874" s="935"/>
      <c r="CD874" s="935"/>
      <c r="CE874" s="935"/>
      <c r="CF874" s="935"/>
      <c r="CG874" s="935"/>
      <c r="CH874" s="935"/>
      <c r="CI874" s="935"/>
      <c r="CJ874" s="935"/>
      <c r="CK874" s="935"/>
      <c r="CL874" s="935"/>
      <c r="CM874" s="935"/>
      <c r="CN874" s="935"/>
      <c r="CO874" s="935"/>
      <c r="CP874" s="935"/>
      <c r="CQ874" s="935"/>
      <c r="CR874" s="935"/>
      <c r="CS874" s="935"/>
      <c r="CT874" s="935"/>
      <c r="CU874" s="935"/>
      <c r="CV874" s="935"/>
    </row>
    <row r="875" spans="1:100" s="441" customFormat="1">
      <c r="A875" s="375">
        <f t="shared" si="244"/>
        <v>10</v>
      </c>
      <c r="B875" s="862">
        <v>44480</v>
      </c>
      <c r="C875" s="493" t="s">
        <v>1980</v>
      </c>
      <c r="D875" s="376" t="str">
        <f>IFERROR(VLOOKUP(E:E,'Item Data Support Sheet'!A:O,7,0),"")</f>
        <v>BOTTLE MOLDED</v>
      </c>
      <c r="E875" s="447" t="s">
        <v>66</v>
      </c>
      <c r="F875" s="500" t="s">
        <v>1680</v>
      </c>
      <c r="G875" s="497" t="s">
        <v>1888</v>
      </c>
      <c r="H875" s="602" t="str">
        <f>IFERROR(VLOOKUP(E:E,'Item Data Support Sheet'!A:O,2,0),"")</f>
        <v>KPP 200 ML BOTTLE MOLDED</v>
      </c>
      <c r="I875" s="501" t="s">
        <v>3617</v>
      </c>
      <c r="J875" s="501" t="s">
        <v>2808</v>
      </c>
      <c r="K875" s="499">
        <v>8</v>
      </c>
      <c r="L875" s="499">
        <v>2574</v>
      </c>
      <c r="M875" s="366">
        <v>321.75</v>
      </c>
      <c r="N875" s="367">
        <f t="shared" si="243"/>
        <v>2132</v>
      </c>
      <c r="O875" s="61">
        <v>2052</v>
      </c>
      <c r="P875" s="368">
        <v>0.2</v>
      </c>
      <c r="Q875" s="368">
        <v>42</v>
      </c>
      <c r="R875" s="494">
        <v>0</v>
      </c>
      <c r="S875" s="493">
        <v>0</v>
      </c>
      <c r="T875" s="494">
        <v>30</v>
      </c>
      <c r="U875" s="493">
        <v>8</v>
      </c>
      <c r="V875" s="502">
        <v>1</v>
      </c>
      <c r="W875" s="453">
        <f t="shared" si="245"/>
        <v>2052</v>
      </c>
      <c r="X875" s="748">
        <f t="shared" si="246"/>
        <v>0.79720279720279719</v>
      </c>
      <c r="Y875" s="451" t="str">
        <f>IFERROR(VLOOKUP(E:E,'Item Data Support Sheet'!A:J,6,0),0)</f>
        <v>HMC</v>
      </c>
      <c r="Z875" s="428">
        <f>IFERROR(VLOOKUP(E:E,'Item Data Support Sheet'!A:O,4,0),0)</f>
        <v>28.1</v>
      </c>
      <c r="AA875" s="428">
        <f t="shared" si="247"/>
        <v>60.109200000000001</v>
      </c>
      <c r="AB875" s="429">
        <f t="shared" si="248"/>
        <v>0.95927412109959875</v>
      </c>
      <c r="AC875" s="424">
        <f t="shared" si="249"/>
        <v>1.4409221902017291E-2</v>
      </c>
      <c r="AD875" s="371">
        <f t="shared" si="250"/>
        <v>1.9319227230910764E-2</v>
      </c>
      <c r="AE875" s="748">
        <f t="shared" si="251"/>
        <v>0.98592870544090061</v>
      </c>
      <c r="AF875" s="417">
        <f t="shared" si="252"/>
        <v>2.8333333333333335</v>
      </c>
      <c r="AG875" s="416">
        <f t="shared" si="253"/>
        <v>5.1666666666666661</v>
      </c>
      <c r="AH875" s="372">
        <f t="shared" si="254"/>
        <v>0.64583333333333326</v>
      </c>
      <c r="AI875" s="373">
        <f t="shared" si="255"/>
        <v>256.5</v>
      </c>
      <c r="AJ875" s="418">
        <f>VLOOKUP(D875,'Standard Cycle time'!C:D,2,0)</f>
        <v>9</v>
      </c>
      <c r="AK875" s="418">
        <f t="shared" si="256"/>
        <v>9.0643274853801152</v>
      </c>
      <c r="AL875" s="374">
        <f t="shared" si="257"/>
        <v>0.99290322580645185</v>
      </c>
      <c r="AM875" s="372">
        <f t="shared" si="258"/>
        <v>0.63222678236397756</v>
      </c>
      <c r="AN875" s="799">
        <v>0.63222678236397756</v>
      </c>
      <c r="AO875" s="448" t="s">
        <v>3475</v>
      </c>
      <c r="AP875" s="440">
        <v>0</v>
      </c>
      <c r="AQ875" s="440">
        <v>0</v>
      </c>
      <c r="AR875" s="440">
        <v>80</v>
      </c>
      <c r="AS875" s="440">
        <v>0</v>
      </c>
      <c r="AT875" s="440">
        <v>0</v>
      </c>
      <c r="AU875" s="440">
        <v>0</v>
      </c>
      <c r="AV875" s="440">
        <v>0</v>
      </c>
      <c r="AW875" s="440">
        <v>30</v>
      </c>
      <c r="AX875" s="440">
        <v>0</v>
      </c>
      <c r="AY875" s="440">
        <v>0</v>
      </c>
      <c r="AZ875" s="440">
        <v>0</v>
      </c>
      <c r="BA875" s="440">
        <v>0</v>
      </c>
      <c r="BB875" s="440">
        <v>60</v>
      </c>
      <c r="BC875" s="440">
        <v>0</v>
      </c>
      <c r="BD875" s="440">
        <v>0</v>
      </c>
      <c r="BE875" s="440">
        <v>0</v>
      </c>
      <c r="BF875" s="440">
        <v>0</v>
      </c>
      <c r="BG875" s="440">
        <v>0</v>
      </c>
      <c r="BH875" s="440">
        <v>0</v>
      </c>
      <c r="BI875" s="440">
        <v>0</v>
      </c>
      <c r="BJ875" s="440">
        <v>0</v>
      </c>
      <c r="BK875" s="440">
        <v>0</v>
      </c>
      <c r="BL875" s="440">
        <v>0</v>
      </c>
      <c r="BM875" s="440">
        <v>0</v>
      </c>
      <c r="BN875" s="440">
        <v>0</v>
      </c>
      <c r="BO875" s="440">
        <v>0</v>
      </c>
      <c r="BP875" s="440">
        <v>0</v>
      </c>
      <c r="BQ875" s="440">
        <v>0</v>
      </c>
      <c r="BR875" s="415">
        <v>2.8333333333333335</v>
      </c>
      <c r="BS875" s="415">
        <v>2.8333333333333335</v>
      </c>
      <c r="BT875" s="935"/>
      <c r="BU875" s="935"/>
      <c r="BV875" s="935"/>
      <c r="BW875" s="935"/>
      <c r="BX875" s="935"/>
      <c r="BY875" s="935"/>
      <c r="BZ875" s="935"/>
      <c r="CA875" s="935"/>
      <c r="CB875" s="935"/>
      <c r="CC875" s="935"/>
      <c r="CD875" s="935"/>
      <c r="CE875" s="935"/>
      <c r="CF875" s="935"/>
      <c r="CG875" s="935"/>
      <c r="CH875" s="935"/>
      <c r="CI875" s="935"/>
      <c r="CJ875" s="935"/>
      <c r="CK875" s="935"/>
      <c r="CL875" s="935"/>
      <c r="CM875" s="935"/>
      <c r="CN875" s="935"/>
      <c r="CO875" s="935"/>
      <c r="CP875" s="935"/>
      <c r="CQ875" s="935"/>
      <c r="CR875" s="935"/>
      <c r="CS875" s="935"/>
      <c r="CT875" s="935"/>
      <c r="CU875" s="935"/>
      <c r="CV875" s="935"/>
    </row>
    <row r="876" spans="1:100" s="441" customFormat="1">
      <c r="A876" s="375">
        <f t="shared" si="244"/>
        <v>10</v>
      </c>
      <c r="B876" s="862">
        <v>44480</v>
      </c>
      <c r="C876" s="493" t="s">
        <v>1980</v>
      </c>
      <c r="D876" s="376" t="str">
        <f>IFERROR(VLOOKUP(E:E,'Item Data Support Sheet'!A:O,7,0),"")</f>
        <v>NIPPLE MOLDED</v>
      </c>
      <c r="E876" s="447" t="s">
        <v>74</v>
      </c>
      <c r="F876" s="500" t="s">
        <v>1678</v>
      </c>
      <c r="G876" s="497" t="s">
        <v>1691</v>
      </c>
      <c r="H876" s="602" t="str">
        <f>IFERROR(VLOOKUP(E:E,'Item Data Support Sheet'!A:O,2,0),"")</f>
        <v>NIPPLE S TYPE L SIZE INJECTION</v>
      </c>
      <c r="I876" s="501" t="s">
        <v>3618</v>
      </c>
      <c r="J876" s="501" t="s">
        <v>2808</v>
      </c>
      <c r="K876" s="499">
        <v>8</v>
      </c>
      <c r="L876" s="499">
        <v>4815</v>
      </c>
      <c r="M876" s="366">
        <v>601.875</v>
      </c>
      <c r="N876" s="367">
        <f t="shared" si="243"/>
        <v>4348</v>
      </c>
      <c r="O876" s="61">
        <v>4200</v>
      </c>
      <c r="P876" s="368">
        <v>1</v>
      </c>
      <c r="Q876" s="368">
        <v>80</v>
      </c>
      <c r="R876" s="494">
        <v>0</v>
      </c>
      <c r="S876" s="493">
        <v>0</v>
      </c>
      <c r="T876" s="494">
        <v>60</v>
      </c>
      <c r="U876" s="493">
        <v>8</v>
      </c>
      <c r="V876" s="502">
        <v>1</v>
      </c>
      <c r="W876" s="453">
        <f t="shared" si="245"/>
        <v>4200</v>
      </c>
      <c r="X876" s="748">
        <f t="shared" si="246"/>
        <v>0.87227414330218067</v>
      </c>
      <c r="Y876" s="451" t="str">
        <f>IFERROR(VLOOKUP(E:E,'Item Data Support Sheet'!A:J,6,0),0)</f>
        <v>Silicon</v>
      </c>
      <c r="Z876" s="428">
        <f>IFERROR(VLOOKUP(E:E,'Item Data Support Sheet'!A:O,4,0),0)</f>
        <v>6.8</v>
      </c>
      <c r="AA876" s="428">
        <f t="shared" si="247"/>
        <v>30.566399999999998</v>
      </c>
      <c r="AB876" s="429">
        <f t="shared" si="248"/>
        <v>0.93435929648241212</v>
      </c>
      <c r="AC876" s="424">
        <f t="shared" si="249"/>
        <v>1.4084507042253521E-2</v>
      </c>
      <c r="AD876" s="371">
        <f t="shared" si="250"/>
        <v>1.8066847335140017E-2</v>
      </c>
      <c r="AE876" s="748">
        <f t="shared" si="251"/>
        <v>0.98620055197792089</v>
      </c>
      <c r="AF876" s="417">
        <f t="shared" si="252"/>
        <v>1.8333333333333333</v>
      </c>
      <c r="AG876" s="416">
        <f t="shared" si="253"/>
        <v>6.166666666666667</v>
      </c>
      <c r="AH876" s="372">
        <f t="shared" si="254"/>
        <v>0.77083333333333337</v>
      </c>
      <c r="AI876" s="373">
        <f t="shared" si="255"/>
        <v>525</v>
      </c>
      <c r="AJ876" s="418">
        <f>VLOOKUP(D876,'Standard Cycle time'!C:D,2,0)</f>
        <v>5.25</v>
      </c>
      <c r="AK876" s="418">
        <f t="shared" si="256"/>
        <v>5.2857142857142856</v>
      </c>
      <c r="AL876" s="374">
        <f t="shared" si="257"/>
        <v>0.99324324324324331</v>
      </c>
      <c r="AM876" s="372">
        <f t="shared" si="258"/>
        <v>0.75505979760809572</v>
      </c>
      <c r="AN876" s="799">
        <v>0.75505979760809572</v>
      </c>
      <c r="AO876" s="448" t="s">
        <v>3619</v>
      </c>
      <c r="AP876" s="440">
        <v>0</v>
      </c>
      <c r="AQ876" s="440">
        <v>0</v>
      </c>
      <c r="AR876" s="440">
        <v>0</v>
      </c>
      <c r="AS876" s="440">
        <v>0</v>
      </c>
      <c r="AT876" s="440">
        <v>0</v>
      </c>
      <c r="AU876" s="440">
        <v>30</v>
      </c>
      <c r="AV876" s="440">
        <v>0</v>
      </c>
      <c r="AW876" s="440">
        <v>0</v>
      </c>
      <c r="AX876" s="440">
        <v>0</v>
      </c>
      <c r="AY876" s="440">
        <v>0</v>
      </c>
      <c r="AZ876" s="440">
        <v>0</v>
      </c>
      <c r="BA876" s="440">
        <v>0</v>
      </c>
      <c r="BB876" s="440">
        <v>80</v>
      </c>
      <c r="BC876" s="440">
        <v>0</v>
      </c>
      <c r="BD876" s="440">
        <v>0</v>
      </c>
      <c r="BE876" s="440">
        <v>0</v>
      </c>
      <c r="BF876" s="440">
        <v>0</v>
      </c>
      <c r="BG876" s="440">
        <v>0</v>
      </c>
      <c r="BH876" s="440">
        <v>0</v>
      </c>
      <c r="BI876" s="440">
        <v>0</v>
      </c>
      <c r="BJ876" s="440">
        <v>0</v>
      </c>
      <c r="BK876" s="440">
        <v>0</v>
      </c>
      <c r="BL876" s="440">
        <v>0</v>
      </c>
      <c r="BM876" s="440">
        <v>0</v>
      </c>
      <c r="BN876" s="440">
        <v>0</v>
      </c>
      <c r="BO876" s="440">
        <v>0</v>
      </c>
      <c r="BP876" s="440">
        <v>0</v>
      </c>
      <c r="BQ876" s="440">
        <v>0</v>
      </c>
      <c r="BR876" s="415">
        <v>1.8333333333333333</v>
      </c>
      <c r="BS876" s="415">
        <v>1.8333333333333333</v>
      </c>
      <c r="BT876" s="935"/>
      <c r="BU876" s="935"/>
      <c r="BV876" s="935"/>
      <c r="BW876" s="935"/>
      <c r="BX876" s="935"/>
      <c r="BY876" s="935"/>
      <c r="BZ876" s="935"/>
      <c r="CA876" s="935"/>
      <c r="CB876" s="935"/>
      <c r="CC876" s="935"/>
      <c r="CD876" s="935"/>
      <c r="CE876" s="935"/>
      <c r="CF876" s="935"/>
      <c r="CG876" s="935"/>
      <c r="CH876" s="935"/>
      <c r="CI876" s="935"/>
      <c r="CJ876" s="935"/>
      <c r="CK876" s="935"/>
      <c r="CL876" s="935"/>
      <c r="CM876" s="935"/>
      <c r="CN876" s="935"/>
      <c r="CO876" s="935"/>
      <c r="CP876" s="935"/>
      <c r="CQ876" s="935"/>
      <c r="CR876" s="935"/>
      <c r="CS876" s="935"/>
      <c r="CT876" s="935"/>
      <c r="CU876" s="935"/>
      <c r="CV876" s="935"/>
    </row>
    <row r="877" spans="1:100" s="441" customFormat="1">
      <c r="A877" s="375">
        <f t="shared" si="244"/>
        <v>10</v>
      </c>
      <c r="B877" s="862">
        <v>44480</v>
      </c>
      <c r="C877" s="493" t="s">
        <v>1980</v>
      </c>
      <c r="D877" s="376" t="str">
        <f>IFERROR(VLOOKUP(E:E,'Item Data Support Sheet'!A:O,7,0),"")</f>
        <v>CAP MOLDED</v>
      </c>
      <c r="E877" s="447" t="s">
        <v>2108</v>
      </c>
      <c r="F877" s="500"/>
      <c r="G877" s="497" t="s">
        <v>3212</v>
      </c>
      <c r="H877" s="602" t="str">
        <f>IFERROR(VLOOKUP(E:E,'Item Data Support Sheet'!A:O,2,0),"")</f>
        <v>CAP S TYPE MOLDED BLUE</v>
      </c>
      <c r="I877" s="501" t="s">
        <v>3620</v>
      </c>
      <c r="J877" s="501" t="s">
        <v>2808</v>
      </c>
      <c r="K877" s="499">
        <v>8</v>
      </c>
      <c r="L877" s="499">
        <v>4137</v>
      </c>
      <c r="M877" s="366">
        <v>517.125</v>
      </c>
      <c r="N877" s="367">
        <f t="shared" si="243"/>
        <v>3808</v>
      </c>
      <c r="O877" s="61">
        <v>3800</v>
      </c>
      <c r="P877" s="368">
        <v>0</v>
      </c>
      <c r="Q877" s="368">
        <v>0</v>
      </c>
      <c r="R877" s="494">
        <v>0</v>
      </c>
      <c r="S877" s="493">
        <v>0</v>
      </c>
      <c r="T877" s="494">
        <v>0</v>
      </c>
      <c r="U877" s="493">
        <v>8</v>
      </c>
      <c r="V877" s="502">
        <v>1</v>
      </c>
      <c r="W877" s="453">
        <f t="shared" si="245"/>
        <v>3800</v>
      </c>
      <c r="X877" s="748">
        <f t="shared" si="246"/>
        <v>0.91854000483442111</v>
      </c>
      <c r="Y877" s="451" t="str">
        <f>IFERROR(VLOOKUP(E:E,'Item Data Support Sheet'!A:J,6,0),0)</f>
        <v>RM000114</v>
      </c>
      <c r="Z877" s="428">
        <f>IFERROR(VLOOKUP(E:E,'Item Data Support Sheet'!A:O,4,0),0)</f>
        <v>7.3</v>
      </c>
      <c r="AA877" s="428">
        <f t="shared" si="247"/>
        <v>27.798400000000001</v>
      </c>
      <c r="AB877" s="429">
        <f t="shared" si="248"/>
        <v>0.99789915966386555</v>
      </c>
      <c r="AC877" s="424">
        <f t="shared" si="249"/>
        <v>0</v>
      </c>
      <c r="AD877" s="371">
        <f t="shared" si="250"/>
        <v>0</v>
      </c>
      <c r="AE877" s="748">
        <f t="shared" si="251"/>
        <v>1</v>
      </c>
      <c r="AF877" s="417">
        <f t="shared" si="252"/>
        <v>1</v>
      </c>
      <c r="AG877" s="416">
        <f t="shared" si="253"/>
        <v>7</v>
      </c>
      <c r="AH877" s="372">
        <f t="shared" si="254"/>
        <v>0.875</v>
      </c>
      <c r="AI877" s="373">
        <f t="shared" si="255"/>
        <v>475</v>
      </c>
      <c r="AJ877" s="418">
        <f>VLOOKUP(D877,'Standard Cycle time'!C:D,2,0)</f>
        <v>6</v>
      </c>
      <c r="AK877" s="418">
        <f t="shared" si="256"/>
        <v>6.6315789473684212</v>
      </c>
      <c r="AL877" s="374">
        <f t="shared" si="257"/>
        <v>0.90476190476190477</v>
      </c>
      <c r="AM877" s="372">
        <f t="shared" si="258"/>
        <v>0.79166666666666663</v>
      </c>
      <c r="AN877" s="799">
        <v>0.79166666666666663</v>
      </c>
      <c r="AO877" s="448"/>
      <c r="AP877" s="440">
        <v>0</v>
      </c>
      <c r="AQ877" s="440">
        <v>0</v>
      </c>
      <c r="AR877" s="440">
        <v>0</v>
      </c>
      <c r="AS877" s="440">
        <v>0</v>
      </c>
      <c r="AT877" s="440">
        <v>0</v>
      </c>
      <c r="AU877" s="440">
        <v>0</v>
      </c>
      <c r="AV877" s="440">
        <v>30</v>
      </c>
      <c r="AW877" s="440">
        <v>0</v>
      </c>
      <c r="AX877" s="440">
        <v>0</v>
      </c>
      <c r="AY877" s="440">
        <v>0</v>
      </c>
      <c r="AZ877" s="440">
        <v>30</v>
      </c>
      <c r="BA877" s="440">
        <v>0</v>
      </c>
      <c r="BB877" s="440">
        <v>0</v>
      </c>
      <c r="BC877" s="440">
        <v>0</v>
      </c>
      <c r="BD877" s="440">
        <v>0</v>
      </c>
      <c r="BE877" s="440">
        <v>0</v>
      </c>
      <c r="BF877" s="440">
        <v>0</v>
      </c>
      <c r="BG877" s="440">
        <v>0</v>
      </c>
      <c r="BH877" s="440">
        <v>0</v>
      </c>
      <c r="BI877" s="440">
        <v>0</v>
      </c>
      <c r="BJ877" s="440">
        <v>0</v>
      </c>
      <c r="BK877" s="440">
        <v>0</v>
      </c>
      <c r="BL877" s="440">
        <v>0</v>
      </c>
      <c r="BM877" s="440">
        <v>0</v>
      </c>
      <c r="BN877" s="440">
        <v>0</v>
      </c>
      <c r="BO877" s="440">
        <v>0</v>
      </c>
      <c r="BP877" s="440">
        <v>0</v>
      </c>
      <c r="BQ877" s="440">
        <v>0</v>
      </c>
      <c r="BR877" s="415">
        <v>1</v>
      </c>
      <c r="BS877" s="415">
        <v>1</v>
      </c>
      <c r="BT877" s="935"/>
      <c r="BU877" s="935"/>
      <c r="BV877" s="935"/>
      <c r="BW877" s="935"/>
      <c r="BX877" s="935"/>
      <c r="BY877" s="935"/>
      <c r="BZ877" s="935"/>
      <c r="CA877" s="935"/>
      <c r="CB877" s="935"/>
      <c r="CC877" s="935"/>
      <c r="CD877" s="935"/>
      <c r="CE877" s="935"/>
      <c r="CF877" s="935"/>
      <c r="CG877" s="935"/>
      <c r="CH877" s="935"/>
      <c r="CI877" s="935"/>
      <c r="CJ877" s="935"/>
      <c r="CK877" s="935"/>
      <c r="CL877" s="935"/>
      <c r="CM877" s="935"/>
      <c r="CN877" s="935"/>
      <c r="CO877" s="935"/>
      <c r="CP877" s="935"/>
      <c r="CQ877" s="935"/>
      <c r="CR877" s="935"/>
      <c r="CS877" s="935"/>
      <c r="CT877" s="935"/>
      <c r="CU877" s="935"/>
      <c r="CV877" s="935"/>
    </row>
    <row r="878" spans="1:100" s="441" customFormat="1">
      <c r="A878" s="375">
        <f t="shared" si="244"/>
        <v>10</v>
      </c>
      <c r="B878" s="862">
        <v>44480</v>
      </c>
      <c r="C878" s="493" t="s">
        <v>1980</v>
      </c>
      <c r="D878" s="376" t="str">
        <f>IFERROR(VLOOKUP(E:E,'Item Data Support Sheet'!A:O,7,0),"")</f>
        <v>NIPPLE PUNCH</v>
      </c>
      <c r="E878" s="447" t="s">
        <v>82</v>
      </c>
      <c r="F878" s="500"/>
      <c r="G878" s="497" t="s">
        <v>1692</v>
      </c>
      <c r="H878" s="602" t="str">
        <f>IFERROR(VLOOKUP(E:E,'Item Data Support Sheet'!A:O,2,0),"")</f>
        <v>NIPPLE S TYPE L SIZE PUNCHED</v>
      </c>
      <c r="I878" s="501" t="s">
        <v>3621</v>
      </c>
      <c r="J878" s="501" t="s">
        <v>2808</v>
      </c>
      <c r="K878" s="499">
        <v>8</v>
      </c>
      <c r="L878" s="499">
        <v>7000</v>
      </c>
      <c r="M878" s="366">
        <v>875</v>
      </c>
      <c r="N878" s="367">
        <f t="shared" si="243"/>
        <v>5762</v>
      </c>
      <c r="O878" s="61">
        <v>5762</v>
      </c>
      <c r="P878" s="368">
        <v>0</v>
      </c>
      <c r="Q878" s="368">
        <v>0</v>
      </c>
      <c r="R878" s="494">
        <v>0</v>
      </c>
      <c r="S878" s="493">
        <v>0</v>
      </c>
      <c r="T878" s="494">
        <v>0</v>
      </c>
      <c r="U878" s="493">
        <v>0</v>
      </c>
      <c r="V878" s="502">
        <v>1</v>
      </c>
      <c r="W878" s="453">
        <f t="shared" si="245"/>
        <v>5762</v>
      </c>
      <c r="X878" s="748">
        <f t="shared" si="246"/>
        <v>0.82314285714285718</v>
      </c>
      <c r="Y878" s="451" t="str">
        <f>IFERROR(VLOOKUP(E:E,'Item Data Support Sheet'!A:J,6,0),0)</f>
        <v>FO017</v>
      </c>
      <c r="Z878" s="428">
        <f>IFERROR(VLOOKUP(E:E,'Item Data Support Sheet'!A:O,4,0),0)</f>
        <v>0</v>
      </c>
      <c r="AA878" s="428">
        <f t="shared" si="247"/>
        <v>0</v>
      </c>
      <c r="AB878" s="429" t="str">
        <f t="shared" si="248"/>
        <v xml:space="preserve"> </v>
      </c>
      <c r="AC878" s="424">
        <f t="shared" si="249"/>
        <v>0</v>
      </c>
      <c r="AD878" s="371">
        <f t="shared" si="250"/>
        <v>0</v>
      </c>
      <c r="AE878" s="748">
        <f t="shared" si="251"/>
        <v>1</v>
      </c>
      <c r="AF878" s="417">
        <f t="shared" si="252"/>
        <v>1.5</v>
      </c>
      <c r="AG878" s="416">
        <f t="shared" si="253"/>
        <v>6.5</v>
      </c>
      <c r="AH878" s="372">
        <f t="shared" si="254"/>
        <v>0.8125</v>
      </c>
      <c r="AI878" s="373">
        <f t="shared" si="255"/>
        <v>720.25</v>
      </c>
      <c r="AJ878" s="418">
        <f>VLOOKUP(D878,'Standard Cycle time'!C:D,2,0)</f>
        <v>3.5</v>
      </c>
      <c r="AK878" s="418">
        <f t="shared" si="256"/>
        <v>4.0610898993405069</v>
      </c>
      <c r="AL878" s="374">
        <f t="shared" si="257"/>
        <v>0.8618376068376068</v>
      </c>
      <c r="AM878" s="372">
        <f t="shared" si="258"/>
        <v>0.70024305555555555</v>
      </c>
      <c r="AN878" s="799">
        <v>0.70024305555555555</v>
      </c>
      <c r="AO878" s="448" t="s">
        <v>3622</v>
      </c>
      <c r="AP878" s="440">
        <v>0</v>
      </c>
      <c r="AQ878" s="440">
        <v>0</v>
      </c>
      <c r="AR878" s="440">
        <v>0</v>
      </c>
      <c r="AS878" s="440">
        <v>0</v>
      </c>
      <c r="AT878" s="440">
        <v>0</v>
      </c>
      <c r="AU878" s="440">
        <v>0</v>
      </c>
      <c r="AV878" s="440">
        <v>0</v>
      </c>
      <c r="AW878" s="440">
        <v>0</v>
      </c>
      <c r="AX878" s="440">
        <v>0</v>
      </c>
      <c r="AY878" s="440">
        <v>0</v>
      </c>
      <c r="AZ878" s="440">
        <v>0</v>
      </c>
      <c r="BA878" s="440">
        <v>0</v>
      </c>
      <c r="BB878" s="440">
        <v>0</v>
      </c>
      <c r="BC878" s="440">
        <v>0</v>
      </c>
      <c r="BD878" s="440">
        <v>0</v>
      </c>
      <c r="BE878" s="440">
        <v>0</v>
      </c>
      <c r="BF878" s="440">
        <v>0</v>
      </c>
      <c r="BG878" s="440">
        <v>0</v>
      </c>
      <c r="BH878" s="440">
        <v>0</v>
      </c>
      <c r="BI878" s="440">
        <v>0</v>
      </c>
      <c r="BJ878" s="440">
        <v>60</v>
      </c>
      <c r="BK878" s="440">
        <v>0</v>
      </c>
      <c r="BL878" s="440">
        <v>0</v>
      </c>
      <c r="BM878" s="440">
        <v>0</v>
      </c>
      <c r="BN878" s="440">
        <v>0</v>
      </c>
      <c r="BO878" s="440">
        <v>0</v>
      </c>
      <c r="BP878" s="440">
        <v>0</v>
      </c>
      <c r="BQ878" s="440">
        <v>30</v>
      </c>
      <c r="BR878" s="415">
        <v>1.5</v>
      </c>
      <c r="BS878" s="415">
        <v>1.5</v>
      </c>
      <c r="BT878" s="935"/>
      <c r="BU878" s="935"/>
      <c r="BV878" s="935"/>
      <c r="BW878" s="935"/>
      <c r="BX878" s="935"/>
      <c r="BY878" s="935"/>
      <c r="BZ878" s="935"/>
      <c r="CA878" s="935"/>
      <c r="CB878" s="935"/>
      <c r="CC878" s="935"/>
      <c r="CD878" s="935"/>
      <c r="CE878" s="935"/>
      <c r="CF878" s="935"/>
      <c r="CG878" s="935"/>
      <c r="CH878" s="935"/>
      <c r="CI878" s="935"/>
      <c r="CJ878" s="935"/>
      <c r="CK878" s="935"/>
      <c r="CL878" s="935"/>
      <c r="CM878" s="935"/>
      <c r="CN878" s="935"/>
      <c r="CO878" s="935"/>
      <c r="CP878" s="935"/>
      <c r="CQ878" s="935"/>
      <c r="CR878" s="935"/>
      <c r="CS878" s="935"/>
      <c r="CT878" s="935"/>
      <c r="CU878" s="935"/>
      <c r="CV878" s="935"/>
    </row>
    <row r="879" spans="1:100" s="441" customFormat="1">
      <c r="A879" s="375">
        <f t="shared" si="244"/>
        <v>10</v>
      </c>
      <c r="B879" s="862">
        <v>44480</v>
      </c>
      <c r="C879" s="493" t="s">
        <v>1980</v>
      </c>
      <c r="D879" s="376" t="str">
        <f>IFERROR(VLOOKUP(E:E,'Item Data Support Sheet'!A:O,7,0),"")</f>
        <v>NIPPLE LASER MARKING</v>
      </c>
      <c r="E879" s="447" t="s">
        <v>1816</v>
      </c>
      <c r="F879" s="500"/>
      <c r="G879" s="497" t="s">
        <v>1812</v>
      </c>
      <c r="H879" s="602" t="str">
        <f>IFERROR(VLOOKUP(E:E,'Item Data Support Sheet'!A:O,2,0),"")</f>
        <v>NIPPLE S TYPE L SIZE PUNCHED LASER MARKED</v>
      </c>
      <c r="I879" s="501" t="s">
        <v>3623</v>
      </c>
      <c r="J879" s="501" t="s">
        <v>2808</v>
      </c>
      <c r="K879" s="499">
        <v>8</v>
      </c>
      <c r="L879" s="499">
        <v>7000</v>
      </c>
      <c r="M879" s="366">
        <v>875</v>
      </c>
      <c r="N879" s="367">
        <f t="shared" si="243"/>
        <v>4762</v>
      </c>
      <c r="O879" s="61">
        <v>4762</v>
      </c>
      <c r="P879" s="368">
        <v>0</v>
      </c>
      <c r="Q879" s="368">
        <v>0</v>
      </c>
      <c r="R879" s="494">
        <v>0</v>
      </c>
      <c r="S879" s="493">
        <v>0</v>
      </c>
      <c r="T879" s="494">
        <v>0</v>
      </c>
      <c r="U879" s="493">
        <v>0</v>
      </c>
      <c r="V879" s="502">
        <v>1</v>
      </c>
      <c r="W879" s="453">
        <f t="shared" si="245"/>
        <v>4762</v>
      </c>
      <c r="X879" s="748">
        <f t="shared" si="246"/>
        <v>0.68028571428571427</v>
      </c>
      <c r="Y879" s="451" t="str">
        <f>IFERROR(VLOOKUP(E:E,'Item Data Support Sheet'!A:J,6,0),0)</f>
        <v>FO021</v>
      </c>
      <c r="Z879" s="428">
        <f>IFERROR(VLOOKUP(E:E,'Item Data Support Sheet'!A:O,4,0),0)</f>
        <v>0</v>
      </c>
      <c r="AA879" s="428">
        <f t="shared" si="247"/>
        <v>0</v>
      </c>
      <c r="AB879" s="429" t="str">
        <f t="shared" si="248"/>
        <v xml:space="preserve"> </v>
      </c>
      <c r="AC879" s="424">
        <f t="shared" si="249"/>
        <v>0</v>
      </c>
      <c r="AD879" s="371">
        <f t="shared" si="250"/>
        <v>0</v>
      </c>
      <c r="AE879" s="748">
        <f t="shared" si="251"/>
        <v>1</v>
      </c>
      <c r="AF879" s="417">
        <f t="shared" si="252"/>
        <v>2.5</v>
      </c>
      <c r="AG879" s="416">
        <f t="shared" si="253"/>
        <v>5.5</v>
      </c>
      <c r="AH879" s="372">
        <f t="shared" si="254"/>
        <v>0.6875</v>
      </c>
      <c r="AI879" s="373">
        <f t="shared" si="255"/>
        <v>595.25</v>
      </c>
      <c r="AJ879" s="418">
        <f>VLOOKUP(D879,'Standard Cycle time'!C:D,2,0)</f>
        <v>3.5</v>
      </c>
      <c r="AK879" s="418">
        <f t="shared" si="256"/>
        <v>4.1579168416631669</v>
      </c>
      <c r="AL879" s="374">
        <f t="shared" si="257"/>
        <v>0.84176767676767672</v>
      </c>
      <c r="AM879" s="372">
        <f t="shared" si="258"/>
        <v>0.57871527777777776</v>
      </c>
      <c r="AN879" s="799">
        <v>0.57871527777777776</v>
      </c>
      <c r="AO879" s="448" t="s">
        <v>2746</v>
      </c>
      <c r="AP879" s="440">
        <v>0</v>
      </c>
      <c r="AQ879" s="440">
        <v>0</v>
      </c>
      <c r="AR879" s="440">
        <v>0</v>
      </c>
      <c r="AS879" s="440">
        <v>0</v>
      </c>
      <c r="AT879" s="440">
        <v>150</v>
      </c>
      <c r="AU879" s="440">
        <v>0</v>
      </c>
      <c r="AV879" s="440">
        <v>0</v>
      </c>
      <c r="AW879" s="440">
        <v>0</v>
      </c>
      <c r="AX879" s="440">
        <v>0</v>
      </c>
      <c r="AY879" s="440">
        <v>0</v>
      </c>
      <c r="AZ879" s="440">
        <v>0</v>
      </c>
      <c r="BA879" s="440">
        <v>0</v>
      </c>
      <c r="BB879" s="440">
        <v>0</v>
      </c>
      <c r="BC879" s="440">
        <v>0</v>
      </c>
      <c r="BD879" s="440">
        <v>0</v>
      </c>
      <c r="BE879" s="440">
        <v>0</v>
      </c>
      <c r="BF879" s="440">
        <v>0</v>
      </c>
      <c r="BG879" s="440">
        <v>0</v>
      </c>
      <c r="BH879" s="440">
        <v>0</v>
      </c>
      <c r="BI879" s="440">
        <v>0</v>
      </c>
      <c r="BJ879" s="440">
        <v>0</v>
      </c>
      <c r="BK879" s="440">
        <v>0</v>
      </c>
      <c r="BL879" s="440">
        <v>0</v>
      </c>
      <c r="BM879" s="440">
        <v>0</v>
      </c>
      <c r="BN879" s="440">
        <v>0</v>
      </c>
      <c r="BO879" s="440">
        <v>0</v>
      </c>
      <c r="BP879" s="440">
        <v>0</v>
      </c>
      <c r="BQ879" s="440">
        <v>0</v>
      </c>
      <c r="BR879" s="415">
        <v>2.5</v>
      </c>
      <c r="BS879" s="415">
        <v>2.5</v>
      </c>
      <c r="BT879" s="935"/>
      <c r="BU879" s="935"/>
      <c r="BV879" s="935"/>
      <c r="BW879" s="935"/>
      <c r="BX879" s="935"/>
      <c r="BY879" s="935"/>
      <c r="BZ879" s="935"/>
      <c r="CA879" s="935"/>
      <c r="CB879" s="935"/>
      <c r="CC879" s="935"/>
      <c r="CD879" s="935"/>
      <c r="CE879" s="935"/>
      <c r="CF879" s="935"/>
      <c r="CG879" s="935"/>
      <c r="CH879" s="935"/>
      <c r="CI879" s="935"/>
      <c r="CJ879" s="935"/>
      <c r="CK879" s="935"/>
      <c r="CL879" s="935"/>
      <c r="CM879" s="935"/>
      <c r="CN879" s="935"/>
      <c r="CO879" s="935"/>
      <c r="CP879" s="935"/>
      <c r="CQ879" s="935"/>
      <c r="CR879" s="935"/>
      <c r="CS879" s="935"/>
      <c r="CT879" s="935"/>
      <c r="CU879" s="935"/>
      <c r="CV879" s="935"/>
    </row>
    <row r="880" spans="1:100" s="441" customFormat="1">
      <c r="A880" s="375">
        <f t="shared" si="244"/>
        <v>10</v>
      </c>
      <c r="B880" s="862">
        <v>44480</v>
      </c>
      <c r="C880" s="493" t="s">
        <v>2000</v>
      </c>
      <c r="D880" s="376" t="str">
        <f>IFERROR(VLOOKUP(E:E,'Item Data Support Sheet'!A:O,7,0),"")</f>
        <v>BOTTLE PRINTED</v>
      </c>
      <c r="E880" s="447" t="s">
        <v>69</v>
      </c>
      <c r="F880" s="500"/>
      <c r="G880" s="497"/>
      <c r="H880" s="602" t="str">
        <f>IFERROR(VLOOKUP(E:E,'Item Data Support Sheet'!A:O,2,0),"")</f>
        <v>KPP 120 ML BOTTLE PRINTED</v>
      </c>
      <c r="I880" s="501" t="s">
        <v>3624</v>
      </c>
      <c r="J880" s="501" t="s">
        <v>2811</v>
      </c>
      <c r="K880" s="499">
        <v>8</v>
      </c>
      <c r="L880" s="499">
        <v>5100</v>
      </c>
      <c r="M880" s="366">
        <v>637.5</v>
      </c>
      <c r="N880" s="367">
        <f t="shared" si="243"/>
        <v>5244</v>
      </c>
      <c r="O880" s="61">
        <v>5227</v>
      </c>
      <c r="P880" s="368">
        <v>0</v>
      </c>
      <c r="Q880" s="368">
        <v>0</v>
      </c>
      <c r="R880" s="494">
        <v>41</v>
      </c>
      <c r="S880" s="493">
        <v>0</v>
      </c>
      <c r="T880" s="494">
        <v>17</v>
      </c>
      <c r="U880" s="493">
        <v>0</v>
      </c>
      <c r="V880" s="502">
        <v>5</v>
      </c>
      <c r="W880" s="453">
        <f t="shared" si="245"/>
        <v>1045.4000000000001</v>
      </c>
      <c r="X880" s="748">
        <f t="shared" si="246"/>
        <v>1.0249019607843137</v>
      </c>
      <c r="Y880" s="451" t="str">
        <f>IFERROR(VLOOKUP(E:E,'Item Data Support Sheet'!A:J,6,0),0)</f>
        <v>FO001</v>
      </c>
      <c r="Z880" s="428">
        <f>IFERROR(VLOOKUP(E:E,'Item Data Support Sheet'!A:O,4,0),0)</f>
        <v>0</v>
      </c>
      <c r="AA880" s="428">
        <f t="shared" si="247"/>
        <v>0</v>
      </c>
      <c r="AB880" s="429" t="str">
        <f t="shared" si="248"/>
        <v xml:space="preserve"> </v>
      </c>
      <c r="AC880" s="424">
        <f t="shared" si="249"/>
        <v>3.2418001525553013E-3</v>
      </c>
      <c r="AD880" s="371">
        <f t="shared" si="250"/>
        <v>0</v>
      </c>
      <c r="AE880" s="748">
        <f t="shared" si="251"/>
        <v>0.99675819984744474</v>
      </c>
      <c r="AF880" s="417">
        <f t="shared" si="252"/>
        <v>0.66666666666666663</v>
      </c>
      <c r="AG880" s="416">
        <f t="shared" si="253"/>
        <v>7.333333333333333</v>
      </c>
      <c r="AH880" s="372">
        <f t="shared" si="254"/>
        <v>0.91666666666666663</v>
      </c>
      <c r="AI880" s="373">
        <f t="shared" si="255"/>
        <v>653.375</v>
      </c>
      <c r="AJ880" s="418">
        <f>VLOOKUP(D880,'Standard Cycle time'!C:D,2,0)</f>
        <v>32.4</v>
      </c>
      <c r="AK880" s="418">
        <f t="shared" si="256"/>
        <v>25.253491486512338</v>
      </c>
      <c r="AL880" s="374">
        <f t="shared" si="257"/>
        <v>1.2829909090909091</v>
      </c>
      <c r="AM880" s="372">
        <f t="shared" si="258"/>
        <v>1.1722623998855837</v>
      </c>
      <c r="AN880" s="799">
        <v>1.1722623998855837</v>
      </c>
      <c r="AO880" s="448"/>
      <c r="AP880" s="440">
        <v>40</v>
      </c>
      <c r="AQ880" s="440">
        <v>0</v>
      </c>
      <c r="AR880" s="440">
        <v>0</v>
      </c>
      <c r="AS880" s="440">
        <v>0</v>
      </c>
      <c r="AT880" s="440">
        <v>0</v>
      </c>
      <c r="AU880" s="440">
        <v>0</v>
      </c>
      <c r="AV880" s="440">
        <v>0</v>
      </c>
      <c r="AW880" s="440">
        <v>0</v>
      </c>
      <c r="AX880" s="440">
        <v>0</v>
      </c>
      <c r="AY880" s="440">
        <v>0</v>
      </c>
      <c r="AZ880" s="440">
        <v>0</v>
      </c>
      <c r="BA880" s="440">
        <v>0</v>
      </c>
      <c r="BB880" s="440">
        <v>0</v>
      </c>
      <c r="BC880" s="440">
        <v>0</v>
      </c>
      <c r="BD880" s="440">
        <v>0</v>
      </c>
      <c r="BE880" s="440">
        <v>0</v>
      </c>
      <c r="BF880" s="440">
        <v>0</v>
      </c>
      <c r="BG880" s="440">
        <v>0</v>
      </c>
      <c r="BH880" s="440">
        <v>0</v>
      </c>
      <c r="BI880" s="440">
        <v>0</v>
      </c>
      <c r="BJ880" s="440">
        <v>0</v>
      </c>
      <c r="BK880" s="440">
        <v>0</v>
      </c>
      <c r="BL880" s="440">
        <v>0</v>
      </c>
      <c r="BM880" s="440">
        <v>0</v>
      </c>
      <c r="BN880" s="440">
        <v>0</v>
      </c>
      <c r="BO880" s="440">
        <v>0</v>
      </c>
      <c r="BP880" s="440">
        <v>0</v>
      </c>
      <c r="BQ880" s="440">
        <v>0</v>
      </c>
      <c r="BR880" s="415">
        <v>0.66666666666666663</v>
      </c>
      <c r="BS880" s="415">
        <v>0.66666666666666663</v>
      </c>
      <c r="BT880" s="935"/>
      <c r="BU880" s="935"/>
      <c r="BV880" s="935"/>
      <c r="BW880" s="935"/>
      <c r="BX880" s="935"/>
      <c r="BY880" s="935"/>
      <c r="BZ880" s="935"/>
      <c r="CA880" s="935"/>
      <c r="CB880" s="935"/>
      <c r="CC880" s="935"/>
      <c r="CD880" s="935"/>
      <c r="CE880" s="935"/>
      <c r="CF880" s="935"/>
      <c r="CG880" s="935"/>
      <c r="CH880" s="935"/>
      <c r="CI880" s="935"/>
      <c r="CJ880" s="935"/>
      <c r="CK880" s="935"/>
      <c r="CL880" s="935"/>
      <c r="CM880" s="935"/>
      <c r="CN880" s="935"/>
      <c r="CO880" s="935"/>
      <c r="CP880" s="935"/>
      <c r="CQ880" s="935"/>
      <c r="CR880" s="935"/>
      <c r="CS880" s="935"/>
      <c r="CT880" s="935"/>
      <c r="CU880" s="935"/>
      <c r="CV880" s="935"/>
    </row>
    <row r="881" spans="1:100" s="441" customFormat="1">
      <c r="A881" s="375">
        <f t="shared" si="244"/>
        <v>10</v>
      </c>
      <c r="B881" s="862">
        <v>44480</v>
      </c>
      <c r="C881" s="493" t="s">
        <v>2000</v>
      </c>
      <c r="D881" s="376" t="str">
        <f>IFERROR(VLOOKUP(E:E,'Item Data Support Sheet'!A:O,7,0),"")</f>
        <v>NIPPLE PUNCH INSPECTED</v>
      </c>
      <c r="E881" s="447" t="s">
        <v>1820</v>
      </c>
      <c r="F881" s="500"/>
      <c r="G881" s="497"/>
      <c r="H881" s="602" t="str">
        <f>IFERROR(VLOOKUP(E:E,'Item Data Support Sheet'!A:O,2,0),"")</f>
        <v>NIPPLE S TYPE L SIZE PUNCHED INSPECTED</v>
      </c>
      <c r="I881" s="501"/>
      <c r="J881" s="501" t="s">
        <v>2811</v>
      </c>
      <c r="K881" s="499">
        <v>8</v>
      </c>
      <c r="L881" s="499">
        <v>14132</v>
      </c>
      <c r="M881" s="366">
        <v>1766.5</v>
      </c>
      <c r="N881" s="367">
        <f t="shared" si="243"/>
        <v>12762</v>
      </c>
      <c r="O881" s="61">
        <v>12694</v>
      </c>
      <c r="P881" s="368">
        <v>0</v>
      </c>
      <c r="Q881" s="368">
        <v>0</v>
      </c>
      <c r="R881" s="494">
        <v>0</v>
      </c>
      <c r="S881" s="493">
        <v>0</v>
      </c>
      <c r="T881" s="494">
        <v>68</v>
      </c>
      <c r="U881" s="493">
        <v>0</v>
      </c>
      <c r="V881" s="502">
        <v>2</v>
      </c>
      <c r="W881" s="453">
        <f t="shared" si="245"/>
        <v>6347</v>
      </c>
      <c r="X881" s="748">
        <f t="shared" si="246"/>
        <v>0.89824511746391167</v>
      </c>
      <c r="Y881" s="451" t="str">
        <f>IFERROR(VLOOKUP(E:E,'Item Data Support Sheet'!A:J,6,0),0)</f>
        <v>FO106</v>
      </c>
      <c r="Z881" s="428">
        <f>IFERROR(VLOOKUP(E:E,'Item Data Support Sheet'!A:O,4,0),0)</f>
        <v>0</v>
      </c>
      <c r="AA881" s="428">
        <f t="shared" si="247"/>
        <v>0</v>
      </c>
      <c r="AB881" s="429" t="str">
        <f t="shared" si="248"/>
        <v xml:space="preserve"> </v>
      </c>
      <c r="AC881" s="424">
        <f t="shared" si="249"/>
        <v>5.3283184453847363E-3</v>
      </c>
      <c r="AD881" s="371">
        <f t="shared" si="250"/>
        <v>0</v>
      </c>
      <c r="AE881" s="748">
        <f t="shared" si="251"/>
        <v>0.99467168155461527</v>
      </c>
      <c r="AF881" s="417">
        <f t="shared" si="252"/>
        <v>0.83333333333333337</v>
      </c>
      <c r="AG881" s="416">
        <f t="shared" si="253"/>
        <v>7.166666666666667</v>
      </c>
      <c r="AH881" s="372">
        <f t="shared" si="254"/>
        <v>0.89583333333333337</v>
      </c>
      <c r="AI881" s="373">
        <f t="shared" si="255"/>
        <v>1586.75</v>
      </c>
      <c r="AJ881" s="418">
        <f>VLOOKUP(D881,'Standard Cycle time'!C:D,2,0)</f>
        <v>4</v>
      </c>
      <c r="AK881" s="418">
        <f t="shared" si="256"/>
        <v>4.0649125571135967</v>
      </c>
      <c r="AL881" s="374">
        <f t="shared" si="257"/>
        <v>0.98403100775193808</v>
      </c>
      <c r="AM881" s="372">
        <f t="shared" si="258"/>
        <v>0.87683071705932547</v>
      </c>
      <c r="AN881" s="799">
        <v>0.87683071705932547</v>
      </c>
      <c r="AO881" s="448"/>
      <c r="AP881" s="440">
        <v>50</v>
      </c>
      <c r="AQ881" s="440">
        <v>0</v>
      </c>
      <c r="AR881" s="440">
        <v>0</v>
      </c>
      <c r="AS881" s="440">
        <v>0</v>
      </c>
      <c r="AT881" s="440">
        <v>0</v>
      </c>
      <c r="AU881" s="440">
        <v>0</v>
      </c>
      <c r="AV881" s="440">
        <v>0</v>
      </c>
      <c r="AW881" s="440">
        <v>0</v>
      </c>
      <c r="AX881" s="440">
        <v>0</v>
      </c>
      <c r="AY881" s="440">
        <v>0</v>
      </c>
      <c r="AZ881" s="440">
        <v>0</v>
      </c>
      <c r="BA881" s="440">
        <v>0</v>
      </c>
      <c r="BB881" s="440">
        <v>0</v>
      </c>
      <c r="BC881" s="440">
        <v>0</v>
      </c>
      <c r="BD881" s="440">
        <v>0</v>
      </c>
      <c r="BE881" s="440">
        <v>0</v>
      </c>
      <c r="BF881" s="440">
        <v>0</v>
      </c>
      <c r="BG881" s="440">
        <v>0</v>
      </c>
      <c r="BH881" s="440">
        <v>0</v>
      </c>
      <c r="BI881" s="440">
        <v>0</v>
      </c>
      <c r="BJ881" s="440">
        <v>0</v>
      </c>
      <c r="BK881" s="440">
        <v>0</v>
      </c>
      <c r="BL881" s="440">
        <v>0</v>
      </c>
      <c r="BM881" s="440">
        <v>0</v>
      </c>
      <c r="BN881" s="440">
        <v>0</v>
      </c>
      <c r="BO881" s="440">
        <v>0</v>
      </c>
      <c r="BP881" s="440">
        <v>0</v>
      </c>
      <c r="BQ881" s="440">
        <v>0</v>
      </c>
      <c r="BR881" s="415">
        <v>0.83333333333333337</v>
      </c>
      <c r="BS881" s="415">
        <v>0.83333333333333337</v>
      </c>
      <c r="BT881" s="935"/>
      <c r="BU881" s="935"/>
      <c r="BV881" s="935"/>
      <c r="BW881" s="935"/>
      <c r="BX881" s="935"/>
      <c r="BY881" s="935"/>
      <c r="BZ881" s="935"/>
      <c r="CA881" s="935"/>
      <c r="CB881" s="935"/>
      <c r="CC881" s="935"/>
      <c r="CD881" s="935"/>
      <c r="CE881" s="935"/>
      <c r="CF881" s="935"/>
      <c r="CG881" s="935"/>
      <c r="CH881" s="935"/>
      <c r="CI881" s="935"/>
      <c r="CJ881" s="935"/>
      <c r="CK881" s="935"/>
      <c r="CL881" s="935"/>
      <c r="CM881" s="935"/>
      <c r="CN881" s="935"/>
      <c r="CO881" s="935"/>
      <c r="CP881" s="935"/>
      <c r="CQ881" s="935"/>
      <c r="CR881" s="935"/>
      <c r="CS881" s="935"/>
      <c r="CT881" s="935"/>
      <c r="CU881" s="935"/>
      <c r="CV881" s="935"/>
    </row>
    <row r="882" spans="1:100" s="441" customFormat="1">
      <c r="A882" s="375">
        <f t="shared" si="244"/>
        <v>10</v>
      </c>
      <c r="B882" s="862">
        <v>44480</v>
      </c>
      <c r="C882" s="493" t="s">
        <v>2000</v>
      </c>
      <c r="D882" s="376" t="str">
        <f>IFERROR(VLOOKUP(E:E,'Item Data Support Sheet'!A:O,7,0),"")</f>
        <v>NIPPLE WRAP PRINTED</v>
      </c>
      <c r="E882" s="447" t="s">
        <v>110</v>
      </c>
      <c r="F882" s="500"/>
      <c r="G882" s="497" t="s">
        <v>1693</v>
      </c>
      <c r="H882" s="602" t="str">
        <f>IFERROR(VLOOKUP(E:E,'Item Data Support Sheet'!A:O,2,0),"")</f>
        <v>NIPPLE S TYPE L SIZE WITH PRINTED WRAP</v>
      </c>
      <c r="I882" s="501"/>
      <c r="J882" s="501" t="s">
        <v>2811</v>
      </c>
      <c r="K882" s="499">
        <v>4</v>
      </c>
      <c r="L882" s="499">
        <v>8066</v>
      </c>
      <c r="M882" s="366">
        <v>2016.5</v>
      </c>
      <c r="N882" s="367">
        <f t="shared" si="243"/>
        <v>8650</v>
      </c>
      <c r="O882" s="61">
        <v>8650</v>
      </c>
      <c r="P882" s="368">
        <v>0</v>
      </c>
      <c r="Q882" s="368">
        <v>0</v>
      </c>
      <c r="R882" s="494">
        <v>0</v>
      </c>
      <c r="S882" s="493">
        <v>0</v>
      </c>
      <c r="T882" s="494">
        <v>0</v>
      </c>
      <c r="U882" s="493">
        <v>0</v>
      </c>
      <c r="V882" s="502">
        <v>2</v>
      </c>
      <c r="W882" s="453">
        <f t="shared" si="245"/>
        <v>4325</v>
      </c>
      <c r="X882" s="748">
        <f t="shared" si="246"/>
        <v>1.0724026779072651</v>
      </c>
      <c r="Y882" s="451" t="str">
        <f>IFERROR(VLOOKUP(E:E,'Item Data Support Sheet'!A:J,6,0),0)</f>
        <v>FO021</v>
      </c>
      <c r="Z882" s="428">
        <f>IFERROR(VLOOKUP(E:E,'Item Data Support Sheet'!A:O,4,0),0)</f>
        <v>0</v>
      </c>
      <c r="AA882" s="428">
        <f t="shared" si="247"/>
        <v>0</v>
      </c>
      <c r="AB882" s="429" t="str">
        <f t="shared" si="248"/>
        <v xml:space="preserve"> </v>
      </c>
      <c r="AC882" s="424">
        <f t="shared" si="249"/>
        <v>0</v>
      </c>
      <c r="AD882" s="371">
        <f t="shared" si="250"/>
        <v>0</v>
      </c>
      <c r="AE882" s="748">
        <f t="shared" si="251"/>
        <v>1</v>
      </c>
      <c r="AF882" s="417">
        <f t="shared" si="252"/>
        <v>0.83333333333333337</v>
      </c>
      <c r="AG882" s="416">
        <f t="shared" si="253"/>
        <v>3.1666666666666665</v>
      </c>
      <c r="AH882" s="372">
        <f t="shared" si="254"/>
        <v>0.79166666666666663</v>
      </c>
      <c r="AI882" s="373">
        <f t="shared" si="255"/>
        <v>2162.5</v>
      </c>
      <c r="AJ882" s="418">
        <f>VLOOKUP(D882,'Standard Cycle time'!C:D,2,0)</f>
        <v>2.5</v>
      </c>
      <c r="AK882" s="418">
        <f t="shared" si="256"/>
        <v>2.6358381502890174</v>
      </c>
      <c r="AL882" s="374">
        <f t="shared" si="257"/>
        <v>0.94846491228070173</v>
      </c>
      <c r="AM882" s="372">
        <f t="shared" si="258"/>
        <v>0.75086805555555547</v>
      </c>
      <c r="AN882" s="799">
        <v>0.75086805555555547</v>
      </c>
      <c r="AO882" s="448"/>
      <c r="AP882" s="440">
        <v>50</v>
      </c>
      <c r="AQ882" s="440">
        <v>0</v>
      </c>
      <c r="AR882" s="440">
        <v>0</v>
      </c>
      <c r="AS882" s="440">
        <v>0</v>
      </c>
      <c r="AT882" s="440">
        <v>0</v>
      </c>
      <c r="AU882" s="440">
        <v>0</v>
      </c>
      <c r="AV882" s="440">
        <v>0</v>
      </c>
      <c r="AW882" s="440">
        <v>0</v>
      </c>
      <c r="AX882" s="440">
        <v>0</v>
      </c>
      <c r="AY882" s="440">
        <v>0</v>
      </c>
      <c r="AZ882" s="440">
        <v>0</v>
      </c>
      <c r="BA882" s="440">
        <v>0</v>
      </c>
      <c r="BB882" s="440">
        <v>0</v>
      </c>
      <c r="BC882" s="440">
        <v>0</v>
      </c>
      <c r="BD882" s="440">
        <v>0</v>
      </c>
      <c r="BE882" s="440">
        <v>0</v>
      </c>
      <c r="BF882" s="440">
        <v>0</v>
      </c>
      <c r="BG882" s="440">
        <v>0</v>
      </c>
      <c r="BH882" s="440">
        <v>0</v>
      </c>
      <c r="BI882" s="440">
        <v>0</v>
      </c>
      <c r="BJ882" s="440">
        <v>0</v>
      </c>
      <c r="BK882" s="440">
        <v>0</v>
      </c>
      <c r="BL882" s="440">
        <v>0</v>
      </c>
      <c r="BM882" s="440">
        <v>0</v>
      </c>
      <c r="BN882" s="440">
        <v>0</v>
      </c>
      <c r="BO882" s="440">
        <v>0</v>
      </c>
      <c r="BP882" s="440">
        <v>0</v>
      </c>
      <c r="BQ882" s="440">
        <v>0</v>
      </c>
      <c r="BR882" s="415">
        <v>0.83333333333333337</v>
      </c>
      <c r="BS882" s="415">
        <v>0.83333333333333337</v>
      </c>
      <c r="BT882" s="935"/>
      <c r="BU882" s="935"/>
      <c r="BV882" s="935"/>
      <c r="BW882" s="935"/>
      <c r="BX882" s="935"/>
      <c r="BY882" s="935"/>
      <c r="BZ882" s="935"/>
      <c r="CA882" s="935"/>
      <c r="CB882" s="935"/>
      <c r="CC882" s="935"/>
      <c r="CD882" s="935"/>
      <c r="CE882" s="935"/>
      <c r="CF882" s="935"/>
      <c r="CG882" s="935"/>
      <c r="CH882" s="935"/>
      <c r="CI882" s="935"/>
      <c r="CJ882" s="935"/>
      <c r="CK882" s="935"/>
      <c r="CL882" s="935"/>
      <c r="CM882" s="935"/>
      <c r="CN882" s="935"/>
      <c r="CO882" s="935"/>
      <c r="CP882" s="935"/>
      <c r="CQ882" s="935"/>
      <c r="CR882" s="935"/>
      <c r="CS882" s="935"/>
      <c r="CT882" s="935"/>
      <c r="CU882" s="935"/>
      <c r="CV882" s="935"/>
    </row>
    <row r="883" spans="1:100" s="441" customFormat="1">
      <c r="A883" s="375">
        <f t="shared" si="244"/>
        <v>10</v>
      </c>
      <c r="B883" s="862">
        <v>44480</v>
      </c>
      <c r="C883" s="493" t="s">
        <v>2000</v>
      </c>
      <c r="D883" s="376" t="str">
        <f>IFERROR(VLOOKUP(E:E,'Item Data Support Sheet'!A:O,7,0),"")</f>
        <v>NIPPLE WRAP PRINTED</v>
      </c>
      <c r="E883" s="447" t="s">
        <v>111</v>
      </c>
      <c r="F883" s="500"/>
      <c r="G883" s="497" t="s">
        <v>1693</v>
      </c>
      <c r="H883" s="602" t="str">
        <f>IFERROR(VLOOKUP(E:E,'Item Data Support Sheet'!A:O,2,0),"")</f>
        <v>NIPPLE S TYPE Y SIZE WITH PRINTED WRAP</v>
      </c>
      <c r="I883" s="501"/>
      <c r="J883" s="501" t="s">
        <v>2811</v>
      </c>
      <c r="K883" s="499">
        <v>4</v>
      </c>
      <c r="L883" s="499">
        <v>8066</v>
      </c>
      <c r="M883" s="366">
        <v>2016.5</v>
      </c>
      <c r="N883" s="367">
        <f t="shared" si="243"/>
        <v>9206</v>
      </c>
      <c r="O883" s="61">
        <v>9206</v>
      </c>
      <c r="P883" s="368">
        <v>0</v>
      </c>
      <c r="Q883" s="368">
        <v>0</v>
      </c>
      <c r="R883" s="494">
        <v>0</v>
      </c>
      <c r="S883" s="493">
        <v>0</v>
      </c>
      <c r="T883" s="494">
        <v>0</v>
      </c>
      <c r="U883" s="493">
        <v>0</v>
      </c>
      <c r="V883" s="502">
        <v>2</v>
      </c>
      <c r="W883" s="453">
        <f t="shared" si="245"/>
        <v>4603</v>
      </c>
      <c r="X883" s="748">
        <f t="shared" si="246"/>
        <v>1.1413339945450036</v>
      </c>
      <c r="Y883" s="451" t="str">
        <f>IFERROR(VLOOKUP(E:E,'Item Data Support Sheet'!A:J,6,0),0)</f>
        <v>FO022</v>
      </c>
      <c r="Z883" s="428">
        <f>IFERROR(VLOOKUP(E:E,'Item Data Support Sheet'!A:O,4,0),0)</f>
        <v>0</v>
      </c>
      <c r="AA883" s="428">
        <f t="shared" si="247"/>
        <v>0</v>
      </c>
      <c r="AB883" s="429" t="str">
        <f t="shared" si="248"/>
        <v xml:space="preserve"> </v>
      </c>
      <c r="AC883" s="424">
        <f t="shared" si="249"/>
        <v>0</v>
      </c>
      <c r="AD883" s="371">
        <f t="shared" si="250"/>
        <v>0</v>
      </c>
      <c r="AE883" s="748">
        <f t="shared" si="251"/>
        <v>1</v>
      </c>
      <c r="AF883" s="417">
        <f t="shared" si="252"/>
        <v>0</v>
      </c>
      <c r="AG883" s="416">
        <f t="shared" si="253"/>
        <v>4</v>
      </c>
      <c r="AH883" s="372">
        <f t="shared" si="254"/>
        <v>1</v>
      </c>
      <c r="AI883" s="373">
        <f t="shared" si="255"/>
        <v>2301.5</v>
      </c>
      <c r="AJ883" s="418">
        <f>VLOOKUP(D883,'Standard Cycle time'!C:D,2,0)</f>
        <v>2.5</v>
      </c>
      <c r="AK883" s="418">
        <f t="shared" si="256"/>
        <v>3.1283945253095808</v>
      </c>
      <c r="AL883" s="374">
        <f t="shared" si="257"/>
        <v>0.79913194444444446</v>
      </c>
      <c r="AM883" s="372">
        <f t="shared" si="258"/>
        <v>0.79913194444444446</v>
      </c>
      <c r="AN883" s="799">
        <v>0.79913194444444446</v>
      </c>
      <c r="AO883" s="448"/>
      <c r="AP883" s="440">
        <v>0</v>
      </c>
      <c r="AQ883" s="440">
        <v>0</v>
      </c>
      <c r="AR883" s="440">
        <v>0</v>
      </c>
      <c r="AS883" s="440">
        <v>0</v>
      </c>
      <c r="AT883" s="440">
        <v>0</v>
      </c>
      <c r="AU883" s="440">
        <v>0</v>
      </c>
      <c r="AV883" s="440">
        <v>0</v>
      </c>
      <c r="AW883" s="440">
        <v>0</v>
      </c>
      <c r="AX883" s="440">
        <v>0</v>
      </c>
      <c r="AY883" s="440">
        <v>0</v>
      </c>
      <c r="AZ883" s="440">
        <v>0</v>
      </c>
      <c r="BA883" s="440">
        <v>0</v>
      </c>
      <c r="BB883" s="440">
        <v>0</v>
      </c>
      <c r="BC883" s="440">
        <v>0</v>
      </c>
      <c r="BD883" s="440">
        <v>0</v>
      </c>
      <c r="BE883" s="440">
        <v>0</v>
      </c>
      <c r="BF883" s="440">
        <v>0</v>
      </c>
      <c r="BG883" s="440">
        <v>0</v>
      </c>
      <c r="BH883" s="440">
        <v>0</v>
      </c>
      <c r="BI883" s="440">
        <v>0</v>
      </c>
      <c r="BJ883" s="440">
        <v>0</v>
      </c>
      <c r="BK883" s="440">
        <v>0</v>
      </c>
      <c r="BL883" s="440">
        <v>0</v>
      </c>
      <c r="BM883" s="440">
        <v>0</v>
      </c>
      <c r="BN883" s="440">
        <v>0</v>
      </c>
      <c r="BO883" s="440">
        <v>0</v>
      </c>
      <c r="BP883" s="440">
        <v>0</v>
      </c>
      <c r="BQ883" s="440">
        <v>0</v>
      </c>
      <c r="BR883" s="415">
        <v>0</v>
      </c>
      <c r="BS883" s="415">
        <v>0</v>
      </c>
      <c r="BT883" s="935"/>
      <c r="BU883" s="935"/>
      <c r="BV883" s="935"/>
      <c r="BW883" s="935"/>
      <c r="BX883" s="935"/>
      <c r="BY883" s="935"/>
      <c r="BZ883" s="935"/>
      <c r="CA883" s="935"/>
      <c r="CB883" s="935"/>
      <c r="CC883" s="935"/>
      <c r="CD883" s="935"/>
      <c r="CE883" s="935"/>
      <c r="CF883" s="935"/>
      <c r="CG883" s="935"/>
      <c r="CH883" s="935"/>
      <c r="CI883" s="935"/>
      <c r="CJ883" s="935"/>
      <c r="CK883" s="935"/>
      <c r="CL883" s="935"/>
      <c r="CM883" s="935"/>
      <c r="CN883" s="935"/>
      <c r="CO883" s="935"/>
      <c r="CP883" s="935"/>
      <c r="CQ883" s="935"/>
      <c r="CR883" s="935"/>
      <c r="CS883" s="935"/>
      <c r="CT883" s="935"/>
      <c r="CU883" s="935"/>
      <c r="CV883" s="935"/>
    </row>
    <row r="884" spans="1:100" s="441" customFormat="1">
      <c r="A884" s="375">
        <f t="shared" si="244"/>
        <v>10</v>
      </c>
      <c r="B884" s="862">
        <v>44480</v>
      </c>
      <c r="C884" s="493" t="s">
        <v>3625</v>
      </c>
      <c r="D884" s="376" t="str">
        <f>IFERROR(VLOOKUP(E:E,'Item Data Support Sheet'!A:O,7,0),"")</f>
        <v>CAP MOLDED</v>
      </c>
      <c r="E884" s="447" t="s">
        <v>2108</v>
      </c>
      <c r="F884" s="500"/>
      <c r="G884" s="497" t="s">
        <v>3212</v>
      </c>
      <c r="H884" s="602" t="str">
        <f>IFERROR(VLOOKUP(E:E,'Item Data Support Sheet'!A:O,2,0),"")</f>
        <v>CAP S TYPE MOLDED BLUE</v>
      </c>
      <c r="I884" s="501" t="s">
        <v>3626</v>
      </c>
      <c r="J884" s="501" t="s">
        <v>2811</v>
      </c>
      <c r="K884" s="499">
        <v>4</v>
      </c>
      <c r="L884" s="499">
        <v>2060</v>
      </c>
      <c r="M884" s="366">
        <v>515</v>
      </c>
      <c r="N884" s="367">
        <f t="shared" si="243"/>
        <v>2510</v>
      </c>
      <c r="O884" s="61">
        <v>2510</v>
      </c>
      <c r="P884" s="368">
        <v>0.6</v>
      </c>
      <c r="Q884" s="368">
        <v>0</v>
      </c>
      <c r="R884" s="494">
        <v>0</v>
      </c>
      <c r="S884" s="493">
        <v>0</v>
      </c>
      <c r="T884" s="494">
        <v>0</v>
      </c>
      <c r="U884" s="493">
        <v>0</v>
      </c>
      <c r="V884" s="502">
        <v>1</v>
      </c>
      <c r="W884" s="453">
        <f t="shared" si="245"/>
        <v>2510</v>
      </c>
      <c r="X884" s="748">
        <f t="shared" si="246"/>
        <v>1.2184466019417475</v>
      </c>
      <c r="Y884" s="451" t="str">
        <f>IFERROR(VLOOKUP(E:E,'Item Data Support Sheet'!A:J,6,0),0)</f>
        <v>RM000114</v>
      </c>
      <c r="Z884" s="428">
        <f>IFERROR(VLOOKUP(E:E,'Item Data Support Sheet'!A:O,4,0),0)</f>
        <v>7.3</v>
      </c>
      <c r="AA884" s="428">
        <f t="shared" si="247"/>
        <v>18.923000000000002</v>
      </c>
      <c r="AB884" s="429">
        <f t="shared" si="248"/>
        <v>0.96829255403477243</v>
      </c>
      <c r="AC884" s="424">
        <f t="shared" si="249"/>
        <v>0</v>
      </c>
      <c r="AD884" s="371">
        <f t="shared" si="250"/>
        <v>0</v>
      </c>
      <c r="AE884" s="748">
        <f t="shared" si="251"/>
        <v>1</v>
      </c>
      <c r="AF884" s="417">
        <f t="shared" si="252"/>
        <v>0</v>
      </c>
      <c r="AG884" s="416">
        <f t="shared" si="253"/>
        <v>4</v>
      </c>
      <c r="AH884" s="372">
        <f t="shared" si="254"/>
        <v>1</v>
      </c>
      <c r="AI884" s="373">
        <f t="shared" si="255"/>
        <v>627.5</v>
      </c>
      <c r="AJ884" s="418">
        <f>VLOOKUP(D884,'Standard Cycle time'!C:D,2,0)</f>
        <v>6</v>
      </c>
      <c r="AK884" s="418">
        <f t="shared" si="256"/>
        <v>5.7370517928286855</v>
      </c>
      <c r="AL884" s="374">
        <f t="shared" si="257"/>
        <v>1.0458333333333334</v>
      </c>
      <c r="AM884" s="372">
        <f t="shared" si="258"/>
        <v>1.0458333333333334</v>
      </c>
      <c r="AN884" s="799">
        <v>1.0458333333333334</v>
      </c>
      <c r="AO884" s="448"/>
      <c r="AP884" s="440">
        <v>0</v>
      </c>
      <c r="AQ884" s="440">
        <v>0</v>
      </c>
      <c r="AR884" s="440">
        <v>0</v>
      </c>
      <c r="AS884" s="440">
        <v>0</v>
      </c>
      <c r="AT884" s="440">
        <v>0</v>
      </c>
      <c r="AU884" s="440">
        <v>0</v>
      </c>
      <c r="AV884" s="440">
        <v>0</v>
      </c>
      <c r="AW884" s="440">
        <v>0</v>
      </c>
      <c r="AX884" s="440">
        <v>0</v>
      </c>
      <c r="AY884" s="440">
        <v>0</v>
      </c>
      <c r="AZ884" s="440">
        <v>0</v>
      </c>
      <c r="BA884" s="440">
        <v>0</v>
      </c>
      <c r="BB884" s="440">
        <v>0</v>
      </c>
      <c r="BC884" s="440">
        <v>0</v>
      </c>
      <c r="BD884" s="440">
        <v>0</v>
      </c>
      <c r="BE884" s="440">
        <v>0</v>
      </c>
      <c r="BF884" s="440">
        <v>0</v>
      </c>
      <c r="BG884" s="440">
        <v>0</v>
      </c>
      <c r="BH884" s="440">
        <v>0</v>
      </c>
      <c r="BI884" s="440">
        <v>0</v>
      </c>
      <c r="BJ884" s="440">
        <v>0</v>
      </c>
      <c r="BK884" s="440">
        <v>0</v>
      </c>
      <c r="BL884" s="440">
        <v>0</v>
      </c>
      <c r="BM884" s="440">
        <v>0</v>
      </c>
      <c r="BN884" s="440">
        <v>0</v>
      </c>
      <c r="BO884" s="440">
        <v>0</v>
      </c>
      <c r="BP884" s="440">
        <v>0</v>
      </c>
      <c r="BQ884" s="440">
        <v>0</v>
      </c>
      <c r="BR884" s="415">
        <v>0</v>
      </c>
      <c r="BS884" s="415">
        <v>0</v>
      </c>
      <c r="BT884" s="935"/>
      <c r="BU884" s="935"/>
      <c r="BV884" s="935"/>
      <c r="BW884" s="935"/>
      <c r="BX884" s="935"/>
      <c r="BY884" s="935"/>
      <c r="BZ884" s="935"/>
      <c r="CA884" s="935"/>
      <c r="CB884" s="935"/>
      <c r="CC884" s="935"/>
      <c r="CD884" s="935"/>
      <c r="CE884" s="935"/>
      <c r="CF884" s="935"/>
      <c r="CG884" s="935"/>
      <c r="CH884" s="935"/>
      <c r="CI884" s="935"/>
      <c r="CJ884" s="935"/>
      <c r="CK884" s="935"/>
      <c r="CL884" s="935"/>
      <c r="CM884" s="935"/>
      <c r="CN884" s="935"/>
      <c r="CO884" s="935"/>
      <c r="CP884" s="935"/>
      <c r="CQ884" s="935"/>
      <c r="CR884" s="935"/>
      <c r="CS884" s="935"/>
      <c r="CT884" s="935"/>
      <c r="CU884" s="935"/>
      <c r="CV884" s="935"/>
    </row>
    <row r="885" spans="1:100" s="441" customFormat="1">
      <c r="A885" s="375">
        <f t="shared" si="244"/>
        <v>10</v>
      </c>
      <c r="B885" s="862">
        <v>44480</v>
      </c>
      <c r="C885" s="493" t="s">
        <v>2001</v>
      </c>
      <c r="D885" s="376" t="str">
        <f>IFERROR(VLOOKUP(E:E,'Item Data Support Sheet'!A:O,7,0),"")</f>
        <v>CAP MOLDED</v>
      </c>
      <c r="E885" s="447" t="s">
        <v>2109</v>
      </c>
      <c r="F885" s="500"/>
      <c r="G885" s="497" t="s">
        <v>3212</v>
      </c>
      <c r="H885" s="602" t="str">
        <f>IFERROR(VLOOKUP(E:E,'Item Data Support Sheet'!A:O,2,0),"")</f>
        <v>CAP S TYPE MOLDED PALE BLUE</v>
      </c>
      <c r="I885" s="501" t="s">
        <v>3627</v>
      </c>
      <c r="J885" s="501" t="s">
        <v>2811</v>
      </c>
      <c r="K885" s="499">
        <v>4</v>
      </c>
      <c r="L885" s="499">
        <v>2060</v>
      </c>
      <c r="M885" s="366">
        <v>515</v>
      </c>
      <c r="N885" s="367">
        <f t="shared" si="243"/>
        <v>2000</v>
      </c>
      <c r="O885" s="61">
        <v>2000</v>
      </c>
      <c r="P885" s="368">
        <v>0.4</v>
      </c>
      <c r="Q885" s="368">
        <v>0</v>
      </c>
      <c r="R885" s="494">
        <v>0</v>
      </c>
      <c r="S885" s="493">
        <v>0</v>
      </c>
      <c r="T885" s="494">
        <v>0</v>
      </c>
      <c r="U885" s="493">
        <v>0</v>
      </c>
      <c r="V885" s="502">
        <v>1</v>
      </c>
      <c r="W885" s="453">
        <f t="shared" si="245"/>
        <v>2000</v>
      </c>
      <c r="X885" s="748">
        <f t="shared" si="246"/>
        <v>0.970873786407767</v>
      </c>
      <c r="Y885" s="451" t="str">
        <f>IFERROR(VLOOKUP(E:E,'Item Data Support Sheet'!A:J,6,0),0)</f>
        <v>RM000115</v>
      </c>
      <c r="Z885" s="428">
        <f>IFERROR(VLOOKUP(E:E,'Item Data Support Sheet'!A:O,4,0),0)</f>
        <v>7.3</v>
      </c>
      <c r="AA885" s="428">
        <f t="shared" si="247"/>
        <v>15</v>
      </c>
      <c r="AB885" s="429">
        <f t="shared" si="248"/>
        <v>0.97333333333333327</v>
      </c>
      <c r="AC885" s="424">
        <f t="shared" si="249"/>
        <v>0</v>
      </c>
      <c r="AD885" s="371">
        <f t="shared" si="250"/>
        <v>0</v>
      </c>
      <c r="AE885" s="748">
        <f t="shared" si="251"/>
        <v>1</v>
      </c>
      <c r="AF885" s="417">
        <f t="shared" si="252"/>
        <v>0.83333333333333337</v>
      </c>
      <c r="AG885" s="416">
        <f t="shared" si="253"/>
        <v>3.1666666666666665</v>
      </c>
      <c r="AH885" s="372">
        <f t="shared" si="254"/>
        <v>0.79166666666666663</v>
      </c>
      <c r="AI885" s="373">
        <f t="shared" si="255"/>
        <v>500</v>
      </c>
      <c r="AJ885" s="418">
        <f>VLOOKUP(D885,'Standard Cycle time'!C:D,2,0)</f>
        <v>6</v>
      </c>
      <c r="AK885" s="418">
        <f t="shared" si="256"/>
        <v>5.7</v>
      </c>
      <c r="AL885" s="374">
        <f t="shared" si="257"/>
        <v>1.0526315789473684</v>
      </c>
      <c r="AM885" s="372">
        <f t="shared" si="258"/>
        <v>0.83333333333333326</v>
      </c>
      <c r="AN885" s="799">
        <v>0.83333333333333326</v>
      </c>
      <c r="AO885" s="448"/>
      <c r="AP885" s="440">
        <v>0</v>
      </c>
      <c r="AQ885" s="440">
        <v>0</v>
      </c>
      <c r="AR885" s="440">
        <v>0</v>
      </c>
      <c r="AS885" s="440">
        <v>0</v>
      </c>
      <c r="AT885" s="440">
        <v>0</v>
      </c>
      <c r="AU885" s="440">
        <v>0</v>
      </c>
      <c r="AV885" s="440">
        <v>30</v>
      </c>
      <c r="AW885" s="440">
        <v>20</v>
      </c>
      <c r="AX885" s="440">
        <v>0</v>
      </c>
      <c r="AY885" s="440">
        <v>0</v>
      </c>
      <c r="AZ885" s="440">
        <v>0</v>
      </c>
      <c r="BA885" s="440">
        <v>0</v>
      </c>
      <c r="BB885" s="440">
        <v>0</v>
      </c>
      <c r="BC885" s="440">
        <v>0</v>
      </c>
      <c r="BD885" s="440">
        <v>0</v>
      </c>
      <c r="BE885" s="440">
        <v>0</v>
      </c>
      <c r="BF885" s="440">
        <v>0</v>
      </c>
      <c r="BG885" s="440">
        <v>0</v>
      </c>
      <c r="BH885" s="440">
        <v>0</v>
      </c>
      <c r="BI885" s="440">
        <v>0</v>
      </c>
      <c r="BJ885" s="440">
        <v>0</v>
      </c>
      <c r="BK885" s="440">
        <v>0</v>
      </c>
      <c r="BL885" s="440">
        <v>0</v>
      </c>
      <c r="BM885" s="440">
        <v>0</v>
      </c>
      <c r="BN885" s="440">
        <v>0</v>
      </c>
      <c r="BO885" s="440">
        <v>0</v>
      </c>
      <c r="BP885" s="440">
        <v>0</v>
      </c>
      <c r="BQ885" s="440">
        <v>0</v>
      </c>
      <c r="BR885" s="415">
        <v>0.83333333333333337</v>
      </c>
      <c r="BS885" s="415">
        <v>0.83333333333333337</v>
      </c>
      <c r="BT885" s="935"/>
      <c r="BU885" s="935"/>
      <c r="BV885" s="935"/>
      <c r="BW885" s="935"/>
      <c r="BX885" s="935"/>
      <c r="BY885" s="935"/>
      <c r="BZ885" s="935"/>
      <c r="CA885" s="935"/>
      <c r="CB885" s="935"/>
      <c r="CC885" s="935"/>
      <c r="CD885" s="935"/>
      <c r="CE885" s="935"/>
      <c r="CF885" s="935"/>
      <c r="CG885" s="935"/>
      <c r="CH885" s="935"/>
      <c r="CI885" s="935"/>
      <c r="CJ885" s="935"/>
      <c r="CK885" s="935"/>
      <c r="CL885" s="935"/>
      <c r="CM885" s="935"/>
      <c r="CN885" s="935"/>
      <c r="CO885" s="935"/>
      <c r="CP885" s="935"/>
      <c r="CQ885" s="935"/>
      <c r="CR885" s="935"/>
      <c r="CS885" s="935"/>
      <c r="CT885" s="935"/>
      <c r="CU885" s="935"/>
      <c r="CV885" s="935"/>
    </row>
    <row r="886" spans="1:100" s="441" customFormat="1">
      <c r="A886" s="375">
        <f t="shared" si="244"/>
        <v>10</v>
      </c>
      <c r="B886" s="862">
        <v>44480</v>
      </c>
      <c r="C886" s="493" t="s">
        <v>2001</v>
      </c>
      <c r="D886" s="376" t="str">
        <f>IFERROR(VLOOKUP(E:E,'Item Data Support Sheet'!A:O,7,0),"")</f>
        <v>BOTTLE MOLDED</v>
      </c>
      <c r="E886" s="447" t="s">
        <v>66</v>
      </c>
      <c r="F886" s="500" t="s">
        <v>1680</v>
      </c>
      <c r="G886" s="497" t="s">
        <v>1888</v>
      </c>
      <c r="H886" s="602" t="str">
        <f>IFERROR(VLOOKUP(E:E,'Item Data Support Sheet'!A:O,2,0),"")</f>
        <v>KPP 200 ML BOTTLE MOLDED</v>
      </c>
      <c r="I886" s="501" t="s">
        <v>3628</v>
      </c>
      <c r="J886" s="501" t="s">
        <v>2811</v>
      </c>
      <c r="K886" s="499">
        <v>8</v>
      </c>
      <c r="L886" s="499">
        <v>2574</v>
      </c>
      <c r="M886" s="366">
        <v>321.75</v>
      </c>
      <c r="N886" s="367">
        <f t="shared" si="243"/>
        <v>3420</v>
      </c>
      <c r="O886" s="61">
        <v>3348</v>
      </c>
      <c r="P886" s="368">
        <v>0</v>
      </c>
      <c r="Q886" s="368">
        <v>24</v>
      </c>
      <c r="R886" s="494">
        <v>0</v>
      </c>
      <c r="S886" s="493">
        <v>0</v>
      </c>
      <c r="T886" s="494">
        <v>48</v>
      </c>
      <c r="U886" s="493">
        <v>0</v>
      </c>
      <c r="V886" s="502">
        <v>1</v>
      </c>
      <c r="W886" s="453">
        <f t="shared" si="245"/>
        <v>3348</v>
      </c>
      <c r="X886" s="748">
        <f t="shared" si="246"/>
        <v>1.3006993006993006</v>
      </c>
      <c r="Y886" s="451" t="str">
        <f>IFERROR(VLOOKUP(E:E,'Item Data Support Sheet'!A:J,6,0),0)</f>
        <v>HMC</v>
      </c>
      <c r="Z886" s="428">
        <f>IFERROR(VLOOKUP(E:E,'Item Data Support Sheet'!A:O,4,0),0)</f>
        <v>28.1</v>
      </c>
      <c r="AA886" s="428">
        <f t="shared" si="247"/>
        <v>96.102000000000004</v>
      </c>
      <c r="AB886" s="429">
        <f t="shared" si="248"/>
        <v>0.97894736842105257</v>
      </c>
      <c r="AC886" s="424">
        <f t="shared" si="249"/>
        <v>1.4134275618374558E-2</v>
      </c>
      <c r="AD886" s="371">
        <f t="shared" si="250"/>
        <v>6.9686411149825784E-3</v>
      </c>
      <c r="AE886" s="748">
        <f t="shared" si="251"/>
        <v>0.98596491228070171</v>
      </c>
      <c r="AF886" s="417">
        <f t="shared" si="252"/>
        <v>0</v>
      </c>
      <c r="AG886" s="416">
        <f t="shared" si="253"/>
        <v>8</v>
      </c>
      <c r="AH886" s="372">
        <f t="shared" si="254"/>
        <v>1</v>
      </c>
      <c r="AI886" s="373">
        <f t="shared" si="255"/>
        <v>418.5</v>
      </c>
      <c r="AJ886" s="418">
        <f>VLOOKUP(D886,'Standard Cycle time'!C:D,2,0)</f>
        <v>9</v>
      </c>
      <c r="AK886" s="418">
        <f t="shared" si="256"/>
        <v>8.6021505376344081</v>
      </c>
      <c r="AL886" s="374">
        <f t="shared" si="257"/>
        <v>1.0462500000000001</v>
      </c>
      <c r="AM886" s="372">
        <f t="shared" si="258"/>
        <v>1.0315657894736843</v>
      </c>
      <c r="AN886" s="799">
        <v>1.0315657894736843</v>
      </c>
      <c r="AO886" s="448"/>
      <c r="AP886" s="440">
        <v>0</v>
      </c>
      <c r="AQ886" s="440">
        <v>0</v>
      </c>
      <c r="AR886" s="440">
        <v>0</v>
      </c>
      <c r="AS886" s="440">
        <v>0</v>
      </c>
      <c r="AT886" s="440">
        <v>0</v>
      </c>
      <c r="AU886" s="440">
        <v>0</v>
      </c>
      <c r="AV886" s="440">
        <v>0</v>
      </c>
      <c r="AW886" s="440">
        <v>0</v>
      </c>
      <c r="AX886" s="440">
        <v>0</v>
      </c>
      <c r="AY886" s="440">
        <v>0</v>
      </c>
      <c r="AZ886" s="440">
        <v>0</v>
      </c>
      <c r="BA886" s="440">
        <v>0</v>
      </c>
      <c r="BB886" s="440">
        <v>0</v>
      </c>
      <c r="BC886" s="440">
        <v>0</v>
      </c>
      <c r="BD886" s="440">
        <v>0</v>
      </c>
      <c r="BE886" s="440">
        <v>0</v>
      </c>
      <c r="BF886" s="440">
        <v>0</v>
      </c>
      <c r="BG886" s="440">
        <v>0</v>
      </c>
      <c r="BH886" s="440">
        <v>0</v>
      </c>
      <c r="BI886" s="440">
        <v>0</v>
      </c>
      <c r="BJ886" s="440">
        <v>0</v>
      </c>
      <c r="BK886" s="440">
        <v>0</v>
      </c>
      <c r="BL886" s="440">
        <v>0</v>
      </c>
      <c r="BM886" s="440">
        <v>0</v>
      </c>
      <c r="BN886" s="440">
        <v>0</v>
      </c>
      <c r="BO886" s="440">
        <v>0</v>
      </c>
      <c r="BP886" s="440">
        <v>0</v>
      </c>
      <c r="BQ886" s="440">
        <v>0</v>
      </c>
      <c r="BR886" s="415">
        <v>0</v>
      </c>
      <c r="BS886" s="415">
        <v>0</v>
      </c>
      <c r="BT886" s="935"/>
      <c r="BU886" s="935"/>
      <c r="BV886" s="935"/>
      <c r="BW886" s="935"/>
      <c r="BX886" s="935"/>
      <c r="BY886" s="935"/>
      <c r="BZ886" s="935"/>
      <c r="CA886" s="935"/>
      <c r="CB886" s="935"/>
      <c r="CC886" s="935"/>
      <c r="CD886" s="935"/>
      <c r="CE886" s="935"/>
      <c r="CF886" s="935"/>
      <c r="CG886" s="935"/>
      <c r="CH886" s="935"/>
      <c r="CI886" s="935"/>
      <c r="CJ886" s="935"/>
      <c r="CK886" s="935"/>
      <c r="CL886" s="935"/>
      <c r="CM886" s="935"/>
      <c r="CN886" s="935"/>
      <c r="CO886" s="935"/>
      <c r="CP886" s="935"/>
      <c r="CQ886" s="935"/>
      <c r="CR886" s="935"/>
      <c r="CS886" s="935"/>
      <c r="CT886" s="935"/>
      <c r="CU886" s="935"/>
      <c r="CV886" s="935"/>
    </row>
    <row r="887" spans="1:100" s="441" customFormat="1">
      <c r="A887" s="375">
        <f t="shared" si="244"/>
        <v>10</v>
      </c>
      <c r="B887" s="862">
        <v>44480</v>
      </c>
      <c r="C887" s="493" t="s">
        <v>2001</v>
      </c>
      <c r="D887" s="376" t="str">
        <f>IFERROR(VLOOKUP(E:E,'Item Data Support Sheet'!A:O,7,0),"")</f>
        <v>NIPPLE MOLDED</v>
      </c>
      <c r="E887" s="447" t="s">
        <v>74</v>
      </c>
      <c r="F887" s="500" t="s">
        <v>1678</v>
      </c>
      <c r="G887" s="497" t="s">
        <v>1691</v>
      </c>
      <c r="H887" s="602" t="str">
        <f>IFERROR(VLOOKUP(E:E,'Item Data Support Sheet'!A:O,2,0),"")</f>
        <v>NIPPLE S TYPE L SIZE INJECTION</v>
      </c>
      <c r="I887" s="501" t="s">
        <v>3629</v>
      </c>
      <c r="J887" s="501" t="s">
        <v>2811</v>
      </c>
      <c r="K887" s="499">
        <v>8</v>
      </c>
      <c r="L887" s="499">
        <v>4815</v>
      </c>
      <c r="M887" s="366">
        <v>601.875</v>
      </c>
      <c r="N887" s="367">
        <f t="shared" si="243"/>
        <v>5565</v>
      </c>
      <c r="O887" s="61">
        <v>5500</v>
      </c>
      <c r="P887" s="368">
        <v>0</v>
      </c>
      <c r="Q887" s="368">
        <v>20</v>
      </c>
      <c r="R887" s="494">
        <v>0</v>
      </c>
      <c r="S887" s="493">
        <v>0</v>
      </c>
      <c r="T887" s="494">
        <v>45</v>
      </c>
      <c r="U887" s="493">
        <v>0</v>
      </c>
      <c r="V887" s="502">
        <v>1</v>
      </c>
      <c r="W887" s="453">
        <f t="shared" si="245"/>
        <v>5500</v>
      </c>
      <c r="X887" s="748">
        <f t="shared" si="246"/>
        <v>1.142263759086189</v>
      </c>
      <c r="Y887" s="451" t="str">
        <f>IFERROR(VLOOKUP(E:E,'Item Data Support Sheet'!A:J,6,0),0)</f>
        <v>Silicon</v>
      </c>
      <c r="Z887" s="428">
        <f>IFERROR(VLOOKUP(E:E,'Item Data Support Sheet'!A:O,4,0),0)</f>
        <v>6.8</v>
      </c>
      <c r="AA887" s="428">
        <f t="shared" si="247"/>
        <v>37.841999999999999</v>
      </c>
      <c r="AB887" s="429">
        <f t="shared" si="248"/>
        <v>0.98831985624438456</v>
      </c>
      <c r="AC887" s="424">
        <f t="shared" si="249"/>
        <v>8.1154192966636611E-3</v>
      </c>
      <c r="AD887" s="371">
        <f t="shared" si="250"/>
        <v>3.5810205908683975E-3</v>
      </c>
      <c r="AE887" s="748">
        <f t="shared" si="251"/>
        <v>0.99191374663072773</v>
      </c>
      <c r="AF887" s="417">
        <f t="shared" si="252"/>
        <v>0</v>
      </c>
      <c r="AG887" s="416">
        <f t="shared" si="253"/>
        <v>8</v>
      </c>
      <c r="AH887" s="372">
        <f t="shared" si="254"/>
        <v>1</v>
      </c>
      <c r="AI887" s="373">
        <f t="shared" si="255"/>
        <v>687.5</v>
      </c>
      <c r="AJ887" s="418">
        <f>VLOOKUP(D887,'Standard Cycle time'!C:D,2,0)</f>
        <v>5.25</v>
      </c>
      <c r="AK887" s="418">
        <f t="shared" si="256"/>
        <v>5.2363636363636363</v>
      </c>
      <c r="AL887" s="374">
        <f t="shared" si="257"/>
        <v>1.0026041666666667</v>
      </c>
      <c r="AM887" s="372">
        <f t="shared" si="258"/>
        <v>0.99449685534591203</v>
      </c>
      <c r="AN887" s="799">
        <v>0.99449685534591203</v>
      </c>
      <c r="AO887" s="448"/>
      <c r="AP887" s="440">
        <v>0</v>
      </c>
      <c r="AQ887" s="440">
        <v>0</v>
      </c>
      <c r="AR887" s="440">
        <v>0</v>
      </c>
      <c r="AS887" s="440">
        <v>0</v>
      </c>
      <c r="AT887" s="440">
        <v>0</v>
      </c>
      <c r="AU887" s="440">
        <v>0</v>
      </c>
      <c r="AV887" s="440">
        <v>0</v>
      </c>
      <c r="AW887" s="440">
        <v>0</v>
      </c>
      <c r="AX887" s="440">
        <v>0</v>
      </c>
      <c r="AY887" s="440">
        <v>0</v>
      </c>
      <c r="AZ887" s="440">
        <v>0</v>
      </c>
      <c r="BA887" s="440">
        <v>0</v>
      </c>
      <c r="BB887" s="440">
        <v>0</v>
      </c>
      <c r="BC887" s="440">
        <v>0</v>
      </c>
      <c r="BD887" s="440">
        <v>0</v>
      </c>
      <c r="BE887" s="440">
        <v>0</v>
      </c>
      <c r="BF887" s="440">
        <v>0</v>
      </c>
      <c r="BG887" s="440">
        <v>0</v>
      </c>
      <c r="BH887" s="440">
        <v>0</v>
      </c>
      <c r="BI887" s="440">
        <v>0</v>
      </c>
      <c r="BJ887" s="440">
        <v>0</v>
      </c>
      <c r="BK887" s="440">
        <v>0</v>
      </c>
      <c r="BL887" s="440">
        <v>0</v>
      </c>
      <c r="BM887" s="440">
        <v>0</v>
      </c>
      <c r="BN887" s="440">
        <v>0</v>
      </c>
      <c r="BO887" s="440">
        <v>0</v>
      </c>
      <c r="BP887" s="440">
        <v>0</v>
      </c>
      <c r="BQ887" s="440">
        <v>0</v>
      </c>
      <c r="BR887" s="415">
        <v>0</v>
      </c>
      <c r="BS887" s="415">
        <v>0</v>
      </c>
      <c r="BT887" s="935"/>
      <c r="BU887" s="935"/>
      <c r="BV887" s="935"/>
      <c r="BW887" s="935"/>
      <c r="BX887" s="935"/>
      <c r="BY887" s="935"/>
      <c r="BZ887" s="935"/>
      <c r="CA887" s="935"/>
      <c r="CB887" s="935"/>
      <c r="CC887" s="935"/>
      <c r="CD887" s="935"/>
      <c r="CE887" s="935"/>
      <c r="CF887" s="935"/>
      <c r="CG887" s="935"/>
      <c r="CH887" s="935"/>
      <c r="CI887" s="935"/>
      <c r="CJ887" s="935"/>
      <c r="CK887" s="935"/>
      <c r="CL887" s="935"/>
      <c r="CM887" s="935"/>
      <c r="CN887" s="935"/>
      <c r="CO887" s="935"/>
      <c r="CP887" s="935"/>
      <c r="CQ887" s="935"/>
      <c r="CR887" s="935"/>
      <c r="CS887" s="935"/>
      <c r="CT887" s="935"/>
      <c r="CU887" s="935"/>
      <c r="CV887" s="935"/>
    </row>
    <row r="888" spans="1:100" s="441" customFormat="1">
      <c r="A888" s="375">
        <f t="shared" si="244"/>
        <v>10</v>
      </c>
      <c r="B888" s="862">
        <v>44480</v>
      </c>
      <c r="C888" s="493" t="s">
        <v>2001</v>
      </c>
      <c r="D888" s="376" t="str">
        <f>IFERROR(VLOOKUP(E:E,'Item Data Support Sheet'!A:O,7,0),"")</f>
        <v>NIPPLE PUNCH</v>
      </c>
      <c r="E888" s="447" t="s">
        <v>82</v>
      </c>
      <c r="F888" s="500"/>
      <c r="G888" s="497"/>
      <c r="H888" s="602" t="str">
        <f>IFERROR(VLOOKUP(E:E,'Item Data Support Sheet'!A:O,2,0),"")</f>
        <v>NIPPLE S TYPE L SIZE PUNCHED</v>
      </c>
      <c r="I888" s="501" t="s">
        <v>3630</v>
      </c>
      <c r="J888" s="501" t="s">
        <v>2811</v>
      </c>
      <c r="K888" s="499">
        <v>8</v>
      </c>
      <c r="L888" s="499">
        <v>7000</v>
      </c>
      <c r="M888" s="366">
        <v>875</v>
      </c>
      <c r="N888" s="367">
        <f t="shared" si="243"/>
        <v>7000</v>
      </c>
      <c r="O888" s="61">
        <v>7000</v>
      </c>
      <c r="P888" s="368">
        <v>0</v>
      </c>
      <c r="Q888" s="368">
        <v>0</v>
      </c>
      <c r="R888" s="494">
        <v>0</v>
      </c>
      <c r="S888" s="493">
        <v>0</v>
      </c>
      <c r="T888" s="494">
        <v>0</v>
      </c>
      <c r="U888" s="493">
        <v>0</v>
      </c>
      <c r="V888" s="502">
        <v>1</v>
      </c>
      <c r="W888" s="453">
        <f t="shared" si="245"/>
        <v>7000</v>
      </c>
      <c r="X888" s="748">
        <f t="shared" si="246"/>
        <v>1</v>
      </c>
      <c r="Y888" s="451" t="str">
        <f>IFERROR(VLOOKUP(E:E,'Item Data Support Sheet'!A:J,6,0),0)</f>
        <v>FO017</v>
      </c>
      <c r="Z888" s="428">
        <f>IFERROR(VLOOKUP(E:E,'Item Data Support Sheet'!A:O,4,0),0)</f>
        <v>0</v>
      </c>
      <c r="AA888" s="428">
        <f t="shared" si="247"/>
        <v>0</v>
      </c>
      <c r="AB888" s="429" t="str">
        <f t="shared" si="248"/>
        <v xml:space="preserve"> </v>
      </c>
      <c r="AC888" s="424">
        <f t="shared" si="249"/>
        <v>0</v>
      </c>
      <c r="AD888" s="371">
        <f t="shared" si="250"/>
        <v>0</v>
      </c>
      <c r="AE888" s="748">
        <f t="shared" si="251"/>
        <v>1</v>
      </c>
      <c r="AF888" s="417">
        <f t="shared" si="252"/>
        <v>0</v>
      </c>
      <c r="AG888" s="416">
        <f t="shared" si="253"/>
        <v>8</v>
      </c>
      <c r="AH888" s="372">
        <f t="shared" si="254"/>
        <v>1</v>
      </c>
      <c r="AI888" s="373">
        <f t="shared" si="255"/>
        <v>875</v>
      </c>
      <c r="AJ888" s="418">
        <f>VLOOKUP(D888,'Standard Cycle time'!C:D,2,0)</f>
        <v>3.5</v>
      </c>
      <c r="AK888" s="418">
        <f t="shared" si="256"/>
        <v>4.1142857142857139</v>
      </c>
      <c r="AL888" s="374">
        <f t="shared" si="257"/>
        <v>0.85069444444444453</v>
      </c>
      <c r="AM888" s="372">
        <f t="shared" si="258"/>
        <v>0.85069444444444453</v>
      </c>
      <c r="AN888" s="799">
        <v>0.85069444444444453</v>
      </c>
      <c r="AO888" s="448"/>
      <c r="AP888" s="440">
        <v>0</v>
      </c>
      <c r="AQ888" s="440">
        <v>0</v>
      </c>
      <c r="AR888" s="440">
        <v>0</v>
      </c>
      <c r="AS888" s="440">
        <v>0</v>
      </c>
      <c r="AT888" s="440">
        <v>0</v>
      </c>
      <c r="AU888" s="440">
        <v>0</v>
      </c>
      <c r="AV888" s="440">
        <v>0</v>
      </c>
      <c r="AW888" s="440">
        <v>0</v>
      </c>
      <c r="AX888" s="440">
        <v>0</v>
      </c>
      <c r="AY888" s="440">
        <v>0</v>
      </c>
      <c r="AZ888" s="440">
        <v>0</v>
      </c>
      <c r="BA888" s="440">
        <v>0</v>
      </c>
      <c r="BB888" s="440">
        <v>0</v>
      </c>
      <c r="BC888" s="440">
        <v>0</v>
      </c>
      <c r="BD888" s="440">
        <v>0</v>
      </c>
      <c r="BE888" s="440">
        <v>0</v>
      </c>
      <c r="BF888" s="440">
        <v>0</v>
      </c>
      <c r="BG888" s="440">
        <v>0</v>
      </c>
      <c r="BH888" s="440">
        <v>0</v>
      </c>
      <c r="BI888" s="440">
        <v>0</v>
      </c>
      <c r="BJ888" s="440">
        <v>0</v>
      </c>
      <c r="BK888" s="440">
        <v>0</v>
      </c>
      <c r="BL888" s="440">
        <v>0</v>
      </c>
      <c r="BM888" s="440">
        <v>0</v>
      </c>
      <c r="BN888" s="440">
        <v>0</v>
      </c>
      <c r="BO888" s="440">
        <v>0</v>
      </c>
      <c r="BP888" s="440">
        <v>0</v>
      </c>
      <c r="BQ888" s="440">
        <v>0</v>
      </c>
      <c r="BR888" s="415">
        <v>0</v>
      </c>
      <c r="BS888" s="415">
        <v>0</v>
      </c>
      <c r="BT888" s="935"/>
      <c r="BU888" s="935"/>
      <c r="BV888" s="935"/>
      <c r="BW888" s="935"/>
      <c r="BX888" s="935"/>
      <c r="BY888" s="935"/>
      <c r="BZ888" s="935"/>
      <c r="CA888" s="935"/>
      <c r="CB888" s="935"/>
      <c r="CC888" s="935"/>
      <c r="CD888" s="935"/>
      <c r="CE888" s="935"/>
      <c r="CF888" s="935"/>
      <c r="CG888" s="935"/>
      <c r="CH888" s="935"/>
      <c r="CI888" s="935"/>
      <c r="CJ888" s="935"/>
      <c r="CK888" s="935"/>
      <c r="CL888" s="935"/>
      <c r="CM888" s="935"/>
      <c r="CN888" s="935"/>
      <c r="CO888" s="935"/>
      <c r="CP888" s="935"/>
      <c r="CQ888" s="935"/>
      <c r="CR888" s="935"/>
      <c r="CS888" s="935"/>
      <c r="CT888" s="935"/>
      <c r="CU888" s="935"/>
      <c r="CV888" s="935"/>
    </row>
    <row r="889" spans="1:100" s="441" customFormat="1">
      <c r="A889" s="375">
        <f t="shared" si="244"/>
        <v>10</v>
      </c>
      <c r="B889" s="862">
        <v>44480</v>
      </c>
      <c r="C889" s="493" t="s">
        <v>2001</v>
      </c>
      <c r="D889" s="376" t="str">
        <f>IFERROR(VLOOKUP(E:E,'Item Data Support Sheet'!A:O,7,0),"")</f>
        <v>NIPPLE LASER MARKING</v>
      </c>
      <c r="E889" s="447" t="s">
        <v>1816</v>
      </c>
      <c r="F889" s="500"/>
      <c r="G889" s="497" t="s">
        <v>1812</v>
      </c>
      <c r="H889" s="602" t="str">
        <f>IFERROR(VLOOKUP(E:E,'Item Data Support Sheet'!A:O,2,0),"")</f>
        <v>NIPPLE S TYPE L SIZE PUNCHED LASER MARKED</v>
      </c>
      <c r="I889" s="501"/>
      <c r="J889" s="501" t="s">
        <v>2811</v>
      </c>
      <c r="K889" s="499">
        <v>8</v>
      </c>
      <c r="L889" s="499">
        <v>7000</v>
      </c>
      <c r="M889" s="366">
        <v>875</v>
      </c>
      <c r="N889" s="367">
        <f t="shared" si="243"/>
        <v>7000</v>
      </c>
      <c r="O889" s="61">
        <v>7000</v>
      </c>
      <c r="P889" s="368">
        <v>0</v>
      </c>
      <c r="Q889" s="368">
        <v>0</v>
      </c>
      <c r="R889" s="494">
        <v>0</v>
      </c>
      <c r="S889" s="493">
        <v>0</v>
      </c>
      <c r="T889" s="494">
        <v>0</v>
      </c>
      <c r="U889" s="493">
        <v>0</v>
      </c>
      <c r="V889" s="502">
        <v>1</v>
      </c>
      <c r="W889" s="453">
        <f t="shared" si="245"/>
        <v>7000</v>
      </c>
      <c r="X889" s="748">
        <f t="shared" si="246"/>
        <v>1</v>
      </c>
      <c r="Y889" s="451" t="str">
        <f>IFERROR(VLOOKUP(E:E,'Item Data Support Sheet'!A:J,6,0),0)</f>
        <v>FO021</v>
      </c>
      <c r="Z889" s="428">
        <f>IFERROR(VLOOKUP(E:E,'Item Data Support Sheet'!A:O,4,0),0)</f>
        <v>0</v>
      </c>
      <c r="AA889" s="428">
        <f t="shared" si="247"/>
        <v>0</v>
      </c>
      <c r="AB889" s="429" t="str">
        <f t="shared" si="248"/>
        <v xml:space="preserve"> </v>
      </c>
      <c r="AC889" s="424">
        <f t="shared" si="249"/>
        <v>0</v>
      </c>
      <c r="AD889" s="371">
        <f t="shared" si="250"/>
        <v>0</v>
      </c>
      <c r="AE889" s="748">
        <f t="shared" si="251"/>
        <v>1</v>
      </c>
      <c r="AF889" s="417">
        <f t="shared" si="252"/>
        <v>0</v>
      </c>
      <c r="AG889" s="416">
        <f t="shared" si="253"/>
        <v>8</v>
      </c>
      <c r="AH889" s="372">
        <f t="shared" si="254"/>
        <v>1</v>
      </c>
      <c r="AI889" s="373">
        <f t="shared" si="255"/>
        <v>875</v>
      </c>
      <c r="AJ889" s="418">
        <f>VLOOKUP(D889,'Standard Cycle time'!C:D,2,0)</f>
        <v>3.5</v>
      </c>
      <c r="AK889" s="418">
        <f t="shared" si="256"/>
        <v>4.1142857142857139</v>
      </c>
      <c r="AL889" s="374">
        <f t="shared" si="257"/>
        <v>0.85069444444444453</v>
      </c>
      <c r="AM889" s="372">
        <f t="shared" si="258"/>
        <v>0.85069444444444453</v>
      </c>
      <c r="AN889" s="799">
        <v>0.85069444444444453</v>
      </c>
      <c r="AO889" s="448"/>
      <c r="AP889" s="440">
        <v>0</v>
      </c>
      <c r="AQ889" s="440">
        <v>0</v>
      </c>
      <c r="AR889" s="440">
        <v>0</v>
      </c>
      <c r="AS889" s="440">
        <v>0</v>
      </c>
      <c r="AT889" s="440">
        <v>0</v>
      </c>
      <c r="AU889" s="440">
        <v>0</v>
      </c>
      <c r="AV889" s="440">
        <v>0</v>
      </c>
      <c r="AW889" s="440">
        <v>0</v>
      </c>
      <c r="AX889" s="440">
        <v>0</v>
      </c>
      <c r="AY889" s="440">
        <v>0</v>
      </c>
      <c r="AZ889" s="440">
        <v>0</v>
      </c>
      <c r="BA889" s="440">
        <v>0</v>
      </c>
      <c r="BB889" s="440">
        <v>0</v>
      </c>
      <c r="BC889" s="440">
        <v>0</v>
      </c>
      <c r="BD889" s="440">
        <v>0</v>
      </c>
      <c r="BE889" s="440">
        <v>0</v>
      </c>
      <c r="BF889" s="440">
        <v>0</v>
      </c>
      <c r="BG889" s="440">
        <v>0</v>
      </c>
      <c r="BH889" s="440">
        <v>0</v>
      </c>
      <c r="BI889" s="440">
        <v>0</v>
      </c>
      <c r="BJ889" s="440">
        <v>0</v>
      </c>
      <c r="BK889" s="440">
        <v>0</v>
      </c>
      <c r="BL889" s="440">
        <v>0</v>
      </c>
      <c r="BM889" s="440">
        <v>0</v>
      </c>
      <c r="BN889" s="440">
        <v>0</v>
      </c>
      <c r="BO889" s="440">
        <v>0</v>
      </c>
      <c r="BP889" s="440">
        <v>0</v>
      </c>
      <c r="BQ889" s="440">
        <v>0</v>
      </c>
      <c r="BR889" s="415">
        <v>0</v>
      </c>
      <c r="BS889" s="415">
        <v>0</v>
      </c>
      <c r="BT889" s="935"/>
      <c r="BU889" s="935"/>
      <c r="BV889" s="935"/>
      <c r="BW889" s="935"/>
      <c r="BX889" s="935"/>
      <c r="BY889" s="935"/>
      <c r="BZ889" s="935"/>
      <c r="CA889" s="935"/>
      <c r="CB889" s="935"/>
      <c r="CC889" s="935"/>
      <c r="CD889" s="935"/>
      <c r="CE889" s="935"/>
      <c r="CF889" s="935"/>
      <c r="CG889" s="935"/>
      <c r="CH889" s="935"/>
      <c r="CI889" s="935"/>
      <c r="CJ889" s="935"/>
      <c r="CK889" s="935"/>
      <c r="CL889" s="935"/>
      <c r="CM889" s="935"/>
      <c r="CN889" s="935"/>
      <c r="CO889" s="935"/>
      <c r="CP889" s="935"/>
      <c r="CQ889" s="935"/>
      <c r="CR889" s="935"/>
      <c r="CS889" s="935"/>
      <c r="CT889" s="935"/>
      <c r="CU889" s="935"/>
      <c r="CV889" s="935"/>
    </row>
    <row r="890" spans="1:100" s="441" customFormat="1">
      <c r="A890" s="375">
        <f t="shared" si="244"/>
        <v>10</v>
      </c>
      <c r="B890" s="862">
        <v>44480</v>
      </c>
      <c r="C890" s="493" t="s">
        <v>2053</v>
      </c>
      <c r="D890" s="376" t="str">
        <f>IFERROR(VLOOKUP(E:E,'Item Data Support Sheet'!A:O,7,0),"")</f>
        <v>BOTTLE MOLDED</v>
      </c>
      <c r="E890" s="447" t="s">
        <v>113</v>
      </c>
      <c r="F890" s="500" t="s">
        <v>1681</v>
      </c>
      <c r="G890" s="497" t="s">
        <v>1888</v>
      </c>
      <c r="H890" s="602" t="str">
        <f>IFERROR(VLOOKUP(E:E,'Item Data Support Sheet'!A:O,2,0),"")</f>
        <v>KPP BOTTLE 200 ML MOULDED-WMG3B</v>
      </c>
      <c r="I890" s="501" t="s">
        <v>3631</v>
      </c>
      <c r="J890" s="501" t="s">
        <v>2826</v>
      </c>
      <c r="K890" s="499">
        <v>8</v>
      </c>
      <c r="L890" s="499">
        <v>2137</v>
      </c>
      <c r="M890" s="366">
        <v>267.125</v>
      </c>
      <c r="N890" s="367">
        <f t="shared" si="243"/>
        <v>1710</v>
      </c>
      <c r="O890" s="61">
        <v>1512</v>
      </c>
      <c r="P890" s="368">
        <v>0.8</v>
      </c>
      <c r="Q890" s="368">
        <v>127</v>
      </c>
      <c r="R890" s="494">
        <v>0</v>
      </c>
      <c r="S890" s="493">
        <v>0</v>
      </c>
      <c r="T890" s="494">
        <v>47</v>
      </c>
      <c r="U890" s="493">
        <v>24</v>
      </c>
      <c r="V890" s="502">
        <v>1</v>
      </c>
      <c r="W890" s="453">
        <f t="shared" si="245"/>
        <v>1512</v>
      </c>
      <c r="X890" s="748">
        <f t="shared" si="246"/>
        <v>0.70753392606457655</v>
      </c>
      <c r="Y890" s="451" t="str">
        <f>IFERROR(VLOOKUP(E:E,'Item Data Support Sheet'!A:J,6,0),0)</f>
        <v>WMG3B</v>
      </c>
      <c r="Z890" s="428">
        <f>IFERROR(VLOOKUP(E:E,'Item Data Support Sheet'!A:O,4,0),0)</f>
        <v>28.6</v>
      </c>
      <c r="AA890" s="428">
        <f t="shared" si="247"/>
        <v>49.705999999999996</v>
      </c>
      <c r="AB890" s="429">
        <f t="shared" si="248"/>
        <v>0.8699794793385105</v>
      </c>
      <c r="AC890" s="424">
        <f t="shared" si="249"/>
        <v>3.0147530468248876E-2</v>
      </c>
      <c r="AD890" s="371">
        <f t="shared" si="250"/>
        <v>6.9134458356015241E-2</v>
      </c>
      <c r="AE890" s="748">
        <f t="shared" si="251"/>
        <v>0.97251461988304089</v>
      </c>
      <c r="AF890" s="417">
        <f t="shared" si="252"/>
        <v>3.6666666666666665</v>
      </c>
      <c r="AG890" s="416">
        <f t="shared" si="253"/>
        <v>4.3333333333333339</v>
      </c>
      <c r="AH890" s="372">
        <f t="shared" si="254"/>
        <v>0.54166666666666674</v>
      </c>
      <c r="AI890" s="373">
        <f t="shared" si="255"/>
        <v>189</v>
      </c>
      <c r="AJ890" s="418">
        <f>VLOOKUP(D890,'Standard Cycle time'!C:D,2,0)</f>
        <v>9</v>
      </c>
      <c r="AK890" s="418">
        <f t="shared" si="256"/>
        <v>10.317460317460318</v>
      </c>
      <c r="AL890" s="374">
        <f t="shared" si="257"/>
        <v>0.87230769230769223</v>
      </c>
      <c r="AM890" s="372">
        <f t="shared" si="258"/>
        <v>0.45951315789473685</v>
      </c>
      <c r="AN890" s="799">
        <v>0.45951315789473685</v>
      </c>
      <c r="AO890" s="448" t="s">
        <v>3632</v>
      </c>
      <c r="AP890" s="440">
        <v>0</v>
      </c>
      <c r="AQ890" s="440">
        <v>0</v>
      </c>
      <c r="AR890" s="440">
        <v>120</v>
      </c>
      <c r="AS890" s="440">
        <v>0</v>
      </c>
      <c r="AT890" s="440">
        <v>0</v>
      </c>
      <c r="AU890" s="440">
        <v>0</v>
      </c>
      <c r="AV890" s="440">
        <v>40</v>
      </c>
      <c r="AW890" s="440">
        <v>40</v>
      </c>
      <c r="AX890" s="440">
        <v>0</v>
      </c>
      <c r="AY890" s="440">
        <v>0</v>
      </c>
      <c r="AZ890" s="440">
        <v>20</v>
      </c>
      <c r="BA890" s="440">
        <v>0</v>
      </c>
      <c r="BB890" s="440">
        <v>0</v>
      </c>
      <c r="BC890" s="440">
        <v>0</v>
      </c>
      <c r="BD890" s="440">
        <v>0</v>
      </c>
      <c r="BE890" s="440">
        <v>0</v>
      </c>
      <c r="BF890" s="440">
        <v>0</v>
      </c>
      <c r="BG890" s="440">
        <v>0</v>
      </c>
      <c r="BH890" s="440">
        <v>0</v>
      </c>
      <c r="BI890" s="440">
        <v>0</v>
      </c>
      <c r="BJ890" s="440">
        <v>0</v>
      </c>
      <c r="BK890" s="440">
        <v>0</v>
      </c>
      <c r="BL890" s="440">
        <v>0</v>
      </c>
      <c r="BM890" s="440">
        <v>0</v>
      </c>
      <c r="BN890" s="440">
        <v>0</v>
      </c>
      <c r="BO890" s="440">
        <v>0</v>
      </c>
      <c r="BP890" s="440">
        <v>0</v>
      </c>
      <c r="BQ890" s="440">
        <v>0</v>
      </c>
      <c r="BR890" s="415">
        <v>3.6666666666666665</v>
      </c>
      <c r="BS890" s="415">
        <v>3.6666666666666665</v>
      </c>
      <c r="BT890" s="935"/>
      <c r="BU890" s="935"/>
      <c r="BV890" s="935"/>
      <c r="BW890" s="935"/>
      <c r="BX890" s="935"/>
      <c r="BY890" s="935"/>
      <c r="BZ890" s="935"/>
      <c r="CA890" s="935"/>
      <c r="CB890" s="935"/>
      <c r="CC890" s="935"/>
      <c r="CD890" s="935"/>
      <c r="CE890" s="935"/>
      <c r="CF890" s="935"/>
      <c r="CG890" s="935"/>
      <c r="CH890" s="935"/>
      <c r="CI890" s="935"/>
      <c r="CJ890" s="935"/>
      <c r="CK890" s="935"/>
      <c r="CL890" s="935"/>
      <c r="CM890" s="935"/>
      <c r="CN890" s="935"/>
      <c r="CO890" s="935"/>
      <c r="CP890" s="935"/>
      <c r="CQ890" s="935"/>
      <c r="CR890" s="935"/>
      <c r="CS890" s="935"/>
      <c r="CT890" s="935"/>
      <c r="CU890" s="935"/>
      <c r="CV890" s="935"/>
    </row>
    <row r="891" spans="1:100" s="441" customFormat="1">
      <c r="A891" s="375">
        <f t="shared" si="244"/>
        <v>10</v>
      </c>
      <c r="B891" s="862">
        <v>44480</v>
      </c>
      <c r="C891" s="493" t="s">
        <v>2053</v>
      </c>
      <c r="D891" s="376" t="str">
        <f>IFERROR(VLOOKUP(E:E,'Item Data Support Sheet'!A:O,7,0),"")</f>
        <v>CAP MOLDED</v>
      </c>
      <c r="E891" s="447" t="s">
        <v>2109</v>
      </c>
      <c r="F891" s="500"/>
      <c r="G891" s="497" t="s">
        <v>3212</v>
      </c>
      <c r="H891" s="602" t="str">
        <f>IFERROR(VLOOKUP(E:E,'Item Data Support Sheet'!A:O,2,0),"")</f>
        <v>CAP S TYPE MOLDED PALE BLUE</v>
      </c>
      <c r="I891" s="501" t="s">
        <v>3633</v>
      </c>
      <c r="J891" s="501" t="s">
        <v>2826</v>
      </c>
      <c r="K891" s="499">
        <v>4.5</v>
      </c>
      <c r="L891" s="499">
        <v>2320</v>
      </c>
      <c r="M891" s="366">
        <v>515.55555555555554</v>
      </c>
      <c r="N891" s="367">
        <f t="shared" si="243"/>
        <v>2332</v>
      </c>
      <c r="O891" s="61">
        <v>2320</v>
      </c>
      <c r="P891" s="368">
        <v>0</v>
      </c>
      <c r="Q891" s="368">
        <v>0</v>
      </c>
      <c r="R891" s="494">
        <v>0</v>
      </c>
      <c r="S891" s="493">
        <v>0</v>
      </c>
      <c r="T891" s="494">
        <v>4</v>
      </c>
      <c r="U891" s="493">
        <v>8</v>
      </c>
      <c r="V891" s="502">
        <v>1</v>
      </c>
      <c r="W891" s="453">
        <f t="shared" si="245"/>
        <v>2320</v>
      </c>
      <c r="X891" s="748">
        <f t="shared" si="246"/>
        <v>1</v>
      </c>
      <c r="Y891" s="451" t="str">
        <f>IFERROR(VLOOKUP(E:E,'Item Data Support Sheet'!A:J,6,0),0)</f>
        <v>RM000115</v>
      </c>
      <c r="Z891" s="428">
        <f>IFERROR(VLOOKUP(E:E,'Item Data Support Sheet'!A:O,4,0),0)</f>
        <v>7.3</v>
      </c>
      <c r="AA891" s="428">
        <f t="shared" si="247"/>
        <v>17.023600000000002</v>
      </c>
      <c r="AB891" s="429">
        <f t="shared" si="248"/>
        <v>0.99485420240137212</v>
      </c>
      <c r="AC891" s="424">
        <f t="shared" si="249"/>
        <v>1.7211703958691911E-3</v>
      </c>
      <c r="AD891" s="371">
        <f t="shared" si="250"/>
        <v>0</v>
      </c>
      <c r="AE891" s="748">
        <f t="shared" si="251"/>
        <v>0.99828473413379071</v>
      </c>
      <c r="AF891" s="417">
        <f t="shared" si="252"/>
        <v>0.66666666666666663</v>
      </c>
      <c r="AG891" s="416">
        <f t="shared" si="253"/>
        <v>3.8333333333333335</v>
      </c>
      <c r="AH891" s="372">
        <f t="shared" si="254"/>
        <v>0.85185185185185186</v>
      </c>
      <c r="AI891" s="373">
        <f t="shared" si="255"/>
        <v>515.55555555555554</v>
      </c>
      <c r="AJ891" s="418">
        <f>VLOOKUP(D891,'Standard Cycle time'!C:D,2,0)</f>
        <v>6</v>
      </c>
      <c r="AK891" s="418">
        <f t="shared" si="256"/>
        <v>5.9482758620689653</v>
      </c>
      <c r="AL891" s="374">
        <f t="shared" si="257"/>
        <v>1.008695652173913</v>
      </c>
      <c r="AM891" s="372">
        <f t="shared" si="258"/>
        <v>0.8577854011816276</v>
      </c>
      <c r="AN891" s="799">
        <v>0.8577854011816276</v>
      </c>
      <c r="AO891" s="448"/>
      <c r="AP891" s="440">
        <v>0</v>
      </c>
      <c r="AQ891" s="440">
        <v>0</v>
      </c>
      <c r="AR891" s="440">
        <v>0</v>
      </c>
      <c r="AS891" s="440">
        <v>0</v>
      </c>
      <c r="AT891" s="440">
        <v>0</v>
      </c>
      <c r="AU891" s="440">
        <v>0</v>
      </c>
      <c r="AV891" s="440">
        <v>30</v>
      </c>
      <c r="AW891" s="440"/>
      <c r="AX891" s="440">
        <v>0</v>
      </c>
      <c r="AY891" s="440">
        <v>0</v>
      </c>
      <c r="AZ891" s="440">
        <v>10</v>
      </c>
      <c r="BA891" s="440">
        <v>0</v>
      </c>
      <c r="BB891" s="440">
        <v>0</v>
      </c>
      <c r="BC891" s="440">
        <v>0</v>
      </c>
      <c r="BD891" s="440">
        <v>0</v>
      </c>
      <c r="BE891" s="440">
        <v>0</v>
      </c>
      <c r="BF891" s="440">
        <v>0</v>
      </c>
      <c r="BG891" s="440">
        <v>0</v>
      </c>
      <c r="BH891" s="440">
        <v>0</v>
      </c>
      <c r="BI891" s="440">
        <v>0</v>
      </c>
      <c r="BJ891" s="440">
        <v>0</v>
      </c>
      <c r="BK891" s="440">
        <v>0</v>
      </c>
      <c r="BL891" s="440">
        <v>0</v>
      </c>
      <c r="BM891" s="440">
        <v>0</v>
      </c>
      <c r="BN891" s="440">
        <v>0</v>
      </c>
      <c r="BO891" s="440">
        <v>0</v>
      </c>
      <c r="BP891" s="440">
        <v>0</v>
      </c>
      <c r="BQ891" s="440">
        <v>0</v>
      </c>
      <c r="BR891" s="415">
        <v>0.66666666666666663</v>
      </c>
      <c r="BS891" s="415">
        <v>0.66666666666666663</v>
      </c>
      <c r="BT891" s="935"/>
      <c r="BU891" s="935"/>
      <c r="BV891" s="935"/>
      <c r="BW891" s="935"/>
      <c r="BX891" s="935"/>
      <c r="BY891" s="935"/>
      <c r="BZ891" s="935"/>
      <c r="CA891" s="935"/>
      <c r="CB891" s="935"/>
      <c r="CC891" s="935"/>
      <c r="CD891" s="935"/>
      <c r="CE891" s="935"/>
      <c r="CF891" s="935"/>
      <c r="CG891" s="935"/>
      <c r="CH891" s="935"/>
      <c r="CI891" s="935"/>
      <c r="CJ891" s="935"/>
      <c r="CK891" s="935"/>
      <c r="CL891" s="935"/>
      <c r="CM891" s="935"/>
      <c r="CN891" s="935"/>
      <c r="CO891" s="935"/>
      <c r="CP891" s="935"/>
      <c r="CQ891" s="935"/>
      <c r="CR891" s="935"/>
      <c r="CS891" s="935"/>
      <c r="CT891" s="935"/>
      <c r="CU891" s="935"/>
      <c r="CV891" s="935"/>
    </row>
    <row r="892" spans="1:100" s="441" customFormat="1">
      <c r="A892" s="375">
        <f t="shared" si="244"/>
        <v>10</v>
      </c>
      <c r="B892" s="862">
        <v>44480</v>
      </c>
      <c r="C892" s="493" t="s">
        <v>2053</v>
      </c>
      <c r="D892" s="376" t="str">
        <f>IFERROR(VLOOKUP(E:E,'Item Data Support Sheet'!A:O,7,0),"")</f>
        <v>CAP MOLDED</v>
      </c>
      <c r="E892" s="447" t="s">
        <v>2109</v>
      </c>
      <c r="F892" s="500"/>
      <c r="G892" s="497" t="s">
        <v>3579</v>
      </c>
      <c r="H892" s="602" t="str">
        <f>IFERROR(VLOOKUP(E:E,'Item Data Support Sheet'!A:O,2,0),"")</f>
        <v>CAP S TYPE MOLDED PALE BLUE</v>
      </c>
      <c r="I892" s="501" t="s">
        <v>3634</v>
      </c>
      <c r="J892" s="501" t="s">
        <v>2826</v>
      </c>
      <c r="K892" s="499">
        <v>3.5</v>
      </c>
      <c r="L892" s="499">
        <v>1817</v>
      </c>
      <c r="M892" s="366">
        <v>519.14285714285711</v>
      </c>
      <c r="N892" s="367">
        <f t="shared" si="243"/>
        <v>1700</v>
      </c>
      <c r="O892" s="61">
        <v>1700</v>
      </c>
      <c r="P892" s="368">
        <v>0</v>
      </c>
      <c r="Q892" s="368">
        <v>0</v>
      </c>
      <c r="R892" s="494">
        <v>0</v>
      </c>
      <c r="S892" s="493">
        <v>0</v>
      </c>
      <c r="T892" s="494">
        <v>0</v>
      </c>
      <c r="U892" s="493">
        <v>0</v>
      </c>
      <c r="V892" s="502">
        <v>1</v>
      </c>
      <c r="W892" s="453">
        <f t="shared" si="245"/>
        <v>1700</v>
      </c>
      <c r="X892" s="748">
        <f t="shared" si="246"/>
        <v>0.93560814529444136</v>
      </c>
      <c r="Y892" s="451" t="str">
        <f>IFERROR(VLOOKUP(E:E,'Item Data Support Sheet'!A:J,6,0),0)</f>
        <v>RM000115</v>
      </c>
      <c r="Z892" s="428">
        <f>IFERROR(VLOOKUP(E:E,'Item Data Support Sheet'!A:O,4,0),0)</f>
        <v>7.3</v>
      </c>
      <c r="AA892" s="428">
        <f t="shared" si="247"/>
        <v>12.41</v>
      </c>
      <c r="AB892" s="429">
        <f t="shared" si="248"/>
        <v>1</v>
      </c>
      <c r="AC892" s="424">
        <f t="shared" si="249"/>
        <v>0</v>
      </c>
      <c r="AD892" s="371">
        <f t="shared" si="250"/>
        <v>0</v>
      </c>
      <c r="AE892" s="748">
        <f t="shared" si="251"/>
        <v>1</v>
      </c>
      <c r="AF892" s="417">
        <f t="shared" si="252"/>
        <v>0.83333333333333337</v>
      </c>
      <c r="AG892" s="416">
        <f t="shared" si="253"/>
        <v>2.6666666666666665</v>
      </c>
      <c r="AH892" s="372">
        <f t="shared" si="254"/>
        <v>0.76190476190476186</v>
      </c>
      <c r="AI892" s="373">
        <f t="shared" si="255"/>
        <v>485.71428571428572</v>
      </c>
      <c r="AJ892" s="418">
        <f>VLOOKUP(D892,'Standard Cycle time'!C:D,2,0)</f>
        <v>6</v>
      </c>
      <c r="AK892" s="418">
        <f t="shared" si="256"/>
        <v>5.6470588235294121</v>
      </c>
      <c r="AL892" s="374">
        <f t="shared" si="257"/>
        <v>1.0625</v>
      </c>
      <c r="AM892" s="372">
        <f t="shared" si="258"/>
        <v>0.80952380952380953</v>
      </c>
      <c r="AN892" s="799">
        <v>0.80952380952380953</v>
      </c>
      <c r="AO892" s="448"/>
      <c r="AP892" s="440">
        <v>0</v>
      </c>
      <c r="AQ892" s="440">
        <v>0</v>
      </c>
      <c r="AR892" s="440">
        <v>0</v>
      </c>
      <c r="AS892" s="440">
        <v>0</v>
      </c>
      <c r="AT892" s="440">
        <v>0</v>
      </c>
      <c r="AU892" s="440">
        <v>0</v>
      </c>
      <c r="AV892" s="440">
        <v>30</v>
      </c>
      <c r="AW892" s="440">
        <v>0</v>
      </c>
      <c r="AX892" s="440">
        <v>0</v>
      </c>
      <c r="AY892" s="440">
        <v>0</v>
      </c>
      <c r="AZ892" s="440">
        <v>20</v>
      </c>
      <c r="BA892" s="440">
        <v>0</v>
      </c>
      <c r="BB892" s="440">
        <v>0</v>
      </c>
      <c r="BC892" s="440">
        <v>0</v>
      </c>
      <c r="BD892" s="440">
        <v>0</v>
      </c>
      <c r="BE892" s="440">
        <v>0</v>
      </c>
      <c r="BF892" s="440">
        <v>0</v>
      </c>
      <c r="BG892" s="440">
        <v>0</v>
      </c>
      <c r="BH892" s="440">
        <v>0</v>
      </c>
      <c r="BI892" s="440">
        <v>0</v>
      </c>
      <c r="BJ892" s="440">
        <v>0</v>
      </c>
      <c r="BK892" s="440">
        <v>0</v>
      </c>
      <c r="BL892" s="440">
        <v>0</v>
      </c>
      <c r="BM892" s="440">
        <v>0</v>
      </c>
      <c r="BN892" s="440">
        <v>0</v>
      </c>
      <c r="BO892" s="440">
        <v>0</v>
      </c>
      <c r="BP892" s="440">
        <v>0</v>
      </c>
      <c r="BQ892" s="440">
        <v>0</v>
      </c>
      <c r="BR892" s="415">
        <v>0.83333333333333337</v>
      </c>
      <c r="BS892" s="415">
        <v>0.83333333333333337</v>
      </c>
      <c r="BT892" s="935"/>
      <c r="BU892" s="935"/>
      <c r="BV892" s="935"/>
      <c r="BW892" s="935"/>
      <c r="BX892" s="935"/>
      <c r="BY892" s="935"/>
      <c r="BZ892" s="935"/>
      <c r="CA892" s="935"/>
      <c r="CB892" s="935"/>
      <c r="CC892" s="935"/>
      <c r="CD892" s="935"/>
      <c r="CE892" s="935"/>
      <c r="CF892" s="935"/>
      <c r="CG892" s="935"/>
      <c r="CH892" s="935"/>
      <c r="CI892" s="935"/>
      <c r="CJ892" s="935"/>
      <c r="CK892" s="935"/>
      <c r="CL892" s="935"/>
      <c r="CM892" s="935"/>
      <c r="CN892" s="935"/>
      <c r="CO892" s="935"/>
      <c r="CP892" s="935"/>
      <c r="CQ892" s="935"/>
      <c r="CR892" s="935"/>
      <c r="CS892" s="935"/>
      <c r="CT892" s="935"/>
      <c r="CU892" s="935"/>
      <c r="CV892" s="935"/>
    </row>
    <row r="893" spans="1:100" s="441" customFormat="1">
      <c r="A893" s="375">
        <f t="shared" si="244"/>
        <v>10</v>
      </c>
      <c r="B893" s="862">
        <v>44480</v>
      </c>
      <c r="C893" s="493" t="s">
        <v>2053</v>
      </c>
      <c r="D893" s="376" t="str">
        <f>IFERROR(VLOOKUP(E:E,'Item Data Support Sheet'!A:O,7,0),"")</f>
        <v>NIPPLE MOLDED</v>
      </c>
      <c r="E893" s="447" t="s">
        <v>74</v>
      </c>
      <c r="F893" s="500" t="s">
        <v>1678</v>
      </c>
      <c r="G893" s="497" t="s">
        <v>1691</v>
      </c>
      <c r="H893" s="602" t="str">
        <f>IFERROR(VLOOKUP(E:E,'Item Data Support Sheet'!A:O,2,0),"")</f>
        <v>NIPPLE S TYPE L SIZE INJECTION</v>
      </c>
      <c r="I893" s="501" t="s">
        <v>3635</v>
      </c>
      <c r="J893" s="501" t="s">
        <v>2826</v>
      </c>
      <c r="K893" s="499">
        <v>8</v>
      </c>
      <c r="L893" s="499">
        <v>4815</v>
      </c>
      <c r="M893" s="366">
        <v>601.875</v>
      </c>
      <c r="N893" s="367">
        <f t="shared" si="243"/>
        <v>5487</v>
      </c>
      <c r="O893" s="61">
        <v>5400</v>
      </c>
      <c r="P893" s="368">
        <v>0</v>
      </c>
      <c r="Q893" s="368">
        <v>23</v>
      </c>
      <c r="R893" s="494">
        <v>0</v>
      </c>
      <c r="S893" s="493">
        <v>0</v>
      </c>
      <c r="T893" s="494">
        <v>56</v>
      </c>
      <c r="U893" s="493">
        <v>8</v>
      </c>
      <c r="V893" s="502">
        <v>1</v>
      </c>
      <c r="W893" s="453">
        <f t="shared" si="245"/>
        <v>5400</v>
      </c>
      <c r="X893" s="748">
        <f t="shared" si="246"/>
        <v>1.1214953271028036</v>
      </c>
      <c r="Y893" s="451" t="str">
        <f>IFERROR(VLOOKUP(E:E,'Item Data Support Sheet'!A:J,6,0),0)</f>
        <v>Silicon</v>
      </c>
      <c r="Z893" s="428">
        <f>IFERROR(VLOOKUP(E:E,'Item Data Support Sheet'!A:O,4,0),0)</f>
        <v>6.8</v>
      </c>
      <c r="AA893" s="428">
        <f t="shared" si="247"/>
        <v>37.311599999999999</v>
      </c>
      <c r="AB893" s="429">
        <f t="shared" si="248"/>
        <v>0.98414434117003824</v>
      </c>
      <c r="AC893" s="424">
        <f t="shared" si="249"/>
        <v>1.0263929618768328E-2</v>
      </c>
      <c r="AD893" s="371">
        <f t="shared" si="250"/>
        <v>4.1742286751361157E-3</v>
      </c>
      <c r="AE893" s="748">
        <f t="shared" si="251"/>
        <v>0.98979405868416259</v>
      </c>
      <c r="AF893" s="417">
        <f t="shared" si="252"/>
        <v>0</v>
      </c>
      <c r="AG893" s="416">
        <f t="shared" si="253"/>
        <v>8</v>
      </c>
      <c r="AH893" s="372">
        <f t="shared" si="254"/>
        <v>1</v>
      </c>
      <c r="AI893" s="373">
        <f t="shared" si="255"/>
        <v>675</v>
      </c>
      <c r="AJ893" s="418">
        <f>VLOOKUP(D893,'Standard Cycle time'!C:D,2,0)</f>
        <v>5.25</v>
      </c>
      <c r="AK893" s="418">
        <f t="shared" si="256"/>
        <v>5.333333333333333</v>
      </c>
      <c r="AL893" s="374">
        <f t="shared" si="257"/>
        <v>0.984375</v>
      </c>
      <c r="AM893" s="372">
        <f t="shared" si="258"/>
        <v>0.97432852651722257</v>
      </c>
      <c r="AN893" s="799">
        <v>0.97432852651722257</v>
      </c>
      <c r="AO893" s="448"/>
      <c r="AP893" s="440">
        <v>0</v>
      </c>
      <c r="AQ893" s="440">
        <v>0</v>
      </c>
      <c r="AR893" s="440">
        <v>0</v>
      </c>
      <c r="AS893" s="440">
        <v>0</v>
      </c>
      <c r="AT893" s="440">
        <v>0</v>
      </c>
      <c r="AU893" s="440">
        <v>0</v>
      </c>
      <c r="AV893" s="440">
        <v>0</v>
      </c>
      <c r="AW893" s="440">
        <v>0</v>
      </c>
      <c r="AX893" s="440">
        <v>0</v>
      </c>
      <c r="AY893" s="440">
        <v>0</v>
      </c>
      <c r="AZ893" s="440">
        <v>0</v>
      </c>
      <c r="BA893" s="440">
        <v>0</v>
      </c>
      <c r="BB893" s="440">
        <v>0</v>
      </c>
      <c r="BC893" s="440">
        <v>0</v>
      </c>
      <c r="BD893" s="440">
        <v>0</v>
      </c>
      <c r="BE893" s="440">
        <v>0</v>
      </c>
      <c r="BF893" s="440">
        <v>0</v>
      </c>
      <c r="BG893" s="440">
        <v>0</v>
      </c>
      <c r="BH893" s="440">
        <v>0</v>
      </c>
      <c r="BI893" s="440">
        <v>0</v>
      </c>
      <c r="BJ893" s="440">
        <v>0</v>
      </c>
      <c r="BK893" s="440">
        <v>0</v>
      </c>
      <c r="BL893" s="440">
        <v>0</v>
      </c>
      <c r="BM893" s="440">
        <v>0</v>
      </c>
      <c r="BN893" s="440">
        <v>0</v>
      </c>
      <c r="BO893" s="440">
        <v>0</v>
      </c>
      <c r="BP893" s="440">
        <v>0</v>
      </c>
      <c r="BQ893" s="440">
        <v>0</v>
      </c>
      <c r="BR893" s="415">
        <v>0</v>
      </c>
      <c r="BS893" s="415">
        <v>0</v>
      </c>
      <c r="BT893" s="935"/>
      <c r="BU893" s="935"/>
      <c r="BV893" s="935"/>
      <c r="BW893" s="935"/>
      <c r="BX893" s="935"/>
      <c r="BY893" s="935"/>
      <c r="BZ893" s="935"/>
      <c r="CA893" s="935"/>
      <c r="CB893" s="935"/>
      <c r="CC893" s="935"/>
      <c r="CD893" s="935"/>
      <c r="CE893" s="935"/>
      <c r="CF893" s="935"/>
      <c r="CG893" s="935"/>
      <c r="CH893" s="935"/>
      <c r="CI893" s="935"/>
      <c r="CJ893" s="935"/>
      <c r="CK893" s="935"/>
      <c r="CL893" s="935"/>
      <c r="CM893" s="935"/>
      <c r="CN893" s="935"/>
      <c r="CO893" s="935"/>
      <c r="CP893" s="935"/>
      <c r="CQ893" s="935"/>
      <c r="CR893" s="935"/>
      <c r="CS893" s="935"/>
      <c r="CT893" s="935"/>
      <c r="CU893" s="935"/>
      <c r="CV893" s="935"/>
    </row>
    <row r="894" spans="1:100" s="441" customFormat="1">
      <c r="A894" s="375">
        <f t="shared" si="244"/>
        <v>10</v>
      </c>
      <c r="B894" s="862">
        <v>44481</v>
      </c>
      <c r="C894" s="493" t="s">
        <v>1980</v>
      </c>
      <c r="D894" s="376" t="str">
        <f>IFERROR(VLOOKUP(E:E,'Item Data Support Sheet'!A:O,7,0),"")</f>
        <v>BOTTLE MOLDED</v>
      </c>
      <c r="E894" s="447" t="s">
        <v>113</v>
      </c>
      <c r="F894" s="500" t="s">
        <v>1680</v>
      </c>
      <c r="G894" s="497" t="s">
        <v>1888</v>
      </c>
      <c r="H894" s="602" t="str">
        <f>IFERROR(VLOOKUP(E:E,'Item Data Support Sheet'!A:O,2,0),"")</f>
        <v>KPP BOTTLE 200 ML MOULDED-WMG3B</v>
      </c>
      <c r="I894" s="501" t="s">
        <v>3636</v>
      </c>
      <c r="J894" s="501" t="s">
        <v>2808</v>
      </c>
      <c r="K894" s="499">
        <v>8</v>
      </c>
      <c r="L894" s="499">
        <v>2503</v>
      </c>
      <c r="M894" s="366">
        <v>312.875</v>
      </c>
      <c r="N894" s="367">
        <f t="shared" si="243"/>
        <v>2715</v>
      </c>
      <c r="O894" s="61">
        <v>2592</v>
      </c>
      <c r="P894" s="368">
        <v>0.3</v>
      </c>
      <c r="Q894" s="368">
        <v>55</v>
      </c>
      <c r="R894" s="494">
        <v>0</v>
      </c>
      <c r="S894" s="493">
        <v>0</v>
      </c>
      <c r="T894" s="494">
        <v>60</v>
      </c>
      <c r="U894" s="493">
        <v>8</v>
      </c>
      <c r="V894" s="502">
        <v>1</v>
      </c>
      <c r="W894" s="453">
        <f t="shared" si="245"/>
        <v>2592</v>
      </c>
      <c r="X894" s="748">
        <f t="shared" si="246"/>
        <v>1.035557331202557</v>
      </c>
      <c r="Y894" s="451" t="str">
        <f>IFERROR(VLOOKUP(E:E,'Item Data Support Sheet'!A:J,6,0),0)</f>
        <v>WMG3B</v>
      </c>
      <c r="Z894" s="428">
        <f>IFERROR(VLOOKUP(E:E,'Item Data Support Sheet'!A:O,4,0),0)</f>
        <v>28.6</v>
      </c>
      <c r="AA894" s="428">
        <f t="shared" si="247"/>
        <v>77.948999999999998</v>
      </c>
      <c r="AB894" s="429">
        <f t="shared" si="248"/>
        <v>0.95102182196051277</v>
      </c>
      <c r="AC894" s="424">
        <f t="shared" si="249"/>
        <v>2.2624434389140271E-2</v>
      </c>
      <c r="AD894" s="371">
        <f t="shared" si="250"/>
        <v>1.9855595667870037E-2</v>
      </c>
      <c r="AE894" s="748">
        <f t="shared" si="251"/>
        <v>0.97790055248618779</v>
      </c>
      <c r="AF894" s="417">
        <f t="shared" si="252"/>
        <v>0.83333333333333337</v>
      </c>
      <c r="AG894" s="416">
        <f t="shared" si="253"/>
        <v>7.166666666666667</v>
      </c>
      <c r="AH894" s="372">
        <f t="shared" si="254"/>
        <v>0.89583333333333337</v>
      </c>
      <c r="AI894" s="373">
        <f t="shared" si="255"/>
        <v>324</v>
      </c>
      <c r="AJ894" s="418">
        <f>VLOOKUP(D894,'Standard Cycle time'!C:D,2,0)</f>
        <v>9</v>
      </c>
      <c r="AK894" s="418">
        <f t="shared" si="256"/>
        <v>9.9537037037037042</v>
      </c>
      <c r="AL894" s="374">
        <f t="shared" si="257"/>
        <v>0.90418604651162782</v>
      </c>
      <c r="AM894" s="372">
        <f t="shared" si="258"/>
        <v>0.79209944751381212</v>
      </c>
      <c r="AN894" s="799">
        <v>0.79209944751381212</v>
      </c>
      <c r="AO894" s="448"/>
      <c r="AP894" s="440">
        <v>0</v>
      </c>
      <c r="AQ894" s="440">
        <v>0</v>
      </c>
      <c r="AR894" s="440">
        <v>0</v>
      </c>
      <c r="AS894" s="440">
        <v>0</v>
      </c>
      <c r="AT894" s="440">
        <v>0</v>
      </c>
      <c r="AU894" s="440">
        <v>0</v>
      </c>
      <c r="AV894" s="440">
        <v>30</v>
      </c>
      <c r="AW894" s="440">
        <v>20</v>
      </c>
      <c r="AX894" s="440">
        <v>0</v>
      </c>
      <c r="AY894" s="440">
        <v>0</v>
      </c>
      <c r="AZ894" s="440">
        <v>0</v>
      </c>
      <c r="BA894" s="440">
        <v>0</v>
      </c>
      <c r="BB894" s="440">
        <v>0</v>
      </c>
      <c r="BC894" s="440">
        <v>0</v>
      </c>
      <c r="BD894" s="440">
        <v>0</v>
      </c>
      <c r="BE894" s="440">
        <v>0</v>
      </c>
      <c r="BF894" s="440">
        <v>0</v>
      </c>
      <c r="BG894" s="440">
        <v>0</v>
      </c>
      <c r="BH894" s="440">
        <v>0</v>
      </c>
      <c r="BI894" s="440">
        <v>0</v>
      </c>
      <c r="BJ894" s="440">
        <v>0</v>
      </c>
      <c r="BK894" s="440">
        <v>0</v>
      </c>
      <c r="BL894" s="440">
        <v>0</v>
      </c>
      <c r="BM894" s="440">
        <v>0</v>
      </c>
      <c r="BN894" s="440">
        <v>0</v>
      </c>
      <c r="BO894" s="440">
        <v>0</v>
      </c>
      <c r="BP894" s="440">
        <v>0</v>
      </c>
      <c r="BQ894" s="440">
        <v>0</v>
      </c>
      <c r="BR894" s="415">
        <v>0.83333333333333337</v>
      </c>
      <c r="BS894" s="415">
        <v>0.83333333333333337</v>
      </c>
      <c r="BT894" s="935"/>
      <c r="BU894" s="935"/>
      <c r="BV894" s="935"/>
      <c r="BW894" s="935"/>
      <c r="BX894" s="935"/>
      <c r="BY894" s="935"/>
      <c r="BZ894" s="935"/>
      <c r="CA894" s="935"/>
      <c r="CB894" s="935"/>
      <c r="CC894" s="935"/>
      <c r="CD894" s="935"/>
      <c r="CE894" s="935"/>
      <c r="CF894" s="935"/>
      <c r="CG894" s="935"/>
      <c r="CH894" s="935"/>
      <c r="CI894" s="935"/>
      <c r="CJ894" s="935"/>
      <c r="CK894" s="935"/>
      <c r="CL894" s="935"/>
      <c r="CM894" s="935"/>
      <c r="CN894" s="935"/>
      <c r="CO894" s="935"/>
      <c r="CP894" s="935"/>
      <c r="CQ894" s="935"/>
      <c r="CR894" s="935"/>
      <c r="CS894" s="935"/>
      <c r="CT894" s="935"/>
      <c r="CU894" s="935"/>
      <c r="CV894" s="935"/>
    </row>
    <row r="895" spans="1:100" s="441" customFormat="1">
      <c r="A895" s="375">
        <f t="shared" si="244"/>
        <v>10</v>
      </c>
      <c r="B895" s="862">
        <v>44481</v>
      </c>
      <c r="C895" s="493" t="s">
        <v>1980</v>
      </c>
      <c r="D895" s="376" t="str">
        <f>IFERROR(VLOOKUP(E:E,'Item Data Support Sheet'!A:O,7,0),"")</f>
        <v>NIPPLE MOLDED</v>
      </c>
      <c r="E895" s="447" t="s">
        <v>74</v>
      </c>
      <c r="F895" s="500" t="s">
        <v>1678</v>
      </c>
      <c r="G895" s="497" t="s">
        <v>1691</v>
      </c>
      <c r="H895" s="602" t="str">
        <f>IFERROR(VLOOKUP(E:E,'Item Data Support Sheet'!A:O,2,0),"")</f>
        <v>NIPPLE S TYPE L SIZE INJECTION</v>
      </c>
      <c r="I895" s="501" t="s">
        <v>3637</v>
      </c>
      <c r="J895" s="501" t="s">
        <v>2808</v>
      </c>
      <c r="K895" s="499">
        <v>8</v>
      </c>
      <c r="L895" s="499">
        <v>4815</v>
      </c>
      <c r="M895" s="366">
        <v>601.875</v>
      </c>
      <c r="N895" s="367">
        <f t="shared" si="243"/>
        <v>5400</v>
      </c>
      <c r="O895" s="61">
        <v>5350</v>
      </c>
      <c r="P895" s="368">
        <v>0</v>
      </c>
      <c r="Q895" s="368">
        <v>0</v>
      </c>
      <c r="R895" s="494">
        <v>0</v>
      </c>
      <c r="S895" s="493">
        <v>0</v>
      </c>
      <c r="T895" s="494">
        <v>42</v>
      </c>
      <c r="U895" s="493">
        <v>8</v>
      </c>
      <c r="V895" s="502">
        <v>1</v>
      </c>
      <c r="W895" s="453">
        <f t="shared" si="245"/>
        <v>5350</v>
      </c>
      <c r="X895" s="748">
        <f t="shared" si="246"/>
        <v>1.1111111111111112</v>
      </c>
      <c r="Y895" s="451" t="str">
        <f>IFERROR(VLOOKUP(E:E,'Item Data Support Sheet'!A:J,6,0),0)</f>
        <v>Silicon</v>
      </c>
      <c r="Z895" s="428">
        <f>IFERROR(VLOOKUP(E:E,'Item Data Support Sheet'!A:O,4,0),0)</f>
        <v>6.8</v>
      </c>
      <c r="AA895" s="428">
        <f t="shared" si="247"/>
        <v>36.72</v>
      </c>
      <c r="AB895" s="429">
        <f t="shared" si="248"/>
        <v>0.9907407407407407</v>
      </c>
      <c r="AC895" s="424">
        <f t="shared" si="249"/>
        <v>7.7893175074183977E-3</v>
      </c>
      <c r="AD895" s="371">
        <f t="shared" si="250"/>
        <v>0</v>
      </c>
      <c r="AE895" s="748">
        <f t="shared" si="251"/>
        <v>0.99222222222222223</v>
      </c>
      <c r="AF895" s="417">
        <f t="shared" si="252"/>
        <v>0</v>
      </c>
      <c r="AG895" s="416">
        <f t="shared" si="253"/>
        <v>8</v>
      </c>
      <c r="AH895" s="372">
        <f t="shared" si="254"/>
        <v>1</v>
      </c>
      <c r="AI895" s="373">
        <f t="shared" si="255"/>
        <v>668.75</v>
      </c>
      <c r="AJ895" s="418">
        <f>VLOOKUP(D895,'Standard Cycle time'!C:D,2,0)</f>
        <v>5.25</v>
      </c>
      <c r="AK895" s="418">
        <f t="shared" si="256"/>
        <v>5.3831775700934577</v>
      </c>
      <c r="AL895" s="374">
        <f t="shared" si="257"/>
        <v>0.97526041666666674</v>
      </c>
      <c r="AM895" s="372">
        <f t="shared" si="258"/>
        <v>0.96767505787037045</v>
      </c>
      <c r="AN895" s="799">
        <v>0.96767505787037045</v>
      </c>
      <c r="AO895" s="448"/>
      <c r="AP895" s="440">
        <v>0</v>
      </c>
      <c r="AQ895" s="440">
        <v>0</v>
      </c>
      <c r="AR895" s="440">
        <v>0</v>
      </c>
      <c r="AS895" s="440">
        <v>0</v>
      </c>
      <c r="AT895" s="440">
        <v>0</v>
      </c>
      <c r="AU895" s="440">
        <v>0</v>
      </c>
      <c r="AV895" s="440">
        <v>0</v>
      </c>
      <c r="AW895" s="440">
        <v>0</v>
      </c>
      <c r="AX895" s="440">
        <v>0</v>
      </c>
      <c r="AY895" s="440">
        <v>0</v>
      </c>
      <c r="AZ895" s="440">
        <v>0</v>
      </c>
      <c r="BA895" s="440">
        <v>0</v>
      </c>
      <c r="BB895" s="440">
        <v>0</v>
      </c>
      <c r="BC895" s="440">
        <v>0</v>
      </c>
      <c r="BD895" s="440">
        <v>0</v>
      </c>
      <c r="BE895" s="440">
        <v>0</v>
      </c>
      <c r="BF895" s="440">
        <v>0</v>
      </c>
      <c r="BG895" s="440">
        <v>0</v>
      </c>
      <c r="BH895" s="440">
        <v>0</v>
      </c>
      <c r="BI895" s="440">
        <v>0</v>
      </c>
      <c r="BJ895" s="440">
        <v>0</v>
      </c>
      <c r="BK895" s="440">
        <v>0</v>
      </c>
      <c r="BL895" s="440">
        <v>0</v>
      </c>
      <c r="BM895" s="440">
        <v>0</v>
      </c>
      <c r="BN895" s="440">
        <v>0</v>
      </c>
      <c r="BO895" s="440">
        <v>0</v>
      </c>
      <c r="BP895" s="440">
        <v>0</v>
      </c>
      <c r="BQ895" s="440">
        <v>0</v>
      </c>
      <c r="BR895" s="415">
        <v>0</v>
      </c>
      <c r="BS895" s="415">
        <v>0</v>
      </c>
      <c r="BT895" s="935"/>
      <c r="BU895" s="935"/>
      <c r="BV895" s="935"/>
      <c r="BW895" s="935"/>
      <c r="BX895" s="935"/>
      <c r="BY895" s="935"/>
      <c r="BZ895" s="935"/>
      <c r="CA895" s="935"/>
      <c r="CB895" s="935"/>
      <c r="CC895" s="935"/>
      <c r="CD895" s="935"/>
      <c r="CE895" s="935"/>
      <c r="CF895" s="935"/>
      <c r="CG895" s="935"/>
      <c r="CH895" s="935"/>
      <c r="CI895" s="935"/>
      <c r="CJ895" s="935"/>
      <c r="CK895" s="935"/>
      <c r="CL895" s="935"/>
      <c r="CM895" s="935"/>
      <c r="CN895" s="935"/>
      <c r="CO895" s="935"/>
      <c r="CP895" s="935"/>
      <c r="CQ895" s="935"/>
      <c r="CR895" s="935"/>
      <c r="CS895" s="935"/>
      <c r="CT895" s="935"/>
      <c r="CU895" s="935"/>
      <c r="CV895" s="935"/>
    </row>
    <row r="896" spans="1:100" s="441" customFormat="1">
      <c r="A896" s="375">
        <f t="shared" si="244"/>
        <v>10</v>
      </c>
      <c r="B896" s="862">
        <v>44481</v>
      </c>
      <c r="C896" s="493" t="s">
        <v>1980</v>
      </c>
      <c r="D896" s="376" t="str">
        <f>IFERROR(VLOOKUP(E:E,'Item Data Support Sheet'!A:O,7,0),"")</f>
        <v>CAP MOLDED</v>
      </c>
      <c r="E896" s="447" t="s">
        <v>2109</v>
      </c>
      <c r="F896" s="500"/>
      <c r="G896" s="497" t="s">
        <v>3579</v>
      </c>
      <c r="H896" s="602" t="str">
        <f>IFERROR(VLOOKUP(E:E,'Item Data Support Sheet'!A:O,2,0),"")</f>
        <v>CAP S TYPE MOLDED PALE BLUE</v>
      </c>
      <c r="I896" s="501" t="s">
        <v>3638</v>
      </c>
      <c r="J896" s="501" t="s">
        <v>2808</v>
      </c>
      <c r="K896" s="499">
        <v>8</v>
      </c>
      <c r="L896" s="499">
        <v>4137</v>
      </c>
      <c r="M896" s="366">
        <v>517.125</v>
      </c>
      <c r="N896" s="367">
        <f t="shared" si="243"/>
        <v>4208</v>
      </c>
      <c r="O896" s="61">
        <v>4200</v>
      </c>
      <c r="P896" s="368">
        <v>0</v>
      </c>
      <c r="Q896" s="368">
        <v>0</v>
      </c>
      <c r="R896" s="494">
        <v>0</v>
      </c>
      <c r="S896" s="493">
        <v>0</v>
      </c>
      <c r="T896" s="494">
        <v>0</v>
      </c>
      <c r="U896" s="493">
        <v>8</v>
      </c>
      <c r="V896" s="502">
        <v>1</v>
      </c>
      <c r="W896" s="453">
        <f t="shared" si="245"/>
        <v>4200</v>
      </c>
      <c r="X896" s="748">
        <f t="shared" si="246"/>
        <v>1.015228426395939</v>
      </c>
      <c r="Y896" s="451" t="str">
        <f>IFERROR(VLOOKUP(E:E,'Item Data Support Sheet'!A:J,6,0),0)</f>
        <v>RM000115</v>
      </c>
      <c r="Z896" s="428">
        <f>IFERROR(VLOOKUP(E:E,'Item Data Support Sheet'!A:O,4,0),0)</f>
        <v>7.3</v>
      </c>
      <c r="AA896" s="428">
        <f t="shared" si="247"/>
        <v>30.718399999999999</v>
      </c>
      <c r="AB896" s="429">
        <f t="shared" si="248"/>
        <v>0.99809885931558939</v>
      </c>
      <c r="AC896" s="424">
        <f t="shared" si="249"/>
        <v>0</v>
      </c>
      <c r="AD896" s="371">
        <f t="shared" si="250"/>
        <v>0</v>
      </c>
      <c r="AE896" s="748">
        <f t="shared" si="251"/>
        <v>1</v>
      </c>
      <c r="AF896" s="417">
        <f t="shared" si="252"/>
        <v>0.83333333333333337</v>
      </c>
      <c r="AG896" s="416">
        <f t="shared" si="253"/>
        <v>7.166666666666667</v>
      </c>
      <c r="AH896" s="372">
        <f t="shared" si="254"/>
        <v>0.89583333333333337</v>
      </c>
      <c r="AI896" s="373">
        <f t="shared" si="255"/>
        <v>525</v>
      </c>
      <c r="AJ896" s="418">
        <f>VLOOKUP(D896,'Standard Cycle time'!C:D,2,0)</f>
        <v>6</v>
      </c>
      <c r="AK896" s="418">
        <f t="shared" si="256"/>
        <v>6.1428571428571432</v>
      </c>
      <c r="AL896" s="374">
        <f t="shared" si="257"/>
        <v>0.97674418604651159</v>
      </c>
      <c r="AM896" s="372">
        <f t="shared" si="258"/>
        <v>0.875</v>
      </c>
      <c r="AN896" s="799">
        <v>0.875</v>
      </c>
      <c r="AO896" s="448"/>
      <c r="AP896" s="440">
        <v>0</v>
      </c>
      <c r="AQ896" s="440">
        <v>0</v>
      </c>
      <c r="AR896" s="440">
        <v>0</v>
      </c>
      <c r="AS896" s="440">
        <v>0</v>
      </c>
      <c r="AT896" s="440">
        <v>0</v>
      </c>
      <c r="AU896" s="440">
        <v>0</v>
      </c>
      <c r="AV896" s="440">
        <v>20</v>
      </c>
      <c r="AW896" s="440">
        <v>0</v>
      </c>
      <c r="AX896" s="440">
        <v>0</v>
      </c>
      <c r="AY896" s="440">
        <v>0</v>
      </c>
      <c r="AZ896" s="440">
        <v>30</v>
      </c>
      <c r="BA896" s="440">
        <v>0</v>
      </c>
      <c r="BB896" s="440">
        <v>0</v>
      </c>
      <c r="BC896" s="440">
        <v>0</v>
      </c>
      <c r="BD896" s="440">
        <v>0</v>
      </c>
      <c r="BE896" s="440">
        <v>0</v>
      </c>
      <c r="BF896" s="440">
        <v>0</v>
      </c>
      <c r="BG896" s="440">
        <v>0</v>
      </c>
      <c r="BH896" s="440">
        <v>0</v>
      </c>
      <c r="BI896" s="440">
        <v>0</v>
      </c>
      <c r="BJ896" s="440">
        <v>0</v>
      </c>
      <c r="BK896" s="440">
        <v>0</v>
      </c>
      <c r="BL896" s="440">
        <v>0</v>
      </c>
      <c r="BM896" s="440">
        <v>0</v>
      </c>
      <c r="BN896" s="440">
        <v>0</v>
      </c>
      <c r="BO896" s="440">
        <v>0</v>
      </c>
      <c r="BP896" s="440">
        <v>0</v>
      </c>
      <c r="BQ896" s="440">
        <v>0</v>
      </c>
      <c r="BR896" s="415">
        <v>0.83333333333333337</v>
      </c>
      <c r="BS896" s="415">
        <v>0.83333333333333337</v>
      </c>
      <c r="BT896" s="935"/>
      <c r="BU896" s="935"/>
      <c r="BV896" s="935"/>
      <c r="BW896" s="935"/>
      <c r="BX896" s="935"/>
      <c r="BY896" s="935"/>
      <c r="BZ896" s="935"/>
      <c r="CA896" s="935"/>
      <c r="CB896" s="935"/>
      <c r="CC896" s="935"/>
      <c r="CD896" s="935"/>
      <c r="CE896" s="935"/>
      <c r="CF896" s="935"/>
      <c r="CG896" s="935"/>
      <c r="CH896" s="935"/>
      <c r="CI896" s="935"/>
      <c r="CJ896" s="935"/>
      <c r="CK896" s="935"/>
      <c r="CL896" s="935"/>
      <c r="CM896" s="935"/>
      <c r="CN896" s="935"/>
      <c r="CO896" s="935"/>
      <c r="CP896" s="935"/>
      <c r="CQ896" s="935"/>
      <c r="CR896" s="935"/>
      <c r="CS896" s="935"/>
      <c r="CT896" s="935"/>
      <c r="CU896" s="935"/>
      <c r="CV896" s="935"/>
    </row>
    <row r="897" spans="1:100" s="441" customFormat="1">
      <c r="A897" s="375">
        <f t="shared" si="244"/>
        <v>10</v>
      </c>
      <c r="B897" s="862">
        <v>44481</v>
      </c>
      <c r="C897" s="493" t="s">
        <v>1980</v>
      </c>
      <c r="D897" s="376" t="str">
        <f>IFERROR(VLOOKUP(E:E,'Item Data Support Sheet'!A:O,7,0),"")</f>
        <v>NIPPLE PUNCH</v>
      </c>
      <c r="E897" s="447" t="s">
        <v>82</v>
      </c>
      <c r="F897" s="500"/>
      <c r="G897" s="497" t="s">
        <v>1692</v>
      </c>
      <c r="H897" s="602" t="str">
        <f>IFERROR(VLOOKUP(E:E,'Item Data Support Sheet'!A:O,2,0),"")</f>
        <v>NIPPLE S TYPE L SIZE PUNCHED</v>
      </c>
      <c r="I897" s="501" t="s">
        <v>3639</v>
      </c>
      <c r="J897" s="501" t="s">
        <v>2808</v>
      </c>
      <c r="K897" s="499">
        <v>8</v>
      </c>
      <c r="L897" s="499">
        <v>7000</v>
      </c>
      <c r="M897" s="366">
        <v>875</v>
      </c>
      <c r="N897" s="367">
        <f t="shared" si="243"/>
        <v>6700</v>
      </c>
      <c r="O897" s="61">
        <v>6700</v>
      </c>
      <c r="P897" s="368">
        <v>0</v>
      </c>
      <c r="Q897" s="368">
        <v>0</v>
      </c>
      <c r="R897" s="494">
        <v>0</v>
      </c>
      <c r="S897" s="493">
        <v>0</v>
      </c>
      <c r="T897" s="494">
        <v>0</v>
      </c>
      <c r="U897" s="493">
        <v>0</v>
      </c>
      <c r="V897" s="502">
        <v>1</v>
      </c>
      <c r="W897" s="453">
        <f t="shared" si="245"/>
        <v>6700</v>
      </c>
      <c r="X897" s="748">
        <f t="shared" si="246"/>
        <v>0.95714285714285718</v>
      </c>
      <c r="Y897" s="451" t="str">
        <f>IFERROR(VLOOKUP(E:E,'Item Data Support Sheet'!A:J,6,0),0)</f>
        <v>FO017</v>
      </c>
      <c r="Z897" s="428">
        <f>IFERROR(VLOOKUP(E:E,'Item Data Support Sheet'!A:O,4,0),0)</f>
        <v>0</v>
      </c>
      <c r="AA897" s="428">
        <f t="shared" si="247"/>
        <v>0</v>
      </c>
      <c r="AB897" s="429" t="str">
        <f t="shared" si="248"/>
        <v xml:space="preserve"> </v>
      </c>
      <c r="AC897" s="424">
        <f t="shared" si="249"/>
        <v>0</v>
      </c>
      <c r="AD897" s="371">
        <f t="shared" si="250"/>
        <v>0</v>
      </c>
      <c r="AE897" s="748">
        <f t="shared" si="251"/>
        <v>1</v>
      </c>
      <c r="AF897" s="417">
        <f t="shared" si="252"/>
        <v>0.5</v>
      </c>
      <c r="AG897" s="416">
        <f t="shared" si="253"/>
        <v>7.5</v>
      </c>
      <c r="AH897" s="372">
        <f t="shared" si="254"/>
        <v>0.9375</v>
      </c>
      <c r="AI897" s="373">
        <f t="shared" si="255"/>
        <v>837.5</v>
      </c>
      <c r="AJ897" s="418">
        <f>VLOOKUP(D897,'Standard Cycle time'!C:D,2,0)</f>
        <v>3.5</v>
      </c>
      <c r="AK897" s="418">
        <f t="shared" si="256"/>
        <v>4.0298507462686564</v>
      </c>
      <c r="AL897" s="374">
        <f t="shared" si="257"/>
        <v>0.86851851851851858</v>
      </c>
      <c r="AM897" s="372">
        <f t="shared" si="258"/>
        <v>0.81423611111111116</v>
      </c>
      <c r="AN897" s="799">
        <v>0.81423611111111116</v>
      </c>
      <c r="AO897" s="448" t="s">
        <v>3640</v>
      </c>
      <c r="AP897" s="440">
        <v>0</v>
      </c>
      <c r="AQ897" s="440">
        <v>0</v>
      </c>
      <c r="AR897" s="440">
        <v>0</v>
      </c>
      <c r="AS897" s="440">
        <v>0</v>
      </c>
      <c r="AT897" s="440">
        <v>0</v>
      </c>
      <c r="AU897" s="440">
        <v>0</v>
      </c>
      <c r="AV897" s="440">
        <v>0</v>
      </c>
      <c r="AW897" s="440">
        <v>0</v>
      </c>
      <c r="AX897" s="440">
        <v>0</v>
      </c>
      <c r="AY897" s="440">
        <v>0</v>
      </c>
      <c r="AZ897" s="440">
        <v>0</v>
      </c>
      <c r="BA897" s="440">
        <v>0</v>
      </c>
      <c r="BB897" s="440">
        <v>0</v>
      </c>
      <c r="BC897" s="440">
        <v>0</v>
      </c>
      <c r="BD897" s="440">
        <v>0</v>
      </c>
      <c r="BE897" s="440">
        <v>0</v>
      </c>
      <c r="BF897" s="440">
        <v>0</v>
      </c>
      <c r="BG897" s="440">
        <v>0</v>
      </c>
      <c r="BH897" s="440">
        <v>0</v>
      </c>
      <c r="BI897" s="440">
        <v>0</v>
      </c>
      <c r="BJ897" s="440">
        <v>0</v>
      </c>
      <c r="BK897" s="440">
        <v>0</v>
      </c>
      <c r="BL897" s="440">
        <v>0</v>
      </c>
      <c r="BM897" s="440">
        <v>0</v>
      </c>
      <c r="BN897" s="440">
        <v>0</v>
      </c>
      <c r="BO897" s="440">
        <v>0</v>
      </c>
      <c r="BP897" s="440">
        <v>0</v>
      </c>
      <c r="BQ897" s="440">
        <v>30</v>
      </c>
      <c r="BR897" s="415">
        <v>0.5</v>
      </c>
      <c r="BS897" s="415">
        <v>0.5</v>
      </c>
      <c r="BT897" s="935"/>
      <c r="BU897" s="935"/>
      <c r="BV897" s="935"/>
      <c r="BW897" s="935"/>
      <c r="BX897" s="935"/>
      <c r="BY897" s="935"/>
      <c r="BZ897" s="935"/>
      <c r="CA897" s="935"/>
      <c r="CB897" s="935"/>
      <c r="CC897" s="935"/>
      <c r="CD897" s="935"/>
      <c r="CE897" s="935"/>
      <c r="CF897" s="935"/>
      <c r="CG897" s="935"/>
      <c r="CH897" s="935"/>
      <c r="CI897" s="935"/>
      <c r="CJ897" s="935"/>
      <c r="CK897" s="935"/>
      <c r="CL897" s="935"/>
      <c r="CM897" s="935"/>
      <c r="CN897" s="935"/>
      <c r="CO897" s="935"/>
      <c r="CP897" s="935"/>
      <c r="CQ897" s="935"/>
      <c r="CR897" s="935"/>
      <c r="CS897" s="935"/>
      <c r="CT897" s="935"/>
      <c r="CU897" s="935"/>
      <c r="CV897" s="935"/>
    </row>
    <row r="898" spans="1:100" s="441" customFormat="1">
      <c r="A898" s="375">
        <f t="shared" si="244"/>
        <v>10</v>
      </c>
      <c r="B898" s="862">
        <v>44481</v>
      </c>
      <c r="C898" s="493" t="s">
        <v>1980</v>
      </c>
      <c r="D898" s="376" t="str">
        <f>IFERROR(VLOOKUP(E:E,'Item Data Support Sheet'!A:O,7,0),"")</f>
        <v>NIPPLE LASER MARKING</v>
      </c>
      <c r="E898" s="447" t="s">
        <v>1816</v>
      </c>
      <c r="F898" s="500"/>
      <c r="G898" s="497" t="s">
        <v>1812</v>
      </c>
      <c r="H898" s="602" t="str">
        <f>IFERROR(VLOOKUP(E:E,'Item Data Support Sheet'!A:O,2,0),"")</f>
        <v>NIPPLE S TYPE L SIZE PUNCHED LASER MARKED</v>
      </c>
      <c r="I898" s="501"/>
      <c r="J898" s="501" t="s">
        <v>2808</v>
      </c>
      <c r="K898" s="499">
        <v>8</v>
      </c>
      <c r="L898" s="499">
        <v>7000</v>
      </c>
      <c r="M898" s="366">
        <v>875</v>
      </c>
      <c r="N898" s="367">
        <f t="shared" si="243"/>
        <v>5200</v>
      </c>
      <c r="O898" s="61">
        <v>5200</v>
      </c>
      <c r="P898" s="368">
        <v>0</v>
      </c>
      <c r="Q898" s="368">
        <v>0</v>
      </c>
      <c r="R898" s="494">
        <v>0</v>
      </c>
      <c r="S898" s="493">
        <v>0</v>
      </c>
      <c r="T898" s="494">
        <v>0</v>
      </c>
      <c r="U898" s="493">
        <v>0</v>
      </c>
      <c r="V898" s="502">
        <v>1</v>
      </c>
      <c r="W898" s="453">
        <f t="shared" si="245"/>
        <v>5200</v>
      </c>
      <c r="X898" s="748">
        <f t="shared" si="246"/>
        <v>0.74285714285714288</v>
      </c>
      <c r="Y898" s="451" t="str">
        <f>IFERROR(VLOOKUP(E:E,'Item Data Support Sheet'!A:J,6,0),0)</f>
        <v>FO021</v>
      </c>
      <c r="Z898" s="428">
        <f>IFERROR(VLOOKUP(E:E,'Item Data Support Sheet'!A:O,4,0),0)</f>
        <v>0</v>
      </c>
      <c r="AA898" s="428">
        <f t="shared" si="247"/>
        <v>0</v>
      </c>
      <c r="AB898" s="429" t="str">
        <f t="shared" si="248"/>
        <v xml:space="preserve"> </v>
      </c>
      <c r="AC898" s="424">
        <f t="shared" si="249"/>
        <v>0</v>
      </c>
      <c r="AD898" s="371">
        <f t="shared" si="250"/>
        <v>0</v>
      </c>
      <c r="AE898" s="748">
        <f t="shared" si="251"/>
        <v>1</v>
      </c>
      <c r="AF898" s="417">
        <f t="shared" si="252"/>
        <v>2</v>
      </c>
      <c r="AG898" s="416">
        <f t="shared" si="253"/>
        <v>6</v>
      </c>
      <c r="AH898" s="372">
        <f t="shared" si="254"/>
        <v>0.75</v>
      </c>
      <c r="AI898" s="373">
        <f t="shared" si="255"/>
        <v>650</v>
      </c>
      <c r="AJ898" s="418">
        <f>VLOOKUP(D898,'Standard Cycle time'!C:D,2,0)</f>
        <v>3.5</v>
      </c>
      <c r="AK898" s="418">
        <f t="shared" si="256"/>
        <v>4.1538461538461542</v>
      </c>
      <c r="AL898" s="374">
        <f t="shared" si="257"/>
        <v>0.84259259259259256</v>
      </c>
      <c r="AM898" s="372">
        <f t="shared" si="258"/>
        <v>0.63194444444444442</v>
      </c>
      <c r="AN898" s="799">
        <v>0.63194444444444442</v>
      </c>
      <c r="AO898" s="448" t="s">
        <v>2835</v>
      </c>
      <c r="AP898" s="440">
        <v>0</v>
      </c>
      <c r="AQ898" s="440">
        <v>0</v>
      </c>
      <c r="AR898" s="440">
        <v>0</v>
      </c>
      <c r="AS898" s="440">
        <v>0</v>
      </c>
      <c r="AT898" s="440">
        <v>120</v>
      </c>
      <c r="AU898" s="440">
        <v>0</v>
      </c>
      <c r="AV898" s="440">
        <v>0</v>
      </c>
      <c r="AW898" s="440">
        <v>0</v>
      </c>
      <c r="AX898" s="440">
        <v>0</v>
      </c>
      <c r="AY898" s="440">
        <v>0</v>
      </c>
      <c r="AZ898" s="440">
        <v>0</v>
      </c>
      <c r="BA898" s="440">
        <v>0</v>
      </c>
      <c r="BB898" s="440">
        <v>0</v>
      </c>
      <c r="BC898" s="440">
        <v>0</v>
      </c>
      <c r="BD898" s="440">
        <v>0</v>
      </c>
      <c r="BE898" s="440">
        <v>0</v>
      </c>
      <c r="BF898" s="440">
        <v>0</v>
      </c>
      <c r="BG898" s="440">
        <v>0</v>
      </c>
      <c r="BH898" s="440">
        <v>0</v>
      </c>
      <c r="BI898" s="440">
        <v>0</v>
      </c>
      <c r="BJ898" s="440">
        <v>0</v>
      </c>
      <c r="BK898" s="440">
        <v>0</v>
      </c>
      <c r="BL898" s="440">
        <v>0</v>
      </c>
      <c r="BM898" s="440">
        <v>0</v>
      </c>
      <c r="BN898" s="440">
        <v>0</v>
      </c>
      <c r="BO898" s="440">
        <v>0</v>
      </c>
      <c r="BP898" s="440">
        <v>0</v>
      </c>
      <c r="BQ898" s="440">
        <v>0</v>
      </c>
      <c r="BR898" s="415">
        <v>2</v>
      </c>
      <c r="BS898" s="415">
        <v>2</v>
      </c>
      <c r="BT898" s="935"/>
      <c r="BU898" s="935"/>
      <c r="BV898" s="935"/>
      <c r="BW898" s="935"/>
      <c r="BX898" s="935"/>
      <c r="BY898" s="935"/>
      <c r="BZ898" s="935"/>
      <c r="CA898" s="935"/>
      <c r="CB898" s="935"/>
      <c r="CC898" s="935"/>
      <c r="CD898" s="935"/>
      <c r="CE898" s="935"/>
      <c r="CF898" s="935"/>
      <c r="CG898" s="935"/>
      <c r="CH898" s="935"/>
      <c r="CI898" s="935"/>
      <c r="CJ898" s="935"/>
      <c r="CK898" s="935"/>
      <c r="CL898" s="935"/>
      <c r="CM898" s="935"/>
      <c r="CN898" s="935"/>
      <c r="CO898" s="935"/>
      <c r="CP898" s="935"/>
      <c r="CQ898" s="935"/>
      <c r="CR898" s="935"/>
      <c r="CS898" s="935"/>
      <c r="CT898" s="935"/>
      <c r="CU898" s="935"/>
      <c r="CV898" s="935"/>
    </row>
    <row r="899" spans="1:100" s="441" customFormat="1">
      <c r="A899" s="375">
        <f t="shared" si="244"/>
        <v>10</v>
      </c>
      <c r="B899" s="862">
        <v>44481</v>
      </c>
      <c r="C899" s="493" t="s">
        <v>2000</v>
      </c>
      <c r="D899" s="376" t="str">
        <f>IFERROR(VLOOKUP(E:E,'Item Data Support Sheet'!A:O,7,0),"")</f>
        <v>NIPPLE WRAP PRINTED</v>
      </c>
      <c r="E899" s="447" t="s">
        <v>110</v>
      </c>
      <c r="F899" s="500"/>
      <c r="G899" s="497" t="s">
        <v>1693</v>
      </c>
      <c r="H899" s="602" t="str">
        <f>IFERROR(VLOOKUP(E:E,'Item Data Support Sheet'!A:O,2,0),"")</f>
        <v>NIPPLE S TYPE L SIZE WITH PRINTED WRAP</v>
      </c>
      <c r="I899" s="501" t="s">
        <v>3431</v>
      </c>
      <c r="J899" s="501" t="s">
        <v>2811</v>
      </c>
      <c r="K899" s="499">
        <v>8</v>
      </c>
      <c r="L899" s="499">
        <v>16137</v>
      </c>
      <c r="M899" s="366">
        <v>2017.125</v>
      </c>
      <c r="N899" s="367">
        <f t="shared" si="243"/>
        <v>16992</v>
      </c>
      <c r="O899" s="61">
        <v>16982</v>
      </c>
      <c r="P899" s="368">
        <v>0</v>
      </c>
      <c r="Q899" s="368">
        <v>0</v>
      </c>
      <c r="R899" s="494">
        <v>0</v>
      </c>
      <c r="S899" s="493">
        <v>0</v>
      </c>
      <c r="T899" s="494">
        <v>10</v>
      </c>
      <c r="U899" s="493">
        <v>0</v>
      </c>
      <c r="V899" s="502">
        <v>2</v>
      </c>
      <c r="W899" s="453">
        <f t="shared" si="245"/>
        <v>8491</v>
      </c>
      <c r="X899" s="748">
        <f t="shared" si="246"/>
        <v>1.0523641321187334</v>
      </c>
      <c r="Y899" s="451" t="str">
        <f>IFERROR(VLOOKUP(E:E,'Item Data Support Sheet'!A:J,6,0),0)</f>
        <v>FO021</v>
      </c>
      <c r="Z899" s="428">
        <f>IFERROR(VLOOKUP(E:E,'Item Data Support Sheet'!A:O,4,0),0)</f>
        <v>0</v>
      </c>
      <c r="AA899" s="428">
        <f t="shared" si="247"/>
        <v>0</v>
      </c>
      <c r="AB899" s="429" t="str">
        <f t="shared" si="248"/>
        <v xml:space="preserve"> </v>
      </c>
      <c r="AC899" s="424">
        <f t="shared" si="249"/>
        <v>5.885122410546139E-4</v>
      </c>
      <c r="AD899" s="371">
        <f t="shared" si="250"/>
        <v>0</v>
      </c>
      <c r="AE899" s="748">
        <f t="shared" si="251"/>
        <v>0.99941148775894539</v>
      </c>
      <c r="AF899" s="417">
        <f t="shared" si="252"/>
        <v>0.83333333333333337</v>
      </c>
      <c r="AG899" s="416">
        <f t="shared" si="253"/>
        <v>7.166666666666667</v>
      </c>
      <c r="AH899" s="372">
        <f t="shared" si="254"/>
        <v>0.89583333333333337</v>
      </c>
      <c r="AI899" s="373">
        <f t="shared" si="255"/>
        <v>2122.75</v>
      </c>
      <c r="AJ899" s="418">
        <f>VLOOKUP(D899,'Standard Cycle time'!C:D,2,0)</f>
        <v>2.5</v>
      </c>
      <c r="AK899" s="418">
        <f t="shared" si="256"/>
        <v>3.0385113649746791</v>
      </c>
      <c r="AL899" s="374">
        <f t="shared" si="257"/>
        <v>0.82277131782945734</v>
      </c>
      <c r="AM899" s="372">
        <f t="shared" si="258"/>
        <v>0.73663219987510464</v>
      </c>
      <c r="AN899" s="799">
        <v>0.73663219987510464</v>
      </c>
      <c r="AO899" s="448"/>
      <c r="AP899" s="440">
        <v>50</v>
      </c>
      <c r="AQ899" s="440">
        <v>0</v>
      </c>
      <c r="AR899" s="440">
        <v>0</v>
      </c>
      <c r="AS899" s="440">
        <v>0</v>
      </c>
      <c r="AT899" s="440">
        <v>0</v>
      </c>
      <c r="AU899" s="440">
        <v>0</v>
      </c>
      <c r="AV899" s="440">
        <v>0</v>
      </c>
      <c r="AW899" s="440">
        <v>0</v>
      </c>
      <c r="AX899" s="440">
        <v>0</v>
      </c>
      <c r="AY899" s="440">
        <v>0</v>
      </c>
      <c r="AZ899" s="440">
        <v>0</v>
      </c>
      <c r="BA899" s="440">
        <v>0</v>
      </c>
      <c r="BB899" s="440">
        <v>0</v>
      </c>
      <c r="BC899" s="440">
        <v>0</v>
      </c>
      <c r="BD899" s="440">
        <v>0</v>
      </c>
      <c r="BE899" s="440">
        <v>0</v>
      </c>
      <c r="BF899" s="440">
        <v>0</v>
      </c>
      <c r="BG899" s="440">
        <v>0</v>
      </c>
      <c r="BH899" s="440">
        <v>0</v>
      </c>
      <c r="BI899" s="440">
        <v>0</v>
      </c>
      <c r="BJ899" s="440">
        <v>0</v>
      </c>
      <c r="BK899" s="440">
        <v>0</v>
      </c>
      <c r="BL899" s="440">
        <v>0</v>
      </c>
      <c r="BM899" s="440">
        <v>0</v>
      </c>
      <c r="BN899" s="440">
        <v>0</v>
      </c>
      <c r="BO899" s="440">
        <v>0</v>
      </c>
      <c r="BP899" s="440">
        <v>0</v>
      </c>
      <c r="BQ899" s="440">
        <v>0</v>
      </c>
      <c r="BR899" s="415">
        <v>0.83333333333333337</v>
      </c>
      <c r="BS899" s="415">
        <v>0.83333333333333337</v>
      </c>
      <c r="BT899" s="935"/>
      <c r="BU899" s="935"/>
      <c r="BV899" s="935"/>
      <c r="BW899" s="935"/>
      <c r="BX899" s="935"/>
      <c r="BY899" s="935"/>
      <c r="BZ899" s="935"/>
      <c r="CA899" s="935"/>
      <c r="CB899" s="935"/>
      <c r="CC899" s="935"/>
      <c r="CD899" s="935"/>
      <c r="CE899" s="935"/>
      <c r="CF899" s="935"/>
      <c r="CG899" s="935"/>
      <c r="CH899" s="935"/>
      <c r="CI899" s="935"/>
      <c r="CJ899" s="935"/>
      <c r="CK899" s="935"/>
      <c r="CL899" s="935"/>
      <c r="CM899" s="935"/>
      <c r="CN899" s="935"/>
      <c r="CO899" s="935"/>
      <c r="CP899" s="935"/>
      <c r="CQ899" s="935"/>
      <c r="CR899" s="935"/>
      <c r="CS899" s="935"/>
      <c r="CT899" s="935"/>
      <c r="CU899" s="935"/>
      <c r="CV899" s="935"/>
    </row>
    <row r="900" spans="1:100" s="441" customFormat="1">
      <c r="A900" s="375">
        <f t="shared" si="244"/>
        <v>10</v>
      </c>
      <c r="B900" s="862">
        <v>44481</v>
      </c>
      <c r="C900" s="493" t="s">
        <v>2000</v>
      </c>
      <c r="D900" s="376" t="str">
        <f>IFERROR(VLOOKUP(E:E,'Item Data Support Sheet'!A:O,7,0),"")</f>
        <v>NIPPLE PUNCH INSPECTED</v>
      </c>
      <c r="E900" s="447" t="s">
        <v>1820</v>
      </c>
      <c r="F900" s="500"/>
      <c r="G900" s="497"/>
      <c r="H900" s="602" t="str">
        <f>IFERROR(VLOOKUP(E:E,'Item Data Support Sheet'!A:O,2,0),"")</f>
        <v>NIPPLE S TYPE L SIZE PUNCHED INSPECTED</v>
      </c>
      <c r="I900" s="501" t="s">
        <v>3641</v>
      </c>
      <c r="J900" s="501" t="s">
        <v>2811</v>
      </c>
      <c r="K900" s="499">
        <v>8</v>
      </c>
      <c r="L900" s="499">
        <v>14132</v>
      </c>
      <c r="M900" s="366">
        <v>1766.5</v>
      </c>
      <c r="N900" s="367">
        <f t="shared" ref="N900:N963" si="259">+O900+Q900+T900+U900</f>
        <v>12700</v>
      </c>
      <c r="O900" s="61">
        <v>12669</v>
      </c>
      <c r="P900" s="368">
        <v>0</v>
      </c>
      <c r="Q900" s="368">
        <v>0</v>
      </c>
      <c r="R900" s="494">
        <v>0</v>
      </c>
      <c r="S900" s="493">
        <v>0</v>
      </c>
      <c r="T900" s="494">
        <v>31</v>
      </c>
      <c r="U900" s="493">
        <v>0</v>
      </c>
      <c r="V900" s="502">
        <v>1</v>
      </c>
      <c r="W900" s="453">
        <f t="shared" si="245"/>
        <v>12669</v>
      </c>
      <c r="X900" s="748">
        <f t="shared" si="246"/>
        <v>0.89647608264930656</v>
      </c>
      <c r="Y900" s="451" t="str">
        <f>IFERROR(VLOOKUP(E:E,'Item Data Support Sheet'!A:J,6,0),0)</f>
        <v>FO106</v>
      </c>
      <c r="Z900" s="428">
        <f>IFERROR(VLOOKUP(E:E,'Item Data Support Sheet'!A:O,4,0),0)</f>
        <v>0</v>
      </c>
      <c r="AA900" s="428">
        <f t="shared" si="247"/>
        <v>0</v>
      </c>
      <c r="AB900" s="429" t="str">
        <f t="shared" si="248"/>
        <v xml:space="preserve"> </v>
      </c>
      <c r="AC900" s="424">
        <f t="shared" si="249"/>
        <v>2.4409448818897639E-3</v>
      </c>
      <c r="AD900" s="371">
        <f t="shared" si="250"/>
        <v>0</v>
      </c>
      <c r="AE900" s="748">
        <f t="shared" si="251"/>
        <v>0.99755905511811027</v>
      </c>
      <c r="AF900" s="417">
        <f t="shared" si="252"/>
        <v>0.83333333333333337</v>
      </c>
      <c r="AG900" s="416">
        <f t="shared" si="253"/>
        <v>7.166666666666667</v>
      </c>
      <c r="AH900" s="372">
        <f t="shared" si="254"/>
        <v>0.89583333333333337</v>
      </c>
      <c r="AI900" s="373">
        <f t="shared" si="255"/>
        <v>1583.625</v>
      </c>
      <c r="AJ900" s="418">
        <f>VLOOKUP(D900,'Standard Cycle time'!C:D,2,0)</f>
        <v>4</v>
      </c>
      <c r="AK900" s="418">
        <f t="shared" si="256"/>
        <v>2.0364669666114135</v>
      </c>
      <c r="AL900" s="374">
        <f t="shared" si="257"/>
        <v>1.9641860465116281</v>
      </c>
      <c r="AM900" s="372">
        <f t="shared" si="258"/>
        <v>1.7552882874015752</v>
      </c>
      <c r="AN900" s="799">
        <v>1.7552882874015747</v>
      </c>
      <c r="AO900" s="448"/>
      <c r="AP900" s="440">
        <v>50</v>
      </c>
      <c r="AQ900" s="440">
        <v>0</v>
      </c>
      <c r="AR900" s="440">
        <v>0</v>
      </c>
      <c r="AS900" s="440">
        <v>0</v>
      </c>
      <c r="AT900" s="440">
        <v>0</v>
      </c>
      <c r="AU900" s="440">
        <v>0</v>
      </c>
      <c r="AV900" s="440">
        <v>0</v>
      </c>
      <c r="AW900" s="440">
        <v>0</v>
      </c>
      <c r="AX900" s="440">
        <v>0</v>
      </c>
      <c r="AY900" s="440">
        <v>0</v>
      </c>
      <c r="AZ900" s="440">
        <v>0</v>
      </c>
      <c r="BA900" s="440">
        <v>0</v>
      </c>
      <c r="BB900" s="440">
        <v>0</v>
      </c>
      <c r="BC900" s="440">
        <v>0</v>
      </c>
      <c r="BD900" s="440">
        <v>0</v>
      </c>
      <c r="BE900" s="440">
        <v>0</v>
      </c>
      <c r="BF900" s="440">
        <v>0</v>
      </c>
      <c r="BG900" s="440">
        <v>0</v>
      </c>
      <c r="BH900" s="440">
        <v>0</v>
      </c>
      <c r="BI900" s="440">
        <v>0</v>
      </c>
      <c r="BJ900" s="440">
        <v>0</v>
      </c>
      <c r="BK900" s="440">
        <v>0</v>
      </c>
      <c r="BL900" s="440">
        <v>0</v>
      </c>
      <c r="BM900" s="440">
        <v>0</v>
      </c>
      <c r="BN900" s="440">
        <v>0</v>
      </c>
      <c r="BO900" s="440">
        <v>0</v>
      </c>
      <c r="BP900" s="440">
        <v>0</v>
      </c>
      <c r="BQ900" s="440">
        <v>0</v>
      </c>
      <c r="BR900" s="415">
        <v>0.83333333333333337</v>
      </c>
      <c r="BS900" s="415">
        <v>0.83333333333333337</v>
      </c>
      <c r="BT900" s="935"/>
      <c r="BU900" s="935"/>
      <c r="BV900" s="935"/>
      <c r="BW900" s="935"/>
      <c r="BX900" s="935"/>
      <c r="BY900" s="935"/>
      <c r="BZ900" s="935"/>
      <c r="CA900" s="935"/>
      <c r="CB900" s="935"/>
      <c r="CC900" s="935"/>
      <c r="CD900" s="935"/>
      <c r="CE900" s="935"/>
      <c r="CF900" s="935"/>
      <c r="CG900" s="935"/>
      <c r="CH900" s="935"/>
      <c r="CI900" s="935"/>
      <c r="CJ900" s="935"/>
      <c r="CK900" s="935"/>
      <c r="CL900" s="935"/>
      <c r="CM900" s="935"/>
      <c r="CN900" s="935"/>
      <c r="CO900" s="935"/>
      <c r="CP900" s="935"/>
      <c r="CQ900" s="935"/>
      <c r="CR900" s="935"/>
      <c r="CS900" s="935"/>
      <c r="CT900" s="935"/>
      <c r="CU900" s="935"/>
      <c r="CV900" s="935"/>
    </row>
    <row r="901" spans="1:100" s="441" customFormat="1">
      <c r="A901" s="375">
        <f t="shared" ref="A901:A964" si="260">MONTH(B901)</f>
        <v>10</v>
      </c>
      <c r="B901" s="862">
        <v>44481</v>
      </c>
      <c r="C901" s="493" t="s">
        <v>2000</v>
      </c>
      <c r="D901" s="376" t="str">
        <f>IFERROR(VLOOKUP(E:E,'Item Data Support Sheet'!A:O,7,0),"")</f>
        <v>BOTTLE PRINTED</v>
      </c>
      <c r="E901" s="447" t="s">
        <v>370</v>
      </c>
      <c r="F901" s="500"/>
      <c r="G901" s="497"/>
      <c r="H901" s="602" t="str">
        <f>IFERROR(VLOOKUP(E:E,'Item Data Support Sheet'!A:O,2,0),"")</f>
        <v>RPP 240ML ABSTRCT BLU BOTLE PNTD WM3GB W/BIS LOGO</v>
      </c>
      <c r="I901" s="501" t="s">
        <v>3642</v>
      </c>
      <c r="J901" s="501" t="s">
        <v>2811</v>
      </c>
      <c r="K901" s="499">
        <v>2</v>
      </c>
      <c r="L901" s="499">
        <v>600</v>
      </c>
      <c r="M901" s="366">
        <v>300</v>
      </c>
      <c r="N901" s="367">
        <f t="shared" si="259"/>
        <v>608</v>
      </c>
      <c r="O901" s="61">
        <v>600</v>
      </c>
      <c r="P901" s="368">
        <v>0</v>
      </c>
      <c r="Q901" s="368">
        <v>0</v>
      </c>
      <c r="R901" s="494">
        <v>0</v>
      </c>
      <c r="S901" s="493">
        <v>0</v>
      </c>
      <c r="T901" s="494">
        <v>8</v>
      </c>
      <c r="U901" s="493">
        <v>0</v>
      </c>
      <c r="V901" s="502">
        <v>5</v>
      </c>
      <c r="W901" s="453">
        <f t="shared" ref="W901:W964" si="261">IFERROR(O901/V901,0)</f>
        <v>120</v>
      </c>
      <c r="X901" s="748">
        <f t="shared" ref="X901:X964" si="262">O901/L901</f>
        <v>1</v>
      </c>
      <c r="Y901" s="451" t="str">
        <f>IFERROR(VLOOKUP(E:E,'Item Data Support Sheet'!A:J,6,0),0)</f>
        <v>FO055</v>
      </c>
      <c r="Z901" s="428">
        <f>IFERROR(VLOOKUP(E:E,'Item Data Support Sheet'!A:O,4,0),0)</f>
        <v>0</v>
      </c>
      <c r="AA901" s="428">
        <f t="shared" ref="AA901:AA964" si="263">IFERROR(((N901)*(Z901/1000))+P901,0)</f>
        <v>0</v>
      </c>
      <c r="AB901" s="429" t="str">
        <f t="shared" ref="AB901:AB964" si="264">IFERROR((O901*(Z901/1000)/(AA901))," ")</f>
        <v xml:space="preserve"> </v>
      </c>
      <c r="AC901" s="424">
        <f t="shared" ref="AC901:AC964" si="265">IFERROR((T901)/((T901)+O901),0)</f>
        <v>1.3157894736842105E-2</v>
      </c>
      <c r="AD901" s="371">
        <f t="shared" ref="AD901:AD964" si="266">IFERROR(Q901/(Q901+N901),0)</f>
        <v>0</v>
      </c>
      <c r="AE901" s="748">
        <f t="shared" ref="AE901:AE964" si="267">(N901-T901)/N901</f>
        <v>0.98684210526315785</v>
      </c>
      <c r="AF901" s="417">
        <f t="shared" ref="AF901:AF964" si="268">BR901</f>
        <v>1.8333333333333333</v>
      </c>
      <c r="AG901" s="416">
        <f t="shared" ref="AG901:AG964" si="269">K901-AF901</f>
        <v>0.16666666666666674</v>
      </c>
      <c r="AH901" s="372">
        <f t="shared" ref="AH901:AH964" si="270">IFERROR(AG901/K901," ")</f>
        <v>8.333333333333337E-2</v>
      </c>
      <c r="AI901" s="373">
        <f t="shared" ref="AI901:AI964" si="271">IFERROR(O901/K901,0)</f>
        <v>300</v>
      </c>
      <c r="AJ901" s="418">
        <f>VLOOKUP(D901,'Standard Cycle time'!C:D,2,0)</f>
        <v>32.4</v>
      </c>
      <c r="AK901" s="418">
        <f t="shared" ref="AK901:AK964" si="272">AG901*V901*3600/O901</f>
        <v>5.0000000000000027</v>
      </c>
      <c r="AL901" s="374">
        <f t="shared" ref="AL901:AL964" si="273">AJ901/AK901</f>
        <v>6.479999999999996</v>
      </c>
      <c r="AM901" s="372">
        <f t="shared" ref="AM901:AM964" si="274">AE901*AL901*AH901</f>
        <v>0.5328947368421052</v>
      </c>
      <c r="AN901" s="799">
        <v>0.5328947368421052</v>
      </c>
      <c r="AO901" s="448" t="s">
        <v>3643</v>
      </c>
      <c r="AP901" s="440"/>
      <c r="AQ901" s="440">
        <v>50</v>
      </c>
      <c r="AR901" s="440">
        <v>0</v>
      </c>
      <c r="AS901" s="440">
        <v>0</v>
      </c>
      <c r="AT901" s="440">
        <v>60</v>
      </c>
      <c r="AU901" s="440">
        <v>0</v>
      </c>
      <c r="AV901" s="440">
        <v>0</v>
      </c>
      <c r="AW901" s="440">
        <v>0</v>
      </c>
      <c r="AX901" s="440">
        <v>0</v>
      </c>
      <c r="AY901" s="440">
        <v>0</v>
      </c>
      <c r="AZ901" s="440">
        <v>0</v>
      </c>
      <c r="BA901" s="440">
        <v>0</v>
      </c>
      <c r="BB901" s="440">
        <v>0</v>
      </c>
      <c r="BC901" s="440">
        <v>0</v>
      </c>
      <c r="BD901" s="440">
        <v>0</v>
      </c>
      <c r="BE901" s="440">
        <v>0</v>
      </c>
      <c r="BF901" s="440">
        <v>0</v>
      </c>
      <c r="BG901" s="440">
        <v>0</v>
      </c>
      <c r="BH901" s="440">
        <v>0</v>
      </c>
      <c r="BI901" s="440">
        <v>0</v>
      </c>
      <c r="BJ901" s="440">
        <v>0</v>
      </c>
      <c r="BK901" s="440">
        <v>0</v>
      </c>
      <c r="BL901" s="440">
        <v>0</v>
      </c>
      <c r="BM901" s="440">
        <v>0</v>
      </c>
      <c r="BN901" s="440">
        <v>0</v>
      </c>
      <c r="BO901" s="440">
        <v>0</v>
      </c>
      <c r="BP901" s="440">
        <v>0</v>
      </c>
      <c r="BQ901" s="440">
        <v>0</v>
      </c>
      <c r="BR901" s="415">
        <v>1.8333333333333333</v>
      </c>
      <c r="BS901" s="415">
        <v>1.8333333333333333</v>
      </c>
      <c r="BT901" s="935"/>
      <c r="BU901" s="935"/>
      <c r="BV901" s="935"/>
      <c r="BW901" s="935"/>
      <c r="BX901" s="935"/>
      <c r="BY901" s="935"/>
      <c r="BZ901" s="935"/>
      <c r="CA901" s="935"/>
      <c r="CB901" s="935"/>
      <c r="CC901" s="935"/>
      <c r="CD901" s="935"/>
      <c r="CE901" s="935"/>
      <c r="CF901" s="935"/>
      <c r="CG901" s="935"/>
      <c r="CH901" s="935"/>
      <c r="CI901" s="935"/>
      <c r="CJ901" s="935"/>
      <c r="CK901" s="935"/>
      <c r="CL901" s="935"/>
      <c r="CM901" s="935"/>
      <c r="CN901" s="935"/>
      <c r="CO901" s="935"/>
      <c r="CP901" s="935"/>
      <c r="CQ901" s="935"/>
      <c r="CR901" s="935"/>
      <c r="CS901" s="935"/>
      <c r="CT901" s="935"/>
      <c r="CU901" s="935"/>
      <c r="CV901" s="935"/>
    </row>
    <row r="902" spans="1:100" s="441" customFormat="1">
      <c r="A902" s="375">
        <f t="shared" si="260"/>
        <v>10</v>
      </c>
      <c r="B902" s="862">
        <v>44481</v>
      </c>
      <c r="C902" s="493" t="s">
        <v>2000</v>
      </c>
      <c r="D902" s="376" t="str">
        <f>IFERROR(VLOOKUP(E:E,'Item Data Support Sheet'!A:O,7,0),"")</f>
        <v>BOTTLE PRINTED</v>
      </c>
      <c r="E902" s="447" t="s">
        <v>357</v>
      </c>
      <c r="F902" s="500"/>
      <c r="G902" s="497"/>
      <c r="H902" s="602" t="str">
        <f>IFERROR(VLOOKUP(E:E,'Item Data Support Sheet'!A:O,2,0),"")</f>
        <v>RPP 240ML ABSTRCT PNK BOTLE PNTD WM3GB W/BIS LOGO</v>
      </c>
      <c r="I902" s="501" t="s">
        <v>3644</v>
      </c>
      <c r="J902" s="501" t="s">
        <v>2811</v>
      </c>
      <c r="K902" s="499">
        <v>3</v>
      </c>
      <c r="L902" s="499">
        <v>1000</v>
      </c>
      <c r="M902" s="366">
        <v>333.33333333333331</v>
      </c>
      <c r="N902" s="367">
        <f t="shared" si="259"/>
        <v>987</v>
      </c>
      <c r="O902" s="61">
        <v>973</v>
      </c>
      <c r="P902" s="368">
        <v>0</v>
      </c>
      <c r="Q902" s="368">
        <v>0</v>
      </c>
      <c r="R902" s="494">
        <v>0</v>
      </c>
      <c r="S902" s="493">
        <v>0</v>
      </c>
      <c r="T902" s="494">
        <v>14</v>
      </c>
      <c r="U902" s="493">
        <v>0</v>
      </c>
      <c r="V902" s="502">
        <v>5</v>
      </c>
      <c r="W902" s="453">
        <f t="shared" si="261"/>
        <v>194.6</v>
      </c>
      <c r="X902" s="748">
        <f t="shared" si="262"/>
        <v>0.97299999999999998</v>
      </c>
      <c r="Y902" s="451" t="str">
        <f>IFERROR(VLOOKUP(E:E,'Item Data Support Sheet'!A:J,6,0),0)</f>
        <v>FO055</v>
      </c>
      <c r="Z902" s="428">
        <f>IFERROR(VLOOKUP(E:E,'Item Data Support Sheet'!A:O,4,0),0)</f>
        <v>0</v>
      </c>
      <c r="AA902" s="428">
        <f t="shared" si="263"/>
        <v>0</v>
      </c>
      <c r="AB902" s="429" t="str">
        <f t="shared" si="264"/>
        <v xml:space="preserve"> </v>
      </c>
      <c r="AC902" s="424">
        <f t="shared" si="265"/>
        <v>1.4184397163120567E-2</v>
      </c>
      <c r="AD902" s="371">
        <f t="shared" si="266"/>
        <v>0</v>
      </c>
      <c r="AE902" s="748">
        <f t="shared" si="267"/>
        <v>0.98581560283687941</v>
      </c>
      <c r="AF902" s="417">
        <f t="shared" si="268"/>
        <v>1.8333333333333333</v>
      </c>
      <c r="AG902" s="416">
        <f t="shared" si="269"/>
        <v>1.1666666666666667</v>
      </c>
      <c r="AH902" s="372">
        <f t="shared" si="270"/>
        <v>0.3888888888888889</v>
      </c>
      <c r="AI902" s="373">
        <f t="shared" si="271"/>
        <v>324.33333333333331</v>
      </c>
      <c r="AJ902" s="418">
        <f>VLOOKUP(D902,'Standard Cycle time'!C:D,2,0)</f>
        <v>32.4</v>
      </c>
      <c r="AK902" s="418">
        <f t="shared" si="272"/>
        <v>21.582733812949645</v>
      </c>
      <c r="AL902" s="374">
        <f t="shared" si="273"/>
        <v>1.5011999999999996</v>
      </c>
      <c r="AM902" s="372">
        <f t="shared" si="274"/>
        <v>0.57551914893617007</v>
      </c>
      <c r="AN902" s="799">
        <v>0.57551914893617007</v>
      </c>
      <c r="AO902" s="448"/>
      <c r="AP902" s="440">
        <v>50</v>
      </c>
      <c r="AQ902" s="440">
        <v>60</v>
      </c>
      <c r="AR902" s="440">
        <v>0</v>
      </c>
      <c r="AS902" s="440">
        <v>0</v>
      </c>
      <c r="AT902" s="440"/>
      <c r="AU902" s="440">
        <v>0</v>
      </c>
      <c r="AV902" s="440">
        <v>0</v>
      </c>
      <c r="AW902" s="440">
        <v>0</v>
      </c>
      <c r="AX902" s="440">
        <v>0</v>
      </c>
      <c r="AY902" s="440">
        <v>0</v>
      </c>
      <c r="AZ902" s="440">
        <v>0</v>
      </c>
      <c r="BA902" s="440">
        <v>0</v>
      </c>
      <c r="BB902" s="440">
        <v>0</v>
      </c>
      <c r="BC902" s="440">
        <v>0</v>
      </c>
      <c r="BD902" s="440">
        <v>0</v>
      </c>
      <c r="BE902" s="440">
        <v>0</v>
      </c>
      <c r="BF902" s="440">
        <v>0</v>
      </c>
      <c r="BG902" s="440">
        <v>0</v>
      </c>
      <c r="BH902" s="440">
        <v>0</v>
      </c>
      <c r="BI902" s="440">
        <v>0</v>
      </c>
      <c r="BJ902" s="440">
        <v>0</v>
      </c>
      <c r="BK902" s="440">
        <v>0</v>
      </c>
      <c r="BL902" s="440">
        <v>0</v>
      </c>
      <c r="BM902" s="440">
        <v>0</v>
      </c>
      <c r="BN902" s="440">
        <v>0</v>
      </c>
      <c r="BO902" s="440">
        <v>0</v>
      </c>
      <c r="BP902" s="440">
        <v>0</v>
      </c>
      <c r="BQ902" s="440">
        <v>0</v>
      </c>
      <c r="BR902" s="415">
        <v>1.8333333333333333</v>
      </c>
      <c r="BS902" s="415">
        <v>1.8333333333333333</v>
      </c>
      <c r="BT902" s="935"/>
      <c r="BU902" s="935"/>
      <c r="BV902" s="935"/>
      <c r="BW902" s="935"/>
      <c r="BX902" s="935"/>
      <c r="BY902" s="935"/>
      <c r="BZ902" s="935"/>
      <c r="CA902" s="935"/>
      <c r="CB902" s="935"/>
      <c r="CC902" s="935"/>
      <c r="CD902" s="935"/>
      <c r="CE902" s="935"/>
      <c r="CF902" s="935"/>
      <c r="CG902" s="935"/>
      <c r="CH902" s="935"/>
      <c r="CI902" s="935"/>
      <c r="CJ902" s="935"/>
      <c r="CK902" s="935"/>
      <c r="CL902" s="935"/>
      <c r="CM902" s="935"/>
      <c r="CN902" s="935"/>
      <c r="CO902" s="935"/>
      <c r="CP902" s="935"/>
      <c r="CQ902" s="935"/>
      <c r="CR902" s="935"/>
      <c r="CS902" s="935"/>
      <c r="CT902" s="935"/>
      <c r="CU902" s="935"/>
      <c r="CV902" s="935"/>
    </row>
    <row r="903" spans="1:100" s="441" customFormat="1">
      <c r="A903" s="375">
        <f t="shared" si="260"/>
        <v>10</v>
      </c>
      <c r="B903" s="862">
        <v>44481</v>
      </c>
      <c r="C903" s="493" t="s">
        <v>2000</v>
      </c>
      <c r="D903" s="376" t="str">
        <f>IFERROR(VLOOKUP(E:E,'Item Data Support Sheet'!A:O,7,0),"")</f>
        <v>BOTTLE PRINTED</v>
      </c>
      <c r="E903" s="447" t="s">
        <v>229</v>
      </c>
      <c r="F903" s="500"/>
      <c r="G903" s="497"/>
      <c r="H903" s="602" t="str">
        <f>IFERROR(VLOOKUP(E:E,'Item Data Support Sheet'!A:O,2,0),"")</f>
        <v>KPP 120 BOTTLE PRINTED (WMG3B) W/O OZ &amp; W/BIS LOGO</v>
      </c>
      <c r="I903" s="501" t="s">
        <v>3645</v>
      </c>
      <c r="J903" s="501" t="s">
        <v>2811</v>
      </c>
      <c r="K903" s="499">
        <v>0.3</v>
      </c>
      <c r="L903" s="499">
        <v>425</v>
      </c>
      <c r="M903" s="366">
        <v>1416.6666666666667</v>
      </c>
      <c r="N903" s="367">
        <f t="shared" si="259"/>
        <v>268</v>
      </c>
      <c r="O903" s="61">
        <v>259</v>
      </c>
      <c r="P903" s="368">
        <v>0</v>
      </c>
      <c r="Q903" s="368">
        <v>0</v>
      </c>
      <c r="R903" s="494">
        <v>0</v>
      </c>
      <c r="S903" s="493">
        <v>0</v>
      </c>
      <c r="T903" s="494">
        <v>9</v>
      </c>
      <c r="U903" s="493">
        <v>0</v>
      </c>
      <c r="V903" s="502">
        <v>1</v>
      </c>
      <c r="W903" s="453">
        <f t="shared" si="261"/>
        <v>259</v>
      </c>
      <c r="X903" s="748">
        <f t="shared" si="262"/>
        <v>0.60941176470588232</v>
      </c>
      <c r="Y903" s="451" t="str">
        <f>IFERROR(VLOOKUP(E:E,'Item Data Support Sheet'!A:J,6,0),0)</f>
        <v>FO042</v>
      </c>
      <c r="Z903" s="428">
        <f>IFERROR(VLOOKUP(E:E,'Item Data Support Sheet'!A:O,4,0),0)</f>
        <v>0</v>
      </c>
      <c r="AA903" s="428">
        <f t="shared" si="263"/>
        <v>0</v>
      </c>
      <c r="AB903" s="429" t="str">
        <f t="shared" si="264"/>
        <v xml:space="preserve"> </v>
      </c>
      <c r="AC903" s="424">
        <f t="shared" si="265"/>
        <v>3.3582089552238806E-2</v>
      </c>
      <c r="AD903" s="371">
        <f t="shared" si="266"/>
        <v>0</v>
      </c>
      <c r="AE903" s="748">
        <f t="shared" si="267"/>
        <v>0.96641791044776115</v>
      </c>
      <c r="AF903" s="417">
        <f t="shared" si="268"/>
        <v>1</v>
      </c>
      <c r="AG903" s="416">
        <f t="shared" si="269"/>
        <v>-0.7</v>
      </c>
      <c r="AH903" s="372">
        <f t="shared" si="270"/>
        <v>-2.3333333333333335</v>
      </c>
      <c r="AI903" s="373">
        <f t="shared" si="271"/>
        <v>863.33333333333337</v>
      </c>
      <c r="AJ903" s="418">
        <f>VLOOKUP(D903,'Standard Cycle time'!C:D,2,0)</f>
        <v>32.4</v>
      </c>
      <c r="AK903" s="418">
        <f t="shared" si="272"/>
        <v>-9.7297297297297298</v>
      </c>
      <c r="AL903" s="374">
        <f t="shared" si="273"/>
        <v>-3.3299999999999996</v>
      </c>
      <c r="AM903" s="372">
        <f t="shared" si="274"/>
        <v>7.509067164179104</v>
      </c>
      <c r="AN903" s="799">
        <v>7.509067164179104</v>
      </c>
      <c r="AO903" s="448"/>
      <c r="AP903" s="440">
        <v>0</v>
      </c>
      <c r="AQ903" s="440">
        <v>60</v>
      </c>
      <c r="AR903" s="440">
        <v>0</v>
      </c>
      <c r="AS903" s="440">
        <v>0</v>
      </c>
      <c r="AT903" s="440"/>
      <c r="AU903" s="440">
        <v>0</v>
      </c>
      <c r="AV903" s="440">
        <v>0</v>
      </c>
      <c r="AW903" s="440">
        <v>0</v>
      </c>
      <c r="AX903" s="440">
        <v>0</v>
      </c>
      <c r="AY903" s="440">
        <v>0</v>
      </c>
      <c r="AZ903" s="440">
        <v>0</v>
      </c>
      <c r="BA903" s="440">
        <v>0</v>
      </c>
      <c r="BB903" s="440">
        <v>0</v>
      </c>
      <c r="BC903" s="440">
        <v>0</v>
      </c>
      <c r="BD903" s="440">
        <v>0</v>
      </c>
      <c r="BE903" s="440">
        <v>0</v>
      </c>
      <c r="BF903" s="440">
        <v>0</v>
      </c>
      <c r="BG903" s="440">
        <v>0</v>
      </c>
      <c r="BH903" s="440">
        <v>0</v>
      </c>
      <c r="BI903" s="440">
        <v>0</v>
      </c>
      <c r="BJ903" s="440">
        <v>0</v>
      </c>
      <c r="BK903" s="440">
        <v>0</v>
      </c>
      <c r="BL903" s="440">
        <v>0</v>
      </c>
      <c r="BM903" s="440">
        <v>0</v>
      </c>
      <c r="BN903" s="440">
        <v>0</v>
      </c>
      <c r="BO903" s="440">
        <v>0</v>
      </c>
      <c r="BP903" s="440">
        <v>0</v>
      </c>
      <c r="BQ903" s="440">
        <v>0</v>
      </c>
      <c r="BR903" s="415">
        <v>1</v>
      </c>
      <c r="BS903" s="415">
        <v>1</v>
      </c>
      <c r="BT903" s="935"/>
      <c r="BU903" s="935"/>
      <c r="BV903" s="935"/>
      <c r="BW903" s="935"/>
      <c r="BX903" s="935"/>
      <c r="BY903" s="935"/>
      <c r="BZ903" s="935"/>
      <c r="CA903" s="935"/>
      <c r="CB903" s="935"/>
      <c r="CC903" s="935"/>
      <c r="CD903" s="935"/>
      <c r="CE903" s="935"/>
      <c r="CF903" s="935"/>
      <c r="CG903" s="935"/>
      <c r="CH903" s="935"/>
      <c r="CI903" s="935"/>
      <c r="CJ903" s="935"/>
      <c r="CK903" s="935"/>
      <c r="CL903" s="935"/>
      <c r="CM903" s="935"/>
      <c r="CN903" s="935"/>
      <c r="CO903" s="935"/>
      <c r="CP903" s="935"/>
      <c r="CQ903" s="935"/>
      <c r="CR903" s="935"/>
      <c r="CS903" s="935"/>
      <c r="CT903" s="935"/>
      <c r="CU903" s="935"/>
      <c r="CV903" s="935"/>
    </row>
    <row r="904" spans="1:100" s="441" customFormat="1">
      <c r="A904" s="375">
        <f t="shared" si="260"/>
        <v>10</v>
      </c>
      <c r="B904" s="862">
        <v>44481</v>
      </c>
      <c r="C904" s="493" t="s">
        <v>2001</v>
      </c>
      <c r="D904" s="376" t="str">
        <f>IFERROR(VLOOKUP(E:E,'Item Data Support Sheet'!A:O,7,0),"")</f>
        <v>BOTTLE MOLDED</v>
      </c>
      <c r="E904" s="447" t="s">
        <v>113</v>
      </c>
      <c r="F904" s="500" t="s">
        <v>1680</v>
      </c>
      <c r="G904" s="497" t="s">
        <v>1888</v>
      </c>
      <c r="H904" s="602" t="str">
        <f>IFERROR(VLOOKUP(E:E,'Item Data Support Sheet'!A:O,2,0),"")</f>
        <v>KPP BOTTLE 200 ML MOULDED-WMG3B</v>
      </c>
      <c r="I904" s="501" t="s">
        <v>3646</v>
      </c>
      <c r="J904" s="501" t="s">
        <v>2811</v>
      </c>
      <c r="K904" s="499">
        <v>2</v>
      </c>
      <c r="L904" s="499">
        <v>1034</v>
      </c>
      <c r="M904" s="366">
        <v>517</v>
      </c>
      <c r="N904" s="367">
        <f t="shared" si="259"/>
        <v>896</v>
      </c>
      <c r="O904" s="61">
        <v>830</v>
      </c>
      <c r="P904" s="368">
        <v>0.2</v>
      </c>
      <c r="Q904" s="368">
        <v>26</v>
      </c>
      <c r="R904" s="494">
        <v>0</v>
      </c>
      <c r="S904" s="493">
        <v>0</v>
      </c>
      <c r="T904" s="494">
        <v>40</v>
      </c>
      <c r="U904" s="493">
        <v>0</v>
      </c>
      <c r="V904" s="502">
        <v>1</v>
      </c>
      <c r="W904" s="453">
        <f t="shared" si="261"/>
        <v>830</v>
      </c>
      <c r="X904" s="748">
        <f t="shared" si="262"/>
        <v>0.80270793036750487</v>
      </c>
      <c r="Y904" s="451" t="str">
        <f>IFERROR(VLOOKUP(E:E,'Item Data Support Sheet'!A:J,6,0),0)</f>
        <v>WMG3B</v>
      </c>
      <c r="Z904" s="428">
        <f>IFERROR(VLOOKUP(E:E,'Item Data Support Sheet'!A:O,4,0),0)</f>
        <v>28.6</v>
      </c>
      <c r="AA904" s="428">
        <f t="shared" si="263"/>
        <v>25.825599999999998</v>
      </c>
      <c r="AB904" s="429">
        <f t="shared" si="264"/>
        <v>0.91916547921442293</v>
      </c>
      <c r="AC904" s="424">
        <f t="shared" si="265"/>
        <v>4.5977011494252873E-2</v>
      </c>
      <c r="AD904" s="371">
        <f t="shared" si="266"/>
        <v>2.8199566160520606E-2</v>
      </c>
      <c r="AE904" s="748">
        <f t="shared" si="267"/>
        <v>0.9553571428571429</v>
      </c>
      <c r="AF904" s="417">
        <f t="shared" si="268"/>
        <v>0</v>
      </c>
      <c r="AG904" s="416">
        <f t="shared" si="269"/>
        <v>2</v>
      </c>
      <c r="AH904" s="372">
        <f t="shared" si="270"/>
        <v>1</v>
      </c>
      <c r="AI904" s="373">
        <f t="shared" si="271"/>
        <v>415</v>
      </c>
      <c r="AJ904" s="418">
        <f>VLOOKUP(D904,'Standard Cycle time'!C:D,2,0)</f>
        <v>9</v>
      </c>
      <c r="AK904" s="418">
        <f t="shared" si="272"/>
        <v>8.6746987951807224</v>
      </c>
      <c r="AL904" s="374">
        <f t="shared" si="273"/>
        <v>1.0375000000000001</v>
      </c>
      <c r="AM904" s="372">
        <f t="shared" si="274"/>
        <v>0.9911830357142859</v>
      </c>
      <c r="AN904" s="799">
        <v>0.9911830357142859</v>
      </c>
      <c r="AO904" s="448"/>
      <c r="AP904" s="440">
        <v>0</v>
      </c>
      <c r="AQ904" s="440">
        <v>0</v>
      </c>
      <c r="AR904" s="440">
        <v>0</v>
      </c>
      <c r="AS904" s="440">
        <v>0</v>
      </c>
      <c r="AT904" s="440">
        <v>0</v>
      </c>
      <c r="AU904" s="440">
        <v>0</v>
      </c>
      <c r="AV904" s="440">
        <v>0</v>
      </c>
      <c r="AW904" s="440">
        <v>0</v>
      </c>
      <c r="AX904" s="440">
        <v>0</v>
      </c>
      <c r="AY904" s="440">
        <v>0</v>
      </c>
      <c r="AZ904" s="440">
        <v>0</v>
      </c>
      <c r="BA904" s="440">
        <v>0</v>
      </c>
      <c r="BB904" s="440">
        <v>0</v>
      </c>
      <c r="BC904" s="440">
        <v>0</v>
      </c>
      <c r="BD904" s="440">
        <v>0</v>
      </c>
      <c r="BE904" s="440">
        <v>0</v>
      </c>
      <c r="BF904" s="440">
        <v>0</v>
      </c>
      <c r="BG904" s="440">
        <v>0</v>
      </c>
      <c r="BH904" s="440">
        <v>0</v>
      </c>
      <c r="BI904" s="440">
        <v>0</v>
      </c>
      <c r="BJ904" s="440">
        <v>0</v>
      </c>
      <c r="BK904" s="440">
        <v>0</v>
      </c>
      <c r="BL904" s="440">
        <v>0</v>
      </c>
      <c r="BM904" s="440">
        <v>0</v>
      </c>
      <c r="BN904" s="440">
        <v>0</v>
      </c>
      <c r="BO904" s="440">
        <v>0</v>
      </c>
      <c r="BP904" s="440">
        <v>0</v>
      </c>
      <c r="BQ904" s="440">
        <v>0</v>
      </c>
      <c r="BR904" s="415">
        <v>0</v>
      </c>
      <c r="BS904" s="415">
        <v>0</v>
      </c>
      <c r="BT904" s="935"/>
      <c r="BU904" s="935"/>
      <c r="BV904" s="935"/>
      <c r="BW904" s="935"/>
      <c r="BX904" s="935"/>
      <c r="BY904" s="935"/>
      <c r="BZ904" s="935"/>
      <c r="CA904" s="935"/>
      <c r="CB904" s="935"/>
      <c r="CC904" s="935"/>
      <c r="CD904" s="935"/>
      <c r="CE904" s="935"/>
      <c r="CF904" s="935"/>
      <c r="CG904" s="935"/>
      <c r="CH904" s="935"/>
      <c r="CI904" s="935"/>
      <c r="CJ904" s="935"/>
      <c r="CK904" s="935"/>
      <c r="CL904" s="935"/>
      <c r="CM904" s="935"/>
      <c r="CN904" s="935"/>
      <c r="CO904" s="935"/>
      <c r="CP904" s="935"/>
      <c r="CQ904" s="935"/>
      <c r="CR904" s="935"/>
      <c r="CS904" s="935"/>
      <c r="CT904" s="935"/>
      <c r="CU904" s="935"/>
      <c r="CV904" s="935"/>
    </row>
    <row r="905" spans="1:100" s="441" customFormat="1">
      <c r="A905" s="375">
        <f t="shared" si="260"/>
        <v>10</v>
      </c>
      <c r="B905" s="862">
        <v>44481</v>
      </c>
      <c r="C905" s="493" t="s">
        <v>2001</v>
      </c>
      <c r="D905" s="376" t="str">
        <f>IFERROR(VLOOKUP(E:E,'Item Data Support Sheet'!A:O,7,0),"")</f>
        <v>BOTTLE MOLDED</v>
      </c>
      <c r="E905" s="447" t="s">
        <v>14</v>
      </c>
      <c r="F905" s="500" t="s">
        <v>1681</v>
      </c>
      <c r="G905" s="497" t="s">
        <v>1665</v>
      </c>
      <c r="H905" s="602" t="str">
        <f>IFERROR(VLOOKUP(E:E,'Item Data Support Sheet'!A:O,2,0),"")</f>
        <v>KPP 240 ML BOTTLE MOLDED</v>
      </c>
      <c r="I905" s="501" t="s">
        <v>3647</v>
      </c>
      <c r="J905" s="501" t="s">
        <v>2811</v>
      </c>
      <c r="K905" s="499">
        <v>8</v>
      </c>
      <c r="L905" s="499">
        <v>2503</v>
      </c>
      <c r="M905" s="366">
        <v>312.875</v>
      </c>
      <c r="N905" s="367">
        <f t="shared" si="259"/>
        <v>3498</v>
      </c>
      <c r="O905" s="61">
        <v>3348</v>
      </c>
      <c r="P905" s="368">
        <v>0.61499999999999999</v>
      </c>
      <c r="Q905" s="368">
        <v>70</v>
      </c>
      <c r="R905" s="494">
        <v>0</v>
      </c>
      <c r="S905" s="493">
        <v>0</v>
      </c>
      <c r="T905" s="494">
        <v>80</v>
      </c>
      <c r="U905" s="493">
        <v>0</v>
      </c>
      <c r="V905" s="502">
        <v>1</v>
      </c>
      <c r="W905" s="453">
        <f t="shared" si="261"/>
        <v>3348</v>
      </c>
      <c r="X905" s="748">
        <f t="shared" si="262"/>
        <v>1.337594886136636</v>
      </c>
      <c r="Y905" s="451" t="str">
        <f>IFERROR(VLOOKUP(E:E,'Item Data Support Sheet'!A:J,6,0),0)</f>
        <v>HMC</v>
      </c>
      <c r="Z905" s="428">
        <f>IFERROR(VLOOKUP(E:E,'Item Data Support Sheet'!A:O,4,0),0)</f>
        <v>32.1</v>
      </c>
      <c r="AA905" s="428">
        <f t="shared" si="263"/>
        <v>112.9008</v>
      </c>
      <c r="AB905" s="429">
        <f t="shared" si="264"/>
        <v>0.95190468092343017</v>
      </c>
      <c r="AC905" s="424">
        <f t="shared" si="265"/>
        <v>2.3337222870478413E-2</v>
      </c>
      <c r="AD905" s="371">
        <f t="shared" si="266"/>
        <v>1.961883408071749E-2</v>
      </c>
      <c r="AE905" s="748">
        <f t="shared" si="267"/>
        <v>0.97712978845054321</v>
      </c>
      <c r="AF905" s="417">
        <f t="shared" si="268"/>
        <v>0</v>
      </c>
      <c r="AG905" s="416">
        <f t="shared" si="269"/>
        <v>8</v>
      </c>
      <c r="AH905" s="372">
        <f t="shared" si="270"/>
        <v>1</v>
      </c>
      <c r="AI905" s="373">
        <f t="shared" si="271"/>
        <v>418.5</v>
      </c>
      <c r="AJ905" s="418">
        <f>VLOOKUP(D905,'Standard Cycle time'!C:D,2,0)</f>
        <v>9</v>
      </c>
      <c r="AK905" s="418">
        <f t="shared" si="272"/>
        <v>8.6021505376344081</v>
      </c>
      <c r="AL905" s="374">
        <f t="shared" si="273"/>
        <v>1.0462500000000001</v>
      </c>
      <c r="AM905" s="372">
        <f t="shared" si="274"/>
        <v>1.0223220411663809</v>
      </c>
      <c r="AN905" s="799">
        <v>1.0223220411663809</v>
      </c>
      <c r="AO905" s="448"/>
      <c r="AP905" s="440">
        <v>0</v>
      </c>
      <c r="AQ905" s="440">
        <v>0</v>
      </c>
      <c r="AR905" s="440">
        <v>0</v>
      </c>
      <c r="AS905" s="440">
        <v>0</v>
      </c>
      <c r="AT905" s="440">
        <v>0</v>
      </c>
      <c r="AU905" s="440">
        <v>0</v>
      </c>
      <c r="AV905" s="440">
        <v>0</v>
      </c>
      <c r="AW905" s="440">
        <v>0</v>
      </c>
      <c r="AX905" s="440">
        <v>0</v>
      </c>
      <c r="AY905" s="440">
        <v>0</v>
      </c>
      <c r="AZ905" s="440">
        <v>0</v>
      </c>
      <c r="BA905" s="440">
        <v>0</v>
      </c>
      <c r="BB905" s="440">
        <v>0</v>
      </c>
      <c r="BC905" s="440">
        <v>0</v>
      </c>
      <c r="BD905" s="440">
        <v>0</v>
      </c>
      <c r="BE905" s="440">
        <v>0</v>
      </c>
      <c r="BF905" s="440">
        <v>0</v>
      </c>
      <c r="BG905" s="440">
        <v>0</v>
      </c>
      <c r="BH905" s="440">
        <v>0</v>
      </c>
      <c r="BI905" s="440">
        <v>0</v>
      </c>
      <c r="BJ905" s="440">
        <v>0</v>
      </c>
      <c r="BK905" s="440">
        <v>0</v>
      </c>
      <c r="BL905" s="440">
        <v>0</v>
      </c>
      <c r="BM905" s="440">
        <v>0</v>
      </c>
      <c r="BN905" s="440">
        <v>0</v>
      </c>
      <c r="BO905" s="440">
        <v>0</v>
      </c>
      <c r="BP905" s="440">
        <v>0</v>
      </c>
      <c r="BQ905" s="440">
        <v>0</v>
      </c>
      <c r="BR905" s="415">
        <v>0</v>
      </c>
      <c r="BS905" s="415">
        <v>0</v>
      </c>
      <c r="BT905" s="935"/>
      <c r="BU905" s="935"/>
      <c r="BV905" s="935"/>
      <c r="BW905" s="935"/>
      <c r="BX905" s="935"/>
      <c r="BY905" s="935"/>
      <c r="BZ905" s="935"/>
      <c r="CA905" s="935"/>
      <c r="CB905" s="935"/>
      <c r="CC905" s="935"/>
      <c r="CD905" s="935"/>
      <c r="CE905" s="935"/>
      <c r="CF905" s="935"/>
      <c r="CG905" s="935"/>
      <c r="CH905" s="935"/>
      <c r="CI905" s="935"/>
      <c r="CJ905" s="935"/>
      <c r="CK905" s="935"/>
      <c r="CL905" s="935"/>
      <c r="CM905" s="935"/>
      <c r="CN905" s="935"/>
      <c r="CO905" s="935"/>
      <c r="CP905" s="935"/>
      <c r="CQ905" s="935"/>
      <c r="CR905" s="935"/>
      <c r="CS905" s="935"/>
      <c r="CT905" s="935"/>
      <c r="CU905" s="935"/>
      <c r="CV905" s="935"/>
    </row>
    <row r="906" spans="1:100" s="441" customFormat="1">
      <c r="A906" s="375">
        <f t="shared" si="260"/>
        <v>10</v>
      </c>
      <c r="B906" s="862">
        <v>44481</v>
      </c>
      <c r="C906" s="493" t="s">
        <v>2001</v>
      </c>
      <c r="D906" s="376" t="str">
        <f>IFERROR(VLOOKUP(E:E,'Item Data Support Sheet'!A:O,7,0),"")</f>
        <v>CAP MOLDED</v>
      </c>
      <c r="E906" s="447" t="s">
        <v>2109</v>
      </c>
      <c r="F906" s="500"/>
      <c r="G906" s="497" t="s">
        <v>3579</v>
      </c>
      <c r="H906" s="602" t="str">
        <f>IFERROR(VLOOKUP(E:E,'Item Data Support Sheet'!A:O,2,0),"")</f>
        <v>CAP S TYPE MOLDED PALE BLUE</v>
      </c>
      <c r="I906" s="501" t="s">
        <v>3648</v>
      </c>
      <c r="J906" s="501" t="s">
        <v>2811</v>
      </c>
      <c r="K906" s="499">
        <v>2</v>
      </c>
      <c r="L906" s="499">
        <v>1034</v>
      </c>
      <c r="M906" s="366">
        <v>517</v>
      </c>
      <c r="N906" s="367">
        <f t="shared" si="259"/>
        <v>990</v>
      </c>
      <c r="O906" s="61">
        <v>990</v>
      </c>
      <c r="P906" s="368">
        <v>0</v>
      </c>
      <c r="Q906" s="368">
        <v>0</v>
      </c>
      <c r="R906" s="494">
        <v>0</v>
      </c>
      <c r="S906" s="493">
        <v>0</v>
      </c>
      <c r="T906" s="494">
        <v>0</v>
      </c>
      <c r="U906" s="493">
        <v>0</v>
      </c>
      <c r="V906" s="502">
        <v>1</v>
      </c>
      <c r="W906" s="453">
        <f t="shared" si="261"/>
        <v>990</v>
      </c>
      <c r="X906" s="748">
        <f t="shared" si="262"/>
        <v>0.95744680851063835</v>
      </c>
      <c r="Y906" s="451" t="str">
        <f>IFERROR(VLOOKUP(E:E,'Item Data Support Sheet'!A:J,6,0),0)</f>
        <v>RM000115</v>
      </c>
      <c r="Z906" s="428">
        <f>IFERROR(VLOOKUP(E:E,'Item Data Support Sheet'!A:O,4,0),0)</f>
        <v>7.3</v>
      </c>
      <c r="AA906" s="428">
        <f t="shared" si="263"/>
        <v>7.2270000000000003</v>
      </c>
      <c r="AB906" s="429">
        <f t="shared" si="264"/>
        <v>1</v>
      </c>
      <c r="AC906" s="424">
        <f t="shared" si="265"/>
        <v>0</v>
      </c>
      <c r="AD906" s="371">
        <f t="shared" si="266"/>
        <v>0</v>
      </c>
      <c r="AE906" s="748">
        <f t="shared" si="267"/>
        <v>1</v>
      </c>
      <c r="AF906" s="417">
        <f t="shared" si="268"/>
        <v>0.5</v>
      </c>
      <c r="AG906" s="416">
        <f t="shared" si="269"/>
        <v>1.5</v>
      </c>
      <c r="AH906" s="372">
        <f t="shared" si="270"/>
        <v>0.75</v>
      </c>
      <c r="AI906" s="373">
        <f t="shared" si="271"/>
        <v>495</v>
      </c>
      <c r="AJ906" s="418">
        <f>VLOOKUP(D906,'Standard Cycle time'!C:D,2,0)</f>
        <v>6</v>
      </c>
      <c r="AK906" s="418">
        <f t="shared" si="272"/>
        <v>5.4545454545454541</v>
      </c>
      <c r="AL906" s="374">
        <f t="shared" si="273"/>
        <v>1.1000000000000001</v>
      </c>
      <c r="AM906" s="372">
        <f t="shared" si="274"/>
        <v>0.82500000000000007</v>
      </c>
      <c r="AN906" s="799">
        <v>0.82500000000000007</v>
      </c>
      <c r="AO906" s="448"/>
      <c r="AP906" s="440">
        <v>0</v>
      </c>
      <c r="AQ906" s="440">
        <v>0</v>
      </c>
      <c r="AR906" s="440">
        <v>0</v>
      </c>
      <c r="AS906" s="440">
        <v>0</v>
      </c>
      <c r="AT906" s="440">
        <v>0</v>
      </c>
      <c r="AU906" s="440">
        <v>0</v>
      </c>
      <c r="AV906" s="440">
        <v>30</v>
      </c>
      <c r="AW906" s="440">
        <v>0</v>
      </c>
      <c r="AX906" s="440">
        <v>0</v>
      </c>
      <c r="AY906" s="440">
        <v>0</v>
      </c>
      <c r="AZ906" s="440">
        <v>0</v>
      </c>
      <c r="BA906" s="440">
        <v>0</v>
      </c>
      <c r="BB906" s="440">
        <v>0</v>
      </c>
      <c r="BC906" s="440">
        <v>0</v>
      </c>
      <c r="BD906" s="440">
        <v>0</v>
      </c>
      <c r="BE906" s="440">
        <v>0</v>
      </c>
      <c r="BF906" s="440">
        <v>0</v>
      </c>
      <c r="BG906" s="440">
        <v>0</v>
      </c>
      <c r="BH906" s="440">
        <v>0</v>
      </c>
      <c r="BI906" s="440">
        <v>0</v>
      </c>
      <c r="BJ906" s="440">
        <v>0</v>
      </c>
      <c r="BK906" s="440">
        <v>0</v>
      </c>
      <c r="BL906" s="440">
        <v>0</v>
      </c>
      <c r="BM906" s="440">
        <v>0</v>
      </c>
      <c r="BN906" s="440">
        <v>0</v>
      </c>
      <c r="BO906" s="440">
        <v>0</v>
      </c>
      <c r="BP906" s="440">
        <v>0</v>
      </c>
      <c r="BQ906" s="440">
        <v>0</v>
      </c>
      <c r="BR906" s="415">
        <v>0.5</v>
      </c>
      <c r="BS906" s="415">
        <v>0.5</v>
      </c>
      <c r="BT906" s="935"/>
      <c r="BU906" s="935"/>
      <c r="BV906" s="935"/>
      <c r="BW906" s="935"/>
      <c r="BX906" s="935"/>
      <c r="BY906" s="935"/>
      <c r="BZ906" s="935"/>
      <c r="CA906" s="935"/>
      <c r="CB906" s="935"/>
      <c r="CC906" s="935"/>
      <c r="CD906" s="935"/>
      <c r="CE906" s="935"/>
      <c r="CF906" s="935"/>
      <c r="CG906" s="935"/>
      <c r="CH906" s="935"/>
      <c r="CI906" s="935"/>
      <c r="CJ906" s="935"/>
      <c r="CK906" s="935"/>
      <c r="CL906" s="935"/>
      <c r="CM906" s="935"/>
      <c r="CN906" s="935"/>
      <c r="CO906" s="935"/>
      <c r="CP906" s="935"/>
      <c r="CQ906" s="935"/>
      <c r="CR906" s="935"/>
      <c r="CS906" s="935"/>
      <c r="CT906" s="935"/>
      <c r="CU906" s="935"/>
      <c r="CV906" s="935"/>
    </row>
    <row r="907" spans="1:100" s="441" customFormat="1">
      <c r="A907" s="375">
        <f t="shared" si="260"/>
        <v>10</v>
      </c>
      <c r="B907" s="862">
        <v>44481</v>
      </c>
      <c r="C907" s="493" t="s">
        <v>2001</v>
      </c>
      <c r="D907" s="376" t="str">
        <f>IFERROR(VLOOKUP(E:E,'Item Data Support Sheet'!A:O,7,0),"")</f>
        <v>CAP MOLDED</v>
      </c>
      <c r="E907" s="447" t="s">
        <v>2109</v>
      </c>
      <c r="F907" s="500"/>
      <c r="G907" s="497" t="s">
        <v>3212</v>
      </c>
      <c r="H907" s="602" t="str">
        <f>IFERROR(VLOOKUP(E:E,'Item Data Support Sheet'!A:O,2,0),"")</f>
        <v>CAP S TYPE MOLDED PALE BLUE</v>
      </c>
      <c r="I907" s="501" t="s">
        <v>3649</v>
      </c>
      <c r="J907" s="501" t="s">
        <v>2811</v>
      </c>
      <c r="K907" s="499">
        <v>6</v>
      </c>
      <c r="L907" s="499">
        <v>3200</v>
      </c>
      <c r="M907" s="366">
        <v>533.33333333333337</v>
      </c>
      <c r="N907" s="367">
        <f t="shared" si="259"/>
        <v>3400</v>
      </c>
      <c r="O907" s="61">
        <v>3400</v>
      </c>
      <c r="P907" s="368">
        <v>0.2</v>
      </c>
      <c r="Q907" s="368">
        <v>0</v>
      </c>
      <c r="R907" s="494">
        <v>0</v>
      </c>
      <c r="S907" s="493">
        <v>0</v>
      </c>
      <c r="T907" s="494">
        <v>0</v>
      </c>
      <c r="U907" s="493">
        <v>0</v>
      </c>
      <c r="V907" s="502">
        <v>1</v>
      </c>
      <c r="W907" s="453">
        <f t="shared" si="261"/>
        <v>3400</v>
      </c>
      <c r="X907" s="748">
        <f t="shared" si="262"/>
        <v>1.0625</v>
      </c>
      <c r="Y907" s="451" t="str">
        <f>IFERROR(VLOOKUP(E:E,'Item Data Support Sheet'!A:J,6,0),0)</f>
        <v>RM000115</v>
      </c>
      <c r="Z907" s="428">
        <f>IFERROR(VLOOKUP(E:E,'Item Data Support Sheet'!A:O,4,0),0)</f>
        <v>7.3</v>
      </c>
      <c r="AA907" s="428">
        <f t="shared" si="263"/>
        <v>25.02</v>
      </c>
      <c r="AB907" s="429">
        <f t="shared" si="264"/>
        <v>0.9920063948840927</v>
      </c>
      <c r="AC907" s="424">
        <f t="shared" si="265"/>
        <v>0</v>
      </c>
      <c r="AD907" s="371">
        <f t="shared" si="266"/>
        <v>0</v>
      </c>
      <c r="AE907" s="748">
        <f t="shared" si="267"/>
        <v>1</v>
      </c>
      <c r="AF907" s="417">
        <f t="shared" si="268"/>
        <v>0</v>
      </c>
      <c r="AG907" s="416">
        <f t="shared" si="269"/>
        <v>6</v>
      </c>
      <c r="AH907" s="372">
        <f t="shared" si="270"/>
        <v>1</v>
      </c>
      <c r="AI907" s="373">
        <f t="shared" si="271"/>
        <v>566.66666666666663</v>
      </c>
      <c r="AJ907" s="418">
        <f>VLOOKUP(D907,'Standard Cycle time'!C:D,2,0)</f>
        <v>6</v>
      </c>
      <c r="AK907" s="418">
        <f t="shared" si="272"/>
        <v>6.3529411764705879</v>
      </c>
      <c r="AL907" s="374">
        <f t="shared" si="273"/>
        <v>0.94444444444444453</v>
      </c>
      <c r="AM907" s="372">
        <f t="shared" si="274"/>
        <v>0.94444444444444453</v>
      </c>
      <c r="AN907" s="799">
        <v>0.94444444444444453</v>
      </c>
      <c r="AO907" s="448"/>
      <c r="AP907" s="440">
        <v>0</v>
      </c>
      <c r="AQ907" s="440">
        <v>0</v>
      </c>
      <c r="AR907" s="440">
        <v>0</v>
      </c>
      <c r="AS907" s="440">
        <v>0</v>
      </c>
      <c r="AT907" s="440">
        <v>0</v>
      </c>
      <c r="AU907" s="440">
        <v>0</v>
      </c>
      <c r="AV907" s="440">
        <v>0</v>
      </c>
      <c r="AW907" s="440">
        <v>0</v>
      </c>
      <c r="AX907" s="440">
        <v>0</v>
      </c>
      <c r="AY907" s="440">
        <v>0</v>
      </c>
      <c r="AZ907" s="440">
        <v>0</v>
      </c>
      <c r="BA907" s="440">
        <v>0</v>
      </c>
      <c r="BB907" s="440">
        <v>0</v>
      </c>
      <c r="BC907" s="440">
        <v>0</v>
      </c>
      <c r="BD907" s="440">
        <v>0</v>
      </c>
      <c r="BE907" s="440">
        <v>0</v>
      </c>
      <c r="BF907" s="440">
        <v>0</v>
      </c>
      <c r="BG907" s="440">
        <v>0</v>
      </c>
      <c r="BH907" s="440">
        <v>0</v>
      </c>
      <c r="BI907" s="440">
        <v>0</v>
      </c>
      <c r="BJ907" s="440">
        <v>0</v>
      </c>
      <c r="BK907" s="440">
        <v>0</v>
      </c>
      <c r="BL907" s="440">
        <v>0</v>
      </c>
      <c r="BM907" s="440">
        <v>0</v>
      </c>
      <c r="BN907" s="440">
        <v>0</v>
      </c>
      <c r="BO907" s="440">
        <v>0</v>
      </c>
      <c r="BP907" s="440">
        <v>0</v>
      </c>
      <c r="BQ907" s="440">
        <v>0</v>
      </c>
      <c r="BR907" s="415">
        <v>0</v>
      </c>
      <c r="BS907" s="415">
        <v>0</v>
      </c>
      <c r="BT907" s="935"/>
      <c r="BU907" s="935"/>
      <c r="BV907" s="935"/>
      <c r="BW907" s="935"/>
      <c r="BX907" s="935"/>
      <c r="BY907" s="935"/>
      <c r="BZ907" s="935"/>
      <c r="CA907" s="935"/>
      <c r="CB907" s="935"/>
      <c r="CC907" s="935"/>
      <c r="CD907" s="935"/>
      <c r="CE907" s="935"/>
      <c r="CF907" s="935"/>
      <c r="CG907" s="935"/>
      <c r="CH907" s="935"/>
      <c r="CI907" s="935"/>
      <c r="CJ907" s="935"/>
      <c r="CK907" s="935"/>
      <c r="CL907" s="935"/>
      <c r="CM907" s="935"/>
      <c r="CN907" s="935"/>
      <c r="CO907" s="935"/>
      <c r="CP907" s="935"/>
      <c r="CQ907" s="935"/>
      <c r="CR907" s="935"/>
      <c r="CS907" s="935"/>
      <c r="CT907" s="935"/>
      <c r="CU907" s="935"/>
      <c r="CV907" s="935"/>
    </row>
    <row r="908" spans="1:100" s="441" customFormat="1">
      <c r="A908" s="375">
        <f t="shared" si="260"/>
        <v>10</v>
      </c>
      <c r="B908" s="862">
        <v>44481</v>
      </c>
      <c r="C908" s="493" t="s">
        <v>2001</v>
      </c>
      <c r="D908" s="376" t="str">
        <f>IFERROR(VLOOKUP(E:E,'Item Data Support Sheet'!A:O,7,0),"")</f>
        <v>NIPPLE MOLDED</v>
      </c>
      <c r="E908" s="447" t="s">
        <v>74</v>
      </c>
      <c r="F908" s="500" t="s">
        <v>1678</v>
      </c>
      <c r="G908" s="497" t="s">
        <v>1691</v>
      </c>
      <c r="H908" s="602" t="str">
        <f>IFERROR(VLOOKUP(E:E,'Item Data Support Sheet'!A:O,2,0),"")</f>
        <v>NIPPLE S TYPE L SIZE INJECTION</v>
      </c>
      <c r="I908" s="501" t="s">
        <v>3650</v>
      </c>
      <c r="J908" s="501" t="s">
        <v>2811</v>
      </c>
      <c r="K908" s="499">
        <v>8</v>
      </c>
      <c r="L908" s="499">
        <v>4815</v>
      </c>
      <c r="M908" s="366">
        <v>601.875</v>
      </c>
      <c r="N908" s="367">
        <f t="shared" si="259"/>
        <v>5565</v>
      </c>
      <c r="O908" s="61">
        <v>5500</v>
      </c>
      <c r="P908" s="368">
        <v>0</v>
      </c>
      <c r="Q908" s="368">
        <v>20</v>
      </c>
      <c r="R908" s="494">
        <v>0</v>
      </c>
      <c r="S908" s="493">
        <v>0</v>
      </c>
      <c r="T908" s="494">
        <v>45</v>
      </c>
      <c r="U908" s="493">
        <v>0</v>
      </c>
      <c r="V908" s="502">
        <v>1</v>
      </c>
      <c r="W908" s="453">
        <f t="shared" si="261"/>
        <v>5500</v>
      </c>
      <c r="X908" s="748">
        <f t="shared" si="262"/>
        <v>1.142263759086189</v>
      </c>
      <c r="Y908" s="451" t="str">
        <f>IFERROR(VLOOKUP(E:E,'Item Data Support Sheet'!A:J,6,0),0)</f>
        <v>Silicon</v>
      </c>
      <c r="Z908" s="428">
        <f>IFERROR(VLOOKUP(E:E,'Item Data Support Sheet'!A:O,4,0),0)</f>
        <v>6.8</v>
      </c>
      <c r="AA908" s="428">
        <f t="shared" si="263"/>
        <v>37.841999999999999</v>
      </c>
      <c r="AB908" s="429">
        <f t="shared" si="264"/>
        <v>0.98831985624438456</v>
      </c>
      <c r="AC908" s="424">
        <f t="shared" si="265"/>
        <v>8.1154192966636611E-3</v>
      </c>
      <c r="AD908" s="371">
        <f t="shared" si="266"/>
        <v>3.5810205908683975E-3</v>
      </c>
      <c r="AE908" s="748">
        <f t="shared" si="267"/>
        <v>0.99191374663072773</v>
      </c>
      <c r="AF908" s="417">
        <f t="shared" si="268"/>
        <v>0</v>
      </c>
      <c r="AG908" s="416">
        <f t="shared" si="269"/>
        <v>8</v>
      </c>
      <c r="AH908" s="372">
        <f t="shared" si="270"/>
        <v>1</v>
      </c>
      <c r="AI908" s="373">
        <f t="shared" si="271"/>
        <v>687.5</v>
      </c>
      <c r="AJ908" s="418">
        <f>VLOOKUP(D908,'Standard Cycle time'!C:D,2,0)</f>
        <v>5.25</v>
      </c>
      <c r="AK908" s="418">
        <f t="shared" si="272"/>
        <v>5.2363636363636363</v>
      </c>
      <c r="AL908" s="374">
        <f t="shared" si="273"/>
        <v>1.0026041666666667</v>
      </c>
      <c r="AM908" s="372">
        <f t="shared" si="274"/>
        <v>0.99449685534591203</v>
      </c>
      <c r="AN908" s="799">
        <v>0.99449685534591203</v>
      </c>
      <c r="AO908" s="448"/>
      <c r="AP908" s="440">
        <v>0</v>
      </c>
      <c r="AQ908" s="440">
        <v>0</v>
      </c>
      <c r="AR908" s="440">
        <v>0</v>
      </c>
      <c r="AS908" s="440">
        <v>0</v>
      </c>
      <c r="AT908" s="440">
        <v>0</v>
      </c>
      <c r="AU908" s="440">
        <v>0</v>
      </c>
      <c r="AV908" s="440">
        <v>0</v>
      </c>
      <c r="AW908" s="440">
        <v>0</v>
      </c>
      <c r="AX908" s="440">
        <v>0</v>
      </c>
      <c r="AY908" s="440">
        <v>0</v>
      </c>
      <c r="AZ908" s="440">
        <v>0</v>
      </c>
      <c r="BA908" s="440">
        <v>0</v>
      </c>
      <c r="BB908" s="440">
        <v>0</v>
      </c>
      <c r="BC908" s="440">
        <v>0</v>
      </c>
      <c r="BD908" s="440">
        <v>0</v>
      </c>
      <c r="BE908" s="440">
        <v>0</v>
      </c>
      <c r="BF908" s="440">
        <v>0</v>
      </c>
      <c r="BG908" s="440">
        <v>0</v>
      </c>
      <c r="BH908" s="440">
        <v>0</v>
      </c>
      <c r="BI908" s="440">
        <v>0</v>
      </c>
      <c r="BJ908" s="440">
        <v>0</v>
      </c>
      <c r="BK908" s="440">
        <v>0</v>
      </c>
      <c r="BL908" s="440">
        <v>0</v>
      </c>
      <c r="BM908" s="440">
        <v>0</v>
      </c>
      <c r="BN908" s="440">
        <v>0</v>
      </c>
      <c r="BO908" s="440">
        <v>0</v>
      </c>
      <c r="BP908" s="440">
        <v>0</v>
      </c>
      <c r="BQ908" s="440">
        <v>0</v>
      </c>
      <c r="BR908" s="415">
        <v>0</v>
      </c>
      <c r="BS908" s="415">
        <v>0</v>
      </c>
      <c r="BT908" s="935"/>
      <c r="BU908" s="935"/>
      <c r="BV908" s="935"/>
      <c r="BW908" s="935"/>
      <c r="BX908" s="935"/>
      <c r="BY908" s="935"/>
      <c r="BZ908" s="935"/>
      <c r="CA908" s="935"/>
      <c r="CB908" s="935"/>
      <c r="CC908" s="935"/>
      <c r="CD908" s="935"/>
      <c r="CE908" s="935"/>
      <c r="CF908" s="935"/>
      <c r="CG908" s="935"/>
      <c r="CH908" s="935"/>
      <c r="CI908" s="935"/>
      <c r="CJ908" s="935"/>
      <c r="CK908" s="935"/>
      <c r="CL908" s="935"/>
      <c r="CM908" s="935"/>
      <c r="CN908" s="935"/>
      <c r="CO908" s="935"/>
      <c r="CP908" s="935"/>
      <c r="CQ908" s="935"/>
      <c r="CR908" s="935"/>
      <c r="CS908" s="935"/>
      <c r="CT908" s="935"/>
      <c r="CU908" s="935"/>
      <c r="CV908" s="935"/>
    </row>
    <row r="909" spans="1:100" s="441" customFormat="1">
      <c r="A909" s="375">
        <f t="shared" si="260"/>
        <v>10</v>
      </c>
      <c r="B909" s="862">
        <v>44481</v>
      </c>
      <c r="C909" s="493" t="s">
        <v>2001</v>
      </c>
      <c r="D909" s="376" t="str">
        <f>IFERROR(VLOOKUP(E:E,'Item Data Support Sheet'!A:O,7,0),"")</f>
        <v>NIPPLE PUNCH</v>
      </c>
      <c r="E909" s="447" t="s">
        <v>82</v>
      </c>
      <c r="F909" s="500"/>
      <c r="G909" s="497" t="s">
        <v>1692</v>
      </c>
      <c r="H909" s="602" t="str">
        <f>IFERROR(VLOOKUP(E:E,'Item Data Support Sheet'!A:O,2,0),"")</f>
        <v>NIPPLE S TYPE L SIZE PUNCHED</v>
      </c>
      <c r="I909" s="501" t="s">
        <v>3651</v>
      </c>
      <c r="J909" s="501" t="s">
        <v>2811</v>
      </c>
      <c r="K909" s="499">
        <v>8</v>
      </c>
      <c r="L909" s="499">
        <v>7000</v>
      </c>
      <c r="M909" s="366">
        <v>875</v>
      </c>
      <c r="N909" s="367">
        <f t="shared" si="259"/>
        <v>6750</v>
      </c>
      <c r="O909" s="61">
        <v>6750</v>
      </c>
      <c r="P909" s="368">
        <v>0</v>
      </c>
      <c r="Q909" s="368">
        <v>0</v>
      </c>
      <c r="R909" s="494">
        <v>0</v>
      </c>
      <c r="S909" s="493">
        <v>0</v>
      </c>
      <c r="T909" s="494">
        <v>0</v>
      </c>
      <c r="U909" s="493">
        <v>0</v>
      </c>
      <c r="V909" s="502">
        <v>1</v>
      </c>
      <c r="W909" s="453">
        <f t="shared" si="261"/>
        <v>6750</v>
      </c>
      <c r="X909" s="748">
        <f t="shared" si="262"/>
        <v>0.9642857142857143</v>
      </c>
      <c r="Y909" s="451" t="str">
        <f>IFERROR(VLOOKUP(E:E,'Item Data Support Sheet'!A:J,6,0),0)</f>
        <v>FO017</v>
      </c>
      <c r="Z909" s="428">
        <f>IFERROR(VLOOKUP(E:E,'Item Data Support Sheet'!A:O,4,0),0)</f>
        <v>0</v>
      </c>
      <c r="AA909" s="428">
        <f t="shared" si="263"/>
        <v>0</v>
      </c>
      <c r="AB909" s="429" t="str">
        <f t="shared" si="264"/>
        <v xml:space="preserve"> </v>
      </c>
      <c r="AC909" s="424">
        <f t="shared" si="265"/>
        <v>0</v>
      </c>
      <c r="AD909" s="371">
        <f t="shared" si="266"/>
        <v>0</v>
      </c>
      <c r="AE909" s="748">
        <f t="shared" si="267"/>
        <v>1</v>
      </c>
      <c r="AF909" s="417">
        <f t="shared" si="268"/>
        <v>0.66666666666666663</v>
      </c>
      <c r="AG909" s="416">
        <f t="shared" si="269"/>
        <v>7.333333333333333</v>
      </c>
      <c r="AH909" s="372">
        <f t="shared" si="270"/>
        <v>0.91666666666666663</v>
      </c>
      <c r="AI909" s="373">
        <f t="shared" si="271"/>
        <v>843.75</v>
      </c>
      <c r="AJ909" s="418">
        <f>VLOOKUP(D909,'Standard Cycle time'!C:D,2,0)</f>
        <v>3.5</v>
      </c>
      <c r="AK909" s="418">
        <f t="shared" si="272"/>
        <v>3.911111111111111</v>
      </c>
      <c r="AL909" s="374">
        <f t="shared" si="273"/>
        <v>0.89488636363636365</v>
      </c>
      <c r="AM909" s="372">
        <f t="shared" si="274"/>
        <v>0.8203125</v>
      </c>
      <c r="AN909" s="799">
        <v>0.8203125</v>
      </c>
      <c r="AO909" s="448" t="s">
        <v>3652</v>
      </c>
      <c r="AP909" s="440">
        <v>40</v>
      </c>
      <c r="AQ909" s="440">
        <v>0</v>
      </c>
      <c r="AR909" s="440">
        <v>0</v>
      </c>
      <c r="AS909" s="440">
        <v>0</v>
      </c>
      <c r="AT909" s="440">
        <v>0</v>
      </c>
      <c r="AU909" s="440">
        <v>0</v>
      </c>
      <c r="AV909" s="440">
        <v>0</v>
      </c>
      <c r="AW909" s="440">
        <v>0</v>
      </c>
      <c r="AX909" s="440">
        <v>0</v>
      </c>
      <c r="AY909" s="440">
        <v>0</v>
      </c>
      <c r="AZ909" s="440">
        <v>0</v>
      </c>
      <c r="BA909" s="440">
        <v>0</v>
      </c>
      <c r="BB909" s="440">
        <v>0</v>
      </c>
      <c r="BC909" s="440">
        <v>0</v>
      </c>
      <c r="BD909" s="440">
        <v>0</v>
      </c>
      <c r="BE909" s="440">
        <v>0</v>
      </c>
      <c r="BF909" s="440">
        <v>0</v>
      </c>
      <c r="BG909" s="440">
        <v>0</v>
      </c>
      <c r="BH909" s="440">
        <v>0</v>
      </c>
      <c r="BI909" s="440">
        <v>0</v>
      </c>
      <c r="BJ909" s="440">
        <v>0</v>
      </c>
      <c r="BK909" s="440">
        <v>0</v>
      </c>
      <c r="BL909" s="440">
        <v>0</v>
      </c>
      <c r="BM909" s="440">
        <v>0</v>
      </c>
      <c r="BN909" s="440">
        <v>0</v>
      </c>
      <c r="BO909" s="440">
        <v>0</v>
      </c>
      <c r="BP909" s="440">
        <v>0</v>
      </c>
      <c r="BQ909" s="440">
        <v>0</v>
      </c>
      <c r="BR909" s="415">
        <v>0.66666666666666663</v>
      </c>
      <c r="BS909" s="415">
        <v>0.66666666666666663</v>
      </c>
      <c r="BT909" s="935"/>
      <c r="BU909" s="935"/>
      <c r="BV909" s="935"/>
      <c r="BW909" s="935"/>
      <c r="BX909" s="935"/>
      <c r="BY909" s="935"/>
      <c r="BZ909" s="935"/>
      <c r="CA909" s="935"/>
      <c r="CB909" s="935"/>
      <c r="CC909" s="935"/>
      <c r="CD909" s="935"/>
      <c r="CE909" s="935"/>
      <c r="CF909" s="935"/>
      <c r="CG909" s="935"/>
      <c r="CH909" s="935"/>
      <c r="CI909" s="935"/>
      <c r="CJ909" s="935"/>
      <c r="CK909" s="935"/>
      <c r="CL909" s="935"/>
      <c r="CM909" s="935"/>
      <c r="CN909" s="935"/>
      <c r="CO909" s="935"/>
      <c r="CP909" s="935"/>
      <c r="CQ909" s="935"/>
      <c r="CR909" s="935"/>
      <c r="CS909" s="935"/>
      <c r="CT909" s="935"/>
      <c r="CU909" s="935"/>
      <c r="CV909" s="935"/>
    </row>
    <row r="910" spans="1:100" s="441" customFormat="1">
      <c r="A910" s="375">
        <f t="shared" si="260"/>
        <v>10</v>
      </c>
      <c r="B910" s="862">
        <v>44481</v>
      </c>
      <c r="C910" s="493" t="s">
        <v>2001</v>
      </c>
      <c r="D910" s="376" t="str">
        <f>IFERROR(VLOOKUP(E:E,'Item Data Support Sheet'!A:O,7,0),"")</f>
        <v>NIPPLE LASER MARKING</v>
      </c>
      <c r="E910" s="447" t="s">
        <v>1816</v>
      </c>
      <c r="F910" s="500"/>
      <c r="G910" s="497" t="s">
        <v>1812</v>
      </c>
      <c r="H910" s="602" t="str">
        <f>IFERROR(VLOOKUP(E:E,'Item Data Support Sheet'!A:O,2,0),"")</f>
        <v>NIPPLE S TYPE L SIZE PUNCHED LASER MARKED</v>
      </c>
      <c r="I910" s="501"/>
      <c r="J910" s="501" t="s">
        <v>2811</v>
      </c>
      <c r="K910" s="499">
        <v>8</v>
      </c>
      <c r="L910" s="499">
        <v>7000</v>
      </c>
      <c r="M910" s="366">
        <v>875</v>
      </c>
      <c r="N910" s="367">
        <f t="shared" si="259"/>
        <v>6900</v>
      </c>
      <c r="O910" s="61">
        <v>6900</v>
      </c>
      <c r="P910" s="368">
        <v>0</v>
      </c>
      <c r="Q910" s="368">
        <v>0</v>
      </c>
      <c r="R910" s="494">
        <v>0</v>
      </c>
      <c r="S910" s="493">
        <v>0</v>
      </c>
      <c r="T910" s="494">
        <v>0</v>
      </c>
      <c r="U910" s="493">
        <v>0</v>
      </c>
      <c r="V910" s="502">
        <v>1</v>
      </c>
      <c r="W910" s="453">
        <f t="shared" si="261"/>
        <v>6900</v>
      </c>
      <c r="X910" s="748">
        <f t="shared" si="262"/>
        <v>0.98571428571428577</v>
      </c>
      <c r="Y910" s="451" t="str">
        <f>IFERROR(VLOOKUP(E:E,'Item Data Support Sheet'!A:J,6,0),0)</f>
        <v>FO021</v>
      </c>
      <c r="Z910" s="428">
        <f>IFERROR(VLOOKUP(E:E,'Item Data Support Sheet'!A:O,4,0),0)</f>
        <v>0</v>
      </c>
      <c r="AA910" s="428">
        <f t="shared" si="263"/>
        <v>0</v>
      </c>
      <c r="AB910" s="429" t="str">
        <f t="shared" si="264"/>
        <v xml:space="preserve"> </v>
      </c>
      <c r="AC910" s="424">
        <f t="shared" si="265"/>
        <v>0</v>
      </c>
      <c r="AD910" s="371">
        <f t="shared" si="266"/>
        <v>0</v>
      </c>
      <c r="AE910" s="748">
        <f t="shared" si="267"/>
        <v>1</v>
      </c>
      <c r="AF910" s="417">
        <f t="shared" si="268"/>
        <v>0.66666666666666663</v>
      </c>
      <c r="AG910" s="416">
        <f t="shared" si="269"/>
        <v>7.333333333333333</v>
      </c>
      <c r="AH910" s="372">
        <f t="shared" si="270"/>
        <v>0.91666666666666663</v>
      </c>
      <c r="AI910" s="373">
        <f t="shared" si="271"/>
        <v>862.5</v>
      </c>
      <c r="AJ910" s="418">
        <f>VLOOKUP(D910,'Standard Cycle time'!C:D,2,0)</f>
        <v>3.5</v>
      </c>
      <c r="AK910" s="418">
        <f t="shared" si="272"/>
        <v>3.8260869565217392</v>
      </c>
      <c r="AL910" s="374">
        <f t="shared" si="273"/>
        <v>0.91477272727272729</v>
      </c>
      <c r="AM910" s="372">
        <f t="shared" si="274"/>
        <v>0.83854166666666663</v>
      </c>
      <c r="AN910" s="799">
        <v>0.83854166666666663</v>
      </c>
      <c r="AO910" s="448"/>
      <c r="AP910" s="440">
        <v>40</v>
      </c>
      <c r="AQ910" s="440">
        <v>0</v>
      </c>
      <c r="AR910" s="440">
        <v>0</v>
      </c>
      <c r="AS910" s="440">
        <v>0</v>
      </c>
      <c r="AT910" s="440">
        <v>0</v>
      </c>
      <c r="AU910" s="440">
        <v>0</v>
      </c>
      <c r="AV910" s="440">
        <v>0</v>
      </c>
      <c r="AW910" s="440">
        <v>0</v>
      </c>
      <c r="AX910" s="440">
        <v>0</v>
      </c>
      <c r="AY910" s="440">
        <v>0</v>
      </c>
      <c r="AZ910" s="440">
        <v>0</v>
      </c>
      <c r="BA910" s="440">
        <v>0</v>
      </c>
      <c r="BB910" s="440">
        <v>0</v>
      </c>
      <c r="BC910" s="440">
        <v>0</v>
      </c>
      <c r="BD910" s="440">
        <v>0</v>
      </c>
      <c r="BE910" s="440">
        <v>0</v>
      </c>
      <c r="BF910" s="440">
        <v>0</v>
      </c>
      <c r="BG910" s="440">
        <v>0</v>
      </c>
      <c r="BH910" s="440">
        <v>0</v>
      </c>
      <c r="BI910" s="440">
        <v>0</v>
      </c>
      <c r="BJ910" s="440">
        <v>0</v>
      </c>
      <c r="BK910" s="440">
        <v>0</v>
      </c>
      <c r="BL910" s="440">
        <v>0</v>
      </c>
      <c r="BM910" s="440">
        <v>0</v>
      </c>
      <c r="BN910" s="440">
        <v>0</v>
      </c>
      <c r="BO910" s="440">
        <v>0</v>
      </c>
      <c r="BP910" s="440">
        <v>0</v>
      </c>
      <c r="BQ910" s="440">
        <v>0</v>
      </c>
      <c r="BR910" s="415">
        <v>0.66666666666666663</v>
      </c>
      <c r="BS910" s="415">
        <v>0.66666666666666663</v>
      </c>
      <c r="BT910" s="935"/>
      <c r="BU910" s="935"/>
      <c r="BV910" s="935"/>
      <c r="BW910" s="935"/>
      <c r="BX910" s="935"/>
      <c r="BY910" s="935"/>
      <c r="BZ910" s="935"/>
      <c r="CA910" s="935"/>
      <c r="CB910" s="935"/>
      <c r="CC910" s="935"/>
      <c r="CD910" s="935"/>
      <c r="CE910" s="935"/>
      <c r="CF910" s="935"/>
      <c r="CG910" s="935"/>
      <c r="CH910" s="935"/>
      <c r="CI910" s="935"/>
      <c r="CJ910" s="935"/>
      <c r="CK910" s="935"/>
      <c r="CL910" s="935"/>
      <c r="CM910" s="935"/>
      <c r="CN910" s="935"/>
      <c r="CO910" s="935"/>
      <c r="CP910" s="935"/>
      <c r="CQ910" s="935"/>
      <c r="CR910" s="935"/>
      <c r="CS910" s="935"/>
      <c r="CT910" s="935"/>
      <c r="CU910" s="935"/>
      <c r="CV910" s="935"/>
    </row>
    <row r="911" spans="1:100" s="441" customFormat="1">
      <c r="A911" s="375">
        <f t="shared" si="260"/>
        <v>10</v>
      </c>
      <c r="B911" s="862">
        <v>44481</v>
      </c>
      <c r="C911" s="493" t="s">
        <v>2053</v>
      </c>
      <c r="D911" s="376" t="str">
        <f>IFERROR(VLOOKUP(E:E,'Item Data Support Sheet'!A:O,7,0),"")</f>
        <v>BOTTLE MOLDED</v>
      </c>
      <c r="E911" s="447" t="s">
        <v>14</v>
      </c>
      <c r="F911" s="500" t="s">
        <v>1681</v>
      </c>
      <c r="G911" s="497" t="s">
        <v>1665</v>
      </c>
      <c r="H911" s="602" t="str">
        <f>IFERROR(VLOOKUP(E:E,'Item Data Support Sheet'!A:O,2,0),"")</f>
        <v>KPP 240 ML BOTTLE MOLDED</v>
      </c>
      <c r="I911" s="501" t="s">
        <v>3653</v>
      </c>
      <c r="J911" s="501" t="s">
        <v>2826</v>
      </c>
      <c r="K911" s="499">
        <v>8</v>
      </c>
      <c r="L911" s="499">
        <v>2574</v>
      </c>
      <c r="M911" s="366">
        <v>321.75</v>
      </c>
      <c r="N911" s="367">
        <f t="shared" si="259"/>
        <v>3046</v>
      </c>
      <c r="O911" s="61">
        <v>2916</v>
      </c>
      <c r="P911" s="368">
        <v>0.35</v>
      </c>
      <c r="Q911" s="368">
        <v>55</v>
      </c>
      <c r="R911" s="494">
        <v>0</v>
      </c>
      <c r="S911" s="493">
        <v>0</v>
      </c>
      <c r="T911" s="494">
        <v>67</v>
      </c>
      <c r="U911" s="493">
        <v>8</v>
      </c>
      <c r="V911" s="502">
        <v>1</v>
      </c>
      <c r="W911" s="453">
        <f t="shared" si="261"/>
        <v>2916</v>
      </c>
      <c r="X911" s="748">
        <f t="shared" si="262"/>
        <v>1.1328671328671329</v>
      </c>
      <c r="Y911" s="451" t="str">
        <f>IFERROR(VLOOKUP(E:E,'Item Data Support Sheet'!A:J,6,0),0)</f>
        <v>HMC</v>
      </c>
      <c r="Z911" s="428">
        <f>IFERROR(VLOOKUP(E:E,'Item Data Support Sheet'!A:O,4,0),0)</f>
        <v>32.1</v>
      </c>
      <c r="AA911" s="428">
        <f t="shared" si="263"/>
        <v>98.12660000000001</v>
      </c>
      <c r="AB911" s="429">
        <f t="shared" si="264"/>
        <v>0.95390648407261647</v>
      </c>
      <c r="AC911" s="424">
        <f t="shared" si="265"/>
        <v>2.2460610124036204E-2</v>
      </c>
      <c r="AD911" s="371">
        <f t="shared" si="266"/>
        <v>1.7736214124475975E-2</v>
      </c>
      <c r="AE911" s="748">
        <f t="shared" si="267"/>
        <v>0.97800393959290877</v>
      </c>
      <c r="AF911" s="417">
        <f t="shared" si="268"/>
        <v>0</v>
      </c>
      <c r="AG911" s="416">
        <f t="shared" si="269"/>
        <v>8</v>
      </c>
      <c r="AH911" s="372">
        <f t="shared" si="270"/>
        <v>1</v>
      </c>
      <c r="AI911" s="373">
        <f t="shared" si="271"/>
        <v>364.5</v>
      </c>
      <c r="AJ911" s="418">
        <f>VLOOKUP(D911,'Standard Cycle time'!C:D,2,0)</f>
        <v>9</v>
      </c>
      <c r="AK911" s="418">
        <f t="shared" si="272"/>
        <v>9.8765432098765427</v>
      </c>
      <c r="AL911" s="374">
        <f t="shared" si="273"/>
        <v>0.91125</v>
      </c>
      <c r="AM911" s="372">
        <f t="shared" si="274"/>
        <v>0.89120608995403816</v>
      </c>
      <c r="AN911" s="799">
        <v>0.89120608995403816</v>
      </c>
      <c r="AO911" s="448"/>
      <c r="AP911" s="440">
        <v>0</v>
      </c>
      <c r="AQ911" s="440">
        <v>0</v>
      </c>
      <c r="AR911" s="440">
        <v>0</v>
      </c>
      <c r="AS911" s="440">
        <v>0</v>
      </c>
      <c r="AT911" s="440">
        <v>0</v>
      </c>
      <c r="AU911" s="440">
        <v>0</v>
      </c>
      <c r="AV911" s="440">
        <v>0</v>
      </c>
      <c r="AW911" s="440">
        <v>0</v>
      </c>
      <c r="AX911" s="440">
        <v>0</v>
      </c>
      <c r="AY911" s="440">
        <v>0</v>
      </c>
      <c r="AZ911" s="440">
        <v>0</v>
      </c>
      <c r="BA911" s="440">
        <v>0</v>
      </c>
      <c r="BB911" s="440">
        <v>0</v>
      </c>
      <c r="BC911" s="440">
        <v>0</v>
      </c>
      <c r="BD911" s="440">
        <v>0</v>
      </c>
      <c r="BE911" s="440">
        <v>0</v>
      </c>
      <c r="BF911" s="440">
        <v>0</v>
      </c>
      <c r="BG911" s="440">
        <v>0</v>
      </c>
      <c r="BH911" s="440">
        <v>0</v>
      </c>
      <c r="BI911" s="440">
        <v>0</v>
      </c>
      <c r="BJ911" s="440">
        <v>0</v>
      </c>
      <c r="BK911" s="440">
        <v>0</v>
      </c>
      <c r="BL911" s="440">
        <v>0</v>
      </c>
      <c r="BM911" s="440">
        <v>0</v>
      </c>
      <c r="BN911" s="440">
        <v>0</v>
      </c>
      <c r="BO911" s="440">
        <v>0</v>
      </c>
      <c r="BP911" s="440">
        <v>0</v>
      </c>
      <c r="BQ911" s="440">
        <v>0</v>
      </c>
      <c r="BR911" s="415">
        <v>0</v>
      </c>
      <c r="BS911" s="415">
        <v>0</v>
      </c>
      <c r="BT911" s="935"/>
      <c r="BU911" s="935"/>
      <c r="BV911" s="935"/>
      <c r="BW911" s="935"/>
      <c r="BX911" s="935"/>
      <c r="BY911" s="935"/>
      <c r="BZ911" s="935"/>
      <c r="CA911" s="935"/>
      <c r="CB911" s="935"/>
      <c r="CC911" s="935"/>
      <c r="CD911" s="935"/>
      <c r="CE911" s="935"/>
      <c r="CF911" s="935"/>
      <c r="CG911" s="935"/>
      <c r="CH911" s="935"/>
      <c r="CI911" s="935"/>
      <c r="CJ911" s="935"/>
      <c r="CK911" s="935"/>
      <c r="CL911" s="935"/>
      <c r="CM911" s="935"/>
      <c r="CN911" s="935"/>
      <c r="CO911" s="935"/>
      <c r="CP911" s="935"/>
      <c r="CQ911" s="935"/>
      <c r="CR911" s="935"/>
      <c r="CS911" s="935"/>
      <c r="CT911" s="935"/>
      <c r="CU911" s="935"/>
      <c r="CV911" s="935"/>
    </row>
    <row r="912" spans="1:100" s="441" customFormat="1">
      <c r="A912" s="375">
        <f t="shared" si="260"/>
        <v>10</v>
      </c>
      <c r="B912" s="862">
        <v>44481</v>
      </c>
      <c r="C912" s="493" t="s">
        <v>2053</v>
      </c>
      <c r="D912" s="376" t="str">
        <f>IFERROR(VLOOKUP(E:E,'Item Data Support Sheet'!A:O,7,0),"")</f>
        <v>NIPPLE MOLDED</v>
      </c>
      <c r="E912" s="447" t="s">
        <v>74</v>
      </c>
      <c r="F912" s="500" t="s">
        <v>1678</v>
      </c>
      <c r="G912" s="497" t="s">
        <v>1691</v>
      </c>
      <c r="H912" s="602" t="str">
        <f>IFERROR(VLOOKUP(E:E,'Item Data Support Sheet'!A:O,2,0),"")</f>
        <v>NIPPLE S TYPE L SIZE INJECTION</v>
      </c>
      <c r="I912" s="501" t="s">
        <v>3654</v>
      </c>
      <c r="J912" s="501" t="s">
        <v>2826</v>
      </c>
      <c r="K912" s="499">
        <v>8</v>
      </c>
      <c r="L912" s="499">
        <v>4815</v>
      </c>
      <c r="M912" s="366">
        <v>601.875</v>
      </c>
      <c r="N912" s="367">
        <f t="shared" si="259"/>
        <v>2848</v>
      </c>
      <c r="O912" s="61">
        <v>2730</v>
      </c>
      <c r="P912" s="368">
        <v>5.2500000000000009</v>
      </c>
      <c r="Q912" s="368">
        <v>65</v>
      </c>
      <c r="R912" s="494">
        <v>0</v>
      </c>
      <c r="S912" s="493">
        <v>0</v>
      </c>
      <c r="T912" s="494">
        <v>45</v>
      </c>
      <c r="U912" s="493">
        <v>8</v>
      </c>
      <c r="V912" s="502">
        <v>1</v>
      </c>
      <c r="W912" s="453">
        <f t="shared" si="261"/>
        <v>2730</v>
      </c>
      <c r="X912" s="748">
        <f t="shared" si="262"/>
        <v>0.5669781931464174</v>
      </c>
      <c r="Y912" s="451" t="str">
        <f>IFERROR(VLOOKUP(E:E,'Item Data Support Sheet'!A:J,6,0),0)</f>
        <v>Silicon</v>
      </c>
      <c r="Z912" s="428">
        <f>IFERROR(VLOOKUP(E:E,'Item Data Support Sheet'!A:O,4,0),0)</f>
        <v>6.8</v>
      </c>
      <c r="AA912" s="428">
        <f t="shared" si="263"/>
        <v>24.616399999999999</v>
      </c>
      <c r="AB912" s="429">
        <f t="shared" si="264"/>
        <v>0.75413139208007673</v>
      </c>
      <c r="AC912" s="424">
        <f t="shared" si="265"/>
        <v>1.6216216216216217E-2</v>
      </c>
      <c r="AD912" s="371">
        <f t="shared" si="266"/>
        <v>2.2313765877102643E-2</v>
      </c>
      <c r="AE912" s="748">
        <f t="shared" si="267"/>
        <v>0.9841994382022472</v>
      </c>
      <c r="AF912" s="417">
        <f t="shared" si="268"/>
        <v>3.4166666666666665</v>
      </c>
      <c r="AG912" s="416">
        <f t="shared" si="269"/>
        <v>4.5833333333333339</v>
      </c>
      <c r="AH912" s="372">
        <f t="shared" si="270"/>
        <v>0.57291666666666674</v>
      </c>
      <c r="AI912" s="373">
        <f t="shared" si="271"/>
        <v>341.25</v>
      </c>
      <c r="AJ912" s="418">
        <f>VLOOKUP(D912,'Standard Cycle time'!C:D,2,0)</f>
        <v>5.25</v>
      </c>
      <c r="AK912" s="418">
        <f t="shared" si="272"/>
        <v>6.0439560439560456</v>
      </c>
      <c r="AL912" s="374">
        <f t="shared" si="273"/>
        <v>0.86863636363636343</v>
      </c>
      <c r="AM912" s="372">
        <f t="shared" si="274"/>
        <v>0.48979300166783707</v>
      </c>
      <c r="AN912" s="799">
        <v>0.48979300166783707</v>
      </c>
      <c r="AO912" s="448" t="s">
        <v>3655</v>
      </c>
      <c r="AP912" s="440">
        <v>0</v>
      </c>
      <c r="AQ912" s="440">
        <v>0</v>
      </c>
      <c r="AR912" s="440">
        <v>0</v>
      </c>
      <c r="AS912" s="440">
        <v>0</v>
      </c>
      <c r="AT912" s="440">
        <v>0</v>
      </c>
      <c r="AU912" s="440">
        <v>60</v>
      </c>
      <c r="AV912" s="440">
        <v>30</v>
      </c>
      <c r="AW912" s="440">
        <v>70</v>
      </c>
      <c r="AX912" s="440">
        <v>45</v>
      </c>
      <c r="AY912" s="440">
        <v>0</v>
      </c>
      <c r="AZ912" s="440">
        <v>0</v>
      </c>
      <c r="BA912" s="440">
        <v>0</v>
      </c>
      <c r="BB912" s="440">
        <v>0</v>
      </c>
      <c r="BC912" s="440">
        <v>0</v>
      </c>
      <c r="BD912" s="440">
        <v>0</v>
      </c>
      <c r="BE912" s="440">
        <v>0</v>
      </c>
      <c r="BF912" s="440">
        <v>0</v>
      </c>
      <c r="BG912" s="440">
        <v>0</v>
      </c>
      <c r="BH912" s="440">
        <v>0</v>
      </c>
      <c r="BI912" s="440">
        <v>0</v>
      </c>
      <c r="BJ912" s="440">
        <v>0</v>
      </c>
      <c r="BK912" s="440">
        <v>0</v>
      </c>
      <c r="BL912" s="440">
        <v>0</v>
      </c>
      <c r="BM912" s="440">
        <v>0</v>
      </c>
      <c r="BN912" s="440">
        <v>0</v>
      </c>
      <c r="BO912" s="440">
        <v>0</v>
      </c>
      <c r="BP912" s="440">
        <v>0</v>
      </c>
      <c r="BQ912" s="440">
        <v>0</v>
      </c>
      <c r="BR912" s="415">
        <v>3.4166666666666665</v>
      </c>
      <c r="BS912" s="415">
        <v>3.4166666666666665</v>
      </c>
      <c r="BT912" s="935"/>
      <c r="BU912" s="935"/>
      <c r="BV912" s="935"/>
      <c r="BW912" s="935"/>
      <c r="BX912" s="935"/>
      <c r="BY912" s="935"/>
      <c r="BZ912" s="935"/>
      <c r="CA912" s="935"/>
      <c r="CB912" s="935"/>
      <c r="CC912" s="935"/>
      <c r="CD912" s="935"/>
      <c r="CE912" s="935"/>
      <c r="CF912" s="935"/>
      <c r="CG912" s="935"/>
      <c r="CH912" s="935"/>
      <c r="CI912" s="935"/>
      <c r="CJ912" s="935"/>
      <c r="CK912" s="935"/>
      <c r="CL912" s="935"/>
      <c r="CM912" s="935"/>
      <c r="CN912" s="935"/>
      <c r="CO912" s="935"/>
      <c r="CP912" s="935"/>
      <c r="CQ912" s="935"/>
      <c r="CR912" s="935"/>
      <c r="CS912" s="935"/>
      <c r="CT912" s="935"/>
      <c r="CU912" s="935"/>
      <c r="CV912" s="935"/>
    </row>
    <row r="913" spans="1:100" s="441" customFormat="1">
      <c r="A913" s="375">
        <f t="shared" si="260"/>
        <v>10</v>
      </c>
      <c r="B913" s="862">
        <v>44481</v>
      </c>
      <c r="C913" s="493" t="s">
        <v>2053</v>
      </c>
      <c r="D913" s="376" t="str">
        <f>IFERROR(VLOOKUP(E:E,'Item Data Support Sheet'!A:O,7,0),"")</f>
        <v>CAP MOLDED</v>
      </c>
      <c r="E913" s="447" t="s">
        <v>2109</v>
      </c>
      <c r="F913" s="500"/>
      <c r="G913" s="497" t="s">
        <v>3212</v>
      </c>
      <c r="H913" s="602" t="str">
        <f>IFERROR(VLOOKUP(E:E,'Item Data Support Sheet'!A:O,2,0),"")</f>
        <v>CAP S TYPE MOLDED PALE BLUE</v>
      </c>
      <c r="I913" s="501" t="s">
        <v>3656</v>
      </c>
      <c r="J913" s="501" t="s">
        <v>2826</v>
      </c>
      <c r="K913" s="499">
        <v>8</v>
      </c>
      <c r="L913" s="499">
        <v>4137</v>
      </c>
      <c r="M913" s="366">
        <v>517.125</v>
      </c>
      <c r="N913" s="367">
        <f t="shared" si="259"/>
        <v>4316</v>
      </c>
      <c r="O913" s="61">
        <v>4300</v>
      </c>
      <c r="P913" s="368">
        <v>0</v>
      </c>
      <c r="Q913" s="368">
        <v>0</v>
      </c>
      <c r="R913" s="494">
        <v>0</v>
      </c>
      <c r="S913" s="493">
        <v>0</v>
      </c>
      <c r="T913" s="494">
        <v>8</v>
      </c>
      <c r="U913" s="493">
        <v>8</v>
      </c>
      <c r="V913" s="502">
        <v>1</v>
      </c>
      <c r="W913" s="453">
        <f t="shared" si="261"/>
        <v>4300</v>
      </c>
      <c r="X913" s="748">
        <f t="shared" si="262"/>
        <v>1.0394005317863186</v>
      </c>
      <c r="Y913" s="451" t="str">
        <f>IFERROR(VLOOKUP(E:E,'Item Data Support Sheet'!A:J,6,0),0)</f>
        <v>RM000115</v>
      </c>
      <c r="Z913" s="428">
        <f>IFERROR(VLOOKUP(E:E,'Item Data Support Sheet'!A:O,4,0),0)</f>
        <v>7.3</v>
      </c>
      <c r="AA913" s="428">
        <f t="shared" si="263"/>
        <v>31.506800000000002</v>
      </c>
      <c r="AB913" s="429">
        <f t="shared" si="264"/>
        <v>0.99629286376274329</v>
      </c>
      <c r="AC913" s="424">
        <f t="shared" si="265"/>
        <v>1.8570102135561746E-3</v>
      </c>
      <c r="AD913" s="371">
        <f t="shared" si="266"/>
        <v>0</v>
      </c>
      <c r="AE913" s="748">
        <f t="shared" si="267"/>
        <v>0.99814643188137164</v>
      </c>
      <c r="AF913" s="417">
        <f t="shared" si="268"/>
        <v>0.66666666666666663</v>
      </c>
      <c r="AG913" s="416">
        <f t="shared" si="269"/>
        <v>7.333333333333333</v>
      </c>
      <c r="AH913" s="372">
        <f t="shared" si="270"/>
        <v>0.91666666666666663</v>
      </c>
      <c r="AI913" s="373">
        <f t="shared" si="271"/>
        <v>537.5</v>
      </c>
      <c r="AJ913" s="418">
        <f>VLOOKUP(D913,'Standard Cycle time'!C:D,2,0)</f>
        <v>6</v>
      </c>
      <c r="AK913" s="418">
        <f t="shared" si="272"/>
        <v>6.1395348837209305</v>
      </c>
      <c r="AL913" s="374">
        <f t="shared" si="273"/>
        <v>0.97727272727272718</v>
      </c>
      <c r="AM913" s="372">
        <f t="shared" si="274"/>
        <v>0.89417284522706197</v>
      </c>
      <c r="AN913" s="799">
        <v>0.89417284522706197</v>
      </c>
      <c r="AO913" s="448"/>
      <c r="AP913" s="440">
        <v>0</v>
      </c>
      <c r="AQ913" s="440">
        <v>0</v>
      </c>
      <c r="AR913" s="440">
        <v>0</v>
      </c>
      <c r="AS913" s="440">
        <v>0</v>
      </c>
      <c r="AT913" s="440">
        <v>0</v>
      </c>
      <c r="AU913" s="440">
        <v>0</v>
      </c>
      <c r="AV913" s="440">
        <v>0</v>
      </c>
      <c r="AW913" s="440">
        <v>20</v>
      </c>
      <c r="AX913" s="440">
        <v>0</v>
      </c>
      <c r="AY913" s="440">
        <v>0</v>
      </c>
      <c r="AZ913" s="440">
        <v>20</v>
      </c>
      <c r="BA913" s="440">
        <v>0</v>
      </c>
      <c r="BB913" s="440">
        <v>0</v>
      </c>
      <c r="BC913" s="440">
        <v>0</v>
      </c>
      <c r="BD913" s="440">
        <v>0</v>
      </c>
      <c r="BE913" s="440">
        <v>0</v>
      </c>
      <c r="BF913" s="440">
        <v>0</v>
      </c>
      <c r="BG913" s="440">
        <v>0</v>
      </c>
      <c r="BH913" s="440">
        <v>0</v>
      </c>
      <c r="BI913" s="440">
        <v>0</v>
      </c>
      <c r="BJ913" s="440">
        <v>0</v>
      </c>
      <c r="BK913" s="440">
        <v>0</v>
      </c>
      <c r="BL913" s="440">
        <v>0</v>
      </c>
      <c r="BM913" s="440">
        <v>0</v>
      </c>
      <c r="BN913" s="440">
        <v>0</v>
      </c>
      <c r="BO913" s="440">
        <v>0</v>
      </c>
      <c r="BP913" s="440">
        <v>0</v>
      </c>
      <c r="BQ913" s="440">
        <v>0</v>
      </c>
      <c r="BR913" s="415">
        <v>0.66666666666666663</v>
      </c>
      <c r="BS913" s="415">
        <v>0.66666666666666663</v>
      </c>
      <c r="BT913" s="935"/>
      <c r="BU913" s="935"/>
      <c r="BV913" s="935"/>
      <c r="BW913" s="935"/>
      <c r="BX913" s="935"/>
      <c r="BY913" s="935"/>
      <c r="BZ913" s="935"/>
      <c r="CA913" s="935"/>
      <c r="CB913" s="935"/>
      <c r="CC913" s="935"/>
      <c r="CD913" s="935"/>
      <c r="CE913" s="935"/>
      <c r="CF913" s="935"/>
      <c r="CG913" s="935"/>
      <c r="CH913" s="935"/>
      <c r="CI913" s="935"/>
      <c r="CJ913" s="935"/>
      <c r="CK913" s="935"/>
      <c r="CL913" s="935"/>
      <c r="CM913" s="935"/>
      <c r="CN913" s="935"/>
      <c r="CO913" s="935"/>
      <c r="CP913" s="935"/>
      <c r="CQ913" s="935"/>
      <c r="CR913" s="935"/>
      <c r="CS913" s="935"/>
      <c r="CT913" s="935"/>
      <c r="CU913" s="935"/>
      <c r="CV913" s="935"/>
    </row>
    <row r="914" spans="1:100" s="441" customFormat="1">
      <c r="A914" s="375">
        <f t="shared" si="260"/>
        <v>10</v>
      </c>
      <c r="B914" s="862">
        <v>44482</v>
      </c>
      <c r="C914" s="493" t="s">
        <v>1980</v>
      </c>
      <c r="D914" s="376" t="str">
        <f>IFERROR(VLOOKUP(E:E,'Item Data Support Sheet'!A:O,7,0),"")</f>
        <v>BOTTLE MOLDED</v>
      </c>
      <c r="E914" s="447" t="s">
        <v>14</v>
      </c>
      <c r="F914" s="500" t="s">
        <v>1681</v>
      </c>
      <c r="G914" s="497" t="s">
        <v>1665</v>
      </c>
      <c r="H914" s="602" t="str">
        <f>IFERROR(VLOOKUP(E:E,'Item Data Support Sheet'!A:O,2,0),"")</f>
        <v>KPP 240 ML BOTTLE MOLDED</v>
      </c>
      <c r="I914" s="501" t="s">
        <v>3657</v>
      </c>
      <c r="J914" s="501" t="s">
        <v>2808</v>
      </c>
      <c r="K914" s="499">
        <v>8</v>
      </c>
      <c r="L914" s="499">
        <v>2574</v>
      </c>
      <c r="M914" s="366">
        <v>321.75</v>
      </c>
      <c r="N914" s="367">
        <f t="shared" si="259"/>
        <v>2520</v>
      </c>
      <c r="O914" s="61">
        <v>2376</v>
      </c>
      <c r="P914" s="368">
        <v>0.2</v>
      </c>
      <c r="Q914" s="368">
        <v>66</v>
      </c>
      <c r="R914" s="494">
        <v>0</v>
      </c>
      <c r="S914" s="493">
        <v>0</v>
      </c>
      <c r="T914" s="494">
        <v>70</v>
      </c>
      <c r="U914" s="493">
        <v>8</v>
      </c>
      <c r="V914" s="502">
        <v>1</v>
      </c>
      <c r="W914" s="453">
        <f t="shared" si="261"/>
        <v>2376</v>
      </c>
      <c r="X914" s="748">
        <f t="shared" si="262"/>
        <v>0.92307692307692313</v>
      </c>
      <c r="Y914" s="451" t="str">
        <f>IFERROR(VLOOKUP(E:E,'Item Data Support Sheet'!A:J,6,0),0)</f>
        <v>HMC</v>
      </c>
      <c r="Z914" s="428">
        <f>IFERROR(VLOOKUP(E:E,'Item Data Support Sheet'!A:O,4,0),0)</f>
        <v>32.1</v>
      </c>
      <c r="AA914" s="428">
        <f t="shared" si="263"/>
        <v>81.092000000000013</v>
      </c>
      <c r="AB914" s="429">
        <f t="shared" si="264"/>
        <v>0.94053174172544762</v>
      </c>
      <c r="AC914" s="424">
        <f t="shared" si="265"/>
        <v>2.8618152085036794E-2</v>
      </c>
      <c r="AD914" s="371">
        <f t="shared" si="266"/>
        <v>2.5522041763341066E-2</v>
      </c>
      <c r="AE914" s="748">
        <f t="shared" si="267"/>
        <v>0.97222222222222221</v>
      </c>
      <c r="AF914" s="417">
        <f t="shared" si="268"/>
        <v>2</v>
      </c>
      <c r="AG914" s="416">
        <f t="shared" si="269"/>
        <v>6</v>
      </c>
      <c r="AH914" s="372">
        <f t="shared" si="270"/>
        <v>0.75</v>
      </c>
      <c r="AI914" s="373">
        <f t="shared" si="271"/>
        <v>297</v>
      </c>
      <c r="AJ914" s="418">
        <f>VLOOKUP(D914,'Standard Cycle time'!C:D,2,0)</f>
        <v>9</v>
      </c>
      <c r="AK914" s="418">
        <f t="shared" si="272"/>
        <v>9.0909090909090917</v>
      </c>
      <c r="AL914" s="374">
        <f t="shared" si="273"/>
        <v>0.98999999999999988</v>
      </c>
      <c r="AM914" s="372">
        <f t="shared" si="274"/>
        <v>0.72187499999999993</v>
      </c>
      <c r="AN914" s="799">
        <v>0.72187499999999993</v>
      </c>
      <c r="AO914" s="448" t="s">
        <v>3658</v>
      </c>
      <c r="AP914" s="440">
        <v>0</v>
      </c>
      <c r="AQ914" s="440">
        <v>0</v>
      </c>
      <c r="AR914" s="440">
        <v>0</v>
      </c>
      <c r="AS914" s="440">
        <v>0</v>
      </c>
      <c r="AT914" s="440">
        <v>0</v>
      </c>
      <c r="AU914" s="440">
        <v>0</v>
      </c>
      <c r="AV914" s="440">
        <v>0</v>
      </c>
      <c r="AW914" s="440">
        <v>120</v>
      </c>
      <c r="AX914" s="440">
        <v>0</v>
      </c>
      <c r="AY914" s="440">
        <v>0</v>
      </c>
      <c r="AZ914" s="440">
        <v>0</v>
      </c>
      <c r="BA914" s="440">
        <v>0</v>
      </c>
      <c r="BB914" s="440">
        <v>0</v>
      </c>
      <c r="BC914" s="440">
        <v>0</v>
      </c>
      <c r="BD914" s="440">
        <v>0</v>
      </c>
      <c r="BE914" s="440">
        <v>0</v>
      </c>
      <c r="BF914" s="440">
        <v>0</v>
      </c>
      <c r="BG914" s="440">
        <v>0</v>
      </c>
      <c r="BH914" s="440">
        <v>0</v>
      </c>
      <c r="BI914" s="440">
        <v>0</v>
      </c>
      <c r="BJ914" s="440">
        <v>0</v>
      </c>
      <c r="BK914" s="440">
        <v>0</v>
      </c>
      <c r="BL914" s="440">
        <v>0</v>
      </c>
      <c r="BM914" s="440">
        <v>0</v>
      </c>
      <c r="BN914" s="440">
        <v>0</v>
      </c>
      <c r="BO914" s="440">
        <v>0</v>
      </c>
      <c r="BP914" s="440">
        <v>0</v>
      </c>
      <c r="BQ914" s="440">
        <v>0</v>
      </c>
      <c r="BR914" s="415">
        <v>2</v>
      </c>
      <c r="BS914" s="415">
        <v>2</v>
      </c>
      <c r="BT914" s="935"/>
      <c r="BU914" s="935"/>
      <c r="BV914" s="935"/>
      <c r="BW914" s="935"/>
      <c r="BX914" s="935"/>
      <c r="BY914" s="935"/>
      <c r="BZ914" s="935"/>
      <c r="CA914" s="935"/>
      <c r="CB914" s="935"/>
      <c r="CC914" s="935"/>
      <c r="CD914" s="935"/>
      <c r="CE914" s="935"/>
      <c r="CF914" s="935"/>
      <c r="CG914" s="935"/>
      <c r="CH914" s="935"/>
      <c r="CI914" s="935"/>
      <c r="CJ914" s="935"/>
      <c r="CK914" s="935"/>
      <c r="CL914" s="935"/>
      <c r="CM914" s="935"/>
      <c r="CN914" s="935"/>
      <c r="CO914" s="935"/>
      <c r="CP914" s="935"/>
      <c r="CQ914" s="935"/>
      <c r="CR914" s="935"/>
      <c r="CS914" s="935"/>
      <c r="CT914" s="935"/>
      <c r="CU914" s="935"/>
      <c r="CV914" s="935"/>
    </row>
    <row r="915" spans="1:100" s="441" customFormat="1">
      <c r="A915" s="375">
        <f t="shared" si="260"/>
        <v>10</v>
      </c>
      <c r="B915" s="862">
        <v>44482</v>
      </c>
      <c r="C915" s="493" t="s">
        <v>1980</v>
      </c>
      <c r="D915" s="376" t="str">
        <f>IFERROR(VLOOKUP(E:E,'Item Data Support Sheet'!A:O,7,0),"")</f>
        <v>NIPPLE MOLDED</v>
      </c>
      <c r="E915" s="447" t="s">
        <v>74</v>
      </c>
      <c r="F915" s="500" t="s">
        <v>1678</v>
      </c>
      <c r="G915" s="497" t="s">
        <v>1691</v>
      </c>
      <c r="H915" s="602" t="str">
        <f>IFERROR(VLOOKUP(E:E,'Item Data Support Sheet'!A:O,2,0),"")</f>
        <v>NIPPLE S TYPE L SIZE INJECTION</v>
      </c>
      <c r="I915" s="501" t="s">
        <v>3659</v>
      </c>
      <c r="J915" s="501" t="s">
        <v>2808</v>
      </c>
      <c r="K915" s="499">
        <v>8</v>
      </c>
      <c r="L915" s="499">
        <v>4815</v>
      </c>
      <c r="M915" s="366">
        <v>601.875</v>
      </c>
      <c r="N915" s="367">
        <f t="shared" si="259"/>
        <v>3060</v>
      </c>
      <c r="O915" s="61">
        <v>2910</v>
      </c>
      <c r="P915" s="368">
        <v>0</v>
      </c>
      <c r="Q915" s="368">
        <v>92</v>
      </c>
      <c r="R915" s="494">
        <v>0</v>
      </c>
      <c r="S915" s="493">
        <v>0</v>
      </c>
      <c r="T915" s="494">
        <v>50</v>
      </c>
      <c r="U915" s="493">
        <v>8</v>
      </c>
      <c r="V915" s="502">
        <v>1</v>
      </c>
      <c r="W915" s="453">
        <f t="shared" si="261"/>
        <v>2910</v>
      </c>
      <c r="X915" s="748">
        <f t="shared" si="262"/>
        <v>0.60436137071651086</v>
      </c>
      <c r="Y915" s="451" t="str">
        <f>IFERROR(VLOOKUP(E:E,'Item Data Support Sheet'!A:J,6,0),0)</f>
        <v>Silicon</v>
      </c>
      <c r="Z915" s="428">
        <f>IFERROR(VLOOKUP(E:E,'Item Data Support Sheet'!A:O,4,0),0)</f>
        <v>6.8</v>
      </c>
      <c r="AA915" s="428">
        <f t="shared" si="263"/>
        <v>20.808</v>
      </c>
      <c r="AB915" s="429">
        <f t="shared" si="264"/>
        <v>0.95098039215686281</v>
      </c>
      <c r="AC915" s="424">
        <f t="shared" si="265"/>
        <v>1.6891891891891893E-2</v>
      </c>
      <c r="AD915" s="371">
        <f t="shared" si="266"/>
        <v>2.9187817258883249E-2</v>
      </c>
      <c r="AE915" s="748">
        <f t="shared" si="267"/>
        <v>0.9836601307189542</v>
      </c>
      <c r="AF915" s="417">
        <f t="shared" si="268"/>
        <v>3.5</v>
      </c>
      <c r="AG915" s="416">
        <f t="shared" si="269"/>
        <v>4.5</v>
      </c>
      <c r="AH915" s="372">
        <f t="shared" si="270"/>
        <v>0.5625</v>
      </c>
      <c r="AI915" s="373">
        <f t="shared" si="271"/>
        <v>363.75</v>
      </c>
      <c r="AJ915" s="418">
        <f>VLOOKUP(D915,'Standard Cycle time'!C:D,2,0)</f>
        <v>5.25</v>
      </c>
      <c r="AK915" s="418">
        <f t="shared" si="272"/>
        <v>5.5670103092783503</v>
      </c>
      <c r="AL915" s="374">
        <f t="shared" si="273"/>
        <v>0.94305555555555565</v>
      </c>
      <c r="AM915" s="372">
        <f t="shared" si="274"/>
        <v>0.52180095996732034</v>
      </c>
      <c r="AN915" s="799">
        <v>0.52180095996732034</v>
      </c>
      <c r="AO915" s="448" t="s">
        <v>3660</v>
      </c>
      <c r="AP915" s="440">
        <v>0</v>
      </c>
      <c r="AQ915" s="440">
        <v>0</v>
      </c>
      <c r="AR915" s="440">
        <v>0</v>
      </c>
      <c r="AS915" s="440">
        <v>0</v>
      </c>
      <c r="AT915" s="440">
        <v>0</v>
      </c>
      <c r="AU915" s="440">
        <v>30</v>
      </c>
      <c r="AV915" s="440">
        <v>30</v>
      </c>
      <c r="AW915" s="440">
        <v>30</v>
      </c>
      <c r="AX915" s="440">
        <v>0</v>
      </c>
      <c r="AY915" s="440">
        <v>0</v>
      </c>
      <c r="AZ915" s="440">
        <v>0</v>
      </c>
      <c r="BA915" s="440">
        <v>0</v>
      </c>
      <c r="BB915" s="440">
        <v>0</v>
      </c>
      <c r="BC915" s="440">
        <v>0</v>
      </c>
      <c r="BD915" s="440">
        <v>0</v>
      </c>
      <c r="BE915" s="440">
        <v>0</v>
      </c>
      <c r="BF915" s="440">
        <v>0</v>
      </c>
      <c r="BG915" s="440">
        <v>0</v>
      </c>
      <c r="BH915" s="440">
        <v>0</v>
      </c>
      <c r="BI915" s="440">
        <v>0</v>
      </c>
      <c r="BJ915" s="440">
        <v>0</v>
      </c>
      <c r="BK915" s="440">
        <v>120</v>
      </c>
      <c r="BL915" s="440">
        <v>0</v>
      </c>
      <c r="BM915" s="440">
        <v>0</v>
      </c>
      <c r="BN915" s="440">
        <v>0</v>
      </c>
      <c r="BO915" s="440">
        <v>0</v>
      </c>
      <c r="BP915" s="440">
        <v>0</v>
      </c>
      <c r="BQ915" s="440">
        <v>0</v>
      </c>
      <c r="BR915" s="415">
        <v>3.5</v>
      </c>
      <c r="BS915" s="415">
        <v>3.5</v>
      </c>
      <c r="BT915" s="935"/>
      <c r="BU915" s="935"/>
      <c r="BV915" s="935"/>
      <c r="BW915" s="935"/>
      <c r="BX915" s="935"/>
      <c r="BY915" s="935"/>
      <c r="BZ915" s="935"/>
      <c r="CA915" s="935"/>
      <c r="CB915" s="935"/>
      <c r="CC915" s="935"/>
      <c r="CD915" s="935"/>
      <c r="CE915" s="935"/>
      <c r="CF915" s="935"/>
      <c r="CG915" s="935"/>
      <c r="CH915" s="935"/>
      <c r="CI915" s="935"/>
      <c r="CJ915" s="935"/>
      <c r="CK915" s="935"/>
      <c r="CL915" s="935"/>
      <c r="CM915" s="935"/>
      <c r="CN915" s="935"/>
      <c r="CO915" s="935"/>
      <c r="CP915" s="935"/>
      <c r="CQ915" s="935"/>
      <c r="CR915" s="935"/>
      <c r="CS915" s="935"/>
      <c r="CT915" s="935"/>
      <c r="CU915" s="935"/>
      <c r="CV915" s="935"/>
    </row>
    <row r="916" spans="1:100" s="441" customFormat="1">
      <c r="A916" s="375">
        <f t="shared" si="260"/>
        <v>10</v>
      </c>
      <c r="B916" s="862">
        <v>44482</v>
      </c>
      <c r="C916" s="493" t="s">
        <v>1980</v>
      </c>
      <c r="D916" s="376" t="str">
        <f>IFERROR(VLOOKUP(E:E,'Item Data Support Sheet'!A:O,7,0),"")</f>
        <v>CAP MOLDED</v>
      </c>
      <c r="E916" s="447" t="s">
        <v>2109</v>
      </c>
      <c r="F916" s="500"/>
      <c r="G916" s="497" t="s">
        <v>3212</v>
      </c>
      <c r="H916" s="602" t="str">
        <f>IFERROR(VLOOKUP(E:E,'Item Data Support Sheet'!A:O,2,0),"")</f>
        <v>CAP S TYPE MOLDED PALE BLUE</v>
      </c>
      <c r="I916" s="501" t="s">
        <v>3661</v>
      </c>
      <c r="J916" s="501" t="s">
        <v>2808</v>
      </c>
      <c r="K916" s="499">
        <v>2.2999999999999998</v>
      </c>
      <c r="L916" s="499">
        <v>1200</v>
      </c>
      <c r="M916" s="366">
        <v>521.73913043478262</v>
      </c>
      <c r="N916" s="367">
        <f t="shared" si="259"/>
        <v>1290</v>
      </c>
      <c r="O916" s="61">
        <v>1290</v>
      </c>
      <c r="P916" s="368">
        <v>0</v>
      </c>
      <c r="Q916" s="368">
        <v>0</v>
      </c>
      <c r="R916" s="494">
        <v>0</v>
      </c>
      <c r="S916" s="493">
        <v>0</v>
      </c>
      <c r="T916" s="494">
        <v>0</v>
      </c>
      <c r="U916" s="493">
        <v>0</v>
      </c>
      <c r="V916" s="502">
        <v>1</v>
      </c>
      <c r="W916" s="453">
        <f t="shared" si="261"/>
        <v>1290</v>
      </c>
      <c r="X916" s="748">
        <f t="shared" si="262"/>
        <v>1.075</v>
      </c>
      <c r="Y916" s="451" t="str">
        <f>IFERROR(VLOOKUP(E:E,'Item Data Support Sheet'!A:J,6,0),0)</f>
        <v>RM000115</v>
      </c>
      <c r="Z916" s="428">
        <f>IFERROR(VLOOKUP(E:E,'Item Data Support Sheet'!A:O,4,0),0)</f>
        <v>7.3</v>
      </c>
      <c r="AA916" s="428">
        <f t="shared" si="263"/>
        <v>9.4169999999999998</v>
      </c>
      <c r="AB916" s="429">
        <f t="shared" si="264"/>
        <v>1</v>
      </c>
      <c r="AC916" s="424">
        <f t="shared" si="265"/>
        <v>0</v>
      </c>
      <c r="AD916" s="371">
        <f t="shared" si="266"/>
        <v>0</v>
      </c>
      <c r="AE916" s="748">
        <f t="shared" si="267"/>
        <v>1</v>
      </c>
      <c r="AF916" s="417">
        <f t="shared" si="268"/>
        <v>0.5</v>
      </c>
      <c r="AG916" s="416">
        <f t="shared" si="269"/>
        <v>1.7999999999999998</v>
      </c>
      <c r="AH916" s="372">
        <f t="shared" si="270"/>
        <v>0.78260869565217395</v>
      </c>
      <c r="AI916" s="373">
        <f t="shared" si="271"/>
        <v>560.86956521739137</v>
      </c>
      <c r="AJ916" s="418">
        <f>VLOOKUP(D916,'Standard Cycle time'!C:D,2,0)</f>
        <v>6</v>
      </c>
      <c r="AK916" s="418">
        <f t="shared" si="272"/>
        <v>5.0232558139534875</v>
      </c>
      <c r="AL916" s="374">
        <f t="shared" si="273"/>
        <v>1.1944444444444446</v>
      </c>
      <c r="AM916" s="372">
        <f t="shared" si="274"/>
        <v>0.93478260869565233</v>
      </c>
      <c r="AN916" s="799">
        <v>0.93478260869565233</v>
      </c>
      <c r="AO916" s="448" t="s">
        <v>3662</v>
      </c>
      <c r="AP916" s="440">
        <v>0</v>
      </c>
      <c r="AQ916" s="440">
        <v>0</v>
      </c>
      <c r="AR916" s="440">
        <v>0</v>
      </c>
      <c r="AS916" s="440">
        <v>0</v>
      </c>
      <c r="AT916" s="440">
        <v>0</v>
      </c>
      <c r="AU916" s="440">
        <v>0</v>
      </c>
      <c r="AV916" s="440">
        <v>0</v>
      </c>
      <c r="AW916" s="440">
        <v>0</v>
      </c>
      <c r="AX916" s="440">
        <v>0</v>
      </c>
      <c r="AY916" s="440">
        <v>0</v>
      </c>
      <c r="AZ916" s="440">
        <v>30</v>
      </c>
      <c r="BA916" s="440">
        <v>0</v>
      </c>
      <c r="BB916" s="440">
        <v>0</v>
      </c>
      <c r="BC916" s="440">
        <v>0</v>
      </c>
      <c r="BD916" s="440">
        <v>0</v>
      </c>
      <c r="BE916" s="440">
        <v>0</v>
      </c>
      <c r="BF916" s="440">
        <v>0</v>
      </c>
      <c r="BG916" s="440">
        <v>0</v>
      </c>
      <c r="BH916" s="440">
        <v>0</v>
      </c>
      <c r="BI916" s="440">
        <v>0</v>
      </c>
      <c r="BJ916" s="440">
        <v>0</v>
      </c>
      <c r="BK916" s="440">
        <v>0</v>
      </c>
      <c r="BL916" s="440">
        <v>0</v>
      </c>
      <c r="BM916" s="440">
        <v>0</v>
      </c>
      <c r="BN916" s="440">
        <v>0</v>
      </c>
      <c r="BO916" s="440">
        <v>0</v>
      </c>
      <c r="BP916" s="440">
        <v>0</v>
      </c>
      <c r="BQ916" s="440">
        <v>0</v>
      </c>
      <c r="BR916" s="415">
        <v>0.5</v>
      </c>
      <c r="BS916" s="415">
        <v>0.5</v>
      </c>
      <c r="BT916" s="935"/>
      <c r="BU916" s="935"/>
      <c r="BV916" s="935"/>
      <c r="BW916" s="935"/>
      <c r="BX916" s="935"/>
      <c r="BY916" s="935"/>
      <c r="BZ916" s="935"/>
      <c r="CA916" s="935"/>
      <c r="CB916" s="935"/>
      <c r="CC916" s="935"/>
      <c r="CD916" s="935"/>
      <c r="CE916" s="935"/>
      <c r="CF916" s="935"/>
      <c r="CG916" s="935"/>
      <c r="CH916" s="935"/>
      <c r="CI916" s="935"/>
      <c r="CJ916" s="935"/>
      <c r="CK916" s="935"/>
      <c r="CL916" s="935"/>
      <c r="CM916" s="935"/>
      <c r="CN916" s="935"/>
      <c r="CO916" s="935"/>
      <c r="CP916" s="935"/>
      <c r="CQ916" s="935"/>
      <c r="CR916" s="935"/>
      <c r="CS916" s="935"/>
      <c r="CT916" s="935"/>
      <c r="CU916" s="935"/>
      <c r="CV916" s="935"/>
    </row>
    <row r="917" spans="1:100" s="441" customFormat="1">
      <c r="A917" s="375">
        <f t="shared" si="260"/>
        <v>10</v>
      </c>
      <c r="B917" s="862">
        <v>44482</v>
      </c>
      <c r="C917" s="493" t="s">
        <v>1980</v>
      </c>
      <c r="D917" s="376" t="str">
        <f>IFERROR(VLOOKUP(E:E,'Item Data Support Sheet'!A:O,7,0),"")</f>
        <v>CAP MOLDED</v>
      </c>
      <c r="E917" s="447" t="s">
        <v>2110</v>
      </c>
      <c r="F917" s="500"/>
      <c r="G917" s="497" t="s">
        <v>3579</v>
      </c>
      <c r="H917" s="602" t="str">
        <f>IFERROR(VLOOKUP(E:E,'Item Data Support Sheet'!A:O,2,0),"")</f>
        <v>CAP S TYPE MOLDED WHITE</v>
      </c>
      <c r="I917" s="501" t="s">
        <v>3663</v>
      </c>
      <c r="J917" s="501" t="s">
        <v>2808</v>
      </c>
      <c r="K917" s="499">
        <v>5.7</v>
      </c>
      <c r="L917" s="499">
        <v>2937</v>
      </c>
      <c r="M917" s="366">
        <v>515.26315789473688</v>
      </c>
      <c r="N917" s="367">
        <f t="shared" si="259"/>
        <v>2808</v>
      </c>
      <c r="O917" s="61">
        <v>2800</v>
      </c>
      <c r="P917" s="368">
        <v>0</v>
      </c>
      <c r="Q917" s="368">
        <v>0</v>
      </c>
      <c r="R917" s="494">
        <v>0</v>
      </c>
      <c r="S917" s="493">
        <v>0</v>
      </c>
      <c r="T917" s="494">
        <v>0</v>
      </c>
      <c r="U917" s="493">
        <v>8</v>
      </c>
      <c r="V917" s="502">
        <v>1</v>
      </c>
      <c r="W917" s="453">
        <f t="shared" si="261"/>
        <v>2800</v>
      </c>
      <c r="X917" s="748">
        <f t="shared" si="262"/>
        <v>0.95335376234252633</v>
      </c>
      <c r="Y917" s="451" t="str">
        <f>IFERROR(VLOOKUP(E:E,'Item Data Support Sheet'!A:J,6,0),0)</f>
        <v>RM000106</v>
      </c>
      <c r="Z917" s="428">
        <f>IFERROR(VLOOKUP(E:E,'Item Data Support Sheet'!A:O,4,0),0)</f>
        <v>7.3</v>
      </c>
      <c r="AA917" s="428">
        <f t="shared" si="263"/>
        <v>20.4984</v>
      </c>
      <c r="AB917" s="429">
        <f t="shared" si="264"/>
        <v>0.9971509971509972</v>
      </c>
      <c r="AC917" s="424">
        <f t="shared" si="265"/>
        <v>0</v>
      </c>
      <c r="AD917" s="371">
        <f t="shared" si="266"/>
        <v>0</v>
      </c>
      <c r="AE917" s="748">
        <f t="shared" si="267"/>
        <v>1</v>
      </c>
      <c r="AF917" s="417">
        <f t="shared" si="268"/>
        <v>1.1666666666666667</v>
      </c>
      <c r="AG917" s="416">
        <f t="shared" si="269"/>
        <v>4.5333333333333332</v>
      </c>
      <c r="AH917" s="372">
        <f t="shared" si="270"/>
        <v>0.79532163742690054</v>
      </c>
      <c r="AI917" s="373">
        <f t="shared" si="271"/>
        <v>491.22807017543857</v>
      </c>
      <c r="AJ917" s="418">
        <f>VLOOKUP(D917,'Standard Cycle time'!C:D,2,0)</f>
        <v>6</v>
      </c>
      <c r="AK917" s="418">
        <f t="shared" si="272"/>
        <v>5.8285714285714283</v>
      </c>
      <c r="AL917" s="374">
        <f t="shared" si="273"/>
        <v>1.0294117647058825</v>
      </c>
      <c r="AM917" s="372">
        <f t="shared" si="274"/>
        <v>0.81871345029239773</v>
      </c>
      <c r="AN917" s="799">
        <v>0.81871345029239773</v>
      </c>
      <c r="AO917" s="448"/>
      <c r="AP917" s="440">
        <v>0</v>
      </c>
      <c r="AQ917" s="440">
        <v>0</v>
      </c>
      <c r="AR917" s="440">
        <v>0</v>
      </c>
      <c r="AS917" s="440">
        <v>0</v>
      </c>
      <c r="AT917" s="440">
        <v>0</v>
      </c>
      <c r="AU917" s="440">
        <v>0</v>
      </c>
      <c r="AV917" s="440">
        <v>30</v>
      </c>
      <c r="AW917" s="440">
        <v>30</v>
      </c>
      <c r="AX917" s="440">
        <v>0</v>
      </c>
      <c r="AY917" s="440">
        <v>0</v>
      </c>
      <c r="AZ917" s="440">
        <v>10</v>
      </c>
      <c r="BA917" s="440">
        <v>0</v>
      </c>
      <c r="BB917" s="440">
        <v>0</v>
      </c>
      <c r="BC917" s="440">
        <v>0</v>
      </c>
      <c r="BD917" s="440">
        <v>0</v>
      </c>
      <c r="BE917" s="440">
        <v>0</v>
      </c>
      <c r="BF917" s="440">
        <v>0</v>
      </c>
      <c r="BG917" s="440">
        <v>0</v>
      </c>
      <c r="BH917" s="440">
        <v>0</v>
      </c>
      <c r="BI917" s="440">
        <v>0</v>
      </c>
      <c r="BJ917" s="440">
        <v>0</v>
      </c>
      <c r="BK917" s="440">
        <v>0</v>
      </c>
      <c r="BL917" s="440">
        <v>0</v>
      </c>
      <c r="BM917" s="440">
        <v>0</v>
      </c>
      <c r="BN917" s="440">
        <v>0</v>
      </c>
      <c r="BO917" s="440">
        <v>0</v>
      </c>
      <c r="BP917" s="440">
        <v>0</v>
      </c>
      <c r="BQ917" s="440">
        <v>0</v>
      </c>
      <c r="BR917" s="415">
        <v>1.1666666666666667</v>
      </c>
      <c r="BS917" s="415">
        <v>1.1666666666666667</v>
      </c>
      <c r="BT917" s="935"/>
      <c r="BU917" s="935"/>
      <c r="BV917" s="935"/>
      <c r="BW917" s="935"/>
      <c r="BX917" s="935"/>
      <c r="BY917" s="935"/>
      <c r="BZ917" s="935"/>
      <c r="CA917" s="935"/>
      <c r="CB917" s="935"/>
      <c r="CC917" s="935"/>
      <c r="CD917" s="935"/>
      <c r="CE917" s="935"/>
      <c r="CF917" s="935"/>
      <c r="CG917" s="935"/>
      <c r="CH917" s="935"/>
      <c r="CI917" s="935"/>
      <c r="CJ917" s="935"/>
      <c r="CK917" s="935"/>
      <c r="CL917" s="935"/>
      <c r="CM917" s="935"/>
      <c r="CN917" s="935"/>
      <c r="CO917" s="935"/>
      <c r="CP917" s="935"/>
      <c r="CQ917" s="935"/>
      <c r="CR917" s="935"/>
      <c r="CS917" s="935"/>
      <c r="CT917" s="935"/>
      <c r="CU917" s="935"/>
      <c r="CV917" s="935"/>
    </row>
    <row r="918" spans="1:100" s="441" customFormat="1">
      <c r="A918" s="375">
        <f t="shared" si="260"/>
        <v>10</v>
      </c>
      <c r="B918" s="862">
        <v>44482</v>
      </c>
      <c r="C918" s="493" t="s">
        <v>1980</v>
      </c>
      <c r="D918" s="376" t="str">
        <f>IFERROR(VLOOKUP(E:E,'Item Data Support Sheet'!A:O,7,0),"")</f>
        <v>NIPPLE PUNCH</v>
      </c>
      <c r="E918" s="447" t="s">
        <v>82</v>
      </c>
      <c r="F918" s="500"/>
      <c r="G918" s="497" t="s">
        <v>1692</v>
      </c>
      <c r="H918" s="602" t="str">
        <f>IFERROR(VLOOKUP(E:E,'Item Data Support Sheet'!A:O,2,0),"")</f>
        <v>NIPPLE S TYPE L SIZE PUNCHED</v>
      </c>
      <c r="I918" s="501" t="s">
        <v>3664</v>
      </c>
      <c r="J918" s="501" t="s">
        <v>2808</v>
      </c>
      <c r="K918" s="499">
        <v>8</v>
      </c>
      <c r="L918" s="499">
        <v>7000</v>
      </c>
      <c r="M918" s="366">
        <v>875</v>
      </c>
      <c r="N918" s="367">
        <f t="shared" si="259"/>
        <v>5500</v>
      </c>
      <c r="O918" s="61">
        <v>5500</v>
      </c>
      <c r="P918" s="368">
        <v>0</v>
      </c>
      <c r="Q918" s="368">
        <v>0</v>
      </c>
      <c r="R918" s="494">
        <v>0</v>
      </c>
      <c r="S918" s="493">
        <v>0</v>
      </c>
      <c r="T918" s="494">
        <v>0</v>
      </c>
      <c r="U918" s="493">
        <v>0</v>
      </c>
      <c r="V918" s="502">
        <v>1</v>
      </c>
      <c r="W918" s="453">
        <f t="shared" si="261"/>
        <v>5500</v>
      </c>
      <c r="X918" s="748">
        <f t="shared" si="262"/>
        <v>0.7857142857142857</v>
      </c>
      <c r="Y918" s="451" t="str">
        <f>IFERROR(VLOOKUP(E:E,'Item Data Support Sheet'!A:J,6,0),0)</f>
        <v>FO017</v>
      </c>
      <c r="Z918" s="428">
        <f>IFERROR(VLOOKUP(E:E,'Item Data Support Sheet'!A:O,4,0),0)</f>
        <v>0</v>
      </c>
      <c r="AA918" s="428">
        <f t="shared" si="263"/>
        <v>0</v>
      </c>
      <c r="AB918" s="429" t="str">
        <f t="shared" si="264"/>
        <v xml:space="preserve"> </v>
      </c>
      <c r="AC918" s="424">
        <f t="shared" si="265"/>
        <v>0</v>
      </c>
      <c r="AD918" s="371">
        <f t="shared" si="266"/>
        <v>0</v>
      </c>
      <c r="AE918" s="748">
        <f t="shared" si="267"/>
        <v>1</v>
      </c>
      <c r="AF918" s="417">
        <f t="shared" si="268"/>
        <v>2.6666666666666665</v>
      </c>
      <c r="AG918" s="416">
        <f t="shared" si="269"/>
        <v>5.3333333333333339</v>
      </c>
      <c r="AH918" s="372">
        <f t="shared" si="270"/>
        <v>0.66666666666666674</v>
      </c>
      <c r="AI918" s="373">
        <f t="shared" si="271"/>
        <v>687.5</v>
      </c>
      <c r="AJ918" s="418">
        <f>VLOOKUP(D918,'Standard Cycle time'!C:D,2,0)</f>
        <v>3.5</v>
      </c>
      <c r="AK918" s="418">
        <f t="shared" si="272"/>
        <v>3.4909090909090916</v>
      </c>
      <c r="AL918" s="374">
        <f t="shared" si="273"/>
        <v>1.0026041666666665</v>
      </c>
      <c r="AM918" s="372">
        <f t="shared" si="274"/>
        <v>0.66840277777777779</v>
      </c>
      <c r="AN918" s="799">
        <v>0.66840277777777779</v>
      </c>
      <c r="AO918" s="448" t="s">
        <v>2994</v>
      </c>
      <c r="AP918" s="440">
        <v>40</v>
      </c>
      <c r="AQ918" s="440">
        <v>0</v>
      </c>
      <c r="AR918" s="440">
        <v>0</v>
      </c>
      <c r="AS918" s="440">
        <v>0</v>
      </c>
      <c r="AT918" s="440">
        <v>120</v>
      </c>
      <c r="AU918" s="440">
        <v>0</v>
      </c>
      <c r="AV918" s="440">
        <v>0</v>
      </c>
      <c r="AW918" s="440">
        <v>0</v>
      </c>
      <c r="AX918" s="440">
        <v>0</v>
      </c>
      <c r="AY918" s="440">
        <v>0</v>
      </c>
      <c r="AZ918" s="440">
        <v>0</v>
      </c>
      <c r="BA918" s="440">
        <v>0</v>
      </c>
      <c r="BB918" s="440">
        <v>0</v>
      </c>
      <c r="BC918" s="440">
        <v>0</v>
      </c>
      <c r="BD918" s="440">
        <v>0</v>
      </c>
      <c r="BE918" s="440">
        <v>0</v>
      </c>
      <c r="BF918" s="440">
        <v>0</v>
      </c>
      <c r="BG918" s="440">
        <v>0</v>
      </c>
      <c r="BH918" s="440">
        <v>0</v>
      </c>
      <c r="BI918" s="440">
        <v>0</v>
      </c>
      <c r="BJ918" s="440">
        <v>0</v>
      </c>
      <c r="BK918" s="440">
        <v>0</v>
      </c>
      <c r="BL918" s="440">
        <v>0</v>
      </c>
      <c r="BM918" s="440">
        <v>0</v>
      </c>
      <c r="BN918" s="440">
        <v>0</v>
      </c>
      <c r="BO918" s="440">
        <v>0</v>
      </c>
      <c r="BP918" s="440">
        <v>0</v>
      </c>
      <c r="BQ918" s="440">
        <v>0</v>
      </c>
      <c r="BR918" s="415">
        <v>2.6666666666666665</v>
      </c>
      <c r="BS918" s="415">
        <v>2.6666666666666665</v>
      </c>
      <c r="BT918" s="935"/>
      <c r="BU918" s="935"/>
      <c r="BV918" s="935"/>
      <c r="BW918" s="935"/>
      <c r="BX918" s="935"/>
      <c r="BY918" s="935"/>
      <c r="BZ918" s="935"/>
      <c r="CA918" s="935"/>
      <c r="CB918" s="935"/>
      <c r="CC918" s="935"/>
      <c r="CD918" s="935"/>
      <c r="CE918" s="935"/>
      <c r="CF918" s="935"/>
      <c r="CG918" s="935"/>
      <c r="CH918" s="935"/>
      <c r="CI918" s="935"/>
      <c r="CJ918" s="935"/>
      <c r="CK918" s="935"/>
      <c r="CL918" s="935"/>
      <c r="CM918" s="935"/>
      <c r="CN918" s="935"/>
      <c r="CO918" s="935"/>
      <c r="CP918" s="935"/>
      <c r="CQ918" s="935"/>
      <c r="CR918" s="935"/>
      <c r="CS918" s="935"/>
      <c r="CT918" s="935"/>
      <c r="CU918" s="935"/>
      <c r="CV918" s="935"/>
    </row>
    <row r="919" spans="1:100" s="441" customFormat="1">
      <c r="A919" s="375">
        <f t="shared" si="260"/>
        <v>10</v>
      </c>
      <c r="B919" s="862">
        <v>44482</v>
      </c>
      <c r="C919" s="493" t="s">
        <v>1980</v>
      </c>
      <c r="D919" s="376" t="str">
        <f>IFERROR(VLOOKUP(E:E,'Item Data Support Sheet'!A:O,7,0),"")</f>
        <v>NIPPLE LASER MARKING</v>
      </c>
      <c r="E919" s="447" t="s">
        <v>1816</v>
      </c>
      <c r="F919" s="500"/>
      <c r="G919" s="497" t="s">
        <v>1812</v>
      </c>
      <c r="H919" s="602" t="str">
        <f>IFERROR(VLOOKUP(E:E,'Item Data Support Sheet'!A:O,2,0),"")</f>
        <v>NIPPLE S TYPE L SIZE PUNCHED LASER MARKED</v>
      </c>
      <c r="I919" s="501" t="s">
        <v>3665</v>
      </c>
      <c r="J919" s="501" t="s">
        <v>2808</v>
      </c>
      <c r="K919" s="499">
        <v>8</v>
      </c>
      <c r="L919" s="499">
        <v>7000</v>
      </c>
      <c r="M919" s="366">
        <v>875</v>
      </c>
      <c r="N919" s="367">
        <f t="shared" si="259"/>
        <v>6850</v>
      </c>
      <c r="O919" s="61">
        <v>6850</v>
      </c>
      <c r="P919" s="368">
        <v>0</v>
      </c>
      <c r="Q919" s="368">
        <v>0</v>
      </c>
      <c r="R919" s="494">
        <v>0</v>
      </c>
      <c r="S919" s="493">
        <v>0</v>
      </c>
      <c r="T919" s="494">
        <v>0</v>
      </c>
      <c r="U919" s="493">
        <v>0</v>
      </c>
      <c r="V919" s="502">
        <v>1</v>
      </c>
      <c r="W919" s="453">
        <f t="shared" si="261"/>
        <v>6850</v>
      </c>
      <c r="X919" s="748">
        <f t="shared" si="262"/>
        <v>0.97857142857142854</v>
      </c>
      <c r="Y919" s="451" t="str">
        <f>IFERROR(VLOOKUP(E:E,'Item Data Support Sheet'!A:J,6,0),0)</f>
        <v>FO021</v>
      </c>
      <c r="Z919" s="428">
        <f>IFERROR(VLOOKUP(E:E,'Item Data Support Sheet'!A:O,4,0),0)</f>
        <v>0</v>
      </c>
      <c r="AA919" s="428">
        <f t="shared" si="263"/>
        <v>0</v>
      </c>
      <c r="AB919" s="429" t="str">
        <f t="shared" si="264"/>
        <v xml:space="preserve"> </v>
      </c>
      <c r="AC919" s="424">
        <f t="shared" si="265"/>
        <v>0</v>
      </c>
      <c r="AD919" s="371">
        <f t="shared" si="266"/>
        <v>0</v>
      </c>
      <c r="AE919" s="748">
        <f t="shared" si="267"/>
        <v>1</v>
      </c>
      <c r="AF919" s="417">
        <f t="shared" si="268"/>
        <v>0.66666666666666663</v>
      </c>
      <c r="AG919" s="416">
        <f t="shared" si="269"/>
        <v>7.333333333333333</v>
      </c>
      <c r="AH919" s="372">
        <f t="shared" si="270"/>
        <v>0.91666666666666663</v>
      </c>
      <c r="AI919" s="373">
        <f t="shared" si="271"/>
        <v>856.25</v>
      </c>
      <c r="AJ919" s="418">
        <f>VLOOKUP(D919,'Standard Cycle time'!C:D,2,0)</f>
        <v>3.5</v>
      </c>
      <c r="AK919" s="418">
        <f t="shared" si="272"/>
        <v>3.8540145985401462</v>
      </c>
      <c r="AL919" s="374">
        <f t="shared" si="273"/>
        <v>0.90814393939393934</v>
      </c>
      <c r="AM919" s="372">
        <f t="shared" si="274"/>
        <v>0.83246527777777768</v>
      </c>
      <c r="AN919" s="799">
        <v>0.83246527777777768</v>
      </c>
      <c r="AO919" s="448"/>
      <c r="AP919" s="440">
        <v>40</v>
      </c>
      <c r="AQ919" s="440">
        <v>0</v>
      </c>
      <c r="AR919" s="440">
        <v>0</v>
      </c>
      <c r="AS919" s="440">
        <v>0</v>
      </c>
      <c r="AT919" s="440">
        <v>0</v>
      </c>
      <c r="AU919" s="440">
        <v>0</v>
      </c>
      <c r="AV919" s="440">
        <v>0</v>
      </c>
      <c r="AW919" s="440">
        <v>0</v>
      </c>
      <c r="AX919" s="440">
        <v>0</v>
      </c>
      <c r="AY919" s="440">
        <v>0</v>
      </c>
      <c r="AZ919" s="440">
        <v>0</v>
      </c>
      <c r="BA919" s="440">
        <v>0</v>
      </c>
      <c r="BB919" s="440">
        <v>0</v>
      </c>
      <c r="BC919" s="440">
        <v>0</v>
      </c>
      <c r="BD919" s="440">
        <v>0</v>
      </c>
      <c r="BE919" s="440">
        <v>0</v>
      </c>
      <c r="BF919" s="440">
        <v>0</v>
      </c>
      <c r="BG919" s="440">
        <v>0</v>
      </c>
      <c r="BH919" s="440">
        <v>0</v>
      </c>
      <c r="BI919" s="440">
        <v>0</v>
      </c>
      <c r="BJ919" s="440">
        <v>0</v>
      </c>
      <c r="BK919" s="440">
        <v>0</v>
      </c>
      <c r="BL919" s="440">
        <v>0</v>
      </c>
      <c r="BM919" s="440">
        <v>0</v>
      </c>
      <c r="BN919" s="440">
        <v>0</v>
      </c>
      <c r="BO919" s="440">
        <v>0</v>
      </c>
      <c r="BP919" s="440">
        <v>0</v>
      </c>
      <c r="BQ919" s="440">
        <v>0</v>
      </c>
      <c r="BR919" s="415">
        <v>0.66666666666666663</v>
      </c>
      <c r="BS919" s="415">
        <v>0.66666666666666663</v>
      </c>
      <c r="BT919" s="935"/>
      <c r="BU919" s="935"/>
      <c r="BV919" s="935"/>
      <c r="BW919" s="935"/>
      <c r="BX919" s="935"/>
      <c r="BY919" s="935"/>
      <c r="BZ919" s="935"/>
      <c r="CA919" s="935"/>
      <c r="CB919" s="935"/>
      <c r="CC919" s="935"/>
      <c r="CD919" s="935"/>
      <c r="CE919" s="935"/>
      <c r="CF919" s="935"/>
      <c r="CG919" s="935"/>
      <c r="CH919" s="935"/>
      <c r="CI919" s="935"/>
      <c r="CJ919" s="935"/>
      <c r="CK919" s="935"/>
      <c r="CL919" s="935"/>
      <c r="CM919" s="935"/>
      <c r="CN919" s="935"/>
      <c r="CO919" s="935"/>
      <c r="CP919" s="935"/>
      <c r="CQ919" s="935"/>
      <c r="CR919" s="935"/>
      <c r="CS919" s="935"/>
      <c r="CT919" s="935"/>
      <c r="CU919" s="935"/>
      <c r="CV919" s="935"/>
    </row>
    <row r="920" spans="1:100" s="441" customFormat="1">
      <c r="A920" s="375">
        <f t="shared" si="260"/>
        <v>10</v>
      </c>
      <c r="B920" s="862">
        <v>44482</v>
      </c>
      <c r="C920" s="493" t="s">
        <v>2000</v>
      </c>
      <c r="D920" s="376" t="str">
        <f>IFERROR(VLOOKUP(E:E,'Item Data Support Sheet'!A:O,7,0),"")</f>
        <v>NIPPLE WRAP PRINTED</v>
      </c>
      <c r="E920" s="447" t="s">
        <v>2091</v>
      </c>
      <c r="F920" s="500"/>
      <c r="G920" s="497" t="s">
        <v>1693</v>
      </c>
      <c r="H920" s="602" t="str">
        <f>IFERROR(VLOOKUP(E:E,'Item Data Support Sheet'!A:O,2,0),"")</f>
        <v>NIPPLE S TYPE LL SIZE WRAPPED</v>
      </c>
      <c r="I920" s="501" t="s">
        <v>3581</v>
      </c>
      <c r="J920" s="501" t="s">
        <v>2811</v>
      </c>
      <c r="K920" s="499">
        <v>8</v>
      </c>
      <c r="L920" s="499">
        <v>16137</v>
      </c>
      <c r="M920" s="366">
        <v>2017.125</v>
      </c>
      <c r="N920" s="367">
        <f t="shared" si="259"/>
        <v>16530</v>
      </c>
      <c r="O920" s="61">
        <v>16516</v>
      </c>
      <c r="P920" s="368">
        <v>0</v>
      </c>
      <c r="Q920" s="368">
        <v>0</v>
      </c>
      <c r="R920" s="494">
        <v>0</v>
      </c>
      <c r="S920" s="493">
        <v>0</v>
      </c>
      <c r="T920" s="494">
        <v>14</v>
      </c>
      <c r="U920" s="493">
        <v>0</v>
      </c>
      <c r="V920" s="502">
        <v>2</v>
      </c>
      <c r="W920" s="453">
        <f t="shared" si="261"/>
        <v>8258</v>
      </c>
      <c r="X920" s="748">
        <f t="shared" si="262"/>
        <v>1.0234863977195265</v>
      </c>
      <c r="Y920" s="451" t="str">
        <f>IFERROR(VLOOKUP(E:E,'Item Data Support Sheet'!A:J,6,0),0)</f>
        <v>FO141</v>
      </c>
      <c r="Z920" s="428">
        <f>IFERROR(VLOOKUP(E:E,'Item Data Support Sheet'!A:O,4,0),0)</f>
        <v>0</v>
      </c>
      <c r="AA920" s="428">
        <f t="shared" si="263"/>
        <v>0</v>
      </c>
      <c r="AB920" s="429" t="str">
        <f t="shared" si="264"/>
        <v xml:space="preserve"> </v>
      </c>
      <c r="AC920" s="424">
        <f t="shared" si="265"/>
        <v>8.4694494857834237E-4</v>
      </c>
      <c r="AD920" s="371">
        <f t="shared" si="266"/>
        <v>0</v>
      </c>
      <c r="AE920" s="748">
        <f t="shared" si="267"/>
        <v>0.99915305505142171</v>
      </c>
      <c r="AF920" s="417">
        <f t="shared" si="268"/>
        <v>0.83333333333333337</v>
      </c>
      <c r="AG920" s="416">
        <f t="shared" si="269"/>
        <v>7.166666666666667</v>
      </c>
      <c r="AH920" s="372">
        <f t="shared" si="270"/>
        <v>0.89583333333333337</v>
      </c>
      <c r="AI920" s="373">
        <f t="shared" si="271"/>
        <v>2064.5</v>
      </c>
      <c r="AJ920" s="418">
        <f>VLOOKUP(D920,'Standard Cycle time'!C:D,2,0)</f>
        <v>2.5</v>
      </c>
      <c r="AK920" s="418">
        <f t="shared" si="272"/>
        <v>3.1242431581496732</v>
      </c>
      <c r="AL920" s="374">
        <f t="shared" si="273"/>
        <v>0.80019379844961236</v>
      </c>
      <c r="AM920" s="372">
        <f t="shared" si="274"/>
        <v>0.71623315352557637</v>
      </c>
      <c r="AN920" s="799">
        <v>0.71623315352557637</v>
      </c>
      <c r="AO920" s="448"/>
      <c r="AP920" s="440">
        <v>50</v>
      </c>
      <c r="AQ920" s="440">
        <v>0</v>
      </c>
      <c r="AR920" s="440">
        <v>0</v>
      </c>
      <c r="AS920" s="440">
        <v>0</v>
      </c>
      <c r="AT920" s="440">
        <v>0</v>
      </c>
      <c r="AU920" s="440">
        <v>0</v>
      </c>
      <c r="AV920" s="440">
        <v>0</v>
      </c>
      <c r="AW920" s="440">
        <v>0</v>
      </c>
      <c r="AX920" s="440">
        <v>0</v>
      </c>
      <c r="AY920" s="440">
        <v>0</v>
      </c>
      <c r="AZ920" s="440">
        <v>0</v>
      </c>
      <c r="BA920" s="440">
        <v>0</v>
      </c>
      <c r="BB920" s="440">
        <v>0</v>
      </c>
      <c r="BC920" s="440">
        <v>0</v>
      </c>
      <c r="BD920" s="440">
        <v>0</v>
      </c>
      <c r="BE920" s="440">
        <v>0</v>
      </c>
      <c r="BF920" s="440">
        <v>0</v>
      </c>
      <c r="BG920" s="440">
        <v>0</v>
      </c>
      <c r="BH920" s="440">
        <v>0</v>
      </c>
      <c r="BI920" s="440">
        <v>0</v>
      </c>
      <c r="BJ920" s="440">
        <v>0</v>
      </c>
      <c r="BK920" s="440">
        <v>0</v>
      </c>
      <c r="BL920" s="440">
        <v>0</v>
      </c>
      <c r="BM920" s="440">
        <v>0</v>
      </c>
      <c r="BN920" s="440">
        <v>0</v>
      </c>
      <c r="BO920" s="440">
        <v>0</v>
      </c>
      <c r="BP920" s="440">
        <v>0</v>
      </c>
      <c r="BQ920" s="440">
        <v>0</v>
      </c>
      <c r="BR920" s="415">
        <v>0.83333333333333337</v>
      </c>
      <c r="BS920" s="415">
        <v>0.83333333333333337</v>
      </c>
      <c r="BT920" s="935"/>
      <c r="BU920" s="935"/>
      <c r="BV920" s="935"/>
      <c r="BW920" s="935"/>
      <c r="BX920" s="935"/>
      <c r="BY920" s="935"/>
      <c r="BZ920" s="935"/>
      <c r="CA920" s="935"/>
      <c r="CB920" s="935"/>
      <c r="CC920" s="935"/>
      <c r="CD920" s="935"/>
      <c r="CE920" s="935"/>
      <c r="CF920" s="935"/>
      <c r="CG920" s="935"/>
      <c r="CH920" s="935"/>
      <c r="CI920" s="935"/>
      <c r="CJ920" s="935"/>
      <c r="CK920" s="935"/>
      <c r="CL920" s="935"/>
      <c r="CM920" s="935"/>
      <c r="CN920" s="935"/>
      <c r="CO920" s="935"/>
      <c r="CP920" s="935"/>
      <c r="CQ920" s="935"/>
      <c r="CR920" s="935"/>
      <c r="CS920" s="935"/>
      <c r="CT920" s="935"/>
      <c r="CU920" s="935"/>
      <c r="CV920" s="935"/>
    </row>
    <row r="921" spans="1:100" s="441" customFormat="1">
      <c r="A921" s="375">
        <f t="shared" si="260"/>
        <v>10</v>
      </c>
      <c r="B921" s="862">
        <v>44482</v>
      </c>
      <c r="C921" s="493" t="s">
        <v>2000</v>
      </c>
      <c r="D921" s="376" t="str">
        <f>IFERROR(VLOOKUP(E:E,'Item Data Support Sheet'!A:O,7,0),"")</f>
        <v>NIPPLE PUNCH INSPECTED</v>
      </c>
      <c r="E921" s="447" t="s">
        <v>1820</v>
      </c>
      <c r="F921" s="500"/>
      <c r="G921" s="497"/>
      <c r="H921" s="602" t="str">
        <f>IFERROR(VLOOKUP(E:E,'Item Data Support Sheet'!A:O,2,0),"")</f>
        <v>NIPPLE S TYPE L SIZE PUNCHED INSPECTED</v>
      </c>
      <c r="I921" s="501" t="s">
        <v>3667</v>
      </c>
      <c r="J921" s="501" t="s">
        <v>2811</v>
      </c>
      <c r="K921" s="499">
        <v>8</v>
      </c>
      <c r="L921" s="499">
        <v>14137</v>
      </c>
      <c r="M921" s="366">
        <v>1767.125</v>
      </c>
      <c r="N921" s="367">
        <f t="shared" si="259"/>
        <v>14250</v>
      </c>
      <c r="O921" s="61">
        <v>14223</v>
      </c>
      <c r="P921" s="368">
        <v>0</v>
      </c>
      <c r="Q921" s="368">
        <v>0</v>
      </c>
      <c r="R921" s="494">
        <v>0</v>
      </c>
      <c r="S921" s="493">
        <v>0</v>
      </c>
      <c r="T921" s="494">
        <v>27</v>
      </c>
      <c r="U921" s="493">
        <v>0</v>
      </c>
      <c r="V921" s="502">
        <v>1</v>
      </c>
      <c r="W921" s="453">
        <f t="shared" si="261"/>
        <v>14223</v>
      </c>
      <c r="X921" s="748">
        <f t="shared" si="262"/>
        <v>1.0060833274386363</v>
      </c>
      <c r="Y921" s="451" t="str">
        <f>IFERROR(VLOOKUP(E:E,'Item Data Support Sheet'!A:J,6,0),0)</f>
        <v>FO106</v>
      </c>
      <c r="Z921" s="428">
        <f>IFERROR(VLOOKUP(E:E,'Item Data Support Sheet'!A:O,4,0),0)</f>
        <v>0</v>
      </c>
      <c r="AA921" s="428">
        <f t="shared" si="263"/>
        <v>0</v>
      </c>
      <c r="AB921" s="429" t="str">
        <f t="shared" si="264"/>
        <v xml:space="preserve"> </v>
      </c>
      <c r="AC921" s="424">
        <f t="shared" si="265"/>
        <v>1.8947368421052631E-3</v>
      </c>
      <c r="AD921" s="371">
        <f t="shared" si="266"/>
        <v>0</v>
      </c>
      <c r="AE921" s="748">
        <f t="shared" si="267"/>
        <v>0.99810526315789472</v>
      </c>
      <c r="AF921" s="417">
        <f t="shared" si="268"/>
        <v>0.83333333333333337</v>
      </c>
      <c r="AG921" s="416">
        <f t="shared" si="269"/>
        <v>7.166666666666667</v>
      </c>
      <c r="AH921" s="372">
        <f t="shared" si="270"/>
        <v>0.89583333333333337</v>
      </c>
      <c r="AI921" s="373">
        <f t="shared" si="271"/>
        <v>1777.875</v>
      </c>
      <c r="AJ921" s="418">
        <f>VLOOKUP(D921,'Standard Cycle time'!C:D,2,0)</f>
        <v>4</v>
      </c>
      <c r="AK921" s="418">
        <f t="shared" si="272"/>
        <v>1.8139632988820924</v>
      </c>
      <c r="AL921" s="374">
        <f t="shared" si="273"/>
        <v>2.2051162790697676</v>
      </c>
      <c r="AM921" s="372">
        <f t="shared" si="274"/>
        <v>1.9716737719298247</v>
      </c>
      <c r="AN921" s="799">
        <v>1.9716737719298247</v>
      </c>
      <c r="AO921" s="448"/>
      <c r="AP921" s="440">
        <v>50</v>
      </c>
      <c r="AQ921" s="440">
        <v>0</v>
      </c>
      <c r="AR921" s="440">
        <v>0</v>
      </c>
      <c r="AS921" s="440">
        <v>0</v>
      </c>
      <c r="AT921" s="440">
        <v>0</v>
      </c>
      <c r="AU921" s="440">
        <v>0</v>
      </c>
      <c r="AV921" s="440">
        <v>0</v>
      </c>
      <c r="AW921" s="440">
        <v>0</v>
      </c>
      <c r="AX921" s="440">
        <v>0</v>
      </c>
      <c r="AY921" s="440">
        <v>0</v>
      </c>
      <c r="AZ921" s="440">
        <v>0</v>
      </c>
      <c r="BA921" s="440">
        <v>0</v>
      </c>
      <c r="BB921" s="440">
        <v>0</v>
      </c>
      <c r="BC921" s="440">
        <v>0</v>
      </c>
      <c r="BD921" s="440">
        <v>0</v>
      </c>
      <c r="BE921" s="440">
        <v>0</v>
      </c>
      <c r="BF921" s="440">
        <v>0</v>
      </c>
      <c r="BG921" s="440">
        <v>0</v>
      </c>
      <c r="BH921" s="440">
        <v>0</v>
      </c>
      <c r="BI921" s="440">
        <v>0</v>
      </c>
      <c r="BJ921" s="440">
        <v>0</v>
      </c>
      <c r="BK921" s="440">
        <v>0</v>
      </c>
      <c r="BL921" s="440">
        <v>0</v>
      </c>
      <c r="BM921" s="440">
        <v>0</v>
      </c>
      <c r="BN921" s="440">
        <v>0</v>
      </c>
      <c r="BO921" s="440">
        <v>0</v>
      </c>
      <c r="BP921" s="440">
        <v>0</v>
      </c>
      <c r="BQ921" s="440">
        <v>0</v>
      </c>
      <c r="BR921" s="415">
        <v>0.83333333333333337</v>
      </c>
      <c r="BS921" s="415">
        <v>0.83333333333333337</v>
      </c>
      <c r="BT921" s="935"/>
      <c r="BU921" s="935"/>
      <c r="BV921" s="935"/>
      <c r="BW921" s="935"/>
      <c r="BX921" s="935"/>
      <c r="BY921" s="935"/>
      <c r="BZ921" s="935"/>
      <c r="CA921" s="935"/>
      <c r="CB921" s="935"/>
      <c r="CC921" s="935"/>
      <c r="CD921" s="935"/>
      <c r="CE921" s="935"/>
      <c r="CF921" s="935"/>
      <c r="CG921" s="935"/>
      <c r="CH921" s="935"/>
      <c r="CI921" s="935"/>
      <c r="CJ921" s="935"/>
      <c r="CK921" s="935"/>
      <c r="CL921" s="935"/>
      <c r="CM921" s="935"/>
      <c r="CN921" s="935"/>
      <c r="CO921" s="935"/>
      <c r="CP921" s="935"/>
      <c r="CQ921" s="935"/>
      <c r="CR921" s="935"/>
      <c r="CS921" s="935"/>
      <c r="CT921" s="935"/>
      <c r="CU921" s="935"/>
      <c r="CV921" s="935"/>
    </row>
    <row r="922" spans="1:100" s="441" customFormat="1">
      <c r="A922" s="375">
        <f t="shared" si="260"/>
        <v>10</v>
      </c>
      <c r="B922" s="862">
        <v>44482</v>
      </c>
      <c r="C922" s="493" t="s">
        <v>2000</v>
      </c>
      <c r="D922" s="376" t="str">
        <f>IFERROR(VLOOKUP(E:E,'Item Data Support Sheet'!A:O,7,0),"")</f>
        <v>BOTTLE PRINTED</v>
      </c>
      <c r="E922" s="447" t="s">
        <v>1907</v>
      </c>
      <c r="F922" s="500"/>
      <c r="G922" s="497"/>
      <c r="H922" s="602" t="str">
        <f>IFERROR(VLOOKUP(E:E,'Item Data Support Sheet'!A:O,2,0),"")</f>
        <v>RPP 120 ML RPP PRINTED BEE</v>
      </c>
      <c r="I922" s="501" t="s">
        <v>3668</v>
      </c>
      <c r="J922" s="501" t="s">
        <v>2811</v>
      </c>
      <c r="K922" s="499">
        <v>2</v>
      </c>
      <c r="L922" s="499">
        <v>638</v>
      </c>
      <c r="M922" s="366">
        <v>319</v>
      </c>
      <c r="N922" s="367">
        <f t="shared" si="259"/>
        <v>607</v>
      </c>
      <c r="O922" s="61">
        <v>599</v>
      </c>
      <c r="P922" s="368">
        <v>0</v>
      </c>
      <c r="Q922" s="368">
        <v>0</v>
      </c>
      <c r="R922" s="494">
        <v>11</v>
      </c>
      <c r="S922" s="493">
        <v>0</v>
      </c>
      <c r="T922" s="494">
        <v>8</v>
      </c>
      <c r="U922" s="493">
        <v>0</v>
      </c>
      <c r="V922" s="502">
        <v>5</v>
      </c>
      <c r="W922" s="453">
        <f t="shared" si="261"/>
        <v>119.8</v>
      </c>
      <c r="X922" s="748">
        <f t="shared" si="262"/>
        <v>0.93887147335423193</v>
      </c>
      <c r="Y922" s="451" t="str">
        <f>IFERROR(VLOOKUP(E:E,'Item Data Support Sheet'!A:J,6,0),0)</f>
        <v>FO004</v>
      </c>
      <c r="Z922" s="428">
        <f>IFERROR(VLOOKUP(E:E,'Item Data Support Sheet'!A:O,4,0),0)</f>
        <v>0</v>
      </c>
      <c r="AA922" s="428">
        <f t="shared" si="263"/>
        <v>0</v>
      </c>
      <c r="AB922" s="429" t="str">
        <f t="shared" si="264"/>
        <v xml:space="preserve"> </v>
      </c>
      <c r="AC922" s="424">
        <f t="shared" si="265"/>
        <v>1.3179571663920923E-2</v>
      </c>
      <c r="AD922" s="371">
        <f t="shared" si="266"/>
        <v>0</v>
      </c>
      <c r="AE922" s="748">
        <f t="shared" si="267"/>
        <v>0.98682042833607908</v>
      </c>
      <c r="AF922" s="417">
        <f t="shared" si="268"/>
        <v>0.83333333333333337</v>
      </c>
      <c r="AG922" s="416">
        <f t="shared" si="269"/>
        <v>1.1666666666666665</v>
      </c>
      <c r="AH922" s="372">
        <f t="shared" si="270"/>
        <v>0.58333333333333326</v>
      </c>
      <c r="AI922" s="373">
        <f t="shared" si="271"/>
        <v>299.5</v>
      </c>
      <c r="AJ922" s="418">
        <f>VLOOKUP(D922,'Standard Cycle time'!C:D,2,0)</f>
        <v>32.4</v>
      </c>
      <c r="AK922" s="418">
        <f t="shared" si="272"/>
        <v>35.058430717863097</v>
      </c>
      <c r="AL922" s="374">
        <f t="shared" si="273"/>
        <v>0.92417142857142875</v>
      </c>
      <c r="AM922" s="372">
        <f t="shared" si="274"/>
        <v>0.53199489291598023</v>
      </c>
      <c r="AN922" s="799">
        <v>0.53199489291598023</v>
      </c>
      <c r="AO922" s="448"/>
      <c r="AP922" s="440">
        <v>50</v>
      </c>
      <c r="AQ922" s="440">
        <v>0</v>
      </c>
      <c r="AR922" s="440">
        <v>0</v>
      </c>
      <c r="AS922" s="440">
        <v>0</v>
      </c>
      <c r="AT922" s="440">
        <v>0</v>
      </c>
      <c r="AU922" s="440">
        <v>0</v>
      </c>
      <c r="AV922" s="440">
        <v>0</v>
      </c>
      <c r="AW922" s="440">
        <v>0</v>
      </c>
      <c r="AX922" s="440">
        <v>0</v>
      </c>
      <c r="AY922" s="440">
        <v>0</v>
      </c>
      <c r="AZ922" s="440">
        <v>0</v>
      </c>
      <c r="BA922" s="440">
        <v>0</v>
      </c>
      <c r="BB922" s="440">
        <v>0</v>
      </c>
      <c r="BC922" s="440">
        <v>0</v>
      </c>
      <c r="BD922" s="440">
        <v>0</v>
      </c>
      <c r="BE922" s="440">
        <v>0</v>
      </c>
      <c r="BF922" s="440">
        <v>0</v>
      </c>
      <c r="BG922" s="440">
        <v>0</v>
      </c>
      <c r="BH922" s="440">
        <v>0</v>
      </c>
      <c r="BI922" s="440">
        <v>0</v>
      </c>
      <c r="BJ922" s="440">
        <v>0</v>
      </c>
      <c r="BK922" s="440">
        <v>0</v>
      </c>
      <c r="BL922" s="440">
        <v>0</v>
      </c>
      <c r="BM922" s="440">
        <v>0</v>
      </c>
      <c r="BN922" s="440">
        <v>0</v>
      </c>
      <c r="BO922" s="440">
        <v>0</v>
      </c>
      <c r="BP922" s="440">
        <v>0</v>
      </c>
      <c r="BQ922" s="440">
        <v>0</v>
      </c>
      <c r="BR922" s="415">
        <v>0.83333333333333337</v>
      </c>
      <c r="BS922" s="415">
        <v>0.83333333333333337</v>
      </c>
      <c r="BT922" s="935"/>
      <c r="BU922" s="935"/>
      <c r="BV922" s="935"/>
      <c r="BW922" s="935"/>
      <c r="BX922" s="935"/>
      <c r="BY922" s="935"/>
      <c r="BZ922" s="935"/>
      <c r="CA922" s="935"/>
      <c r="CB922" s="935"/>
      <c r="CC922" s="935"/>
      <c r="CD922" s="935"/>
      <c r="CE922" s="935"/>
      <c r="CF922" s="935"/>
      <c r="CG922" s="935"/>
      <c r="CH922" s="935"/>
      <c r="CI922" s="935"/>
      <c r="CJ922" s="935"/>
      <c r="CK922" s="935"/>
      <c r="CL922" s="935"/>
      <c r="CM922" s="935"/>
      <c r="CN922" s="935"/>
      <c r="CO922" s="935"/>
      <c r="CP922" s="935"/>
      <c r="CQ922" s="935"/>
      <c r="CR922" s="935"/>
      <c r="CS922" s="935"/>
      <c r="CT922" s="935"/>
      <c r="CU922" s="935"/>
      <c r="CV922" s="935"/>
    </row>
    <row r="923" spans="1:100" s="441" customFormat="1">
      <c r="A923" s="375">
        <f t="shared" si="260"/>
        <v>10</v>
      </c>
      <c r="B923" s="862">
        <v>44482</v>
      </c>
      <c r="C923" s="493" t="s">
        <v>2000</v>
      </c>
      <c r="D923" s="376" t="str">
        <f>IFERROR(VLOOKUP(E:E,'Item Data Support Sheet'!A:O,7,0),"")</f>
        <v>BOTTLE PRINTED</v>
      </c>
      <c r="E923" s="447" t="s">
        <v>359</v>
      </c>
      <c r="F923" s="500"/>
      <c r="G923" s="497"/>
      <c r="H923" s="602" t="str">
        <f>IFERROR(VLOOKUP(E:E,'Item Data Support Sheet'!A:O,2,0),"")</f>
        <v>RPP 240ML FLORAL PNK BOTLE PNTD WM3GB W/BIS LOGO</v>
      </c>
      <c r="I923" s="501" t="s">
        <v>3669</v>
      </c>
      <c r="J923" s="501" t="s">
        <v>2811</v>
      </c>
      <c r="K923" s="499">
        <v>2</v>
      </c>
      <c r="L923" s="499">
        <v>600</v>
      </c>
      <c r="M923" s="366">
        <v>300</v>
      </c>
      <c r="N923" s="367">
        <f t="shared" si="259"/>
        <v>665</v>
      </c>
      <c r="O923" s="61">
        <v>648</v>
      </c>
      <c r="P923" s="368">
        <v>0</v>
      </c>
      <c r="Q923" s="368">
        <v>0</v>
      </c>
      <c r="R923" s="494">
        <v>11</v>
      </c>
      <c r="S923" s="493">
        <v>0</v>
      </c>
      <c r="T923" s="494">
        <v>17</v>
      </c>
      <c r="U923" s="493"/>
      <c r="V923" s="502">
        <v>5</v>
      </c>
      <c r="W923" s="453">
        <f t="shared" si="261"/>
        <v>129.6</v>
      </c>
      <c r="X923" s="748">
        <f t="shared" si="262"/>
        <v>1.08</v>
      </c>
      <c r="Y923" s="451" t="str">
        <f>IFERROR(VLOOKUP(E:E,'Item Data Support Sheet'!A:J,6,0),0)</f>
        <v>FO053</v>
      </c>
      <c r="Z923" s="428">
        <f>IFERROR(VLOOKUP(E:E,'Item Data Support Sheet'!A:O,4,0),0)</f>
        <v>0</v>
      </c>
      <c r="AA923" s="428">
        <f t="shared" si="263"/>
        <v>0</v>
      </c>
      <c r="AB923" s="429" t="str">
        <f t="shared" si="264"/>
        <v xml:space="preserve"> </v>
      </c>
      <c r="AC923" s="424">
        <f t="shared" si="265"/>
        <v>2.5563909774436091E-2</v>
      </c>
      <c r="AD923" s="371">
        <f t="shared" si="266"/>
        <v>0</v>
      </c>
      <c r="AE923" s="748">
        <f t="shared" si="267"/>
        <v>0.97443609022556388</v>
      </c>
      <c r="AF923" s="417">
        <f t="shared" si="268"/>
        <v>0</v>
      </c>
      <c r="AG923" s="416">
        <f t="shared" si="269"/>
        <v>2</v>
      </c>
      <c r="AH923" s="372">
        <f t="shared" si="270"/>
        <v>1</v>
      </c>
      <c r="AI923" s="373">
        <f t="shared" si="271"/>
        <v>324</v>
      </c>
      <c r="AJ923" s="418">
        <f>VLOOKUP(D923,'Standard Cycle time'!C:D,2,0)</f>
        <v>32.4</v>
      </c>
      <c r="AK923" s="418">
        <f t="shared" si="272"/>
        <v>55.555555555555557</v>
      </c>
      <c r="AL923" s="374">
        <f t="shared" si="273"/>
        <v>0.58319999999999994</v>
      </c>
      <c r="AM923" s="372">
        <f t="shared" si="274"/>
        <v>0.56829112781954882</v>
      </c>
      <c r="AN923" s="799">
        <v>0.56829112781954882</v>
      </c>
      <c r="AO923" s="448" t="s">
        <v>3670</v>
      </c>
      <c r="AP923" s="440">
        <v>0</v>
      </c>
      <c r="AQ923" s="440">
        <v>0</v>
      </c>
      <c r="AR923" s="440">
        <v>0</v>
      </c>
      <c r="AS923" s="440">
        <v>0</v>
      </c>
      <c r="AT923" s="440">
        <v>0</v>
      </c>
      <c r="AU923" s="440">
        <v>0</v>
      </c>
      <c r="AV923" s="440">
        <v>0</v>
      </c>
      <c r="AW923" s="440">
        <v>0</v>
      </c>
      <c r="AX923" s="440">
        <v>0</v>
      </c>
      <c r="AY923" s="440">
        <v>0</v>
      </c>
      <c r="AZ923" s="440">
        <v>0</v>
      </c>
      <c r="BA923" s="440">
        <v>0</v>
      </c>
      <c r="BB923" s="440">
        <v>0</v>
      </c>
      <c r="BC923" s="440">
        <v>0</v>
      </c>
      <c r="BD923" s="440">
        <v>0</v>
      </c>
      <c r="BE923" s="440">
        <v>0</v>
      </c>
      <c r="BF923" s="440">
        <v>0</v>
      </c>
      <c r="BG923" s="440">
        <v>0</v>
      </c>
      <c r="BH923" s="440">
        <v>0</v>
      </c>
      <c r="BI923" s="440">
        <v>0</v>
      </c>
      <c r="BJ923" s="440">
        <v>0</v>
      </c>
      <c r="BK923" s="440">
        <v>0</v>
      </c>
      <c r="BL923" s="440">
        <v>0</v>
      </c>
      <c r="BM923" s="440">
        <v>0</v>
      </c>
      <c r="BN923" s="440">
        <v>0</v>
      </c>
      <c r="BO923" s="440">
        <v>0</v>
      </c>
      <c r="BP923" s="440">
        <v>0</v>
      </c>
      <c r="BQ923" s="440">
        <v>0</v>
      </c>
      <c r="BR923" s="415">
        <v>0</v>
      </c>
      <c r="BS923" s="415">
        <v>0</v>
      </c>
      <c r="BT923" s="935"/>
      <c r="BU923" s="935"/>
      <c r="BV923" s="935"/>
      <c r="BW923" s="935"/>
      <c r="BX923" s="935"/>
      <c r="BY923" s="935"/>
      <c r="BZ923" s="935"/>
      <c r="CA923" s="935"/>
      <c r="CB923" s="935"/>
      <c r="CC923" s="935"/>
      <c r="CD923" s="935"/>
      <c r="CE923" s="935"/>
      <c r="CF923" s="935"/>
      <c r="CG923" s="935"/>
      <c r="CH923" s="935"/>
      <c r="CI923" s="935"/>
      <c r="CJ923" s="935"/>
      <c r="CK923" s="935"/>
      <c r="CL923" s="935"/>
      <c r="CM923" s="935"/>
      <c r="CN923" s="935"/>
      <c r="CO923" s="935"/>
      <c r="CP923" s="935"/>
      <c r="CQ923" s="935"/>
      <c r="CR923" s="935"/>
      <c r="CS923" s="935"/>
      <c r="CT923" s="935"/>
      <c r="CU923" s="935"/>
      <c r="CV923" s="935"/>
    </row>
    <row r="924" spans="1:100" s="441" customFormat="1">
      <c r="A924" s="375">
        <f t="shared" si="260"/>
        <v>10</v>
      </c>
      <c r="B924" s="862">
        <v>44482</v>
      </c>
      <c r="C924" s="493" t="s">
        <v>2000</v>
      </c>
      <c r="D924" s="376" t="str">
        <f>IFERROR(VLOOKUP(E:E,'Item Data Support Sheet'!A:O,7,0),"")</f>
        <v>BOTTLE PRINTED</v>
      </c>
      <c r="E924" s="447" t="s">
        <v>114</v>
      </c>
      <c r="F924" s="500"/>
      <c r="G924" s="497"/>
      <c r="H924" s="602" t="str">
        <f>IFERROR(VLOOKUP(E:E,'Item Data Support Sheet'!A:O,2,0),"")</f>
        <v>KPP BOTTLE 200 ML PRINTED-WMG3B</v>
      </c>
      <c r="I924" s="501" t="s">
        <v>3671</v>
      </c>
      <c r="J924" s="501" t="s">
        <v>2811</v>
      </c>
      <c r="K924" s="499">
        <v>4</v>
      </c>
      <c r="L924" s="499">
        <v>2100</v>
      </c>
      <c r="M924" s="366">
        <v>525</v>
      </c>
      <c r="N924" s="367">
        <f t="shared" si="259"/>
        <v>1956</v>
      </c>
      <c r="O924" s="61">
        <v>1944</v>
      </c>
      <c r="P924" s="368">
        <v>0</v>
      </c>
      <c r="Q924" s="368">
        <v>0</v>
      </c>
      <c r="R924" s="494">
        <v>20</v>
      </c>
      <c r="S924" s="493">
        <v>0</v>
      </c>
      <c r="T924" s="494">
        <v>12</v>
      </c>
      <c r="U924" s="493">
        <v>0</v>
      </c>
      <c r="V924" s="502">
        <v>5</v>
      </c>
      <c r="W924" s="453">
        <f t="shared" si="261"/>
        <v>388.8</v>
      </c>
      <c r="X924" s="748">
        <f t="shared" si="262"/>
        <v>0.92571428571428571</v>
      </c>
      <c r="Y924" s="451" t="str">
        <f>IFERROR(VLOOKUP(E:E,'Item Data Support Sheet'!A:J,6,0),0)</f>
        <v>FO043</v>
      </c>
      <c r="Z924" s="428">
        <f>IFERROR(VLOOKUP(E:E,'Item Data Support Sheet'!A:O,4,0),0)</f>
        <v>0</v>
      </c>
      <c r="AA924" s="428">
        <f t="shared" si="263"/>
        <v>0</v>
      </c>
      <c r="AB924" s="429" t="str">
        <f t="shared" si="264"/>
        <v xml:space="preserve"> </v>
      </c>
      <c r="AC924" s="424">
        <f t="shared" si="265"/>
        <v>6.1349693251533744E-3</v>
      </c>
      <c r="AD924" s="371">
        <f t="shared" si="266"/>
        <v>0</v>
      </c>
      <c r="AE924" s="748">
        <f t="shared" si="267"/>
        <v>0.99386503067484666</v>
      </c>
      <c r="AF924" s="417">
        <f t="shared" si="268"/>
        <v>0</v>
      </c>
      <c r="AG924" s="416">
        <f t="shared" si="269"/>
        <v>4</v>
      </c>
      <c r="AH924" s="372">
        <f t="shared" si="270"/>
        <v>1</v>
      </c>
      <c r="AI924" s="373">
        <f t="shared" si="271"/>
        <v>486</v>
      </c>
      <c r="AJ924" s="418">
        <f>VLOOKUP(D924,'Standard Cycle time'!C:D,2,0)</f>
        <v>32.4</v>
      </c>
      <c r="AK924" s="418">
        <f t="shared" si="272"/>
        <v>37.037037037037038</v>
      </c>
      <c r="AL924" s="374">
        <f t="shared" si="273"/>
        <v>0.87479999999999991</v>
      </c>
      <c r="AM924" s="372">
        <f t="shared" si="274"/>
        <v>0.86943312883435575</v>
      </c>
      <c r="AN924" s="799">
        <v>0.86943312883435575</v>
      </c>
      <c r="AO924" s="448"/>
      <c r="AP924" s="440">
        <v>0</v>
      </c>
      <c r="AQ924" s="440">
        <v>0</v>
      </c>
      <c r="AR924" s="440">
        <v>0</v>
      </c>
      <c r="AS924" s="440">
        <v>0</v>
      </c>
      <c r="AT924" s="440">
        <v>0</v>
      </c>
      <c r="AU924" s="440">
        <v>0</v>
      </c>
      <c r="AV924" s="440">
        <v>0</v>
      </c>
      <c r="AW924" s="440">
        <v>0</v>
      </c>
      <c r="AX924" s="440">
        <v>0</v>
      </c>
      <c r="AY924" s="440">
        <v>0</v>
      </c>
      <c r="AZ924" s="440">
        <v>0</v>
      </c>
      <c r="BA924" s="440">
        <v>0</v>
      </c>
      <c r="BB924" s="440">
        <v>0</v>
      </c>
      <c r="BC924" s="440">
        <v>0</v>
      </c>
      <c r="BD924" s="440">
        <v>0</v>
      </c>
      <c r="BE924" s="440">
        <v>0</v>
      </c>
      <c r="BF924" s="440">
        <v>0</v>
      </c>
      <c r="BG924" s="440">
        <v>0</v>
      </c>
      <c r="BH924" s="440">
        <v>0</v>
      </c>
      <c r="BI924" s="440">
        <v>0</v>
      </c>
      <c r="BJ924" s="440">
        <v>0</v>
      </c>
      <c r="BK924" s="440">
        <v>0</v>
      </c>
      <c r="BL924" s="440">
        <v>0</v>
      </c>
      <c r="BM924" s="440">
        <v>0</v>
      </c>
      <c r="BN924" s="440">
        <v>0</v>
      </c>
      <c r="BO924" s="440">
        <v>0</v>
      </c>
      <c r="BP924" s="440">
        <v>0</v>
      </c>
      <c r="BQ924" s="440">
        <v>0</v>
      </c>
      <c r="BR924" s="415">
        <v>0</v>
      </c>
      <c r="BS924" s="415">
        <v>0</v>
      </c>
      <c r="BT924" s="935"/>
      <c r="BU924" s="935"/>
      <c r="BV924" s="935"/>
      <c r="BW924" s="935"/>
      <c r="BX924" s="935"/>
      <c r="BY924" s="935"/>
      <c r="BZ924" s="935"/>
      <c r="CA924" s="935"/>
      <c r="CB924" s="935"/>
      <c r="CC924" s="935"/>
      <c r="CD924" s="935"/>
      <c r="CE924" s="935"/>
      <c r="CF924" s="935"/>
      <c r="CG924" s="935"/>
      <c r="CH924" s="935"/>
      <c r="CI924" s="935"/>
      <c r="CJ924" s="935"/>
      <c r="CK924" s="935"/>
      <c r="CL924" s="935"/>
      <c r="CM924" s="935"/>
      <c r="CN924" s="935"/>
      <c r="CO924" s="935"/>
      <c r="CP924" s="935"/>
      <c r="CQ924" s="935"/>
      <c r="CR924" s="935"/>
      <c r="CS924" s="935"/>
      <c r="CT924" s="935"/>
      <c r="CU924" s="935"/>
      <c r="CV924" s="935"/>
    </row>
    <row r="925" spans="1:100" s="441" customFormat="1">
      <c r="A925" s="375">
        <f t="shared" si="260"/>
        <v>10</v>
      </c>
      <c r="B925" s="862">
        <v>44482</v>
      </c>
      <c r="C925" s="493" t="s">
        <v>2001</v>
      </c>
      <c r="D925" s="376" t="str">
        <f>IFERROR(VLOOKUP(E:E,'Item Data Support Sheet'!A:O,7,0),"")</f>
        <v>BOTTLE MOLDED</v>
      </c>
      <c r="E925" s="447" t="s">
        <v>14</v>
      </c>
      <c r="F925" s="500" t="s">
        <v>1681</v>
      </c>
      <c r="G925" s="497" t="s">
        <v>1665</v>
      </c>
      <c r="H925" s="602" t="str">
        <f>IFERROR(VLOOKUP(E:E,'Item Data Support Sheet'!A:O,2,0),"")</f>
        <v>KPP 240 ML BOTTLE MOLDED</v>
      </c>
      <c r="I925" s="501" t="s">
        <v>3672</v>
      </c>
      <c r="J925" s="501" t="s">
        <v>2811</v>
      </c>
      <c r="K925" s="499">
        <v>8</v>
      </c>
      <c r="L925" s="499">
        <v>2574</v>
      </c>
      <c r="M925" s="366">
        <v>321.75</v>
      </c>
      <c r="N925" s="367">
        <f t="shared" si="259"/>
        <v>959</v>
      </c>
      <c r="O925" s="61">
        <v>864</v>
      </c>
      <c r="P925" s="368">
        <v>0</v>
      </c>
      <c r="Q925" s="368">
        <v>35</v>
      </c>
      <c r="R925" s="494">
        <v>0</v>
      </c>
      <c r="S925" s="493">
        <v>0</v>
      </c>
      <c r="T925" s="494">
        <v>60</v>
      </c>
      <c r="U925" s="493">
        <v>0</v>
      </c>
      <c r="V925" s="502">
        <v>1</v>
      </c>
      <c r="W925" s="453">
        <f t="shared" si="261"/>
        <v>864</v>
      </c>
      <c r="X925" s="748">
        <f t="shared" si="262"/>
        <v>0.33566433566433568</v>
      </c>
      <c r="Y925" s="451" t="str">
        <f>IFERROR(VLOOKUP(E:E,'Item Data Support Sheet'!A:J,6,0),0)</f>
        <v>HMC</v>
      </c>
      <c r="Z925" s="428">
        <f>IFERROR(VLOOKUP(E:E,'Item Data Support Sheet'!A:O,4,0),0)</f>
        <v>32.1</v>
      </c>
      <c r="AA925" s="428">
        <f t="shared" si="263"/>
        <v>30.783900000000003</v>
      </c>
      <c r="AB925" s="429">
        <f t="shared" si="264"/>
        <v>0.90093847758081336</v>
      </c>
      <c r="AC925" s="424">
        <f t="shared" si="265"/>
        <v>6.4935064935064929E-2</v>
      </c>
      <c r="AD925" s="371">
        <f t="shared" si="266"/>
        <v>3.5211267605633804E-2</v>
      </c>
      <c r="AE925" s="748">
        <f t="shared" si="267"/>
        <v>0.93743482794577682</v>
      </c>
      <c r="AF925" s="417">
        <f t="shared" si="268"/>
        <v>6</v>
      </c>
      <c r="AG925" s="416">
        <f t="shared" si="269"/>
        <v>2</v>
      </c>
      <c r="AH925" s="372">
        <f t="shared" si="270"/>
        <v>0.25</v>
      </c>
      <c r="AI925" s="373">
        <f t="shared" si="271"/>
        <v>108</v>
      </c>
      <c r="AJ925" s="418">
        <f>VLOOKUP(D925,'Standard Cycle time'!C:D,2,0)</f>
        <v>9</v>
      </c>
      <c r="AK925" s="418">
        <f t="shared" si="272"/>
        <v>8.3333333333333339</v>
      </c>
      <c r="AL925" s="374">
        <f t="shared" si="273"/>
        <v>1.0799999999999998</v>
      </c>
      <c r="AM925" s="372">
        <f t="shared" si="274"/>
        <v>0.25310740354535971</v>
      </c>
      <c r="AN925" s="799">
        <v>0.25310740354535971</v>
      </c>
      <c r="AO925" s="448" t="s">
        <v>3673</v>
      </c>
      <c r="AP925" s="440">
        <v>0</v>
      </c>
      <c r="AQ925" s="440">
        <v>0</v>
      </c>
      <c r="AR925" s="440">
        <v>0</v>
      </c>
      <c r="AS925" s="440">
        <v>0</v>
      </c>
      <c r="AT925" s="440">
        <v>0</v>
      </c>
      <c r="AU925" s="440">
        <v>0</v>
      </c>
      <c r="AV925" s="440">
        <v>360</v>
      </c>
      <c r="AW925" s="440">
        <v>0</v>
      </c>
      <c r="AX925" s="440">
        <v>0</v>
      </c>
      <c r="AY925" s="440">
        <v>0</v>
      </c>
      <c r="AZ925" s="440">
        <v>0</v>
      </c>
      <c r="BA925" s="440">
        <v>0</v>
      </c>
      <c r="BB925" s="440">
        <v>0</v>
      </c>
      <c r="BC925" s="440">
        <v>0</v>
      </c>
      <c r="BD925" s="440">
        <v>0</v>
      </c>
      <c r="BE925" s="440">
        <v>0</v>
      </c>
      <c r="BF925" s="440">
        <v>0</v>
      </c>
      <c r="BG925" s="440">
        <v>0</v>
      </c>
      <c r="BH925" s="440">
        <v>0</v>
      </c>
      <c r="BI925" s="440">
        <v>0</v>
      </c>
      <c r="BJ925" s="440">
        <v>0</v>
      </c>
      <c r="BK925" s="440">
        <v>0</v>
      </c>
      <c r="BL925" s="440">
        <v>0</v>
      </c>
      <c r="BM925" s="440">
        <v>0</v>
      </c>
      <c r="BN925" s="440">
        <v>0</v>
      </c>
      <c r="BO925" s="440">
        <v>0</v>
      </c>
      <c r="BP925" s="440">
        <v>0</v>
      </c>
      <c r="BQ925" s="440">
        <v>0</v>
      </c>
      <c r="BR925" s="415">
        <v>6</v>
      </c>
      <c r="BS925" s="415">
        <v>6</v>
      </c>
      <c r="BT925" s="935"/>
      <c r="BU925" s="935"/>
      <c r="BV925" s="935"/>
      <c r="BW925" s="935"/>
      <c r="BX925" s="935"/>
      <c r="BY925" s="935"/>
      <c r="BZ925" s="935"/>
      <c r="CA925" s="935"/>
      <c r="CB925" s="935"/>
      <c r="CC925" s="935"/>
      <c r="CD925" s="935"/>
      <c r="CE925" s="935"/>
      <c r="CF925" s="935"/>
      <c r="CG925" s="935"/>
      <c r="CH925" s="935"/>
      <c r="CI925" s="935"/>
      <c r="CJ925" s="935"/>
      <c r="CK925" s="935"/>
      <c r="CL925" s="935"/>
      <c r="CM925" s="935"/>
      <c r="CN925" s="935"/>
      <c r="CO925" s="935"/>
      <c r="CP925" s="935"/>
      <c r="CQ925" s="935"/>
      <c r="CR925" s="935"/>
      <c r="CS925" s="935"/>
      <c r="CT925" s="935"/>
      <c r="CU925" s="935"/>
      <c r="CV925" s="935"/>
    </row>
    <row r="926" spans="1:100" s="441" customFormat="1">
      <c r="A926" s="375">
        <f t="shared" si="260"/>
        <v>10</v>
      </c>
      <c r="B926" s="862">
        <v>44482</v>
      </c>
      <c r="C926" s="493" t="s">
        <v>2001</v>
      </c>
      <c r="D926" s="376" t="str">
        <f>IFERROR(VLOOKUP(E:E,'Item Data Support Sheet'!A:O,7,0),"")</f>
        <v>CAP MOLDED</v>
      </c>
      <c r="E926" s="447" t="s">
        <v>2110</v>
      </c>
      <c r="F926" s="500"/>
      <c r="G926" s="497" t="s">
        <v>3579</v>
      </c>
      <c r="H926" s="602" t="str">
        <f>IFERROR(VLOOKUP(E:E,'Item Data Support Sheet'!A:O,2,0),"")</f>
        <v>CAP S TYPE MOLDED WHITE</v>
      </c>
      <c r="I926" s="501" t="s">
        <v>3674</v>
      </c>
      <c r="J926" s="501" t="s">
        <v>2811</v>
      </c>
      <c r="K926" s="499">
        <v>4</v>
      </c>
      <c r="L926" s="499">
        <v>2050</v>
      </c>
      <c r="M926" s="366">
        <v>512.5</v>
      </c>
      <c r="N926" s="367">
        <f t="shared" si="259"/>
        <v>2300</v>
      </c>
      <c r="O926" s="61">
        <v>2300</v>
      </c>
      <c r="P926" s="368">
        <v>0</v>
      </c>
      <c r="Q926" s="368">
        <v>0</v>
      </c>
      <c r="R926" s="494">
        <v>0</v>
      </c>
      <c r="S926" s="493">
        <v>0</v>
      </c>
      <c r="T926" s="494">
        <v>0</v>
      </c>
      <c r="U926" s="493">
        <v>0</v>
      </c>
      <c r="V926" s="502">
        <v>1</v>
      </c>
      <c r="W926" s="453">
        <f t="shared" si="261"/>
        <v>2300</v>
      </c>
      <c r="X926" s="748">
        <f t="shared" si="262"/>
        <v>1.1219512195121952</v>
      </c>
      <c r="Y926" s="451" t="str">
        <f>IFERROR(VLOOKUP(E:E,'Item Data Support Sheet'!A:J,6,0),0)</f>
        <v>RM000106</v>
      </c>
      <c r="Z926" s="428">
        <f>IFERROR(VLOOKUP(E:E,'Item Data Support Sheet'!A:O,4,0),0)</f>
        <v>7.3</v>
      </c>
      <c r="AA926" s="428">
        <f t="shared" si="263"/>
        <v>16.79</v>
      </c>
      <c r="AB926" s="429">
        <f t="shared" si="264"/>
        <v>1</v>
      </c>
      <c r="AC926" s="424">
        <f t="shared" si="265"/>
        <v>0</v>
      </c>
      <c r="AD926" s="371">
        <f t="shared" si="266"/>
        <v>0</v>
      </c>
      <c r="AE926" s="748">
        <f t="shared" si="267"/>
        <v>1</v>
      </c>
      <c r="AF926" s="417">
        <f t="shared" si="268"/>
        <v>0</v>
      </c>
      <c r="AG926" s="416">
        <f t="shared" si="269"/>
        <v>4</v>
      </c>
      <c r="AH926" s="372">
        <f t="shared" si="270"/>
        <v>1</v>
      </c>
      <c r="AI926" s="373">
        <f t="shared" si="271"/>
        <v>575</v>
      </c>
      <c r="AJ926" s="418">
        <f>VLOOKUP(D926,'Standard Cycle time'!C:D,2,0)</f>
        <v>6</v>
      </c>
      <c r="AK926" s="418">
        <f t="shared" si="272"/>
        <v>6.2608695652173916</v>
      </c>
      <c r="AL926" s="374">
        <f t="shared" si="273"/>
        <v>0.95833333333333326</v>
      </c>
      <c r="AM926" s="372">
        <f t="shared" si="274"/>
        <v>0.95833333333333326</v>
      </c>
      <c r="AN926" s="799">
        <v>0.95833333333333326</v>
      </c>
      <c r="AO926" s="448"/>
      <c r="AP926" s="440">
        <v>0</v>
      </c>
      <c r="AQ926" s="440">
        <v>0</v>
      </c>
      <c r="AR926" s="440">
        <v>0</v>
      </c>
      <c r="AS926" s="440">
        <v>0</v>
      </c>
      <c r="AT926" s="440">
        <v>0</v>
      </c>
      <c r="AU926" s="440">
        <v>0</v>
      </c>
      <c r="AV926" s="440">
        <v>0</v>
      </c>
      <c r="AW926" s="440">
        <v>0</v>
      </c>
      <c r="AX926" s="440">
        <v>0</v>
      </c>
      <c r="AY926" s="440">
        <v>0</v>
      </c>
      <c r="AZ926" s="440">
        <v>0</v>
      </c>
      <c r="BA926" s="440">
        <v>0</v>
      </c>
      <c r="BB926" s="440">
        <v>0</v>
      </c>
      <c r="BC926" s="440">
        <v>0</v>
      </c>
      <c r="BD926" s="440">
        <v>0</v>
      </c>
      <c r="BE926" s="440">
        <v>0</v>
      </c>
      <c r="BF926" s="440">
        <v>0</v>
      </c>
      <c r="BG926" s="440">
        <v>0</v>
      </c>
      <c r="BH926" s="440">
        <v>0</v>
      </c>
      <c r="BI926" s="440">
        <v>0</v>
      </c>
      <c r="BJ926" s="440">
        <v>0</v>
      </c>
      <c r="BK926" s="440">
        <v>0</v>
      </c>
      <c r="BL926" s="440">
        <v>0</v>
      </c>
      <c r="BM926" s="440">
        <v>0</v>
      </c>
      <c r="BN926" s="440">
        <v>0</v>
      </c>
      <c r="BO926" s="440">
        <v>0</v>
      </c>
      <c r="BP926" s="440">
        <v>0</v>
      </c>
      <c r="BQ926" s="440">
        <v>0</v>
      </c>
      <c r="BR926" s="415">
        <v>0</v>
      </c>
      <c r="BS926" s="415">
        <v>0</v>
      </c>
      <c r="BT926" s="935"/>
      <c r="BU926" s="935"/>
      <c r="BV926" s="935"/>
      <c r="BW926" s="935"/>
      <c r="BX926" s="935"/>
      <c r="BY926" s="935"/>
      <c r="BZ926" s="935"/>
      <c r="CA926" s="935"/>
      <c r="CB926" s="935"/>
      <c r="CC926" s="935"/>
      <c r="CD926" s="935"/>
      <c r="CE926" s="935"/>
      <c r="CF926" s="935"/>
      <c r="CG926" s="935"/>
      <c r="CH926" s="935"/>
      <c r="CI926" s="935"/>
      <c r="CJ926" s="935"/>
      <c r="CK926" s="935"/>
      <c r="CL926" s="935"/>
      <c r="CM926" s="935"/>
      <c r="CN926" s="935"/>
      <c r="CO926" s="935"/>
      <c r="CP926" s="935"/>
      <c r="CQ926" s="935"/>
      <c r="CR926" s="935"/>
      <c r="CS926" s="935"/>
      <c r="CT926" s="935"/>
      <c r="CU926" s="935"/>
      <c r="CV926" s="935"/>
    </row>
    <row r="927" spans="1:100" s="441" customFormat="1">
      <c r="A927" s="375">
        <f t="shared" si="260"/>
        <v>10</v>
      </c>
      <c r="B927" s="862">
        <v>44482</v>
      </c>
      <c r="C927" s="493" t="s">
        <v>2001</v>
      </c>
      <c r="D927" s="376" t="str">
        <f>IFERROR(VLOOKUP(E:E,'Item Data Support Sheet'!A:O,7,0),"")</f>
        <v>CAP MOLDED</v>
      </c>
      <c r="E927" s="447" t="s">
        <v>2110</v>
      </c>
      <c r="F927" s="500"/>
      <c r="G927" s="497" t="s">
        <v>3212</v>
      </c>
      <c r="H927" s="602" t="str">
        <f>IFERROR(VLOOKUP(E:E,'Item Data Support Sheet'!A:O,2,0),"")</f>
        <v>CAP S TYPE MOLDED WHITE</v>
      </c>
      <c r="I927" s="501" t="s">
        <v>3675</v>
      </c>
      <c r="J927" s="501" t="s">
        <v>2811</v>
      </c>
      <c r="K927" s="499">
        <v>4</v>
      </c>
      <c r="L927" s="499">
        <v>2050</v>
      </c>
      <c r="M927" s="366">
        <v>512.5</v>
      </c>
      <c r="N927" s="367">
        <f t="shared" si="259"/>
        <v>2000</v>
      </c>
      <c r="O927" s="61">
        <v>2000</v>
      </c>
      <c r="P927" s="368">
        <v>0</v>
      </c>
      <c r="Q927" s="368">
        <v>0</v>
      </c>
      <c r="R927" s="494">
        <v>0</v>
      </c>
      <c r="S927" s="493">
        <v>0</v>
      </c>
      <c r="T927" s="494">
        <v>0</v>
      </c>
      <c r="U927" s="493">
        <v>0</v>
      </c>
      <c r="V927" s="502">
        <v>1</v>
      </c>
      <c r="W927" s="453">
        <f t="shared" si="261"/>
        <v>2000</v>
      </c>
      <c r="X927" s="748">
        <f t="shared" si="262"/>
        <v>0.97560975609756095</v>
      </c>
      <c r="Y927" s="451" t="str">
        <f>IFERROR(VLOOKUP(E:E,'Item Data Support Sheet'!A:J,6,0),0)</f>
        <v>RM000106</v>
      </c>
      <c r="Z927" s="428">
        <f>IFERROR(VLOOKUP(E:E,'Item Data Support Sheet'!A:O,4,0),0)</f>
        <v>7.3</v>
      </c>
      <c r="AA927" s="428">
        <f t="shared" si="263"/>
        <v>14.6</v>
      </c>
      <c r="AB927" s="429">
        <f t="shared" si="264"/>
        <v>1</v>
      </c>
      <c r="AC927" s="424">
        <f t="shared" si="265"/>
        <v>0</v>
      </c>
      <c r="AD927" s="371">
        <f t="shared" si="266"/>
        <v>0</v>
      </c>
      <c r="AE927" s="748">
        <f t="shared" si="267"/>
        <v>1</v>
      </c>
      <c r="AF927" s="417">
        <f t="shared" si="268"/>
        <v>0.83333333333333337</v>
      </c>
      <c r="AG927" s="416">
        <f t="shared" si="269"/>
        <v>3.1666666666666665</v>
      </c>
      <c r="AH927" s="372">
        <f t="shared" si="270"/>
        <v>0.79166666666666663</v>
      </c>
      <c r="AI927" s="373">
        <f t="shared" si="271"/>
        <v>500</v>
      </c>
      <c r="AJ927" s="418">
        <f>VLOOKUP(D927,'Standard Cycle time'!C:D,2,0)</f>
        <v>6</v>
      </c>
      <c r="AK927" s="418">
        <f t="shared" si="272"/>
        <v>5.7</v>
      </c>
      <c r="AL927" s="374">
        <f t="shared" si="273"/>
        <v>1.0526315789473684</v>
      </c>
      <c r="AM927" s="372">
        <f t="shared" si="274"/>
        <v>0.83333333333333326</v>
      </c>
      <c r="AN927" s="799">
        <v>0.83333333333333326</v>
      </c>
      <c r="AO927" s="448"/>
      <c r="AP927" s="440">
        <v>0</v>
      </c>
      <c r="AQ927" s="440">
        <v>0</v>
      </c>
      <c r="AR927" s="440">
        <v>0</v>
      </c>
      <c r="AS927" s="440">
        <v>0</v>
      </c>
      <c r="AT927" s="440">
        <v>0</v>
      </c>
      <c r="AU927" s="440">
        <v>0</v>
      </c>
      <c r="AV927" s="440">
        <v>30</v>
      </c>
      <c r="AW927" s="440">
        <v>0</v>
      </c>
      <c r="AX927" s="440">
        <v>0</v>
      </c>
      <c r="AY927" s="440">
        <v>0</v>
      </c>
      <c r="AZ927" s="440">
        <v>20</v>
      </c>
      <c r="BA927" s="440">
        <v>0</v>
      </c>
      <c r="BB927" s="440">
        <v>0</v>
      </c>
      <c r="BC927" s="440">
        <v>0</v>
      </c>
      <c r="BD927" s="440">
        <v>0</v>
      </c>
      <c r="BE927" s="440">
        <v>0</v>
      </c>
      <c r="BF927" s="440">
        <v>0</v>
      </c>
      <c r="BG927" s="440">
        <v>0</v>
      </c>
      <c r="BH927" s="440">
        <v>0</v>
      </c>
      <c r="BI927" s="440">
        <v>0</v>
      </c>
      <c r="BJ927" s="440">
        <v>0</v>
      </c>
      <c r="BK927" s="440">
        <v>0</v>
      </c>
      <c r="BL927" s="440">
        <v>0</v>
      </c>
      <c r="BM927" s="440">
        <v>0</v>
      </c>
      <c r="BN927" s="440">
        <v>0</v>
      </c>
      <c r="BO927" s="440">
        <v>0</v>
      </c>
      <c r="BP927" s="440">
        <v>0</v>
      </c>
      <c r="BQ927" s="440">
        <v>0</v>
      </c>
      <c r="BR927" s="415">
        <v>0.83333333333333337</v>
      </c>
      <c r="BS927" s="415">
        <v>0.83333333333333337</v>
      </c>
      <c r="BT927" s="935"/>
      <c r="BU927" s="935"/>
      <c r="BV927" s="935"/>
      <c r="BW927" s="935"/>
      <c r="BX927" s="935"/>
      <c r="BY927" s="935"/>
      <c r="BZ927" s="935"/>
      <c r="CA927" s="935"/>
      <c r="CB927" s="935"/>
      <c r="CC927" s="935"/>
      <c r="CD927" s="935"/>
      <c r="CE927" s="935"/>
      <c r="CF927" s="935"/>
      <c r="CG927" s="935"/>
      <c r="CH927" s="935"/>
      <c r="CI927" s="935"/>
      <c r="CJ927" s="935"/>
      <c r="CK927" s="935"/>
      <c r="CL927" s="935"/>
      <c r="CM927" s="935"/>
      <c r="CN927" s="935"/>
      <c r="CO927" s="935"/>
      <c r="CP927" s="935"/>
      <c r="CQ927" s="935"/>
      <c r="CR927" s="935"/>
      <c r="CS927" s="935"/>
      <c r="CT927" s="935"/>
      <c r="CU927" s="935"/>
      <c r="CV927" s="935"/>
    </row>
    <row r="928" spans="1:100" s="441" customFormat="1">
      <c r="A928" s="375">
        <f t="shared" si="260"/>
        <v>10</v>
      </c>
      <c r="B928" s="862">
        <v>44482</v>
      </c>
      <c r="C928" s="493" t="s">
        <v>2001</v>
      </c>
      <c r="D928" s="376" t="str">
        <f>IFERROR(VLOOKUP(E:E,'Item Data Support Sheet'!A:O,7,0),"")</f>
        <v>NIPPLE MOLDED</v>
      </c>
      <c r="E928" s="447" t="s">
        <v>74</v>
      </c>
      <c r="F928" s="500" t="s">
        <v>1678</v>
      </c>
      <c r="G928" s="497" t="s">
        <v>1691</v>
      </c>
      <c r="H928" s="602" t="str">
        <f>IFERROR(VLOOKUP(E:E,'Item Data Support Sheet'!A:O,2,0),"")</f>
        <v>NIPPLE S TYPE L SIZE INJECTION</v>
      </c>
      <c r="I928" s="501" t="s">
        <v>3676</v>
      </c>
      <c r="J928" s="501" t="s">
        <v>2811</v>
      </c>
      <c r="K928" s="499">
        <v>8</v>
      </c>
      <c r="L928" s="499">
        <v>4815</v>
      </c>
      <c r="M928" s="366">
        <v>601.875</v>
      </c>
      <c r="N928" s="367">
        <f t="shared" si="259"/>
        <v>4610</v>
      </c>
      <c r="O928" s="61">
        <v>4500</v>
      </c>
      <c r="P928" s="368">
        <v>0</v>
      </c>
      <c r="Q928" s="368">
        <v>58</v>
      </c>
      <c r="R928" s="494">
        <v>0</v>
      </c>
      <c r="S928" s="493">
        <v>0</v>
      </c>
      <c r="T928" s="494">
        <v>52</v>
      </c>
      <c r="U928" s="493">
        <v>0</v>
      </c>
      <c r="V928" s="502">
        <v>1</v>
      </c>
      <c r="W928" s="453">
        <f t="shared" si="261"/>
        <v>4500</v>
      </c>
      <c r="X928" s="748">
        <f t="shared" si="262"/>
        <v>0.93457943925233644</v>
      </c>
      <c r="Y928" s="451" t="str">
        <f>IFERROR(VLOOKUP(E:E,'Item Data Support Sheet'!A:J,6,0),0)</f>
        <v>Silicon</v>
      </c>
      <c r="Z928" s="428">
        <f>IFERROR(VLOOKUP(E:E,'Item Data Support Sheet'!A:O,4,0),0)</f>
        <v>6.8</v>
      </c>
      <c r="AA928" s="428">
        <f t="shared" si="263"/>
        <v>31.347999999999999</v>
      </c>
      <c r="AB928" s="429">
        <f t="shared" si="264"/>
        <v>0.97613882863340562</v>
      </c>
      <c r="AC928" s="424">
        <f t="shared" si="265"/>
        <v>1.1423550087873463E-2</v>
      </c>
      <c r="AD928" s="371">
        <f t="shared" si="266"/>
        <v>1.2425021422450729E-2</v>
      </c>
      <c r="AE928" s="748">
        <f t="shared" si="267"/>
        <v>0.98872017353579178</v>
      </c>
      <c r="AF928" s="417">
        <f t="shared" si="268"/>
        <v>1</v>
      </c>
      <c r="AG928" s="416">
        <f t="shared" si="269"/>
        <v>7</v>
      </c>
      <c r="AH928" s="372">
        <f t="shared" si="270"/>
        <v>0.875</v>
      </c>
      <c r="AI928" s="373">
        <f t="shared" si="271"/>
        <v>562.5</v>
      </c>
      <c r="AJ928" s="418">
        <f>VLOOKUP(D928,'Standard Cycle time'!C:D,2,0)</f>
        <v>5.25</v>
      </c>
      <c r="AK928" s="418">
        <f t="shared" si="272"/>
        <v>5.6</v>
      </c>
      <c r="AL928" s="374">
        <f t="shared" si="273"/>
        <v>0.93750000000000011</v>
      </c>
      <c r="AM928" s="372">
        <f t="shared" si="274"/>
        <v>0.81105951735357928</v>
      </c>
      <c r="AN928" s="799">
        <v>0.81105951735357928</v>
      </c>
      <c r="AO928" s="448"/>
      <c r="AP928" s="440">
        <v>0</v>
      </c>
      <c r="AQ928" s="440">
        <v>0</v>
      </c>
      <c r="AR928" s="440">
        <v>0</v>
      </c>
      <c r="AS928" s="440">
        <v>0</v>
      </c>
      <c r="AT928" s="440">
        <v>0</v>
      </c>
      <c r="AU928" s="440">
        <v>30</v>
      </c>
      <c r="AV928" s="440">
        <v>0</v>
      </c>
      <c r="AW928" s="440">
        <v>30</v>
      </c>
      <c r="AX928" s="440">
        <v>0</v>
      </c>
      <c r="AY928" s="440">
        <v>0</v>
      </c>
      <c r="AZ928" s="440">
        <v>0</v>
      </c>
      <c r="BA928" s="440">
        <v>0</v>
      </c>
      <c r="BB928" s="440">
        <v>0</v>
      </c>
      <c r="BC928" s="440">
        <v>0</v>
      </c>
      <c r="BD928" s="440">
        <v>0</v>
      </c>
      <c r="BE928" s="440">
        <v>0</v>
      </c>
      <c r="BF928" s="440">
        <v>0</v>
      </c>
      <c r="BG928" s="440">
        <v>0</v>
      </c>
      <c r="BH928" s="440">
        <v>0</v>
      </c>
      <c r="BI928" s="440">
        <v>0</v>
      </c>
      <c r="BJ928" s="440">
        <v>0</v>
      </c>
      <c r="BK928" s="440">
        <v>0</v>
      </c>
      <c r="BL928" s="440">
        <v>0</v>
      </c>
      <c r="BM928" s="440">
        <v>0</v>
      </c>
      <c r="BN928" s="440">
        <v>0</v>
      </c>
      <c r="BO928" s="440">
        <v>0</v>
      </c>
      <c r="BP928" s="440">
        <v>0</v>
      </c>
      <c r="BQ928" s="440">
        <v>0</v>
      </c>
      <c r="BR928" s="415">
        <v>1</v>
      </c>
      <c r="BS928" s="415">
        <v>1</v>
      </c>
      <c r="BT928" s="935"/>
      <c r="BU928" s="935"/>
      <c r="BV928" s="935"/>
      <c r="BW928" s="935"/>
      <c r="BX928" s="935"/>
      <c r="BY928" s="935"/>
      <c r="BZ928" s="935"/>
      <c r="CA928" s="935"/>
      <c r="CB928" s="935"/>
      <c r="CC928" s="935"/>
      <c r="CD928" s="935"/>
      <c r="CE928" s="935"/>
      <c r="CF928" s="935"/>
      <c r="CG928" s="935"/>
      <c r="CH928" s="935"/>
      <c r="CI928" s="935"/>
      <c r="CJ928" s="935"/>
      <c r="CK928" s="935"/>
      <c r="CL928" s="935"/>
      <c r="CM928" s="935"/>
      <c r="CN928" s="935"/>
      <c r="CO928" s="935"/>
      <c r="CP928" s="935"/>
      <c r="CQ928" s="935"/>
      <c r="CR928" s="935"/>
      <c r="CS928" s="935"/>
      <c r="CT928" s="935"/>
      <c r="CU928" s="935"/>
      <c r="CV928" s="935"/>
    </row>
    <row r="929" spans="1:100" s="441" customFormat="1">
      <c r="A929" s="375">
        <f t="shared" si="260"/>
        <v>10</v>
      </c>
      <c r="B929" s="862">
        <v>44482</v>
      </c>
      <c r="C929" s="493" t="s">
        <v>2001</v>
      </c>
      <c r="D929" s="376" t="str">
        <f>IFERROR(VLOOKUP(E:E,'Item Data Support Sheet'!A:O,7,0),"")</f>
        <v>NIPPLE PUNCH</v>
      </c>
      <c r="E929" s="447" t="s">
        <v>82</v>
      </c>
      <c r="F929" s="500"/>
      <c r="G929" s="497"/>
      <c r="H929" s="602" t="str">
        <f>IFERROR(VLOOKUP(E:E,'Item Data Support Sheet'!A:O,2,0),"")</f>
        <v>NIPPLE S TYPE L SIZE PUNCHED</v>
      </c>
      <c r="I929" s="501" t="s">
        <v>3677</v>
      </c>
      <c r="J929" s="501" t="s">
        <v>2811</v>
      </c>
      <c r="K929" s="499">
        <v>8</v>
      </c>
      <c r="L929" s="499">
        <v>7000</v>
      </c>
      <c r="M929" s="366">
        <v>875</v>
      </c>
      <c r="N929" s="367">
        <f t="shared" si="259"/>
        <v>6730</v>
      </c>
      <c r="O929" s="61">
        <v>6730</v>
      </c>
      <c r="P929" s="368">
        <v>0</v>
      </c>
      <c r="Q929" s="368">
        <v>0</v>
      </c>
      <c r="R929" s="494">
        <v>0</v>
      </c>
      <c r="S929" s="493">
        <v>0</v>
      </c>
      <c r="T929" s="494">
        <v>0</v>
      </c>
      <c r="U929" s="493">
        <v>0</v>
      </c>
      <c r="V929" s="502">
        <v>1</v>
      </c>
      <c r="W929" s="453">
        <f t="shared" si="261"/>
        <v>6730</v>
      </c>
      <c r="X929" s="748">
        <f t="shared" si="262"/>
        <v>0.96142857142857141</v>
      </c>
      <c r="Y929" s="451" t="str">
        <f>IFERROR(VLOOKUP(E:E,'Item Data Support Sheet'!A:J,6,0),0)</f>
        <v>FO017</v>
      </c>
      <c r="Z929" s="428">
        <f>IFERROR(VLOOKUP(E:E,'Item Data Support Sheet'!A:O,4,0),0)</f>
        <v>0</v>
      </c>
      <c r="AA929" s="428">
        <f t="shared" si="263"/>
        <v>0</v>
      </c>
      <c r="AB929" s="429" t="str">
        <f t="shared" si="264"/>
        <v xml:space="preserve"> </v>
      </c>
      <c r="AC929" s="424">
        <f t="shared" si="265"/>
        <v>0</v>
      </c>
      <c r="AD929" s="371">
        <f t="shared" si="266"/>
        <v>0</v>
      </c>
      <c r="AE929" s="748">
        <f t="shared" si="267"/>
        <v>1</v>
      </c>
      <c r="AF929" s="417">
        <f t="shared" si="268"/>
        <v>0.66666666666666663</v>
      </c>
      <c r="AG929" s="416">
        <f t="shared" si="269"/>
        <v>7.333333333333333</v>
      </c>
      <c r="AH929" s="372">
        <f t="shared" si="270"/>
        <v>0.91666666666666663</v>
      </c>
      <c r="AI929" s="373">
        <f t="shared" si="271"/>
        <v>841.25</v>
      </c>
      <c r="AJ929" s="418">
        <f>VLOOKUP(D929,'Standard Cycle time'!C:D,2,0)</f>
        <v>3.5</v>
      </c>
      <c r="AK929" s="418">
        <f t="shared" si="272"/>
        <v>3.9227340267459136</v>
      </c>
      <c r="AL929" s="374">
        <f t="shared" si="273"/>
        <v>0.89223484848484858</v>
      </c>
      <c r="AM929" s="372">
        <f t="shared" si="274"/>
        <v>0.81788194444444451</v>
      </c>
      <c r="AN929" s="799">
        <v>0.81788194444444451</v>
      </c>
      <c r="AO929" s="448" t="s">
        <v>3678</v>
      </c>
      <c r="AP929" s="440">
        <v>40</v>
      </c>
      <c r="AQ929" s="440">
        <v>0</v>
      </c>
      <c r="AR929" s="440">
        <v>0</v>
      </c>
      <c r="AS929" s="440">
        <v>0</v>
      </c>
      <c r="AT929" s="440">
        <v>0</v>
      </c>
      <c r="AU929" s="440">
        <v>0</v>
      </c>
      <c r="AV929" s="440">
        <v>0</v>
      </c>
      <c r="AW929" s="440">
        <v>0</v>
      </c>
      <c r="AX929" s="440">
        <v>0</v>
      </c>
      <c r="AY929" s="440">
        <v>0</v>
      </c>
      <c r="AZ929" s="440">
        <v>0</v>
      </c>
      <c r="BA929" s="440">
        <v>0</v>
      </c>
      <c r="BB929" s="440">
        <v>0</v>
      </c>
      <c r="BC929" s="440">
        <v>0</v>
      </c>
      <c r="BD929" s="440">
        <v>0</v>
      </c>
      <c r="BE929" s="440">
        <v>0</v>
      </c>
      <c r="BF929" s="440">
        <v>0</v>
      </c>
      <c r="BG929" s="440">
        <v>0</v>
      </c>
      <c r="BH929" s="440">
        <v>0</v>
      </c>
      <c r="BI929" s="440">
        <v>0</v>
      </c>
      <c r="BJ929" s="440">
        <v>0</v>
      </c>
      <c r="BK929" s="440">
        <v>0</v>
      </c>
      <c r="BL929" s="440">
        <v>0</v>
      </c>
      <c r="BM929" s="440">
        <v>0</v>
      </c>
      <c r="BN929" s="440">
        <v>0</v>
      </c>
      <c r="BO929" s="440">
        <v>0</v>
      </c>
      <c r="BP929" s="440">
        <v>0</v>
      </c>
      <c r="BQ929" s="440">
        <v>0</v>
      </c>
      <c r="BR929" s="415">
        <v>0.66666666666666663</v>
      </c>
      <c r="BS929" s="415">
        <v>0.66666666666666663</v>
      </c>
      <c r="BT929" s="935"/>
      <c r="BU929" s="935"/>
      <c r="BV929" s="935"/>
      <c r="BW929" s="935"/>
      <c r="BX929" s="935"/>
      <c r="BY929" s="935"/>
      <c r="BZ929" s="935"/>
      <c r="CA929" s="935"/>
      <c r="CB929" s="935"/>
      <c r="CC929" s="935"/>
      <c r="CD929" s="935"/>
      <c r="CE929" s="935"/>
      <c r="CF929" s="935"/>
      <c r="CG929" s="935"/>
      <c r="CH929" s="935"/>
      <c r="CI929" s="935"/>
      <c r="CJ929" s="935"/>
      <c r="CK929" s="935"/>
      <c r="CL929" s="935"/>
      <c r="CM929" s="935"/>
      <c r="CN929" s="935"/>
      <c r="CO929" s="935"/>
      <c r="CP929" s="935"/>
      <c r="CQ929" s="935"/>
      <c r="CR929" s="935"/>
      <c r="CS929" s="935"/>
      <c r="CT929" s="935"/>
      <c r="CU929" s="935"/>
      <c r="CV929" s="935"/>
    </row>
    <row r="930" spans="1:100" s="441" customFormat="1">
      <c r="A930" s="375">
        <f t="shared" si="260"/>
        <v>10</v>
      </c>
      <c r="B930" s="862">
        <v>44482</v>
      </c>
      <c r="C930" s="493" t="s">
        <v>2001</v>
      </c>
      <c r="D930" s="376" t="str">
        <f>IFERROR(VLOOKUP(E:E,'Item Data Support Sheet'!A:O,7,0),"")</f>
        <v>NIPPLE LASER MARKING</v>
      </c>
      <c r="E930" s="447" t="s">
        <v>1816</v>
      </c>
      <c r="F930" s="500"/>
      <c r="G930" s="497" t="s">
        <v>1812</v>
      </c>
      <c r="H930" s="602" t="str">
        <f>IFERROR(VLOOKUP(E:E,'Item Data Support Sheet'!A:O,2,0),"")</f>
        <v>NIPPLE S TYPE L SIZE PUNCHED LASER MARKED</v>
      </c>
      <c r="I930" s="501" t="s">
        <v>3665</v>
      </c>
      <c r="J930" s="501" t="s">
        <v>2811</v>
      </c>
      <c r="K930" s="499">
        <v>8</v>
      </c>
      <c r="L930" s="499">
        <v>7000</v>
      </c>
      <c r="M930" s="366">
        <v>875</v>
      </c>
      <c r="N930" s="367">
        <f t="shared" si="259"/>
        <v>6730</v>
      </c>
      <c r="O930" s="61">
        <v>6730</v>
      </c>
      <c r="P930" s="368">
        <v>0</v>
      </c>
      <c r="Q930" s="368">
        <v>0</v>
      </c>
      <c r="R930" s="494">
        <v>0</v>
      </c>
      <c r="S930" s="493">
        <v>0</v>
      </c>
      <c r="T930" s="494">
        <v>0</v>
      </c>
      <c r="U930" s="493">
        <v>0</v>
      </c>
      <c r="V930" s="502">
        <v>1</v>
      </c>
      <c r="W930" s="453">
        <f t="shared" si="261"/>
        <v>6730</v>
      </c>
      <c r="X930" s="748">
        <f t="shared" si="262"/>
        <v>0.96142857142857141</v>
      </c>
      <c r="Y930" s="451" t="str">
        <f>IFERROR(VLOOKUP(E:E,'Item Data Support Sheet'!A:J,6,0),0)</f>
        <v>FO021</v>
      </c>
      <c r="Z930" s="428">
        <f>IFERROR(VLOOKUP(E:E,'Item Data Support Sheet'!A:O,4,0),0)</f>
        <v>0</v>
      </c>
      <c r="AA930" s="428">
        <f t="shared" si="263"/>
        <v>0</v>
      </c>
      <c r="AB930" s="429" t="str">
        <f t="shared" si="264"/>
        <v xml:space="preserve"> </v>
      </c>
      <c r="AC930" s="424">
        <f t="shared" si="265"/>
        <v>0</v>
      </c>
      <c r="AD930" s="371">
        <f t="shared" si="266"/>
        <v>0</v>
      </c>
      <c r="AE930" s="748">
        <f t="shared" si="267"/>
        <v>1</v>
      </c>
      <c r="AF930" s="417">
        <f t="shared" si="268"/>
        <v>0.66666666666666663</v>
      </c>
      <c r="AG930" s="416">
        <f t="shared" si="269"/>
        <v>7.333333333333333</v>
      </c>
      <c r="AH930" s="372">
        <f t="shared" si="270"/>
        <v>0.91666666666666663</v>
      </c>
      <c r="AI930" s="373">
        <f t="shared" si="271"/>
        <v>841.25</v>
      </c>
      <c r="AJ930" s="418">
        <f>VLOOKUP(D930,'Standard Cycle time'!C:D,2,0)</f>
        <v>3.5</v>
      </c>
      <c r="AK930" s="418">
        <f t="shared" si="272"/>
        <v>3.9227340267459136</v>
      </c>
      <c r="AL930" s="374">
        <f t="shared" si="273"/>
        <v>0.89223484848484858</v>
      </c>
      <c r="AM930" s="372">
        <f t="shared" si="274"/>
        <v>0.81788194444444451</v>
      </c>
      <c r="AN930" s="799">
        <v>0.81788194444444451</v>
      </c>
      <c r="AO930" s="448"/>
      <c r="AP930" s="440">
        <v>40</v>
      </c>
      <c r="AQ930" s="440">
        <v>0</v>
      </c>
      <c r="AR930" s="440">
        <v>0</v>
      </c>
      <c r="AS930" s="440">
        <v>0</v>
      </c>
      <c r="AT930" s="440">
        <v>0</v>
      </c>
      <c r="AU930" s="440">
        <v>0</v>
      </c>
      <c r="AV930" s="440">
        <v>0</v>
      </c>
      <c r="AW930" s="440">
        <v>0</v>
      </c>
      <c r="AX930" s="440">
        <v>0</v>
      </c>
      <c r="AY930" s="440">
        <v>0</v>
      </c>
      <c r="AZ930" s="440">
        <v>0</v>
      </c>
      <c r="BA930" s="440">
        <v>0</v>
      </c>
      <c r="BB930" s="440">
        <v>0</v>
      </c>
      <c r="BC930" s="440">
        <v>0</v>
      </c>
      <c r="BD930" s="440">
        <v>0</v>
      </c>
      <c r="BE930" s="440">
        <v>0</v>
      </c>
      <c r="BF930" s="440">
        <v>0</v>
      </c>
      <c r="BG930" s="440">
        <v>0</v>
      </c>
      <c r="BH930" s="440">
        <v>0</v>
      </c>
      <c r="BI930" s="440">
        <v>0</v>
      </c>
      <c r="BJ930" s="440">
        <v>0</v>
      </c>
      <c r="BK930" s="440">
        <v>0</v>
      </c>
      <c r="BL930" s="440">
        <v>0</v>
      </c>
      <c r="BM930" s="440">
        <v>0</v>
      </c>
      <c r="BN930" s="440">
        <v>0</v>
      </c>
      <c r="BO930" s="440">
        <v>0</v>
      </c>
      <c r="BP930" s="440">
        <v>0</v>
      </c>
      <c r="BQ930" s="440">
        <v>0</v>
      </c>
      <c r="BR930" s="415">
        <v>0.66666666666666663</v>
      </c>
      <c r="BS930" s="415">
        <v>0.66666666666666663</v>
      </c>
      <c r="BT930" s="935"/>
      <c r="BU930" s="935"/>
      <c r="BV930" s="935"/>
      <c r="BW930" s="935"/>
      <c r="BX930" s="935"/>
      <c r="BY930" s="935"/>
      <c r="BZ930" s="935"/>
      <c r="CA930" s="935"/>
      <c r="CB930" s="935"/>
      <c r="CC930" s="935"/>
      <c r="CD930" s="935"/>
      <c r="CE930" s="935"/>
      <c r="CF930" s="935"/>
      <c r="CG930" s="935"/>
      <c r="CH930" s="935"/>
      <c r="CI930" s="935"/>
      <c r="CJ930" s="935"/>
      <c r="CK930" s="935"/>
      <c r="CL930" s="935"/>
      <c r="CM930" s="935"/>
      <c r="CN930" s="935"/>
      <c r="CO930" s="935"/>
      <c r="CP930" s="935"/>
      <c r="CQ930" s="935"/>
      <c r="CR930" s="935"/>
      <c r="CS930" s="935"/>
      <c r="CT930" s="935"/>
      <c r="CU930" s="935"/>
      <c r="CV930" s="935"/>
    </row>
    <row r="931" spans="1:100" s="441" customFormat="1">
      <c r="A931" s="375">
        <f t="shared" si="260"/>
        <v>10</v>
      </c>
      <c r="B931" s="862">
        <v>44482</v>
      </c>
      <c r="C931" s="493" t="s">
        <v>2053</v>
      </c>
      <c r="D931" s="376" t="str">
        <f>IFERROR(VLOOKUP(E:E,'Item Data Support Sheet'!A:O,7,0),"")</f>
        <v>NIPPLE MOLDED</v>
      </c>
      <c r="E931" s="447" t="s">
        <v>74</v>
      </c>
      <c r="F931" s="500" t="s">
        <v>1678</v>
      </c>
      <c r="G931" s="497" t="s">
        <v>1691</v>
      </c>
      <c r="H931" s="602" t="str">
        <f>IFERROR(VLOOKUP(E:E,'Item Data Support Sheet'!A:O,2,0),"")</f>
        <v>NIPPLE S TYPE L SIZE INJECTION</v>
      </c>
      <c r="I931" s="501" t="s">
        <v>3679</v>
      </c>
      <c r="J931" s="501" t="s">
        <v>2826</v>
      </c>
      <c r="K931" s="499">
        <v>8</v>
      </c>
      <c r="L931" s="499">
        <v>4815</v>
      </c>
      <c r="M931" s="366">
        <v>601.875</v>
      </c>
      <c r="N931" s="367">
        <f t="shared" si="259"/>
        <v>4043</v>
      </c>
      <c r="O931" s="61">
        <v>4000</v>
      </c>
      <c r="P931" s="368">
        <v>0.4</v>
      </c>
      <c r="Q931" s="368">
        <v>0</v>
      </c>
      <c r="R931" s="494">
        <v>0</v>
      </c>
      <c r="S931" s="493">
        <v>0</v>
      </c>
      <c r="T931" s="494">
        <v>35</v>
      </c>
      <c r="U931" s="493">
        <v>8</v>
      </c>
      <c r="V931" s="502">
        <v>1</v>
      </c>
      <c r="W931" s="453">
        <f t="shared" si="261"/>
        <v>4000</v>
      </c>
      <c r="X931" s="748">
        <f t="shared" si="262"/>
        <v>0.83073727933541019</v>
      </c>
      <c r="Y931" s="451" t="str">
        <f>IFERROR(VLOOKUP(E:E,'Item Data Support Sheet'!A:J,6,0),0)</f>
        <v>Silicon</v>
      </c>
      <c r="Z931" s="428">
        <f>IFERROR(VLOOKUP(E:E,'Item Data Support Sheet'!A:O,4,0),0)</f>
        <v>6.8</v>
      </c>
      <c r="AA931" s="428">
        <f t="shared" si="263"/>
        <v>27.892399999999999</v>
      </c>
      <c r="AB931" s="429">
        <f t="shared" si="264"/>
        <v>0.97517603361489158</v>
      </c>
      <c r="AC931" s="424">
        <f t="shared" si="265"/>
        <v>8.6741016109045856E-3</v>
      </c>
      <c r="AD931" s="371">
        <f t="shared" si="266"/>
        <v>0</v>
      </c>
      <c r="AE931" s="748">
        <f t="shared" si="267"/>
        <v>0.99134306208261191</v>
      </c>
      <c r="AF931" s="417">
        <f t="shared" si="268"/>
        <v>1.5</v>
      </c>
      <c r="AG931" s="416">
        <f t="shared" si="269"/>
        <v>6.5</v>
      </c>
      <c r="AH931" s="372">
        <f t="shared" si="270"/>
        <v>0.8125</v>
      </c>
      <c r="AI931" s="373">
        <f t="shared" si="271"/>
        <v>500</v>
      </c>
      <c r="AJ931" s="418">
        <f>VLOOKUP(D931,'Standard Cycle time'!C:D,2,0)</f>
        <v>5.25</v>
      </c>
      <c r="AK931" s="418">
        <f t="shared" si="272"/>
        <v>5.85</v>
      </c>
      <c r="AL931" s="374">
        <f t="shared" si="273"/>
        <v>0.89743589743589747</v>
      </c>
      <c r="AM931" s="372">
        <f t="shared" si="274"/>
        <v>0.72285431610190454</v>
      </c>
      <c r="AN931" s="799">
        <v>0.72285431610190454</v>
      </c>
      <c r="AO931" s="448"/>
      <c r="AP931" s="440">
        <v>0</v>
      </c>
      <c r="AQ931" s="440">
        <v>0</v>
      </c>
      <c r="AR931" s="440">
        <v>0</v>
      </c>
      <c r="AS931" s="440">
        <v>0</v>
      </c>
      <c r="AT931" s="440">
        <v>0</v>
      </c>
      <c r="AU931" s="440">
        <v>30</v>
      </c>
      <c r="AV931" s="440">
        <v>30</v>
      </c>
      <c r="AW931" s="440">
        <v>30</v>
      </c>
      <c r="AX931" s="440">
        <v>0</v>
      </c>
      <c r="AY931" s="440">
        <v>0</v>
      </c>
      <c r="AZ931" s="440">
        <v>0</v>
      </c>
      <c r="BA931" s="440">
        <v>0</v>
      </c>
      <c r="BB931" s="440">
        <v>0</v>
      </c>
      <c r="BC931" s="440">
        <v>0</v>
      </c>
      <c r="BD931" s="440">
        <v>0</v>
      </c>
      <c r="BE931" s="440">
        <v>0</v>
      </c>
      <c r="BF931" s="440">
        <v>0</v>
      </c>
      <c r="BG931" s="440">
        <v>0</v>
      </c>
      <c r="BH931" s="440">
        <v>0</v>
      </c>
      <c r="BI931" s="440">
        <v>0</v>
      </c>
      <c r="BJ931" s="440">
        <v>0</v>
      </c>
      <c r="BK931" s="440">
        <v>0</v>
      </c>
      <c r="BL931" s="440">
        <v>0</v>
      </c>
      <c r="BM931" s="440">
        <v>0</v>
      </c>
      <c r="BN931" s="440">
        <v>0</v>
      </c>
      <c r="BO931" s="440">
        <v>0</v>
      </c>
      <c r="BP931" s="440">
        <v>0</v>
      </c>
      <c r="BQ931" s="440">
        <v>0</v>
      </c>
      <c r="BR931" s="415">
        <v>1.5</v>
      </c>
      <c r="BS931" s="415">
        <v>1.5</v>
      </c>
      <c r="BT931" s="935"/>
      <c r="BU931" s="935"/>
      <c r="BV931" s="935"/>
      <c r="BW931" s="935"/>
      <c r="BX931" s="935"/>
      <c r="BY931" s="935"/>
      <c r="BZ931" s="935"/>
      <c r="CA931" s="935"/>
      <c r="CB931" s="935"/>
      <c r="CC931" s="935"/>
      <c r="CD931" s="935"/>
      <c r="CE931" s="935"/>
      <c r="CF931" s="935"/>
      <c r="CG931" s="935"/>
      <c r="CH931" s="935"/>
      <c r="CI931" s="935"/>
      <c r="CJ931" s="935"/>
      <c r="CK931" s="935"/>
      <c r="CL931" s="935"/>
      <c r="CM931" s="935"/>
      <c r="CN931" s="935"/>
      <c r="CO931" s="935"/>
      <c r="CP931" s="935"/>
      <c r="CQ931" s="935"/>
      <c r="CR931" s="935"/>
      <c r="CS931" s="935"/>
      <c r="CT931" s="935"/>
      <c r="CU931" s="935"/>
      <c r="CV931" s="935"/>
    </row>
    <row r="932" spans="1:100" s="441" customFormat="1">
      <c r="A932" s="375">
        <f t="shared" si="260"/>
        <v>10</v>
      </c>
      <c r="B932" s="862">
        <v>44482</v>
      </c>
      <c r="C932" s="493" t="s">
        <v>2053</v>
      </c>
      <c r="D932" s="376" t="str">
        <f>IFERROR(VLOOKUP(E:E,'Item Data Support Sheet'!A:O,7,0),"")</f>
        <v>CAP MOLDED</v>
      </c>
      <c r="E932" s="447" t="s">
        <v>2110</v>
      </c>
      <c r="F932" s="500"/>
      <c r="G932" s="497" t="s">
        <v>3212</v>
      </c>
      <c r="H932" s="602" t="str">
        <f>IFERROR(VLOOKUP(E:E,'Item Data Support Sheet'!A:O,2,0),"")</f>
        <v>CAP S TYPE MOLDED WHITE</v>
      </c>
      <c r="I932" s="501" t="s">
        <v>3680</v>
      </c>
      <c r="J932" s="501" t="s">
        <v>2826</v>
      </c>
      <c r="K932" s="499">
        <v>5</v>
      </c>
      <c r="L932" s="499">
        <v>2600</v>
      </c>
      <c r="M932" s="366">
        <v>520</v>
      </c>
      <c r="N932" s="367">
        <f t="shared" si="259"/>
        <v>2612</v>
      </c>
      <c r="O932" s="61">
        <v>2600</v>
      </c>
      <c r="P932" s="368">
        <v>0</v>
      </c>
      <c r="Q932" s="368">
        <v>0</v>
      </c>
      <c r="R932" s="494">
        <v>0</v>
      </c>
      <c r="S932" s="493">
        <v>0</v>
      </c>
      <c r="T932" s="494">
        <v>4</v>
      </c>
      <c r="U932" s="493">
        <v>8</v>
      </c>
      <c r="V932" s="502">
        <v>1</v>
      </c>
      <c r="W932" s="453">
        <f t="shared" si="261"/>
        <v>2600</v>
      </c>
      <c r="X932" s="748">
        <f t="shared" si="262"/>
        <v>1</v>
      </c>
      <c r="Y932" s="451" t="str">
        <f>IFERROR(VLOOKUP(E:E,'Item Data Support Sheet'!A:J,6,0),0)</f>
        <v>RM000106</v>
      </c>
      <c r="Z932" s="428">
        <f>IFERROR(VLOOKUP(E:E,'Item Data Support Sheet'!A:O,4,0),0)</f>
        <v>7.3</v>
      </c>
      <c r="AA932" s="428">
        <f t="shared" si="263"/>
        <v>19.067599999999999</v>
      </c>
      <c r="AB932" s="429">
        <f t="shared" si="264"/>
        <v>0.99540581929555905</v>
      </c>
      <c r="AC932" s="424">
        <f t="shared" si="265"/>
        <v>1.5360983102918587E-3</v>
      </c>
      <c r="AD932" s="371">
        <f t="shared" si="266"/>
        <v>0</v>
      </c>
      <c r="AE932" s="748">
        <f t="shared" si="267"/>
        <v>0.99846860643185298</v>
      </c>
      <c r="AF932" s="417">
        <f t="shared" si="268"/>
        <v>1</v>
      </c>
      <c r="AG932" s="416">
        <f t="shared" si="269"/>
        <v>4</v>
      </c>
      <c r="AH932" s="372">
        <f t="shared" si="270"/>
        <v>0.8</v>
      </c>
      <c r="AI932" s="373">
        <f t="shared" si="271"/>
        <v>520</v>
      </c>
      <c r="AJ932" s="418">
        <f>VLOOKUP(D932,'Standard Cycle time'!C:D,2,0)</f>
        <v>6</v>
      </c>
      <c r="AK932" s="418">
        <f t="shared" si="272"/>
        <v>5.5384615384615383</v>
      </c>
      <c r="AL932" s="374">
        <f t="shared" si="273"/>
        <v>1.0833333333333333</v>
      </c>
      <c r="AM932" s="372">
        <f t="shared" si="274"/>
        <v>0.86533945890760577</v>
      </c>
      <c r="AN932" s="799">
        <v>0.86533945890760577</v>
      </c>
      <c r="AO932" s="448"/>
      <c r="AP932" s="440">
        <v>0</v>
      </c>
      <c r="AQ932" s="440">
        <v>0</v>
      </c>
      <c r="AR932" s="440">
        <v>0</v>
      </c>
      <c r="AS932" s="440">
        <v>0</v>
      </c>
      <c r="AT932" s="440">
        <v>0</v>
      </c>
      <c r="AU932" s="440">
        <v>0</v>
      </c>
      <c r="AV932" s="440">
        <v>0</v>
      </c>
      <c r="AW932" s="440">
        <v>30</v>
      </c>
      <c r="AX932" s="440">
        <v>0</v>
      </c>
      <c r="AY932" s="440">
        <v>0</v>
      </c>
      <c r="AZ932" s="440">
        <v>30</v>
      </c>
      <c r="BA932" s="440">
        <v>0</v>
      </c>
      <c r="BB932" s="440">
        <v>0</v>
      </c>
      <c r="BC932" s="440">
        <v>0</v>
      </c>
      <c r="BD932" s="440">
        <v>0</v>
      </c>
      <c r="BE932" s="440">
        <v>0</v>
      </c>
      <c r="BF932" s="440">
        <v>0</v>
      </c>
      <c r="BG932" s="440">
        <v>0</v>
      </c>
      <c r="BH932" s="440">
        <v>0</v>
      </c>
      <c r="BI932" s="440">
        <v>0</v>
      </c>
      <c r="BJ932" s="440">
        <v>0</v>
      </c>
      <c r="BK932" s="440">
        <v>0</v>
      </c>
      <c r="BL932" s="440">
        <v>0</v>
      </c>
      <c r="BM932" s="440">
        <v>0</v>
      </c>
      <c r="BN932" s="440">
        <v>0</v>
      </c>
      <c r="BO932" s="440">
        <v>0</v>
      </c>
      <c r="BP932" s="440">
        <v>0</v>
      </c>
      <c r="BQ932" s="440">
        <v>0</v>
      </c>
      <c r="BR932" s="415">
        <v>1</v>
      </c>
      <c r="BS932" s="415">
        <v>1</v>
      </c>
      <c r="BT932" s="935"/>
      <c r="BU932" s="935"/>
      <c r="BV932" s="935"/>
      <c r="BW932" s="935"/>
      <c r="BX932" s="935"/>
      <c r="BY932" s="935"/>
      <c r="BZ932" s="935"/>
      <c r="CA932" s="935"/>
      <c r="CB932" s="935"/>
      <c r="CC932" s="935"/>
      <c r="CD932" s="935"/>
      <c r="CE932" s="935"/>
      <c r="CF932" s="935"/>
      <c r="CG932" s="935"/>
      <c r="CH932" s="935"/>
      <c r="CI932" s="935"/>
      <c r="CJ932" s="935"/>
      <c r="CK932" s="935"/>
      <c r="CL932" s="935"/>
      <c r="CM932" s="935"/>
      <c r="CN932" s="935"/>
      <c r="CO932" s="935"/>
      <c r="CP932" s="935"/>
      <c r="CQ932" s="935"/>
      <c r="CR932" s="935"/>
      <c r="CS932" s="935"/>
      <c r="CT932" s="935"/>
      <c r="CU932" s="935"/>
      <c r="CV932" s="935"/>
    </row>
    <row r="933" spans="1:100" s="441" customFormat="1">
      <c r="A933" s="375">
        <f t="shared" si="260"/>
        <v>10</v>
      </c>
      <c r="B933" s="862">
        <v>44482</v>
      </c>
      <c r="C933" s="493" t="s">
        <v>2053</v>
      </c>
      <c r="D933" s="376" t="str">
        <f>IFERROR(VLOOKUP(E:E,'Item Data Support Sheet'!A:O,7,0),"")</f>
        <v>CAP MOLDED</v>
      </c>
      <c r="E933" s="447" t="s">
        <v>2110</v>
      </c>
      <c r="F933" s="500"/>
      <c r="G933" s="497" t="s">
        <v>3579</v>
      </c>
      <c r="H933" s="602" t="str">
        <f>IFERROR(VLOOKUP(E:E,'Item Data Support Sheet'!A:O,2,0),"")</f>
        <v>CAP S TYPE MOLDED WHITE</v>
      </c>
      <c r="I933" s="501" t="s">
        <v>3681</v>
      </c>
      <c r="J933" s="501" t="s">
        <v>2826</v>
      </c>
      <c r="K933" s="499">
        <v>3</v>
      </c>
      <c r="L933" s="499">
        <v>1537</v>
      </c>
      <c r="M933" s="366">
        <v>512.33333333333337</v>
      </c>
      <c r="N933" s="367">
        <f t="shared" si="259"/>
        <v>1554</v>
      </c>
      <c r="O933" s="61">
        <v>1554</v>
      </c>
      <c r="P933" s="368">
        <v>0</v>
      </c>
      <c r="Q933" s="368">
        <v>0</v>
      </c>
      <c r="R933" s="494">
        <v>0</v>
      </c>
      <c r="S933" s="493">
        <v>0</v>
      </c>
      <c r="T933" s="494">
        <v>0</v>
      </c>
      <c r="U933" s="493">
        <v>0</v>
      </c>
      <c r="V933" s="502">
        <v>1</v>
      </c>
      <c r="W933" s="453">
        <f t="shared" si="261"/>
        <v>1554</v>
      </c>
      <c r="X933" s="748">
        <f t="shared" si="262"/>
        <v>1.011060507482108</v>
      </c>
      <c r="Y933" s="451" t="str">
        <f>IFERROR(VLOOKUP(E:E,'Item Data Support Sheet'!A:J,6,0),0)</f>
        <v>RM000106</v>
      </c>
      <c r="Z933" s="428">
        <f>IFERROR(VLOOKUP(E:E,'Item Data Support Sheet'!A:O,4,0),0)</f>
        <v>7.3</v>
      </c>
      <c r="AA933" s="428">
        <f t="shared" si="263"/>
        <v>11.344200000000001</v>
      </c>
      <c r="AB933" s="429">
        <f t="shared" si="264"/>
        <v>1</v>
      </c>
      <c r="AC933" s="424">
        <f t="shared" si="265"/>
        <v>0</v>
      </c>
      <c r="AD933" s="371">
        <f t="shared" si="266"/>
        <v>0</v>
      </c>
      <c r="AE933" s="748">
        <f t="shared" si="267"/>
        <v>1</v>
      </c>
      <c r="AF933" s="417">
        <f t="shared" si="268"/>
        <v>0.5</v>
      </c>
      <c r="AG933" s="416">
        <f t="shared" si="269"/>
        <v>2.5</v>
      </c>
      <c r="AH933" s="372">
        <f t="shared" si="270"/>
        <v>0.83333333333333337</v>
      </c>
      <c r="AI933" s="373">
        <f t="shared" si="271"/>
        <v>518</v>
      </c>
      <c r="AJ933" s="418">
        <f>VLOOKUP(D933,'Standard Cycle time'!C:D,2,0)</f>
        <v>6</v>
      </c>
      <c r="AK933" s="418">
        <f t="shared" si="272"/>
        <v>5.7915057915057915</v>
      </c>
      <c r="AL933" s="374">
        <f t="shared" si="273"/>
        <v>1.036</v>
      </c>
      <c r="AM933" s="372">
        <f t="shared" si="274"/>
        <v>0.8633333333333334</v>
      </c>
      <c r="AN933" s="799">
        <v>0.8633333333333334</v>
      </c>
      <c r="AO933" s="448"/>
      <c r="AP933" s="440">
        <v>0</v>
      </c>
      <c r="AQ933" s="440">
        <v>0</v>
      </c>
      <c r="AR933" s="440">
        <v>0</v>
      </c>
      <c r="AS933" s="440">
        <v>0</v>
      </c>
      <c r="AT933" s="440">
        <v>0</v>
      </c>
      <c r="AU933" s="440">
        <v>0</v>
      </c>
      <c r="AV933" s="440">
        <v>30</v>
      </c>
      <c r="AW933" s="440">
        <v>0</v>
      </c>
      <c r="AX933" s="440">
        <v>0</v>
      </c>
      <c r="AY933" s="440">
        <v>0</v>
      </c>
      <c r="AZ933" s="440">
        <v>0</v>
      </c>
      <c r="BA933" s="440">
        <v>0</v>
      </c>
      <c r="BB933" s="440">
        <v>0</v>
      </c>
      <c r="BC933" s="440">
        <v>0</v>
      </c>
      <c r="BD933" s="440">
        <v>0</v>
      </c>
      <c r="BE933" s="440">
        <v>0</v>
      </c>
      <c r="BF933" s="440">
        <v>0</v>
      </c>
      <c r="BG933" s="440">
        <v>0</v>
      </c>
      <c r="BH933" s="440">
        <v>0</v>
      </c>
      <c r="BI933" s="440">
        <v>0</v>
      </c>
      <c r="BJ933" s="440">
        <v>0</v>
      </c>
      <c r="BK933" s="440">
        <v>0</v>
      </c>
      <c r="BL933" s="440">
        <v>0</v>
      </c>
      <c r="BM933" s="440">
        <v>0</v>
      </c>
      <c r="BN933" s="440">
        <v>0</v>
      </c>
      <c r="BO933" s="440">
        <v>0</v>
      </c>
      <c r="BP933" s="440">
        <v>0</v>
      </c>
      <c r="BQ933" s="440">
        <v>0</v>
      </c>
      <c r="BR933" s="415">
        <v>0.5</v>
      </c>
      <c r="BS933" s="415">
        <v>0.5</v>
      </c>
      <c r="BT933" s="935"/>
      <c r="BU933" s="935"/>
      <c r="BV933" s="935"/>
      <c r="BW933" s="935"/>
      <c r="BX933" s="935"/>
      <c r="BY933" s="935"/>
      <c r="BZ933" s="935"/>
      <c r="CA933" s="935"/>
      <c r="CB933" s="935"/>
      <c r="CC933" s="935"/>
      <c r="CD933" s="935"/>
      <c r="CE933" s="935"/>
      <c r="CF933" s="935"/>
      <c r="CG933" s="935"/>
      <c r="CH933" s="935"/>
      <c r="CI933" s="935"/>
      <c r="CJ933" s="935"/>
      <c r="CK933" s="935"/>
      <c r="CL933" s="935"/>
      <c r="CM933" s="935"/>
      <c r="CN933" s="935"/>
      <c r="CO933" s="935"/>
      <c r="CP933" s="935"/>
      <c r="CQ933" s="935"/>
      <c r="CR933" s="935"/>
      <c r="CS933" s="935"/>
      <c r="CT933" s="935"/>
      <c r="CU933" s="935"/>
      <c r="CV933" s="935"/>
    </row>
    <row r="934" spans="1:100" s="441" customFormat="1">
      <c r="A934" s="375">
        <f t="shared" si="260"/>
        <v>10</v>
      </c>
      <c r="B934" s="862">
        <v>44487</v>
      </c>
      <c r="C934" s="493" t="s">
        <v>1980</v>
      </c>
      <c r="D934" s="376" t="str">
        <f>IFERROR(VLOOKUP(E:E,'Item Data Support Sheet'!A:O,7,0),"")</f>
        <v>NIPPLE PUNCH</v>
      </c>
      <c r="E934" s="447" t="s">
        <v>82</v>
      </c>
      <c r="F934" s="500"/>
      <c r="G934" s="497" t="s">
        <v>1692</v>
      </c>
      <c r="H934" s="602" t="str">
        <f>IFERROR(VLOOKUP(E:E,'Item Data Support Sheet'!A:O,2,0),"")</f>
        <v>NIPPLE S TYPE L SIZE PUNCHED</v>
      </c>
      <c r="I934" s="501" t="s">
        <v>3682</v>
      </c>
      <c r="J934" s="501" t="s">
        <v>2826</v>
      </c>
      <c r="K934" s="499">
        <v>8</v>
      </c>
      <c r="L934" s="499">
        <v>7000</v>
      </c>
      <c r="M934" s="366">
        <v>875</v>
      </c>
      <c r="N934" s="367">
        <f t="shared" si="259"/>
        <v>4410</v>
      </c>
      <c r="O934" s="61">
        <v>4410</v>
      </c>
      <c r="P934" s="368">
        <v>0</v>
      </c>
      <c r="Q934" s="368">
        <v>0</v>
      </c>
      <c r="R934" s="494">
        <v>0</v>
      </c>
      <c r="S934" s="493">
        <v>0</v>
      </c>
      <c r="T934" s="494">
        <v>0</v>
      </c>
      <c r="U934" s="493">
        <v>0</v>
      </c>
      <c r="V934" s="502">
        <v>1</v>
      </c>
      <c r="W934" s="453">
        <f t="shared" si="261"/>
        <v>4410</v>
      </c>
      <c r="X934" s="748">
        <f t="shared" si="262"/>
        <v>0.63</v>
      </c>
      <c r="Y934" s="451" t="str">
        <f>IFERROR(VLOOKUP(E:E,'Item Data Support Sheet'!A:J,6,0),0)</f>
        <v>FO017</v>
      </c>
      <c r="Z934" s="428">
        <f>IFERROR(VLOOKUP(E:E,'Item Data Support Sheet'!A:O,4,0),0)</f>
        <v>0</v>
      </c>
      <c r="AA934" s="428">
        <f t="shared" si="263"/>
        <v>0</v>
      </c>
      <c r="AB934" s="429" t="str">
        <f t="shared" si="264"/>
        <v xml:space="preserve"> </v>
      </c>
      <c r="AC934" s="424">
        <f t="shared" si="265"/>
        <v>0</v>
      </c>
      <c r="AD934" s="371">
        <f t="shared" si="266"/>
        <v>0</v>
      </c>
      <c r="AE934" s="748">
        <f t="shared" si="267"/>
        <v>1</v>
      </c>
      <c r="AF934" s="417">
        <f t="shared" si="268"/>
        <v>2.6666666666666665</v>
      </c>
      <c r="AG934" s="416">
        <f t="shared" si="269"/>
        <v>5.3333333333333339</v>
      </c>
      <c r="AH934" s="372">
        <f t="shared" si="270"/>
        <v>0.66666666666666674</v>
      </c>
      <c r="AI934" s="373">
        <f t="shared" si="271"/>
        <v>551.25</v>
      </c>
      <c r="AJ934" s="418">
        <f>VLOOKUP(D934,'Standard Cycle time'!C:D,2,0)</f>
        <v>3.5</v>
      </c>
      <c r="AK934" s="418">
        <f t="shared" si="272"/>
        <v>4.3537414965986398</v>
      </c>
      <c r="AL934" s="374">
        <f t="shared" si="273"/>
        <v>0.80390624999999993</v>
      </c>
      <c r="AM934" s="372">
        <f t="shared" si="274"/>
        <v>0.53593750000000007</v>
      </c>
      <c r="AN934" s="799">
        <v>0.53593750000000007</v>
      </c>
      <c r="AO934" s="448" t="s">
        <v>3683</v>
      </c>
      <c r="AP934" s="440">
        <v>40</v>
      </c>
      <c r="AQ934" s="440">
        <v>0</v>
      </c>
      <c r="AR934" s="440">
        <v>0</v>
      </c>
      <c r="AS934" s="440"/>
      <c r="AT934" s="440">
        <v>120</v>
      </c>
      <c r="AU934" s="440">
        <v>0</v>
      </c>
      <c r="AV934" s="440">
        <v>0</v>
      </c>
      <c r="AW934" s="440">
        <v>0</v>
      </c>
      <c r="AX934" s="440">
        <v>0</v>
      </c>
      <c r="AY934" s="440">
        <v>0</v>
      </c>
      <c r="AZ934" s="440">
        <v>0</v>
      </c>
      <c r="BA934" s="440">
        <v>0</v>
      </c>
      <c r="BB934" s="440">
        <v>0</v>
      </c>
      <c r="BC934" s="440">
        <v>0</v>
      </c>
      <c r="BD934" s="440">
        <v>0</v>
      </c>
      <c r="BE934" s="440">
        <v>0</v>
      </c>
      <c r="BF934" s="440">
        <v>0</v>
      </c>
      <c r="BG934" s="440">
        <v>0</v>
      </c>
      <c r="BH934" s="440">
        <v>0</v>
      </c>
      <c r="BI934" s="440">
        <v>0</v>
      </c>
      <c r="BJ934" s="440">
        <v>0</v>
      </c>
      <c r="BK934" s="440">
        <v>0</v>
      </c>
      <c r="BL934" s="440">
        <v>0</v>
      </c>
      <c r="BM934" s="440">
        <v>0</v>
      </c>
      <c r="BN934" s="440">
        <v>0</v>
      </c>
      <c r="BO934" s="440">
        <v>0</v>
      </c>
      <c r="BP934" s="440">
        <v>0</v>
      </c>
      <c r="BQ934" s="440">
        <v>0</v>
      </c>
      <c r="BR934" s="415">
        <v>2.6666666666666665</v>
      </c>
      <c r="BS934" s="415">
        <v>2.6666666666666665</v>
      </c>
      <c r="BT934" s="935"/>
      <c r="BU934" s="935"/>
      <c r="BV934" s="935"/>
      <c r="BW934" s="935"/>
      <c r="BX934" s="935"/>
      <c r="BY934" s="935"/>
      <c r="BZ934" s="935"/>
      <c r="CA934" s="935"/>
      <c r="CB934" s="935"/>
      <c r="CC934" s="935"/>
      <c r="CD934" s="935"/>
      <c r="CE934" s="935"/>
      <c r="CF934" s="935"/>
      <c r="CG934" s="935"/>
      <c r="CH934" s="935"/>
      <c r="CI934" s="935"/>
      <c r="CJ934" s="935"/>
      <c r="CK934" s="935"/>
      <c r="CL934" s="935"/>
      <c r="CM934" s="935"/>
      <c r="CN934" s="935"/>
      <c r="CO934" s="935"/>
      <c r="CP934" s="935"/>
      <c r="CQ934" s="935"/>
      <c r="CR934" s="935"/>
      <c r="CS934" s="935"/>
      <c r="CT934" s="935"/>
      <c r="CU934" s="935"/>
      <c r="CV934" s="935"/>
    </row>
    <row r="935" spans="1:100" s="441" customFormat="1">
      <c r="A935" s="375">
        <f t="shared" si="260"/>
        <v>10</v>
      </c>
      <c r="B935" s="862">
        <v>44487</v>
      </c>
      <c r="C935" s="493" t="s">
        <v>1980</v>
      </c>
      <c r="D935" s="376" t="str">
        <f>IFERROR(VLOOKUP(E:E,'Item Data Support Sheet'!A:O,7,0),"")</f>
        <v>NIPPLE LASER MARKING</v>
      </c>
      <c r="E935" s="447" t="s">
        <v>1816</v>
      </c>
      <c r="F935" s="500"/>
      <c r="G935" s="497" t="s">
        <v>1812</v>
      </c>
      <c r="H935" s="602" t="str">
        <f>IFERROR(VLOOKUP(E:E,'Item Data Support Sheet'!A:O,2,0),"")</f>
        <v>NIPPLE S TYPE L SIZE PUNCHED LASER MARKED</v>
      </c>
      <c r="I935" s="501" t="s">
        <v>3684</v>
      </c>
      <c r="J935" s="501" t="s">
        <v>2826</v>
      </c>
      <c r="K935" s="499">
        <v>8</v>
      </c>
      <c r="L935" s="499">
        <v>7000</v>
      </c>
      <c r="M935" s="366">
        <v>875</v>
      </c>
      <c r="N935" s="367">
        <f t="shared" si="259"/>
        <v>3410</v>
      </c>
      <c r="O935" s="61">
        <v>3410</v>
      </c>
      <c r="P935" s="368">
        <v>0</v>
      </c>
      <c r="Q935" s="368">
        <v>0</v>
      </c>
      <c r="R935" s="494">
        <v>0</v>
      </c>
      <c r="S935" s="493">
        <v>0</v>
      </c>
      <c r="T935" s="494">
        <v>0</v>
      </c>
      <c r="U935" s="493">
        <v>0</v>
      </c>
      <c r="V935" s="502">
        <v>1</v>
      </c>
      <c r="W935" s="453">
        <f t="shared" si="261"/>
        <v>3410</v>
      </c>
      <c r="X935" s="748">
        <f t="shared" si="262"/>
        <v>0.48714285714285716</v>
      </c>
      <c r="Y935" s="451" t="str">
        <f>IFERROR(VLOOKUP(E:E,'Item Data Support Sheet'!A:J,6,0),0)</f>
        <v>FO021</v>
      </c>
      <c r="Z935" s="428">
        <f>IFERROR(VLOOKUP(E:E,'Item Data Support Sheet'!A:O,4,0),0)</f>
        <v>0</v>
      </c>
      <c r="AA935" s="428">
        <f t="shared" si="263"/>
        <v>0</v>
      </c>
      <c r="AB935" s="429" t="str">
        <f t="shared" si="264"/>
        <v xml:space="preserve"> </v>
      </c>
      <c r="AC935" s="424">
        <f t="shared" si="265"/>
        <v>0</v>
      </c>
      <c r="AD935" s="371">
        <f t="shared" si="266"/>
        <v>0</v>
      </c>
      <c r="AE935" s="748">
        <f t="shared" si="267"/>
        <v>1</v>
      </c>
      <c r="AF935" s="417">
        <f t="shared" si="268"/>
        <v>3.6666666666666665</v>
      </c>
      <c r="AG935" s="416">
        <f t="shared" si="269"/>
        <v>4.3333333333333339</v>
      </c>
      <c r="AH935" s="372">
        <f t="shared" si="270"/>
        <v>0.54166666666666674</v>
      </c>
      <c r="AI935" s="373">
        <f t="shared" si="271"/>
        <v>426.25</v>
      </c>
      <c r="AJ935" s="418">
        <f>VLOOKUP(D935,'Standard Cycle time'!C:D,2,0)</f>
        <v>3.5</v>
      </c>
      <c r="AK935" s="418">
        <f t="shared" si="272"/>
        <v>4.5747800586510268</v>
      </c>
      <c r="AL935" s="374">
        <f t="shared" si="273"/>
        <v>0.76506410256410251</v>
      </c>
      <c r="AM935" s="372">
        <f t="shared" si="274"/>
        <v>0.41440972222222228</v>
      </c>
      <c r="AN935" s="799">
        <v>0.41440972222222228</v>
      </c>
      <c r="AO935" s="448" t="s">
        <v>3685</v>
      </c>
      <c r="AP935" s="440">
        <v>40</v>
      </c>
      <c r="AQ935" s="440">
        <v>0</v>
      </c>
      <c r="AR935" s="440">
        <v>0</v>
      </c>
      <c r="AS935" s="440">
        <v>0</v>
      </c>
      <c r="AT935" s="440">
        <v>180</v>
      </c>
      <c r="AU935" s="440">
        <v>0</v>
      </c>
      <c r="AV935" s="440">
        <v>0</v>
      </c>
      <c r="AW935" s="440">
        <v>0</v>
      </c>
      <c r="AX935" s="440">
        <v>0</v>
      </c>
      <c r="AY935" s="440">
        <v>0</v>
      </c>
      <c r="AZ935" s="440">
        <v>0</v>
      </c>
      <c r="BA935" s="440">
        <v>0</v>
      </c>
      <c r="BB935" s="440">
        <v>0</v>
      </c>
      <c r="BC935" s="440">
        <v>0</v>
      </c>
      <c r="BD935" s="440">
        <v>0</v>
      </c>
      <c r="BE935" s="440">
        <v>0</v>
      </c>
      <c r="BF935" s="440">
        <v>0</v>
      </c>
      <c r="BG935" s="440">
        <v>0</v>
      </c>
      <c r="BH935" s="440">
        <v>0</v>
      </c>
      <c r="BI935" s="440">
        <v>0</v>
      </c>
      <c r="BJ935" s="440">
        <v>0</v>
      </c>
      <c r="BK935" s="440">
        <v>0</v>
      </c>
      <c r="BL935" s="440">
        <v>0</v>
      </c>
      <c r="BM935" s="440">
        <v>0</v>
      </c>
      <c r="BN935" s="440">
        <v>0</v>
      </c>
      <c r="BO935" s="440">
        <v>0</v>
      </c>
      <c r="BP935" s="440">
        <v>0</v>
      </c>
      <c r="BQ935" s="440">
        <v>0</v>
      </c>
      <c r="BR935" s="415">
        <v>3.6666666666666665</v>
      </c>
      <c r="BS935" s="415">
        <v>3.6666666666666665</v>
      </c>
      <c r="BT935" s="935"/>
      <c r="BU935" s="935"/>
      <c r="BV935" s="935"/>
      <c r="BW935" s="935"/>
      <c r="BX935" s="935"/>
      <c r="BY935" s="935"/>
      <c r="BZ935" s="935"/>
      <c r="CA935" s="935"/>
      <c r="CB935" s="935"/>
      <c r="CC935" s="935"/>
      <c r="CD935" s="935"/>
      <c r="CE935" s="935"/>
      <c r="CF935" s="935"/>
      <c r="CG935" s="935"/>
      <c r="CH935" s="935"/>
      <c r="CI935" s="935"/>
      <c r="CJ935" s="935"/>
      <c r="CK935" s="935"/>
      <c r="CL935" s="935"/>
      <c r="CM935" s="935"/>
      <c r="CN935" s="935"/>
      <c r="CO935" s="935"/>
      <c r="CP935" s="935"/>
      <c r="CQ935" s="935"/>
      <c r="CR935" s="935"/>
      <c r="CS935" s="935"/>
      <c r="CT935" s="935"/>
      <c r="CU935" s="935"/>
      <c r="CV935" s="935"/>
    </row>
    <row r="936" spans="1:100" s="441" customFormat="1">
      <c r="A936" s="375">
        <f t="shared" si="260"/>
        <v>10</v>
      </c>
      <c r="B936" s="862">
        <v>44487</v>
      </c>
      <c r="C936" s="493" t="s">
        <v>1980</v>
      </c>
      <c r="D936" s="376" t="str">
        <f>IFERROR(VLOOKUP(E:E,'Item Data Support Sheet'!A:O,7,0),"")</f>
        <v>CAP MOLDED</v>
      </c>
      <c r="E936" s="447" t="s">
        <v>2110</v>
      </c>
      <c r="F936" s="500"/>
      <c r="G936" s="497" t="s">
        <v>3579</v>
      </c>
      <c r="H936" s="602" t="str">
        <f>IFERROR(VLOOKUP(E:E,'Item Data Support Sheet'!A:O,2,0),"")</f>
        <v>CAP S TYPE MOLDED WHITE</v>
      </c>
      <c r="I936" s="501" t="s">
        <v>3686</v>
      </c>
      <c r="J936" s="501" t="s">
        <v>2826</v>
      </c>
      <c r="K936" s="499">
        <v>8</v>
      </c>
      <c r="L936" s="499">
        <v>4137</v>
      </c>
      <c r="M936" s="366">
        <v>517.125</v>
      </c>
      <c r="N936" s="367">
        <f t="shared" si="259"/>
        <v>4008</v>
      </c>
      <c r="O936" s="61">
        <v>4000</v>
      </c>
      <c r="P936" s="368">
        <v>0</v>
      </c>
      <c r="Q936" s="368">
        <v>0</v>
      </c>
      <c r="R936" s="494">
        <v>0</v>
      </c>
      <c r="S936" s="493">
        <v>0</v>
      </c>
      <c r="T936" s="494">
        <v>0</v>
      </c>
      <c r="U936" s="493">
        <v>8</v>
      </c>
      <c r="V936" s="502">
        <v>1</v>
      </c>
      <c r="W936" s="453">
        <f t="shared" si="261"/>
        <v>4000</v>
      </c>
      <c r="X936" s="748">
        <f t="shared" si="262"/>
        <v>0.96688421561518012</v>
      </c>
      <c r="Y936" s="451" t="str">
        <f>IFERROR(VLOOKUP(E:E,'Item Data Support Sheet'!A:J,6,0),0)</f>
        <v>RM000106</v>
      </c>
      <c r="Z936" s="428">
        <f>IFERROR(VLOOKUP(E:E,'Item Data Support Sheet'!A:O,4,0),0)</f>
        <v>7.3</v>
      </c>
      <c r="AA936" s="428">
        <f t="shared" si="263"/>
        <v>29.258400000000002</v>
      </c>
      <c r="AB936" s="429">
        <f t="shared" si="264"/>
        <v>0.99800399201596801</v>
      </c>
      <c r="AC936" s="424">
        <f t="shared" si="265"/>
        <v>0</v>
      </c>
      <c r="AD936" s="371">
        <f t="shared" si="266"/>
        <v>0</v>
      </c>
      <c r="AE936" s="748">
        <f t="shared" si="267"/>
        <v>1</v>
      </c>
      <c r="AF936" s="417">
        <f t="shared" si="268"/>
        <v>1</v>
      </c>
      <c r="AG936" s="416">
        <f t="shared" si="269"/>
        <v>7</v>
      </c>
      <c r="AH936" s="372">
        <f t="shared" si="270"/>
        <v>0.875</v>
      </c>
      <c r="AI936" s="373">
        <f t="shared" si="271"/>
        <v>500</v>
      </c>
      <c r="AJ936" s="418">
        <f>VLOOKUP(D936,'Standard Cycle time'!C:D,2,0)</f>
        <v>6</v>
      </c>
      <c r="AK936" s="418">
        <f t="shared" si="272"/>
        <v>6.3</v>
      </c>
      <c r="AL936" s="374">
        <f t="shared" si="273"/>
        <v>0.95238095238095244</v>
      </c>
      <c r="AM936" s="372">
        <f t="shared" si="274"/>
        <v>0.83333333333333337</v>
      </c>
      <c r="AN936" s="799">
        <v>0.83333333333333337</v>
      </c>
      <c r="AO936" s="448"/>
      <c r="AP936" s="440">
        <v>0</v>
      </c>
      <c r="AQ936" s="440">
        <v>0</v>
      </c>
      <c r="AR936" s="440">
        <v>0</v>
      </c>
      <c r="AS936" s="440">
        <v>0</v>
      </c>
      <c r="AT936" s="440">
        <v>0</v>
      </c>
      <c r="AU936" s="440">
        <v>0</v>
      </c>
      <c r="AV936" s="440">
        <v>0</v>
      </c>
      <c r="AW936" s="440">
        <v>30</v>
      </c>
      <c r="AX936" s="440">
        <v>0</v>
      </c>
      <c r="AY936" s="440">
        <v>0</v>
      </c>
      <c r="AZ936" s="440">
        <v>30</v>
      </c>
      <c r="BA936" s="440">
        <v>0</v>
      </c>
      <c r="BB936" s="440">
        <v>0</v>
      </c>
      <c r="BC936" s="440">
        <v>0</v>
      </c>
      <c r="BD936" s="440">
        <v>0</v>
      </c>
      <c r="BE936" s="440">
        <v>0</v>
      </c>
      <c r="BF936" s="440">
        <v>0</v>
      </c>
      <c r="BG936" s="440">
        <v>0</v>
      </c>
      <c r="BH936" s="440">
        <v>0</v>
      </c>
      <c r="BI936" s="440">
        <v>0</v>
      </c>
      <c r="BJ936" s="440">
        <v>0</v>
      </c>
      <c r="BK936" s="440">
        <v>0</v>
      </c>
      <c r="BL936" s="440">
        <v>0</v>
      </c>
      <c r="BM936" s="440">
        <v>0</v>
      </c>
      <c r="BN936" s="440">
        <v>0</v>
      </c>
      <c r="BO936" s="440">
        <v>0</v>
      </c>
      <c r="BP936" s="440">
        <v>0</v>
      </c>
      <c r="BQ936" s="440">
        <v>0</v>
      </c>
      <c r="BR936" s="415">
        <v>1</v>
      </c>
      <c r="BS936" s="415">
        <v>1</v>
      </c>
      <c r="BT936" s="935"/>
      <c r="BU936" s="935"/>
      <c r="BV936" s="935"/>
      <c r="BW936" s="935"/>
      <c r="BX936" s="935"/>
      <c r="BY936" s="935"/>
      <c r="BZ936" s="935"/>
      <c r="CA936" s="935"/>
      <c r="CB936" s="935"/>
      <c r="CC936" s="935"/>
      <c r="CD936" s="935"/>
      <c r="CE936" s="935"/>
      <c r="CF936" s="935"/>
      <c r="CG936" s="935"/>
      <c r="CH936" s="935"/>
      <c r="CI936" s="935"/>
      <c r="CJ936" s="935"/>
      <c r="CK936" s="935"/>
      <c r="CL936" s="935"/>
      <c r="CM936" s="935"/>
      <c r="CN936" s="935"/>
      <c r="CO936" s="935"/>
      <c r="CP936" s="935"/>
      <c r="CQ936" s="935"/>
      <c r="CR936" s="935"/>
      <c r="CS936" s="935"/>
      <c r="CT936" s="935"/>
      <c r="CU936" s="935"/>
      <c r="CV936" s="935"/>
    </row>
    <row r="937" spans="1:100" s="441" customFormat="1">
      <c r="A937" s="375">
        <f t="shared" si="260"/>
        <v>10</v>
      </c>
      <c r="B937" s="862">
        <v>44487</v>
      </c>
      <c r="C937" s="493" t="s">
        <v>1980</v>
      </c>
      <c r="D937" s="376" t="str">
        <f>IFERROR(VLOOKUP(E:E,'Item Data Support Sheet'!A:O,7,0),"")</f>
        <v>NIPPLE MOLDED</v>
      </c>
      <c r="E937" s="447" t="s">
        <v>73</v>
      </c>
      <c r="F937" s="500" t="s">
        <v>1678</v>
      </c>
      <c r="G937" s="497" t="s">
        <v>1691</v>
      </c>
      <c r="H937" s="602" t="str">
        <f>IFERROR(VLOOKUP(E:E,'Item Data Support Sheet'!A:O,2,0),"")</f>
        <v>NIPPLE S TYPE M SIZE INJECTION</v>
      </c>
      <c r="I937" s="501" t="s">
        <v>3687</v>
      </c>
      <c r="J937" s="501" t="s">
        <v>2826</v>
      </c>
      <c r="K937" s="499">
        <v>8</v>
      </c>
      <c r="L937" s="499">
        <v>3600</v>
      </c>
      <c r="M937" s="366">
        <v>450</v>
      </c>
      <c r="N937" s="367">
        <f t="shared" si="259"/>
        <v>2503</v>
      </c>
      <c r="O937" s="61">
        <v>2350</v>
      </c>
      <c r="P937" s="368">
        <v>2.2000000000000002</v>
      </c>
      <c r="Q937" s="368">
        <v>110</v>
      </c>
      <c r="R937" s="494">
        <v>0</v>
      </c>
      <c r="S937" s="493">
        <v>0</v>
      </c>
      <c r="T937" s="494">
        <v>35</v>
      </c>
      <c r="U937" s="493">
        <v>8</v>
      </c>
      <c r="V937" s="502">
        <v>1</v>
      </c>
      <c r="W937" s="453">
        <f t="shared" si="261"/>
        <v>2350</v>
      </c>
      <c r="X937" s="748">
        <f t="shared" si="262"/>
        <v>0.65277777777777779</v>
      </c>
      <c r="Y937" s="451" t="str">
        <f>IFERROR(VLOOKUP(E:E,'Item Data Support Sheet'!A:J,6,0),0)</f>
        <v>Silicon</v>
      </c>
      <c r="Z937" s="428">
        <f>IFERROR(VLOOKUP(E:E,'Item Data Support Sheet'!A:O,4,0),0)</f>
        <v>6.8</v>
      </c>
      <c r="AA937" s="428">
        <f t="shared" si="263"/>
        <v>19.220399999999998</v>
      </c>
      <c r="AB937" s="429">
        <f t="shared" si="264"/>
        <v>0.83140829535285432</v>
      </c>
      <c r="AC937" s="424">
        <f t="shared" si="265"/>
        <v>1.4675052410901468E-2</v>
      </c>
      <c r="AD937" s="371">
        <f t="shared" si="266"/>
        <v>4.2097206276310757E-2</v>
      </c>
      <c r="AE937" s="748">
        <f t="shared" si="267"/>
        <v>0.98601677986416303</v>
      </c>
      <c r="AF937" s="417">
        <f t="shared" si="268"/>
        <v>4.166666666666667</v>
      </c>
      <c r="AG937" s="416">
        <f t="shared" si="269"/>
        <v>3.833333333333333</v>
      </c>
      <c r="AH937" s="372">
        <f t="shared" si="270"/>
        <v>0.47916666666666663</v>
      </c>
      <c r="AI937" s="373">
        <f t="shared" si="271"/>
        <v>293.75</v>
      </c>
      <c r="AJ937" s="418">
        <f>VLOOKUP(D937,'Standard Cycle time'!C:D,2,0)</f>
        <v>5.25</v>
      </c>
      <c r="AK937" s="418">
        <f t="shared" si="272"/>
        <v>5.872340425531914</v>
      </c>
      <c r="AL937" s="374">
        <f t="shared" si="273"/>
        <v>0.89402173913043492</v>
      </c>
      <c r="AM937" s="372">
        <f t="shared" si="274"/>
        <v>0.42239520908243444</v>
      </c>
      <c r="AN937" s="799">
        <v>0.42239520908243444</v>
      </c>
      <c r="AO937" s="448" t="s">
        <v>3688</v>
      </c>
      <c r="AP937" s="440">
        <v>0</v>
      </c>
      <c r="AQ937" s="440">
        <v>40</v>
      </c>
      <c r="AR937" s="440">
        <v>0</v>
      </c>
      <c r="AS937" s="440">
        <v>0</v>
      </c>
      <c r="AT937" s="440">
        <v>0</v>
      </c>
      <c r="AU937" s="440">
        <v>40</v>
      </c>
      <c r="AV937" s="440">
        <v>40</v>
      </c>
      <c r="AW937" s="440">
        <v>40</v>
      </c>
      <c r="AX937" s="440">
        <v>0</v>
      </c>
      <c r="AY937" s="440">
        <v>0</v>
      </c>
      <c r="AZ937" s="440">
        <v>0</v>
      </c>
      <c r="BA937" s="440">
        <v>0</v>
      </c>
      <c r="BB937" s="440">
        <v>90</v>
      </c>
      <c r="BC937" s="440">
        <v>0</v>
      </c>
      <c r="BD937" s="440">
        <v>0</v>
      </c>
      <c r="BE937" s="440">
        <v>0</v>
      </c>
      <c r="BF937" s="440">
        <v>0</v>
      </c>
      <c r="BG937" s="440">
        <v>0</v>
      </c>
      <c r="BH937" s="440">
        <v>0</v>
      </c>
      <c r="BI937" s="440">
        <v>0</v>
      </c>
      <c r="BJ937" s="440">
        <v>0</v>
      </c>
      <c r="BK937" s="440">
        <v>0</v>
      </c>
      <c r="BL937" s="440">
        <v>0</v>
      </c>
      <c r="BM937" s="440">
        <v>0</v>
      </c>
      <c r="BN937" s="440">
        <v>0</v>
      </c>
      <c r="BO937" s="440">
        <v>0</v>
      </c>
      <c r="BP937" s="440">
        <v>0</v>
      </c>
      <c r="BQ937" s="440">
        <v>0</v>
      </c>
      <c r="BR937" s="415">
        <v>4.166666666666667</v>
      </c>
      <c r="BS937" s="415">
        <v>4.166666666666667</v>
      </c>
      <c r="BT937" s="935"/>
      <c r="BU937" s="935"/>
      <c r="BV937" s="935"/>
      <c r="BW937" s="935"/>
      <c r="BX937" s="935"/>
      <c r="BY937" s="935"/>
      <c r="BZ937" s="935"/>
      <c r="CA937" s="935"/>
      <c r="CB937" s="935"/>
      <c r="CC937" s="935"/>
      <c r="CD937" s="935"/>
      <c r="CE937" s="935"/>
      <c r="CF937" s="935"/>
      <c r="CG937" s="935"/>
      <c r="CH937" s="935"/>
      <c r="CI937" s="935"/>
      <c r="CJ937" s="935"/>
      <c r="CK937" s="935"/>
      <c r="CL937" s="935"/>
      <c r="CM937" s="935"/>
      <c r="CN937" s="935"/>
      <c r="CO937" s="935"/>
      <c r="CP937" s="935"/>
      <c r="CQ937" s="935"/>
      <c r="CR937" s="935"/>
      <c r="CS937" s="935"/>
      <c r="CT937" s="935"/>
      <c r="CU937" s="935"/>
      <c r="CV937" s="935"/>
    </row>
    <row r="938" spans="1:100" s="441" customFormat="1">
      <c r="A938" s="375">
        <f t="shared" si="260"/>
        <v>10</v>
      </c>
      <c r="B938" s="862">
        <v>44487</v>
      </c>
      <c r="C938" s="493" t="s">
        <v>1980</v>
      </c>
      <c r="D938" s="376" t="str">
        <f>IFERROR(VLOOKUP(E:E,'Item Data Support Sheet'!A:O,7,0),"")</f>
        <v>BOTTLE PRINTED</v>
      </c>
      <c r="E938" s="447" t="s">
        <v>114</v>
      </c>
      <c r="F938" s="500"/>
      <c r="G938" s="497"/>
      <c r="H938" s="602" t="str">
        <f>IFERROR(VLOOKUP(E:E,'Item Data Support Sheet'!A:O,2,0),"")</f>
        <v>KPP BOTTLE 200 ML PRINTED-WMG3B</v>
      </c>
      <c r="I938" s="501" t="s">
        <v>3689</v>
      </c>
      <c r="J938" s="501" t="s">
        <v>2813</v>
      </c>
      <c r="K938" s="499">
        <v>8</v>
      </c>
      <c r="L938" s="499">
        <v>5100</v>
      </c>
      <c r="M938" s="366">
        <v>637.5</v>
      </c>
      <c r="N938" s="367">
        <f t="shared" si="259"/>
        <v>3066</v>
      </c>
      <c r="O938" s="61">
        <v>3024</v>
      </c>
      <c r="P938" s="368">
        <v>0</v>
      </c>
      <c r="Q938" s="368">
        <v>0</v>
      </c>
      <c r="R938" s="494">
        <v>37</v>
      </c>
      <c r="S938" s="493">
        <v>0</v>
      </c>
      <c r="T938" s="494">
        <v>42</v>
      </c>
      <c r="U938" s="493">
        <v>0</v>
      </c>
      <c r="V938" s="502">
        <v>4</v>
      </c>
      <c r="W938" s="453">
        <f t="shared" si="261"/>
        <v>756</v>
      </c>
      <c r="X938" s="748">
        <f t="shared" si="262"/>
        <v>0.59294117647058819</v>
      </c>
      <c r="Y938" s="451" t="str">
        <f>IFERROR(VLOOKUP(E:E,'Item Data Support Sheet'!A:J,6,0),0)</f>
        <v>FO043</v>
      </c>
      <c r="Z938" s="428">
        <f>IFERROR(VLOOKUP(E:E,'Item Data Support Sheet'!A:O,4,0),0)</f>
        <v>0</v>
      </c>
      <c r="AA938" s="428">
        <f t="shared" si="263"/>
        <v>0</v>
      </c>
      <c r="AB938" s="429" t="str">
        <f t="shared" si="264"/>
        <v xml:space="preserve"> </v>
      </c>
      <c r="AC938" s="424">
        <f t="shared" si="265"/>
        <v>1.3698630136986301E-2</v>
      </c>
      <c r="AD938" s="371">
        <f t="shared" si="266"/>
        <v>0</v>
      </c>
      <c r="AE938" s="748">
        <f t="shared" si="267"/>
        <v>0.98630136986301364</v>
      </c>
      <c r="AF938" s="417">
        <f t="shared" si="268"/>
        <v>1.3333333333333333</v>
      </c>
      <c r="AG938" s="416">
        <f t="shared" si="269"/>
        <v>6.666666666666667</v>
      </c>
      <c r="AH938" s="372">
        <f t="shared" si="270"/>
        <v>0.83333333333333337</v>
      </c>
      <c r="AI938" s="373">
        <f t="shared" si="271"/>
        <v>378</v>
      </c>
      <c r="AJ938" s="418">
        <f>VLOOKUP(D938,'Standard Cycle time'!C:D,2,0)</f>
        <v>32.4</v>
      </c>
      <c r="AK938" s="418">
        <f t="shared" si="272"/>
        <v>31.746031746031747</v>
      </c>
      <c r="AL938" s="374">
        <f t="shared" si="273"/>
        <v>1.0206</v>
      </c>
      <c r="AM938" s="372">
        <f t="shared" si="274"/>
        <v>0.83884931506849303</v>
      </c>
      <c r="AN938" s="799">
        <v>0.83884931506849303</v>
      </c>
      <c r="AO938" s="448" t="s">
        <v>3690</v>
      </c>
      <c r="AP938" s="440">
        <v>40</v>
      </c>
      <c r="AQ938" s="440">
        <v>0</v>
      </c>
      <c r="AR938" s="440">
        <v>0</v>
      </c>
      <c r="AS938" s="440">
        <v>0</v>
      </c>
      <c r="AT938" s="440">
        <v>0</v>
      </c>
      <c r="AU938" s="440">
        <v>0</v>
      </c>
      <c r="AV938" s="440">
        <v>40</v>
      </c>
      <c r="AW938" s="440">
        <v>0</v>
      </c>
      <c r="AX938" s="440">
        <v>0</v>
      </c>
      <c r="AY938" s="440">
        <v>0</v>
      </c>
      <c r="AZ938" s="440">
        <v>0</v>
      </c>
      <c r="BA938" s="440">
        <v>0</v>
      </c>
      <c r="BB938" s="440">
        <v>0</v>
      </c>
      <c r="BC938" s="440">
        <v>0</v>
      </c>
      <c r="BD938" s="440">
        <v>0</v>
      </c>
      <c r="BE938" s="440">
        <v>0</v>
      </c>
      <c r="BF938" s="440">
        <v>0</v>
      </c>
      <c r="BG938" s="440">
        <v>0</v>
      </c>
      <c r="BH938" s="440">
        <v>0</v>
      </c>
      <c r="BI938" s="440">
        <v>0</v>
      </c>
      <c r="BJ938" s="440">
        <v>0</v>
      </c>
      <c r="BK938" s="440">
        <v>0</v>
      </c>
      <c r="BL938" s="440">
        <v>0</v>
      </c>
      <c r="BM938" s="440">
        <v>0</v>
      </c>
      <c r="BN938" s="440">
        <v>0</v>
      </c>
      <c r="BO938" s="440">
        <v>0</v>
      </c>
      <c r="BP938" s="440">
        <v>0</v>
      </c>
      <c r="BQ938" s="440">
        <v>0</v>
      </c>
      <c r="BR938" s="415">
        <v>1.3333333333333333</v>
      </c>
      <c r="BS938" s="415">
        <v>1.3333333333333333</v>
      </c>
      <c r="BT938" s="935"/>
      <c r="BU938" s="935"/>
      <c r="BV938" s="935"/>
      <c r="BW938" s="935"/>
      <c r="BX938" s="935"/>
      <c r="BY938" s="935"/>
      <c r="BZ938" s="935"/>
      <c r="CA938" s="935"/>
      <c r="CB938" s="935"/>
      <c r="CC938" s="935"/>
      <c r="CD938" s="935"/>
      <c r="CE938" s="935"/>
      <c r="CF938" s="935"/>
      <c r="CG938" s="935"/>
      <c r="CH938" s="935"/>
      <c r="CI938" s="935"/>
      <c r="CJ938" s="935"/>
      <c r="CK938" s="935"/>
      <c r="CL938" s="935"/>
      <c r="CM938" s="935"/>
      <c r="CN938" s="935"/>
      <c r="CO938" s="935"/>
      <c r="CP938" s="935"/>
      <c r="CQ938" s="935"/>
      <c r="CR938" s="935"/>
      <c r="CS938" s="935"/>
      <c r="CT938" s="935"/>
      <c r="CU938" s="935"/>
      <c r="CV938" s="935"/>
    </row>
    <row r="939" spans="1:100" s="441" customFormat="1">
      <c r="A939" s="375">
        <f t="shared" si="260"/>
        <v>10</v>
      </c>
      <c r="B939" s="862">
        <v>44487</v>
      </c>
      <c r="C939" s="493" t="s">
        <v>2000</v>
      </c>
      <c r="D939" s="376" t="str">
        <f>IFERROR(VLOOKUP(E:E,'Item Data Support Sheet'!A:O,7,0),"")</f>
        <v>NIPPLE PUNCH INSPECTED</v>
      </c>
      <c r="E939" s="447" t="s">
        <v>1820</v>
      </c>
      <c r="F939" s="500"/>
      <c r="G939" s="497"/>
      <c r="H939" s="602" t="str">
        <f>IFERROR(VLOOKUP(E:E,'Item Data Support Sheet'!A:O,2,0),"")</f>
        <v>NIPPLE S TYPE L SIZE PUNCHED INSPECTED</v>
      </c>
      <c r="I939" s="501" t="s">
        <v>3691</v>
      </c>
      <c r="J939" s="501" t="s">
        <v>2811</v>
      </c>
      <c r="K939" s="499">
        <v>8</v>
      </c>
      <c r="L939" s="499">
        <v>14137</v>
      </c>
      <c r="M939" s="366">
        <v>1767.125</v>
      </c>
      <c r="N939" s="367">
        <f t="shared" si="259"/>
        <v>10140</v>
      </c>
      <c r="O939" s="61">
        <v>10091</v>
      </c>
      <c r="P939" s="368">
        <v>0</v>
      </c>
      <c r="Q939" s="368">
        <v>0</v>
      </c>
      <c r="R939" s="494">
        <v>0</v>
      </c>
      <c r="S939" s="493">
        <v>0</v>
      </c>
      <c r="T939" s="494">
        <v>49</v>
      </c>
      <c r="U939" s="493">
        <v>0</v>
      </c>
      <c r="V939" s="502">
        <v>1</v>
      </c>
      <c r="W939" s="453">
        <f t="shared" si="261"/>
        <v>10091</v>
      </c>
      <c r="X939" s="748">
        <f t="shared" si="262"/>
        <v>0.71380066492183636</v>
      </c>
      <c r="Y939" s="451" t="str">
        <f>IFERROR(VLOOKUP(E:E,'Item Data Support Sheet'!A:J,6,0),0)</f>
        <v>FO106</v>
      </c>
      <c r="Z939" s="428">
        <f>IFERROR(VLOOKUP(E:E,'Item Data Support Sheet'!A:O,4,0),0)</f>
        <v>0</v>
      </c>
      <c r="AA939" s="428">
        <f t="shared" si="263"/>
        <v>0</v>
      </c>
      <c r="AB939" s="429" t="str">
        <f t="shared" si="264"/>
        <v xml:space="preserve"> </v>
      </c>
      <c r="AC939" s="424">
        <f t="shared" si="265"/>
        <v>4.8323471400394478E-3</v>
      </c>
      <c r="AD939" s="371">
        <f t="shared" si="266"/>
        <v>0</v>
      </c>
      <c r="AE939" s="748">
        <f t="shared" si="267"/>
        <v>0.99516765285996056</v>
      </c>
      <c r="AF939" s="417">
        <f t="shared" si="268"/>
        <v>0.83333333333333337</v>
      </c>
      <c r="AG939" s="416">
        <f t="shared" si="269"/>
        <v>7.166666666666667</v>
      </c>
      <c r="AH939" s="372">
        <f t="shared" si="270"/>
        <v>0.89583333333333337</v>
      </c>
      <c r="AI939" s="373">
        <f t="shared" si="271"/>
        <v>1261.375</v>
      </c>
      <c r="AJ939" s="418">
        <f>VLOOKUP(D939,'Standard Cycle time'!C:D,2,0)</f>
        <v>4</v>
      </c>
      <c r="AK939" s="418">
        <f t="shared" si="272"/>
        <v>2.5567337231196117</v>
      </c>
      <c r="AL939" s="374">
        <f t="shared" si="273"/>
        <v>1.5644961240310076</v>
      </c>
      <c r="AM939" s="372">
        <f t="shared" si="274"/>
        <v>1.3947551090291475</v>
      </c>
      <c r="AN939" s="799">
        <v>1.3947551090291475</v>
      </c>
      <c r="AO939" s="448" t="s">
        <v>3643</v>
      </c>
      <c r="AP939" s="440">
        <v>50</v>
      </c>
      <c r="AQ939" s="440">
        <v>0</v>
      </c>
      <c r="AR939" s="440">
        <v>0</v>
      </c>
      <c r="AS939" s="440">
        <v>0</v>
      </c>
      <c r="AT939" s="440">
        <v>0</v>
      </c>
      <c r="AU939" s="440">
        <v>0</v>
      </c>
      <c r="AV939" s="440">
        <v>0</v>
      </c>
      <c r="AW939" s="440">
        <v>0</v>
      </c>
      <c r="AX939" s="440">
        <v>0</v>
      </c>
      <c r="AY939" s="440">
        <v>0</v>
      </c>
      <c r="AZ939" s="440">
        <v>0</v>
      </c>
      <c r="BA939" s="440">
        <v>0</v>
      </c>
      <c r="BB939" s="440">
        <v>0</v>
      </c>
      <c r="BC939" s="440">
        <v>0</v>
      </c>
      <c r="BD939" s="440">
        <v>0</v>
      </c>
      <c r="BE939" s="440">
        <v>0</v>
      </c>
      <c r="BF939" s="440">
        <v>0</v>
      </c>
      <c r="BG939" s="440">
        <v>0</v>
      </c>
      <c r="BH939" s="440">
        <v>0</v>
      </c>
      <c r="BI939" s="440">
        <v>0</v>
      </c>
      <c r="BJ939" s="440">
        <v>0</v>
      </c>
      <c r="BK939" s="440">
        <v>0</v>
      </c>
      <c r="BL939" s="440">
        <v>0</v>
      </c>
      <c r="BM939" s="440">
        <v>0</v>
      </c>
      <c r="BN939" s="440">
        <v>0</v>
      </c>
      <c r="BO939" s="440">
        <v>0</v>
      </c>
      <c r="BP939" s="440">
        <v>0</v>
      </c>
      <c r="BQ939" s="440">
        <v>0</v>
      </c>
      <c r="BR939" s="415">
        <v>0.83333333333333337</v>
      </c>
      <c r="BS939" s="415">
        <v>0.83333333333333337</v>
      </c>
      <c r="BT939" s="935"/>
      <c r="BU939" s="935"/>
      <c r="BV939" s="935"/>
      <c r="BW939" s="935"/>
      <c r="BX939" s="935"/>
      <c r="BY939" s="935"/>
      <c r="BZ939" s="935"/>
      <c r="CA939" s="935"/>
      <c r="CB939" s="935"/>
      <c r="CC939" s="935"/>
      <c r="CD939" s="935"/>
      <c r="CE939" s="935"/>
      <c r="CF939" s="935"/>
      <c r="CG939" s="935"/>
      <c r="CH939" s="935"/>
      <c r="CI939" s="935"/>
      <c r="CJ939" s="935"/>
      <c r="CK939" s="935"/>
      <c r="CL939" s="935"/>
      <c r="CM939" s="935"/>
      <c r="CN939" s="935"/>
      <c r="CO939" s="935"/>
      <c r="CP939" s="935"/>
      <c r="CQ939" s="935"/>
      <c r="CR939" s="935"/>
      <c r="CS939" s="935"/>
      <c r="CT939" s="935"/>
      <c r="CU939" s="935"/>
      <c r="CV939" s="935"/>
    </row>
    <row r="940" spans="1:100" s="441" customFormat="1">
      <c r="A940" s="375">
        <f t="shared" si="260"/>
        <v>10</v>
      </c>
      <c r="B940" s="862">
        <v>44487</v>
      </c>
      <c r="C940" s="493" t="s">
        <v>2001</v>
      </c>
      <c r="D940" s="376" t="str">
        <f>IFERROR(VLOOKUP(E:E,'Item Data Support Sheet'!A:O,7,0),"")</f>
        <v>NIPPLE PUNCH</v>
      </c>
      <c r="E940" s="447" t="s">
        <v>82</v>
      </c>
      <c r="F940" s="500"/>
      <c r="G940" s="497" t="s">
        <v>1692</v>
      </c>
      <c r="H940" s="602" t="str">
        <f>IFERROR(VLOOKUP(E:E,'Item Data Support Sheet'!A:O,2,0),"")</f>
        <v>NIPPLE S TYPE L SIZE PUNCHED</v>
      </c>
      <c r="I940" s="501" t="s">
        <v>3692</v>
      </c>
      <c r="J940" s="501" t="s">
        <v>2811</v>
      </c>
      <c r="K940" s="499">
        <v>8</v>
      </c>
      <c r="L940" s="499">
        <v>7000</v>
      </c>
      <c r="M940" s="366">
        <v>875</v>
      </c>
      <c r="N940" s="367">
        <f t="shared" si="259"/>
        <v>5000</v>
      </c>
      <c r="O940" s="61">
        <v>5000</v>
      </c>
      <c r="P940" s="368">
        <v>0</v>
      </c>
      <c r="Q940" s="368">
        <v>0</v>
      </c>
      <c r="R940" s="494">
        <v>0</v>
      </c>
      <c r="S940" s="493">
        <v>0</v>
      </c>
      <c r="T940" s="494">
        <v>0</v>
      </c>
      <c r="U940" s="493">
        <v>0</v>
      </c>
      <c r="V940" s="502">
        <v>1</v>
      </c>
      <c r="W940" s="453">
        <f t="shared" si="261"/>
        <v>5000</v>
      </c>
      <c r="X940" s="748">
        <f t="shared" si="262"/>
        <v>0.7142857142857143</v>
      </c>
      <c r="Y940" s="451" t="str">
        <f>IFERROR(VLOOKUP(E:E,'Item Data Support Sheet'!A:J,6,0),0)</f>
        <v>FO017</v>
      </c>
      <c r="Z940" s="428">
        <f>IFERROR(VLOOKUP(E:E,'Item Data Support Sheet'!A:O,4,0),0)</f>
        <v>0</v>
      </c>
      <c r="AA940" s="428">
        <f t="shared" si="263"/>
        <v>0</v>
      </c>
      <c r="AB940" s="429" t="str">
        <f t="shared" si="264"/>
        <v xml:space="preserve"> </v>
      </c>
      <c r="AC940" s="424">
        <f t="shared" si="265"/>
        <v>0</v>
      </c>
      <c r="AD940" s="371">
        <f t="shared" si="266"/>
        <v>0</v>
      </c>
      <c r="AE940" s="748">
        <f t="shared" si="267"/>
        <v>1</v>
      </c>
      <c r="AF940" s="417">
        <f t="shared" si="268"/>
        <v>0.66666666666666663</v>
      </c>
      <c r="AG940" s="416">
        <f t="shared" si="269"/>
        <v>7.333333333333333</v>
      </c>
      <c r="AH940" s="372">
        <f t="shared" si="270"/>
        <v>0.91666666666666663</v>
      </c>
      <c r="AI940" s="373">
        <f t="shared" si="271"/>
        <v>625</v>
      </c>
      <c r="AJ940" s="418">
        <f>VLOOKUP(D940,'Standard Cycle time'!C:D,2,0)</f>
        <v>3.5</v>
      </c>
      <c r="AK940" s="418">
        <f t="shared" si="272"/>
        <v>5.28</v>
      </c>
      <c r="AL940" s="374">
        <f t="shared" si="273"/>
        <v>0.66287878787878785</v>
      </c>
      <c r="AM940" s="372">
        <f t="shared" si="274"/>
        <v>0.60763888888888884</v>
      </c>
      <c r="AN940" s="799">
        <v>0.60763888888888884</v>
      </c>
      <c r="AO940" s="448" t="s">
        <v>3693</v>
      </c>
      <c r="AP940" s="440">
        <v>40</v>
      </c>
      <c r="AQ940" s="440">
        <v>0</v>
      </c>
      <c r="AR940" s="440">
        <v>0</v>
      </c>
      <c r="AS940" s="440">
        <v>0</v>
      </c>
      <c r="AT940" s="440">
        <v>0</v>
      </c>
      <c r="AU940" s="440">
        <v>0</v>
      </c>
      <c r="AV940" s="440">
        <v>0</v>
      </c>
      <c r="AW940" s="440">
        <v>0</v>
      </c>
      <c r="AX940" s="440">
        <v>0</v>
      </c>
      <c r="AY940" s="440">
        <v>0</v>
      </c>
      <c r="AZ940" s="440">
        <v>0</v>
      </c>
      <c r="BA940" s="440">
        <v>0</v>
      </c>
      <c r="BB940" s="440">
        <v>0</v>
      </c>
      <c r="BC940" s="440">
        <v>0</v>
      </c>
      <c r="BD940" s="440">
        <v>0</v>
      </c>
      <c r="BE940" s="440">
        <v>0</v>
      </c>
      <c r="BF940" s="440">
        <v>0</v>
      </c>
      <c r="BG940" s="440">
        <v>0</v>
      </c>
      <c r="BH940" s="440">
        <v>0</v>
      </c>
      <c r="BI940" s="440">
        <v>0</v>
      </c>
      <c r="BJ940" s="440">
        <v>0</v>
      </c>
      <c r="BK940" s="440">
        <v>0</v>
      </c>
      <c r="BL940" s="440">
        <v>0</v>
      </c>
      <c r="BM940" s="440">
        <v>0</v>
      </c>
      <c r="BN940" s="440">
        <v>0</v>
      </c>
      <c r="BO940" s="440">
        <v>0</v>
      </c>
      <c r="BP940" s="440">
        <v>0</v>
      </c>
      <c r="BQ940" s="440">
        <v>0</v>
      </c>
      <c r="BR940" s="415">
        <v>0.66666666666666663</v>
      </c>
      <c r="BS940" s="415">
        <v>0.66666666666666663</v>
      </c>
      <c r="BT940" s="935"/>
      <c r="BU940" s="935"/>
      <c r="BV940" s="935"/>
      <c r="BW940" s="935"/>
      <c r="BX940" s="935"/>
      <c r="BY940" s="935"/>
      <c r="BZ940" s="935"/>
      <c r="CA940" s="935"/>
      <c r="CB940" s="935"/>
      <c r="CC940" s="935"/>
      <c r="CD940" s="935"/>
      <c r="CE940" s="935"/>
      <c r="CF940" s="935"/>
      <c r="CG940" s="935"/>
      <c r="CH940" s="935"/>
      <c r="CI940" s="935"/>
      <c r="CJ940" s="935"/>
      <c r="CK940" s="935"/>
      <c r="CL940" s="935"/>
      <c r="CM940" s="935"/>
      <c r="CN940" s="935"/>
      <c r="CO940" s="935"/>
      <c r="CP940" s="935"/>
      <c r="CQ940" s="935"/>
      <c r="CR940" s="935"/>
      <c r="CS940" s="935"/>
      <c r="CT940" s="935"/>
      <c r="CU940" s="935"/>
      <c r="CV940" s="935"/>
    </row>
    <row r="941" spans="1:100" s="441" customFormat="1">
      <c r="A941" s="375">
        <f t="shared" si="260"/>
        <v>10</v>
      </c>
      <c r="B941" s="862">
        <v>44487</v>
      </c>
      <c r="C941" s="493" t="s">
        <v>2001</v>
      </c>
      <c r="D941" s="376" t="str">
        <f>IFERROR(VLOOKUP(E:E,'Item Data Support Sheet'!A:O,7,0),"")</f>
        <v>NIPPLE LASER MARKING</v>
      </c>
      <c r="E941" s="447" t="s">
        <v>1816</v>
      </c>
      <c r="F941" s="500"/>
      <c r="G941" s="497" t="s">
        <v>1812</v>
      </c>
      <c r="H941" s="602" t="str">
        <f>IFERROR(VLOOKUP(E:E,'Item Data Support Sheet'!A:O,2,0),"")</f>
        <v>NIPPLE S TYPE L SIZE PUNCHED LASER MARKED</v>
      </c>
      <c r="I941" s="501" t="s">
        <v>3694</v>
      </c>
      <c r="J941" s="501" t="s">
        <v>2811</v>
      </c>
      <c r="K941" s="499">
        <v>8</v>
      </c>
      <c r="L941" s="499">
        <v>7000</v>
      </c>
      <c r="M941" s="366">
        <v>875</v>
      </c>
      <c r="N941" s="367">
        <f t="shared" si="259"/>
        <v>5000</v>
      </c>
      <c r="O941" s="61">
        <v>5000</v>
      </c>
      <c r="P941" s="368">
        <v>0</v>
      </c>
      <c r="Q941" s="368">
        <v>0</v>
      </c>
      <c r="R941" s="494">
        <v>0</v>
      </c>
      <c r="S941" s="493">
        <v>0</v>
      </c>
      <c r="T941" s="494">
        <v>0</v>
      </c>
      <c r="U941" s="493">
        <v>0</v>
      </c>
      <c r="V941" s="502">
        <v>1</v>
      </c>
      <c r="W941" s="453">
        <f t="shared" si="261"/>
        <v>5000</v>
      </c>
      <c r="X941" s="748">
        <f t="shared" si="262"/>
        <v>0.7142857142857143</v>
      </c>
      <c r="Y941" s="451" t="str">
        <f>IFERROR(VLOOKUP(E:E,'Item Data Support Sheet'!A:J,6,0),0)</f>
        <v>FO021</v>
      </c>
      <c r="Z941" s="428">
        <f>IFERROR(VLOOKUP(E:E,'Item Data Support Sheet'!A:O,4,0),0)</f>
        <v>0</v>
      </c>
      <c r="AA941" s="428">
        <f t="shared" si="263"/>
        <v>0</v>
      </c>
      <c r="AB941" s="429" t="str">
        <f t="shared" si="264"/>
        <v xml:space="preserve"> </v>
      </c>
      <c r="AC941" s="424">
        <f t="shared" si="265"/>
        <v>0</v>
      </c>
      <c r="AD941" s="371">
        <f t="shared" si="266"/>
        <v>0</v>
      </c>
      <c r="AE941" s="748">
        <f t="shared" si="267"/>
        <v>1</v>
      </c>
      <c r="AF941" s="417">
        <f t="shared" si="268"/>
        <v>1.1666666666666667</v>
      </c>
      <c r="AG941" s="416">
        <f t="shared" si="269"/>
        <v>6.833333333333333</v>
      </c>
      <c r="AH941" s="372">
        <f t="shared" si="270"/>
        <v>0.85416666666666663</v>
      </c>
      <c r="AI941" s="373">
        <f t="shared" si="271"/>
        <v>625</v>
      </c>
      <c r="AJ941" s="418">
        <f>VLOOKUP(D941,'Standard Cycle time'!C:D,2,0)</f>
        <v>3.5</v>
      </c>
      <c r="AK941" s="418">
        <f t="shared" si="272"/>
        <v>4.92</v>
      </c>
      <c r="AL941" s="374">
        <f t="shared" si="273"/>
        <v>0.71138211382113825</v>
      </c>
      <c r="AM941" s="372">
        <f t="shared" si="274"/>
        <v>0.60763888888888895</v>
      </c>
      <c r="AN941" s="799">
        <v>0.60763888888888895</v>
      </c>
      <c r="AO941" s="448" t="s">
        <v>2746</v>
      </c>
      <c r="AP941" s="440">
        <v>40</v>
      </c>
      <c r="AQ941" s="440">
        <v>0</v>
      </c>
      <c r="AR941" s="440">
        <v>0</v>
      </c>
      <c r="AS941" s="440">
        <v>0</v>
      </c>
      <c r="AT941" s="440">
        <v>0</v>
      </c>
      <c r="AU941" s="440">
        <v>0</v>
      </c>
      <c r="AV941" s="440">
        <v>30</v>
      </c>
      <c r="AW941" s="440">
        <v>0</v>
      </c>
      <c r="AX941" s="440">
        <v>0</v>
      </c>
      <c r="AY941" s="440">
        <v>0</v>
      </c>
      <c r="AZ941" s="440">
        <v>0</v>
      </c>
      <c r="BA941" s="440">
        <v>0</v>
      </c>
      <c r="BB941" s="440">
        <v>0</v>
      </c>
      <c r="BC941" s="440">
        <v>0</v>
      </c>
      <c r="BD941" s="440">
        <v>0</v>
      </c>
      <c r="BE941" s="440">
        <v>0</v>
      </c>
      <c r="BF941" s="440">
        <v>0</v>
      </c>
      <c r="BG941" s="440">
        <v>0</v>
      </c>
      <c r="BH941" s="440">
        <v>0</v>
      </c>
      <c r="BI941" s="440">
        <v>0</v>
      </c>
      <c r="BJ941" s="440">
        <v>0</v>
      </c>
      <c r="BK941" s="440">
        <v>0</v>
      </c>
      <c r="BL941" s="440">
        <v>0</v>
      </c>
      <c r="BM941" s="440">
        <v>0</v>
      </c>
      <c r="BN941" s="440">
        <v>0</v>
      </c>
      <c r="BO941" s="440">
        <v>0</v>
      </c>
      <c r="BP941" s="440">
        <v>0</v>
      </c>
      <c r="BQ941" s="440">
        <v>0</v>
      </c>
      <c r="BR941" s="415">
        <v>1.1666666666666667</v>
      </c>
      <c r="BS941" s="415">
        <v>1.1666666666666667</v>
      </c>
      <c r="BT941" s="935"/>
      <c r="BU941" s="935"/>
      <c r="BV941" s="935"/>
      <c r="BW941" s="935"/>
      <c r="BX941" s="935"/>
      <c r="BY941" s="935"/>
      <c r="BZ941" s="935"/>
      <c r="CA941" s="935"/>
      <c r="CB941" s="935"/>
      <c r="CC941" s="935"/>
      <c r="CD941" s="935"/>
      <c r="CE941" s="935"/>
      <c r="CF941" s="935"/>
      <c r="CG941" s="935"/>
      <c r="CH941" s="935"/>
      <c r="CI941" s="935"/>
      <c r="CJ941" s="935"/>
      <c r="CK941" s="935"/>
      <c r="CL941" s="935"/>
      <c r="CM941" s="935"/>
      <c r="CN941" s="935"/>
      <c r="CO941" s="935"/>
      <c r="CP941" s="935"/>
      <c r="CQ941" s="935"/>
      <c r="CR941" s="935"/>
      <c r="CS941" s="935"/>
      <c r="CT941" s="935"/>
      <c r="CU941" s="935"/>
      <c r="CV941" s="935"/>
    </row>
    <row r="942" spans="1:100" s="441" customFormat="1">
      <c r="A942" s="375">
        <f t="shared" si="260"/>
        <v>10</v>
      </c>
      <c r="B942" s="862">
        <v>44487</v>
      </c>
      <c r="C942" s="493" t="s">
        <v>2001</v>
      </c>
      <c r="D942" s="376" t="str">
        <f>IFERROR(VLOOKUP(E:E,'Item Data Support Sheet'!A:O,7,0),"")</f>
        <v>CAP MOLDED</v>
      </c>
      <c r="E942" s="447" t="s">
        <v>2110</v>
      </c>
      <c r="F942" s="500"/>
      <c r="G942" s="497" t="s">
        <v>3579</v>
      </c>
      <c r="H942" s="602" t="str">
        <f>IFERROR(VLOOKUP(E:E,'Item Data Support Sheet'!A:O,2,0),"")</f>
        <v>CAP S TYPE MOLDED WHITE</v>
      </c>
      <c r="I942" s="501" t="s">
        <v>3695</v>
      </c>
      <c r="J942" s="501" t="s">
        <v>2811</v>
      </c>
      <c r="K942" s="499">
        <v>8</v>
      </c>
      <c r="L942" s="499">
        <v>4137</v>
      </c>
      <c r="M942" s="366">
        <v>517.125</v>
      </c>
      <c r="N942" s="367">
        <f t="shared" si="259"/>
        <v>4404</v>
      </c>
      <c r="O942" s="61">
        <v>4400</v>
      </c>
      <c r="P942" s="368">
        <v>0</v>
      </c>
      <c r="Q942" s="368">
        <v>0</v>
      </c>
      <c r="R942" s="494">
        <v>0</v>
      </c>
      <c r="S942" s="493">
        <v>0</v>
      </c>
      <c r="T942" s="494">
        <v>4</v>
      </c>
      <c r="U942" s="493">
        <v>0</v>
      </c>
      <c r="V942" s="502">
        <v>1</v>
      </c>
      <c r="W942" s="453">
        <f t="shared" si="261"/>
        <v>4400</v>
      </c>
      <c r="X942" s="748">
        <f t="shared" si="262"/>
        <v>1.063572637176698</v>
      </c>
      <c r="Y942" s="451" t="str">
        <f>IFERROR(VLOOKUP(E:E,'Item Data Support Sheet'!A:J,6,0),0)</f>
        <v>RM000106</v>
      </c>
      <c r="Z942" s="428">
        <f>IFERROR(VLOOKUP(E:E,'Item Data Support Sheet'!A:O,4,0),0)</f>
        <v>7.3</v>
      </c>
      <c r="AA942" s="428">
        <f t="shared" si="263"/>
        <v>32.1492</v>
      </c>
      <c r="AB942" s="429">
        <f t="shared" si="264"/>
        <v>0.99909173478655755</v>
      </c>
      <c r="AC942" s="424">
        <f t="shared" si="265"/>
        <v>9.0826521344232513E-4</v>
      </c>
      <c r="AD942" s="371">
        <f t="shared" si="266"/>
        <v>0</v>
      </c>
      <c r="AE942" s="748">
        <f t="shared" si="267"/>
        <v>0.99909173478655766</v>
      </c>
      <c r="AF942" s="417">
        <f t="shared" si="268"/>
        <v>0</v>
      </c>
      <c r="AG942" s="416">
        <f t="shared" si="269"/>
        <v>8</v>
      </c>
      <c r="AH942" s="372">
        <f t="shared" si="270"/>
        <v>1</v>
      </c>
      <c r="AI942" s="373">
        <f t="shared" si="271"/>
        <v>550</v>
      </c>
      <c r="AJ942" s="418">
        <f>VLOOKUP(D942,'Standard Cycle time'!C:D,2,0)</f>
        <v>6</v>
      </c>
      <c r="AK942" s="418">
        <f t="shared" si="272"/>
        <v>6.5454545454545459</v>
      </c>
      <c r="AL942" s="374">
        <f t="shared" si="273"/>
        <v>0.91666666666666663</v>
      </c>
      <c r="AM942" s="372">
        <f t="shared" si="274"/>
        <v>0.91583409022101114</v>
      </c>
      <c r="AN942" s="799">
        <v>0.91583409022101114</v>
      </c>
      <c r="AO942" s="448"/>
      <c r="AP942" s="440"/>
      <c r="AQ942" s="440">
        <v>0</v>
      </c>
      <c r="AR942" s="440">
        <v>0</v>
      </c>
      <c r="AS942" s="440">
        <v>0</v>
      </c>
      <c r="AT942" s="440">
        <v>0</v>
      </c>
      <c r="AU942" s="440">
        <v>0</v>
      </c>
      <c r="AV942" s="440">
        <v>0</v>
      </c>
      <c r="AW942" s="440">
        <v>0</v>
      </c>
      <c r="AX942" s="440">
        <v>0</v>
      </c>
      <c r="AY942" s="440">
        <v>0</v>
      </c>
      <c r="AZ942" s="440">
        <v>0</v>
      </c>
      <c r="BA942" s="440">
        <v>0</v>
      </c>
      <c r="BB942" s="440">
        <v>0</v>
      </c>
      <c r="BC942" s="440">
        <v>0</v>
      </c>
      <c r="BD942" s="440">
        <v>0</v>
      </c>
      <c r="BE942" s="440">
        <v>0</v>
      </c>
      <c r="BF942" s="440">
        <v>0</v>
      </c>
      <c r="BG942" s="440">
        <v>0</v>
      </c>
      <c r="BH942" s="440">
        <v>0</v>
      </c>
      <c r="BI942" s="440">
        <v>0</v>
      </c>
      <c r="BJ942" s="440">
        <v>0</v>
      </c>
      <c r="BK942" s="440">
        <v>0</v>
      </c>
      <c r="BL942" s="440">
        <v>0</v>
      </c>
      <c r="BM942" s="440">
        <v>0</v>
      </c>
      <c r="BN942" s="440">
        <v>0</v>
      </c>
      <c r="BO942" s="440">
        <v>0</v>
      </c>
      <c r="BP942" s="440">
        <v>0</v>
      </c>
      <c r="BQ942" s="440">
        <v>0</v>
      </c>
      <c r="BR942" s="415">
        <v>0</v>
      </c>
      <c r="BS942" s="415">
        <v>0</v>
      </c>
      <c r="BT942" s="935"/>
      <c r="BU942" s="935"/>
      <c r="BV942" s="935"/>
      <c r="BW942" s="935"/>
      <c r="BX942" s="935"/>
      <c r="BY942" s="935"/>
      <c r="BZ942" s="935"/>
      <c r="CA942" s="935"/>
      <c r="CB942" s="935"/>
      <c r="CC942" s="935"/>
      <c r="CD942" s="935"/>
      <c r="CE942" s="935"/>
      <c r="CF942" s="935"/>
      <c r="CG942" s="935"/>
      <c r="CH942" s="935"/>
      <c r="CI942" s="935"/>
      <c r="CJ942" s="935"/>
      <c r="CK942" s="935"/>
      <c r="CL942" s="935"/>
      <c r="CM942" s="935"/>
      <c r="CN942" s="935"/>
      <c r="CO942" s="935"/>
      <c r="CP942" s="935"/>
      <c r="CQ942" s="935"/>
      <c r="CR942" s="935"/>
      <c r="CS942" s="935"/>
      <c r="CT942" s="935"/>
      <c r="CU942" s="935"/>
      <c r="CV942" s="935"/>
    </row>
    <row r="943" spans="1:100" s="441" customFormat="1">
      <c r="A943" s="375">
        <f t="shared" si="260"/>
        <v>10</v>
      </c>
      <c r="B943" s="862">
        <v>44487</v>
      </c>
      <c r="C943" s="493" t="s">
        <v>2001</v>
      </c>
      <c r="D943" s="376" t="str">
        <f>IFERROR(VLOOKUP(E:E,'Item Data Support Sheet'!A:O,7,0),"")</f>
        <v>NIPPLE MOLDED</v>
      </c>
      <c r="E943" s="447" t="s">
        <v>73</v>
      </c>
      <c r="F943" s="500" t="s">
        <v>1678</v>
      </c>
      <c r="G943" s="497" t="s">
        <v>1691</v>
      </c>
      <c r="H943" s="602" t="str">
        <f>IFERROR(VLOOKUP(E:E,'Item Data Support Sheet'!A:O,2,0),"")</f>
        <v>NIPPLE S TYPE M SIZE INJECTION</v>
      </c>
      <c r="I943" s="501" t="s">
        <v>3696</v>
      </c>
      <c r="J943" s="501" t="s">
        <v>2811</v>
      </c>
      <c r="K943" s="499">
        <v>8</v>
      </c>
      <c r="L943" s="499">
        <v>4815</v>
      </c>
      <c r="M943" s="366">
        <v>601.875</v>
      </c>
      <c r="N943" s="367">
        <f t="shared" si="259"/>
        <v>3550</v>
      </c>
      <c r="O943" s="61">
        <v>3400</v>
      </c>
      <c r="P943" s="368">
        <v>0</v>
      </c>
      <c r="Q943" s="368">
        <v>82</v>
      </c>
      <c r="R943" s="494">
        <v>0</v>
      </c>
      <c r="S943" s="493">
        <v>0</v>
      </c>
      <c r="T943" s="494">
        <v>68</v>
      </c>
      <c r="U943" s="493">
        <v>0</v>
      </c>
      <c r="V943" s="502">
        <v>1</v>
      </c>
      <c r="W943" s="453">
        <f t="shared" si="261"/>
        <v>3400</v>
      </c>
      <c r="X943" s="748">
        <f t="shared" si="262"/>
        <v>0.70612668743509865</v>
      </c>
      <c r="Y943" s="451" t="str">
        <f>IFERROR(VLOOKUP(E:E,'Item Data Support Sheet'!A:J,6,0),0)</f>
        <v>Silicon</v>
      </c>
      <c r="Z943" s="428">
        <f>IFERROR(VLOOKUP(E:E,'Item Data Support Sheet'!A:O,4,0),0)</f>
        <v>6.8</v>
      </c>
      <c r="AA943" s="428">
        <f t="shared" si="263"/>
        <v>24.139999999999997</v>
      </c>
      <c r="AB943" s="429">
        <f t="shared" si="264"/>
        <v>0.95774647887323949</v>
      </c>
      <c r="AC943" s="424">
        <f t="shared" si="265"/>
        <v>1.9607843137254902E-2</v>
      </c>
      <c r="AD943" s="371">
        <f t="shared" si="266"/>
        <v>2.2577092511013214E-2</v>
      </c>
      <c r="AE943" s="748">
        <f t="shared" si="267"/>
        <v>0.98084507042253521</v>
      </c>
      <c r="AF943" s="417">
        <f t="shared" si="268"/>
        <v>0</v>
      </c>
      <c r="AG943" s="416">
        <f t="shared" si="269"/>
        <v>8</v>
      </c>
      <c r="AH943" s="372">
        <f t="shared" si="270"/>
        <v>1</v>
      </c>
      <c r="AI943" s="373">
        <f t="shared" si="271"/>
        <v>425</v>
      </c>
      <c r="AJ943" s="418">
        <f>VLOOKUP(D943,'Standard Cycle time'!C:D,2,0)</f>
        <v>5.25</v>
      </c>
      <c r="AK943" s="418">
        <f t="shared" si="272"/>
        <v>8.4705882352941178</v>
      </c>
      <c r="AL943" s="374">
        <f t="shared" si="273"/>
        <v>0.61979166666666663</v>
      </c>
      <c r="AM943" s="372">
        <f t="shared" si="274"/>
        <v>0.60791960093896713</v>
      </c>
      <c r="AN943" s="799">
        <v>0.739375</v>
      </c>
      <c r="AO943" s="448" t="s">
        <v>3697</v>
      </c>
      <c r="AP943" s="440"/>
      <c r="AQ943" s="440">
        <v>0</v>
      </c>
      <c r="AR943" s="440">
        <v>0</v>
      </c>
      <c r="AS943" s="440">
        <v>0</v>
      </c>
      <c r="AT943" s="440">
        <v>0</v>
      </c>
      <c r="AU943" s="440">
        <v>0</v>
      </c>
      <c r="AV943" s="440">
        <v>0</v>
      </c>
      <c r="AW943" s="440">
        <v>0</v>
      </c>
      <c r="AX943" s="440">
        <v>0</v>
      </c>
      <c r="AY943" s="440">
        <v>0</v>
      </c>
      <c r="AZ943" s="440">
        <v>0</v>
      </c>
      <c r="BA943" s="440">
        <v>0</v>
      </c>
      <c r="BB943" s="440">
        <v>0</v>
      </c>
      <c r="BC943" s="440">
        <v>0</v>
      </c>
      <c r="BD943" s="440">
        <v>0</v>
      </c>
      <c r="BE943" s="440">
        <v>0</v>
      </c>
      <c r="BF943" s="440">
        <v>0</v>
      </c>
      <c r="BG943" s="440">
        <v>0</v>
      </c>
      <c r="BH943" s="440">
        <v>0</v>
      </c>
      <c r="BI943" s="440">
        <v>0</v>
      </c>
      <c r="BJ943" s="440">
        <v>0</v>
      </c>
      <c r="BK943" s="440">
        <v>0</v>
      </c>
      <c r="BL943" s="440">
        <v>0</v>
      </c>
      <c r="BM943" s="440">
        <v>0</v>
      </c>
      <c r="BN943" s="440">
        <v>0</v>
      </c>
      <c r="BO943" s="440">
        <v>0</v>
      </c>
      <c r="BP943" s="440">
        <v>0</v>
      </c>
      <c r="BQ943" s="440">
        <v>0</v>
      </c>
      <c r="BR943" s="415">
        <v>0</v>
      </c>
      <c r="BS943" s="415">
        <v>0</v>
      </c>
      <c r="BT943" s="935"/>
      <c r="BU943" s="935"/>
      <c r="BV943" s="935"/>
      <c r="BW943" s="935"/>
      <c r="BX943" s="935"/>
      <c r="BY943" s="935"/>
      <c r="BZ943" s="935"/>
      <c r="CA943" s="935"/>
      <c r="CB943" s="935"/>
      <c r="CC943" s="935"/>
      <c r="CD943" s="935"/>
      <c r="CE943" s="935"/>
      <c r="CF943" s="935"/>
      <c r="CG943" s="935"/>
      <c r="CH943" s="935"/>
      <c r="CI943" s="935"/>
      <c r="CJ943" s="935"/>
      <c r="CK943" s="935"/>
      <c r="CL943" s="935"/>
      <c r="CM943" s="935"/>
      <c r="CN943" s="935"/>
      <c r="CO943" s="935"/>
      <c r="CP943" s="935"/>
      <c r="CQ943" s="935"/>
      <c r="CR943" s="935"/>
      <c r="CS943" s="935"/>
      <c r="CT943" s="935"/>
      <c r="CU943" s="935"/>
      <c r="CV943" s="935"/>
    </row>
    <row r="944" spans="1:100" s="441" customFormat="1">
      <c r="A944" s="375">
        <f t="shared" si="260"/>
        <v>10</v>
      </c>
      <c r="B944" s="862">
        <v>44487</v>
      </c>
      <c r="C944" s="493" t="s">
        <v>2053</v>
      </c>
      <c r="D944" s="376" t="str">
        <f>IFERROR(VLOOKUP(E:E,'Item Data Support Sheet'!A:O,7,0),"")</f>
        <v>NIPPLE PUNCH</v>
      </c>
      <c r="E944" s="447" t="s">
        <v>82</v>
      </c>
      <c r="F944" s="500"/>
      <c r="G944" s="497" t="s">
        <v>1692</v>
      </c>
      <c r="H944" s="602" t="str">
        <f>IFERROR(VLOOKUP(E:E,'Item Data Support Sheet'!A:O,2,0),"")</f>
        <v>NIPPLE S TYPE L SIZE PUNCHED</v>
      </c>
      <c r="I944" s="501" t="s">
        <v>3698</v>
      </c>
      <c r="J944" s="501" t="s">
        <v>2808</v>
      </c>
      <c r="K944" s="499">
        <v>2</v>
      </c>
      <c r="L944" s="499">
        <v>1000</v>
      </c>
      <c r="M944" s="366">
        <v>500</v>
      </c>
      <c r="N944" s="367">
        <f t="shared" si="259"/>
        <v>1000</v>
      </c>
      <c r="O944" s="61">
        <v>1000</v>
      </c>
      <c r="P944" s="368">
        <v>0</v>
      </c>
      <c r="Q944" s="368">
        <v>0</v>
      </c>
      <c r="R944" s="494">
        <v>0</v>
      </c>
      <c r="S944" s="493">
        <v>0</v>
      </c>
      <c r="T944" s="494">
        <v>0</v>
      </c>
      <c r="U944" s="493">
        <v>0</v>
      </c>
      <c r="V944" s="502">
        <v>1</v>
      </c>
      <c r="W944" s="453">
        <f t="shared" si="261"/>
        <v>1000</v>
      </c>
      <c r="X944" s="748">
        <f t="shared" si="262"/>
        <v>1</v>
      </c>
      <c r="Y944" s="451" t="str">
        <f>IFERROR(VLOOKUP(E:E,'Item Data Support Sheet'!A:J,6,0),0)</f>
        <v>FO017</v>
      </c>
      <c r="Z944" s="428">
        <f>IFERROR(VLOOKUP(E:E,'Item Data Support Sheet'!A:O,4,0),0)</f>
        <v>0</v>
      </c>
      <c r="AA944" s="428">
        <f t="shared" si="263"/>
        <v>0</v>
      </c>
      <c r="AB944" s="429" t="str">
        <f t="shared" si="264"/>
        <v xml:space="preserve"> </v>
      </c>
      <c r="AC944" s="424">
        <f t="shared" si="265"/>
        <v>0</v>
      </c>
      <c r="AD944" s="371">
        <f t="shared" si="266"/>
        <v>0</v>
      </c>
      <c r="AE944" s="748">
        <f t="shared" si="267"/>
        <v>1</v>
      </c>
      <c r="AF944" s="417">
        <f t="shared" si="268"/>
        <v>1.1666666666666667</v>
      </c>
      <c r="AG944" s="416">
        <f t="shared" si="269"/>
        <v>0.83333333333333326</v>
      </c>
      <c r="AH944" s="372">
        <f t="shared" si="270"/>
        <v>0.41666666666666663</v>
      </c>
      <c r="AI944" s="373">
        <f t="shared" si="271"/>
        <v>500</v>
      </c>
      <c r="AJ944" s="418">
        <f>VLOOKUP(D944,'Standard Cycle time'!C:D,2,0)</f>
        <v>3.5</v>
      </c>
      <c r="AK944" s="418">
        <f t="shared" si="272"/>
        <v>2.9999999999999996</v>
      </c>
      <c r="AL944" s="374">
        <f t="shared" si="273"/>
        <v>1.1666666666666667</v>
      </c>
      <c r="AM944" s="372">
        <f t="shared" si="274"/>
        <v>0.4861111111111111</v>
      </c>
      <c r="AN944" s="799">
        <v>0.4861111111111111</v>
      </c>
      <c r="AO944" s="448" t="s">
        <v>3699</v>
      </c>
      <c r="AP944" s="440">
        <v>40</v>
      </c>
      <c r="AQ944" s="440">
        <v>0</v>
      </c>
      <c r="AR944" s="440">
        <v>0</v>
      </c>
      <c r="AS944" s="440">
        <v>30</v>
      </c>
      <c r="AT944" s="440">
        <v>0</v>
      </c>
      <c r="AU944" s="440">
        <v>0</v>
      </c>
      <c r="AV944" s="440">
        <v>0</v>
      </c>
      <c r="AW944" s="440">
        <v>0</v>
      </c>
      <c r="AX944" s="440">
        <v>0</v>
      </c>
      <c r="AY944" s="440">
        <v>0</v>
      </c>
      <c r="AZ944" s="440">
        <v>0</v>
      </c>
      <c r="BA944" s="440">
        <v>0</v>
      </c>
      <c r="BB944" s="440">
        <v>0</v>
      </c>
      <c r="BC944" s="440">
        <v>0</v>
      </c>
      <c r="BD944" s="440">
        <v>0</v>
      </c>
      <c r="BE944" s="440">
        <v>0</v>
      </c>
      <c r="BF944" s="440">
        <v>0</v>
      </c>
      <c r="BG944" s="440">
        <v>0</v>
      </c>
      <c r="BH944" s="440">
        <v>0</v>
      </c>
      <c r="BI944" s="440">
        <v>0</v>
      </c>
      <c r="BJ944" s="440">
        <v>0</v>
      </c>
      <c r="BK944" s="440">
        <v>0</v>
      </c>
      <c r="BL944" s="440">
        <v>0</v>
      </c>
      <c r="BM944" s="440">
        <v>0</v>
      </c>
      <c r="BN944" s="440">
        <v>0</v>
      </c>
      <c r="BO944" s="440">
        <v>0</v>
      </c>
      <c r="BP944" s="440">
        <v>0</v>
      </c>
      <c r="BQ944" s="440">
        <v>0</v>
      </c>
      <c r="BR944" s="415">
        <v>1.1666666666666667</v>
      </c>
      <c r="BS944" s="415">
        <v>1.1666666666666667</v>
      </c>
      <c r="BT944" s="935"/>
      <c r="BU944" s="935"/>
      <c r="BV944" s="935"/>
      <c r="BW944" s="935"/>
      <c r="BX944" s="935"/>
      <c r="BY944" s="935"/>
      <c r="BZ944" s="935"/>
      <c r="CA944" s="935"/>
      <c r="CB944" s="935"/>
      <c r="CC944" s="935"/>
      <c r="CD944" s="935"/>
      <c r="CE944" s="935"/>
      <c r="CF944" s="935"/>
      <c r="CG944" s="935"/>
      <c r="CH944" s="935"/>
      <c r="CI944" s="935"/>
      <c r="CJ944" s="935"/>
      <c r="CK944" s="935"/>
      <c r="CL944" s="935"/>
      <c r="CM944" s="935"/>
      <c r="CN944" s="935"/>
      <c r="CO944" s="935"/>
      <c r="CP944" s="935"/>
      <c r="CQ944" s="935"/>
      <c r="CR944" s="935"/>
      <c r="CS944" s="935"/>
      <c r="CT944" s="935"/>
      <c r="CU944" s="935"/>
      <c r="CV944" s="935"/>
    </row>
    <row r="945" spans="1:105" s="441" customFormat="1">
      <c r="A945" s="375">
        <f t="shared" si="260"/>
        <v>10</v>
      </c>
      <c r="B945" s="862">
        <v>44487</v>
      </c>
      <c r="C945" s="493" t="s">
        <v>2053</v>
      </c>
      <c r="D945" s="376" t="str">
        <f>IFERROR(VLOOKUP(E:E,'Item Data Support Sheet'!A:O,7,0),"")</f>
        <v>NIPPLE MOLDED</v>
      </c>
      <c r="E945" s="447" t="s">
        <v>73</v>
      </c>
      <c r="F945" s="500" t="s">
        <v>1678</v>
      </c>
      <c r="G945" s="497" t="s">
        <v>1691</v>
      </c>
      <c r="H945" s="602" t="str">
        <f>IFERROR(VLOOKUP(E:E,'Item Data Support Sheet'!A:O,2,0),"")</f>
        <v>NIPPLE S TYPE M SIZE INJECTION</v>
      </c>
      <c r="I945" s="501" t="s">
        <v>3700</v>
      </c>
      <c r="J945" s="501" t="s">
        <v>2808</v>
      </c>
      <c r="K945" s="499">
        <v>8</v>
      </c>
      <c r="L945" s="499">
        <v>4815</v>
      </c>
      <c r="M945" s="366">
        <v>601.875</v>
      </c>
      <c r="N945" s="367">
        <f t="shared" si="259"/>
        <v>2988</v>
      </c>
      <c r="O945" s="61">
        <v>2800</v>
      </c>
      <c r="P945" s="368">
        <v>0</v>
      </c>
      <c r="Q945" s="368">
        <v>110</v>
      </c>
      <c r="R945" s="494">
        <v>0</v>
      </c>
      <c r="S945" s="493">
        <v>0</v>
      </c>
      <c r="T945" s="494">
        <v>70</v>
      </c>
      <c r="U945" s="493">
        <v>8</v>
      </c>
      <c r="V945" s="502">
        <v>1</v>
      </c>
      <c r="W945" s="453">
        <f t="shared" si="261"/>
        <v>2800</v>
      </c>
      <c r="X945" s="748">
        <f t="shared" si="262"/>
        <v>0.58151609553478711</v>
      </c>
      <c r="Y945" s="451" t="str">
        <f>IFERROR(VLOOKUP(E:E,'Item Data Support Sheet'!A:J,6,0),0)</f>
        <v>Silicon</v>
      </c>
      <c r="Z945" s="428">
        <f>IFERROR(VLOOKUP(E:E,'Item Data Support Sheet'!A:O,4,0),0)</f>
        <v>6.8</v>
      </c>
      <c r="AA945" s="428">
        <f t="shared" si="263"/>
        <v>20.3184</v>
      </c>
      <c r="AB945" s="429">
        <f t="shared" si="264"/>
        <v>0.93708165997322612</v>
      </c>
      <c r="AC945" s="424">
        <f t="shared" si="265"/>
        <v>2.4390243902439025E-2</v>
      </c>
      <c r="AD945" s="371">
        <f t="shared" si="266"/>
        <v>3.5506778566817304E-2</v>
      </c>
      <c r="AE945" s="748">
        <f t="shared" si="267"/>
        <v>0.97657295850066939</v>
      </c>
      <c r="AF945" s="417">
        <f t="shared" si="268"/>
        <v>3.8333333333333335</v>
      </c>
      <c r="AG945" s="416">
        <f t="shared" si="269"/>
        <v>4.1666666666666661</v>
      </c>
      <c r="AH945" s="372">
        <f t="shared" si="270"/>
        <v>0.52083333333333326</v>
      </c>
      <c r="AI945" s="373">
        <f t="shared" si="271"/>
        <v>350</v>
      </c>
      <c r="AJ945" s="418">
        <f>VLOOKUP(D945,'Standard Cycle time'!C:D,2,0)</f>
        <v>5.25</v>
      </c>
      <c r="AK945" s="418">
        <f t="shared" si="272"/>
        <v>5.3571428571428568</v>
      </c>
      <c r="AL945" s="374">
        <f t="shared" si="273"/>
        <v>0.98000000000000009</v>
      </c>
      <c r="AM945" s="372">
        <f t="shared" si="274"/>
        <v>0.49845911423471662</v>
      </c>
      <c r="AN945" s="799">
        <v>0.49845911423471662</v>
      </c>
      <c r="AO945" s="448" t="s">
        <v>3701</v>
      </c>
      <c r="AP945" s="440">
        <v>0</v>
      </c>
      <c r="AQ945" s="440">
        <v>0</v>
      </c>
      <c r="AR945" s="440">
        <v>0</v>
      </c>
      <c r="AS945" s="440">
        <v>0</v>
      </c>
      <c r="AT945" s="440">
        <v>0</v>
      </c>
      <c r="AU945" s="440">
        <v>90</v>
      </c>
      <c r="AV945" s="440">
        <v>0</v>
      </c>
      <c r="AW945" s="440">
        <v>40</v>
      </c>
      <c r="AX945" s="440">
        <v>0</v>
      </c>
      <c r="AY945" s="440">
        <v>0</v>
      </c>
      <c r="AZ945" s="440">
        <v>0</v>
      </c>
      <c r="BA945" s="440">
        <v>0</v>
      </c>
      <c r="BB945" s="440">
        <v>0</v>
      </c>
      <c r="BC945" s="440">
        <v>0</v>
      </c>
      <c r="BD945" s="440">
        <v>0</v>
      </c>
      <c r="BE945" s="440">
        <v>0</v>
      </c>
      <c r="BF945" s="440">
        <v>0</v>
      </c>
      <c r="BG945" s="440">
        <v>0</v>
      </c>
      <c r="BH945" s="440">
        <v>0</v>
      </c>
      <c r="BI945" s="440">
        <v>0</v>
      </c>
      <c r="BJ945" s="440">
        <v>0</v>
      </c>
      <c r="BK945" s="440">
        <v>100</v>
      </c>
      <c r="BL945" s="440">
        <v>0</v>
      </c>
      <c r="BM945" s="440">
        <v>0</v>
      </c>
      <c r="BN945" s="440">
        <v>0</v>
      </c>
      <c r="BO945" s="440">
        <v>0</v>
      </c>
      <c r="BP945" s="440">
        <v>0</v>
      </c>
      <c r="BQ945" s="440">
        <v>0</v>
      </c>
      <c r="BR945" s="415">
        <v>3.8333333333333335</v>
      </c>
      <c r="BS945" s="415">
        <v>3.8333333333333335</v>
      </c>
      <c r="BT945" s="935"/>
      <c r="BU945" s="935"/>
      <c r="BV945" s="935"/>
      <c r="BW945" s="935"/>
      <c r="BX945" s="935"/>
      <c r="BY945" s="935"/>
      <c r="BZ945" s="935"/>
      <c r="CA945" s="935"/>
      <c r="CB945" s="935"/>
      <c r="CC945" s="935"/>
      <c r="CD945" s="935"/>
      <c r="CE945" s="935"/>
      <c r="CF945" s="935"/>
      <c r="CG945" s="935"/>
      <c r="CH945" s="935"/>
      <c r="CI945" s="935"/>
      <c r="CJ945" s="935"/>
      <c r="CK945" s="935"/>
      <c r="CL945" s="935"/>
      <c r="CM945" s="935"/>
      <c r="CN945" s="935"/>
      <c r="CO945" s="935"/>
      <c r="CP945" s="935"/>
      <c r="CQ945" s="935"/>
      <c r="CR945" s="935"/>
      <c r="CS945" s="935"/>
      <c r="CT945" s="935"/>
      <c r="CU945" s="935"/>
      <c r="CV945" s="935"/>
    </row>
    <row r="946" spans="1:105" s="441" customFormat="1">
      <c r="A946" s="375">
        <f t="shared" si="260"/>
        <v>10</v>
      </c>
      <c r="B946" s="862">
        <v>44487</v>
      </c>
      <c r="C946" s="493" t="s">
        <v>2053</v>
      </c>
      <c r="D946" s="376" t="str">
        <f>IFERROR(VLOOKUP(E:E,'Item Data Support Sheet'!A:O,7,0),"")</f>
        <v>CAP MOLDED</v>
      </c>
      <c r="E946" s="447" t="s">
        <v>2110</v>
      </c>
      <c r="F946" s="500"/>
      <c r="G946" s="497" t="s">
        <v>3212</v>
      </c>
      <c r="H946" s="602" t="str">
        <f>IFERROR(VLOOKUP(E:E,'Item Data Support Sheet'!A:O,2,0),"")</f>
        <v>CAP S TYPE MOLDED WHITE</v>
      </c>
      <c r="I946" s="501" t="s">
        <v>3702</v>
      </c>
      <c r="J946" s="501" t="s">
        <v>2808</v>
      </c>
      <c r="K946" s="499">
        <v>8</v>
      </c>
      <c r="L946" s="499">
        <v>4137</v>
      </c>
      <c r="M946" s="366">
        <v>517.125</v>
      </c>
      <c r="N946" s="367">
        <f t="shared" si="259"/>
        <v>4310</v>
      </c>
      <c r="O946" s="61">
        <v>4300</v>
      </c>
      <c r="P946" s="368">
        <v>0</v>
      </c>
      <c r="Q946" s="368">
        <v>0</v>
      </c>
      <c r="R946" s="494">
        <v>0</v>
      </c>
      <c r="S946" s="493">
        <v>0</v>
      </c>
      <c r="T946" s="494">
        <v>2</v>
      </c>
      <c r="U946" s="493">
        <v>8</v>
      </c>
      <c r="V946" s="502">
        <v>1</v>
      </c>
      <c r="W946" s="453">
        <f t="shared" si="261"/>
        <v>4300</v>
      </c>
      <c r="X946" s="748">
        <f t="shared" si="262"/>
        <v>1.0394005317863186</v>
      </c>
      <c r="Y946" s="451" t="str">
        <f>IFERROR(VLOOKUP(E:E,'Item Data Support Sheet'!A:J,6,0),0)</f>
        <v>RM000106</v>
      </c>
      <c r="Z946" s="428">
        <f>IFERROR(VLOOKUP(E:E,'Item Data Support Sheet'!A:O,4,0),0)</f>
        <v>7.3</v>
      </c>
      <c r="AA946" s="428">
        <f t="shared" si="263"/>
        <v>31.463000000000001</v>
      </c>
      <c r="AB946" s="429">
        <f t="shared" si="264"/>
        <v>0.99767981438515085</v>
      </c>
      <c r="AC946" s="424">
        <f t="shared" si="265"/>
        <v>4.6490004649000463E-4</v>
      </c>
      <c r="AD946" s="371">
        <f t="shared" si="266"/>
        <v>0</v>
      </c>
      <c r="AE946" s="748">
        <f t="shared" si="267"/>
        <v>0.99953596287703017</v>
      </c>
      <c r="AF946" s="417">
        <f t="shared" si="268"/>
        <v>0.83333333333333337</v>
      </c>
      <c r="AG946" s="416">
        <f t="shared" si="269"/>
        <v>7.166666666666667</v>
      </c>
      <c r="AH946" s="372">
        <f t="shared" si="270"/>
        <v>0.89583333333333337</v>
      </c>
      <c r="AI946" s="373">
        <f t="shared" si="271"/>
        <v>537.5</v>
      </c>
      <c r="AJ946" s="418">
        <f>VLOOKUP(D946,'Standard Cycle time'!C:D,2,0)</f>
        <v>6</v>
      </c>
      <c r="AK946" s="418">
        <f t="shared" si="272"/>
        <v>6</v>
      </c>
      <c r="AL946" s="374">
        <f t="shared" si="273"/>
        <v>1</v>
      </c>
      <c r="AM946" s="372">
        <f t="shared" si="274"/>
        <v>0.89541763341067293</v>
      </c>
      <c r="AN946" s="799">
        <v>0.89541763341067293</v>
      </c>
      <c r="AO946" s="448"/>
      <c r="AP946" s="440">
        <v>0</v>
      </c>
      <c r="AQ946" s="440">
        <v>0</v>
      </c>
      <c r="AR946" s="440">
        <v>0</v>
      </c>
      <c r="AS946" s="440">
        <v>0</v>
      </c>
      <c r="AT946" s="440">
        <v>0</v>
      </c>
      <c r="AU946" s="440">
        <v>0</v>
      </c>
      <c r="AV946" s="440">
        <v>30</v>
      </c>
      <c r="AW946" s="440">
        <v>20</v>
      </c>
      <c r="AX946" s="440">
        <v>0</v>
      </c>
      <c r="AY946" s="440">
        <v>0</v>
      </c>
      <c r="AZ946" s="440">
        <v>0</v>
      </c>
      <c r="BA946" s="440">
        <v>0</v>
      </c>
      <c r="BB946" s="440">
        <v>0</v>
      </c>
      <c r="BC946" s="440">
        <v>0</v>
      </c>
      <c r="BD946" s="440">
        <v>0</v>
      </c>
      <c r="BE946" s="440">
        <v>0</v>
      </c>
      <c r="BF946" s="440">
        <v>0</v>
      </c>
      <c r="BG946" s="440">
        <v>0</v>
      </c>
      <c r="BH946" s="440">
        <v>0</v>
      </c>
      <c r="BI946" s="440">
        <v>0</v>
      </c>
      <c r="BJ946" s="440">
        <v>0</v>
      </c>
      <c r="BK946" s="440">
        <v>0</v>
      </c>
      <c r="BL946" s="440">
        <v>0</v>
      </c>
      <c r="BM946" s="440">
        <v>0</v>
      </c>
      <c r="BN946" s="440">
        <v>0</v>
      </c>
      <c r="BO946" s="440">
        <v>0</v>
      </c>
      <c r="BP946" s="440">
        <v>0</v>
      </c>
      <c r="BQ946" s="440">
        <v>0</v>
      </c>
      <c r="BR946" s="415">
        <v>0.83333333333333337</v>
      </c>
      <c r="BS946" s="415">
        <v>0.83333333333333337</v>
      </c>
      <c r="BT946" s="935"/>
      <c r="BU946" s="935"/>
      <c r="BV946" s="935"/>
      <c r="BW946" s="935"/>
      <c r="BX946" s="935"/>
      <c r="BY946" s="935"/>
      <c r="BZ946" s="935"/>
      <c r="CA946" s="935"/>
      <c r="CB946" s="935"/>
      <c r="CC946" s="935"/>
      <c r="CD946" s="935"/>
      <c r="CE946" s="935"/>
      <c r="CF946" s="935"/>
      <c r="CG946" s="935"/>
      <c r="CH946" s="935"/>
      <c r="CI946" s="935"/>
      <c r="CJ946" s="935"/>
      <c r="CK946" s="935"/>
      <c r="CL946" s="935"/>
      <c r="CM946" s="935"/>
      <c r="CN946" s="935"/>
      <c r="CO946" s="935"/>
      <c r="CP946" s="935"/>
      <c r="CQ946" s="935"/>
      <c r="CR946" s="935"/>
      <c r="CS946" s="935"/>
      <c r="CT946" s="935"/>
      <c r="CU946" s="935"/>
      <c r="CV946" s="935"/>
    </row>
    <row r="947" spans="1:105" s="441" customFormat="1">
      <c r="A947" s="375">
        <f t="shared" si="260"/>
        <v>10</v>
      </c>
      <c r="B947" s="862">
        <v>44487</v>
      </c>
      <c r="C947" s="493" t="s">
        <v>2001</v>
      </c>
      <c r="D947" s="376" t="str">
        <f>IFERROR(VLOOKUP(E:E,'Item Data Support Sheet'!A:O,7,0),"")</f>
        <v>BOTTLE PRINTED</v>
      </c>
      <c r="E947" s="447" t="s">
        <v>114</v>
      </c>
      <c r="F947" s="500"/>
      <c r="G947" s="497"/>
      <c r="H947" s="602" t="str">
        <f>IFERROR(VLOOKUP(E:E,'Item Data Support Sheet'!A:O,2,0),"")</f>
        <v>KPP BOTTLE 200 ML PRINTED-WMG3B</v>
      </c>
      <c r="I947" s="501" t="s">
        <v>3703</v>
      </c>
      <c r="J947" s="501" t="s">
        <v>2813</v>
      </c>
      <c r="K947" s="499">
        <v>8</v>
      </c>
      <c r="L947" s="499">
        <v>5134</v>
      </c>
      <c r="M947" s="366">
        <v>641.75</v>
      </c>
      <c r="N947" s="367">
        <f t="shared" si="259"/>
        <v>4356</v>
      </c>
      <c r="O947" s="61">
        <v>4312</v>
      </c>
      <c r="P947" s="368">
        <v>0</v>
      </c>
      <c r="Q947" s="368">
        <v>0</v>
      </c>
      <c r="R947" s="494">
        <v>41</v>
      </c>
      <c r="S947" s="493">
        <v>0</v>
      </c>
      <c r="T947" s="494">
        <v>44</v>
      </c>
      <c r="U947" s="493">
        <v>0</v>
      </c>
      <c r="V947" s="502">
        <v>5</v>
      </c>
      <c r="W947" s="453">
        <f t="shared" si="261"/>
        <v>862.4</v>
      </c>
      <c r="X947" s="748">
        <f t="shared" si="262"/>
        <v>0.83989092325671988</v>
      </c>
      <c r="Y947" s="451" t="str">
        <f>IFERROR(VLOOKUP(E:E,'Item Data Support Sheet'!A:J,6,0),0)</f>
        <v>FO043</v>
      </c>
      <c r="Z947" s="428">
        <f>IFERROR(VLOOKUP(E:E,'Item Data Support Sheet'!A:O,4,0),0)</f>
        <v>0</v>
      </c>
      <c r="AA947" s="428">
        <f t="shared" si="263"/>
        <v>0</v>
      </c>
      <c r="AB947" s="429" t="str">
        <f t="shared" si="264"/>
        <v xml:space="preserve"> </v>
      </c>
      <c r="AC947" s="424">
        <f t="shared" si="265"/>
        <v>1.0101010101010102E-2</v>
      </c>
      <c r="AD947" s="371">
        <f t="shared" si="266"/>
        <v>0</v>
      </c>
      <c r="AE947" s="748">
        <f t="shared" si="267"/>
        <v>0.98989898989898994</v>
      </c>
      <c r="AF947" s="417">
        <f t="shared" si="268"/>
        <v>0.66666666666666663</v>
      </c>
      <c r="AG947" s="416">
        <f t="shared" si="269"/>
        <v>7.333333333333333</v>
      </c>
      <c r="AH947" s="372">
        <f t="shared" si="270"/>
        <v>0.91666666666666663</v>
      </c>
      <c r="AI947" s="373">
        <f t="shared" si="271"/>
        <v>539</v>
      </c>
      <c r="AJ947" s="418">
        <f>VLOOKUP(D947,'Standard Cycle time'!C:D,2,0)</f>
        <v>32.4</v>
      </c>
      <c r="AK947" s="418">
        <f t="shared" si="272"/>
        <v>30.612244897959183</v>
      </c>
      <c r="AL947" s="374">
        <f t="shared" si="273"/>
        <v>1.0584</v>
      </c>
      <c r="AM947" s="372">
        <f t="shared" si="274"/>
        <v>0.96039999999999992</v>
      </c>
      <c r="AN947" s="799">
        <v>0.96039999999999992</v>
      </c>
      <c r="AO947" s="448" t="s">
        <v>3704</v>
      </c>
      <c r="AP947" s="440">
        <v>0</v>
      </c>
      <c r="AQ947" s="440">
        <v>0</v>
      </c>
      <c r="AR947" s="440">
        <v>0</v>
      </c>
      <c r="AS947" s="440">
        <v>0</v>
      </c>
      <c r="AT947" s="440">
        <v>40</v>
      </c>
      <c r="AU947" s="440">
        <v>0</v>
      </c>
      <c r="AV947" s="440">
        <v>0</v>
      </c>
      <c r="AW947" s="440">
        <v>0</v>
      </c>
      <c r="AX947" s="440">
        <v>0</v>
      </c>
      <c r="AY947" s="440">
        <v>0</v>
      </c>
      <c r="AZ947" s="440">
        <v>0</v>
      </c>
      <c r="BA947" s="440">
        <v>0</v>
      </c>
      <c r="BB947" s="440">
        <v>0</v>
      </c>
      <c r="BC947" s="440">
        <v>0</v>
      </c>
      <c r="BD947" s="440">
        <v>0</v>
      </c>
      <c r="BE947" s="440">
        <v>0</v>
      </c>
      <c r="BF947" s="440">
        <v>0</v>
      </c>
      <c r="BG947" s="440">
        <v>0</v>
      </c>
      <c r="BH947" s="440">
        <v>0</v>
      </c>
      <c r="BI947" s="440">
        <v>0</v>
      </c>
      <c r="BJ947" s="440">
        <v>0</v>
      </c>
      <c r="BK947" s="440">
        <v>0</v>
      </c>
      <c r="BL947" s="440">
        <v>0</v>
      </c>
      <c r="BM947" s="440">
        <v>0</v>
      </c>
      <c r="BN947" s="440">
        <v>0</v>
      </c>
      <c r="BO947" s="440">
        <v>0</v>
      </c>
      <c r="BP947" s="440">
        <v>0</v>
      </c>
      <c r="BQ947" s="440">
        <v>0</v>
      </c>
      <c r="BR947" s="415">
        <v>0.66666666666666663</v>
      </c>
      <c r="BS947" s="415">
        <v>0.66666666666666663</v>
      </c>
      <c r="BT947" s="935"/>
      <c r="BU947" s="935"/>
      <c r="BV947" s="935"/>
      <c r="BW947" s="935"/>
      <c r="BX947" s="935"/>
      <c r="BY947" s="935"/>
      <c r="BZ947" s="935"/>
      <c r="CA947" s="935"/>
      <c r="CB947" s="935"/>
      <c r="CC947" s="935"/>
      <c r="CD947" s="935"/>
      <c r="CE947" s="935"/>
      <c r="CF947" s="935"/>
      <c r="CG947" s="935"/>
      <c r="CH947" s="935"/>
      <c r="CI947" s="935"/>
      <c r="CJ947" s="935"/>
      <c r="CK947" s="935"/>
      <c r="CL947" s="935"/>
      <c r="CM947" s="935"/>
      <c r="CN947" s="935"/>
      <c r="CO947" s="935"/>
      <c r="CP947" s="935"/>
      <c r="CQ947" s="935"/>
      <c r="CR947" s="935"/>
      <c r="CS947" s="935"/>
      <c r="CT947" s="935"/>
      <c r="CU947" s="935"/>
      <c r="CV947" s="935"/>
      <c r="DA947" s="441" t="s">
        <v>107</v>
      </c>
    </row>
    <row r="948" spans="1:105" s="441" customFormat="1">
      <c r="A948" s="375">
        <f t="shared" si="260"/>
        <v>10</v>
      </c>
      <c r="B948" s="862">
        <v>44488</v>
      </c>
      <c r="C948" s="493" t="s">
        <v>1980</v>
      </c>
      <c r="D948" s="376" t="str">
        <f>IFERROR(VLOOKUP(E:E,'Item Data Support Sheet'!A:O,7,0),"")</f>
        <v>BOTTLE PRINTED</v>
      </c>
      <c r="E948" s="447" t="s">
        <v>116</v>
      </c>
      <c r="F948" s="500"/>
      <c r="G948" s="497"/>
      <c r="H948" s="602" t="str">
        <f>IFERROR(VLOOKUP(E:E,'Item Data Support Sheet'!A:O,2,0),"")</f>
        <v>KPP BOTTLE 240 ML PRINTED-WMG3B</v>
      </c>
      <c r="I948" s="501"/>
      <c r="J948" s="501" t="s">
        <v>2813</v>
      </c>
      <c r="K948" s="499">
        <v>0.1</v>
      </c>
      <c r="L948" s="499">
        <v>60</v>
      </c>
      <c r="M948" s="366">
        <v>600</v>
      </c>
      <c r="N948" s="367">
        <f t="shared" si="259"/>
        <v>60</v>
      </c>
      <c r="O948" s="61">
        <v>60</v>
      </c>
      <c r="P948" s="368">
        <v>0</v>
      </c>
      <c r="Q948" s="368">
        <v>0</v>
      </c>
      <c r="R948" s="494">
        <v>0</v>
      </c>
      <c r="S948" s="493">
        <v>0</v>
      </c>
      <c r="T948" s="494">
        <v>0</v>
      </c>
      <c r="U948" s="493">
        <v>0</v>
      </c>
      <c r="V948" s="502">
        <v>5</v>
      </c>
      <c r="W948" s="453">
        <f t="shared" si="261"/>
        <v>12</v>
      </c>
      <c r="X948" s="748">
        <f t="shared" si="262"/>
        <v>1</v>
      </c>
      <c r="Y948" s="451" t="str">
        <f>IFERROR(VLOOKUP(E:E,'Item Data Support Sheet'!A:J,6,0),0)</f>
        <v>FO044</v>
      </c>
      <c r="Z948" s="428">
        <f>IFERROR(VLOOKUP(E:E,'Item Data Support Sheet'!A:O,4,0),0)</f>
        <v>0</v>
      </c>
      <c r="AA948" s="428">
        <f t="shared" si="263"/>
        <v>0</v>
      </c>
      <c r="AB948" s="429" t="str">
        <f t="shared" si="264"/>
        <v xml:space="preserve"> </v>
      </c>
      <c r="AC948" s="424">
        <f t="shared" si="265"/>
        <v>0</v>
      </c>
      <c r="AD948" s="371">
        <f t="shared" si="266"/>
        <v>0</v>
      </c>
      <c r="AE948" s="748">
        <f t="shared" si="267"/>
        <v>1</v>
      </c>
      <c r="AF948" s="417">
        <f t="shared" si="268"/>
        <v>0</v>
      </c>
      <c r="AG948" s="416">
        <f t="shared" si="269"/>
        <v>0.1</v>
      </c>
      <c r="AH948" s="372">
        <f t="shared" si="270"/>
        <v>1</v>
      </c>
      <c r="AI948" s="373">
        <f t="shared" si="271"/>
        <v>600</v>
      </c>
      <c r="AJ948" s="418">
        <f>VLOOKUP(D948,'Standard Cycle time'!C:D,2,0)</f>
        <v>32.4</v>
      </c>
      <c r="AK948" s="418">
        <f t="shared" si="272"/>
        <v>30</v>
      </c>
      <c r="AL948" s="374">
        <f t="shared" si="273"/>
        <v>1.0799999999999998</v>
      </c>
      <c r="AM948" s="372">
        <f t="shared" si="274"/>
        <v>1.0799999999999998</v>
      </c>
      <c r="AN948" s="799">
        <v>1.0799999999999998</v>
      </c>
      <c r="AO948" s="448" t="s">
        <v>3705</v>
      </c>
      <c r="AP948" s="440">
        <v>0</v>
      </c>
      <c r="AQ948" s="440">
        <v>0</v>
      </c>
      <c r="AR948" s="440">
        <v>0</v>
      </c>
      <c r="AS948" s="440">
        <v>0</v>
      </c>
      <c r="AT948" s="440">
        <v>0</v>
      </c>
      <c r="AU948" s="440">
        <v>0</v>
      </c>
      <c r="AV948" s="440">
        <v>0</v>
      </c>
      <c r="AW948" s="440">
        <v>0</v>
      </c>
      <c r="AX948" s="440">
        <v>0</v>
      </c>
      <c r="AY948" s="440">
        <v>0</v>
      </c>
      <c r="AZ948" s="440">
        <v>0</v>
      </c>
      <c r="BA948" s="440">
        <v>0</v>
      </c>
      <c r="BB948" s="440">
        <v>0</v>
      </c>
      <c r="BC948" s="440">
        <v>0</v>
      </c>
      <c r="BD948" s="440">
        <v>0</v>
      </c>
      <c r="BE948" s="440">
        <v>0</v>
      </c>
      <c r="BF948" s="440">
        <v>0</v>
      </c>
      <c r="BG948" s="440">
        <v>0</v>
      </c>
      <c r="BH948" s="440">
        <v>0</v>
      </c>
      <c r="BI948" s="440">
        <v>0</v>
      </c>
      <c r="BJ948" s="440">
        <v>0</v>
      </c>
      <c r="BK948" s="440">
        <v>0</v>
      </c>
      <c r="BL948" s="440">
        <v>0</v>
      </c>
      <c r="BM948" s="440">
        <v>0</v>
      </c>
      <c r="BN948" s="440">
        <v>0</v>
      </c>
      <c r="BO948" s="440">
        <v>0</v>
      </c>
      <c r="BP948" s="440">
        <v>0</v>
      </c>
      <c r="BQ948" s="440">
        <v>0</v>
      </c>
      <c r="BR948" s="415">
        <v>0</v>
      </c>
      <c r="BS948" s="415">
        <v>0</v>
      </c>
      <c r="BT948" s="935"/>
      <c r="BU948" s="935"/>
      <c r="BV948" s="935"/>
      <c r="BW948" s="935"/>
      <c r="BX948" s="935"/>
      <c r="BY948" s="935"/>
      <c r="BZ948" s="935"/>
      <c r="CA948" s="935"/>
      <c r="CB948" s="935"/>
      <c r="CC948" s="935"/>
      <c r="CD948" s="935"/>
      <c r="CE948" s="935"/>
      <c r="CF948" s="935"/>
      <c r="CG948" s="935"/>
      <c r="CH948" s="935"/>
      <c r="CI948" s="935"/>
      <c r="CJ948" s="935"/>
      <c r="CK948" s="935"/>
      <c r="CL948" s="935"/>
      <c r="CM948" s="935"/>
      <c r="CN948" s="935"/>
      <c r="CO948" s="935"/>
      <c r="CP948" s="935"/>
      <c r="CQ948" s="935"/>
      <c r="CR948" s="935"/>
      <c r="CS948" s="935"/>
      <c r="CT948" s="935"/>
      <c r="CU948" s="935"/>
      <c r="CV948" s="935"/>
    </row>
    <row r="949" spans="1:105" s="441" customFormat="1">
      <c r="A949" s="375">
        <f t="shared" si="260"/>
        <v>10</v>
      </c>
      <c r="B949" s="862">
        <v>44488</v>
      </c>
      <c r="C949" s="493" t="s">
        <v>1980</v>
      </c>
      <c r="D949" s="376" t="str">
        <f>IFERROR(VLOOKUP(E:E,'Item Data Support Sheet'!A:O,7,0),"")</f>
        <v>BOTTLE PRINTED</v>
      </c>
      <c r="E949" s="447" t="s">
        <v>355</v>
      </c>
      <c r="F949" s="500"/>
      <c r="G949" s="497"/>
      <c r="H949" s="602" t="str">
        <f>IFERROR(VLOOKUP(E:E,'Item Data Support Sheet'!A:O,2,0),"")</f>
        <v>RPP 240ML GRL PNK BOTLE PNTD WM3GB W/BIS LOGO</v>
      </c>
      <c r="I949" s="501"/>
      <c r="J949" s="501" t="s">
        <v>2813</v>
      </c>
      <c r="K949" s="499">
        <v>0.1</v>
      </c>
      <c r="L949" s="499">
        <v>60</v>
      </c>
      <c r="M949" s="366">
        <v>600</v>
      </c>
      <c r="N949" s="367">
        <f t="shared" si="259"/>
        <v>60</v>
      </c>
      <c r="O949" s="61">
        <v>60</v>
      </c>
      <c r="P949" s="368">
        <v>0</v>
      </c>
      <c r="Q949" s="368">
        <v>0</v>
      </c>
      <c r="R949" s="494">
        <v>0</v>
      </c>
      <c r="S949" s="493">
        <v>0</v>
      </c>
      <c r="T949" s="494">
        <v>0</v>
      </c>
      <c r="U949" s="493">
        <v>0</v>
      </c>
      <c r="V949" s="502">
        <v>5</v>
      </c>
      <c r="W949" s="453">
        <f t="shared" si="261"/>
        <v>12</v>
      </c>
      <c r="X949" s="748">
        <f t="shared" si="262"/>
        <v>1</v>
      </c>
      <c r="Y949" s="451" t="str">
        <f>IFERROR(VLOOKUP(E:E,'Item Data Support Sheet'!A:J,6,0),0)</f>
        <v>FO057</v>
      </c>
      <c r="Z949" s="428">
        <f>IFERROR(VLOOKUP(E:E,'Item Data Support Sheet'!A:O,4,0),0)</f>
        <v>0</v>
      </c>
      <c r="AA949" s="428">
        <f t="shared" si="263"/>
        <v>0</v>
      </c>
      <c r="AB949" s="429" t="str">
        <f t="shared" si="264"/>
        <v xml:space="preserve"> </v>
      </c>
      <c r="AC949" s="424">
        <f t="shared" si="265"/>
        <v>0</v>
      </c>
      <c r="AD949" s="371">
        <f t="shared" si="266"/>
        <v>0</v>
      </c>
      <c r="AE949" s="748">
        <f t="shared" si="267"/>
        <v>1</v>
      </c>
      <c r="AF949" s="417">
        <f t="shared" si="268"/>
        <v>0</v>
      </c>
      <c r="AG949" s="416">
        <f t="shared" si="269"/>
        <v>0.1</v>
      </c>
      <c r="AH949" s="372">
        <f t="shared" si="270"/>
        <v>1</v>
      </c>
      <c r="AI949" s="373">
        <f t="shared" si="271"/>
        <v>600</v>
      </c>
      <c r="AJ949" s="418">
        <f>VLOOKUP(D949,'Standard Cycle time'!C:D,2,0)</f>
        <v>32.4</v>
      </c>
      <c r="AK949" s="418">
        <f t="shared" si="272"/>
        <v>30</v>
      </c>
      <c r="AL949" s="374">
        <f t="shared" si="273"/>
        <v>1.0799999999999998</v>
      </c>
      <c r="AM949" s="372">
        <f t="shared" si="274"/>
        <v>1.0799999999999998</v>
      </c>
      <c r="AN949" s="799">
        <v>1.0799999999999998</v>
      </c>
      <c r="AO949" s="448" t="s">
        <v>3705</v>
      </c>
      <c r="AP949" s="440">
        <v>0</v>
      </c>
      <c r="AQ949" s="440">
        <v>0</v>
      </c>
      <c r="AR949" s="440">
        <v>0</v>
      </c>
      <c r="AS949" s="440">
        <v>0</v>
      </c>
      <c r="AT949" s="440">
        <v>0</v>
      </c>
      <c r="AU949" s="440">
        <v>0</v>
      </c>
      <c r="AV949" s="440">
        <v>0</v>
      </c>
      <c r="AW949" s="440">
        <v>0</v>
      </c>
      <c r="AX949" s="440">
        <v>0</v>
      </c>
      <c r="AY949" s="440">
        <v>0</v>
      </c>
      <c r="AZ949" s="440">
        <v>0</v>
      </c>
      <c r="BA949" s="440">
        <v>0</v>
      </c>
      <c r="BB949" s="440">
        <v>0</v>
      </c>
      <c r="BC949" s="440">
        <v>0</v>
      </c>
      <c r="BD949" s="440">
        <v>0</v>
      </c>
      <c r="BE949" s="440">
        <v>0</v>
      </c>
      <c r="BF949" s="440">
        <v>0</v>
      </c>
      <c r="BG949" s="440">
        <v>0</v>
      </c>
      <c r="BH949" s="440">
        <v>0</v>
      </c>
      <c r="BI949" s="440">
        <v>0</v>
      </c>
      <c r="BJ949" s="440">
        <v>0</v>
      </c>
      <c r="BK949" s="440">
        <v>0</v>
      </c>
      <c r="BL949" s="440">
        <v>0</v>
      </c>
      <c r="BM949" s="440">
        <v>0</v>
      </c>
      <c r="BN949" s="440">
        <v>0</v>
      </c>
      <c r="BO949" s="440">
        <v>0</v>
      </c>
      <c r="BP949" s="440">
        <v>0</v>
      </c>
      <c r="BQ949" s="440">
        <v>0</v>
      </c>
      <c r="BR949" s="415">
        <v>0</v>
      </c>
      <c r="BS949" s="415">
        <v>0</v>
      </c>
      <c r="BT949" s="935"/>
      <c r="BU949" s="935"/>
      <c r="BV949" s="935"/>
      <c r="BW949" s="935"/>
      <c r="BX949" s="935"/>
      <c r="BY949" s="935"/>
      <c r="BZ949" s="935"/>
      <c r="CA949" s="935"/>
      <c r="CB949" s="935"/>
      <c r="CC949" s="935"/>
      <c r="CD949" s="935"/>
      <c r="CE949" s="935"/>
      <c r="CF949" s="935"/>
      <c r="CG949" s="935"/>
      <c r="CH949" s="935"/>
      <c r="CI949" s="935"/>
      <c r="CJ949" s="935"/>
      <c r="CK949" s="935"/>
      <c r="CL949" s="935"/>
      <c r="CM949" s="935"/>
      <c r="CN949" s="935"/>
      <c r="CO949" s="935"/>
      <c r="CP949" s="935"/>
      <c r="CQ949" s="935"/>
      <c r="CR949" s="935"/>
      <c r="CS949" s="935"/>
      <c r="CT949" s="935"/>
      <c r="CU949" s="935"/>
      <c r="CV949" s="935"/>
    </row>
    <row r="950" spans="1:105" s="441" customFormat="1">
      <c r="A950" s="375">
        <f t="shared" si="260"/>
        <v>10</v>
      </c>
      <c r="B950" s="862">
        <v>44488</v>
      </c>
      <c r="C950" s="493" t="s">
        <v>1980</v>
      </c>
      <c r="D950" s="376" t="str">
        <f>IFERROR(VLOOKUP(E:E,'Item Data Support Sheet'!A:O,7,0),"")</f>
        <v>NIPPLE PUNCH</v>
      </c>
      <c r="E950" s="447" t="s">
        <v>81</v>
      </c>
      <c r="F950" s="500"/>
      <c r="G950" s="497" t="s">
        <v>1692</v>
      </c>
      <c r="H950" s="602" t="str">
        <f>IFERROR(VLOOKUP(E:E,'Item Data Support Sheet'!A:O,2,0),"")</f>
        <v>NIPPLE S TYPE M SIZE PUNCHED</v>
      </c>
      <c r="I950" s="501" t="s">
        <v>3706</v>
      </c>
      <c r="J950" s="501" t="s">
        <v>2826</v>
      </c>
      <c r="K950" s="499">
        <v>8</v>
      </c>
      <c r="L950" s="499">
        <v>7000</v>
      </c>
      <c r="M950" s="366">
        <v>875</v>
      </c>
      <c r="N950" s="367">
        <f t="shared" si="259"/>
        <v>5750</v>
      </c>
      <c r="O950" s="61">
        <v>5750</v>
      </c>
      <c r="P950" s="368">
        <v>0</v>
      </c>
      <c r="Q950" s="368">
        <v>0</v>
      </c>
      <c r="R950" s="494">
        <v>0</v>
      </c>
      <c r="S950" s="493">
        <v>0</v>
      </c>
      <c r="T950" s="494">
        <v>0</v>
      </c>
      <c r="U950" s="493">
        <v>0</v>
      </c>
      <c r="V950" s="502">
        <v>1</v>
      </c>
      <c r="W950" s="453">
        <f t="shared" si="261"/>
        <v>5750</v>
      </c>
      <c r="X950" s="748">
        <f t="shared" si="262"/>
        <v>0.8214285714285714</v>
      </c>
      <c r="Y950" s="451" t="str">
        <f>IFERROR(VLOOKUP(E:E,'Item Data Support Sheet'!A:J,6,0),0)</f>
        <v>FO016</v>
      </c>
      <c r="Z950" s="428">
        <f>IFERROR(VLOOKUP(E:E,'Item Data Support Sheet'!A:O,4,0),0)</f>
        <v>0</v>
      </c>
      <c r="AA950" s="428">
        <f t="shared" si="263"/>
        <v>0</v>
      </c>
      <c r="AB950" s="429" t="str">
        <f t="shared" si="264"/>
        <v xml:space="preserve"> </v>
      </c>
      <c r="AC950" s="424">
        <f t="shared" si="265"/>
        <v>0</v>
      </c>
      <c r="AD950" s="371">
        <f t="shared" si="266"/>
        <v>0</v>
      </c>
      <c r="AE950" s="748">
        <f t="shared" si="267"/>
        <v>1</v>
      </c>
      <c r="AF950" s="417">
        <f t="shared" si="268"/>
        <v>1.5833333333333333</v>
      </c>
      <c r="AG950" s="416">
        <f t="shared" si="269"/>
        <v>6.416666666666667</v>
      </c>
      <c r="AH950" s="372">
        <f t="shared" si="270"/>
        <v>0.80208333333333337</v>
      </c>
      <c r="AI950" s="373">
        <f t="shared" si="271"/>
        <v>718.75</v>
      </c>
      <c r="AJ950" s="418">
        <f>VLOOKUP(D950,'Standard Cycle time'!C:D,2,0)</f>
        <v>3.5</v>
      </c>
      <c r="AK950" s="418">
        <f t="shared" si="272"/>
        <v>4.017391304347826</v>
      </c>
      <c r="AL950" s="374">
        <f t="shared" si="273"/>
        <v>0.87121212121212122</v>
      </c>
      <c r="AM950" s="372">
        <f t="shared" si="274"/>
        <v>0.69878472222222221</v>
      </c>
      <c r="AN950" s="799">
        <v>0.69878472222222221</v>
      </c>
      <c r="AO950" s="448" t="s">
        <v>3707</v>
      </c>
      <c r="AP950" s="440">
        <v>40</v>
      </c>
      <c r="AQ950" s="440">
        <v>25</v>
      </c>
      <c r="AR950" s="440">
        <v>0</v>
      </c>
      <c r="AS950" s="440">
        <v>0</v>
      </c>
      <c r="AT950" s="440">
        <v>0</v>
      </c>
      <c r="AU950" s="440">
        <v>0</v>
      </c>
      <c r="AV950" s="440">
        <v>30</v>
      </c>
      <c r="AW950" s="440">
        <v>0</v>
      </c>
      <c r="AX950" s="440">
        <v>0</v>
      </c>
      <c r="AY950" s="440">
        <v>0</v>
      </c>
      <c r="AZ950" s="440">
        <v>0</v>
      </c>
      <c r="BA950" s="440">
        <v>0</v>
      </c>
      <c r="BB950" s="440">
        <v>0</v>
      </c>
      <c r="BC950" s="440">
        <v>0</v>
      </c>
      <c r="BD950" s="440">
        <v>0</v>
      </c>
      <c r="BE950" s="440">
        <v>0</v>
      </c>
      <c r="BF950" s="440">
        <v>0</v>
      </c>
      <c r="BG950" s="440">
        <v>0</v>
      </c>
      <c r="BH950" s="440">
        <v>0</v>
      </c>
      <c r="BI950" s="440">
        <v>0</v>
      </c>
      <c r="BJ950" s="440">
        <v>0</v>
      </c>
      <c r="BK950" s="440">
        <v>0</v>
      </c>
      <c r="BL950" s="440">
        <v>0</v>
      </c>
      <c r="BM950" s="440">
        <v>0</v>
      </c>
      <c r="BN950" s="440">
        <v>0</v>
      </c>
      <c r="BO950" s="440">
        <v>0</v>
      </c>
      <c r="BP950" s="440">
        <v>0</v>
      </c>
      <c r="BQ950" s="440">
        <v>0</v>
      </c>
      <c r="BR950" s="415">
        <v>1.5833333333333333</v>
      </c>
      <c r="BS950" s="415">
        <v>1.5833333333333333</v>
      </c>
      <c r="BT950" s="935"/>
      <c r="BU950" s="935"/>
      <c r="BV950" s="935"/>
      <c r="BW950" s="935"/>
      <c r="BX950" s="935"/>
      <c r="BY950" s="935"/>
      <c r="BZ950" s="935"/>
      <c r="CA950" s="935"/>
      <c r="CB950" s="935"/>
      <c r="CC950" s="935"/>
      <c r="CD950" s="935"/>
      <c r="CE950" s="935"/>
      <c r="CF950" s="935"/>
      <c r="CG950" s="935"/>
      <c r="CH950" s="935"/>
      <c r="CI950" s="935"/>
      <c r="CJ950" s="935"/>
      <c r="CK950" s="935"/>
      <c r="CL950" s="935"/>
      <c r="CM950" s="935"/>
      <c r="CN950" s="935"/>
      <c r="CO950" s="935"/>
      <c r="CP950" s="935"/>
      <c r="CQ950" s="935"/>
      <c r="CR950" s="935"/>
      <c r="CS950" s="935"/>
      <c r="CT950" s="935"/>
      <c r="CU950" s="935"/>
      <c r="CV950" s="935"/>
    </row>
    <row r="951" spans="1:105" s="441" customFormat="1">
      <c r="A951" s="375">
        <f t="shared" si="260"/>
        <v>10</v>
      </c>
      <c r="B951" s="862">
        <v>44488</v>
      </c>
      <c r="C951" s="493" t="s">
        <v>1980</v>
      </c>
      <c r="D951" s="376" t="str">
        <f>IFERROR(VLOOKUP(E:E,'Item Data Support Sheet'!A:O,7,0),"")</f>
        <v>NIPPLE LASER MARKING</v>
      </c>
      <c r="E951" s="447" t="s">
        <v>1816</v>
      </c>
      <c r="F951" s="500"/>
      <c r="G951" s="497" t="s">
        <v>1812</v>
      </c>
      <c r="H951" s="602" t="str">
        <f>IFERROR(VLOOKUP(E:E,'Item Data Support Sheet'!A:O,2,0),"")</f>
        <v>NIPPLE S TYPE L SIZE PUNCHED LASER MARKED</v>
      </c>
      <c r="I951" s="501" t="s">
        <v>3708</v>
      </c>
      <c r="J951" s="501" t="s">
        <v>2826</v>
      </c>
      <c r="K951" s="499">
        <v>2</v>
      </c>
      <c r="L951" s="499">
        <v>1600</v>
      </c>
      <c r="M951" s="366">
        <v>800</v>
      </c>
      <c r="N951" s="367">
        <f t="shared" si="259"/>
        <v>3000</v>
      </c>
      <c r="O951" s="61">
        <v>3000</v>
      </c>
      <c r="P951" s="368">
        <v>0</v>
      </c>
      <c r="Q951" s="368">
        <v>0</v>
      </c>
      <c r="R951" s="494">
        <v>0</v>
      </c>
      <c r="S951" s="493">
        <v>0</v>
      </c>
      <c r="T951" s="494">
        <v>0</v>
      </c>
      <c r="U951" s="493">
        <v>0</v>
      </c>
      <c r="V951" s="502">
        <v>1</v>
      </c>
      <c r="W951" s="453">
        <f t="shared" si="261"/>
        <v>3000</v>
      </c>
      <c r="X951" s="748">
        <f t="shared" si="262"/>
        <v>1.875</v>
      </c>
      <c r="Y951" s="451" t="str">
        <f>IFERROR(VLOOKUP(E:E,'Item Data Support Sheet'!A:J,6,0),0)</f>
        <v>FO021</v>
      </c>
      <c r="Z951" s="428">
        <f>IFERROR(VLOOKUP(E:E,'Item Data Support Sheet'!A:O,4,0),0)</f>
        <v>0</v>
      </c>
      <c r="AA951" s="428">
        <f t="shared" si="263"/>
        <v>0</v>
      </c>
      <c r="AB951" s="429" t="str">
        <f t="shared" si="264"/>
        <v xml:space="preserve"> </v>
      </c>
      <c r="AC951" s="424">
        <f t="shared" si="265"/>
        <v>0</v>
      </c>
      <c r="AD951" s="371">
        <f t="shared" si="266"/>
        <v>0</v>
      </c>
      <c r="AE951" s="748">
        <f t="shared" si="267"/>
        <v>1</v>
      </c>
      <c r="AF951" s="417">
        <f t="shared" si="268"/>
        <v>0</v>
      </c>
      <c r="AG951" s="416">
        <f t="shared" si="269"/>
        <v>2</v>
      </c>
      <c r="AH951" s="372">
        <f t="shared" si="270"/>
        <v>1</v>
      </c>
      <c r="AI951" s="373">
        <f t="shared" si="271"/>
        <v>1500</v>
      </c>
      <c r="AJ951" s="418">
        <f>VLOOKUP(D951,'Standard Cycle time'!C:D,2,0)</f>
        <v>3.5</v>
      </c>
      <c r="AK951" s="418">
        <f t="shared" si="272"/>
        <v>2.4</v>
      </c>
      <c r="AL951" s="374">
        <f t="shared" si="273"/>
        <v>1.4583333333333335</v>
      </c>
      <c r="AM951" s="372">
        <f t="shared" si="274"/>
        <v>1.4583333333333335</v>
      </c>
      <c r="AN951" s="799">
        <v>1.4583333333333335</v>
      </c>
      <c r="AO951" s="448"/>
      <c r="AP951" s="440">
        <v>0</v>
      </c>
      <c r="AQ951" s="440">
        <v>0</v>
      </c>
      <c r="AR951" s="440">
        <v>0</v>
      </c>
      <c r="AS951" s="440">
        <v>0</v>
      </c>
      <c r="AT951" s="440">
        <v>0</v>
      </c>
      <c r="AU951" s="440">
        <v>0</v>
      </c>
      <c r="AV951" s="440">
        <v>0</v>
      </c>
      <c r="AW951" s="440">
        <v>0</v>
      </c>
      <c r="AX951" s="440">
        <v>0</v>
      </c>
      <c r="AY951" s="440">
        <v>0</v>
      </c>
      <c r="AZ951" s="440">
        <v>0</v>
      </c>
      <c r="BA951" s="440">
        <v>0</v>
      </c>
      <c r="BB951" s="440">
        <v>0</v>
      </c>
      <c r="BC951" s="440">
        <v>0</v>
      </c>
      <c r="BD951" s="440">
        <v>0</v>
      </c>
      <c r="BE951" s="440">
        <v>0</v>
      </c>
      <c r="BF951" s="440">
        <v>0</v>
      </c>
      <c r="BG951" s="440">
        <v>0</v>
      </c>
      <c r="BH951" s="440">
        <v>0</v>
      </c>
      <c r="BI951" s="440">
        <v>0</v>
      </c>
      <c r="BJ951" s="440">
        <v>0</v>
      </c>
      <c r="BK951" s="440">
        <v>0</v>
      </c>
      <c r="BL951" s="440">
        <v>0</v>
      </c>
      <c r="BM951" s="440">
        <v>0</v>
      </c>
      <c r="BN951" s="440">
        <v>0</v>
      </c>
      <c r="BO951" s="440">
        <v>0</v>
      </c>
      <c r="BP951" s="440">
        <v>0</v>
      </c>
      <c r="BQ951" s="440">
        <v>0</v>
      </c>
      <c r="BR951" s="415">
        <v>0</v>
      </c>
      <c r="BS951" s="415">
        <v>0</v>
      </c>
      <c r="BT951" s="935"/>
      <c r="BU951" s="935"/>
      <c r="BV951" s="935"/>
      <c r="BW951" s="935"/>
      <c r="BX951" s="935"/>
      <c r="BY951" s="935"/>
      <c r="BZ951" s="935"/>
      <c r="CA951" s="935"/>
      <c r="CB951" s="935"/>
      <c r="CC951" s="935"/>
      <c r="CD951" s="935"/>
      <c r="CE951" s="935"/>
      <c r="CF951" s="935"/>
      <c r="CG951" s="935"/>
      <c r="CH951" s="935"/>
      <c r="CI951" s="935"/>
      <c r="CJ951" s="935"/>
      <c r="CK951" s="935"/>
      <c r="CL951" s="935"/>
      <c r="CM951" s="935"/>
      <c r="CN951" s="935"/>
      <c r="CO951" s="935"/>
      <c r="CP951" s="935"/>
      <c r="CQ951" s="935"/>
      <c r="CR951" s="935"/>
      <c r="CS951" s="935"/>
      <c r="CT951" s="935"/>
      <c r="CU951" s="935"/>
      <c r="CV951" s="935"/>
    </row>
    <row r="952" spans="1:105" s="441" customFormat="1">
      <c r="A952" s="375">
        <f t="shared" si="260"/>
        <v>10</v>
      </c>
      <c r="B952" s="862">
        <v>44488</v>
      </c>
      <c r="C952" s="493" t="s">
        <v>1980</v>
      </c>
      <c r="D952" s="376" t="str">
        <f>IFERROR(VLOOKUP(E:E,'Item Data Support Sheet'!A:O,7,0),"")</f>
        <v>NIPPLE LASER MARKING</v>
      </c>
      <c r="E952" s="447" t="s">
        <v>1815</v>
      </c>
      <c r="F952" s="500"/>
      <c r="G952" s="497" t="s">
        <v>1812</v>
      </c>
      <c r="H952" s="602" t="str">
        <f>IFERROR(VLOOKUP(E:E,'Item Data Support Sheet'!A:O,2,0),"")</f>
        <v>NIPPLE S TYPE M SIZE PUNCHED LASER MARKED</v>
      </c>
      <c r="I952" s="501" t="s">
        <v>3709</v>
      </c>
      <c r="J952" s="501" t="s">
        <v>2826</v>
      </c>
      <c r="K952" s="499">
        <v>6</v>
      </c>
      <c r="L952" s="499">
        <v>5400</v>
      </c>
      <c r="M952" s="366">
        <v>900</v>
      </c>
      <c r="N952" s="367">
        <f t="shared" si="259"/>
        <v>4750</v>
      </c>
      <c r="O952" s="61">
        <v>4750</v>
      </c>
      <c r="P952" s="368">
        <v>0</v>
      </c>
      <c r="Q952" s="368">
        <v>0</v>
      </c>
      <c r="R952" s="494">
        <v>0</v>
      </c>
      <c r="S952" s="493">
        <v>0</v>
      </c>
      <c r="T952" s="494">
        <v>0</v>
      </c>
      <c r="U952" s="493">
        <v>0</v>
      </c>
      <c r="V952" s="502">
        <v>1</v>
      </c>
      <c r="W952" s="453">
        <f t="shared" si="261"/>
        <v>4750</v>
      </c>
      <c r="X952" s="748">
        <f t="shared" si="262"/>
        <v>0.87962962962962965</v>
      </c>
      <c r="Y952" s="451" t="str">
        <f>IFERROR(VLOOKUP(E:E,'Item Data Support Sheet'!A:J,6,0),0)</f>
        <v>FO020</v>
      </c>
      <c r="Z952" s="428">
        <f>IFERROR(VLOOKUP(E:E,'Item Data Support Sheet'!A:O,4,0),0)</f>
        <v>0</v>
      </c>
      <c r="AA952" s="428">
        <f t="shared" si="263"/>
        <v>0</v>
      </c>
      <c r="AB952" s="429" t="str">
        <f t="shared" si="264"/>
        <v xml:space="preserve"> </v>
      </c>
      <c r="AC952" s="424">
        <f t="shared" si="265"/>
        <v>0</v>
      </c>
      <c r="AD952" s="371">
        <f t="shared" si="266"/>
        <v>0</v>
      </c>
      <c r="AE952" s="748">
        <f t="shared" si="267"/>
        <v>1</v>
      </c>
      <c r="AF952" s="417">
        <f t="shared" si="268"/>
        <v>1.1666666666666667</v>
      </c>
      <c r="AG952" s="416">
        <f t="shared" si="269"/>
        <v>4.833333333333333</v>
      </c>
      <c r="AH952" s="372">
        <f t="shared" si="270"/>
        <v>0.80555555555555547</v>
      </c>
      <c r="AI952" s="373">
        <f t="shared" si="271"/>
        <v>791.66666666666663</v>
      </c>
      <c r="AJ952" s="418">
        <f>VLOOKUP(D952,'Standard Cycle time'!C:D,2,0)</f>
        <v>3.5</v>
      </c>
      <c r="AK952" s="418">
        <f t="shared" si="272"/>
        <v>3.6631578947368419</v>
      </c>
      <c r="AL952" s="374">
        <f t="shared" si="273"/>
        <v>0.95545977011494254</v>
      </c>
      <c r="AM952" s="372">
        <f t="shared" si="274"/>
        <v>0.76967592592592582</v>
      </c>
      <c r="AN952" s="799">
        <v>0.76967592592592582</v>
      </c>
      <c r="AO952" s="448" t="s">
        <v>2746</v>
      </c>
      <c r="AP952" s="440">
        <v>40</v>
      </c>
      <c r="AQ952" s="440">
        <v>0</v>
      </c>
      <c r="AR952" s="440">
        <v>0</v>
      </c>
      <c r="AS952" s="440">
        <v>30</v>
      </c>
      <c r="AT952" s="440">
        <v>0</v>
      </c>
      <c r="AU952" s="440">
        <v>0</v>
      </c>
      <c r="AV952" s="440">
        <v>0</v>
      </c>
      <c r="AW952" s="440">
        <v>0</v>
      </c>
      <c r="AX952" s="440">
        <v>0</v>
      </c>
      <c r="AY952" s="440">
        <v>0</v>
      </c>
      <c r="AZ952" s="440">
        <v>0</v>
      </c>
      <c r="BA952" s="440">
        <v>0</v>
      </c>
      <c r="BB952" s="440">
        <v>0</v>
      </c>
      <c r="BC952" s="440">
        <v>0</v>
      </c>
      <c r="BD952" s="440">
        <v>0</v>
      </c>
      <c r="BE952" s="440">
        <v>0</v>
      </c>
      <c r="BF952" s="440">
        <v>0</v>
      </c>
      <c r="BG952" s="440">
        <v>0</v>
      </c>
      <c r="BH952" s="440">
        <v>0</v>
      </c>
      <c r="BI952" s="440">
        <v>0</v>
      </c>
      <c r="BJ952" s="440">
        <v>0</v>
      </c>
      <c r="BK952" s="440">
        <v>0</v>
      </c>
      <c r="BL952" s="440">
        <v>0</v>
      </c>
      <c r="BM952" s="440">
        <v>0</v>
      </c>
      <c r="BN952" s="440">
        <v>0</v>
      </c>
      <c r="BO952" s="440">
        <v>0</v>
      </c>
      <c r="BP952" s="440">
        <v>0</v>
      </c>
      <c r="BQ952" s="440">
        <v>0</v>
      </c>
      <c r="BR952" s="415">
        <v>1.1666666666666667</v>
      </c>
      <c r="BS952" s="415">
        <v>1.1666666666666667</v>
      </c>
      <c r="BT952" s="935"/>
      <c r="BU952" s="935"/>
      <c r="BV952" s="935"/>
      <c r="BW952" s="935"/>
      <c r="BX952" s="935"/>
      <c r="BY952" s="935"/>
      <c r="BZ952" s="935"/>
      <c r="CA952" s="935"/>
      <c r="CB952" s="935"/>
      <c r="CC952" s="935"/>
      <c r="CD952" s="935"/>
      <c r="CE952" s="935"/>
      <c r="CF952" s="935"/>
      <c r="CG952" s="935"/>
      <c r="CH952" s="935"/>
      <c r="CI952" s="935"/>
      <c r="CJ952" s="935"/>
      <c r="CK952" s="935"/>
      <c r="CL952" s="935"/>
      <c r="CM952" s="935"/>
      <c r="CN952" s="935"/>
      <c r="CO952" s="935"/>
      <c r="CP952" s="935"/>
      <c r="CQ952" s="935"/>
      <c r="CR952" s="935"/>
      <c r="CS952" s="935"/>
      <c r="CT952" s="935"/>
      <c r="CU952" s="935"/>
      <c r="CV952" s="935"/>
    </row>
    <row r="953" spans="1:105" s="441" customFormat="1">
      <c r="A953" s="375">
        <f t="shared" si="260"/>
        <v>10</v>
      </c>
      <c r="B953" s="862">
        <v>44488</v>
      </c>
      <c r="C953" s="493" t="s">
        <v>1980</v>
      </c>
      <c r="D953" s="376" t="str">
        <f>IFERROR(VLOOKUP(E:E,'Item Data Support Sheet'!A:O,7,0),"")</f>
        <v>NIPPLE MOLDED</v>
      </c>
      <c r="E953" s="447" t="s">
        <v>73</v>
      </c>
      <c r="F953" s="500" t="s">
        <v>1678</v>
      </c>
      <c r="G953" s="497" t="s">
        <v>1691</v>
      </c>
      <c r="H953" s="602" t="str">
        <f>IFERROR(VLOOKUP(E:E,'Item Data Support Sheet'!A:O,2,0),"")</f>
        <v>NIPPLE S TYPE M SIZE INJECTION</v>
      </c>
      <c r="I953" s="501" t="s">
        <v>3710</v>
      </c>
      <c r="J953" s="501" t="s">
        <v>2826</v>
      </c>
      <c r="K953" s="499">
        <v>8</v>
      </c>
      <c r="L953" s="499">
        <v>4815</v>
      </c>
      <c r="M953" s="366">
        <v>601.875</v>
      </c>
      <c r="N953" s="367">
        <f t="shared" si="259"/>
        <v>5366</v>
      </c>
      <c r="O953" s="61">
        <v>5200</v>
      </c>
      <c r="P953" s="368">
        <v>0</v>
      </c>
      <c r="Q953" s="368">
        <v>86</v>
      </c>
      <c r="R953" s="494">
        <v>0</v>
      </c>
      <c r="S953" s="493">
        <v>0</v>
      </c>
      <c r="T953" s="494">
        <v>72</v>
      </c>
      <c r="U953" s="493">
        <v>8</v>
      </c>
      <c r="V953" s="502">
        <v>1</v>
      </c>
      <c r="W953" s="453">
        <f t="shared" si="261"/>
        <v>5200</v>
      </c>
      <c r="X953" s="748">
        <f t="shared" si="262"/>
        <v>1.0799584631360333</v>
      </c>
      <c r="Y953" s="451" t="str">
        <f>IFERROR(VLOOKUP(E:E,'Item Data Support Sheet'!A:J,6,0),0)</f>
        <v>Silicon</v>
      </c>
      <c r="Z953" s="428">
        <f>IFERROR(VLOOKUP(E:E,'Item Data Support Sheet'!A:O,4,0),0)</f>
        <v>6.8</v>
      </c>
      <c r="AA953" s="428">
        <f t="shared" si="263"/>
        <v>36.488799999999998</v>
      </c>
      <c r="AB953" s="429">
        <f t="shared" si="264"/>
        <v>0.96906448005963475</v>
      </c>
      <c r="AC953" s="424">
        <f t="shared" si="265"/>
        <v>1.3657056145675266E-2</v>
      </c>
      <c r="AD953" s="371">
        <f t="shared" si="266"/>
        <v>1.5774027879677181E-2</v>
      </c>
      <c r="AE953" s="748">
        <f t="shared" si="267"/>
        <v>0.98658218412225118</v>
      </c>
      <c r="AF953" s="417">
        <f t="shared" si="268"/>
        <v>0</v>
      </c>
      <c r="AG953" s="416">
        <f t="shared" si="269"/>
        <v>8</v>
      </c>
      <c r="AH953" s="372">
        <f t="shared" si="270"/>
        <v>1</v>
      </c>
      <c r="AI953" s="373">
        <f t="shared" si="271"/>
        <v>650</v>
      </c>
      <c r="AJ953" s="418">
        <f>VLOOKUP(D953,'Standard Cycle time'!C:D,2,0)</f>
        <v>5.25</v>
      </c>
      <c r="AK953" s="418">
        <f t="shared" si="272"/>
        <v>5.5384615384615383</v>
      </c>
      <c r="AL953" s="374">
        <f t="shared" si="273"/>
        <v>0.94791666666666674</v>
      </c>
      <c r="AM953" s="372">
        <f t="shared" si="274"/>
        <v>0.93519769536588404</v>
      </c>
      <c r="AN953" s="799">
        <v>0.93519769536588404</v>
      </c>
      <c r="AO953" s="448"/>
      <c r="AP953" s="440">
        <v>0</v>
      </c>
      <c r="AQ953" s="440">
        <v>0</v>
      </c>
      <c r="AR953" s="440">
        <v>0</v>
      </c>
      <c r="AS953" s="440">
        <v>0</v>
      </c>
      <c r="AT953" s="440">
        <v>0</v>
      </c>
      <c r="AU953" s="440">
        <v>0</v>
      </c>
      <c r="AV953" s="440">
        <v>0</v>
      </c>
      <c r="AW953" s="440">
        <v>0</v>
      </c>
      <c r="AX953" s="440">
        <v>0</v>
      </c>
      <c r="AY953" s="440">
        <v>0</v>
      </c>
      <c r="AZ953" s="440">
        <v>0</v>
      </c>
      <c r="BA953" s="440">
        <v>0</v>
      </c>
      <c r="BB953" s="440">
        <v>0</v>
      </c>
      <c r="BC953" s="440">
        <v>0</v>
      </c>
      <c r="BD953" s="440">
        <v>0</v>
      </c>
      <c r="BE953" s="440">
        <v>0</v>
      </c>
      <c r="BF953" s="440">
        <v>0</v>
      </c>
      <c r="BG953" s="440">
        <v>0</v>
      </c>
      <c r="BH953" s="440">
        <v>0</v>
      </c>
      <c r="BI953" s="440">
        <v>0</v>
      </c>
      <c r="BJ953" s="440">
        <v>0</v>
      </c>
      <c r="BK953" s="440">
        <v>0</v>
      </c>
      <c r="BL953" s="440">
        <v>0</v>
      </c>
      <c r="BM953" s="440">
        <v>0</v>
      </c>
      <c r="BN953" s="440">
        <v>0</v>
      </c>
      <c r="BO953" s="440">
        <v>0</v>
      </c>
      <c r="BP953" s="440">
        <v>0</v>
      </c>
      <c r="BQ953" s="440">
        <v>0</v>
      </c>
      <c r="BR953" s="415">
        <v>0</v>
      </c>
      <c r="BS953" s="415">
        <v>0</v>
      </c>
      <c r="BT953" s="935"/>
      <c r="BU953" s="935"/>
      <c r="BV953" s="935"/>
      <c r="BW953" s="935"/>
      <c r="BX953" s="935"/>
      <c r="BY953" s="935"/>
      <c r="BZ953" s="935"/>
      <c r="CA953" s="935"/>
      <c r="CB953" s="935"/>
      <c r="CC953" s="935"/>
      <c r="CD953" s="935"/>
      <c r="CE953" s="935"/>
      <c r="CF953" s="935"/>
      <c r="CG953" s="935"/>
      <c r="CH953" s="935"/>
      <c r="CI953" s="935"/>
      <c r="CJ953" s="935"/>
      <c r="CK953" s="935"/>
      <c r="CL953" s="935"/>
      <c r="CM953" s="935"/>
      <c r="CN953" s="935"/>
      <c r="CO953" s="935"/>
      <c r="CP953" s="935"/>
      <c r="CQ953" s="935"/>
      <c r="CR953" s="935"/>
      <c r="CS953" s="935"/>
      <c r="CT953" s="935"/>
      <c r="CU953" s="935"/>
      <c r="CV953" s="935"/>
    </row>
    <row r="954" spans="1:105" s="441" customFormat="1">
      <c r="A954" s="375">
        <f t="shared" si="260"/>
        <v>10</v>
      </c>
      <c r="B954" s="862">
        <v>44488</v>
      </c>
      <c r="C954" s="493" t="s">
        <v>1980</v>
      </c>
      <c r="D954" s="376" t="str">
        <f>IFERROR(VLOOKUP(E:E,'Item Data Support Sheet'!A:O,7,0),"")</f>
        <v>CAP MOLDED</v>
      </c>
      <c r="E954" s="447" t="s">
        <v>2110</v>
      </c>
      <c r="F954" s="500"/>
      <c r="G954" s="497" t="s">
        <v>3212</v>
      </c>
      <c r="H954" s="602" t="str">
        <f>IFERROR(VLOOKUP(E:E,'Item Data Support Sheet'!A:O,2,0),"")</f>
        <v>CAP S TYPE MOLDED WHITE</v>
      </c>
      <c r="I954" s="501" t="s">
        <v>3711</v>
      </c>
      <c r="J954" s="501" t="s">
        <v>2826</v>
      </c>
      <c r="K954" s="499">
        <v>8</v>
      </c>
      <c r="L954" s="499">
        <v>4137</v>
      </c>
      <c r="M954" s="366">
        <v>517.125</v>
      </c>
      <c r="N954" s="367">
        <f t="shared" si="259"/>
        <v>4642</v>
      </c>
      <c r="O954" s="61">
        <v>4630</v>
      </c>
      <c r="P954" s="368">
        <v>0</v>
      </c>
      <c r="Q954" s="368">
        <v>0</v>
      </c>
      <c r="R954" s="494">
        <v>0</v>
      </c>
      <c r="S954" s="493">
        <v>0</v>
      </c>
      <c r="T954" s="494">
        <v>4</v>
      </c>
      <c r="U954" s="493">
        <v>8</v>
      </c>
      <c r="V954" s="502">
        <v>1</v>
      </c>
      <c r="W954" s="453">
        <f t="shared" si="261"/>
        <v>4630</v>
      </c>
      <c r="X954" s="748">
        <f t="shared" si="262"/>
        <v>1.1191684795745709</v>
      </c>
      <c r="Y954" s="451" t="str">
        <f>IFERROR(VLOOKUP(E:E,'Item Data Support Sheet'!A:J,6,0),0)</f>
        <v>RM000106</v>
      </c>
      <c r="Z954" s="428">
        <f>IFERROR(VLOOKUP(E:E,'Item Data Support Sheet'!A:O,4,0),0)</f>
        <v>7.3</v>
      </c>
      <c r="AA954" s="428">
        <f t="shared" si="263"/>
        <v>33.886600000000001</v>
      </c>
      <c r="AB954" s="429">
        <f t="shared" si="264"/>
        <v>0.99741490736751393</v>
      </c>
      <c r="AC954" s="424">
        <f t="shared" si="265"/>
        <v>8.6318515321536469E-4</v>
      </c>
      <c r="AD954" s="371">
        <f t="shared" si="266"/>
        <v>0</v>
      </c>
      <c r="AE954" s="748">
        <f t="shared" si="267"/>
        <v>0.99913830245583801</v>
      </c>
      <c r="AF954" s="417">
        <f t="shared" si="268"/>
        <v>0</v>
      </c>
      <c r="AG954" s="416">
        <f t="shared" si="269"/>
        <v>8</v>
      </c>
      <c r="AH954" s="372">
        <f t="shared" si="270"/>
        <v>1</v>
      </c>
      <c r="AI954" s="373">
        <f t="shared" si="271"/>
        <v>578.75</v>
      </c>
      <c r="AJ954" s="418">
        <f>VLOOKUP(D954,'Standard Cycle time'!C:D,2,0)</f>
        <v>6</v>
      </c>
      <c r="AK954" s="418">
        <f t="shared" si="272"/>
        <v>6.2203023758099354</v>
      </c>
      <c r="AL954" s="374">
        <f t="shared" si="273"/>
        <v>0.96458333333333335</v>
      </c>
      <c r="AM954" s="372">
        <f t="shared" si="274"/>
        <v>0.9637521542438604</v>
      </c>
      <c r="AN954" s="799">
        <v>0.9637521542438604</v>
      </c>
      <c r="AO954" s="448"/>
      <c r="AP954" s="440">
        <v>0</v>
      </c>
      <c r="AQ954" s="440">
        <v>0</v>
      </c>
      <c r="AR954" s="440">
        <v>0</v>
      </c>
      <c r="AS954" s="440">
        <v>0</v>
      </c>
      <c r="AT954" s="440">
        <v>0</v>
      </c>
      <c r="AU954" s="440">
        <v>0</v>
      </c>
      <c r="AV954" s="440">
        <v>0</v>
      </c>
      <c r="AW954" s="440">
        <v>0</v>
      </c>
      <c r="AX954" s="440">
        <v>0</v>
      </c>
      <c r="AY954" s="440">
        <v>0</v>
      </c>
      <c r="AZ954" s="440">
        <v>0</v>
      </c>
      <c r="BA954" s="440">
        <v>0</v>
      </c>
      <c r="BB954" s="440">
        <v>0</v>
      </c>
      <c r="BC954" s="440">
        <v>0</v>
      </c>
      <c r="BD954" s="440">
        <v>0</v>
      </c>
      <c r="BE954" s="440">
        <v>0</v>
      </c>
      <c r="BF954" s="440">
        <v>0</v>
      </c>
      <c r="BG954" s="440">
        <v>0</v>
      </c>
      <c r="BH954" s="440">
        <v>0</v>
      </c>
      <c r="BI954" s="440">
        <v>0</v>
      </c>
      <c r="BJ954" s="440">
        <v>0</v>
      </c>
      <c r="BK954" s="440">
        <v>0</v>
      </c>
      <c r="BL954" s="440">
        <v>0</v>
      </c>
      <c r="BM954" s="440">
        <v>0</v>
      </c>
      <c r="BN954" s="440">
        <v>0</v>
      </c>
      <c r="BO954" s="440">
        <v>0</v>
      </c>
      <c r="BP954" s="440">
        <v>0</v>
      </c>
      <c r="BQ954" s="440">
        <v>0</v>
      </c>
      <c r="BR954" s="415">
        <v>0</v>
      </c>
      <c r="BS954" s="415">
        <v>0</v>
      </c>
      <c r="BT954" s="935"/>
      <c r="BU954" s="935"/>
      <c r="BV954" s="935"/>
      <c r="BW954" s="935"/>
      <c r="BX954" s="935"/>
      <c r="BY954" s="935"/>
      <c r="BZ954" s="935"/>
      <c r="CA954" s="935"/>
      <c r="CB954" s="935"/>
      <c r="CC954" s="935"/>
      <c r="CD954" s="935"/>
      <c r="CE954" s="935"/>
      <c r="CF954" s="935"/>
      <c r="CG954" s="935"/>
      <c r="CH954" s="935"/>
      <c r="CI954" s="935"/>
      <c r="CJ954" s="935"/>
      <c r="CK954" s="935"/>
      <c r="CL954" s="935"/>
      <c r="CM954" s="935"/>
      <c r="CN954" s="935"/>
      <c r="CO954" s="935"/>
      <c r="CP954" s="935"/>
      <c r="CQ954" s="935"/>
      <c r="CR954" s="935"/>
      <c r="CS954" s="935"/>
      <c r="CT954" s="935"/>
      <c r="CU954" s="935"/>
      <c r="CV954" s="935"/>
    </row>
    <row r="955" spans="1:105" s="441" customFormat="1">
      <c r="A955" s="375">
        <f t="shared" si="260"/>
        <v>10</v>
      </c>
      <c r="B955" s="862">
        <v>44488</v>
      </c>
      <c r="C955" s="493" t="s">
        <v>1980</v>
      </c>
      <c r="D955" s="376" t="str">
        <f>IFERROR(VLOOKUP(E:E,'Item Data Support Sheet'!A:O,7,0),"")</f>
        <v>BOTTLE PRINTED</v>
      </c>
      <c r="E955" s="447" t="s">
        <v>64</v>
      </c>
      <c r="F955" s="500"/>
      <c r="G955" s="497"/>
      <c r="H955" s="602" t="str">
        <f>IFERROR(VLOOKUP(E:E,'Item Data Support Sheet'!A:O,2,0),"")</f>
        <v>KPP 240 ML BOTTLE PRINTED</v>
      </c>
      <c r="I955" s="501" t="s">
        <v>3712</v>
      </c>
      <c r="J955" s="501" t="s">
        <v>2813</v>
      </c>
      <c r="K955" s="499">
        <v>8</v>
      </c>
      <c r="L955" s="499">
        <v>5130</v>
      </c>
      <c r="M955" s="366">
        <v>641.25</v>
      </c>
      <c r="N955" s="367">
        <f t="shared" si="259"/>
        <v>2965</v>
      </c>
      <c r="O955" s="61">
        <v>2916</v>
      </c>
      <c r="P955" s="368">
        <v>0</v>
      </c>
      <c r="Q955" s="368">
        <v>0</v>
      </c>
      <c r="R955" s="494">
        <v>23</v>
      </c>
      <c r="S955" s="493">
        <v>0</v>
      </c>
      <c r="T955" s="494">
        <v>49</v>
      </c>
      <c r="U955" s="493">
        <v>0</v>
      </c>
      <c r="V955" s="502">
        <v>5</v>
      </c>
      <c r="W955" s="453">
        <f t="shared" si="261"/>
        <v>583.20000000000005</v>
      </c>
      <c r="X955" s="748">
        <f t="shared" si="262"/>
        <v>0.56842105263157894</v>
      </c>
      <c r="Y955" s="451" t="str">
        <f>IFERROR(VLOOKUP(E:E,'Item Data Support Sheet'!A:J,6,0),0)</f>
        <v>FO003</v>
      </c>
      <c r="Z955" s="428">
        <f>IFERROR(VLOOKUP(E:E,'Item Data Support Sheet'!A:O,4,0),0)</f>
        <v>0</v>
      </c>
      <c r="AA955" s="428">
        <f t="shared" si="263"/>
        <v>0</v>
      </c>
      <c r="AB955" s="429" t="str">
        <f t="shared" si="264"/>
        <v xml:space="preserve"> </v>
      </c>
      <c r="AC955" s="424">
        <f t="shared" si="265"/>
        <v>1.6526138279932545E-2</v>
      </c>
      <c r="AD955" s="371">
        <f t="shared" si="266"/>
        <v>0</v>
      </c>
      <c r="AE955" s="748">
        <f t="shared" si="267"/>
        <v>0.98347386172006745</v>
      </c>
      <c r="AF955" s="417">
        <f t="shared" si="268"/>
        <v>3</v>
      </c>
      <c r="AG955" s="416">
        <f t="shared" si="269"/>
        <v>5</v>
      </c>
      <c r="AH955" s="372">
        <f t="shared" si="270"/>
        <v>0.625</v>
      </c>
      <c r="AI955" s="373">
        <f t="shared" si="271"/>
        <v>364.5</v>
      </c>
      <c r="AJ955" s="418">
        <f>VLOOKUP(D955,'Standard Cycle time'!C:D,2,0)</f>
        <v>32.4</v>
      </c>
      <c r="AK955" s="418">
        <f t="shared" si="272"/>
        <v>30.864197530864196</v>
      </c>
      <c r="AL955" s="374">
        <f t="shared" si="273"/>
        <v>1.04976</v>
      </c>
      <c r="AM955" s="372">
        <f t="shared" si="274"/>
        <v>0.64525720067453618</v>
      </c>
      <c r="AN955" s="799">
        <v>0.64525720067453618</v>
      </c>
      <c r="AO955" s="448" t="s">
        <v>3713</v>
      </c>
      <c r="AP955" s="440">
        <v>40</v>
      </c>
      <c r="AQ955" s="440">
        <v>100</v>
      </c>
      <c r="AR955" s="440">
        <v>0</v>
      </c>
      <c r="AS955" s="440">
        <v>0</v>
      </c>
      <c r="AT955" s="440">
        <v>0</v>
      </c>
      <c r="AU955" s="440">
        <v>0</v>
      </c>
      <c r="AV955" s="440">
        <v>0</v>
      </c>
      <c r="AW955" s="440">
        <v>0</v>
      </c>
      <c r="AX955" s="440">
        <v>0</v>
      </c>
      <c r="AY955" s="440">
        <v>0</v>
      </c>
      <c r="AZ955" s="440">
        <v>0</v>
      </c>
      <c r="BA955" s="440">
        <v>0</v>
      </c>
      <c r="BB955" s="440">
        <v>0</v>
      </c>
      <c r="BC955" s="440">
        <v>0</v>
      </c>
      <c r="BD955" s="440">
        <v>0</v>
      </c>
      <c r="BE955" s="440">
        <v>0</v>
      </c>
      <c r="BF955" s="440">
        <v>0</v>
      </c>
      <c r="BG955" s="440">
        <v>0</v>
      </c>
      <c r="BH955" s="440">
        <v>0</v>
      </c>
      <c r="BI955" s="440">
        <v>0</v>
      </c>
      <c r="BJ955" s="440">
        <v>0</v>
      </c>
      <c r="BK955" s="440">
        <v>40</v>
      </c>
      <c r="BL955" s="440">
        <v>0</v>
      </c>
      <c r="BM955" s="440">
        <v>0</v>
      </c>
      <c r="BN955" s="440">
        <v>0</v>
      </c>
      <c r="BO955" s="440">
        <v>0</v>
      </c>
      <c r="BP955" s="440">
        <v>0</v>
      </c>
      <c r="BQ955" s="440">
        <v>0</v>
      </c>
      <c r="BR955" s="415">
        <v>3</v>
      </c>
      <c r="BS955" s="415">
        <v>3</v>
      </c>
      <c r="BT955" s="935"/>
      <c r="BU955" s="935"/>
      <c r="BV955" s="935"/>
      <c r="BW955" s="935"/>
      <c r="BX955" s="935"/>
      <c r="BY955" s="935"/>
      <c r="BZ955" s="935"/>
      <c r="CA955" s="935"/>
      <c r="CB955" s="935"/>
      <c r="CC955" s="935"/>
      <c r="CD955" s="935"/>
      <c r="CE955" s="935"/>
      <c r="CF955" s="935"/>
      <c r="CG955" s="935"/>
      <c r="CH955" s="935"/>
      <c r="CI955" s="935"/>
      <c r="CJ955" s="935"/>
      <c r="CK955" s="935"/>
      <c r="CL955" s="935"/>
      <c r="CM955" s="935"/>
      <c r="CN955" s="935"/>
      <c r="CO955" s="935"/>
      <c r="CP955" s="935"/>
      <c r="CQ955" s="935"/>
      <c r="CR955" s="935"/>
      <c r="CS955" s="935"/>
      <c r="CT955" s="935"/>
      <c r="CU955" s="935"/>
      <c r="CV955" s="935"/>
    </row>
    <row r="956" spans="1:105" s="441" customFormat="1">
      <c r="A956" s="375">
        <f t="shared" si="260"/>
        <v>10</v>
      </c>
      <c r="B956" s="862">
        <v>44488</v>
      </c>
      <c r="C956" s="493" t="s">
        <v>2000</v>
      </c>
      <c r="D956" s="376" t="str">
        <f>IFERROR(VLOOKUP(E:E,'Item Data Support Sheet'!A:O,7,0),"")</f>
        <v>NIPPLE PUNCH INSPECTED</v>
      </c>
      <c r="E956" s="447" t="s">
        <v>1819</v>
      </c>
      <c r="F956" s="500"/>
      <c r="G956" s="497"/>
      <c r="H956" s="602" t="str">
        <f>IFERROR(VLOOKUP(E:E,'Item Data Support Sheet'!A:O,2,0),"")</f>
        <v>NIPPLE S TYPE M SIZE PUNCHED INSPECTED</v>
      </c>
      <c r="I956" s="501" t="s">
        <v>3714</v>
      </c>
      <c r="J956" s="501" t="s">
        <v>2811</v>
      </c>
      <c r="K956" s="499">
        <v>4</v>
      </c>
      <c r="L956" s="499">
        <v>7068</v>
      </c>
      <c r="M956" s="366">
        <v>1767</v>
      </c>
      <c r="N956" s="367">
        <f t="shared" si="259"/>
        <v>6650</v>
      </c>
      <c r="O956" s="61">
        <v>6629</v>
      </c>
      <c r="P956" s="368">
        <v>0</v>
      </c>
      <c r="Q956" s="368">
        <v>0</v>
      </c>
      <c r="R956" s="494">
        <v>0</v>
      </c>
      <c r="S956" s="493">
        <v>0</v>
      </c>
      <c r="T956" s="494">
        <v>21</v>
      </c>
      <c r="U956" s="493">
        <v>0</v>
      </c>
      <c r="V956" s="502">
        <v>2</v>
      </c>
      <c r="W956" s="453">
        <f t="shared" si="261"/>
        <v>3314.5</v>
      </c>
      <c r="X956" s="748">
        <f t="shared" si="262"/>
        <v>0.93788907753254103</v>
      </c>
      <c r="Y956" s="451" t="str">
        <f>IFERROR(VLOOKUP(E:E,'Item Data Support Sheet'!A:J,6,0),0)</f>
        <v>FO105</v>
      </c>
      <c r="Z956" s="428">
        <f>IFERROR(VLOOKUP(E:E,'Item Data Support Sheet'!A:O,4,0),0)</f>
        <v>0</v>
      </c>
      <c r="AA956" s="428">
        <f t="shared" si="263"/>
        <v>0</v>
      </c>
      <c r="AB956" s="429" t="str">
        <f t="shared" si="264"/>
        <v xml:space="preserve"> </v>
      </c>
      <c r="AC956" s="424">
        <f t="shared" si="265"/>
        <v>3.1578947368421052E-3</v>
      </c>
      <c r="AD956" s="371">
        <f t="shared" si="266"/>
        <v>0</v>
      </c>
      <c r="AE956" s="748">
        <f t="shared" si="267"/>
        <v>0.99684210526315786</v>
      </c>
      <c r="AF956" s="417">
        <f t="shared" si="268"/>
        <v>0</v>
      </c>
      <c r="AG956" s="416">
        <f t="shared" si="269"/>
        <v>4</v>
      </c>
      <c r="AH956" s="372">
        <f t="shared" si="270"/>
        <v>1</v>
      </c>
      <c r="AI956" s="373">
        <f t="shared" si="271"/>
        <v>1657.25</v>
      </c>
      <c r="AJ956" s="418">
        <f>VLOOKUP(D956,'Standard Cycle time'!C:D,2,0)</f>
        <v>4</v>
      </c>
      <c r="AK956" s="418">
        <f t="shared" si="272"/>
        <v>4.3445466887916728</v>
      </c>
      <c r="AL956" s="374">
        <f t="shared" si="273"/>
        <v>0.92069444444444448</v>
      </c>
      <c r="AM956" s="372">
        <f t="shared" si="274"/>
        <v>0.91778698830409355</v>
      </c>
      <c r="AN956" s="799">
        <v>0.91778698830409355</v>
      </c>
      <c r="AO956" s="448"/>
      <c r="AP956" s="440">
        <v>0</v>
      </c>
      <c r="AQ956" s="440">
        <v>0</v>
      </c>
      <c r="AR956" s="440">
        <v>0</v>
      </c>
      <c r="AS956" s="440">
        <v>0</v>
      </c>
      <c r="AT956" s="440">
        <v>0</v>
      </c>
      <c r="AU956" s="440">
        <v>0</v>
      </c>
      <c r="AV956" s="440">
        <v>0</v>
      </c>
      <c r="AW956" s="440">
        <v>0</v>
      </c>
      <c r="AX956" s="440">
        <v>0</v>
      </c>
      <c r="AY956" s="440">
        <v>0</v>
      </c>
      <c r="AZ956" s="440">
        <v>0</v>
      </c>
      <c r="BA956" s="440">
        <v>0</v>
      </c>
      <c r="BB956" s="440">
        <v>0</v>
      </c>
      <c r="BC956" s="440">
        <v>0</v>
      </c>
      <c r="BD956" s="440">
        <v>0</v>
      </c>
      <c r="BE956" s="440">
        <v>0</v>
      </c>
      <c r="BF956" s="440">
        <v>0</v>
      </c>
      <c r="BG956" s="440">
        <v>0</v>
      </c>
      <c r="BH956" s="440">
        <v>0</v>
      </c>
      <c r="BI956" s="440">
        <v>0</v>
      </c>
      <c r="BJ956" s="440">
        <v>0</v>
      </c>
      <c r="BK956" s="440">
        <v>0</v>
      </c>
      <c r="BL956" s="440">
        <v>0</v>
      </c>
      <c r="BM956" s="440">
        <v>0</v>
      </c>
      <c r="BN956" s="440">
        <v>0</v>
      </c>
      <c r="BO956" s="440">
        <v>0</v>
      </c>
      <c r="BP956" s="440">
        <v>0</v>
      </c>
      <c r="BQ956" s="440">
        <v>0</v>
      </c>
      <c r="BR956" s="415">
        <v>0</v>
      </c>
      <c r="BS956" s="415">
        <v>0</v>
      </c>
      <c r="BT956" s="935"/>
      <c r="BU956" s="935"/>
      <c r="BV956" s="935"/>
      <c r="BW956" s="935"/>
      <c r="BX956" s="935"/>
      <c r="BY956" s="935"/>
      <c r="BZ956" s="935"/>
      <c r="CA956" s="935"/>
      <c r="CB956" s="935"/>
      <c r="CC956" s="935"/>
      <c r="CD956" s="935"/>
      <c r="CE956" s="935"/>
      <c r="CF956" s="935"/>
      <c r="CG956" s="935"/>
      <c r="CH956" s="935"/>
      <c r="CI956" s="935"/>
      <c r="CJ956" s="935"/>
      <c r="CK956" s="935"/>
      <c r="CL956" s="935"/>
      <c r="CM956" s="935"/>
      <c r="CN956" s="935"/>
      <c r="CO956" s="935"/>
      <c r="CP956" s="935"/>
      <c r="CQ956" s="935"/>
      <c r="CR956" s="935"/>
      <c r="CS956" s="935"/>
      <c r="CT956" s="935"/>
      <c r="CU956" s="935"/>
      <c r="CV956" s="935"/>
    </row>
    <row r="957" spans="1:105" s="441" customFormat="1">
      <c r="A957" s="375">
        <f t="shared" si="260"/>
        <v>10</v>
      </c>
      <c r="B957" s="862">
        <v>44488</v>
      </c>
      <c r="C957" s="493" t="s">
        <v>2000</v>
      </c>
      <c r="D957" s="376" t="str">
        <f>IFERROR(VLOOKUP(E:E,'Item Data Support Sheet'!A:O,7,0),"")</f>
        <v>NIPPLE PUNCH INSPECTED</v>
      </c>
      <c r="E957" s="447" t="s">
        <v>1820</v>
      </c>
      <c r="F957" s="500"/>
      <c r="G957" s="497"/>
      <c r="H957" s="602" t="str">
        <f>IFERROR(VLOOKUP(E:E,'Item Data Support Sheet'!A:O,2,0),"")</f>
        <v>NIPPLE S TYPE L SIZE PUNCHED INSPECTED</v>
      </c>
      <c r="I957" s="501" t="s">
        <v>3694</v>
      </c>
      <c r="J957" s="501" t="s">
        <v>2811</v>
      </c>
      <c r="K957" s="499">
        <v>4</v>
      </c>
      <c r="L957" s="499">
        <v>7068</v>
      </c>
      <c r="M957" s="366">
        <v>1767</v>
      </c>
      <c r="N957" s="367">
        <f t="shared" si="259"/>
        <v>5000</v>
      </c>
      <c r="O957" s="61">
        <v>4814</v>
      </c>
      <c r="P957" s="368">
        <v>0</v>
      </c>
      <c r="Q957" s="368">
        <v>0</v>
      </c>
      <c r="R957" s="494">
        <v>0</v>
      </c>
      <c r="S957" s="493">
        <v>0</v>
      </c>
      <c r="T957" s="494">
        <v>186</v>
      </c>
      <c r="U957" s="493">
        <v>0</v>
      </c>
      <c r="V957" s="502">
        <v>2</v>
      </c>
      <c r="W957" s="453">
        <f t="shared" si="261"/>
        <v>2407</v>
      </c>
      <c r="X957" s="748">
        <f t="shared" si="262"/>
        <v>0.68109790605546128</v>
      </c>
      <c r="Y957" s="451" t="str">
        <f>IFERROR(VLOOKUP(E:E,'Item Data Support Sheet'!A:J,6,0),0)</f>
        <v>FO106</v>
      </c>
      <c r="Z957" s="428">
        <f>IFERROR(VLOOKUP(E:E,'Item Data Support Sheet'!A:O,4,0),0)</f>
        <v>0</v>
      </c>
      <c r="AA957" s="428">
        <f t="shared" si="263"/>
        <v>0</v>
      </c>
      <c r="AB957" s="429" t="str">
        <f t="shared" si="264"/>
        <v xml:space="preserve"> </v>
      </c>
      <c r="AC957" s="424">
        <f t="shared" si="265"/>
        <v>3.7199999999999997E-2</v>
      </c>
      <c r="AD957" s="371">
        <f t="shared" si="266"/>
        <v>0</v>
      </c>
      <c r="AE957" s="748">
        <f t="shared" si="267"/>
        <v>0.96279999999999999</v>
      </c>
      <c r="AF957" s="417">
        <f t="shared" si="268"/>
        <v>0</v>
      </c>
      <c r="AG957" s="416">
        <f t="shared" si="269"/>
        <v>4</v>
      </c>
      <c r="AH957" s="372">
        <f t="shared" si="270"/>
        <v>1</v>
      </c>
      <c r="AI957" s="373">
        <f t="shared" si="271"/>
        <v>1203.5</v>
      </c>
      <c r="AJ957" s="418">
        <f>VLOOKUP(D957,'Standard Cycle time'!C:D,2,0)</f>
        <v>4</v>
      </c>
      <c r="AK957" s="418">
        <f t="shared" si="272"/>
        <v>5.9825508932280851</v>
      </c>
      <c r="AL957" s="374">
        <f t="shared" si="273"/>
        <v>0.66861111111111104</v>
      </c>
      <c r="AM957" s="372">
        <f t="shared" si="274"/>
        <v>0.64373877777777766</v>
      </c>
      <c r="AN957" s="799">
        <v>0.64373877777777766</v>
      </c>
      <c r="AO957" s="448"/>
      <c r="AP957" s="440">
        <v>0</v>
      </c>
      <c r="AQ957" s="440">
        <v>0</v>
      </c>
      <c r="AR957" s="440">
        <v>0</v>
      </c>
      <c r="AS957" s="440">
        <v>0</v>
      </c>
      <c r="AT957" s="440">
        <v>0</v>
      </c>
      <c r="AU957" s="440">
        <v>0</v>
      </c>
      <c r="AV957" s="440">
        <v>0</v>
      </c>
      <c r="AW957" s="440">
        <v>0</v>
      </c>
      <c r="AX957" s="440">
        <v>0</v>
      </c>
      <c r="AY957" s="440">
        <v>0</v>
      </c>
      <c r="AZ957" s="440">
        <v>0</v>
      </c>
      <c r="BA957" s="440">
        <v>0</v>
      </c>
      <c r="BB957" s="440">
        <v>0</v>
      </c>
      <c r="BC957" s="440">
        <v>0</v>
      </c>
      <c r="BD957" s="440">
        <v>0</v>
      </c>
      <c r="BE957" s="440">
        <v>0</v>
      </c>
      <c r="BF957" s="440">
        <v>0</v>
      </c>
      <c r="BG957" s="440">
        <v>0</v>
      </c>
      <c r="BH957" s="440">
        <v>0</v>
      </c>
      <c r="BI957" s="440">
        <v>0</v>
      </c>
      <c r="BJ957" s="440">
        <v>0</v>
      </c>
      <c r="BK957" s="440">
        <v>0</v>
      </c>
      <c r="BL957" s="440">
        <v>0</v>
      </c>
      <c r="BM957" s="440">
        <v>0</v>
      </c>
      <c r="BN957" s="440">
        <v>0</v>
      </c>
      <c r="BO957" s="440">
        <v>0</v>
      </c>
      <c r="BP957" s="440">
        <v>0</v>
      </c>
      <c r="BQ957" s="440">
        <v>0</v>
      </c>
      <c r="BR957" s="415">
        <v>0</v>
      </c>
      <c r="BS957" s="415">
        <v>0</v>
      </c>
      <c r="BT957" s="935"/>
      <c r="BU957" s="935"/>
      <c r="BV957" s="935"/>
      <c r="BW957" s="935"/>
      <c r="BX957" s="935"/>
      <c r="BY957" s="935"/>
      <c r="BZ957" s="935"/>
      <c r="CA957" s="935"/>
      <c r="CB957" s="935"/>
      <c r="CC957" s="935"/>
      <c r="CD957" s="935"/>
      <c r="CE957" s="935"/>
      <c r="CF957" s="935"/>
      <c r="CG957" s="935"/>
      <c r="CH957" s="935"/>
      <c r="CI957" s="935"/>
      <c r="CJ957" s="935"/>
      <c r="CK957" s="935"/>
      <c r="CL957" s="935"/>
      <c r="CM957" s="935"/>
      <c r="CN957" s="935"/>
      <c r="CO957" s="935"/>
      <c r="CP957" s="935"/>
      <c r="CQ957" s="935"/>
      <c r="CR957" s="935"/>
      <c r="CS957" s="935"/>
      <c r="CT957" s="935"/>
      <c r="CU957" s="935"/>
      <c r="CV957" s="935"/>
    </row>
    <row r="958" spans="1:105" s="441" customFormat="1">
      <c r="A958" s="375">
        <f t="shared" si="260"/>
        <v>10</v>
      </c>
      <c r="B958" s="862">
        <v>44488</v>
      </c>
      <c r="C958" s="493" t="s">
        <v>2001</v>
      </c>
      <c r="D958" s="376" t="str">
        <f>IFERROR(VLOOKUP(E:E,'Item Data Support Sheet'!A:O,7,0),"")</f>
        <v>CAP MOLDED</v>
      </c>
      <c r="E958" s="447" t="s">
        <v>2110</v>
      </c>
      <c r="F958" s="500"/>
      <c r="G958" s="497" t="s">
        <v>3579</v>
      </c>
      <c r="H958" s="602" t="str">
        <f>IFERROR(VLOOKUP(E:E,'Item Data Support Sheet'!A:O,2,0),"")</f>
        <v>CAP S TYPE MOLDED WHITE</v>
      </c>
      <c r="I958" s="501" t="s">
        <v>3715</v>
      </c>
      <c r="J958" s="501" t="s">
        <v>2811</v>
      </c>
      <c r="K958" s="499">
        <v>5</v>
      </c>
      <c r="L958" s="499">
        <v>2585</v>
      </c>
      <c r="M958" s="366">
        <v>517</v>
      </c>
      <c r="N958" s="367">
        <f t="shared" si="259"/>
        <v>3000</v>
      </c>
      <c r="O958" s="61">
        <v>3000</v>
      </c>
      <c r="P958" s="368">
        <v>0</v>
      </c>
      <c r="Q958" s="368">
        <v>0</v>
      </c>
      <c r="R958" s="494">
        <v>0</v>
      </c>
      <c r="S958" s="493">
        <v>0</v>
      </c>
      <c r="T958" s="494">
        <v>0</v>
      </c>
      <c r="U958" s="493">
        <v>0</v>
      </c>
      <c r="V958" s="502">
        <v>1</v>
      </c>
      <c r="W958" s="453">
        <f t="shared" si="261"/>
        <v>3000</v>
      </c>
      <c r="X958" s="748">
        <f t="shared" si="262"/>
        <v>1.1605415860735009</v>
      </c>
      <c r="Y958" s="451" t="str">
        <f>IFERROR(VLOOKUP(E:E,'Item Data Support Sheet'!A:J,6,0),0)</f>
        <v>RM000106</v>
      </c>
      <c r="Z958" s="428">
        <f>IFERROR(VLOOKUP(E:E,'Item Data Support Sheet'!A:O,4,0),0)</f>
        <v>7.3</v>
      </c>
      <c r="AA958" s="428">
        <f t="shared" si="263"/>
        <v>21.9</v>
      </c>
      <c r="AB958" s="429">
        <f t="shared" si="264"/>
        <v>1</v>
      </c>
      <c r="AC958" s="424">
        <f t="shared" si="265"/>
        <v>0</v>
      </c>
      <c r="AD958" s="371">
        <f t="shared" si="266"/>
        <v>0</v>
      </c>
      <c r="AE958" s="748">
        <f t="shared" si="267"/>
        <v>1</v>
      </c>
      <c r="AF958" s="417">
        <f t="shared" si="268"/>
        <v>0</v>
      </c>
      <c r="AG958" s="416">
        <f t="shared" si="269"/>
        <v>5</v>
      </c>
      <c r="AH958" s="372">
        <f t="shared" si="270"/>
        <v>1</v>
      </c>
      <c r="AI958" s="373">
        <f t="shared" si="271"/>
        <v>600</v>
      </c>
      <c r="AJ958" s="418">
        <f>VLOOKUP(D958,'Standard Cycle time'!C:D,2,0)</f>
        <v>6</v>
      </c>
      <c r="AK958" s="418">
        <f t="shared" si="272"/>
        <v>6</v>
      </c>
      <c r="AL958" s="374">
        <f t="shared" si="273"/>
        <v>1</v>
      </c>
      <c r="AM958" s="372">
        <f t="shared" si="274"/>
        <v>1</v>
      </c>
      <c r="AN958" s="799">
        <v>1</v>
      </c>
      <c r="AO958" s="448"/>
      <c r="AP958" s="440">
        <v>0</v>
      </c>
      <c r="AQ958" s="440">
        <v>0</v>
      </c>
      <c r="AR958" s="440">
        <v>0</v>
      </c>
      <c r="AS958" s="440">
        <v>0</v>
      </c>
      <c r="AT958" s="440">
        <v>0</v>
      </c>
      <c r="AU958" s="440">
        <v>0</v>
      </c>
      <c r="AV958" s="440">
        <v>0</v>
      </c>
      <c r="AW958" s="440">
        <v>0</v>
      </c>
      <c r="AX958" s="440">
        <v>0</v>
      </c>
      <c r="AY958" s="440">
        <v>0</v>
      </c>
      <c r="AZ958" s="440">
        <v>0</v>
      </c>
      <c r="BA958" s="440">
        <v>0</v>
      </c>
      <c r="BB958" s="440">
        <v>0</v>
      </c>
      <c r="BC958" s="440">
        <v>0</v>
      </c>
      <c r="BD958" s="440">
        <v>0</v>
      </c>
      <c r="BE958" s="440">
        <v>0</v>
      </c>
      <c r="BF958" s="440">
        <v>0</v>
      </c>
      <c r="BG958" s="440">
        <v>0</v>
      </c>
      <c r="BH958" s="440">
        <v>0</v>
      </c>
      <c r="BI958" s="440">
        <v>0</v>
      </c>
      <c r="BJ958" s="440">
        <v>0</v>
      </c>
      <c r="BK958" s="440">
        <v>0</v>
      </c>
      <c r="BL958" s="440">
        <v>0</v>
      </c>
      <c r="BM958" s="440">
        <v>0</v>
      </c>
      <c r="BN958" s="440">
        <v>0</v>
      </c>
      <c r="BO958" s="440">
        <v>0</v>
      </c>
      <c r="BP958" s="440">
        <v>0</v>
      </c>
      <c r="BQ958" s="440">
        <v>0</v>
      </c>
      <c r="BR958" s="415">
        <v>0</v>
      </c>
      <c r="BS958" s="415">
        <v>0</v>
      </c>
      <c r="BT958" s="935"/>
      <c r="BU958" s="935"/>
      <c r="BV958" s="935"/>
      <c r="BW958" s="935"/>
      <c r="BX958" s="935"/>
      <c r="BY958" s="935"/>
      <c r="BZ958" s="935"/>
      <c r="CA958" s="935"/>
      <c r="CB958" s="935"/>
      <c r="CC958" s="935"/>
      <c r="CD958" s="935"/>
      <c r="CE958" s="935"/>
      <c r="CF958" s="935"/>
      <c r="CG958" s="935"/>
      <c r="CH958" s="935"/>
      <c r="CI958" s="935"/>
      <c r="CJ958" s="935"/>
      <c r="CK958" s="935"/>
      <c r="CL958" s="935"/>
      <c r="CM958" s="935"/>
      <c r="CN958" s="935"/>
      <c r="CO958" s="935"/>
      <c r="CP958" s="935"/>
      <c r="CQ958" s="935"/>
      <c r="CR958" s="935"/>
      <c r="CS958" s="935"/>
      <c r="CT958" s="935"/>
      <c r="CU958" s="935"/>
      <c r="CV958" s="935"/>
    </row>
    <row r="959" spans="1:105" s="441" customFormat="1">
      <c r="A959" s="375">
        <f t="shared" si="260"/>
        <v>10</v>
      </c>
      <c r="B959" s="862">
        <v>44488</v>
      </c>
      <c r="C959" s="493" t="s">
        <v>2001</v>
      </c>
      <c r="D959" s="376" t="str">
        <f>IFERROR(VLOOKUP(E:E,'Item Data Support Sheet'!A:O,7,0),"")</f>
        <v>NIPPLE PUNCH</v>
      </c>
      <c r="E959" s="447" t="s">
        <v>81</v>
      </c>
      <c r="F959" s="500"/>
      <c r="G959" s="497" t="s">
        <v>1692</v>
      </c>
      <c r="H959" s="602" t="str">
        <f>IFERROR(VLOOKUP(E:E,'Item Data Support Sheet'!A:O,2,0),"")</f>
        <v>NIPPLE S TYPE M SIZE PUNCHED</v>
      </c>
      <c r="I959" s="501" t="s">
        <v>3716</v>
      </c>
      <c r="J959" s="501" t="s">
        <v>2811</v>
      </c>
      <c r="K959" s="499">
        <v>8</v>
      </c>
      <c r="L959" s="499">
        <v>7000</v>
      </c>
      <c r="M959" s="366">
        <v>875</v>
      </c>
      <c r="N959" s="367">
        <f t="shared" si="259"/>
        <v>4800</v>
      </c>
      <c r="O959" s="61">
        <v>4775</v>
      </c>
      <c r="P959" s="368">
        <v>0</v>
      </c>
      <c r="Q959" s="368">
        <v>0</v>
      </c>
      <c r="R959" s="494">
        <v>0</v>
      </c>
      <c r="S959" s="493">
        <v>0</v>
      </c>
      <c r="T959" s="494">
        <v>25</v>
      </c>
      <c r="U959" s="493">
        <v>0</v>
      </c>
      <c r="V959" s="502">
        <v>1</v>
      </c>
      <c r="W959" s="453">
        <f t="shared" si="261"/>
        <v>4775</v>
      </c>
      <c r="X959" s="748">
        <f t="shared" si="262"/>
        <v>0.68214285714285716</v>
      </c>
      <c r="Y959" s="451" t="str">
        <f>IFERROR(VLOOKUP(E:E,'Item Data Support Sheet'!A:J,6,0),0)</f>
        <v>FO016</v>
      </c>
      <c r="Z959" s="428">
        <f>IFERROR(VLOOKUP(E:E,'Item Data Support Sheet'!A:O,4,0),0)</f>
        <v>0</v>
      </c>
      <c r="AA959" s="428">
        <f t="shared" si="263"/>
        <v>0</v>
      </c>
      <c r="AB959" s="429" t="str">
        <f t="shared" si="264"/>
        <v xml:space="preserve"> </v>
      </c>
      <c r="AC959" s="424">
        <f t="shared" si="265"/>
        <v>5.208333333333333E-3</v>
      </c>
      <c r="AD959" s="371">
        <f t="shared" si="266"/>
        <v>0</v>
      </c>
      <c r="AE959" s="748">
        <f t="shared" si="267"/>
        <v>0.99479166666666663</v>
      </c>
      <c r="AF959" s="417">
        <f t="shared" si="268"/>
        <v>0.66666666666666663</v>
      </c>
      <c r="AG959" s="416">
        <f t="shared" si="269"/>
        <v>7.333333333333333</v>
      </c>
      <c r="AH959" s="372">
        <f t="shared" si="270"/>
        <v>0.91666666666666663</v>
      </c>
      <c r="AI959" s="373">
        <f t="shared" si="271"/>
        <v>596.875</v>
      </c>
      <c r="AJ959" s="418">
        <f>VLOOKUP(D959,'Standard Cycle time'!C:D,2,0)</f>
        <v>3.5</v>
      </c>
      <c r="AK959" s="418">
        <f t="shared" si="272"/>
        <v>5.5287958115183242</v>
      </c>
      <c r="AL959" s="374">
        <f t="shared" si="273"/>
        <v>0.63304924242424243</v>
      </c>
      <c r="AM959" s="372">
        <f t="shared" si="274"/>
        <v>0.57727276837384256</v>
      </c>
      <c r="AN959" s="799">
        <v>0.57727276837384256</v>
      </c>
      <c r="AO959" s="448" t="s">
        <v>3717</v>
      </c>
      <c r="AP959" s="440">
        <v>40</v>
      </c>
      <c r="AQ959" s="440">
        <v>0</v>
      </c>
      <c r="AR959" s="440">
        <v>0</v>
      </c>
      <c r="AS959" s="440">
        <v>0</v>
      </c>
      <c r="AT959" s="440">
        <v>0</v>
      </c>
      <c r="AU959" s="440">
        <v>0</v>
      </c>
      <c r="AV959" s="440">
        <v>0</v>
      </c>
      <c r="AW959" s="440">
        <v>0</v>
      </c>
      <c r="AX959" s="440">
        <v>0</v>
      </c>
      <c r="AY959" s="440">
        <v>0</v>
      </c>
      <c r="AZ959" s="440">
        <v>0</v>
      </c>
      <c r="BA959" s="440">
        <v>0</v>
      </c>
      <c r="BB959" s="440">
        <v>0</v>
      </c>
      <c r="BC959" s="440">
        <v>0</v>
      </c>
      <c r="BD959" s="440">
        <v>0</v>
      </c>
      <c r="BE959" s="440">
        <v>0</v>
      </c>
      <c r="BF959" s="440">
        <v>0</v>
      </c>
      <c r="BG959" s="440">
        <v>0</v>
      </c>
      <c r="BH959" s="440">
        <v>0</v>
      </c>
      <c r="BI959" s="440">
        <v>0</v>
      </c>
      <c r="BJ959" s="440">
        <v>0</v>
      </c>
      <c r="BK959" s="440">
        <v>0</v>
      </c>
      <c r="BL959" s="440">
        <v>0</v>
      </c>
      <c r="BM959" s="440">
        <v>0</v>
      </c>
      <c r="BN959" s="440">
        <v>0</v>
      </c>
      <c r="BO959" s="440">
        <v>0</v>
      </c>
      <c r="BP959" s="440">
        <v>0</v>
      </c>
      <c r="BQ959" s="440">
        <v>0</v>
      </c>
      <c r="BR959" s="415">
        <v>0.66666666666666663</v>
      </c>
      <c r="BS959" s="415">
        <v>0.66666666666666663</v>
      </c>
      <c r="BT959" s="935"/>
      <c r="BU959" s="935"/>
      <c r="BV959" s="935"/>
      <c r="BW959" s="935"/>
      <c r="BX959" s="935"/>
      <c r="BY959" s="935"/>
      <c r="BZ959" s="935"/>
      <c r="CA959" s="935"/>
      <c r="CB959" s="935"/>
      <c r="CC959" s="935"/>
      <c r="CD959" s="935"/>
      <c r="CE959" s="935"/>
      <c r="CF959" s="935"/>
      <c r="CG959" s="935"/>
      <c r="CH959" s="935"/>
      <c r="CI959" s="935"/>
      <c r="CJ959" s="935"/>
      <c r="CK959" s="935"/>
      <c r="CL959" s="935"/>
      <c r="CM959" s="935"/>
      <c r="CN959" s="935"/>
      <c r="CO959" s="935"/>
      <c r="CP959" s="935"/>
      <c r="CQ959" s="935"/>
      <c r="CR959" s="935"/>
      <c r="CS959" s="935"/>
      <c r="CT959" s="935"/>
      <c r="CU959" s="935"/>
      <c r="CV959" s="935"/>
    </row>
    <row r="960" spans="1:105" s="441" customFormat="1">
      <c r="A960" s="375">
        <f t="shared" si="260"/>
        <v>10</v>
      </c>
      <c r="B960" s="862">
        <v>44488</v>
      </c>
      <c r="C960" s="493" t="s">
        <v>2001</v>
      </c>
      <c r="D960" s="376" t="str">
        <f>IFERROR(VLOOKUP(E:E,'Item Data Support Sheet'!A:O,7,0),"")</f>
        <v>NIPPLE LASER MARKING</v>
      </c>
      <c r="E960" s="447" t="s">
        <v>1815</v>
      </c>
      <c r="F960" s="500"/>
      <c r="G960" s="497" t="s">
        <v>1812</v>
      </c>
      <c r="H960" s="602" t="str">
        <f>IFERROR(VLOOKUP(E:E,'Item Data Support Sheet'!A:O,2,0),"")</f>
        <v>NIPPLE S TYPE M SIZE PUNCHED LASER MARKED</v>
      </c>
      <c r="I960" s="501" t="s">
        <v>3718</v>
      </c>
      <c r="J960" s="501" t="s">
        <v>2811</v>
      </c>
      <c r="K960" s="499">
        <v>8</v>
      </c>
      <c r="L960" s="499">
        <v>7000</v>
      </c>
      <c r="M960" s="366">
        <v>875</v>
      </c>
      <c r="N960" s="367">
        <f t="shared" si="259"/>
        <v>4800</v>
      </c>
      <c r="O960" s="61">
        <v>4800</v>
      </c>
      <c r="P960" s="368">
        <v>0</v>
      </c>
      <c r="Q960" s="368">
        <v>0</v>
      </c>
      <c r="R960" s="494">
        <v>0</v>
      </c>
      <c r="S960" s="493">
        <v>0</v>
      </c>
      <c r="T960" s="494">
        <v>0</v>
      </c>
      <c r="U960" s="493">
        <v>0</v>
      </c>
      <c r="V960" s="502">
        <v>1</v>
      </c>
      <c r="W960" s="453">
        <f t="shared" si="261"/>
        <v>4800</v>
      </c>
      <c r="X960" s="748">
        <f t="shared" si="262"/>
        <v>0.68571428571428572</v>
      </c>
      <c r="Y960" s="451" t="str">
        <f>IFERROR(VLOOKUP(E:E,'Item Data Support Sheet'!A:J,6,0),0)</f>
        <v>FO020</v>
      </c>
      <c r="Z960" s="428">
        <f>IFERROR(VLOOKUP(E:E,'Item Data Support Sheet'!A:O,4,0),0)</f>
        <v>0</v>
      </c>
      <c r="AA960" s="428">
        <f t="shared" si="263"/>
        <v>0</v>
      </c>
      <c r="AB960" s="429" t="str">
        <f t="shared" si="264"/>
        <v xml:space="preserve"> </v>
      </c>
      <c r="AC960" s="424">
        <f t="shared" si="265"/>
        <v>0</v>
      </c>
      <c r="AD960" s="371">
        <f t="shared" si="266"/>
        <v>0</v>
      </c>
      <c r="AE960" s="748">
        <f t="shared" si="267"/>
        <v>1</v>
      </c>
      <c r="AF960" s="417">
        <f t="shared" si="268"/>
        <v>1</v>
      </c>
      <c r="AG960" s="416">
        <f t="shared" si="269"/>
        <v>7</v>
      </c>
      <c r="AH960" s="372">
        <f t="shared" si="270"/>
        <v>0.875</v>
      </c>
      <c r="AI960" s="373">
        <f t="shared" si="271"/>
        <v>600</v>
      </c>
      <c r="AJ960" s="418">
        <f>VLOOKUP(D960,'Standard Cycle time'!C:D,2,0)</f>
        <v>3.5</v>
      </c>
      <c r="AK960" s="418">
        <f t="shared" si="272"/>
        <v>5.25</v>
      </c>
      <c r="AL960" s="374">
        <f t="shared" si="273"/>
        <v>0.66666666666666663</v>
      </c>
      <c r="AM960" s="372">
        <f t="shared" si="274"/>
        <v>0.58333333333333326</v>
      </c>
      <c r="AN960" s="799">
        <v>0.58333333333333326</v>
      </c>
      <c r="AO960" s="448" t="s">
        <v>2746</v>
      </c>
      <c r="AP960" s="440">
        <v>0</v>
      </c>
      <c r="AQ960" s="440">
        <v>0</v>
      </c>
      <c r="AR960" s="440">
        <v>0</v>
      </c>
      <c r="AS960" s="440">
        <v>0</v>
      </c>
      <c r="AT960" s="440">
        <v>0</v>
      </c>
      <c r="AU960" s="440">
        <v>0</v>
      </c>
      <c r="AV960" s="440">
        <v>30</v>
      </c>
      <c r="AW960" s="440">
        <v>30</v>
      </c>
      <c r="AX960" s="440">
        <v>0</v>
      </c>
      <c r="AY960" s="440">
        <v>0</v>
      </c>
      <c r="AZ960" s="440">
        <v>0</v>
      </c>
      <c r="BA960" s="440">
        <v>0</v>
      </c>
      <c r="BB960" s="440">
        <v>0</v>
      </c>
      <c r="BC960" s="440">
        <v>0</v>
      </c>
      <c r="BD960" s="440">
        <v>0</v>
      </c>
      <c r="BE960" s="440">
        <v>0</v>
      </c>
      <c r="BF960" s="440">
        <v>0</v>
      </c>
      <c r="BG960" s="440">
        <v>0</v>
      </c>
      <c r="BH960" s="440">
        <v>0</v>
      </c>
      <c r="BI960" s="440">
        <v>0</v>
      </c>
      <c r="BJ960" s="440">
        <v>0</v>
      </c>
      <c r="BK960" s="440">
        <v>0</v>
      </c>
      <c r="BL960" s="440">
        <v>0</v>
      </c>
      <c r="BM960" s="440">
        <v>0</v>
      </c>
      <c r="BN960" s="440">
        <v>0</v>
      </c>
      <c r="BO960" s="440">
        <v>0</v>
      </c>
      <c r="BP960" s="440">
        <v>0</v>
      </c>
      <c r="BQ960" s="440">
        <v>0</v>
      </c>
      <c r="BR960" s="415">
        <v>1</v>
      </c>
      <c r="BS960" s="415">
        <v>1</v>
      </c>
      <c r="BT960" s="935"/>
      <c r="BU960" s="935"/>
      <c r="BV960" s="935"/>
      <c r="BW960" s="935"/>
      <c r="BX960" s="935"/>
      <c r="BY960" s="935"/>
      <c r="BZ960" s="935"/>
      <c r="CA960" s="935"/>
      <c r="CB960" s="935"/>
      <c r="CC960" s="935"/>
      <c r="CD960" s="935"/>
      <c r="CE960" s="935"/>
      <c r="CF960" s="935"/>
      <c r="CG960" s="935"/>
      <c r="CH960" s="935"/>
      <c r="CI960" s="935"/>
      <c r="CJ960" s="935"/>
      <c r="CK960" s="935"/>
      <c r="CL960" s="935"/>
      <c r="CM960" s="935"/>
      <c r="CN960" s="935"/>
      <c r="CO960" s="935"/>
      <c r="CP960" s="935"/>
      <c r="CQ960" s="935"/>
      <c r="CR960" s="935"/>
      <c r="CS960" s="935"/>
      <c r="CT960" s="935"/>
      <c r="CU960" s="935"/>
      <c r="CV960" s="935"/>
    </row>
    <row r="961" spans="1:100" s="441" customFormat="1">
      <c r="A961" s="375">
        <f t="shared" si="260"/>
        <v>10</v>
      </c>
      <c r="B961" s="862">
        <v>44488</v>
      </c>
      <c r="C961" s="493" t="s">
        <v>2001</v>
      </c>
      <c r="D961" s="376" t="str">
        <f>IFERROR(VLOOKUP(E:E,'Item Data Support Sheet'!A:O,7,0),"")</f>
        <v>CAP MOLDED</v>
      </c>
      <c r="E961" s="447" t="s">
        <v>2110</v>
      </c>
      <c r="F961" s="500"/>
      <c r="G961" s="497" t="s">
        <v>3212</v>
      </c>
      <c r="H961" s="602" t="str">
        <f>IFERROR(VLOOKUP(E:E,'Item Data Support Sheet'!A:O,2,0),"")</f>
        <v>CAP S TYPE MOLDED WHITE</v>
      </c>
      <c r="I961" s="501" t="s">
        <v>3719</v>
      </c>
      <c r="J961" s="501" t="s">
        <v>2811</v>
      </c>
      <c r="K961" s="499">
        <v>3</v>
      </c>
      <c r="L961" s="499">
        <v>1553</v>
      </c>
      <c r="M961" s="366">
        <v>517.66666666666663</v>
      </c>
      <c r="N961" s="367">
        <f t="shared" si="259"/>
        <v>1600</v>
      </c>
      <c r="O961" s="61">
        <v>1600</v>
      </c>
      <c r="P961" s="368">
        <v>0</v>
      </c>
      <c r="Q961" s="368">
        <v>0</v>
      </c>
      <c r="R961" s="494">
        <v>0</v>
      </c>
      <c r="S961" s="493">
        <v>0</v>
      </c>
      <c r="T961" s="494">
        <v>0</v>
      </c>
      <c r="U961" s="493">
        <v>0</v>
      </c>
      <c r="V961" s="502">
        <v>1</v>
      </c>
      <c r="W961" s="453">
        <f t="shared" si="261"/>
        <v>1600</v>
      </c>
      <c r="X961" s="748">
        <f t="shared" si="262"/>
        <v>1.0302640051513201</v>
      </c>
      <c r="Y961" s="451" t="str">
        <f>IFERROR(VLOOKUP(E:E,'Item Data Support Sheet'!A:J,6,0),0)</f>
        <v>RM000106</v>
      </c>
      <c r="Z961" s="428">
        <f>IFERROR(VLOOKUP(E:E,'Item Data Support Sheet'!A:O,4,0),0)</f>
        <v>7.3</v>
      </c>
      <c r="AA961" s="428">
        <f t="shared" si="263"/>
        <v>11.68</v>
      </c>
      <c r="AB961" s="429">
        <f t="shared" si="264"/>
        <v>1</v>
      </c>
      <c r="AC961" s="424">
        <f t="shared" si="265"/>
        <v>0</v>
      </c>
      <c r="AD961" s="371">
        <f t="shared" si="266"/>
        <v>0</v>
      </c>
      <c r="AE961" s="748">
        <f t="shared" si="267"/>
        <v>1</v>
      </c>
      <c r="AF961" s="417">
        <f t="shared" si="268"/>
        <v>0.5</v>
      </c>
      <c r="AG961" s="416">
        <f t="shared" si="269"/>
        <v>2.5</v>
      </c>
      <c r="AH961" s="372">
        <f t="shared" si="270"/>
        <v>0.83333333333333337</v>
      </c>
      <c r="AI961" s="373">
        <f t="shared" si="271"/>
        <v>533.33333333333337</v>
      </c>
      <c r="AJ961" s="418">
        <f>VLOOKUP(D961,'Standard Cycle time'!C:D,2,0)</f>
        <v>6</v>
      </c>
      <c r="AK961" s="418">
        <f t="shared" si="272"/>
        <v>5.625</v>
      </c>
      <c r="AL961" s="374">
        <f t="shared" si="273"/>
        <v>1.0666666666666667</v>
      </c>
      <c r="AM961" s="372">
        <f t="shared" si="274"/>
        <v>0.88888888888888895</v>
      </c>
      <c r="AN961" s="799">
        <v>0.88888888888888895</v>
      </c>
      <c r="AO961" s="448"/>
      <c r="AP961" s="440">
        <v>0</v>
      </c>
      <c r="AQ961" s="440">
        <v>0</v>
      </c>
      <c r="AR961" s="440">
        <v>0</v>
      </c>
      <c r="AS961" s="440">
        <v>0</v>
      </c>
      <c r="AT961" s="440">
        <v>0</v>
      </c>
      <c r="AU961" s="440">
        <v>0</v>
      </c>
      <c r="AV961" s="440">
        <v>0</v>
      </c>
      <c r="AW961" s="440">
        <v>30</v>
      </c>
      <c r="AX961" s="440">
        <v>0</v>
      </c>
      <c r="AY961" s="440">
        <v>0</v>
      </c>
      <c r="AZ961" s="440">
        <v>0</v>
      </c>
      <c r="BA961" s="440">
        <v>0</v>
      </c>
      <c r="BB961" s="440">
        <v>0</v>
      </c>
      <c r="BC961" s="440">
        <v>0</v>
      </c>
      <c r="BD961" s="440">
        <v>0</v>
      </c>
      <c r="BE961" s="440">
        <v>0</v>
      </c>
      <c r="BF961" s="440">
        <v>0</v>
      </c>
      <c r="BG961" s="440">
        <v>0</v>
      </c>
      <c r="BH961" s="440">
        <v>0</v>
      </c>
      <c r="BI961" s="440">
        <v>0</v>
      </c>
      <c r="BJ961" s="440">
        <v>0</v>
      </c>
      <c r="BK961" s="440">
        <v>0</v>
      </c>
      <c r="BL961" s="440">
        <v>0</v>
      </c>
      <c r="BM961" s="440">
        <v>0</v>
      </c>
      <c r="BN961" s="440">
        <v>0</v>
      </c>
      <c r="BO961" s="440">
        <v>0</v>
      </c>
      <c r="BP961" s="440">
        <v>0</v>
      </c>
      <c r="BQ961" s="440">
        <v>0</v>
      </c>
      <c r="BR961" s="415">
        <v>0.5</v>
      </c>
      <c r="BS961" s="415">
        <v>0.5</v>
      </c>
      <c r="BT961" s="935"/>
      <c r="BU961" s="935"/>
      <c r="BV961" s="935"/>
      <c r="BW961" s="935"/>
      <c r="BX961" s="935"/>
      <c r="BY961" s="935"/>
      <c r="BZ961" s="935"/>
      <c r="CA961" s="935"/>
      <c r="CB961" s="935"/>
      <c r="CC961" s="935"/>
      <c r="CD961" s="935"/>
      <c r="CE961" s="935"/>
      <c r="CF961" s="935"/>
      <c r="CG961" s="935"/>
      <c r="CH961" s="935"/>
      <c r="CI961" s="935"/>
      <c r="CJ961" s="935"/>
      <c r="CK961" s="935"/>
      <c r="CL961" s="935"/>
      <c r="CM961" s="935"/>
      <c r="CN961" s="935"/>
      <c r="CO961" s="935"/>
      <c r="CP961" s="935"/>
      <c r="CQ961" s="935"/>
      <c r="CR961" s="935"/>
      <c r="CS961" s="935"/>
      <c r="CT961" s="935"/>
      <c r="CU961" s="935"/>
      <c r="CV961" s="935"/>
    </row>
    <row r="962" spans="1:100" s="441" customFormat="1">
      <c r="A962" s="375">
        <f t="shared" si="260"/>
        <v>10</v>
      </c>
      <c r="B962" s="862">
        <v>44488</v>
      </c>
      <c r="C962" s="493" t="s">
        <v>2001</v>
      </c>
      <c r="D962" s="376" t="str">
        <f>IFERROR(VLOOKUP(E:E,'Item Data Support Sheet'!A:O,7,0),"")</f>
        <v>NIPPLE MOLDED</v>
      </c>
      <c r="E962" s="447" t="s">
        <v>73</v>
      </c>
      <c r="F962" s="500" t="s">
        <v>1678</v>
      </c>
      <c r="G962" s="497" t="s">
        <v>1691</v>
      </c>
      <c r="H962" s="602" t="str">
        <f>IFERROR(VLOOKUP(E:E,'Item Data Support Sheet'!A:O,2,0),"")</f>
        <v>NIPPLE S TYPE M SIZE INJECTION</v>
      </c>
      <c r="I962" s="501" t="s">
        <v>3720</v>
      </c>
      <c r="J962" s="501" t="s">
        <v>2811</v>
      </c>
      <c r="K962" s="499">
        <v>8</v>
      </c>
      <c r="L962" s="499">
        <v>4815</v>
      </c>
      <c r="M962" s="366">
        <v>601.875</v>
      </c>
      <c r="N962" s="367">
        <f t="shared" si="259"/>
        <v>5123</v>
      </c>
      <c r="O962" s="61">
        <v>5000</v>
      </c>
      <c r="P962" s="368">
        <v>0</v>
      </c>
      <c r="Q962" s="368">
        <v>43</v>
      </c>
      <c r="R962" s="494">
        <v>0</v>
      </c>
      <c r="S962" s="493">
        <v>0</v>
      </c>
      <c r="T962" s="494">
        <v>80</v>
      </c>
      <c r="U962" s="493">
        <v>0</v>
      </c>
      <c r="V962" s="502">
        <v>1</v>
      </c>
      <c r="W962" s="453">
        <f t="shared" si="261"/>
        <v>5000</v>
      </c>
      <c r="X962" s="748">
        <f t="shared" si="262"/>
        <v>1.0384215991692627</v>
      </c>
      <c r="Y962" s="451" t="str">
        <f>IFERROR(VLOOKUP(E:E,'Item Data Support Sheet'!A:J,6,0),0)</f>
        <v>Silicon</v>
      </c>
      <c r="Z962" s="428">
        <f>IFERROR(VLOOKUP(E:E,'Item Data Support Sheet'!A:O,4,0),0)</f>
        <v>6.8</v>
      </c>
      <c r="AA962" s="428">
        <f t="shared" si="263"/>
        <v>34.836399999999998</v>
      </c>
      <c r="AB962" s="429">
        <f t="shared" si="264"/>
        <v>0.97599063048994739</v>
      </c>
      <c r="AC962" s="424">
        <f t="shared" si="265"/>
        <v>1.5748031496062992E-2</v>
      </c>
      <c r="AD962" s="371">
        <f t="shared" si="266"/>
        <v>8.3236546651180802E-3</v>
      </c>
      <c r="AE962" s="748">
        <f t="shared" si="267"/>
        <v>0.98438414991216083</v>
      </c>
      <c r="AF962" s="417">
        <f t="shared" si="268"/>
        <v>0</v>
      </c>
      <c r="AG962" s="416">
        <f t="shared" si="269"/>
        <v>8</v>
      </c>
      <c r="AH962" s="372">
        <f t="shared" si="270"/>
        <v>1</v>
      </c>
      <c r="AI962" s="373">
        <f t="shared" si="271"/>
        <v>625</v>
      </c>
      <c r="AJ962" s="418">
        <f>VLOOKUP(D962,'Standard Cycle time'!C:D,2,0)</f>
        <v>5.25</v>
      </c>
      <c r="AK962" s="418">
        <f t="shared" si="272"/>
        <v>5.76</v>
      </c>
      <c r="AL962" s="374">
        <f t="shared" si="273"/>
        <v>0.91145833333333337</v>
      </c>
      <c r="AM962" s="372">
        <f t="shared" si="274"/>
        <v>0.8972251366386883</v>
      </c>
      <c r="AN962" s="799">
        <v>0.8972251366386883</v>
      </c>
      <c r="AO962" s="448"/>
      <c r="AP962" s="440">
        <v>0</v>
      </c>
      <c r="AQ962" s="440">
        <v>0</v>
      </c>
      <c r="AR962" s="440">
        <v>0</v>
      </c>
      <c r="AS962" s="440">
        <v>0</v>
      </c>
      <c r="AT962" s="440">
        <v>0</v>
      </c>
      <c r="AU962" s="440">
        <v>0</v>
      </c>
      <c r="AV962" s="440">
        <v>0</v>
      </c>
      <c r="AW962" s="440">
        <v>0</v>
      </c>
      <c r="AX962" s="440">
        <v>0</v>
      </c>
      <c r="AY962" s="440">
        <v>0</v>
      </c>
      <c r="AZ962" s="440">
        <v>0</v>
      </c>
      <c r="BA962" s="440">
        <v>0</v>
      </c>
      <c r="BB962" s="440">
        <v>0</v>
      </c>
      <c r="BC962" s="440">
        <v>0</v>
      </c>
      <c r="BD962" s="440">
        <v>0</v>
      </c>
      <c r="BE962" s="440">
        <v>0</v>
      </c>
      <c r="BF962" s="440">
        <v>0</v>
      </c>
      <c r="BG962" s="440">
        <v>0</v>
      </c>
      <c r="BH962" s="440">
        <v>0</v>
      </c>
      <c r="BI962" s="440">
        <v>0</v>
      </c>
      <c r="BJ962" s="440">
        <v>0</v>
      </c>
      <c r="BK962" s="440">
        <v>0</v>
      </c>
      <c r="BL962" s="440">
        <v>0</v>
      </c>
      <c r="BM962" s="440">
        <v>0</v>
      </c>
      <c r="BN962" s="440">
        <v>0</v>
      </c>
      <c r="BO962" s="440">
        <v>0</v>
      </c>
      <c r="BP962" s="440">
        <v>0</v>
      </c>
      <c r="BQ962" s="440">
        <v>0</v>
      </c>
      <c r="BR962" s="415">
        <v>0</v>
      </c>
      <c r="BS962" s="415">
        <v>0</v>
      </c>
      <c r="BT962" s="935"/>
      <c r="BU962" s="935"/>
      <c r="BV962" s="935"/>
      <c r="BW962" s="935"/>
      <c r="BX962" s="935"/>
      <c r="BY962" s="935"/>
      <c r="BZ962" s="935"/>
      <c r="CA962" s="935"/>
      <c r="CB962" s="935"/>
      <c r="CC962" s="935"/>
      <c r="CD962" s="935"/>
      <c r="CE962" s="935"/>
      <c r="CF962" s="935"/>
      <c r="CG962" s="935"/>
      <c r="CH962" s="935"/>
      <c r="CI962" s="935"/>
      <c r="CJ962" s="935"/>
      <c r="CK962" s="935"/>
      <c r="CL962" s="935"/>
      <c r="CM962" s="935"/>
      <c r="CN962" s="935"/>
      <c r="CO962" s="935"/>
      <c r="CP962" s="935"/>
      <c r="CQ962" s="935"/>
      <c r="CR962" s="935"/>
      <c r="CS962" s="935"/>
      <c r="CT962" s="935"/>
      <c r="CU962" s="935"/>
      <c r="CV962" s="935"/>
    </row>
    <row r="963" spans="1:100" s="441" customFormat="1">
      <c r="A963" s="375">
        <f t="shared" si="260"/>
        <v>10</v>
      </c>
      <c r="B963" s="862">
        <v>44488</v>
      </c>
      <c r="C963" s="493" t="s">
        <v>2001</v>
      </c>
      <c r="D963" s="376" t="str">
        <f>IFERROR(VLOOKUP(E:E,'Item Data Support Sheet'!A:O,7,0),"")</f>
        <v>BOTTLE PRINTED</v>
      </c>
      <c r="E963" s="447" t="s">
        <v>64</v>
      </c>
      <c r="F963" s="500"/>
      <c r="G963" s="497" t="s">
        <v>1698</v>
      </c>
      <c r="H963" s="602" t="str">
        <f>IFERROR(VLOOKUP(E:E,'Item Data Support Sheet'!A:O,2,0),"")</f>
        <v>KPP 240 ML BOTTLE PRINTED</v>
      </c>
      <c r="I963" s="501" t="s">
        <v>3721</v>
      </c>
      <c r="J963" s="501" t="s">
        <v>2811</v>
      </c>
      <c r="K963" s="499">
        <v>8</v>
      </c>
      <c r="L963" s="499">
        <v>5100</v>
      </c>
      <c r="M963" s="366">
        <v>637.5</v>
      </c>
      <c r="N963" s="367">
        <f t="shared" si="259"/>
        <v>4905</v>
      </c>
      <c r="O963" s="61">
        <v>4860</v>
      </c>
      <c r="P963" s="368">
        <v>0</v>
      </c>
      <c r="Q963" s="368">
        <v>0</v>
      </c>
      <c r="R963" s="494">
        <v>45</v>
      </c>
      <c r="S963" s="493">
        <v>0</v>
      </c>
      <c r="T963" s="494">
        <v>45</v>
      </c>
      <c r="U963" s="493">
        <v>0</v>
      </c>
      <c r="V963" s="502">
        <v>5</v>
      </c>
      <c r="W963" s="453">
        <f t="shared" si="261"/>
        <v>972</v>
      </c>
      <c r="X963" s="748">
        <f t="shared" si="262"/>
        <v>0.95294117647058818</v>
      </c>
      <c r="Y963" s="451" t="str">
        <f>IFERROR(VLOOKUP(E:E,'Item Data Support Sheet'!A:J,6,0),0)</f>
        <v>FO003</v>
      </c>
      <c r="Z963" s="428">
        <f>IFERROR(VLOOKUP(E:E,'Item Data Support Sheet'!A:O,4,0),0)</f>
        <v>0</v>
      </c>
      <c r="AA963" s="428">
        <f t="shared" si="263"/>
        <v>0</v>
      </c>
      <c r="AB963" s="429" t="str">
        <f t="shared" si="264"/>
        <v xml:space="preserve"> </v>
      </c>
      <c r="AC963" s="424">
        <f t="shared" si="265"/>
        <v>9.1743119266055051E-3</v>
      </c>
      <c r="AD963" s="371">
        <f t="shared" si="266"/>
        <v>0</v>
      </c>
      <c r="AE963" s="748">
        <f t="shared" si="267"/>
        <v>0.99082568807339455</v>
      </c>
      <c r="AF963" s="417">
        <f t="shared" si="268"/>
        <v>0.66666666666666663</v>
      </c>
      <c r="AG963" s="416">
        <f t="shared" si="269"/>
        <v>7.333333333333333</v>
      </c>
      <c r="AH963" s="372">
        <f t="shared" si="270"/>
        <v>0.91666666666666663</v>
      </c>
      <c r="AI963" s="373">
        <f t="shared" si="271"/>
        <v>607.5</v>
      </c>
      <c r="AJ963" s="418">
        <f>VLOOKUP(D963,'Standard Cycle time'!C:D,2,0)</f>
        <v>32.4</v>
      </c>
      <c r="AK963" s="418">
        <f t="shared" si="272"/>
        <v>27.160493827160494</v>
      </c>
      <c r="AL963" s="374">
        <f t="shared" si="273"/>
        <v>1.1929090909090909</v>
      </c>
      <c r="AM963" s="372">
        <f t="shared" si="274"/>
        <v>1.083467889908257</v>
      </c>
      <c r="AN963" s="799">
        <v>1.083467889908257</v>
      </c>
      <c r="AO963" s="448" t="s">
        <v>3722</v>
      </c>
      <c r="AP963" s="440">
        <v>40</v>
      </c>
      <c r="AQ963" s="440">
        <v>0</v>
      </c>
      <c r="AR963" s="440">
        <v>0</v>
      </c>
      <c r="AS963" s="440">
        <v>0</v>
      </c>
      <c r="AT963" s="440">
        <v>0</v>
      </c>
      <c r="AU963" s="440">
        <v>0</v>
      </c>
      <c r="AV963" s="440">
        <v>0</v>
      </c>
      <c r="AW963" s="440">
        <v>0</v>
      </c>
      <c r="AX963" s="440">
        <v>0</v>
      </c>
      <c r="AY963" s="440">
        <v>0</v>
      </c>
      <c r="AZ963" s="440">
        <v>0</v>
      </c>
      <c r="BA963" s="440">
        <v>0</v>
      </c>
      <c r="BB963" s="440">
        <v>0</v>
      </c>
      <c r="BC963" s="440">
        <v>0</v>
      </c>
      <c r="BD963" s="440">
        <v>0</v>
      </c>
      <c r="BE963" s="440">
        <v>0</v>
      </c>
      <c r="BF963" s="440">
        <v>0</v>
      </c>
      <c r="BG963" s="440">
        <v>0</v>
      </c>
      <c r="BH963" s="440">
        <v>0</v>
      </c>
      <c r="BI963" s="440">
        <v>0</v>
      </c>
      <c r="BJ963" s="440">
        <v>0</v>
      </c>
      <c r="BK963" s="440">
        <v>0</v>
      </c>
      <c r="BL963" s="440">
        <v>0</v>
      </c>
      <c r="BM963" s="440">
        <v>0</v>
      </c>
      <c r="BN963" s="440">
        <v>0</v>
      </c>
      <c r="BO963" s="440">
        <v>0</v>
      </c>
      <c r="BP963" s="440">
        <v>0</v>
      </c>
      <c r="BQ963" s="440">
        <v>0</v>
      </c>
      <c r="BR963" s="415">
        <v>0.66666666666666663</v>
      </c>
      <c r="BS963" s="415">
        <v>0.66666666666666663</v>
      </c>
      <c r="BT963" s="935"/>
      <c r="BU963" s="935"/>
      <c r="BV963" s="935"/>
      <c r="BW963" s="935"/>
      <c r="BX963" s="935"/>
      <c r="BY963" s="935"/>
      <c r="BZ963" s="935"/>
      <c r="CA963" s="935"/>
      <c r="CB963" s="935"/>
      <c r="CC963" s="935"/>
      <c r="CD963" s="935"/>
      <c r="CE963" s="935"/>
      <c r="CF963" s="935"/>
      <c r="CG963" s="935"/>
      <c r="CH963" s="935"/>
      <c r="CI963" s="935"/>
      <c r="CJ963" s="935"/>
      <c r="CK963" s="935"/>
      <c r="CL963" s="935"/>
      <c r="CM963" s="935"/>
      <c r="CN963" s="935"/>
      <c r="CO963" s="935"/>
      <c r="CP963" s="935"/>
      <c r="CQ963" s="935"/>
      <c r="CR963" s="935"/>
      <c r="CS963" s="935"/>
      <c r="CT963" s="935"/>
      <c r="CU963" s="935"/>
      <c r="CV963" s="935"/>
    </row>
    <row r="964" spans="1:100" s="441" customFormat="1">
      <c r="A964" s="375">
        <f t="shared" si="260"/>
        <v>10</v>
      </c>
      <c r="B964" s="862">
        <v>44488</v>
      </c>
      <c r="C964" s="493" t="s">
        <v>2053</v>
      </c>
      <c r="D964" s="376" t="str">
        <f>IFERROR(VLOOKUP(E:E,'Item Data Support Sheet'!A:O,7,0),"")</f>
        <v>CAP MOLDED</v>
      </c>
      <c r="E964" s="447" t="s">
        <v>2110</v>
      </c>
      <c r="F964" s="500"/>
      <c r="G964" s="497" t="s">
        <v>3212</v>
      </c>
      <c r="H964" s="602" t="str">
        <f>IFERROR(VLOOKUP(E:E,'Item Data Support Sheet'!A:O,2,0),"")</f>
        <v>CAP S TYPE MOLDED WHITE</v>
      </c>
      <c r="I964" s="501" t="s">
        <v>3711</v>
      </c>
      <c r="J964" s="501" t="s">
        <v>2808</v>
      </c>
      <c r="K964" s="499">
        <v>3.9</v>
      </c>
      <c r="L964" s="499">
        <v>2000</v>
      </c>
      <c r="M964" s="366">
        <v>512.82051282051282</v>
      </c>
      <c r="N964" s="367">
        <f t="shared" ref="N964:N1027" si="275">+O964+Q964+T964+U964</f>
        <v>1921</v>
      </c>
      <c r="O964" s="61">
        <v>1900</v>
      </c>
      <c r="P964" s="368">
        <v>0</v>
      </c>
      <c r="Q964" s="368">
        <v>0</v>
      </c>
      <c r="R964" s="494">
        <v>0</v>
      </c>
      <c r="S964" s="493">
        <v>0</v>
      </c>
      <c r="T964" s="494">
        <v>13</v>
      </c>
      <c r="U964" s="493">
        <v>8</v>
      </c>
      <c r="V964" s="502">
        <v>1</v>
      </c>
      <c r="W964" s="453">
        <f t="shared" si="261"/>
        <v>1900</v>
      </c>
      <c r="X964" s="748">
        <f t="shared" si="262"/>
        <v>0.95</v>
      </c>
      <c r="Y964" s="451" t="str">
        <f>IFERROR(VLOOKUP(E:E,'Item Data Support Sheet'!A:J,6,0),0)</f>
        <v>RM000106</v>
      </c>
      <c r="Z964" s="428">
        <f>IFERROR(VLOOKUP(E:E,'Item Data Support Sheet'!A:O,4,0),0)</f>
        <v>7.3</v>
      </c>
      <c r="AA964" s="428">
        <f t="shared" si="263"/>
        <v>14.023300000000001</v>
      </c>
      <c r="AB964" s="429">
        <f t="shared" si="264"/>
        <v>0.98906819364914111</v>
      </c>
      <c r="AC964" s="424">
        <f t="shared" si="265"/>
        <v>6.7956089911134342E-3</v>
      </c>
      <c r="AD964" s="371">
        <f t="shared" si="266"/>
        <v>0</v>
      </c>
      <c r="AE964" s="748">
        <f t="shared" si="267"/>
        <v>0.99323269130661118</v>
      </c>
      <c r="AF964" s="417">
        <f t="shared" si="268"/>
        <v>0.83333333333333337</v>
      </c>
      <c r="AG964" s="416">
        <f t="shared" si="269"/>
        <v>3.0666666666666664</v>
      </c>
      <c r="AH964" s="372">
        <f t="shared" si="270"/>
        <v>0.78632478632478631</v>
      </c>
      <c r="AI964" s="373">
        <f t="shared" si="271"/>
        <v>487.17948717948718</v>
      </c>
      <c r="AJ964" s="418">
        <f>VLOOKUP(D964,'Standard Cycle time'!C:D,2,0)</f>
        <v>6</v>
      </c>
      <c r="AK964" s="418">
        <f t="shared" si="272"/>
        <v>5.810526315789474</v>
      </c>
      <c r="AL964" s="374">
        <f t="shared" si="273"/>
        <v>1.0326086956521738</v>
      </c>
      <c r="AM964" s="372">
        <f t="shared" si="274"/>
        <v>0.80647098866776112</v>
      </c>
      <c r="AN964" s="799">
        <v>0.80647098866776112</v>
      </c>
      <c r="AO964" s="448"/>
      <c r="AP964" s="440">
        <v>0</v>
      </c>
      <c r="AQ964" s="440">
        <v>0</v>
      </c>
      <c r="AR964" s="440">
        <v>0</v>
      </c>
      <c r="AS964" s="440">
        <v>0</v>
      </c>
      <c r="AT964" s="440">
        <v>0</v>
      </c>
      <c r="AU964" s="440">
        <v>0</v>
      </c>
      <c r="AV964" s="440">
        <v>0</v>
      </c>
      <c r="AW964" s="440">
        <v>30</v>
      </c>
      <c r="AX964" s="440">
        <v>0</v>
      </c>
      <c r="AY964" s="440">
        <v>0</v>
      </c>
      <c r="AZ964" s="440">
        <v>20</v>
      </c>
      <c r="BA964" s="440">
        <v>0</v>
      </c>
      <c r="BB964" s="440">
        <v>0</v>
      </c>
      <c r="BC964" s="440">
        <v>0</v>
      </c>
      <c r="BD964" s="440">
        <v>0</v>
      </c>
      <c r="BE964" s="440">
        <v>0</v>
      </c>
      <c r="BF964" s="440">
        <v>0</v>
      </c>
      <c r="BG964" s="440">
        <v>0</v>
      </c>
      <c r="BH964" s="440">
        <v>0</v>
      </c>
      <c r="BI964" s="440">
        <v>0</v>
      </c>
      <c r="BJ964" s="440">
        <v>0</v>
      </c>
      <c r="BK964" s="440">
        <v>0</v>
      </c>
      <c r="BL964" s="440">
        <v>0</v>
      </c>
      <c r="BM964" s="440">
        <v>0</v>
      </c>
      <c r="BN964" s="440">
        <v>0</v>
      </c>
      <c r="BO964" s="440">
        <v>0</v>
      </c>
      <c r="BP964" s="440">
        <v>0</v>
      </c>
      <c r="BQ964" s="440">
        <v>0</v>
      </c>
      <c r="BR964" s="415">
        <v>0.83333333333333337</v>
      </c>
      <c r="BS964" s="415">
        <v>0.83333333333333337</v>
      </c>
      <c r="BT964" s="935"/>
      <c r="BU964" s="935"/>
      <c r="BV964" s="935"/>
      <c r="BW964" s="935"/>
      <c r="BX964" s="935"/>
      <c r="BY964" s="935"/>
      <c r="BZ964" s="935"/>
      <c r="CA964" s="935"/>
      <c r="CB964" s="935"/>
      <c r="CC964" s="935"/>
      <c r="CD964" s="935"/>
      <c r="CE964" s="935"/>
      <c r="CF964" s="935"/>
      <c r="CG964" s="935"/>
      <c r="CH964" s="935"/>
      <c r="CI964" s="935"/>
      <c r="CJ964" s="935"/>
      <c r="CK964" s="935"/>
      <c r="CL964" s="935"/>
      <c r="CM964" s="935"/>
      <c r="CN964" s="935"/>
      <c r="CO964" s="935"/>
      <c r="CP964" s="935"/>
      <c r="CQ964" s="935"/>
      <c r="CR964" s="935"/>
      <c r="CS964" s="935"/>
      <c r="CT964" s="935"/>
      <c r="CU964" s="935"/>
      <c r="CV964" s="935"/>
    </row>
    <row r="965" spans="1:100" s="441" customFormat="1">
      <c r="A965" s="375">
        <f t="shared" ref="A965:A1028" si="276">MONTH(B965)</f>
        <v>10</v>
      </c>
      <c r="B965" s="862">
        <v>44488</v>
      </c>
      <c r="C965" s="493" t="s">
        <v>2053</v>
      </c>
      <c r="D965" s="376" t="str">
        <f>IFERROR(VLOOKUP(E:E,'Item Data Support Sheet'!A:O,7,0),"")</f>
        <v>CAP MOLDED</v>
      </c>
      <c r="E965" s="447" t="s">
        <v>2117</v>
      </c>
      <c r="F965" s="500"/>
      <c r="G965" s="497" t="s">
        <v>3579</v>
      </c>
      <c r="H965" s="602" t="str">
        <f>IFERROR(VLOOKUP(E:E,'Item Data Support Sheet'!A:O,2,0),"")</f>
        <v>CAP S TYPE MOLDED YELLOW</v>
      </c>
      <c r="I965" s="501" t="s">
        <v>3723</v>
      </c>
      <c r="J965" s="501" t="s">
        <v>2808</v>
      </c>
      <c r="K965" s="499">
        <v>4.0999999999999996</v>
      </c>
      <c r="L965" s="499">
        <v>2137</v>
      </c>
      <c r="M965" s="366">
        <v>521.21951219512198</v>
      </c>
      <c r="N965" s="367">
        <f t="shared" si="275"/>
        <v>2708</v>
      </c>
      <c r="O965" s="61">
        <v>2700</v>
      </c>
      <c r="P965" s="368">
        <v>0</v>
      </c>
      <c r="Q965" s="368">
        <v>0</v>
      </c>
      <c r="R965" s="494">
        <v>0</v>
      </c>
      <c r="S965" s="493">
        <v>0</v>
      </c>
      <c r="T965" s="494">
        <v>0</v>
      </c>
      <c r="U965" s="493">
        <v>8</v>
      </c>
      <c r="V965" s="502">
        <v>1</v>
      </c>
      <c r="W965" s="453">
        <f t="shared" ref="W965:W1028" si="277">IFERROR(O965/V965,0)</f>
        <v>2700</v>
      </c>
      <c r="X965" s="748">
        <f t="shared" ref="X965:X1028" si="278">O965/L965</f>
        <v>1.2634534394010295</v>
      </c>
      <c r="Y965" s="451" t="str">
        <f>IFERROR(VLOOKUP(E:E,'Item Data Support Sheet'!A:J,6,0),0)</f>
        <v>RM000112</v>
      </c>
      <c r="Z965" s="428">
        <f>IFERROR(VLOOKUP(E:E,'Item Data Support Sheet'!A:O,4,0),0)</f>
        <v>7.3</v>
      </c>
      <c r="AA965" s="428">
        <f t="shared" ref="AA965:AA1028" si="279">IFERROR(((N965)*(Z965/1000))+P965,0)</f>
        <v>19.7684</v>
      </c>
      <c r="AB965" s="429">
        <f t="shared" ref="AB965:AB1028" si="280">IFERROR((O965*(Z965/1000)/(AA965))," ")</f>
        <v>0.99704579025110784</v>
      </c>
      <c r="AC965" s="424">
        <f t="shared" ref="AC965:AC1028" si="281">IFERROR((T965)/((T965)+O965),0)</f>
        <v>0</v>
      </c>
      <c r="AD965" s="371">
        <f t="shared" ref="AD965:AD1028" si="282">IFERROR(Q965/(Q965+N965),0)</f>
        <v>0</v>
      </c>
      <c r="AE965" s="748">
        <f t="shared" ref="AE965:AE1028" si="283">(N965-T965)/N965</f>
        <v>1</v>
      </c>
      <c r="AF965" s="417">
        <f t="shared" ref="AF965:AF1028" si="284">BR965</f>
        <v>0.5</v>
      </c>
      <c r="AG965" s="416">
        <f t="shared" ref="AG965:AG1028" si="285">K965-AF965</f>
        <v>3.5999999999999996</v>
      </c>
      <c r="AH965" s="372">
        <f t="shared" ref="AH965:AH1028" si="286">IFERROR(AG965/K965," ")</f>
        <v>0.87804878048780488</v>
      </c>
      <c r="AI965" s="373">
        <f t="shared" ref="AI965:AI1028" si="287">IFERROR(O965/K965,0)</f>
        <v>658.53658536585374</v>
      </c>
      <c r="AJ965" s="418">
        <f>VLOOKUP(D965,'Standard Cycle time'!C:D,2,0)</f>
        <v>6</v>
      </c>
      <c r="AK965" s="418">
        <f t="shared" ref="AK965:AK1028" si="288">AG965*V965*3600/O965</f>
        <v>4.7999999999999989</v>
      </c>
      <c r="AL965" s="374">
        <f t="shared" ref="AL965:AL1028" si="289">AJ965/AK965</f>
        <v>1.2500000000000002</v>
      </c>
      <c r="AM965" s="372">
        <f t="shared" ref="AM965:AM1028" si="290">AE965*AL965*AH965</f>
        <v>1.0975609756097564</v>
      </c>
      <c r="AN965" s="799">
        <v>1.0975609756097564</v>
      </c>
      <c r="AO965" s="448"/>
      <c r="AP965" s="440">
        <v>0</v>
      </c>
      <c r="AQ965" s="440">
        <v>30</v>
      </c>
      <c r="AR965" s="440">
        <v>0</v>
      </c>
      <c r="AS965" s="440">
        <v>0</v>
      </c>
      <c r="AT965" s="440">
        <v>0</v>
      </c>
      <c r="AU965" s="440">
        <v>0</v>
      </c>
      <c r="AV965" s="440">
        <v>0</v>
      </c>
      <c r="AW965" s="440">
        <v>0</v>
      </c>
      <c r="AX965" s="440">
        <v>0</v>
      </c>
      <c r="AY965" s="440">
        <v>0</v>
      </c>
      <c r="AZ965" s="440">
        <v>0</v>
      </c>
      <c r="BA965" s="440">
        <v>0</v>
      </c>
      <c r="BB965" s="440">
        <v>0</v>
      </c>
      <c r="BC965" s="440">
        <v>0</v>
      </c>
      <c r="BD965" s="440">
        <v>0</v>
      </c>
      <c r="BE965" s="440">
        <v>0</v>
      </c>
      <c r="BF965" s="440">
        <v>0</v>
      </c>
      <c r="BG965" s="440">
        <v>0</v>
      </c>
      <c r="BH965" s="440">
        <v>0</v>
      </c>
      <c r="BI965" s="440">
        <v>0</v>
      </c>
      <c r="BJ965" s="440">
        <v>0</v>
      </c>
      <c r="BK965" s="440">
        <v>0</v>
      </c>
      <c r="BL965" s="440">
        <v>0</v>
      </c>
      <c r="BM965" s="440">
        <v>0</v>
      </c>
      <c r="BN965" s="440">
        <v>0</v>
      </c>
      <c r="BO965" s="440">
        <v>0</v>
      </c>
      <c r="BP965" s="440">
        <v>0</v>
      </c>
      <c r="BQ965" s="440">
        <v>0</v>
      </c>
      <c r="BR965" s="415">
        <v>0.5</v>
      </c>
      <c r="BS965" s="415">
        <v>0.5</v>
      </c>
      <c r="BT965" s="935"/>
      <c r="BU965" s="935"/>
      <c r="BV965" s="935"/>
      <c r="BW965" s="935"/>
      <c r="BX965" s="935"/>
      <c r="BY965" s="935"/>
      <c r="BZ965" s="935"/>
      <c r="CA965" s="935"/>
      <c r="CB965" s="935"/>
      <c r="CC965" s="935"/>
      <c r="CD965" s="935"/>
      <c r="CE965" s="935"/>
      <c r="CF965" s="935"/>
      <c r="CG965" s="935"/>
      <c r="CH965" s="935"/>
      <c r="CI965" s="935"/>
      <c r="CJ965" s="935"/>
      <c r="CK965" s="935"/>
      <c r="CL965" s="935"/>
      <c r="CM965" s="935"/>
      <c r="CN965" s="935"/>
      <c r="CO965" s="935"/>
      <c r="CP965" s="935"/>
      <c r="CQ965" s="935"/>
      <c r="CR965" s="935"/>
      <c r="CS965" s="935"/>
      <c r="CT965" s="935"/>
      <c r="CU965" s="935"/>
      <c r="CV965" s="935"/>
    </row>
    <row r="966" spans="1:100" s="441" customFormat="1">
      <c r="A966" s="375">
        <f t="shared" si="276"/>
        <v>10</v>
      </c>
      <c r="B966" s="862">
        <v>44488</v>
      </c>
      <c r="C966" s="493" t="s">
        <v>2053</v>
      </c>
      <c r="D966" s="376" t="str">
        <f>IFERROR(VLOOKUP(E:E,'Item Data Support Sheet'!A:O,7,0),"")</f>
        <v>NIPPLE MOLDED</v>
      </c>
      <c r="E966" s="447" t="s">
        <v>73</v>
      </c>
      <c r="F966" s="500" t="s">
        <v>1678</v>
      </c>
      <c r="G966" s="497" t="s">
        <v>1691</v>
      </c>
      <c r="H966" s="602" t="str">
        <f>IFERROR(VLOOKUP(E:E,'Item Data Support Sheet'!A:O,2,0),"")</f>
        <v>NIPPLE S TYPE M SIZE INJECTION</v>
      </c>
      <c r="I966" s="501" t="s">
        <v>3724</v>
      </c>
      <c r="J966" s="501" t="s">
        <v>2808</v>
      </c>
      <c r="K966" s="499">
        <v>8</v>
      </c>
      <c r="L966" s="499">
        <v>4815</v>
      </c>
      <c r="M966" s="366">
        <v>601.875</v>
      </c>
      <c r="N966" s="367">
        <f t="shared" si="275"/>
        <v>5138</v>
      </c>
      <c r="O966" s="61">
        <v>5000</v>
      </c>
      <c r="P966" s="368">
        <v>0</v>
      </c>
      <c r="Q966" s="368">
        <v>60</v>
      </c>
      <c r="R966" s="494">
        <v>0</v>
      </c>
      <c r="S966" s="493">
        <v>0</v>
      </c>
      <c r="T966" s="494">
        <v>70</v>
      </c>
      <c r="U966" s="493">
        <v>8</v>
      </c>
      <c r="V966" s="502">
        <v>1</v>
      </c>
      <c r="W966" s="453">
        <f t="shared" si="277"/>
        <v>5000</v>
      </c>
      <c r="X966" s="748">
        <f t="shared" si="278"/>
        <v>1.0384215991692627</v>
      </c>
      <c r="Y966" s="451" t="str">
        <f>IFERROR(VLOOKUP(E:E,'Item Data Support Sheet'!A:J,6,0),0)</f>
        <v>Silicon</v>
      </c>
      <c r="Z966" s="428">
        <f>IFERROR(VLOOKUP(E:E,'Item Data Support Sheet'!A:O,4,0),0)</f>
        <v>6.8</v>
      </c>
      <c r="AA966" s="428">
        <f t="shared" si="279"/>
        <v>34.938400000000001</v>
      </c>
      <c r="AB966" s="429">
        <f t="shared" si="280"/>
        <v>0.97314130011677691</v>
      </c>
      <c r="AC966" s="424">
        <f t="shared" si="281"/>
        <v>1.3806706114398421E-2</v>
      </c>
      <c r="AD966" s="371">
        <f t="shared" si="282"/>
        <v>1.1542901115813775E-2</v>
      </c>
      <c r="AE966" s="748">
        <f t="shared" si="283"/>
        <v>0.98637602179836514</v>
      </c>
      <c r="AF966" s="417">
        <f t="shared" si="284"/>
        <v>0.5</v>
      </c>
      <c r="AG966" s="416">
        <f t="shared" si="285"/>
        <v>7.5</v>
      </c>
      <c r="AH966" s="372">
        <f t="shared" si="286"/>
        <v>0.9375</v>
      </c>
      <c r="AI966" s="373">
        <f t="shared" si="287"/>
        <v>625</v>
      </c>
      <c r="AJ966" s="418">
        <f>VLOOKUP(D966,'Standard Cycle time'!C:D,2,0)</f>
        <v>5.25</v>
      </c>
      <c r="AK966" s="418">
        <f t="shared" si="288"/>
        <v>5.4</v>
      </c>
      <c r="AL966" s="374">
        <f t="shared" si="289"/>
        <v>0.97222222222222221</v>
      </c>
      <c r="AM966" s="372">
        <f t="shared" si="290"/>
        <v>0.89904064486830149</v>
      </c>
      <c r="AN966" s="799">
        <v>0.89904064486830149</v>
      </c>
      <c r="AO966" s="448"/>
      <c r="AP966" s="440">
        <v>0</v>
      </c>
      <c r="AQ966" s="440">
        <v>0</v>
      </c>
      <c r="AR966" s="440">
        <v>0</v>
      </c>
      <c r="AS966" s="440">
        <v>0</v>
      </c>
      <c r="AT966" s="440">
        <v>0</v>
      </c>
      <c r="AU966" s="440">
        <v>30</v>
      </c>
      <c r="AV966" s="440">
        <v>0</v>
      </c>
      <c r="AW966" s="440">
        <v>0</v>
      </c>
      <c r="AX966" s="440">
        <v>0</v>
      </c>
      <c r="AY966" s="440">
        <v>0</v>
      </c>
      <c r="AZ966" s="440">
        <v>0</v>
      </c>
      <c r="BA966" s="440">
        <v>0</v>
      </c>
      <c r="BB966" s="440">
        <v>0</v>
      </c>
      <c r="BC966" s="440">
        <v>0</v>
      </c>
      <c r="BD966" s="440">
        <v>0</v>
      </c>
      <c r="BE966" s="440">
        <v>0</v>
      </c>
      <c r="BF966" s="440">
        <v>0</v>
      </c>
      <c r="BG966" s="440">
        <v>0</v>
      </c>
      <c r="BH966" s="440">
        <v>0</v>
      </c>
      <c r="BI966" s="440">
        <v>0</v>
      </c>
      <c r="BJ966" s="440">
        <v>0</v>
      </c>
      <c r="BK966" s="440">
        <v>0</v>
      </c>
      <c r="BL966" s="440">
        <v>0</v>
      </c>
      <c r="BM966" s="440">
        <v>0</v>
      </c>
      <c r="BN966" s="440">
        <v>0</v>
      </c>
      <c r="BO966" s="440">
        <v>0</v>
      </c>
      <c r="BP966" s="440">
        <v>0</v>
      </c>
      <c r="BQ966" s="440">
        <v>0</v>
      </c>
      <c r="BR966" s="415">
        <v>0.5</v>
      </c>
      <c r="BS966" s="415">
        <v>0.5</v>
      </c>
      <c r="BT966" s="935"/>
      <c r="BU966" s="935"/>
      <c r="BV966" s="935"/>
      <c r="BW966" s="935"/>
      <c r="BX966" s="935"/>
      <c r="BY966" s="935"/>
      <c r="BZ966" s="935"/>
      <c r="CA966" s="935"/>
      <c r="CB966" s="935"/>
      <c r="CC966" s="935"/>
      <c r="CD966" s="935"/>
      <c r="CE966" s="935"/>
      <c r="CF966" s="935"/>
      <c r="CG966" s="935"/>
      <c r="CH966" s="935"/>
      <c r="CI966" s="935"/>
      <c r="CJ966" s="935"/>
      <c r="CK966" s="935"/>
      <c r="CL966" s="935"/>
      <c r="CM966" s="935"/>
      <c r="CN966" s="935"/>
      <c r="CO966" s="935"/>
      <c r="CP966" s="935"/>
      <c r="CQ966" s="935"/>
      <c r="CR966" s="935"/>
      <c r="CS966" s="935"/>
      <c r="CT966" s="935"/>
      <c r="CU966" s="935"/>
      <c r="CV966" s="935"/>
    </row>
    <row r="967" spans="1:100" s="441" customFormat="1">
      <c r="A967" s="375">
        <f t="shared" si="276"/>
        <v>10</v>
      </c>
      <c r="B967" s="862">
        <v>44489</v>
      </c>
      <c r="C967" s="493" t="s">
        <v>1980</v>
      </c>
      <c r="D967" s="376" t="str">
        <f>IFERROR(VLOOKUP(E:E,'Item Data Support Sheet'!A:O,7,0),"")</f>
        <v>NIPPLE PUNCH</v>
      </c>
      <c r="E967" s="447" t="s">
        <v>81</v>
      </c>
      <c r="F967" s="500"/>
      <c r="G967" s="497" t="s">
        <v>1692</v>
      </c>
      <c r="H967" s="602" t="str">
        <f>IFERROR(VLOOKUP(E:E,'Item Data Support Sheet'!A:O,2,0),"")</f>
        <v>NIPPLE S TYPE M SIZE PUNCHED</v>
      </c>
      <c r="I967" s="501" t="s">
        <v>3725</v>
      </c>
      <c r="J967" s="501" t="s">
        <v>2826</v>
      </c>
      <c r="K967" s="499">
        <v>8</v>
      </c>
      <c r="L967" s="499">
        <v>7000</v>
      </c>
      <c r="M967" s="366">
        <v>875</v>
      </c>
      <c r="N967" s="367">
        <f t="shared" si="275"/>
        <v>6200</v>
      </c>
      <c r="O967" s="61">
        <v>6200</v>
      </c>
      <c r="P967" s="368">
        <v>0</v>
      </c>
      <c r="Q967" s="368">
        <v>0</v>
      </c>
      <c r="R967" s="494">
        <v>0</v>
      </c>
      <c r="S967" s="493">
        <v>0</v>
      </c>
      <c r="T967" s="494">
        <v>0</v>
      </c>
      <c r="U967" s="493">
        <v>0</v>
      </c>
      <c r="V967" s="502">
        <v>1</v>
      </c>
      <c r="W967" s="453">
        <f t="shared" si="277"/>
        <v>6200</v>
      </c>
      <c r="X967" s="748">
        <f t="shared" si="278"/>
        <v>0.88571428571428568</v>
      </c>
      <c r="Y967" s="451" t="str">
        <f>IFERROR(VLOOKUP(E:E,'Item Data Support Sheet'!A:J,6,0),0)</f>
        <v>FO016</v>
      </c>
      <c r="Z967" s="428">
        <f>IFERROR(VLOOKUP(E:E,'Item Data Support Sheet'!A:O,4,0),0)</f>
        <v>0</v>
      </c>
      <c r="AA967" s="428">
        <f t="shared" si="279"/>
        <v>0</v>
      </c>
      <c r="AB967" s="429" t="str">
        <f t="shared" si="280"/>
        <v xml:space="preserve"> </v>
      </c>
      <c r="AC967" s="424">
        <f t="shared" si="281"/>
        <v>0</v>
      </c>
      <c r="AD967" s="371">
        <f t="shared" si="282"/>
        <v>0</v>
      </c>
      <c r="AE967" s="748">
        <f t="shared" si="283"/>
        <v>1</v>
      </c>
      <c r="AF967" s="417">
        <f t="shared" si="284"/>
        <v>1.1666666666666667</v>
      </c>
      <c r="AG967" s="416">
        <f t="shared" si="285"/>
        <v>6.833333333333333</v>
      </c>
      <c r="AH967" s="372">
        <f t="shared" si="286"/>
        <v>0.85416666666666663</v>
      </c>
      <c r="AI967" s="373">
        <f t="shared" si="287"/>
        <v>775</v>
      </c>
      <c r="AJ967" s="418">
        <f>VLOOKUP(D967,'Standard Cycle time'!C:D,2,0)</f>
        <v>3.5</v>
      </c>
      <c r="AK967" s="418">
        <f t="shared" si="288"/>
        <v>3.967741935483871</v>
      </c>
      <c r="AL967" s="374">
        <f t="shared" si="289"/>
        <v>0.88211382113821135</v>
      </c>
      <c r="AM967" s="372">
        <f t="shared" si="290"/>
        <v>0.75347222222222221</v>
      </c>
      <c r="AN967" s="799">
        <v>0.75347222222222221</v>
      </c>
      <c r="AO967" s="448" t="s">
        <v>3726</v>
      </c>
      <c r="AP967" s="440">
        <v>40</v>
      </c>
      <c r="AQ967" s="440">
        <v>0</v>
      </c>
      <c r="AR967" s="440">
        <v>0</v>
      </c>
      <c r="AS967" s="440">
        <v>0</v>
      </c>
      <c r="AT967" s="440">
        <v>0</v>
      </c>
      <c r="AU967" s="440">
        <v>0</v>
      </c>
      <c r="AV967" s="440">
        <v>30</v>
      </c>
      <c r="AW967" s="440">
        <v>0</v>
      </c>
      <c r="AX967" s="440">
        <v>0</v>
      </c>
      <c r="AY967" s="440">
        <v>0</v>
      </c>
      <c r="AZ967" s="440">
        <v>0</v>
      </c>
      <c r="BA967" s="440">
        <v>0</v>
      </c>
      <c r="BB967" s="440">
        <v>0</v>
      </c>
      <c r="BC967" s="440">
        <v>0</v>
      </c>
      <c r="BD967" s="440">
        <v>0</v>
      </c>
      <c r="BE967" s="440">
        <v>0</v>
      </c>
      <c r="BF967" s="440">
        <v>0</v>
      </c>
      <c r="BG967" s="440">
        <v>0</v>
      </c>
      <c r="BH967" s="440">
        <v>0</v>
      </c>
      <c r="BI967" s="440">
        <v>0</v>
      </c>
      <c r="BJ967" s="440">
        <v>0</v>
      </c>
      <c r="BK967" s="440">
        <v>0</v>
      </c>
      <c r="BL967" s="440">
        <v>0</v>
      </c>
      <c r="BM967" s="440">
        <v>0</v>
      </c>
      <c r="BN967" s="440">
        <v>0</v>
      </c>
      <c r="BO967" s="440">
        <v>0</v>
      </c>
      <c r="BP967" s="440">
        <v>0</v>
      </c>
      <c r="BQ967" s="440">
        <v>0</v>
      </c>
      <c r="BR967" s="415">
        <v>1.1666666666666667</v>
      </c>
      <c r="BS967" s="415">
        <v>1.1666666666666667</v>
      </c>
      <c r="BT967" s="935"/>
      <c r="BU967" s="935"/>
      <c r="BV967" s="935"/>
      <c r="BW967" s="935"/>
      <c r="BX967" s="935"/>
      <c r="BY967" s="935"/>
      <c r="BZ967" s="935"/>
      <c r="CA967" s="935"/>
      <c r="CB967" s="935"/>
      <c r="CC967" s="935"/>
      <c r="CD967" s="935"/>
      <c r="CE967" s="935"/>
      <c r="CF967" s="935"/>
      <c r="CG967" s="935"/>
      <c r="CH967" s="935"/>
      <c r="CI967" s="935"/>
      <c r="CJ967" s="935"/>
      <c r="CK967" s="935"/>
      <c r="CL967" s="935"/>
      <c r="CM967" s="935"/>
      <c r="CN967" s="935"/>
      <c r="CO967" s="935"/>
      <c r="CP967" s="935"/>
      <c r="CQ967" s="935"/>
      <c r="CR967" s="935"/>
      <c r="CS967" s="935"/>
      <c r="CT967" s="935"/>
      <c r="CU967" s="935"/>
      <c r="CV967" s="935"/>
    </row>
    <row r="968" spans="1:100" s="441" customFormat="1">
      <c r="A968" s="375">
        <f t="shared" si="276"/>
        <v>10</v>
      </c>
      <c r="B968" s="862">
        <v>44489</v>
      </c>
      <c r="C968" s="493" t="s">
        <v>1980</v>
      </c>
      <c r="D968" s="376" t="str">
        <f>IFERROR(VLOOKUP(E:E,'Item Data Support Sheet'!A:O,7,0),"")</f>
        <v>NIPPLE LASER MARKING</v>
      </c>
      <c r="E968" s="447" t="s">
        <v>1815</v>
      </c>
      <c r="F968" s="500"/>
      <c r="G968" s="497" t="s">
        <v>1812</v>
      </c>
      <c r="H968" s="602" t="str">
        <f>IFERROR(VLOOKUP(E:E,'Item Data Support Sheet'!A:O,2,0),"")</f>
        <v>NIPPLE S TYPE M SIZE PUNCHED LASER MARKED</v>
      </c>
      <c r="I968" s="501" t="s">
        <v>3727</v>
      </c>
      <c r="J968" s="501" t="s">
        <v>2826</v>
      </c>
      <c r="K968" s="499">
        <v>8</v>
      </c>
      <c r="L968" s="499">
        <v>7000</v>
      </c>
      <c r="M968" s="366">
        <v>875</v>
      </c>
      <c r="N968" s="367">
        <f t="shared" si="275"/>
        <v>5175</v>
      </c>
      <c r="O968" s="61">
        <v>5175</v>
      </c>
      <c r="P968" s="368">
        <v>0</v>
      </c>
      <c r="Q968" s="368">
        <v>0</v>
      </c>
      <c r="R968" s="494">
        <v>0</v>
      </c>
      <c r="S968" s="493">
        <v>0</v>
      </c>
      <c r="T968" s="494">
        <v>0</v>
      </c>
      <c r="U968" s="493">
        <v>0</v>
      </c>
      <c r="V968" s="502">
        <v>1</v>
      </c>
      <c r="W968" s="453">
        <f t="shared" si="277"/>
        <v>5175</v>
      </c>
      <c r="X968" s="748">
        <f t="shared" si="278"/>
        <v>0.73928571428571432</v>
      </c>
      <c r="Y968" s="451" t="str">
        <f>IFERROR(VLOOKUP(E:E,'Item Data Support Sheet'!A:J,6,0),0)</f>
        <v>FO020</v>
      </c>
      <c r="Z968" s="428">
        <f>IFERROR(VLOOKUP(E:E,'Item Data Support Sheet'!A:O,4,0),0)</f>
        <v>0</v>
      </c>
      <c r="AA968" s="428">
        <f t="shared" si="279"/>
        <v>0</v>
      </c>
      <c r="AB968" s="429" t="str">
        <f t="shared" si="280"/>
        <v xml:space="preserve"> </v>
      </c>
      <c r="AC968" s="424">
        <f t="shared" si="281"/>
        <v>0</v>
      </c>
      <c r="AD968" s="371">
        <f t="shared" si="282"/>
        <v>0</v>
      </c>
      <c r="AE968" s="748">
        <f t="shared" si="283"/>
        <v>1</v>
      </c>
      <c r="AF968" s="417">
        <f t="shared" si="284"/>
        <v>2.1666666666666665</v>
      </c>
      <c r="AG968" s="416">
        <f t="shared" si="285"/>
        <v>5.8333333333333339</v>
      </c>
      <c r="AH968" s="372">
        <f t="shared" si="286"/>
        <v>0.72916666666666674</v>
      </c>
      <c r="AI968" s="373">
        <f t="shared" si="287"/>
        <v>646.875</v>
      </c>
      <c r="AJ968" s="418">
        <f>VLOOKUP(D968,'Standard Cycle time'!C:D,2,0)</f>
        <v>3.5</v>
      </c>
      <c r="AK968" s="418">
        <f t="shared" si="288"/>
        <v>4.0579710144927548</v>
      </c>
      <c r="AL968" s="374">
        <f t="shared" si="289"/>
        <v>0.86249999999999971</v>
      </c>
      <c r="AM968" s="372">
        <f t="shared" si="290"/>
        <v>0.62890624999999989</v>
      </c>
      <c r="AN968" s="799">
        <v>0.62890624999999989</v>
      </c>
      <c r="AO968" s="448" t="s">
        <v>3685</v>
      </c>
      <c r="AP968" s="440">
        <v>40</v>
      </c>
      <c r="AQ968" s="440">
        <v>0</v>
      </c>
      <c r="AR968" s="440">
        <v>0</v>
      </c>
      <c r="AS968" s="440">
        <v>90</v>
      </c>
      <c r="AT968" s="440">
        <v>0</v>
      </c>
      <c r="AU968" s="440">
        <v>0</v>
      </c>
      <c r="AV968" s="440">
        <v>0</v>
      </c>
      <c r="AW968" s="440">
        <v>0</v>
      </c>
      <c r="AX968" s="440">
        <v>0</v>
      </c>
      <c r="AY968" s="440">
        <v>0</v>
      </c>
      <c r="AZ968" s="440">
        <v>0</v>
      </c>
      <c r="BA968" s="440">
        <v>0</v>
      </c>
      <c r="BB968" s="440">
        <v>0</v>
      </c>
      <c r="BC968" s="440">
        <v>0</v>
      </c>
      <c r="BD968" s="440">
        <v>0</v>
      </c>
      <c r="BE968" s="440">
        <v>0</v>
      </c>
      <c r="BF968" s="440">
        <v>0</v>
      </c>
      <c r="BG968" s="440">
        <v>0</v>
      </c>
      <c r="BH968" s="440">
        <v>0</v>
      </c>
      <c r="BI968" s="440">
        <v>0</v>
      </c>
      <c r="BJ968" s="440">
        <v>0</v>
      </c>
      <c r="BK968" s="440">
        <v>0</v>
      </c>
      <c r="BL968" s="440">
        <v>0</v>
      </c>
      <c r="BM968" s="440">
        <v>0</v>
      </c>
      <c r="BN968" s="440">
        <v>0</v>
      </c>
      <c r="BO968" s="440">
        <v>0</v>
      </c>
      <c r="BP968" s="440">
        <v>0</v>
      </c>
      <c r="BQ968" s="440">
        <v>0</v>
      </c>
      <c r="BR968" s="415">
        <v>2.1666666666666665</v>
      </c>
      <c r="BS968" s="415">
        <v>2.1666666666666665</v>
      </c>
      <c r="BT968" s="935"/>
      <c r="BU968" s="935"/>
      <c r="BV968" s="935"/>
      <c r="BW968" s="935"/>
      <c r="BX968" s="935"/>
      <c r="BY968" s="935"/>
      <c r="BZ968" s="935"/>
      <c r="CA968" s="935"/>
      <c r="CB968" s="935"/>
      <c r="CC968" s="935"/>
      <c r="CD968" s="935"/>
      <c r="CE968" s="935"/>
      <c r="CF968" s="935"/>
      <c r="CG968" s="935"/>
      <c r="CH968" s="935"/>
      <c r="CI968" s="935"/>
      <c r="CJ968" s="935"/>
      <c r="CK968" s="935"/>
      <c r="CL968" s="935"/>
      <c r="CM968" s="935"/>
      <c r="CN968" s="935"/>
      <c r="CO968" s="935"/>
      <c r="CP968" s="935"/>
      <c r="CQ968" s="935"/>
      <c r="CR968" s="935"/>
      <c r="CS968" s="935"/>
      <c r="CT968" s="935"/>
      <c r="CU968" s="935"/>
      <c r="CV968" s="935"/>
    </row>
    <row r="969" spans="1:100" s="441" customFormat="1">
      <c r="A969" s="375">
        <f t="shared" si="276"/>
        <v>10</v>
      </c>
      <c r="B969" s="862">
        <v>44489</v>
      </c>
      <c r="C969" s="493" t="s">
        <v>1980</v>
      </c>
      <c r="D969" s="376" t="str">
        <f>IFERROR(VLOOKUP(E:E,'Item Data Support Sheet'!A:O,7,0),"")</f>
        <v>CAP MOLDED</v>
      </c>
      <c r="E969" s="447" t="s">
        <v>2117</v>
      </c>
      <c r="F969" s="500"/>
      <c r="G969" s="497" t="s">
        <v>3579</v>
      </c>
      <c r="H969" s="602" t="str">
        <f>IFERROR(VLOOKUP(E:E,'Item Data Support Sheet'!A:O,2,0),"")</f>
        <v>CAP S TYPE MOLDED YELLOW</v>
      </c>
      <c r="I969" s="501" t="s">
        <v>3728</v>
      </c>
      <c r="J969" s="501" t="s">
        <v>2826</v>
      </c>
      <c r="K969" s="499">
        <v>8</v>
      </c>
      <c r="L969" s="499">
        <v>7000</v>
      </c>
      <c r="M969" s="366">
        <v>875</v>
      </c>
      <c r="N969" s="367">
        <f t="shared" si="275"/>
        <v>4904</v>
      </c>
      <c r="O969" s="61">
        <v>4890</v>
      </c>
      <c r="P969" s="368">
        <v>0</v>
      </c>
      <c r="Q969" s="368">
        <v>0</v>
      </c>
      <c r="R969" s="494">
        <v>0</v>
      </c>
      <c r="S969" s="493">
        <v>0</v>
      </c>
      <c r="T969" s="494">
        <v>6</v>
      </c>
      <c r="U969" s="493">
        <v>8</v>
      </c>
      <c r="V969" s="502">
        <v>1</v>
      </c>
      <c r="W969" s="453">
        <f t="shared" si="277"/>
        <v>4890</v>
      </c>
      <c r="X969" s="748">
        <f t="shared" si="278"/>
        <v>0.69857142857142862</v>
      </c>
      <c r="Y969" s="451" t="str">
        <f>IFERROR(VLOOKUP(E:E,'Item Data Support Sheet'!A:J,6,0),0)</f>
        <v>RM000112</v>
      </c>
      <c r="Z969" s="428">
        <f>IFERROR(VLOOKUP(E:E,'Item Data Support Sheet'!A:O,4,0),0)</f>
        <v>7.3</v>
      </c>
      <c r="AA969" s="428">
        <f t="shared" si="279"/>
        <v>35.799199999999999</v>
      </c>
      <c r="AB969" s="429">
        <f t="shared" si="280"/>
        <v>0.99714518760195769</v>
      </c>
      <c r="AC969" s="424">
        <f t="shared" si="281"/>
        <v>1.2254901960784314E-3</v>
      </c>
      <c r="AD969" s="371">
        <f t="shared" si="282"/>
        <v>0</v>
      </c>
      <c r="AE969" s="748">
        <f t="shared" si="283"/>
        <v>0.99877650897226755</v>
      </c>
      <c r="AF969" s="417">
        <f t="shared" si="284"/>
        <v>0</v>
      </c>
      <c r="AG969" s="416">
        <f t="shared" si="285"/>
        <v>8</v>
      </c>
      <c r="AH969" s="372">
        <f t="shared" si="286"/>
        <v>1</v>
      </c>
      <c r="AI969" s="373">
        <f t="shared" si="287"/>
        <v>611.25</v>
      </c>
      <c r="AJ969" s="418">
        <f>VLOOKUP(D969,'Standard Cycle time'!C:D,2,0)</f>
        <v>6</v>
      </c>
      <c r="AK969" s="418">
        <f t="shared" si="288"/>
        <v>5.889570552147239</v>
      </c>
      <c r="AL969" s="374">
        <f t="shared" si="289"/>
        <v>1.01875</v>
      </c>
      <c r="AM969" s="372">
        <f t="shared" si="290"/>
        <v>1.0175035685154976</v>
      </c>
      <c r="AN969" s="799">
        <v>1.0175035685154976</v>
      </c>
      <c r="AO969" s="448"/>
      <c r="AP969" s="440">
        <v>0</v>
      </c>
      <c r="AQ969" s="440">
        <v>0</v>
      </c>
      <c r="AR969" s="440">
        <v>0</v>
      </c>
      <c r="AS969" s="440">
        <v>0</v>
      </c>
      <c r="AT969" s="440">
        <v>0</v>
      </c>
      <c r="AU969" s="440">
        <v>0</v>
      </c>
      <c r="AV969" s="440">
        <v>0</v>
      </c>
      <c r="AW969" s="440">
        <v>0</v>
      </c>
      <c r="AX969" s="440">
        <v>0</v>
      </c>
      <c r="AY969" s="440">
        <v>0</v>
      </c>
      <c r="AZ969" s="440">
        <v>0</v>
      </c>
      <c r="BA969" s="440">
        <v>0</v>
      </c>
      <c r="BB969" s="440">
        <v>0</v>
      </c>
      <c r="BC969" s="440">
        <v>0</v>
      </c>
      <c r="BD969" s="440">
        <v>0</v>
      </c>
      <c r="BE969" s="440">
        <v>0</v>
      </c>
      <c r="BF969" s="440">
        <v>0</v>
      </c>
      <c r="BG969" s="440">
        <v>0</v>
      </c>
      <c r="BH969" s="440">
        <v>0</v>
      </c>
      <c r="BI969" s="440">
        <v>0</v>
      </c>
      <c r="BJ969" s="440">
        <v>0</v>
      </c>
      <c r="BK969" s="440">
        <v>0</v>
      </c>
      <c r="BL969" s="440">
        <v>0</v>
      </c>
      <c r="BM969" s="440">
        <v>0</v>
      </c>
      <c r="BN969" s="440">
        <v>0</v>
      </c>
      <c r="BO969" s="440">
        <v>0</v>
      </c>
      <c r="BP969" s="440">
        <v>0</v>
      </c>
      <c r="BQ969" s="440">
        <v>0</v>
      </c>
      <c r="BR969" s="415">
        <v>0</v>
      </c>
      <c r="BS969" s="415">
        <v>0</v>
      </c>
      <c r="BT969" s="935"/>
      <c r="BU969" s="935"/>
      <c r="BV969" s="935"/>
      <c r="BW969" s="935"/>
      <c r="BX969" s="935"/>
      <c r="BY969" s="935"/>
      <c r="BZ969" s="935"/>
      <c r="CA969" s="935"/>
      <c r="CB969" s="935"/>
      <c r="CC969" s="935"/>
      <c r="CD969" s="935"/>
      <c r="CE969" s="935"/>
      <c r="CF969" s="935"/>
      <c r="CG969" s="935"/>
      <c r="CH969" s="935"/>
      <c r="CI969" s="935"/>
      <c r="CJ969" s="935"/>
      <c r="CK969" s="935"/>
      <c r="CL969" s="935"/>
      <c r="CM969" s="935"/>
      <c r="CN969" s="935"/>
      <c r="CO969" s="935"/>
      <c r="CP969" s="935"/>
      <c r="CQ969" s="935"/>
      <c r="CR969" s="935"/>
      <c r="CS969" s="935"/>
      <c r="CT969" s="935"/>
      <c r="CU969" s="935"/>
      <c r="CV969" s="935"/>
    </row>
    <row r="970" spans="1:100" s="441" customFormat="1">
      <c r="A970" s="375">
        <f t="shared" si="276"/>
        <v>10</v>
      </c>
      <c r="B970" s="862">
        <v>44489</v>
      </c>
      <c r="C970" s="493" t="s">
        <v>1980</v>
      </c>
      <c r="D970" s="376" t="str">
        <f>IFERROR(VLOOKUP(E:E,'Item Data Support Sheet'!A:O,7,0),"")</f>
        <v>NIPPLE MOLDED</v>
      </c>
      <c r="E970" s="447" t="s">
        <v>73</v>
      </c>
      <c r="F970" s="500" t="s">
        <v>1678</v>
      </c>
      <c r="G970" s="497" t="s">
        <v>1691</v>
      </c>
      <c r="H970" s="602" t="str">
        <f>IFERROR(VLOOKUP(E:E,'Item Data Support Sheet'!A:O,2,0),"")</f>
        <v>NIPPLE S TYPE M SIZE INJECTION</v>
      </c>
      <c r="I970" s="501" t="s">
        <v>3729</v>
      </c>
      <c r="J970" s="501" t="s">
        <v>2826</v>
      </c>
      <c r="K970" s="499">
        <v>8</v>
      </c>
      <c r="L970" s="499">
        <v>4815</v>
      </c>
      <c r="M970" s="366">
        <v>601.875</v>
      </c>
      <c r="N970" s="367">
        <f t="shared" si="275"/>
        <v>3578</v>
      </c>
      <c r="O970" s="61">
        <v>3250</v>
      </c>
      <c r="P970" s="368">
        <v>0</v>
      </c>
      <c r="Q970" s="368">
        <v>255</v>
      </c>
      <c r="R970" s="494">
        <v>0</v>
      </c>
      <c r="S970" s="493">
        <v>0</v>
      </c>
      <c r="T970" s="494">
        <v>57</v>
      </c>
      <c r="U970" s="493">
        <v>16</v>
      </c>
      <c r="V970" s="502">
        <v>1</v>
      </c>
      <c r="W970" s="453">
        <f t="shared" si="277"/>
        <v>3250</v>
      </c>
      <c r="X970" s="748">
        <f t="shared" si="278"/>
        <v>0.67497403946002077</v>
      </c>
      <c r="Y970" s="451" t="str">
        <f>IFERROR(VLOOKUP(E:E,'Item Data Support Sheet'!A:J,6,0),0)</f>
        <v>Silicon</v>
      </c>
      <c r="Z970" s="428">
        <f>IFERROR(VLOOKUP(E:E,'Item Data Support Sheet'!A:O,4,0),0)</f>
        <v>6.8</v>
      </c>
      <c r="AA970" s="428">
        <f t="shared" si="279"/>
        <v>24.330399999999997</v>
      </c>
      <c r="AB970" s="429">
        <f t="shared" si="280"/>
        <v>0.90832867523756289</v>
      </c>
      <c r="AC970" s="424">
        <f t="shared" si="281"/>
        <v>1.7236165709101903E-2</v>
      </c>
      <c r="AD970" s="371">
        <f t="shared" si="282"/>
        <v>6.6527524132533267E-2</v>
      </c>
      <c r="AE970" s="748">
        <f t="shared" si="283"/>
        <v>0.98406931246506424</v>
      </c>
      <c r="AF970" s="417">
        <f t="shared" si="284"/>
        <v>2.8333333333333335</v>
      </c>
      <c r="AG970" s="416">
        <f t="shared" si="285"/>
        <v>5.1666666666666661</v>
      </c>
      <c r="AH970" s="372">
        <f t="shared" si="286"/>
        <v>0.64583333333333326</v>
      </c>
      <c r="AI970" s="373">
        <f t="shared" si="287"/>
        <v>406.25</v>
      </c>
      <c r="AJ970" s="418">
        <f>VLOOKUP(D970,'Standard Cycle time'!C:D,2,0)</f>
        <v>5.25</v>
      </c>
      <c r="AK970" s="418">
        <f t="shared" si="288"/>
        <v>5.7230769230769223</v>
      </c>
      <c r="AL970" s="374">
        <f t="shared" si="289"/>
        <v>0.91733870967741948</v>
      </c>
      <c r="AM970" s="372">
        <f t="shared" si="290"/>
        <v>0.58300981402552643</v>
      </c>
      <c r="AN970" s="799">
        <v>0.58300981402552643</v>
      </c>
      <c r="AO970" s="448" t="s">
        <v>3730</v>
      </c>
      <c r="AP970" s="440">
        <v>0</v>
      </c>
      <c r="AQ970" s="440">
        <v>0</v>
      </c>
      <c r="AR970" s="440">
        <v>0</v>
      </c>
      <c r="AS970" s="440">
        <v>0</v>
      </c>
      <c r="AT970" s="440">
        <v>0</v>
      </c>
      <c r="AU970" s="440">
        <v>80</v>
      </c>
      <c r="AV970" s="440">
        <v>0</v>
      </c>
      <c r="AW970" s="440">
        <v>90</v>
      </c>
      <c r="AX970" s="440">
        <v>0</v>
      </c>
      <c r="AY970" s="440">
        <v>0</v>
      </c>
      <c r="AZ970" s="440">
        <v>0</v>
      </c>
      <c r="BA970" s="440">
        <v>0</v>
      </c>
      <c r="BB970" s="440">
        <v>0</v>
      </c>
      <c r="BC970" s="440">
        <v>0</v>
      </c>
      <c r="BD970" s="440">
        <v>0</v>
      </c>
      <c r="BE970" s="440">
        <v>0</v>
      </c>
      <c r="BF970" s="440">
        <v>0</v>
      </c>
      <c r="BG970" s="440">
        <v>0</v>
      </c>
      <c r="BH970" s="440">
        <v>0</v>
      </c>
      <c r="BI970" s="440">
        <v>0</v>
      </c>
      <c r="BJ970" s="440">
        <v>0</v>
      </c>
      <c r="BK970" s="440">
        <v>0</v>
      </c>
      <c r="BL970" s="440">
        <v>0</v>
      </c>
      <c r="BM970" s="440">
        <v>0</v>
      </c>
      <c r="BN970" s="440">
        <v>0</v>
      </c>
      <c r="BO970" s="440">
        <v>0</v>
      </c>
      <c r="BP970" s="440">
        <v>0</v>
      </c>
      <c r="BQ970" s="440">
        <v>0</v>
      </c>
      <c r="BR970" s="415">
        <v>2.8333333333333335</v>
      </c>
      <c r="BS970" s="415">
        <v>2.8333333333333335</v>
      </c>
      <c r="BT970" s="935"/>
      <c r="BU970" s="935"/>
      <c r="BV970" s="935"/>
      <c r="BW970" s="935"/>
      <c r="BX970" s="935"/>
      <c r="BY970" s="935"/>
      <c r="BZ970" s="935"/>
      <c r="CA970" s="935"/>
      <c r="CB970" s="935"/>
      <c r="CC970" s="935"/>
      <c r="CD970" s="935"/>
      <c r="CE970" s="935"/>
      <c r="CF970" s="935"/>
      <c r="CG970" s="935"/>
      <c r="CH970" s="935"/>
      <c r="CI970" s="935"/>
      <c r="CJ970" s="935"/>
      <c r="CK970" s="935"/>
      <c r="CL970" s="935"/>
      <c r="CM970" s="935"/>
      <c r="CN970" s="935"/>
      <c r="CO970" s="935"/>
      <c r="CP970" s="935"/>
      <c r="CQ970" s="935"/>
      <c r="CR970" s="935"/>
      <c r="CS970" s="935"/>
      <c r="CT970" s="935"/>
      <c r="CU970" s="935"/>
      <c r="CV970" s="935"/>
    </row>
    <row r="971" spans="1:100" s="441" customFormat="1">
      <c r="A971" s="375">
        <f t="shared" si="276"/>
        <v>10</v>
      </c>
      <c r="B971" s="862">
        <v>44489</v>
      </c>
      <c r="C971" s="493" t="s">
        <v>1980</v>
      </c>
      <c r="D971" s="376" t="str">
        <f>IFERROR(VLOOKUP(E:E,'Item Data Support Sheet'!A:O,7,0),"")</f>
        <v>BOTTLE PRINTED</v>
      </c>
      <c r="E971" s="447" t="s">
        <v>64</v>
      </c>
      <c r="F971" s="500"/>
      <c r="G971" s="497" t="s">
        <v>1698</v>
      </c>
      <c r="H971" s="602" t="str">
        <f>IFERROR(VLOOKUP(E:E,'Item Data Support Sheet'!A:O,2,0),"")</f>
        <v>KPP 240 ML BOTTLE PRINTED</v>
      </c>
      <c r="I971" s="501" t="s">
        <v>3731</v>
      </c>
      <c r="J971" s="501" t="s">
        <v>2813</v>
      </c>
      <c r="K971" s="499">
        <v>4</v>
      </c>
      <c r="L971" s="499">
        <v>2560</v>
      </c>
      <c r="M971" s="366">
        <v>640</v>
      </c>
      <c r="N971" s="367">
        <f t="shared" si="275"/>
        <v>1656</v>
      </c>
      <c r="O971" s="61">
        <v>1626</v>
      </c>
      <c r="P971" s="368">
        <v>0</v>
      </c>
      <c r="Q971" s="368">
        <v>0</v>
      </c>
      <c r="R971" s="494">
        <v>29</v>
      </c>
      <c r="S971" s="493">
        <v>0</v>
      </c>
      <c r="T971" s="494">
        <v>30</v>
      </c>
      <c r="U971" s="493">
        <v>0</v>
      </c>
      <c r="V971" s="502">
        <v>5</v>
      </c>
      <c r="W971" s="453">
        <f t="shared" si="277"/>
        <v>325.2</v>
      </c>
      <c r="X971" s="748">
        <f t="shared" si="278"/>
        <v>0.63515624999999998</v>
      </c>
      <c r="Y971" s="451" t="str">
        <f>IFERROR(VLOOKUP(E:E,'Item Data Support Sheet'!A:J,6,0),0)</f>
        <v>FO003</v>
      </c>
      <c r="Z971" s="428">
        <f>IFERROR(VLOOKUP(E:E,'Item Data Support Sheet'!A:O,4,0),0)</f>
        <v>0</v>
      </c>
      <c r="AA971" s="428">
        <f t="shared" si="279"/>
        <v>0</v>
      </c>
      <c r="AB971" s="429" t="str">
        <f t="shared" si="280"/>
        <v xml:space="preserve"> </v>
      </c>
      <c r="AC971" s="424">
        <f t="shared" si="281"/>
        <v>1.8115942028985508E-2</v>
      </c>
      <c r="AD971" s="371">
        <f t="shared" si="282"/>
        <v>0</v>
      </c>
      <c r="AE971" s="748">
        <f t="shared" si="283"/>
        <v>0.98188405797101452</v>
      </c>
      <c r="AF971" s="417">
        <f t="shared" si="284"/>
        <v>1.1666666666666667</v>
      </c>
      <c r="AG971" s="416">
        <f t="shared" si="285"/>
        <v>2.833333333333333</v>
      </c>
      <c r="AH971" s="372">
        <f t="shared" si="286"/>
        <v>0.70833333333333326</v>
      </c>
      <c r="AI971" s="373">
        <f t="shared" si="287"/>
        <v>406.5</v>
      </c>
      <c r="AJ971" s="418">
        <f>VLOOKUP(D971,'Standard Cycle time'!C:D,2,0)</f>
        <v>32.4</v>
      </c>
      <c r="AK971" s="418">
        <f t="shared" si="288"/>
        <v>31.365313653136528</v>
      </c>
      <c r="AL971" s="374">
        <f t="shared" si="289"/>
        <v>1.0329882352941178</v>
      </c>
      <c r="AM971" s="372">
        <f t="shared" si="290"/>
        <v>0.71844456521739142</v>
      </c>
      <c r="AN971" s="799">
        <v>0.71844456521739142</v>
      </c>
      <c r="AO971" s="448"/>
      <c r="AP971" s="440">
        <v>10</v>
      </c>
      <c r="AQ971" s="440">
        <v>60</v>
      </c>
      <c r="AR971" s="440">
        <v>0</v>
      </c>
      <c r="AS971" s="440">
        <v>0</v>
      </c>
      <c r="AT971" s="440">
        <v>0</v>
      </c>
      <c r="AU971" s="440">
        <v>0</v>
      </c>
      <c r="AV971" s="440">
        <v>0</v>
      </c>
      <c r="AW971" s="440">
        <v>0</v>
      </c>
      <c r="AX971" s="440">
        <v>0</v>
      </c>
      <c r="AY971" s="440">
        <v>0</v>
      </c>
      <c r="AZ971" s="440">
        <v>0</v>
      </c>
      <c r="BA971" s="440">
        <v>0</v>
      </c>
      <c r="BB971" s="440">
        <v>0</v>
      </c>
      <c r="BC971" s="440">
        <v>0</v>
      </c>
      <c r="BD971" s="440">
        <v>0</v>
      </c>
      <c r="BE971" s="440">
        <v>0</v>
      </c>
      <c r="BF971" s="440">
        <v>0</v>
      </c>
      <c r="BG971" s="440">
        <v>0</v>
      </c>
      <c r="BH971" s="440">
        <v>0</v>
      </c>
      <c r="BI971" s="440">
        <v>0</v>
      </c>
      <c r="BJ971" s="440">
        <v>0</v>
      </c>
      <c r="BK971" s="440">
        <v>0</v>
      </c>
      <c r="BL971" s="440">
        <v>0</v>
      </c>
      <c r="BM971" s="440">
        <v>0</v>
      </c>
      <c r="BN971" s="440">
        <v>0</v>
      </c>
      <c r="BO971" s="440">
        <v>0</v>
      </c>
      <c r="BP971" s="440">
        <v>0</v>
      </c>
      <c r="BQ971" s="440">
        <v>0</v>
      </c>
      <c r="BR971" s="415">
        <v>1.1666666666666667</v>
      </c>
      <c r="BS971" s="415">
        <v>1.1666666666666667</v>
      </c>
      <c r="BT971" s="935"/>
      <c r="BU971" s="935"/>
      <c r="BV971" s="935"/>
      <c r="BW971" s="935"/>
      <c r="BX971" s="935"/>
      <c r="BY971" s="935"/>
      <c r="BZ971" s="935"/>
      <c r="CA971" s="935"/>
      <c r="CB971" s="935"/>
      <c r="CC971" s="935"/>
      <c r="CD971" s="935"/>
      <c r="CE971" s="935"/>
      <c r="CF971" s="935"/>
      <c r="CG971" s="935"/>
      <c r="CH971" s="935"/>
      <c r="CI971" s="935"/>
      <c r="CJ971" s="935"/>
      <c r="CK971" s="935"/>
      <c r="CL971" s="935"/>
      <c r="CM971" s="935"/>
      <c r="CN971" s="935"/>
      <c r="CO971" s="935"/>
      <c r="CP971" s="935"/>
      <c r="CQ971" s="935"/>
      <c r="CR971" s="935"/>
      <c r="CS971" s="935"/>
      <c r="CT971" s="935"/>
      <c r="CU971" s="935"/>
      <c r="CV971" s="935"/>
    </row>
    <row r="972" spans="1:100" s="441" customFormat="1">
      <c r="A972" s="375">
        <f t="shared" si="276"/>
        <v>10</v>
      </c>
      <c r="B972" s="862">
        <v>44489</v>
      </c>
      <c r="C972" s="493" t="s">
        <v>1980</v>
      </c>
      <c r="D972" s="376" t="str">
        <f>IFERROR(VLOOKUP(E:E,'Item Data Support Sheet'!A:O,7,0),"")</f>
        <v>BOTTLE PRINTED</v>
      </c>
      <c r="E972" s="447" t="s">
        <v>188</v>
      </c>
      <c r="F972" s="500"/>
      <c r="G972" s="497" t="s">
        <v>1698</v>
      </c>
      <c r="H972" s="602" t="str">
        <f>IFERROR(VLOOKUP(E:E,'Item Data Support Sheet'!A:O,2,0),"")</f>
        <v>KPP 200 BOTTLE PRINTED (WMG3B) W/O OZ &amp; W/BIS LOGO</v>
      </c>
      <c r="I972" s="501" t="s">
        <v>3732</v>
      </c>
      <c r="J972" s="501" t="s">
        <v>2813</v>
      </c>
      <c r="K972" s="499">
        <v>1.5</v>
      </c>
      <c r="L972" s="499">
        <v>960</v>
      </c>
      <c r="M972" s="366">
        <v>640</v>
      </c>
      <c r="N972" s="367">
        <f t="shared" si="275"/>
        <v>258</v>
      </c>
      <c r="O972" s="61">
        <v>255</v>
      </c>
      <c r="P972" s="368">
        <v>0</v>
      </c>
      <c r="Q972" s="368">
        <v>0</v>
      </c>
      <c r="R972" s="494">
        <v>0</v>
      </c>
      <c r="S972" s="493">
        <v>0</v>
      </c>
      <c r="T972" s="494">
        <v>3</v>
      </c>
      <c r="U972" s="493">
        <v>0</v>
      </c>
      <c r="V972" s="502">
        <v>5</v>
      </c>
      <c r="W972" s="453">
        <f t="shared" si="277"/>
        <v>51</v>
      </c>
      <c r="X972" s="748">
        <f t="shared" si="278"/>
        <v>0.265625</v>
      </c>
      <c r="Y972" s="451" t="str">
        <f>IFERROR(VLOOKUP(E:E,'Item Data Support Sheet'!A:J,6,0),0)</f>
        <v>FO043</v>
      </c>
      <c r="Z972" s="428">
        <f>IFERROR(VLOOKUP(E:E,'Item Data Support Sheet'!A:O,4,0),0)</f>
        <v>0</v>
      </c>
      <c r="AA972" s="428">
        <f t="shared" si="279"/>
        <v>0</v>
      </c>
      <c r="AB972" s="429" t="str">
        <f t="shared" si="280"/>
        <v xml:space="preserve"> </v>
      </c>
      <c r="AC972" s="424">
        <f t="shared" si="281"/>
        <v>1.1627906976744186E-2</v>
      </c>
      <c r="AD972" s="371">
        <f t="shared" si="282"/>
        <v>0</v>
      </c>
      <c r="AE972" s="748">
        <f t="shared" si="283"/>
        <v>0.98837209302325579</v>
      </c>
      <c r="AF972" s="417">
        <f t="shared" si="284"/>
        <v>1.1666666666666667</v>
      </c>
      <c r="AG972" s="416">
        <f t="shared" si="285"/>
        <v>0.33333333333333326</v>
      </c>
      <c r="AH972" s="372">
        <f t="shared" si="286"/>
        <v>0.22222222222222218</v>
      </c>
      <c r="AI972" s="373">
        <f t="shared" si="287"/>
        <v>170</v>
      </c>
      <c r="AJ972" s="418">
        <f>VLOOKUP(D972,'Standard Cycle time'!C:D,2,0)</f>
        <v>32.4</v>
      </c>
      <c r="AK972" s="418">
        <f t="shared" si="288"/>
        <v>23.52941176470588</v>
      </c>
      <c r="AL972" s="374">
        <f t="shared" si="289"/>
        <v>1.377</v>
      </c>
      <c r="AM972" s="372">
        <f t="shared" si="290"/>
        <v>0.30244186046511617</v>
      </c>
      <c r="AN972" s="799">
        <v>0.30244186046511617</v>
      </c>
      <c r="AO972" s="448" t="s">
        <v>3733</v>
      </c>
      <c r="AP972" s="440">
        <v>30</v>
      </c>
      <c r="AQ972" s="440">
        <v>40</v>
      </c>
      <c r="AR972" s="440">
        <v>0</v>
      </c>
      <c r="AS972" s="440">
        <v>0</v>
      </c>
      <c r="AT972" s="440">
        <v>0</v>
      </c>
      <c r="AU972" s="440">
        <v>0</v>
      </c>
      <c r="AV972" s="440">
        <v>0</v>
      </c>
      <c r="AW972" s="440">
        <v>0</v>
      </c>
      <c r="AX972" s="440">
        <v>0</v>
      </c>
      <c r="AY972" s="440">
        <v>0</v>
      </c>
      <c r="AZ972" s="440">
        <v>0</v>
      </c>
      <c r="BA972" s="440">
        <v>0</v>
      </c>
      <c r="BB972" s="440">
        <v>0</v>
      </c>
      <c r="BC972" s="440">
        <v>0</v>
      </c>
      <c r="BD972" s="440">
        <v>0</v>
      </c>
      <c r="BE972" s="440">
        <v>0</v>
      </c>
      <c r="BF972" s="440">
        <v>0</v>
      </c>
      <c r="BG972" s="440">
        <v>0</v>
      </c>
      <c r="BH972" s="440">
        <v>0</v>
      </c>
      <c r="BI972" s="440">
        <v>0</v>
      </c>
      <c r="BJ972" s="440">
        <v>0</v>
      </c>
      <c r="BK972" s="440">
        <v>0</v>
      </c>
      <c r="BL972" s="440">
        <v>0</v>
      </c>
      <c r="BM972" s="440">
        <v>0</v>
      </c>
      <c r="BN972" s="440">
        <v>0</v>
      </c>
      <c r="BO972" s="440">
        <v>0</v>
      </c>
      <c r="BP972" s="440">
        <v>0</v>
      </c>
      <c r="BQ972" s="440">
        <v>0</v>
      </c>
      <c r="BR972" s="415">
        <v>1.1666666666666667</v>
      </c>
      <c r="BS972" s="415">
        <v>1.1666666666666667</v>
      </c>
      <c r="BT972" s="935"/>
      <c r="BU972" s="935"/>
      <c r="BV972" s="935"/>
      <c r="BW972" s="935"/>
      <c r="BX972" s="935"/>
      <c r="BY972" s="935"/>
      <c r="BZ972" s="935"/>
      <c r="CA972" s="935"/>
      <c r="CB972" s="935"/>
      <c r="CC972" s="935"/>
      <c r="CD972" s="935"/>
      <c r="CE972" s="935"/>
      <c r="CF972" s="935"/>
      <c r="CG972" s="935"/>
      <c r="CH972" s="935"/>
      <c r="CI972" s="935"/>
      <c r="CJ972" s="935"/>
      <c r="CK972" s="935"/>
      <c r="CL972" s="935"/>
      <c r="CM972" s="935"/>
      <c r="CN972" s="935"/>
      <c r="CO972" s="935"/>
      <c r="CP972" s="935"/>
      <c r="CQ972" s="935"/>
      <c r="CR972" s="935"/>
      <c r="CS972" s="935"/>
      <c r="CT972" s="935"/>
      <c r="CU972" s="935"/>
      <c r="CV972" s="935"/>
    </row>
    <row r="973" spans="1:100" s="441" customFormat="1">
      <c r="A973" s="375">
        <f t="shared" si="276"/>
        <v>10</v>
      </c>
      <c r="B973" s="862">
        <v>44489</v>
      </c>
      <c r="C973" s="493" t="s">
        <v>1980</v>
      </c>
      <c r="D973" s="376" t="str">
        <f>IFERROR(VLOOKUP(E:E,'Item Data Support Sheet'!A:O,7,0),"")</f>
        <v>BOTTLE PRINTED</v>
      </c>
      <c r="E973" s="447" t="s">
        <v>70</v>
      </c>
      <c r="F973" s="500"/>
      <c r="G973" s="497" t="s">
        <v>1698</v>
      </c>
      <c r="H973" s="602" t="str">
        <f>IFERROR(VLOOKUP(E:E,'Item Data Support Sheet'!A:O,2,0),"")</f>
        <v>KPP 200 ML BOTTLE PRINTED</v>
      </c>
      <c r="I973" s="501" t="s">
        <v>3734</v>
      </c>
      <c r="J973" s="501" t="s">
        <v>2813</v>
      </c>
      <c r="K973" s="499">
        <v>2.5</v>
      </c>
      <c r="L973" s="499">
        <v>1600</v>
      </c>
      <c r="M973" s="366">
        <v>640</v>
      </c>
      <c r="N973" s="367">
        <f t="shared" si="275"/>
        <v>1629</v>
      </c>
      <c r="O973" s="61">
        <v>1620</v>
      </c>
      <c r="P973" s="368">
        <v>0</v>
      </c>
      <c r="Q973" s="368">
        <v>0</v>
      </c>
      <c r="R973" s="494">
        <v>11</v>
      </c>
      <c r="S973" s="493">
        <v>0</v>
      </c>
      <c r="T973" s="494">
        <v>9</v>
      </c>
      <c r="U973" s="493">
        <v>0</v>
      </c>
      <c r="V973" s="502">
        <v>5</v>
      </c>
      <c r="W973" s="453">
        <f t="shared" si="277"/>
        <v>324</v>
      </c>
      <c r="X973" s="748">
        <f t="shared" si="278"/>
        <v>1.0125</v>
      </c>
      <c r="Y973" s="451" t="str">
        <f>IFERROR(VLOOKUP(E:E,'Item Data Support Sheet'!A:J,6,0),0)</f>
        <v>FO002</v>
      </c>
      <c r="Z973" s="428">
        <f>IFERROR(VLOOKUP(E:E,'Item Data Support Sheet'!A:O,4,0),0)</f>
        <v>0</v>
      </c>
      <c r="AA973" s="428">
        <f t="shared" si="279"/>
        <v>0</v>
      </c>
      <c r="AB973" s="429" t="str">
        <f t="shared" si="280"/>
        <v xml:space="preserve"> </v>
      </c>
      <c r="AC973" s="424">
        <f t="shared" si="281"/>
        <v>5.5248618784530384E-3</v>
      </c>
      <c r="AD973" s="371">
        <f t="shared" si="282"/>
        <v>0</v>
      </c>
      <c r="AE973" s="748">
        <f t="shared" si="283"/>
        <v>0.99447513812154698</v>
      </c>
      <c r="AF973" s="417">
        <f t="shared" si="284"/>
        <v>0</v>
      </c>
      <c r="AG973" s="416">
        <f t="shared" si="285"/>
        <v>2.5</v>
      </c>
      <c r="AH973" s="372">
        <f t="shared" si="286"/>
        <v>1</v>
      </c>
      <c r="AI973" s="373">
        <f t="shared" si="287"/>
        <v>648</v>
      </c>
      <c r="AJ973" s="418">
        <f>VLOOKUP(D973,'Standard Cycle time'!C:D,2,0)</f>
        <v>32.4</v>
      </c>
      <c r="AK973" s="418">
        <f t="shared" si="288"/>
        <v>27.777777777777779</v>
      </c>
      <c r="AL973" s="374">
        <f t="shared" si="289"/>
        <v>1.1663999999999999</v>
      </c>
      <c r="AM973" s="372">
        <f t="shared" si="290"/>
        <v>1.1599558011049722</v>
      </c>
      <c r="AN973" s="799">
        <v>1.1599558011049722</v>
      </c>
      <c r="AO973" s="448" t="s">
        <v>3735</v>
      </c>
      <c r="AP973" s="440">
        <v>0</v>
      </c>
      <c r="AQ973" s="440">
        <v>0</v>
      </c>
      <c r="AR973" s="440">
        <v>0</v>
      </c>
      <c r="AS973" s="440">
        <v>0</v>
      </c>
      <c r="AT973" s="440">
        <v>0</v>
      </c>
      <c r="AU973" s="440">
        <v>0</v>
      </c>
      <c r="AV973" s="440">
        <v>0</v>
      </c>
      <c r="AW973" s="440">
        <v>0</v>
      </c>
      <c r="AX973" s="440">
        <v>0</v>
      </c>
      <c r="AY973" s="440">
        <v>0</v>
      </c>
      <c r="AZ973" s="440">
        <v>0</v>
      </c>
      <c r="BA973" s="440">
        <v>0</v>
      </c>
      <c r="BB973" s="440">
        <v>0</v>
      </c>
      <c r="BC973" s="440">
        <v>0</v>
      </c>
      <c r="BD973" s="440">
        <v>0</v>
      </c>
      <c r="BE973" s="440">
        <v>0</v>
      </c>
      <c r="BF973" s="440">
        <v>0</v>
      </c>
      <c r="BG973" s="440">
        <v>0</v>
      </c>
      <c r="BH973" s="440">
        <v>0</v>
      </c>
      <c r="BI973" s="440">
        <v>0</v>
      </c>
      <c r="BJ973" s="440">
        <v>0</v>
      </c>
      <c r="BK973" s="440">
        <v>0</v>
      </c>
      <c r="BL973" s="440">
        <v>0</v>
      </c>
      <c r="BM973" s="440">
        <v>0</v>
      </c>
      <c r="BN973" s="440">
        <v>0</v>
      </c>
      <c r="BO973" s="440">
        <v>0</v>
      </c>
      <c r="BP973" s="440">
        <v>0</v>
      </c>
      <c r="BQ973" s="440">
        <v>0</v>
      </c>
      <c r="BR973" s="415">
        <v>0</v>
      </c>
      <c r="BS973" s="415">
        <v>0</v>
      </c>
      <c r="BT973" s="935"/>
      <c r="BU973" s="935"/>
      <c r="BV973" s="935"/>
      <c r="BW973" s="935"/>
      <c r="BX973" s="935"/>
      <c r="BY973" s="935"/>
      <c r="BZ973" s="935"/>
      <c r="CA973" s="935"/>
      <c r="CB973" s="935"/>
      <c r="CC973" s="935"/>
      <c r="CD973" s="935"/>
      <c r="CE973" s="935"/>
      <c r="CF973" s="935"/>
      <c r="CG973" s="935"/>
      <c r="CH973" s="935"/>
      <c r="CI973" s="935"/>
      <c r="CJ973" s="935"/>
      <c r="CK973" s="935"/>
      <c r="CL973" s="935"/>
      <c r="CM973" s="935"/>
      <c r="CN973" s="935"/>
      <c r="CO973" s="935"/>
      <c r="CP973" s="935"/>
      <c r="CQ973" s="935"/>
      <c r="CR973" s="935"/>
      <c r="CS973" s="935"/>
      <c r="CT973" s="935"/>
      <c r="CU973" s="935"/>
      <c r="CV973" s="935"/>
    </row>
    <row r="974" spans="1:100" s="441" customFormat="1">
      <c r="A974" s="375">
        <f t="shared" si="276"/>
        <v>10</v>
      </c>
      <c r="B974" s="862">
        <v>44489</v>
      </c>
      <c r="C974" s="493" t="s">
        <v>2000</v>
      </c>
      <c r="D974" s="376" t="str">
        <f>IFERROR(VLOOKUP(E:E,'Item Data Support Sheet'!A:O,7,0),"")</f>
        <v>NIPPLE PUNCH INSPECTED</v>
      </c>
      <c r="E974" s="447" t="s">
        <v>1819</v>
      </c>
      <c r="F974" s="500"/>
      <c r="G974" s="497"/>
      <c r="H974" s="602" t="str">
        <f>IFERROR(VLOOKUP(E:E,'Item Data Support Sheet'!A:O,2,0),"")</f>
        <v>NIPPLE S TYPE M SIZE PUNCHED INSPECTED</v>
      </c>
      <c r="I974" s="501" t="s">
        <v>3718</v>
      </c>
      <c r="J974" s="501" t="s">
        <v>2811</v>
      </c>
      <c r="K974" s="499">
        <v>8</v>
      </c>
      <c r="L974" s="499">
        <v>14137</v>
      </c>
      <c r="M974" s="366">
        <v>1767.125</v>
      </c>
      <c r="N974" s="367">
        <f t="shared" si="275"/>
        <v>10938</v>
      </c>
      <c r="O974" s="61">
        <v>10807</v>
      </c>
      <c r="P974" s="368">
        <v>0</v>
      </c>
      <c r="Q974" s="368">
        <v>0</v>
      </c>
      <c r="R974" s="494">
        <v>0</v>
      </c>
      <c r="S974" s="493">
        <v>0</v>
      </c>
      <c r="T974" s="494">
        <v>131</v>
      </c>
      <c r="U974" s="493">
        <v>0</v>
      </c>
      <c r="V974" s="502">
        <v>1</v>
      </c>
      <c r="W974" s="453">
        <f t="shared" si="277"/>
        <v>10807</v>
      </c>
      <c r="X974" s="748">
        <f t="shared" si="278"/>
        <v>0.76444790266676099</v>
      </c>
      <c r="Y974" s="451" t="str">
        <f>IFERROR(VLOOKUP(E:E,'Item Data Support Sheet'!A:J,6,0),0)</f>
        <v>FO105</v>
      </c>
      <c r="Z974" s="428">
        <f>IFERROR(VLOOKUP(E:E,'Item Data Support Sheet'!A:O,4,0),0)</f>
        <v>0</v>
      </c>
      <c r="AA974" s="428">
        <f t="shared" si="279"/>
        <v>0</v>
      </c>
      <c r="AB974" s="429" t="str">
        <f t="shared" si="280"/>
        <v xml:space="preserve"> </v>
      </c>
      <c r="AC974" s="424">
        <f t="shared" si="281"/>
        <v>1.1976595355640884E-2</v>
      </c>
      <c r="AD974" s="371">
        <f t="shared" si="282"/>
        <v>0</v>
      </c>
      <c r="AE974" s="748">
        <f t="shared" si="283"/>
        <v>0.98802340464435912</v>
      </c>
      <c r="AF974" s="417">
        <f t="shared" si="284"/>
        <v>0.83333333333333337</v>
      </c>
      <c r="AG974" s="416">
        <f t="shared" si="285"/>
        <v>7.166666666666667</v>
      </c>
      <c r="AH974" s="372">
        <f t="shared" si="286"/>
        <v>0.89583333333333337</v>
      </c>
      <c r="AI974" s="373">
        <f t="shared" si="287"/>
        <v>1350.875</v>
      </c>
      <c r="AJ974" s="418">
        <f>VLOOKUP(D974,'Standard Cycle time'!C:D,2,0)</f>
        <v>4</v>
      </c>
      <c r="AK974" s="418">
        <f t="shared" si="288"/>
        <v>2.387341537892107</v>
      </c>
      <c r="AL974" s="374">
        <f t="shared" si="289"/>
        <v>1.6755038759689922</v>
      </c>
      <c r="AM974" s="372">
        <f t="shared" si="290"/>
        <v>1.4829956852766097</v>
      </c>
      <c r="AN974" s="799">
        <v>1.4829956852766097</v>
      </c>
      <c r="AO974" s="448"/>
      <c r="AP974" s="440">
        <v>50</v>
      </c>
      <c r="AQ974" s="440">
        <v>0</v>
      </c>
      <c r="AR974" s="440">
        <v>0</v>
      </c>
      <c r="AS974" s="440">
        <v>0</v>
      </c>
      <c r="AT974" s="440">
        <v>0</v>
      </c>
      <c r="AU974" s="440">
        <v>0</v>
      </c>
      <c r="AV974" s="440">
        <v>0</v>
      </c>
      <c r="AW974" s="440">
        <v>0</v>
      </c>
      <c r="AX974" s="440">
        <v>0</v>
      </c>
      <c r="AY974" s="440">
        <v>0</v>
      </c>
      <c r="AZ974" s="440">
        <v>0</v>
      </c>
      <c r="BA974" s="440">
        <v>0</v>
      </c>
      <c r="BB974" s="440">
        <v>0</v>
      </c>
      <c r="BC974" s="440">
        <v>0</v>
      </c>
      <c r="BD974" s="440">
        <v>0</v>
      </c>
      <c r="BE974" s="440">
        <v>0</v>
      </c>
      <c r="BF974" s="440">
        <v>0</v>
      </c>
      <c r="BG974" s="440">
        <v>0</v>
      </c>
      <c r="BH974" s="440">
        <v>0</v>
      </c>
      <c r="BI974" s="440">
        <v>0</v>
      </c>
      <c r="BJ974" s="440">
        <v>0</v>
      </c>
      <c r="BK974" s="440">
        <v>0</v>
      </c>
      <c r="BL974" s="440">
        <v>0</v>
      </c>
      <c r="BM974" s="440">
        <v>0</v>
      </c>
      <c r="BN974" s="440">
        <v>0</v>
      </c>
      <c r="BO974" s="440">
        <v>0</v>
      </c>
      <c r="BP974" s="440">
        <v>0</v>
      </c>
      <c r="BQ974" s="440">
        <v>0</v>
      </c>
      <c r="BR974" s="415">
        <v>0.83333333333333337</v>
      </c>
      <c r="BS974" s="415">
        <v>0.83333333333333337</v>
      </c>
      <c r="BT974" s="935"/>
      <c r="BU974" s="935"/>
      <c r="BV974" s="935"/>
      <c r="BW974" s="935"/>
      <c r="BX974" s="935"/>
      <c r="BY974" s="935"/>
      <c r="BZ974" s="935"/>
      <c r="CA974" s="935"/>
      <c r="CB974" s="935"/>
      <c r="CC974" s="935"/>
      <c r="CD974" s="935"/>
      <c r="CE974" s="935"/>
      <c r="CF974" s="935"/>
      <c r="CG974" s="935"/>
      <c r="CH974" s="935"/>
      <c r="CI974" s="935"/>
      <c r="CJ974" s="935"/>
      <c r="CK974" s="935"/>
      <c r="CL974" s="935"/>
      <c r="CM974" s="935"/>
      <c r="CN974" s="935"/>
      <c r="CO974" s="935"/>
      <c r="CP974" s="935"/>
      <c r="CQ974" s="935"/>
      <c r="CR974" s="935"/>
      <c r="CS974" s="935"/>
      <c r="CT974" s="935"/>
      <c r="CU974" s="935"/>
      <c r="CV974" s="935"/>
    </row>
    <row r="975" spans="1:100" s="441" customFormat="1">
      <c r="A975" s="375">
        <f t="shared" si="276"/>
        <v>10</v>
      </c>
      <c r="B975" s="862">
        <v>44489</v>
      </c>
      <c r="C975" s="493" t="s">
        <v>2001</v>
      </c>
      <c r="D975" s="376" t="str">
        <f>IFERROR(VLOOKUP(E:E,'Item Data Support Sheet'!A:O,7,0),"")</f>
        <v>NIPPLE PUNCH</v>
      </c>
      <c r="E975" s="447" t="s">
        <v>81</v>
      </c>
      <c r="F975" s="500"/>
      <c r="G975" s="497" t="s">
        <v>1692</v>
      </c>
      <c r="H975" s="602" t="str">
        <f>IFERROR(VLOOKUP(E:E,'Item Data Support Sheet'!A:O,2,0),"")</f>
        <v>NIPPLE S TYPE M SIZE PUNCHED</v>
      </c>
      <c r="I975" s="501" t="s">
        <v>3736</v>
      </c>
      <c r="J975" s="501" t="s">
        <v>2811</v>
      </c>
      <c r="K975" s="499">
        <v>8</v>
      </c>
      <c r="L975" s="499">
        <v>7000</v>
      </c>
      <c r="M975" s="366">
        <v>875</v>
      </c>
      <c r="N975" s="367">
        <f t="shared" si="275"/>
        <v>7000</v>
      </c>
      <c r="O975" s="61">
        <v>6970</v>
      </c>
      <c r="P975" s="368">
        <v>0</v>
      </c>
      <c r="Q975" s="368">
        <v>0</v>
      </c>
      <c r="R975" s="494">
        <v>0</v>
      </c>
      <c r="S975" s="493">
        <v>0</v>
      </c>
      <c r="T975" s="494">
        <v>30</v>
      </c>
      <c r="U975" s="493">
        <v>0</v>
      </c>
      <c r="V975" s="502">
        <v>1</v>
      </c>
      <c r="W975" s="453">
        <f t="shared" si="277"/>
        <v>6970</v>
      </c>
      <c r="X975" s="748">
        <f t="shared" si="278"/>
        <v>0.99571428571428566</v>
      </c>
      <c r="Y975" s="451" t="str">
        <f>IFERROR(VLOOKUP(E:E,'Item Data Support Sheet'!A:J,6,0),0)</f>
        <v>FO016</v>
      </c>
      <c r="Z975" s="428">
        <f>IFERROR(VLOOKUP(E:E,'Item Data Support Sheet'!A:O,4,0),0)</f>
        <v>0</v>
      </c>
      <c r="AA975" s="428">
        <f t="shared" si="279"/>
        <v>0</v>
      </c>
      <c r="AB975" s="429" t="str">
        <f t="shared" si="280"/>
        <v xml:space="preserve"> </v>
      </c>
      <c r="AC975" s="424">
        <f t="shared" si="281"/>
        <v>4.2857142857142859E-3</v>
      </c>
      <c r="AD975" s="371">
        <f t="shared" si="282"/>
        <v>0</v>
      </c>
      <c r="AE975" s="748">
        <f t="shared" si="283"/>
        <v>0.99571428571428566</v>
      </c>
      <c r="AF975" s="417">
        <f t="shared" si="284"/>
        <v>0.66666666666666663</v>
      </c>
      <c r="AG975" s="416">
        <f t="shared" si="285"/>
        <v>7.333333333333333</v>
      </c>
      <c r="AH975" s="372">
        <f t="shared" si="286"/>
        <v>0.91666666666666663</v>
      </c>
      <c r="AI975" s="373">
        <f t="shared" si="287"/>
        <v>871.25</v>
      </c>
      <c r="AJ975" s="418">
        <f>VLOOKUP(D975,'Standard Cycle time'!C:D,2,0)</f>
        <v>3.5</v>
      </c>
      <c r="AK975" s="418">
        <f t="shared" si="288"/>
        <v>3.7876614060258249</v>
      </c>
      <c r="AL975" s="374">
        <f t="shared" si="289"/>
        <v>0.92405303030303032</v>
      </c>
      <c r="AM975" s="372">
        <f t="shared" si="290"/>
        <v>0.8434184027777778</v>
      </c>
      <c r="AN975" s="799">
        <v>0.8434184027777778</v>
      </c>
      <c r="AO975" s="448"/>
      <c r="AP975" s="440">
        <v>40</v>
      </c>
      <c r="AQ975" s="440">
        <v>0</v>
      </c>
      <c r="AR975" s="440">
        <v>0</v>
      </c>
      <c r="AS975" s="440">
        <v>0</v>
      </c>
      <c r="AT975" s="440">
        <v>0</v>
      </c>
      <c r="AU975" s="440">
        <v>0</v>
      </c>
      <c r="AV975" s="440">
        <v>0</v>
      </c>
      <c r="AW975" s="440">
        <v>0</v>
      </c>
      <c r="AX975" s="440">
        <v>0</v>
      </c>
      <c r="AY975" s="440">
        <v>0</v>
      </c>
      <c r="AZ975" s="440">
        <v>0</v>
      </c>
      <c r="BA975" s="440">
        <v>0</v>
      </c>
      <c r="BB975" s="440">
        <v>0</v>
      </c>
      <c r="BC975" s="440">
        <v>0</v>
      </c>
      <c r="BD975" s="440">
        <v>0</v>
      </c>
      <c r="BE975" s="440">
        <v>0</v>
      </c>
      <c r="BF975" s="440">
        <v>0</v>
      </c>
      <c r="BG975" s="440">
        <v>0</v>
      </c>
      <c r="BH975" s="440">
        <v>0</v>
      </c>
      <c r="BI975" s="440">
        <v>0</v>
      </c>
      <c r="BJ975" s="440">
        <v>0</v>
      </c>
      <c r="BK975" s="440">
        <v>0</v>
      </c>
      <c r="BL975" s="440">
        <v>0</v>
      </c>
      <c r="BM975" s="440">
        <v>0</v>
      </c>
      <c r="BN975" s="440">
        <v>0</v>
      </c>
      <c r="BO975" s="440">
        <v>0</v>
      </c>
      <c r="BP975" s="440">
        <v>0</v>
      </c>
      <c r="BQ975" s="440">
        <v>0</v>
      </c>
      <c r="BR975" s="415">
        <v>0.66666666666666663</v>
      </c>
      <c r="BS975" s="415">
        <v>0.66666666666666663</v>
      </c>
      <c r="BT975" s="935"/>
      <c r="BU975" s="935"/>
      <c r="BV975" s="935"/>
      <c r="BW975" s="935"/>
      <c r="BX975" s="935"/>
      <c r="BY975" s="935"/>
      <c r="BZ975" s="935"/>
      <c r="CA975" s="935"/>
      <c r="CB975" s="935"/>
      <c r="CC975" s="935"/>
      <c r="CD975" s="935"/>
      <c r="CE975" s="935"/>
      <c r="CF975" s="935"/>
      <c r="CG975" s="935"/>
      <c r="CH975" s="935"/>
      <c r="CI975" s="935"/>
      <c r="CJ975" s="935"/>
      <c r="CK975" s="935"/>
      <c r="CL975" s="935"/>
      <c r="CM975" s="935"/>
      <c r="CN975" s="935"/>
      <c r="CO975" s="935"/>
      <c r="CP975" s="935"/>
      <c r="CQ975" s="935"/>
      <c r="CR975" s="935"/>
      <c r="CS975" s="935"/>
      <c r="CT975" s="935"/>
      <c r="CU975" s="935"/>
      <c r="CV975" s="935"/>
    </row>
    <row r="976" spans="1:100" s="441" customFormat="1">
      <c r="A976" s="375">
        <f t="shared" si="276"/>
        <v>10</v>
      </c>
      <c r="B976" s="862">
        <v>44489</v>
      </c>
      <c r="C976" s="493" t="s">
        <v>2001</v>
      </c>
      <c r="D976" s="376" t="str">
        <f>IFERROR(VLOOKUP(E:E,'Item Data Support Sheet'!A:O,7,0),"")</f>
        <v>NIPPLE LASER MARKING</v>
      </c>
      <c r="E976" s="447" t="s">
        <v>1815</v>
      </c>
      <c r="F976" s="500"/>
      <c r="G976" s="497" t="s">
        <v>1812</v>
      </c>
      <c r="H976" s="602" t="str">
        <f>IFERROR(VLOOKUP(E:E,'Item Data Support Sheet'!A:O,2,0),"")</f>
        <v>NIPPLE S TYPE M SIZE PUNCHED LASER MARKED</v>
      </c>
      <c r="I976" s="501" t="s">
        <v>3737</v>
      </c>
      <c r="J976" s="501" t="s">
        <v>2811</v>
      </c>
      <c r="K976" s="499">
        <v>8</v>
      </c>
      <c r="L976" s="499">
        <v>7000</v>
      </c>
      <c r="M976" s="366">
        <v>875</v>
      </c>
      <c r="N976" s="367">
        <f t="shared" si="275"/>
        <v>7000</v>
      </c>
      <c r="O976" s="61">
        <v>7000</v>
      </c>
      <c r="P976" s="368">
        <v>0</v>
      </c>
      <c r="Q976" s="368">
        <v>0</v>
      </c>
      <c r="R976" s="494">
        <v>0</v>
      </c>
      <c r="S976" s="493">
        <v>0</v>
      </c>
      <c r="T976" s="494">
        <v>0</v>
      </c>
      <c r="U976" s="493">
        <v>0</v>
      </c>
      <c r="V976" s="502">
        <v>1</v>
      </c>
      <c r="W976" s="453">
        <f t="shared" si="277"/>
        <v>7000</v>
      </c>
      <c r="X976" s="748">
        <f t="shared" si="278"/>
        <v>1</v>
      </c>
      <c r="Y976" s="451" t="str">
        <f>IFERROR(VLOOKUP(E:E,'Item Data Support Sheet'!A:J,6,0),0)</f>
        <v>FO020</v>
      </c>
      <c r="Z976" s="428">
        <f>IFERROR(VLOOKUP(E:E,'Item Data Support Sheet'!A:O,4,0),0)</f>
        <v>0</v>
      </c>
      <c r="AA976" s="428">
        <f t="shared" si="279"/>
        <v>0</v>
      </c>
      <c r="AB976" s="429" t="str">
        <f t="shared" si="280"/>
        <v xml:space="preserve"> </v>
      </c>
      <c r="AC976" s="424">
        <f t="shared" si="281"/>
        <v>0</v>
      </c>
      <c r="AD976" s="371">
        <f t="shared" si="282"/>
        <v>0</v>
      </c>
      <c r="AE976" s="748">
        <f t="shared" si="283"/>
        <v>1</v>
      </c>
      <c r="AF976" s="417">
        <f t="shared" si="284"/>
        <v>0.66666666666666663</v>
      </c>
      <c r="AG976" s="416">
        <f t="shared" si="285"/>
        <v>7.333333333333333</v>
      </c>
      <c r="AH976" s="372">
        <f t="shared" si="286"/>
        <v>0.91666666666666663</v>
      </c>
      <c r="AI976" s="373">
        <f t="shared" si="287"/>
        <v>875</v>
      </c>
      <c r="AJ976" s="418">
        <f>VLOOKUP(D976,'Standard Cycle time'!C:D,2,0)</f>
        <v>3.5</v>
      </c>
      <c r="AK976" s="418">
        <f t="shared" si="288"/>
        <v>3.7714285714285714</v>
      </c>
      <c r="AL976" s="374">
        <f t="shared" si="289"/>
        <v>0.92803030303030309</v>
      </c>
      <c r="AM976" s="372">
        <f t="shared" si="290"/>
        <v>0.85069444444444442</v>
      </c>
      <c r="AN976" s="799">
        <v>0.85069444444444442</v>
      </c>
      <c r="AO976" s="448"/>
      <c r="AP976" s="440">
        <v>40</v>
      </c>
      <c r="AQ976" s="440">
        <v>0</v>
      </c>
      <c r="AR976" s="440">
        <v>0</v>
      </c>
      <c r="AS976" s="440">
        <v>0</v>
      </c>
      <c r="AT976" s="440">
        <v>0</v>
      </c>
      <c r="AU976" s="440">
        <v>0</v>
      </c>
      <c r="AV976" s="440">
        <v>0</v>
      </c>
      <c r="AW976" s="440">
        <v>0</v>
      </c>
      <c r="AX976" s="440">
        <v>0</v>
      </c>
      <c r="AY976" s="440">
        <v>0</v>
      </c>
      <c r="AZ976" s="440">
        <v>0</v>
      </c>
      <c r="BA976" s="440">
        <v>0</v>
      </c>
      <c r="BB976" s="440">
        <v>0</v>
      </c>
      <c r="BC976" s="440">
        <v>0</v>
      </c>
      <c r="BD976" s="440">
        <v>0</v>
      </c>
      <c r="BE976" s="440">
        <v>0</v>
      </c>
      <c r="BF976" s="440">
        <v>0</v>
      </c>
      <c r="BG976" s="440">
        <v>0</v>
      </c>
      <c r="BH976" s="440">
        <v>0</v>
      </c>
      <c r="BI976" s="440">
        <v>0</v>
      </c>
      <c r="BJ976" s="440">
        <v>0</v>
      </c>
      <c r="BK976" s="440">
        <v>0</v>
      </c>
      <c r="BL976" s="440">
        <v>0</v>
      </c>
      <c r="BM976" s="440">
        <v>0</v>
      </c>
      <c r="BN976" s="440">
        <v>0</v>
      </c>
      <c r="BO976" s="440">
        <v>0</v>
      </c>
      <c r="BP976" s="440">
        <v>0</v>
      </c>
      <c r="BQ976" s="440">
        <v>0</v>
      </c>
      <c r="BR976" s="415">
        <v>0.66666666666666663</v>
      </c>
      <c r="BS976" s="415">
        <v>0.66666666666666663</v>
      </c>
      <c r="BT976" s="935"/>
      <c r="BU976" s="935"/>
      <c r="BV976" s="935"/>
      <c r="BW976" s="935"/>
      <c r="BX976" s="935"/>
      <c r="BY976" s="935"/>
      <c r="BZ976" s="935"/>
      <c r="CA976" s="935"/>
      <c r="CB976" s="935"/>
      <c r="CC976" s="935"/>
      <c r="CD976" s="935"/>
      <c r="CE976" s="935"/>
      <c r="CF976" s="935"/>
      <c r="CG976" s="935"/>
      <c r="CH976" s="935"/>
      <c r="CI976" s="935"/>
      <c r="CJ976" s="935"/>
      <c r="CK976" s="935"/>
      <c r="CL976" s="935"/>
      <c r="CM976" s="935"/>
      <c r="CN976" s="935"/>
      <c r="CO976" s="935"/>
      <c r="CP976" s="935"/>
      <c r="CQ976" s="935"/>
      <c r="CR976" s="935"/>
      <c r="CS976" s="935"/>
      <c r="CT976" s="935"/>
      <c r="CU976" s="935"/>
      <c r="CV976" s="935"/>
    </row>
    <row r="977" spans="1:100" s="441" customFormat="1">
      <c r="A977" s="375">
        <f t="shared" si="276"/>
        <v>10</v>
      </c>
      <c r="B977" s="862">
        <v>44489</v>
      </c>
      <c r="C977" s="493" t="s">
        <v>2001</v>
      </c>
      <c r="D977" s="376" t="str">
        <f>IFERROR(VLOOKUP(E:E,'Item Data Support Sheet'!A:O,7,0),"")</f>
        <v>CAP MOLDED</v>
      </c>
      <c r="E977" s="447" t="s">
        <v>2117</v>
      </c>
      <c r="F977" s="500"/>
      <c r="G977" s="497" t="s">
        <v>3579</v>
      </c>
      <c r="H977" s="602" t="str">
        <f>IFERROR(VLOOKUP(E:E,'Item Data Support Sheet'!A:O,2,0),"")</f>
        <v>CAP S TYPE MOLDED YELLOW</v>
      </c>
      <c r="I977" s="501" t="s">
        <v>3738</v>
      </c>
      <c r="J977" s="501" t="s">
        <v>2811</v>
      </c>
      <c r="K977" s="499">
        <v>8</v>
      </c>
      <c r="L977" s="499">
        <v>4137</v>
      </c>
      <c r="M977" s="366">
        <v>517.125</v>
      </c>
      <c r="N977" s="367">
        <f t="shared" si="275"/>
        <v>4800</v>
      </c>
      <c r="O977" s="61">
        <v>4800</v>
      </c>
      <c r="P977" s="368">
        <v>0</v>
      </c>
      <c r="Q977" s="368">
        <v>0</v>
      </c>
      <c r="R977" s="494">
        <v>0</v>
      </c>
      <c r="S977" s="493">
        <v>0</v>
      </c>
      <c r="T977" s="494">
        <v>0</v>
      </c>
      <c r="U977" s="493">
        <v>0</v>
      </c>
      <c r="V977" s="502">
        <v>1</v>
      </c>
      <c r="W977" s="453">
        <f t="shared" si="277"/>
        <v>4800</v>
      </c>
      <c r="X977" s="748">
        <f t="shared" si="278"/>
        <v>1.1602610587382161</v>
      </c>
      <c r="Y977" s="451" t="str">
        <f>IFERROR(VLOOKUP(E:E,'Item Data Support Sheet'!A:J,6,0),0)</f>
        <v>RM000112</v>
      </c>
      <c r="Z977" s="428">
        <f>IFERROR(VLOOKUP(E:E,'Item Data Support Sheet'!A:O,4,0),0)</f>
        <v>7.3</v>
      </c>
      <c r="AA977" s="428">
        <f t="shared" si="279"/>
        <v>35.04</v>
      </c>
      <c r="AB977" s="429">
        <f t="shared" si="280"/>
        <v>1</v>
      </c>
      <c r="AC977" s="424">
        <f t="shared" si="281"/>
        <v>0</v>
      </c>
      <c r="AD977" s="371">
        <f t="shared" si="282"/>
        <v>0</v>
      </c>
      <c r="AE977" s="748">
        <f t="shared" si="283"/>
        <v>1</v>
      </c>
      <c r="AF977" s="417">
        <f t="shared" si="284"/>
        <v>0</v>
      </c>
      <c r="AG977" s="416">
        <f t="shared" si="285"/>
        <v>8</v>
      </c>
      <c r="AH977" s="372">
        <f t="shared" si="286"/>
        <v>1</v>
      </c>
      <c r="AI977" s="373">
        <f t="shared" si="287"/>
        <v>600</v>
      </c>
      <c r="AJ977" s="418">
        <f>VLOOKUP(D977,'Standard Cycle time'!C:D,2,0)</f>
        <v>6</v>
      </c>
      <c r="AK977" s="418">
        <f t="shared" si="288"/>
        <v>6</v>
      </c>
      <c r="AL977" s="374">
        <f t="shared" si="289"/>
        <v>1</v>
      </c>
      <c r="AM977" s="372">
        <f t="shared" si="290"/>
        <v>1</v>
      </c>
      <c r="AN977" s="799">
        <v>1</v>
      </c>
      <c r="AO977" s="448"/>
      <c r="AP977" s="440">
        <v>0</v>
      </c>
      <c r="AQ977" s="440">
        <v>0</v>
      </c>
      <c r="AR977" s="440">
        <v>0</v>
      </c>
      <c r="AS977" s="440">
        <v>0</v>
      </c>
      <c r="AT977" s="440">
        <v>0</v>
      </c>
      <c r="AU977" s="440">
        <v>0</v>
      </c>
      <c r="AV977" s="440">
        <v>0</v>
      </c>
      <c r="AW977" s="440">
        <v>0</v>
      </c>
      <c r="AX977" s="440">
        <v>0</v>
      </c>
      <c r="AY977" s="440">
        <v>0</v>
      </c>
      <c r="AZ977" s="440">
        <v>0</v>
      </c>
      <c r="BA977" s="440">
        <v>0</v>
      </c>
      <c r="BB977" s="440">
        <v>0</v>
      </c>
      <c r="BC977" s="440">
        <v>0</v>
      </c>
      <c r="BD977" s="440">
        <v>0</v>
      </c>
      <c r="BE977" s="440">
        <v>0</v>
      </c>
      <c r="BF977" s="440">
        <v>0</v>
      </c>
      <c r="BG977" s="440">
        <v>0</v>
      </c>
      <c r="BH977" s="440">
        <v>0</v>
      </c>
      <c r="BI977" s="440">
        <v>0</v>
      </c>
      <c r="BJ977" s="440">
        <v>0</v>
      </c>
      <c r="BK977" s="440">
        <v>0</v>
      </c>
      <c r="BL977" s="440">
        <v>0</v>
      </c>
      <c r="BM977" s="440">
        <v>0</v>
      </c>
      <c r="BN977" s="440">
        <v>0</v>
      </c>
      <c r="BO977" s="440">
        <v>0</v>
      </c>
      <c r="BP977" s="440">
        <v>0</v>
      </c>
      <c r="BQ977" s="440">
        <v>0</v>
      </c>
      <c r="BR977" s="415">
        <v>0</v>
      </c>
      <c r="BS977" s="415">
        <v>0</v>
      </c>
      <c r="BT977" s="935"/>
      <c r="BU977" s="935"/>
      <c r="BV977" s="935"/>
      <c r="BW977" s="935"/>
      <c r="BX977" s="935"/>
      <c r="BY977" s="935"/>
      <c r="BZ977" s="935"/>
      <c r="CA977" s="935"/>
      <c r="CB977" s="935"/>
      <c r="CC977" s="935"/>
      <c r="CD977" s="935"/>
      <c r="CE977" s="935"/>
      <c r="CF977" s="935"/>
      <c r="CG977" s="935"/>
      <c r="CH977" s="935"/>
      <c r="CI977" s="935"/>
      <c r="CJ977" s="935"/>
      <c r="CK977" s="935"/>
      <c r="CL977" s="935"/>
      <c r="CM977" s="935"/>
      <c r="CN977" s="935"/>
      <c r="CO977" s="935"/>
      <c r="CP977" s="935"/>
      <c r="CQ977" s="935"/>
      <c r="CR977" s="935"/>
      <c r="CS977" s="935"/>
      <c r="CT977" s="935"/>
      <c r="CU977" s="935"/>
      <c r="CV977" s="935"/>
    </row>
    <row r="978" spans="1:100" s="441" customFormat="1">
      <c r="A978" s="375">
        <f t="shared" si="276"/>
        <v>10</v>
      </c>
      <c r="B978" s="862">
        <v>44489</v>
      </c>
      <c r="C978" s="493" t="s">
        <v>2001</v>
      </c>
      <c r="D978" s="376" t="str">
        <f>IFERROR(VLOOKUP(E:E,'Item Data Support Sheet'!A:O,7,0),"")</f>
        <v>NIPPLE MOLDED</v>
      </c>
      <c r="E978" s="447" t="s">
        <v>73</v>
      </c>
      <c r="F978" s="500" t="s">
        <v>1678</v>
      </c>
      <c r="G978" s="497" t="s">
        <v>1691</v>
      </c>
      <c r="H978" s="602" t="str">
        <f>IFERROR(VLOOKUP(E:E,'Item Data Support Sheet'!A:O,2,0),"")</f>
        <v>NIPPLE S TYPE M SIZE INJECTION</v>
      </c>
      <c r="I978" s="501" t="s">
        <v>3739</v>
      </c>
      <c r="J978" s="501" t="s">
        <v>2811</v>
      </c>
      <c r="K978" s="499">
        <v>8</v>
      </c>
      <c r="L978" s="499">
        <v>4815</v>
      </c>
      <c r="M978" s="366">
        <v>601.875</v>
      </c>
      <c r="N978" s="367">
        <f t="shared" si="275"/>
        <v>2130</v>
      </c>
      <c r="O978" s="61">
        <v>1900</v>
      </c>
      <c r="P978" s="368">
        <v>0</v>
      </c>
      <c r="Q978" s="368">
        <v>110</v>
      </c>
      <c r="R978" s="494">
        <v>0</v>
      </c>
      <c r="S978" s="493">
        <v>0</v>
      </c>
      <c r="T978" s="494">
        <v>120</v>
      </c>
      <c r="U978" s="493">
        <v>0</v>
      </c>
      <c r="V978" s="502">
        <v>1</v>
      </c>
      <c r="W978" s="453">
        <f t="shared" si="277"/>
        <v>1900</v>
      </c>
      <c r="X978" s="748">
        <f t="shared" si="278"/>
        <v>0.39460020768431986</v>
      </c>
      <c r="Y978" s="451" t="str">
        <f>IFERROR(VLOOKUP(E:E,'Item Data Support Sheet'!A:J,6,0),0)</f>
        <v>Silicon</v>
      </c>
      <c r="Z978" s="428">
        <f>IFERROR(VLOOKUP(E:E,'Item Data Support Sheet'!A:O,4,0),0)</f>
        <v>6.8</v>
      </c>
      <c r="AA978" s="428">
        <f t="shared" si="279"/>
        <v>14.484</v>
      </c>
      <c r="AB978" s="429">
        <f t="shared" si="280"/>
        <v>0.892018779342723</v>
      </c>
      <c r="AC978" s="424">
        <f t="shared" si="281"/>
        <v>5.9405940594059403E-2</v>
      </c>
      <c r="AD978" s="371">
        <f t="shared" si="282"/>
        <v>4.9107142857142856E-2</v>
      </c>
      <c r="AE978" s="748">
        <f t="shared" si="283"/>
        <v>0.94366197183098588</v>
      </c>
      <c r="AF978" s="417">
        <f t="shared" si="284"/>
        <v>5.25</v>
      </c>
      <c r="AG978" s="416">
        <f t="shared" si="285"/>
        <v>2.75</v>
      </c>
      <c r="AH978" s="372">
        <f t="shared" si="286"/>
        <v>0.34375</v>
      </c>
      <c r="AI978" s="373">
        <f t="shared" si="287"/>
        <v>237.5</v>
      </c>
      <c r="AJ978" s="418">
        <f>VLOOKUP(D978,'Standard Cycle time'!C:D,2,0)</f>
        <v>5.25</v>
      </c>
      <c r="AK978" s="418">
        <f t="shared" si="288"/>
        <v>5.2105263157894735</v>
      </c>
      <c r="AL978" s="374">
        <f t="shared" si="289"/>
        <v>1.0075757575757576</v>
      </c>
      <c r="AM978" s="372">
        <f t="shared" si="290"/>
        <v>0.32684125586854457</v>
      </c>
      <c r="AN978" s="799">
        <v>0.32684125586854457</v>
      </c>
      <c r="AO978" s="448"/>
      <c r="AP978" s="440">
        <v>0</v>
      </c>
      <c r="AQ978" s="440">
        <v>120</v>
      </c>
      <c r="AR978" s="440">
        <v>0</v>
      </c>
      <c r="AS978" s="440">
        <v>0</v>
      </c>
      <c r="AT978" s="440">
        <v>0</v>
      </c>
      <c r="AU978" s="440">
        <v>30</v>
      </c>
      <c r="AV978" s="440">
        <v>45</v>
      </c>
      <c r="AW978" s="440">
        <v>30</v>
      </c>
      <c r="AX978" s="440">
        <v>0</v>
      </c>
      <c r="AY978" s="440">
        <v>0</v>
      </c>
      <c r="AZ978" s="440">
        <v>0</v>
      </c>
      <c r="BA978" s="440">
        <v>0</v>
      </c>
      <c r="BB978" s="440">
        <v>90</v>
      </c>
      <c r="BC978" s="440">
        <v>0</v>
      </c>
      <c r="BD978" s="440">
        <v>0</v>
      </c>
      <c r="BE978" s="440">
        <v>0</v>
      </c>
      <c r="BF978" s="440">
        <v>0</v>
      </c>
      <c r="BG978" s="440">
        <v>0</v>
      </c>
      <c r="BH978" s="440">
        <v>0</v>
      </c>
      <c r="BI978" s="440">
        <v>0</v>
      </c>
      <c r="BJ978" s="440">
        <v>0</v>
      </c>
      <c r="BK978" s="440">
        <v>0</v>
      </c>
      <c r="BL978" s="440">
        <v>0</v>
      </c>
      <c r="BM978" s="440">
        <v>0</v>
      </c>
      <c r="BN978" s="440">
        <v>0</v>
      </c>
      <c r="BO978" s="440">
        <v>0</v>
      </c>
      <c r="BP978" s="440">
        <v>0</v>
      </c>
      <c r="BQ978" s="440">
        <v>0</v>
      </c>
      <c r="BR978" s="415">
        <v>5.25</v>
      </c>
      <c r="BS978" s="415">
        <v>5.25</v>
      </c>
      <c r="BT978" s="935"/>
      <c r="BU978" s="935"/>
      <c r="BV978" s="935"/>
      <c r="BW978" s="935"/>
      <c r="BX978" s="935"/>
      <c r="BY978" s="935"/>
      <c r="BZ978" s="935"/>
      <c r="CA978" s="935"/>
      <c r="CB978" s="935"/>
      <c r="CC978" s="935"/>
      <c r="CD978" s="935"/>
      <c r="CE978" s="935"/>
      <c r="CF978" s="935"/>
      <c r="CG978" s="935"/>
      <c r="CH978" s="935"/>
      <c r="CI978" s="935"/>
      <c r="CJ978" s="935"/>
      <c r="CK978" s="935"/>
      <c r="CL978" s="935"/>
      <c r="CM978" s="935"/>
      <c r="CN978" s="935"/>
      <c r="CO978" s="935"/>
      <c r="CP978" s="935"/>
      <c r="CQ978" s="935"/>
      <c r="CR978" s="935"/>
      <c r="CS978" s="935"/>
      <c r="CT978" s="935"/>
      <c r="CU978" s="935"/>
      <c r="CV978" s="935"/>
    </row>
    <row r="979" spans="1:100" s="441" customFormat="1">
      <c r="A979" s="375">
        <f t="shared" si="276"/>
        <v>10</v>
      </c>
      <c r="B979" s="862">
        <v>44489</v>
      </c>
      <c r="C979" s="493" t="s">
        <v>2001</v>
      </c>
      <c r="D979" s="376" t="str">
        <f>IFERROR(VLOOKUP(E:E,'Item Data Support Sheet'!A:O,7,0),"")</f>
        <v>BOTTLE MOLDED</v>
      </c>
      <c r="E979" s="447" t="s">
        <v>14</v>
      </c>
      <c r="F979" s="500" t="s">
        <v>1681</v>
      </c>
      <c r="G979" s="497" t="s">
        <v>1888</v>
      </c>
      <c r="H979" s="602" t="str">
        <f>IFERROR(VLOOKUP(E:E,'Item Data Support Sheet'!A:O,2,0),"")</f>
        <v>KPP 240 ML BOTTLE MOLDED</v>
      </c>
      <c r="I979" s="501" t="s">
        <v>3740</v>
      </c>
      <c r="J979" s="501" t="s">
        <v>2811</v>
      </c>
      <c r="K979" s="499">
        <v>6</v>
      </c>
      <c r="L979" s="499">
        <v>1932</v>
      </c>
      <c r="M979" s="366">
        <v>322</v>
      </c>
      <c r="N979" s="367">
        <f t="shared" si="275"/>
        <v>1676</v>
      </c>
      <c r="O979" s="61">
        <v>1620</v>
      </c>
      <c r="P979" s="368">
        <v>0</v>
      </c>
      <c r="Q979" s="368">
        <v>26</v>
      </c>
      <c r="R979" s="494">
        <v>0</v>
      </c>
      <c r="S979" s="493">
        <v>0</v>
      </c>
      <c r="T979" s="494">
        <v>30</v>
      </c>
      <c r="U979" s="493">
        <v>0</v>
      </c>
      <c r="V979" s="502">
        <v>1</v>
      </c>
      <c r="W979" s="453">
        <f t="shared" si="277"/>
        <v>1620</v>
      </c>
      <c r="X979" s="748">
        <f t="shared" si="278"/>
        <v>0.83850931677018636</v>
      </c>
      <c r="Y979" s="451" t="str">
        <f>IFERROR(VLOOKUP(E:E,'Item Data Support Sheet'!A:J,6,0),0)</f>
        <v>HMC</v>
      </c>
      <c r="Z979" s="428">
        <f>IFERROR(VLOOKUP(E:E,'Item Data Support Sheet'!A:O,4,0),0)</f>
        <v>32.1</v>
      </c>
      <c r="AA979" s="428">
        <f t="shared" si="279"/>
        <v>53.799600000000005</v>
      </c>
      <c r="AB979" s="429">
        <f t="shared" si="280"/>
        <v>0.96658711217183768</v>
      </c>
      <c r="AC979" s="424">
        <f t="shared" si="281"/>
        <v>1.8181818181818181E-2</v>
      </c>
      <c r="AD979" s="371">
        <f t="shared" si="282"/>
        <v>1.5276145710928319E-2</v>
      </c>
      <c r="AE979" s="748">
        <f t="shared" si="283"/>
        <v>0.9821002386634845</v>
      </c>
      <c r="AF979" s="417">
        <f t="shared" si="284"/>
        <v>1.8333333333333333</v>
      </c>
      <c r="AG979" s="416">
        <f t="shared" si="285"/>
        <v>4.166666666666667</v>
      </c>
      <c r="AH979" s="372">
        <f t="shared" si="286"/>
        <v>0.69444444444444453</v>
      </c>
      <c r="AI979" s="373">
        <f t="shared" si="287"/>
        <v>270</v>
      </c>
      <c r="AJ979" s="418">
        <f>VLOOKUP(D979,'Standard Cycle time'!C:D,2,0)</f>
        <v>9</v>
      </c>
      <c r="AK979" s="418">
        <f t="shared" si="288"/>
        <v>9.2592592592592595</v>
      </c>
      <c r="AL979" s="374">
        <f t="shared" si="289"/>
        <v>0.97199999999999998</v>
      </c>
      <c r="AM979" s="372">
        <f t="shared" si="290"/>
        <v>0.66291766109785211</v>
      </c>
      <c r="AN979" s="799">
        <v>0.66291766109785211</v>
      </c>
      <c r="AO979" s="448"/>
      <c r="AP979" s="440">
        <v>0</v>
      </c>
      <c r="AQ979" s="440">
        <v>0</v>
      </c>
      <c r="AR979" s="440">
        <v>0</v>
      </c>
      <c r="AS979" s="440">
        <v>0</v>
      </c>
      <c r="AT979" s="440">
        <v>0</v>
      </c>
      <c r="AU979" s="440">
        <v>0</v>
      </c>
      <c r="AV979" s="440">
        <v>30</v>
      </c>
      <c r="AW979" s="440">
        <v>30</v>
      </c>
      <c r="AX979" s="440">
        <v>0</v>
      </c>
      <c r="AY979" s="440">
        <v>0</v>
      </c>
      <c r="AZ979" s="440">
        <v>30</v>
      </c>
      <c r="BA979" s="440">
        <v>0</v>
      </c>
      <c r="BB979" s="440">
        <v>20</v>
      </c>
      <c r="BC979" s="440">
        <v>0</v>
      </c>
      <c r="BD979" s="440">
        <v>0</v>
      </c>
      <c r="BE979" s="440">
        <v>0</v>
      </c>
      <c r="BF979" s="440">
        <v>0</v>
      </c>
      <c r="BG979" s="440">
        <v>0</v>
      </c>
      <c r="BH979" s="440">
        <v>0</v>
      </c>
      <c r="BI979" s="440">
        <v>0</v>
      </c>
      <c r="BJ979" s="440">
        <v>0</v>
      </c>
      <c r="BK979" s="440">
        <v>0</v>
      </c>
      <c r="BL979" s="440">
        <v>0</v>
      </c>
      <c r="BM979" s="440">
        <v>0</v>
      </c>
      <c r="BN979" s="440">
        <v>0</v>
      </c>
      <c r="BO979" s="440">
        <v>0</v>
      </c>
      <c r="BP979" s="440">
        <v>0</v>
      </c>
      <c r="BQ979" s="440">
        <v>0</v>
      </c>
      <c r="BR979" s="415">
        <v>1.8333333333333333</v>
      </c>
      <c r="BS979" s="415">
        <v>1.8333333333333333</v>
      </c>
      <c r="BT979" s="935"/>
      <c r="BU979" s="935"/>
      <c r="BV979" s="935"/>
      <c r="BW979" s="935"/>
      <c r="BX979" s="935"/>
      <c r="BY979" s="935"/>
      <c r="BZ979" s="935"/>
      <c r="CA979" s="935"/>
      <c r="CB979" s="935"/>
      <c r="CC979" s="935"/>
      <c r="CD979" s="935"/>
      <c r="CE979" s="935"/>
      <c r="CF979" s="935"/>
      <c r="CG979" s="935"/>
      <c r="CH979" s="935"/>
      <c r="CI979" s="935"/>
      <c r="CJ979" s="935"/>
      <c r="CK979" s="935"/>
      <c r="CL979" s="935"/>
      <c r="CM979" s="935"/>
      <c r="CN979" s="935"/>
      <c r="CO979" s="935"/>
      <c r="CP979" s="935"/>
      <c r="CQ979" s="935"/>
      <c r="CR979" s="935"/>
      <c r="CS979" s="935"/>
      <c r="CT979" s="935"/>
      <c r="CU979" s="935"/>
      <c r="CV979" s="935"/>
    </row>
    <row r="980" spans="1:100" s="441" customFormat="1">
      <c r="A980" s="375">
        <f t="shared" si="276"/>
        <v>10</v>
      </c>
      <c r="B980" s="862">
        <v>44489</v>
      </c>
      <c r="C980" s="493" t="s">
        <v>2001</v>
      </c>
      <c r="D980" s="376" t="str">
        <f>IFERROR(VLOOKUP(E:E,'Item Data Support Sheet'!A:O,7,0),"")</f>
        <v>BOTTLE PRINTED</v>
      </c>
      <c r="E980" s="447" t="s">
        <v>70</v>
      </c>
      <c r="F980" s="500"/>
      <c r="G980" s="497" t="s">
        <v>1698</v>
      </c>
      <c r="H980" s="602" t="str">
        <f>IFERROR(VLOOKUP(E:E,'Item Data Support Sheet'!A:O,2,0),"")</f>
        <v>KPP 200 ML BOTTLE PRINTED</v>
      </c>
      <c r="I980" s="501" t="s">
        <v>3741</v>
      </c>
      <c r="J980" s="501" t="s">
        <v>2811</v>
      </c>
      <c r="K980" s="499">
        <v>8</v>
      </c>
      <c r="L980" s="499">
        <v>5100</v>
      </c>
      <c r="M980" s="366">
        <v>637.5</v>
      </c>
      <c r="N980" s="367">
        <f t="shared" si="275"/>
        <v>5199</v>
      </c>
      <c r="O980" s="61">
        <v>5184</v>
      </c>
      <c r="P980" s="368">
        <v>0</v>
      </c>
      <c r="Q980" s="368">
        <v>0</v>
      </c>
      <c r="R980" s="494">
        <v>47</v>
      </c>
      <c r="S980" s="493">
        <v>0</v>
      </c>
      <c r="T980" s="494">
        <v>15</v>
      </c>
      <c r="U980" s="493">
        <v>0</v>
      </c>
      <c r="V980" s="502">
        <v>5</v>
      </c>
      <c r="W980" s="453">
        <f t="shared" si="277"/>
        <v>1036.8</v>
      </c>
      <c r="X980" s="748">
        <f t="shared" si="278"/>
        <v>1.016470588235294</v>
      </c>
      <c r="Y980" s="451" t="str">
        <f>IFERROR(VLOOKUP(E:E,'Item Data Support Sheet'!A:J,6,0),0)</f>
        <v>FO002</v>
      </c>
      <c r="Z980" s="428">
        <f>IFERROR(VLOOKUP(E:E,'Item Data Support Sheet'!A:O,4,0),0)</f>
        <v>0</v>
      </c>
      <c r="AA980" s="428">
        <f t="shared" si="279"/>
        <v>0</v>
      </c>
      <c r="AB980" s="429" t="str">
        <f t="shared" si="280"/>
        <v xml:space="preserve"> </v>
      </c>
      <c r="AC980" s="424">
        <f t="shared" si="281"/>
        <v>2.8851702250432777E-3</v>
      </c>
      <c r="AD980" s="371">
        <f t="shared" si="282"/>
        <v>0</v>
      </c>
      <c r="AE980" s="748">
        <f t="shared" si="283"/>
        <v>0.99711482977495669</v>
      </c>
      <c r="AF980" s="417">
        <f t="shared" si="284"/>
        <v>0.66666666666666663</v>
      </c>
      <c r="AG980" s="416">
        <f t="shared" si="285"/>
        <v>7.333333333333333</v>
      </c>
      <c r="AH980" s="372">
        <f t="shared" si="286"/>
        <v>0.91666666666666663</v>
      </c>
      <c r="AI980" s="373">
        <f t="shared" si="287"/>
        <v>648</v>
      </c>
      <c r="AJ980" s="418">
        <f>VLOOKUP(D980,'Standard Cycle time'!C:D,2,0)</f>
        <v>32.4</v>
      </c>
      <c r="AK980" s="418">
        <f t="shared" si="288"/>
        <v>25.462962962962962</v>
      </c>
      <c r="AL980" s="374">
        <f t="shared" si="289"/>
        <v>1.2724363636363636</v>
      </c>
      <c r="AM980" s="372">
        <f t="shared" si="290"/>
        <v>1.1630347374495094</v>
      </c>
      <c r="AN980" s="799">
        <v>1.1630347374495094</v>
      </c>
      <c r="AO980" s="448"/>
      <c r="AP980" s="440">
        <v>40</v>
      </c>
      <c r="AQ980" s="440">
        <v>0</v>
      </c>
      <c r="AR980" s="440">
        <v>0</v>
      </c>
      <c r="AS980" s="440">
        <v>0</v>
      </c>
      <c r="AT980" s="440">
        <v>0</v>
      </c>
      <c r="AU980" s="440">
        <v>0</v>
      </c>
      <c r="AV980" s="440">
        <v>0</v>
      </c>
      <c r="AW980" s="440">
        <v>0</v>
      </c>
      <c r="AX980" s="440">
        <v>0</v>
      </c>
      <c r="AY980" s="440">
        <v>0</v>
      </c>
      <c r="AZ980" s="440">
        <v>0</v>
      </c>
      <c r="BA980" s="440">
        <v>0</v>
      </c>
      <c r="BB980" s="440">
        <v>0</v>
      </c>
      <c r="BC980" s="440">
        <v>0</v>
      </c>
      <c r="BD980" s="440">
        <v>0</v>
      </c>
      <c r="BE980" s="440">
        <v>0</v>
      </c>
      <c r="BF980" s="440">
        <v>0</v>
      </c>
      <c r="BG980" s="440">
        <v>0</v>
      </c>
      <c r="BH980" s="440">
        <v>0</v>
      </c>
      <c r="BI980" s="440">
        <v>0</v>
      </c>
      <c r="BJ980" s="440">
        <v>0</v>
      </c>
      <c r="BK980" s="440">
        <v>0</v>
      </c>
      <c r="BL980" s="440">
        <v>0</v>
      </c>
      <c r="BM980" s="440">
        <v>0</v>
      </c>
      <c r="BN980" s="440">
        <v>0</v>
      </c>
      <c r="BO980" s="440">
        <v>0</v>
      </c>
      <c r="BP980" s="440">
        <v>0</v>
      </c>
      <c r="BQ980" s="440">
        <v>0</v>
      </c>
      <c r="BR980" s="415">
        <v>0.66666666666666663</v>
      </c>
      <c r="BS980" s="415">
        <v>0.66666666666666663</v>
      </c>
      <c r="BT980" s="935"/>
      <c r="BU980" s="935"/>
      <c r="BV980" s="935"/>
      <c r="BW980" s="935"/>
      <c r="BX980" s="935"/>
      <c r="BY980" s="935"/>
      <c r="BZ980" s="935"/>
      <c r="CA980" s="935"/>
      <c r="CB980" s="935"/>
      <c r="CC980" s="935"/>
      <c r="CD980" s="935"/>
      <c r="CE980" s="935"/>
      <c r="CF980" s="935"/>
      <c r="CG980" s="935"/>
      <c r="CH980" s="935"/>
      <c r="CI980" s="935"/>
      <c r="CJ980" s="935"/>
      <c r="CK980" s="935"/>
      <c r="CL980" s="935"/>
      <c r="CM980" s="935"/>
      <c r="CN980" s="935"/>
      <c r="CO980" s="935"/>
      <c r="CP980" s="935"/>
      <c r="CQ980" s="935"/>
      <c r="CR980" s="935"/>
      <c r="CS980" s="935"/>
      <c r="CT980" s="935"/>
      <c r="CU980" s="935"/>
      <c r="CV980" s="935"/>
    </row>
    <row r="981" spans="1:100" s="441" customFormat="1">
      <c r="A981" s="375">
        <f t="shared" si="276"/>
        <v>10</v>
      </c>
      <c r="B981" s="862">
        <v>44489</v>
      </c>
      <c r="C981" s="493" t="s">
        <v>2053</v>
      </c>
      <c r="D981" s="376" t="str">
        <f>IFERROR(VLOOKUP(E:E,'Item Data Support Sheet'!A:O,7,0),"")</f>
        <v>CAP MOLDED</v>
      </c>
      <c r="E981" s="447" t="s">
        <v>2117</v>
      </c>
      <c r="F981" s="500"/>
      <c r="G981" s="497" t="s">
        <v>3579</v>
      </c>
      <c r="H981" s="602" t="str">
        <f>IFERROR(VLOOKUP(E:E,'Item Data Support Sheet'!A:O,2,0),"")</f>
        <v>CAP S TYPE MOLDED YELLOW</v>
      </c>
      <c r="I981" s="501" t="s">
        <v>3742</v>
      </c>
      <c r="J981" s="501" t="s">
        <v>2808</v>
      </c>
      <c r="K981" s="499">
        <v>8</v>
      </c>
      <c r="L981" s="499">
        <v>4137</v>
      </c>
      <c r="M981" s="366">
        <v>517.125</v>
      </c>
      <c r="N981" s="367">
        <f t="shared" si="275"/>
        <v>4808</v>
      </c>
      <c r="O981" s="61">
        <v>4800</v>
      </c>
      <c r="P981" s="368">
        <v>0</v>
      </c>
      <c r="Q981" s="368">
        <v>0</v>
      </c>
      <c r="R981" s="494">
        <v>0</v>
      </c>
      <c r="S981" s="493">
        <v>0</v>
      </c>
      <c r="T981" s="494">
        <v>0</v>
      </c>
      <c r="U981" s="493">
        <v>8</v>
      </c>
      <c r="V981" s="502">
        <v>1</v>
      </c>
      <c r="W981" s="453">
        <f t="shared" si="277"/>
        <v>4800</v>
      </c>
      <c r="X981" s="748">
        <f t="shared" si="278"/>
        <v>1.1602610587382161</v>
      </c>
      <c r="Y981" s="451" t="str">
        <f>IFERROR(VLOOKUP(E:E,'Item Data Support Sheet'!A:J,6,0),0)</f>
        <v>RM000112</v>
      </c>
      <c r="Z981" s="428">
        <f>IFERROR(VLOOKUP(E:E,'Item Data Support Sheet'!A:O,4,0),0)</f>
        <v>7.3</v>
      </c>
      <c r="AA981" s="428">
        <f t="shared" si="279"/>
        <v>35.098399999999998</v>
      </c>
      <c r="AB981" s="429">
        <f t="shared" si="280"/>
        <v>0.99833610648918469</v>
      </c>
      <c r="AC981" s="424">
        <f t="shared" si="281"/>
        <v>0</v>
      </c>
      <c r="AD981" s="371">
        <f t="shared" si="282"/>
        <v>0</v>
      </c>
      <c r="AE981" s="748">
        <f t="shared" si="283"/>
        <v>1</v>
      </c>
      <c r="AF981" s="417">
        <f t="shared" si="284"/>
        <v>0</v>
      </c>
      <c r="AG981" s="416">
        <f t="shared" si="285"/>
        <v>8</v>
      </c>
      <c r="AH981" s="372">
        <f t="shared" si="286"/>
        <v>1</v>
      </c>
      <c r="AI981" s="373">
        <f t="shared" si="287"/>
        <v>600</v>
      </c>
      <c r="AJ981" s="418">
        <f>VLOOKUP(D981,'Standard Cycle time'!C:D,2,0)</f>
        <v>6</v>
      </c>
      <c r="AK981" s="418">
        <f t="shared" si="288"/>
        <v>6</v>
      </c>
      <c r="AL981" s="374">
        <f t="shared" si="289"/>
        <v>1</v>
      </c>
      <c r="AM981" s="372">
        <f t="shared" si="290"/>
        <v>1</v>
      </c>
      <c r="AN981" s="799">
        <v>1</v>
      </c>
      <c r="AO981" s="448"/>
      <c r="AP981" s="440">
        <v>0</v>
      </c>
      <c r="AQ981" s="440">
        <v>0</v>
      </c>
      <c r="AR981" s="440">
        <v>0</v>
      </c>
      <c r="AS981" s="440">
        <v>0</v>
      </c>
      <c r="AT981" s="440">
        <v>0</v>
      </c>
      <c r="AU981" s="440">
        <v>0</v>
      </c>
      <c r="AV981" s="440">
        <v>0</v>
      </c>
      <c r="AW981" s="440">
        <v>0</v>
      </c>
      <c r="AX981" s="440">
        <v>0</v>
      </c>
      <c r="AY981" s="440">
        <v>0</v>
      </c>
      <c r="AZ981" s="440">
        <v>0</v>
      </c>
      <c r="BA981" s="440">
        <v>0</v>
      </c>
      <c r="BB981" s="440">
        <v>0</v>
      </c>
      <c r="BC981" s="440">
        <v>0</v>
      </c>
      <c r="BD981" s="440">
        <v>0</v>
      </c>
      <c r="BE981" s="440">
        <v>0</v>
      </c>
      <c r="BF981" s="440">
        <v>0</v>
      </c>
      <c r="BG981" s="440">
        <v>0</v>
      </c>
      <c r="BH981" s="440">
        <v>0</v>
      </c>
      <c r="BI981" s="440">
        <v>0</v>
      </c>
      <c r="BJ981" s="440">
        <v>0</v>
      </c>
      <c r="BK981" s="440">
        <v>0</v>
      </c>
      <c r="BL981" s="440">
        <v>0</v>
      </c>
      <c r="BM981" s="440">
        <v>0</v>
      </c>
      <c r="BN981" s="440">
        <v>0</v>
      </c>
      <c r="BO981" s="440">
        <v>0</v>
      </c>
      <c r="BP981" s="440">
        <v>0</v>
      </c>
      <c r="BQ981" s="440">
        <v>0</v>
      </c>
      <c r="BR981" s="415">
        <v>0</v>
      </c>
      <c r="BS981" s="415">
        <v>0</v>
      </c>
      <c r="BT981" s="935"/>
      <c r="BU981" s="935"/>
      <c r="BV981" s="935"/>
      <c r="BW981" s="935"/>
      <c r="BX981" s="935"/>
      <c r="BY981" s="935"/>
      <c r="BZ981" s="935"/>
      <c r="CA981" s="935"/>
      <c r="CB981" s="935"/>
      <c r="CC981" s="935"/>
      <c r="CD981" s="935"/>
      <c r="CE981" s="935"/>
      <c r="CF981" s="935"/>
      <c r="CG981" s="935"/>
      <c r="CH981" s="935"/>
      <c r="CI981" s="935"/>
      <c r="CJ981" s="935"/>
      <c r="CK981" s="935"/>
      <c r="CL981" s="935"/>
      <c r="CM981" s="935"/>
      <c r="CN981" s="935"/>
      <c r="CO981" s="935"/>
      <c r="CP981" s="935"/>
      <c r="CQ981" s="935"/>
      <c r="CR981" s="935"/>
      <c r="CS981" s="935"/>
      <c r="CT981" s="935"/>
      <c r="CU981" s="935"/>
      <c r="CV981" s="935"/>
    </row>
    <row r="982" spans="1:100" s="441" customFormat="1">
      <c r="A982" s="375">
        <f t="shared" si="276"/>
        <v>10</v>
      </c>
      <c r="B982" s="862">
        <v>44489</v>
      </c>
      <c r="C982" s="493" t="s">
        <v>2053</v>
      </c>
      <c r="D982" s="376" t="str">
        <f>IFERROR(VLOOKUP(E:E,'Item Data Support Sheet'!A:O,7,0),"")</f>
        <v>NIPPLE MOLDED</v>
      </c>
      <c r="E982" s="447" t="s">
        <v>73</v>
      </c>
      <c r="F982" s="500" t="s">
        <v>1678</v>
      </c>
      <c r="G982" s="497" t="s">
        <v>1691</v>
      </c>
      <c r="H982" s="602" t="str">
        <f>IFERROR(VLOOKUP(E:E,'Item Data Support Sheet'!A:O,2,0),"")</f>
        <v>NIPPLE S TYPE M SIZE INJECTION</v>
      </c>
      <c r="I982" s="501" t="s">
        <v>3743</v>
      </c>
      <c r="J982" s="501" t="s">
        <v>2808</v>
      </c>
      <c r="K982" s="499">
        <v>8</v>
      </c>
      <c r="L982" s="499">
        <v>4815</v>
      </c>
      <c r="M982" s="366">
        <v>601.875</v>
      </c>
      <c r="N982" s="367">
        <f t="shared" si="275"/>
        <v>3403</v>
      </c>
      <c r="O982" s="61">
        <v>3300</v>
      </c>
      <c r="P982" s="368">
        <v>0</v>
      </c>
      <c r="Q982" s="368">
        <v>55</v>
      </c>
      <c r="R982" s="494">
        <v>0</v>
      </c>
      <c r="S982" s="493">
        <v>0</v>
      </c>
      <c r="T982" s="494">
        <v>48</v>
      </c>
      <c r="U982" s="493">
        <v>0</v>
      </c>
      <c r="V982" s="502">
        <v>1</v>
      </c>
      <c r="W982" s="453">
        <f t="shared" si="277"/>
        <v>3300</v>
      </c>
      <c r="X982" s="748">
        <f t="shared" si="278"/>
        <v>0.68535825545171336</v>
      </c>
      <c r="Y982" s="451" t="str">
        <f>IFERROR(VLOOKUP(E:E,'Item Data Support Sheet'!A:J,6,0),0)</f>
        <v>Silicon</v>
      </c>
      <c r="Z982" s="428">
        <f>IFERROR(VLOOKUP(E:E,'Item Data Support Sheet'!A:O,4,0),0)</f>
        <v>6.8</v>
      </c>
      <c r="AA982" s="428">
        <f t="shared" si="279"/>
        <v>23.1404</v>
      </c>
      <c r="AB982" s="429">
        <f t="shared" si="280"/>
        <v>0.96973258889215386</v>
      </c>
      <c r="AC982" s="424">
        <f t="shared" si="281"/>
        <v>1.4336917562724014E-2</v>
      </c>
      <c r="AD982" s="371">
        <f t="shared" si="282"/>
        <v>1.5905147484094852E-2</v>
      </c>
      <c r="AE982" s="748">
        <f t="shared" si="283"/>
        <v>0.98589479870702323</v>
      </c>
      <c r="AF982" s="417">
        <f t="shared" si="284"/>
        <v>2.3333333333333335</v>
      </c>
      <c r="AG982" s="416">
        <f t="shared" si="285"/>
        <v>5.6666666666666661</v>
      </c>
      <c r="AH982" s="372">
        <f t="shared" si="286"/>
        <v>0.70833333333333326</v>
      </c>
      <c r="AI982" s="373">
        <f t="shared" si="287"/>
        <v>412.5</v>
      </c>
      <c r="AJ982" s="418">
        <f>VLOOKUP(D982,'Standard Cycle time'!C:D,2,0)</f>
        <v>5.25</v>
      </c>
      <c r="AK982" s="418">
        <f t="shared" si="288"/>
        <v>6.1818181818181808</v>
      </c>
      <c r="AL982" s="374">
        <f t="shared" si="289"/>
        <v>0.84926470588235303</v>
      </c>
      <c r="AM982" s="372">
        <f t="shared" si="290"/>
        <v>0.59307733984719369</v>
      </c>
      <c r="AN982" s="799">
        <v>0.59307733984719369</v>
      </c>
      <c r="AO982" s="448" t="s">
        <v>3744</v>
      </c>
      <c r="AP982" s="440">
        <v>0</v>
      </c>
      <c r="AQ982" s="440">
        <v>0</v>
      </c>
      <c r="AR982" s="440">
        <v>0</v>
      </c>
      <c r="AS982" s="440">
        <v>0</v>
      </c>
      <c r="AT982" s="440">
        <v>0</v>
      </c>
      <c r="AU982" s="440">
        <v>80</v>
      </c>
      <c r="AV982" s="440">
        <v>30</v>
      </c>
      <c r="AW982" s="440">
        <v>30</v>
      </c>
      <c r="AX982" s="440">
        <v>0</v>
      </c>
      <c r="AY982" s="440">
        <v>0</v>
      </c>
      <c r="AZ982" s="440">
        <v>0</v>
      </c>
      <c r="BA982" s="440">
        <v>0</v>
      </c>
      <c r="BB982" s="440">
        <v>0</v>
      </c>
      <c r="BC982" s="440">
        <v>0</v>
      </c>
      <c r="BD982" s="440">
        <v>0</v>
      </c>
      <c r="BE982" s="440">
        <v>0</v>
      </c>
      <c r="BF982" s="440">
        <v>0</v>
      </c>
      <c r="BG982" s="440">
        <v>0</v>
      </c>
      <c r="BH982" s="440">
        <v>0</v>
      </c>
      <c r="BI982" s="440">
        <v>0</v>
      </c>
      <c r="BJ982" s="440">
        <v>0</v>
      </c>
      <c r="BK982" s="440">
        <v>0</v>
      </c>
      <c r="BL982" s="440">
        <v>0</v>
      </c>
      <c r="BM982" s="440">
        <v>0</v>
      </c>
      <c r="BN982" s="440">
        <v>0</v>
      </c>
      <c r="BO982" s="440">
        <v>0</v>
      </c>
      <c r="BP982" s="440">
        <v>0</v>
      </c>
      <c r="BQ982" s="440">
        <v>0</v>
      </c>
      <c r="BR982" s="415">
        <v>2.3333333333333335</v>
      </c>
      <c r="BS982" s="415">
        <v>2.3333333333333335</v>
      </c>
      <c r="BT982" s="935"/>
      <c r="BU982" s="935"/>
      <c r="BV982" s="935"/>
      <c r="BW982" s="935"/>
      <c r="BX982" s="935"/>
      <c r="BY982" s="935"/>
      <c r="BZ982" s="935"/>
      <c r="CA982" s="935"/>
      <c r="CB982" s="935"/>
      <c r="CC982" s="935"/>
      <c r="CD982" s="935"/>
      <c r="CE982" s="935"/>
      <c r="CF982" s="935"/>
      <c r="CG982" s="935"/>
      <c r="CH982" s="935"/>
      <c r="CI982" s="935"/>
      <c r="CJ982" s="935"/>
      <c r="CK982" s="935"/>
      <c r="CL982" s="935"/>
      <c r="CM982" s="935"/>
      <c r="CN982" s="935"/>
      <c r="CO982" s="935"/>
      <c r="CP982" s="935"/>
      <c r="CQ982" s="935"/>
      <c r="CR982" s="935"/>
      <c r="CS982" s="935"/>
      <c r="CT982" s="935"/>
      <c r="CU982" s="935"/>
      <c r="CV982" s="935"/>
    </row>
    <row r="983" spans="1:100" s="441" customFormat="1">
      <c r="A983" s="375">
        <f t="shared" si="276"/>
        <v>10</v>
      </c>
      <c r="B983" s="862">
        <v>44489</v>
      </c>
      <c r="C983" s="493" t="s">
        <v>2053</v>
      </c>
      <c r="D983" s="376" t="str">
        <f>IFERROR(VLOOKUP(E:E,'Item Data Support Sheet'!A:O,7,0),"")</f>
        <v>BOTTLE MOLDED</v>
      </c>
      <c r="E983" s="447" t="s">
        <v>14</v>
      </c>
      <c r="F983" s="500" t="s">
        <v>1681</v>
      </c>
      <c r="G983" s="497" t="s">
        <v>1888</v>
      </c>
      <c r="H983" s="602" t="str">
        <f>IFERROR(VLOOKUP(E:E,'Item Data Support Sheet'!A:O,2,0),"")</f>
        <v>KPP 240 ML BOTTLE MOLDED</v>
      </c>
      <c r="I983" s="501" t="s">
        <v>3745</v>
      </c>
      <c r="J983" s="501" t="s">
        <v>2808</v>
      </c>
      <c r="K983" s="499">
        <v>8</v>
      </c>
      <c r="L983" s="499">
        <v>2574</v>
      </c>
      <c r="M983" s="366">
        <v>321.75</v>
      </c>
      <c r="N983" s="367">
        <f t="shared" si="275"/>
        <v>3364</v>
      </c>
      <c r="O983" s="61">
        <v>3240</v>
      </c>
      <c r="P983" s="368">
        <v>0.3</v>
      </c>
      <c r="Q983" s="368">
        <v>44</v>
      </c>
      <c r="R983" s="494">
        <v>0</v>
      </c>
      <c r="S983" s="493">
        <v>0</v>
      </c>
      <c r="T983" s="494">
        <v>72</v>
      </c>
      <c r="U983" s="493">
        <v>8</v>
      </c>
      <c r="V983" s="502">
        <v>1</v>
      </c>
      <c r="W983" s="453">
        <f t="shared" si="277"/>
        <v>3240</v>
      </c>
      <c r="X983" s="748">
        <f t="shared" si="278"/>
        <v>1.2587412587412588</v>
      </c>
      <c r="Y983" s="451" t="str">
        <f>IFERROR(VLOOKUP(E:E,'Item Data Support Sheet'!A:J,6,0),0)</f>
        <v>HMC</v>
      </c>
      <c r="Z983" s="428">
        <f>IFERROR(VLOOKUP(E:E,'Item Data Support Sheet'!A:O,4,0),0)</f>
        <v>32.1</v>
      </c>
      <c r="AA983" s="428">
        <f t="shared" si="279"/>
        <v>108.28440000000001</v>
      </c>
      <c r="AB983" s="429">
        <f t="shared" si="280"/>
        <v>0.96047076033112799</v>
      </c>
      <c r="AC983" s="424">
        <f t="shared" si="281"/>
        <v>2.1739130434782608E-2</v>
      </c>
      <c r="AD983" s="371">
        <f t="shared" si="282"/>
        <v>1.2910798122065728E-2</v>
      </c>
      <c r="AE983" s="748">
        <f t="shared" si="283"/>
        <v>0.9785969084423306</v>
      </c>
      <c r="AF983" s="417">
        <f t="shared" si="284"/>
        <v>0</v>
      </c>
      <c r="AG983" s="416">
        <f t="shared" si="285"/>
        <v>8</v>
      </c>
      <c r="AH983" s="372">
        <f t="shared" si="286"/>
        <v>1</v>
      </c>
      <c r="AI983" s="373">
        <f t="shared" si="287"/>
        <v>405</v>
      </c>
      <c r="AJ983" s="418">
        <f>VLOOKUP(D983,'Standard Cycle time'!C:D,2,0)</f>
        <v>9</v>
      </c>
      <c r="AK983" s="418">
        <f t="shared" si="288"/>
        <v>8.8888888888888893</v>
      </c>
      <c r="AL983" s="374">
        <f t="shared" si="289"/>
        <v>1.0125</v>
      </c>
      <c r="AM983" s="372">
        <f t="shared" si="290"/>
        <v>0.99082936979785974</v>
      </c>
      <c r="AN983" s="799">
        <v>0.99082936979785974</v>
      </c>
      <c r="AO983" s="448" t="s">
        <v>3746</v>
      </c>
      <c r="AP983" s="440">
        <v>0</v>
      </c>
      <c r="AQ983" s="440">
        <v>0</v>
      </c>
      <c r="AR983" s="440">
        <v>0</v>
      </c>
      <c r="AS983" s="440">
        <v>0</v>
      </c>
      <c r="AT983" s="440">
        <v>0</v>
      </c>
      <c r="AU983" s="440">
        <v>0</v>
      </c>
      <c r="AV983" s="440">
        <v>0</v>
      </c>
      <c r="AW983" s="440">
        <v>0</v>
      </c>
      <c r="AX983" s="440">
        <v>0</v>
      </c>
      <c r="AY983" s="440">
        <v>0</v>
      </c>
      <c r="AZ983" s="440">
        <v>0</v>
      </c>
      <c r="BA983" s="440">
        <v>0</v>
      </c>
      <c r="BB983" s="440">
        <v>0</v>
      </c>
      <c r="BC983" s="440">
        <v>0</v>
      </c>
      <c r="BD983" s="440">
        <v>0</v>
      </c>
      <c r="BE983" s="440">
        <v>0</v>
      </c>
      <c r="BF983" s="440">
        <v>0</v>
      </c>
      <c r="BG983" s="440">
        <v>0</v>
      </c>
      <c r="BH983" s="440">
        <v>0</v>
      </c>
      <c r="BI983" s="440">
        <v>0</v>
      </c>
      <c r="BJ983" s="440">
        <v>0</v>
      </c>
      <c r="BK983" s="440">
        <v>0</v>
      </c>
      <c r="BL983" s="440">
        <v>0</v>
      </c>
      <c r="BM983" s="440">
        <v>0</v>
      </c>
      <c r="BN983" s="440">
        <v>0</v>
      </c>
      <c r="BO983" s="440">
        <v>0</v>
      </c>
      <c r="BP983" s="440">
        <v>0</v>
      </c>
      <c r="BQ983" s="440">
        <v>0</v>
      </c>
      <c r="BR983" s="415">
        <v>0</v>
      </c>
      <c r="BS983" s="415">
        <v>0</v>
      </c>
      <c r="BT983" s="935"/>
      <c r="BU983" s="935"/>
      <c r="BV983" s="935"/>
      <c r="BW983" s="935"/>
      <c r="BX983" s="935"/>
      <c r="BY983" s="935"/>
      <c r="BZ983" s="935"/>
      <c r="CA983" s="935"/>
      <c r="CB983" s="935"/>
      <c r="CC983" s="935"/>
      <c r="CD983" s="935"/>
      <c r="CE983" s="935"/>
      <c r="CF983" s="935"/>
      <c r="CG983" s="935"/>
      <c r="CH983" s="935"/>
      <c r="CI983" s="935"/>
      <c r="CJ983" s="935"/>
      <c r="CK983" s="935"/>
      <c r="CL983" s="935"/>
      <c r="CM983" s="935"/>
      <c r="CN983" s="935"/>
      <c r="CO983" s="935"/>
      <c r="CP983" s="935"/>
      <c r="CQ983" s="935"/>
      <c r="CR983" s="935"/>
      <c r="CS983" s="935"/>
      <c r="CT983" s="935"/>
      <c r="CU983" s="935"/>
      <c r="CV983" s="935"/>
    </row>
    <row r="984" spans="1:100" s="441" customFormat="1">
      <c r="A984" s="375">
        <f t="shared" si="276"/>
        <v>10</v>
      </c>
      <c r="B984" s="862">
        <v>44490</v>
      </c>
      <c r="C984" s="493" t="s">
        <v>1980</v>
      </c>
      <c r="D984" s="376" t="str">
        <f>IFERROR(VLOOKUP(E:E,'Item Data Support Sheet'!A:O,7,0),"")</f>
        <v>NIPPLE PUNCH</v>
      </c>
      <c r="E984" s="447" t="s">
        <v>81</v>
      </c>
      <c r="F984" s="500"/>
      <c r="G984" s="497" t="s">
        <v>1692</v>
      </c>
      <c r="H984" s="602" t="str">
        <f>IFERROR(VLOOKUP(E:E,'Item Data Support Sheet'!A:O,2,0),"")</f>
        <v>NIPPLE S TYPE M SIZE PUNCHED</v>
      </c>
      <c r="I984" s="501" t="s">
        <v>3747</v>
      </c>
      <c r="J984" s="501" t="s">
        <v>2826</v>
      </c>
      <c r="K984" s="499">
        <v>8</v>
      </c>
      <c r="L984" s="499">
        <v>7000</v>
      </c>
      <c r="M984" s="366">
        <v>875</v>
      </c>
      <c r="N984" s="367">
        <f t="shared" si="275"/>
        <v>7150</v>
      </c>
      <c r="O984" s="61">
        <v>7150</v>
      </c>
      <c r="P984" s="368">
        <v>0</v>
      </c>
      <c r="Q984" s="368">
        <v>0</v>
      </c>
      <c r="R984" s="494">
        <v>0</v>
      </c>
      <c r="S984" s="493">
        <v>0</v>
      </c>
      <c r="T984" s="494">
        <v>0</v>
      </c>
      <c r="U984" s="493">
        <v>0</v>
      </c>
      <c r="V984" s="502">
        <v>1</v>
      </c>
      <c r="W984" s="453">
        <f t="shared" si="277"/>
        <v>7150</v>
      </c>
      <c r="X984" s="748">
        <f t="shared" si="278"/>
        <v>1.0214285714285714</v>
      </c>
      <c r="Y984" s="451" t="str">
        <f>IFERROR(VLOOKUP(E:E,'Item Data Support Sheet'!A:J,6,0),0)</f>
        <v>FO016</v>
      </c>
      <c r="Z984" s="428">
        <f>IFERROR(VLOOKUP(E:E,'Item Data Support Sheet'!A:O,4,0),0)</f>
        <v>0</v>
      </c>
      <c r="AA984" s="428">
        <f t="shared" si="279"/>
        <v>0</v>
      </c>
      <c r="AB984" s="429" t="str">
        <f t="shared" si="280"/>
        <v xml:space="preserve"> </v>
      </c>
      <c r="AC984" s="424">
        <f t="shared" si="281"/>
        <v>0</v>
      </c>
      <c r="AD984" s="371">
        <f t="shared" si="282"/>
        <v>0</v>
      </c>
      <c r="AE984" s="748">
        <f t="shared" si="283"/>
        <v>1</v>
      </c>
      <c r="AF984" s="417">
        <f t="shared" si="284"/>
        <v>0.66666666666666663</v>
      </c>
      <c r="AG984" s="416">
        <f t="shared" si="285"/>
        <v>7.333333333333333</v>
      </c>
      <c r="AH984" s="372">
        <f t="shared" si="286"/>
        <v>0.91666666666666663</v>
      </c>
      <c r="AI984" s="373">
        <f t="shared" si="287"/>
        <v>893.75</v>
      </c>
      <c r="AJ984" s="418">
        <f>VLOOKUP(D984,'Standard Cycle time'!C:D,2,0)</f>
        <v>3.5</v>
      </c>
      <c r="AK984" s="418">
        <f t="shared" si="288"/>
        <v>3.6923076923076925</v>
      </c>
      <c r="AL984" s="374">
        <f t="shared" si="289"/>
        <v>0.94791666666666663</v>
      </c>
      <c r="AM984" s="372">
        <f t="shared" si="290"/>
        <v>0.86892361111111105</v>
      </c>
      <c r="AN984" s="799">
        <v>0.86892361111111105</v>
      </c>
      <c r="AO984" s="448"/>
      <c r="AP984" s="440">
        <v>40</v>
      </c>
      <c r="AQ984" s="440">
        <v>0</v>
      </c>
      <c r="AR984" s="440">
        <v>0</v>
      </c>
      <c r="AS984" s="440">
        <v>0</v>
      </c>
      <c r="AT984" s="440">
        <v>0</v>
      </c>
      <c r="AU984" s="440">
        <v>0</v>
      </c>
      <c r="AV984" s="440">
        <v>0</v>
      </c>
      <c r="AW984" s="440">
        <v>0</v>
      </c>
      <c r="AX984" s="440">
        <v>0</v>
      </c>
      <c r="AY984" s="440">
        <v>0</v>
      </c>
      <c r="AZ984" s="440">
        <v>0</v>
      </c>
      <c r="BA984" s="440">
        <v>0</v>
      </c>
      <c r="BB984" s="440">
        <v>0</v>
      </c>
      <c r="BC984" s="440">
        <v>0</v>
      </c>
      <c r="BD984" s="440">
        <v>0</v>
      </c>
      <c r="BE984" s="440">
        <v>0</v>
      </c>
      <c r="BF984" s="440">
        <v>0</v>
      </c>
      <c r="BG984" s="440">
        <v>0</v>
      </c>
      <c r="BH984" s="440">
        <v>0</v>
      </c>
      <c r="BI984" s="440">
        <v>0</v>
      </c>
      <c r="BJ984" s="440">
        <v>0</v>
      </c>
      <c r="BK984" s="440">
        <v>0</v>
      </c>
      <c r="BL984" s="440">
        <v>0</v>
      </c>
      <c r="BM984" s="440">
        <v>0</v>
      </c>
      <c r="BN984" s="440">
        <v>0</v>
      </c>
      <c r="BO984" s="440">
        <v>0</v>
      </c>
      <c r="BP984" s="440">
        <v>0</v>
      </c>
      <c r="BQ984" s="440">
        <v>0</v>
      </c>
      <c r="BR984" s="415">
        <v>0.66666666666666663</v>
      </c>
      <c r="BS984" s="415">
        <v>0.66666666666666663</v>
      </c>
      <c r="BT984" s="935"/>
      <c r="BU984" s="935"/>
      <c r="BV984" s="935"/>
      <c r="BW984" s="935"/>
      <c r="BX984" s="935"/>
      <c r="BY984" s="935"/>
      <c r="BZ984" s="935"/>
      <c r="CA984" s="935"/>
      <c r="CB984" s="935"/>
      <c r="CC984" s="935"/>
      <c r="CD984" s="935"/>
      <c r="CE984" s="935"/>
      <c r="CF984" s="935"/>
      <c r="CG984" s="935"/>
      <c r="CH984" s="935"/>
      <c r="CI984" s="935"/>
      <c r="CJ984" s="935"/>
      <c r="CK984" s="935"/>
      <c r="CL984" s="935"/>
      <c r="CM984" s="935"/>
      <c r="CN984" s="935"/>
      <c r="CO984" s="935"/>
      <c r="CP984" s="935"/>
      <c r="CQ984" s="935"/>
      <c r="CR984" s="935"/>
      <c r="CS984" s="935"/>
      <c r="CT984" s="935"/>
      <c r="CU984" s="935"/>
      <c r="CV984" s="935"/>
    </row>
    <row r="985" spans="1:100" s="441" customFormat="1">
      <c r="A985" s="375">
        <f t="shared" si="276"/>
        <v>10</v>
      </c>
      <c r="B985" s="862">
        <v>44490</v>
      </c>
      <c r="C985" s="493" t="s">
        <v>1980</v>
      </c>
      <c r="D985" s="376" t="str">
        <f>IFERROR(VLOOKUP(E:E,'Item Data Support Sheet'!A:O,7,0),"")</f>
        <v>NIPPLE LASER MARKING</v>
      </c>
      <c r="E985" s="447" t="s">
        <v>1815</v>
      </c>
      <c r="F985" s="500"/>
      <c r="G985" s="497" t="s">
        <v>1812</v>
      </c>
      <c r="H985" s="602" t="str">
        <f>IFERROR(VLOOKUP(E:E,'Item Data Support Sheet'!A:O,2,0),"")</f>
        <v>NIPPLE S TYPE M SIZE PUNCHED LASER MARKED</v>
      </c>
      <c r="I985" s="501" t="s">
        <v>3748</v>
      </c>
      <c r="J985" s="501" t="s">
        <v>2826</v>
      </c>
      <c r="K985" s="499">
        <v>8</v>
      </c>
      <c r="L985" s="499">
        <v>7000</v>
      </c>
      <c r="M985" s="366">
        <v>875</v>
      </c>
      <c r="N985" s="367">
        <f t="shared" si="275"/>
        <v>7120</v>
      </c>
      <c r="O985" s="61">
        <v>7120</v>
      </c>
      <c r="P985" s="368">
        <v>0</v>
      </c>
      <c r="Q985" s="368">
        <v>0</v>
      </c>
      <c r="R985" s="494">
        <v>0</v>
      </c>
      <c r="S985" s="493">
        <v>0</v>
      </c>
      <c r="T985" s="494">
        <v>0</v>
      </c>
      <c r="U985" s="493">
        <v>0</v>
      </c>
      <c r="V985" s="502">
        <v>1</v>
      </c>
      <c r="W985" s="453">
        <f t="shared" si="277"/>
        <v>7120</v>
      </c>
      <c r="X985" s="748">
        <f t="shared" si="278"/>
        <v>1.0171428571428571</v>
      </c>
      <c r="Y985" s="451" t="str">
        <f>IFERROR(VLOOKUP(E:E,'Item Data Support Sheet'!A:J,6,0),0)</f>
        <v>FO020</v>
      </c>
      <c r="Z985" s="428">
        <f>IFERROR(VLOOKUP(E:E,'Item Data Support Sheet'!A:O,4,0),0)</f>
        <v>0</v>
      </c>
      <c r="AA985" s="428">
        <f t="shared" si="279"/>
        <v>0</v>
      </c>
      <c r="AB985" s="429" t="str">
        <f t="shared" si="280"/>
        <v xml:space="preserve"> </v>
      </c>
      <c r="AC985" s="424">
        <f t="shared" si="281"/>
        <v>0</v>
      </c>
      <c r="AD985" s="371">
        <f t="shared" si="282"/>
        <v>0</v>
      </c>
      <c r="AE985" s="748">
        <f t="shared" si="283"/>
        <v>1</v>
      </c>
      <c r="AF985" s="417">
        <f t="shared" si="284"/>
        <v>0.66666666666666663</v>
      </c>
      <c r="AG985" s="416">
        <f t="shared" si="285"/>
        <v>7.333333333333333</v>
      </c>
      <c r="AH985" s="372">
        <f t="shared" si="286"/>
        <v>0.91666666666666663</v>
      </c>
      <c r="AI985" s="373">
        <f t="shared" si="287"/>
        <v>890</v>
      </c>
      <c r="AJ985" s="418">
        <f>VLOOKUP(D985,'Standard Cycle time'!C:D,2,0)</f>
        <v>3.5</v>
      </c>
      <c r="AK985" s="418">
        <f t="shared" si="288"/>
        <v>3.707865168539326</v>
      </c>
      <c r="AL985" s="374">
        <f t="shared" si="289"/>
        <v>0.94393939393939386</v>
      </c>
      <c r="AM985" s="372">
        <f t="shared" si="290"/>
        <v>0.8652777777777777</v>
      </c>
      <c r="AN985" s="799">
        <v>0.8652777777777777</v>
      </c>
      <c r="AO985" s="448"/>
      <c r="AP985" s="440">
        <v>40</v>
      </c>
      <c r="AQ985" s="440">
        <v>0</v>
      </c>
      <c r="AR985" s="440">
        <v>0</v>
      </c>
      <c r="AS985" s="440">
        <v>0</v>
      </c>
      <c r="AT985" s="440">
        <v>0</v>
      </c>
      <c r="AU985" s="440">
        <v>0</v>
      </c>
      <c r="AV985" s="440">
        <v>0</v>
      </c>
      <c r="AW985" s="440">
        <v>0</v>
      </c>
      <c r="AX985" s="440">
        <v>0</v>
      </c>
      <c r="AY985" s="440">
        <v>0</v>
      </c>
      <c r="AZ985" s="440">
        <v>0</v>
      </c>
      <c r="BA985" s="440">
        <v>0</v>
      </c>
      <c r="BB985" s="440">
        <v>0</v>
      </c>
      <c r="BC985" s="440">
        <v>0</v>
      </c>
      <c r="BD985" s="440">
        <v>0</v>
      </c>
      <c r="BE985" s="440">
        <v>0</v>
      </c>
      <c r="BF985" s="440">
        <v>0</v>
      </c>
      <c r="BG985" s="440">
        <v>0</v>
      </c>
      <c r="BH985" s="440">
        <v>0</v>
      </c>
      <c r="BI985" s="440">
        <v>0</v>
      </c>
      <c r="BJ985" s="440">
        <v>0</v>
      </c>
      <c r="BK985" s="440">
        <v>0</v>
      </c>
      <c r="BL985" s="440">
        <v>0</v>
      </c>
      <c r="BM985" s="440">
        <v>0</v>
      </c>
      <c r="BN985" s="440">
        <v>0</v>
      </c>
      <c r="BO985" s="440">
        <v>0</v>
      </c>
      <c r="BP985" s="440">
        <v>0</v>
      </c>
      <c r="BQ985" s="440">
        <v>0</v>
      </c>
      <c r="BR985" s="415">
        <v>0.66666666666666663</v>
      </c>
      <c r="BS985" s="415">
        <v>0.66666666666666663</v>
      </c>
      <c r="BT985" s="935"/>
      <c r="BU985" s="935"/>
      <c r="BV985" s="935"/>
      <c r="BW985" s="935"/>
      <c r="BX985" s="935"/>
      <c r="BY985" s="935"/>
      <c r="BZ985" s="935"/>
      <c r="CA985" s="935"/>
      <c r="CB985" s="935"/>
      <c r="CC985" s="935"/>
      <c r="CD985" s="935"/>
      <c r="CE985" s="935"/>
      <c r="CF985" s="935"/>
      <c r="CG985" s="935"/>
      <c r="CH985" s="935"/>
      <c r="CI985" s="935"/>
      <c r="CJ985" s="935"/>
      <c r="CK985" s="935"/>
      <c r="CL985" s="935"/>
      <c r="CM985" s="935"/>
      <c r="CN985" s="935"/>
      <c r="CO985" s="935"/>
      <c r="CP985" s="935"/>
      <c r="CQ985" s="935"/>
      <c r="CR985" s="935"/>
      <c r="CS985" s="935"/>
      <c r="CT985" s="935"/>
      <c r="CU985" s="935"/>
      <c r="CV985" s="935"/>
    </row>
    <row r="986" spans="1:100" s="441" customFormat="1">
      <c r="A986" s="375">
        <f t="shared" si="276"/>
        <v>10</v>
      </c>
      <c r="B986" s="862">
        <v>44490</v>
      </c>
      <c r="C986" s="493" t="s">
        <v>1980</v>
      </c>
      <c r="D986" s="376" t="str">
        <f>IFERROR(VLOOKUP(E:E,'Item Data Support Sheet'!A:O,7,0),"")</f>
        <v>BOTTLE MOLDED</v>
      </c>
      <c r="E986" s="447" t="s">
        <v>14</v>
      </c>
      <c r="F986" s="500" t="s">
        <v>1681</v>
      </c>
      <c r="G986" s="497" t="s">
        <v>1888</v>
      </c>
      <c r="H986" s="602" t="str">
        <f>IFERROR(VLOOKUP(E:E,'Item Data Support Sheet'!A:O,2,0),"")</f>
        <v>KPP 240 ML BOTTLE MOLDED</v>
      </c>
      <c r="I986" s="501" t="s">
        <v>3749</v>
      </c>
      <c r="J986" s="501" t="s">
        <v>2826</v>
      </c>
      <c r="K986" s="499">
        <v>8</v>
      </c>
      <c r="L986" s="499">
        <v>2574</v>
      </c>
      <c r="M986" s="366">
        <v>321.75</v>
      </c>
      <c r="N986" s="367">
        <f t="shared" si="275"/>
        <v>3049</v>
      </c>
      <c r="O986" s="61">
        <v>2916</v>
      </c>
      <c r="P986" s="368">
        <v>0.2</v>
      </c>
      <c r="Q986" s="368">
        <v>66</v>
      </c>
      <c r="R986" s="494">
        <v>0</v>
      </c>
      <c r="S986" s="493">
        <v>0</v>
      </c>
      <c r="T986" s="494">
        <v>59</v>
      </c>
      <c r="U986" s="493">
        <v>8</v>
      </c>
      <c r="V986" s="502">
        <v>1</v>
      </c>
      <c r="W986" s="453">
        <f t="shared" si="277"/>
        <v>2916</v>
      </c>
      <c r="X986" s="748">
        <f t="shared" si="278"/>
        <v>1.1328671328671329</v>
      </c>
      <c r="Y986" s="451" t="str">
        <f>IFERROR(VLOOKUP(E:E,'Item Data Support Sheet'!A:J,6,0),0)</f>
        <v>HMC</v>
      </c>
      <c r="Z986" s="428">
        <f>IFERROR(VLOOKUP(E:E,'Item Data Support Sheet'!A:O,4,0),0)</f>
        <v>32.1</v>
      </c>
      <c r="AA986" s="428">
        <f t="shared" si="279"/>
        <v>98.072900000000018</v>
      </c>
      <c r="AB986" s="429">
        <f t="shared" si="280"/>
        <v>0.95442879735380515</v>
      </c>
      <c r="AC986" s="424">
        <f t="shared" si="281"/>
        <v>1.9831932773109243E-2</v>
      </c>
      <c r="AD986" s="371">
        <f t="shared" si="282"/>
        <v>2.118780096308186E-2</v>
      </c>
      <c r="AE986" s="748">
        <f t="shared" si="283"/>
        <v>0.9806493932436865</v>
      </c>
      <c r="AF986" s="417">
        <f t="shared" si="284"/>
        <v>0</v>
      </c>
      <c r="AG986" s="416">
        <f t="shared" si="285"/>
        <v>8</v>
      </c>
      <c r="AH986" s="372">
        <f t="shared" si="286"/>
        <v>1</v>
      </c>
      <c r="AI986" s="373">
        <f t="shared" si="287"/>
        <v>364.5</v>
      </c>
      <c r="AJ986" s="418">
        <f>VLOOKUP(D986,'Standard Cycle time'!C:D,2,0)</f>
        <v>9</v>
      </c>
      <c r="AK986" s="418">
        <f t="shared" si="288"/>
        <v>9.8765432098765427</v>
      </c>
      <c r="AL986" s="374">
        <f t="shared" si="289"/>
        <v>0.91125</v>
      </c>
      <c r="AM986" s="372">
        <f t="shared" si="290"/>
        <v>0.89361675959330933</v>
      </c>
      <c r="AN986" s="799">
        <v>0.89361675959330933</v>
      </c>
      <c r="AO986" s="448"/>
      <c r="AP986" s="440">
        <v>0</v>
      </c>
      <c r="AQ986" s="440">
        <v>0</v>
      </c>
      <c r="AR986" s="440">
        <v>0</v>
      </c>
      <c r="AS986" s="440">
        <v>0</v>
      </c>
      <c r="AT986" s="440">
        <v>0</v>
      </c>
      <c r="AU986" s="440">
        <v>0</v>
      </c>
      <c r="AV986" s="440">
        <v>0</v>
      </c>
      <c r="AW986" s="440">
        <v>0</v>
      </c>
      <c r="AX986" s="440">
        <v>0</v>
      </c>
      <c r="AY986" s="440">
        <v>0</v>
      </c>
      <c r="AZ986" s="440">
        <v>0</v>
      </c>
      <c r="BA986" s="440">
        <v>0</v>
      </c>
      <c r="BB986" s="440">
        <v>0</v>
      </c>
      <c r="BC986" s="440">
        <v>0</v>
      </c>
      <c r="BD986" s="440">
        <v>0</v>
      </c>
      <c r="BE986" s="440">
        <v>0</v>
      </c>
      <c r="BF986" s="440">
        <v>0</v>
      </c>
      <c r="BG986" s="440">
        <v>0</v>
      </c>
      <c r="BH986" s="440">
        <v>0</v>
      </c>
      <c r="BI986" s="440">
        <v>0</v>
      </c>
      <c r="BJ986" s="440">
        <v>0</v>
      </c>
      <c r="BK986" s="440">
        <v>0</v>
      </c>
      <c r="BL986" s="440">
        <v>0</v>
      </c>
      <c r="BM986" s="440">
        <v>0</v>
      </c>
      <c r="BN986" s="440">
        <v>0</v>
      </c>
      <c r="BO986" s="440">
        <v>0</v>
      </c>
      <c r="BP986" s="440">
        <v>0</v>
      </c>
      <c r="BQ986" s="440">
        <v>0</v>
      </c>
      <c r="BR986" s="415">
        <v>0</v>
      </c>
      <c r="BS986" s="415">
        <v>0</v>
      </c>
      <c r="BT986" s="935"/>
      <c r="BU986" s="935"/>
      <c r="BV986" s="935"/>
      <c r="BW986" s="935"/>
      <c r="BX986" s="935"/>
      <c r="BY986" s="935"/>
      <c r="BZ986" s="935"/>
      <c r="CA986" s="935"/>
      <c r="CB986" s="935"/>
      <c r="CC986" s="935"/>
      <c r="CD986" s="935"/>
      <c r="CE986" s="935"/>
      <c r="CF986" s="935"/>
      <c r="CG986" s="935"/>
      <c r="CH986" s="935"/>
      <c r="CI986" s="935"/>
      <c r="CJ986" s="935"/>
      <c r="CK986" s="935"/>
      <c r="CL986" s="935"/>
      <c r="CM986" s="935"/>
      <c r="CN986" s="935"/>
      <c r="CO986" s="935"/>
      <c r="CP986" s="935"/>
      <c r="CQ986" s="935"/>
      <c r="CR986" s="935"/>
      <c r="CS986" s="935"/>
      <c r="CT986" s="935"/>
      <c r="CU986" s="935"/>
      <c r="CV986" s="935"/>
    </row>
    <row r="987" spans="1:100" s="441" customFormat="1">
      <c r="A987" s="375">
        <f t="shared" si="276"/>
        <v>10</v>
      </c>
      <c r="B987" s="862">
        <v>44490</v>
      </c>
      <c r="C987" s="493" t="s">
        <v>1980</v>
      </c>
      <c r="D987" s="376" t="str">
        <f>IFERROR(VLOOKUP(E:E,'Item Data Support Sheet'!A:O,7,0),"")</f>
        <v>CAP MOLDED</v>
      </c>
      <c r="E987" s="447" t="s">
        <v>2117</v>
      </c>
      <c r="F987" s="500"/>
      <c r="G987" s="497" t="s">
        <v>3579</v>
      </c>
      <c r="H987" s="602" t="str">
        <f>IFERROR(VLOOKUP(E:E,'Item Data Support Sheet'!A:O,2,0),"")</f>
        <v>CAP S TYPE MOLDED YELLOW</v>
      </c>
      <c r="I987" s="501" t="s">
        <v>3750</v>
      </c>
      <c r="J987" s="501" t="s">
        <v>2826</v>
      </c>
      <c r="K987" s="499">
        <v>8</v>
      </c>
      <c r="L987" s="499">
        <v>4137</v>
      </c>
      <c r="M987" s="366">
        <v>517.125</v>
      </c>
      <c r="N987" s="367">
        <f t="shared" si="275"/>
        <v>3522</v>
      </c>
      <c r="O987" s="61">
        <v>3510</v>
      </c>
      <c r="P987" s="368">
        <v>0.15</v>
      </c>
      <c r="Q987" s="368">
        <v>0</v>
      </c>
      <c r="R987" s="494">
        <v>0</v>
      </c>
      <c r="S987" s="493">
        <v>0</v>
      </c>
      <c r="T987" s="494">
        <v>4</v>
      </c>
      <c r="U987" s="493">
        <v>8</v>
      </c>
      <c r="V987" s="502">
        <v>1</v>
      </c>
      <c r="W987" s="453">
        <f t="shared" si="277"/>
        <v>3510</v>
      </c>
      <c r="X987" s="748">
        <f t="shared" si="278"/>
        <v>0.84844089920232058</v>
      </c>
      <c r="Y987" s="451" t="str">
        <f>IFERROR(VLOOKUP(E:E,'Item Data Support Sheet'!A:J,6,0),0)</f>
        <v>RM000112</v>
      </c>
      <c r="Z987" s="428">
        <f>IFERROR(VLOOKUP(E:E,'Item Data Support Sheet'!A:O,4,0),0)</f>
        <v>7.3</v>
      </c>
      <c r="AA987" s="428">
        <f t="shared" si="279"/>
        <v>25.860599999999998</v>
      </c>
      <c r="AB987" s="429">
        <f t="shared" si="280"/>
        <v>0.99081227813739836</v>
      </c>
      <c r="AC987" s="424">
        <f t="shared" si="281"/>
        <v>1.1383039271485487E-3</v>
      </c>
      <c r="AD987" s="371">
        <f t="shared" si="282"/>
        <v>0</v>
      </c>
      <c r="AE987" s="748">
        <f t="shared" si="283"/>
        <v>0.99886428165814878</v>
      </c>
      <c r="AF987" s="417">
        <f t="shared" si="284"/>
        <v>2</v>
      </c>
      <c r="AG987" s="416">
        <f t="shared" si="285"/>
        <v>6</v>
      </c>
      <c r="AH987" s="372">
        <f t="shared" si="286"/>
        <v>0.75</v>
      </c>
      <c r="AI987" s="373">
        <f t="shared" si="287"/>
        <v>438.75</v>
      </c>
      <c r="AJ987" s="418">
        <f>VLOOKUP(D987,'Standard Cycle time'!C:D,2,0)</f>
        <v>6</v>
      </c>
      <c r="AK987" s="418">
        <f t="shared" si="288"/>
        <v>6.1538461538461542</v>
      </c>
      <c r="AL987" s="374">
        <f t="shared" si="289"/>
        <v>0.97499999999999998</v>
      </c>
      <c r="AM987" s="372">
        <f t="shared" si="290"/>
        <v>0.73041950596252125</v>
      </c>
      <c r="AN987" s="799">
        <v>0.73041950596252125</v>
      </c>
      <c r="AO987" s="448"/>
      <c r="AP987" s="440">
        <v>0</v>
      </c>
      <c r="AQ987" s="440">
        <v>0</v>
      </c>
      <c r="AR987" s="440">
        <v>0</v>
      </c>
      <c r="AS987" s="440">
        <v>0</v>
      </c>
      <c r="AT987" s="440">
        <v>0</v>
      </c>
      <c r="AU987" s="440">
        <v>0</v>
      </c>
      <c r="AV987" s="440">
        <v>30</v>
      </c>
      <c r="AW987" s="440">
        <v>40</v>
      </c>
      <c r="AX987" s="440">
        <v>0</v>
      </c>
      <c r="AY987" s="440">
        <v>0</v>
      </c>
      <c r="AZ987" s="440">
        <v>50</v>
      </c>
      <c r="BA987" s="440">
        <v>0</v>
      </c>
      <c r="BB987" s="440">
        <v>0</v>
      </c>
      <c r="BC987" s="440">
        <v>0</v>
      </c>
      <c r="BD987" s="440">
        <v>0</v>
      </c>
      <c r="BE987" s="440">
        <v>0</v>
      </c>
      <c r="BF987" s="440">
        <v>0</v>
      </c>
      <c r="BG987" s="440">
        <v>0</v>
      </c>
      <c r="BH987" s="440">
        <v>0</v>
      </c>
      <c r="BI987" s="440">
        <v>0</v>
      </c>
      <c r="BJ987" s="440">
        <v>0</v>
      </c>
      <c r="BK987" s="440">
        <v>0</v>
      </c>
      <c r="BL987" s="440">
        <v>0</v>
      </c>
      <c r="BM987" s="440">
        <v>0</v>
      </c>
      <c r="BN987" s="440">
        <v>0</v>
      </c>
      <c r="BO987" s="440">
        <v>0</v>
      </c>
      <c r="BP987" s="440">
        <v>0</v>
      </c>
      <c r="BQ987" s="440">
        <v>0</v>
      </c>
      <c r="BR987" s="415">
        <v>2</v>
      </c>
      <c r="BS987" s="415">
        <v>2</v>
      </c>
      <c r="BT987" s="935"/>
      <c r="BU987" s="935"/>
      <c r="BV987" s="935"/>
      <c r="BW987" s="935"/>
      <c r="BX987" s="935"/>
      <c r="BY987" s="935"/>
      <c r="BZ987" s="935"/>
      <c r="CA987" s="935"/>
      <c r="CB987" s="935"/>
      <c r="CC987" s="935"/>
      <c r="CD987" s="935"/>
      <c r="CE987" s="935"/>
      <c r="CF987" s="935"/>
      <c r="CG987" s="935"/>
      <c r="CH987" s="935"/>
      <c r="CI987" s="935"/>
      <c r="CJ987" s="935"/>
      <c r="CK987" s="935"/>
      <c r="CL987" s="935"/>
      <c r="CM987" s="935"/>
      <c r="CN987" s="935"/>
      <c r="CO987" s="935"/>
      <c r="CP987" s="935"/>
      <c r="CQ987" s="935"/>
      <c r="CR987" s="935"/>
      <c r="CS987" s="935"/>
      <c r="CT987" s="935"/>
      <c r="CU987" s="935"/>
      <c r="CV987" s="935"/>
    </row>
    <row r="988" spans="1:100" s="441" customFormat="1">
      <c r="A988" s="375">
        <f t="shared" si="276"/>
        <v>10</v>
      </c>
      <c r="B988" s="862">
        <v>44490</v>
      </c>
      <c r="C988" s="493" t="s">
        <v>1980</v>
      </c>
      <c r="D988" s="376" t="str">
        <f>IFERROR(VLOOKUP(E:E,'Item Data Support Sheet'!A:O,7,0),"")</f>
        <v>NIPPLE MOLDED</v>
      </c>
      <c r="E988" s="447" t="s">
        <v>73</v>
      </c>
      <c r="F988" s="500" t="s">
        <v>1678</v>
      </c>
      <c r="G988" s="497" t="s">
        <v>1691</v>
      </c>
      <c r="H988" s="602" t="str">
        <f>IFERROR(VLOOKUP(E:E,'Item Data Support Sheet'!A:O,2,0),"")</f>
        <v>NIPPLE S TYPE M SIZE INJECTION</v>
      </c>
      <c r="I988" s="501" t="s">
        <v>3751</v>
      </c>
      <c r="J988" s="501" t="s">
        <v>2826</v>
      </c>
      <c r="K988" s="499">
        <v>2.5</v>
      </c>
      <c r="L988" s="499">
        <v>1500</v>
      </c>
      <c r="M988" s="366">
        <v>600</v>
      </c>
      <c r="N988" s="367">
        <f t="shared" si="275"/>
        <v>1554</v>
      </c>
      <c r="O988" s="61">
        <v>1460</v>
      </c>
      <c r="P988" s="368">
        <v>0</v>
      </c>
      <c r="Q988" s="368">
        <v>68</v>
      </c>
      <c r="R988" s="494">
        <v>0</v>
      </c>
      <c r="S988" s="493">
        <v>0</v>
      </c>
      <c r="T988" s="494">
        <v>26</v>
      </c>
      <c r="U988" s="493">
        <v>0</v>
      </c>
      <c r="V988" s="502">
        <v>1</v>
      </c>
      <c r="W988" s="453">
        <f t="shared" si="277"/>
        <v>1460</v>
      </c>
      <c r="X988" s="748">
        <f t="shared" si="278"/>
        <v>0.97333333333333338</v>
      </c>
      <c r="Y988" s="451" t="str">
        <f>IFERROR(VLOOKUP(E:E,'Item Data Support Sheet'!A:J,6,0),0)</f>
        <v>Silicon</v>
      </c>
      <c r="Z988" s="428">
        <f>IFERROR(VLOOKUP(E:E,'Item Data Support Sheet'!A:O,4,0),0)</f>
        <v>6.8</v>
      </c>
      <c r="AA988" s="428">
        <f t="shared" si="279"/>
        <v>10.5672</v>
      </c>
      <c r="AB988" s="429">
        <f t="shared" si="280"/>
        <v>0.93951093951093945</v>
      </c>
      <c r="AC988" s="424">
        <f t="shared" si="281"/>
        <v>1.7496635262449527E-2</v>
      </c>
      <c r="AD988" s="371">
        <f t="shared" si="282"/>
        <v>4.192355117139334E-2</v>
      </c>
      <c r="AE988" s="748">
        <f t="shared" si="283"/>
        <v>0.98326898326898327</v>
      </c>
      <c r="AF988" s="417">
        <f t="shared" si="284"/>
        <v>0.5</v>
      </c>
      <c r="AG988" s="416">
        <f t="shared" si="285"/>
        <v>2</v>
      </c>
      <c r="AH988" s="372">
        <f t="shared" si="286"/>
        <v>0.8</v>
      </c>
      <c r="AI988" s="373">
        <f t="shared" si="287"/>
        <v>584</v>
      </c>
      <c r="AJ988" s="418">
        <f>VLOOKUP(D988,'Standard Cycle time'!C:D,2,0)</f>
        <v>5.25</v>
      </c>
      <c r="AK988" s="418">
        <f t="shared" si="288"/>
        <v>4.9315068493150687</v>
      </c>
      <c r="AL988" s="374">
        <f t="shared" si="289"/>
        <v>1.0645833333333332</v>
      </c>
      <c r="AM988" s="372">
        <f t="shared" si="290"/>
        <v>0.83741741741741738</v>
      </c>
      <c r="AN988" s="799">
        <v>0.83741741741741738</v>
      </c>
      <c r="AO988" s="448" t="s">
        <v>3752</v>
      </c>
      <c r="AP988" s="440">
        <v>0</v>
      </c>
      <c r="AQ988" s="440">
        <v>0</v>
      </c>
      <c r="AR988" s="440">
        <v>0</v>
      </c>
      <c r="AS988" s="440">
        <v>0</v>
      </c>
      <c r="AT988" s="440">
        <v>0</v>
      </c>
      <c r="AU988" s="440">
        <v>30</v>
      </c>
      <c r="AV988" s="440">
        <v>0</v>
      </c>
      <c r="AW988" s="440">
        <v>0</v>
      </c>
      <c r="AX988" s="440">
        <v>0</v>
      </c>
      <c r="AY988" s="440">
        <v>0</v>
      </c>
      <c r="AZ988" s="440">
        <v>0</v>
      </c>
      <c r="BA988" s="440">
        <v>0</v>
      </c>
      <c r="BB988" s="440">
        <v>0</v>
      </c>
      <c r="BC988" s="440">
        <v>0</v>
      </c>
      <c r="BD988" s="440">
        <v>0</v>
      </c>
      <c r="BE988" s="440">
        <v>0</v>
      </c>
      <c r="BF988" s="440">
        <v>0</v>
      </c>
      <c r="BG988" s="440">
        <v>0</v>
      </c>
      <c r="BH988" s="440">
        <v>0</v>
      </c>
      <c r="BI988" s="440">
        <v>0</v>
      </c>
      <c r="BJ988" s="440">
        <v>0</v>
      </c>
      <c r="BK988" s="440">
        <v>0</v>
      </c>
      <c r="BL988" s="440">
        <v>0</v>
      </c>
      <c r="BM988" s="440">
        <v>0</v>
      </c>
      <c r="BN988" s="440">
        <v>0</v>
      </c>
      <c r="BO988" s="440">
        <v>0</v>
      </c>
      <c r="BP988" s="440">
        <v>0</v>
      </c>
      <c r="BQ988" s="440">
        <v>0</v>
      </c>
      <c r="BR988" s="415">
        <v>0.5</v>
      </c>
      <c r="BS988" s="415">
        <v>0.5</v>
      </c>
      <c r="BT988" s="935"/>
      <c r="BU988" s="935"/>
      <c r="BV988" s="935"/>
      <c r="BW988" s="935"/>
      <c r="BX988" s="935"/>
      <c r="BY988" s="935"/>
      <c r="BZ988" s="935"/>
      <c r="CA988" s="935"/>
      <c r="CB988" s="935"/>
      <c r="CC988" s="935"/>
      <c r="CD988" s="935"/>
      <c r="CE988" s="935"/>
      <c r="CF988" s="935"/>
      <c r="CG988" s="935"/>
      <c r="CH988" s="935"/>
      <c r="CI988" s="935"/>
      <c r="CJ988" s="935"/>
      <c r="CK988" s="935"/>
      <c r="CL988" s="935"/>
      <c r="CM988" s="935"/>
      <c r="CN988" s="935"/>
      <c r="CO988" s="935"/>
      <c r="CP988" s="935"/>
      <c r="CQ988" s="935"/>
      <c r="CR988" s="935"/>
      <c r="CS988" s="935"/>
      <c r="CT988" s="935"/>
      <c r="CU988" s="935"/>
      <c r="CV988" s="935"/>
    </row>
    <row r="989" spans="1:100" s="441" customFormat="1">
      <c r="A989" s="375">
        <f t="shared" si="276"/>
        <v>10</v>
      </c>
      <c r="B989" s="862">
        <v>44490</v>
      </c>
      <c r="C989" s="493" t="s">
        <v>1980</v>
      </c>
      <c r="D989" s="376" t="str">
        <f>IFERROR(VLOOKUP(E:E,'Item Data Support Sheet'!A:O,7,0),"")</f>
        <v>BOTTLE PRINTED</v>
      </c>
      <c r="E989" s="447" t="s">
        <v>70</v>
      </c>
      <c r="F989" s="500"/>
      <c r="G989" s="497"/>
      <c r="H989" s="602" t="str">
        <f>IFERROR(VLOOKUP(E:E,'Item Data Support Sheet'!A:O,2,0),"")</f>
        <v>KPP 200 ML BOTTLE PRINTED</v>
      </c>
      <c r="I989" s="501" t="s">
        <v>3753</v>
      </c>
      <c r="J989" s="501" t="s">
        <v>2813</v>
      </c>
      <c r="K989" s="499">
        <v>5</v>
      </c>
      <c r="L989" s="499">
        <v>3200</v>
      </c>
      <c r="M989" s="366">
        <v>640</v>
      </c>
      <c r="N989" s="367">
        <f t="shared" si="275"/>
        <v>1897</v>
      </c>
      <c r="O989" s="61">
        <v>1877</v>
      </c>
      <c r="P989" s="368">
        <v>0</v>
      </c>
      <c r="Q989" s="368">
        <v>0</v>
      </c>
      <c r="R989" s="494">
        <v>17</v>
      </c>
      <c r="S989" s="493">
        <v>0</v>
      </c>
      <c r="T989" s="494">
        <v>20</v>
      </c>
      <c r="U989" s="493">
        <v>0</v>
      </c>
      <c r="V989" s="502">
        <v>4</v>
      </c>
      <c r="W989" s="453">
        <f t="shared" si="277"/>
        <v>469.25</v>
      </c>
      <c r="X989" s="748">
        <f t="shared" si="278"/>
        <v>0.58656249999999999</v>
      </c>
      <c r="Y989" s="451" t="str">
        <f>IFERROR(VLOOKUP(E:E,'Item Data Support Sheet'!A:J,6,0),0)</f>
        <v>FO002</v>
      </c>
      <c r="Z989" s="428">
        <f>IFERROR(VLOOKUP(E:E,'Item Data Support Sheet'!A:O,4,0),0)</f>
        <v>0</v>
      </c>
      <c r="AA989" s="428">
        <f t="shared" si="279"/>
        <v>0</v>
      </c>
      <c r="AB989" s="429" t="str">
        <f t="shared" si="280"/>
        <v xml:space="preserve"> </v>
      </c>
      <c r="AC989" s="424">
        <f t="shared" si="281"/>
        <v>1.0542962572482868E-2</v>
      </c>
      <c r="AD989" s="371">
        <f t="shared" si="282"/>
        <v>0</v>
      </c>
      <c r="AE989" s="748">
        <f t="shared" si="283"/>
        <v>0.98945703742751712</v>
      </c>
      <c r="AF989" s="417">
        <f t="shared" si="284"/>
        <v>1.1666666666666667</v>
      </c>
      <c r="AG989" s="416">
        <f t="shared" si="285"/>
        <v>3.833333333333333</v>
      </c>
      <c r="AH989" s="372">
        <f t="shared" si="286"/>
        <v>0.76666666666666661</v>
      </c>
      <c r="AI989" s="373">
        <f t="shared" si="287"/>
        <v>375.4</v>
      </c>
      <c r="AJ989" s="418">
        <f>VLOOKUP(D989,'Standard Cycle time'!C:D,2,0)</f>
        <v>32.4</v>
      </c>
      <c r="AK989" s="418">
        <f t="shared" si="288"/>
        <v>29.408630793819921</v>
      </c>
      <c r="AL989" s="374">
        <f t="shared" si="289"/>
        <v>1.1017173913043479</v>
      </c>
      <c r="AM989" s="372">
        <f t="shared" si="290"/>
        <v>0.83574488666315228</v>
      </c>
      <c r="AN989" s="799">
        <v>0.83574488666315228</v>
      </c>
      <c r="AO989" s="448" t="s">
        <v>3754</v>
      </c>
      <c r="AP989" s="440">
        <v>0</v>
      </c>
      <c r="AQ989" s="440">
        <v>70</v>
      </c>
      <c r="AR989" s="440">
        <v>0</v>
      </c>
      <c r="AS989" s="440">
        <v>0</v>
      </c>
      <c r="AT989" s="440">
        <v>0</v>
      </c>
      <c r="AU989" s="440">
        <v>0</v>
      </c>
      <c r="AV989" s="440">
        <v>0</v>
      </c>
      <c r="AW989" s="440">
        <v>0</v>
      </c>
      <c r="AX989" s="440">
        <v>0</v>
      </c>
      <c r="AY989" s="440">
        <v>0</v>
      </c>
      <c r="AZ989" s="440">
        <v>0</v>
      </c>
      <c r="BA989" s="440">
        <v>0</v>
      </c>
      <c r="BB989" s="440">
        <v>0</v>
      </c>
      <c r="BC989" s="440">
        <v>0</v>
      </c>
      <c r="BD989" s="440">
        <v>0</v>
      </c>
      <c r="BE989" s="440">
        <v>0</v>
      </c>
      <c r="BF989" s="440">
        <v>0</v>
      </c>
      <c r="BG989" s="440">
        <v>0</v>
      </c>
      <c r="BH989" s="440">
        <v>0</v>
      </c>
      <c r="BI989" s="440">
        <v>0</v>
      </c>
      <c r="BJ989" s="440">
        <v>0</v>
      </c>
      <c r="BK989" s="440">
        <v>0</v>
      </c>
      <c r="BL989" s="440">
        <v>0</v>
      </c>
      <c r="BM989" s="440">
        <v>0</v>
      </c>
      <c r="BN989" s="440">
        <v>0</v>
      </c>
      <c r="BO989" s="440">
        <v>0</v>
      </c>
      <c r="BP989" s="440">
        <v>0</v>
      </c>
      <c r="BQ989" s="440">
        <v>0</v>
      </c>
      <c r="BR989" s="415">
        <v>1.1666666666666667</v>
      </c>
      <c r="BS989" s="415">
        <v>1.1666666666666667</v>
      </c>
      <c r="BT989" s="935"/>
      <c r="BU989" s="935"/>
      <c r="BV989" s="935"/>
      <c r="BW989" s="935"/>
      <c r="BX989" s="935"/>
      <c r="BY989" s="935"/>
      <c r="BZ989" s="935"/>
      <c r="CA989" s="935"/>
      <c r="CB989" s="935"/>
      <c r="CC989" s="935"/>
      <c r="CD989" s="935"/>
      <c r="CE989" s="935"/>
      <c r="CF989" s="935"/>
      <c r="CG989" s="935"/>
      <c r="CH989" s="935"/>
      <c r="CI989" s="935"/>
      <c r="CJ989" s="935"/>
      <c r="CK989" s="935"/>
      <c r="CL989" s="935"/>
      <c r="CM989" s="935"/>
      <c r="CN989" s="935"/>
      <c r="CO989" s="935"/>
      <c r="CP989" s="935"/>
      <c r="CQ989" s="935"/>
      <c r="CR989" s="935"/>
      <c r="CS989" s="935"/>
      <c r="CT989" s="935"/>
      <c r="CU989" s="935"/>
      <c r="CV989" s="935"/>
    </row>
    <row r="990" spans="1:100" s="441" customFormat="1">
      <c r="A990" s="375">
        <f t="shared" si="276"/>
        <v>10</v>
      </c>
      <c r="B990" s="862">
        <v>44490</v>
      </c>
      <c r="C990" s="493" t="s">
        <v>1980</v>
      </c>
      <c r="D990" s="376" t="str">
        <f>IFERROR(VLOOKUP(E:E,'Item Data Support Sheet'!A:O,7,0),"")</f>
        <v>BOTTLE PRINTED</v>
      </c>
      <c r="E990" s="447" t="s">
        <v>64</v>
      </c>
      <c r="F990" s="500"/>
      <c r="G990" s="497"/>
      <c r="H990" s="602" t="str">
        <f>IFERROR(VLOOKUP(E:E,'Item Data Support Sheet'!A:O,2,0),"")</f>
        <v>KPP 240 ML BOTTLE PRINTED</v>
      </c>
      <c r="I990" s="501" t="s">
        <v>3755</v>
      </c>
      <c r="J990" s="501" t="s">
        <v>2813</v>
      </c>
      <c r="K990" s="499">
        <v>3</v>
      </c>
      <c r="L990" s="499">
        <v>1920</v>
      </c>
      <c r="M990" s="366">
        <v>640</v>
      </c>
      <c r="N990" s="367">
        <f t="shared" si="275"/>
        <v>1087</v>
      </c>
      <c r="O990" s="61">
        <v>1080</v>
      </c>
      <c r="P990" s="368">
        <v>0</v>
      </c>
      <c r="Q990" s="368">
        <v>0</v>
      </c>
      <c r="R990" s="494">
        <v>12</v>
      </c>
      <c r="S990" s="493">
        <v>0</v>
      </c>
      <c r="T990" s="494">
        <v>7</v>
      </c>
      <c r="U990" s="493">
        <v>0</v>
      </c>
      <c r="V990" s="502">
        <v>5</v>
      </c>
      <c r="W990" s="453">
        <f t="shared" si="277"/>
        <v>216</v>
      </c>
      <c r="X990" s="748">
        <f t="shared" si="278"/>
        <v>0.5625</v>
      </c>
      <c r="Y990" s="451" t="str">
        <f>IFERROR(VLOOKUP(E:E,'Item Data Support Sheet'!A:J,6,0),0)</f>
        <v>FO003</v>
      </c>
      <c r="Z990" s="428">
        <f>IFERROR(VLOOKUP(E:E,'Item Data Support Sheet'!A:O,4,0),0)</f>
        <v>0</v>
      </c>
      <c r="AA990" s="428">
        <f t="shared" si="279"/>
        <v>0</v>
      </c>
      <c r="AB990" s="429" t="str">
        <f t="shared" si="280"/>
        <v xml:space="preserve"> </v>
      </c>
      <c r="AC990" s="424">
        <f t="shared" si="281"/>
        <v>6.439742410303588E-3</v>
      </c>
      <c r="AD990" s="371">
        <f t="shared" si="282"/>
        <v>0</v>
      </c>
      <c r="AE990" s="748">
        <f t="shared" si="283"/>
        <v>0.99356025758969646</v>
      </c>
      <c r="AF990" s="417">
        <f t="shared" si="284"/>
        <v>1</v>
      </c>
      <c r="AG990" s="416">
        <f t="shared" si="285"/>
        <v>2</v>
      </c>
      <c r="AH990" s="372">
        <f t="shared" si="286"/>
        <v>0.66666666666666663</v>
      </c>
      <c r="AI990" s="373">
        <f t="shared" si="287"/>
        <v>360</v>
      </c>
      <c r="AJ990" s="418">
        <f>VLOOKUP(D990,'Standard Cycle time'!C:D,2,0)</f>
        <v>32.4</v>
      </c>
      <c r="AK990" s="418">
        <f t="shared" si="288"/>
        <v>33.333333333333336</v>
      </c>
      <c r="AL990" s="374">
        <f t="shared" si="289"/>
        <v>0.97199999999999986</v>
      </c>
      <c r="AM990" s="372">
        <f t="shared" si="290"/>
        <v>0.6438270469181232</v>
      </c>
      <c r="AN990" s="799">
        <v>0.6438270469181232</v>
      </c>
      <c r="AO990" s="448" t="s">
        <v>3756</v>
      </c>
      <c r="AP990" s="440">
        <v>40</v>
      </c>
      <c r="AQ990" s="440">
        <v>0</v>
      </c>
      <c r="AR990" s="440">
        <v>0</v>
      </c>
      <c r="AS990" s="440">
        <v>0</v>
      </c>
      <c r="AT990" s="440">
        <v>0</v>
      </c>
      <c r="AU990" s="440">
        <v>0</v>
      </c>
      <c r="AV990" s="440">
        <v>20</v>
      </c>
      <c r="AW990" s="440">
        <v>0</v>
      </c>
      <c r="AX990" s="440">
        <v>0</v>
      </c>
      <c r="AY990" s="440">
        <v>0</v>
      </c>
      <c r="AZ990" s="440">
        <v>0</v>
      </c>
      <c r="BA990" s="440">
        <v>0</v>
      </c>
      <c r="BB990" s="440">
        <v>0</v>
      </c>
      <c r="BC990" s="440">
        <v>0</v>
      </c>
      <c r="BD990" s="440">
        <v>0</v>
      </c>
      <c r="BE990" s="440">
        <v>0</v>
      </c>
      <c r="BF990" s="440">
        <v>0</v>
      </c>
      <c r="BG990" s="440">
        <v>0</v>
      </c>
      <c r="BH990" s="440">
        <v>0</v>
      </c>
      <c r="BI990" s="440">
        <v>0</v>
      </c>
      <c r="BJ990" s="440">
        <v>0</v>
      </c>
      <c r="BK990" s="440">
        <v>0</v>
      </c>
      <c r="BL990" s="440">
        <v>0</v>
      </c>
      <c r="BM990" s="440">
        <v>0</v>
      </c>
      <c r="BN990" s="440">
        <v>0</v>
      </c>
      <c r="BO990" s="440">
        <v>0</v>
      </c>
      <c r="BP990" s="440">
        <v>0</v>
      </c>
      <c r="BQ990" s="440">
        <v>0</v>
      </c>
      <c r="BR990" s="415">
        <v>1</v>
      </c>
      <c r="BS990" s="415">
        <v>1</v>
      </c>
      <c r="BT990" s="935"/>
      <c r="BU990" s="935"/>
      <c r="BV990" s="935"/>
      <c r="BW990" s="935"/>
      <c r="BX990" s="935"/>
      <c r="BY990" s="935"/>
      <c r="BZ990" s="935"/>
      <c r="CA990" s="935"/>
      <c r="CB990" s="935"/>
      <c r="CC990" s="935"/>
      <c r="CD990" s="935"/>
      <c r="CE990" s="935"/>
      <c r="CF990" s="935"/>
      <c r="CG990" s="935"/>
      <c r="CH990" s="935"/>
      <c r="CI990" s="935"/>
      <c r="CJ990" s="935"/>
      <c r="CK990" s="935"/>
      <c r="CL990" s="935"/>
      <c r="CM990" s="935"/>
      <c r="CN990" s="935"/>
      <c r="CO990" s="935"/>
      <c r="CP990" s="935"/>
      <c r="CQ990" s="935"/>
      <c r="CR990" s="935"/>
      <c r="CS990" s="935"/>
      <c r="CT990" s="935"/>
      <c r="CU990" s="935"/>
      <c r="CV990" s="935"/>
    </row>
    <row r="991" spans="1:100" s="441" customFormat="1">
      <c r="A991" s="375">
        <f t="shared" si="276"/>
        <v>10</v>
      </c>
      <c r="B991" s="862">
        <v>44490</v>
      </c>
      <c r="C991" s="493" t="s">
        <v>2000</v>
      </c>
      <c r="D991" s="376" t="str">
        <f>IFERROR(VLOOKUP(E:E,'Item Data Support Sheet'!A:O,7,0),"")</f>
        <v>NIPPLE PUNCH INSPECTED</v>
      </c>
      <c r="E991" s="447" t="s">
        <v>1819</v>
      </c>
      <c r="F991" s="500"/>
      <c r="G991" s="497"/>
      <c r="H991" s="602" t="str">
        <f>IFERROR(VLOOKUP(E:E,'Item Data Support Sheet'!A:O,2,0),"")</f>
        <v>NIPPLE S TYPE M SIZE PUNCHED INSPECTED</v>
      </c>
      <c r="I991" s="501" t="s">
        <v>3737</v>
      </c>
      <c r="J991" s="501" t="s">
        <v>2811</v>
      </c>
      <c r="K991" s="499">
        <v>8</v>
      </c>
      <c r="L991" s="499">
        <v>14137</v>
      </c>
      <c r="M991" s="366">
        <v>1767.125</v>
      </c>
      <c r="N991" s="367">
        <f t="shared" si="275"/>
        <v>13450</v>
      </c>
      <c r="O991" s="61">
        <v>13243</v>
      </c>
      <c r="P991" s="368">
        <v>0</v>
      </c>
      <c r="Q991" s="368">
        <v>0</v>
      </c>
      <c r="R991" s="494">
        <v>0</v>
      </c>
      <c r="S991" s="493">
        <v>0</v>
      </c>
      <c r="T991" s="494">
        <v>207</v>
      </c>
      <c r="U991" s="493">
        <v>0</v>
      </c>
      <c r="V991" s="502">
        <v>1</v>
      </c>
      <c r="W991" s="453">
        <f t="shared" si="277"/>
        <v>13243</v>
      </c>
      <c r="X991" s="748">
        <f t="shared" si="278"/>
        <v>0.93676168918440972</v>
      </c>
      <c r="Y991" s="451" t="str">
        <f>IFERROR(VLOOKUP(E:E,'Item Data Support Sheet'!A:J,6,0),0)</f>
        <v>FO105</v>
      </c>
      <c r="Z991" s="428">
        <f>IFERROR(VLOOKUP(E:E,'Item Data Support Sheet'!A:O,4,0),0)</f>
        <v>0</v>
      </c>
      <c r="AA991" s="428">
        <f t="shared" si="279"/>
        <v>0</v>
      </c>
      <c r="AB991" s="429" t="str">
        <f t="shared" si="280"/>
        <v xml:space="preserve"> </v>
      </c>
      <c r="AC991" s="424">
        <f t="shared" si="281"/>
        <v>1.5390334572490706E-2</v>
      </c>
      <c r="AD991" s="371">
        <f t="shared" si="282"/>
        <v>0</v>
      </c>
      <c r="AE991" s="748">
        <f t="shared" si="283"/>
        <v>0.98460966542750927</v>
      </c>
      <c r="AF991" s="417">
        <f t="shared" si="284"/>
        <v>0.83333333333333337</v>
      </c>
      <c r="AG991" s="416">
        <f t="shared" si="285"/>
        <v>7.166666666666667</v>
      </c>
      <c r="AH991" s="372">
        <f t="shared" si="286"/>
        <v>0.89583333333333337</v>
      </c>
      <c r="AI991" s="373">
        <f t="shared" si="287"/>
        <v>1655.375</v>
      </c>
      <c r="AJ991" s="418">
        <f>VLOOKUP(D991,'Standard Cycle time'!C:D,2,0)</f>
        <v>4</v>
      </c>
      <c r="AK991" s="418">
        <f t="shared" si="288"/>
        <v>1.9481990485539531</v>
      </c>
      <c r="AL991" s="374">
        <f t="shared" si="289"/>
        <v>2.0531782945736432</v>
      </c>
      <c r="AM991" s="372">
        <f t="shared" si="290"/>
        <v>1.8109980276745146</v>
      </c>
      <c r="AN991" s="799">
        <v>1.8109980276745146</v>
      </c>
      <c r="AO991" s="448"/>
      <c r="AP991" s="440">
        <v>50</v>
      </c>
      <c r="AQ991" s="440">
        <v>0</v>
      </c>
      <c r="AR991" s="440">
        <v>0</v>
      </c>
      <c r="AS991" s="440">
        <v>0</v>
      </c>
      <c r="AT991" s="440">
        <v>0</v>
      </c>
      <c r="AU991" s="440">
        <v>0</v>
      </c>
      <c r="AV991" s="440">
        <v>0</v>
      </c>
      <c r="AW991" s="440">
        <v>0</v>
      </c>
      <c r="AX991" s="440">
        <v>0</v>
      </c>
      <c r="AY991" s="440">
        <v>0</v>
      </c>
      <c r="AZ991" s="440">
        <v>0</v>
      </c>
      <c r="BA991" s="440">
        <v>0</v>
      </c>
      <c r="BB991" s="440">
        <v>0</v>
      </c>
      <c r="BC991" s="440">
        <v>0</v>
      </c>
      <c r="BD991" s="440">
        <v>0</v>
      </c>
      <c r="BE991" s="440">
        <v>0</v>
      </c>
      <c r="BF991" s="440">
        <v>0</v>
      </c>
      <c r="BG991" s="440">
        <v>0</v>
      </c>
      <c r="BH991" s="440">
        <v>0</v>
      </c>
      <c r="BI991" s="440">
        <v>0</v>
      </c>
      <c r="BJ991" s="440">
        <v>0</v>
      </c>
      <c r="BK991" s="440">
        <v>0</v>
      </c>
      <c r="BL991" s="440">
        <v>0</v>
      </c>
      <c r="BM991" s="440">
        <v>0</v>
      </c>
      <c r="BN991" s="440">
        <v>0</v>
      </c>
      <c r="BO991" s="440">
        <v>0</v>
      </c>
      <c r="BP991" s="440">
        <v>0</v>
      </c>
      <c r="BQ991" s="440">
        <v>0</v>
      </c>
      <c r="BR991" s="415">
        <v>0.83333333333333337</v>
      </c>
      <c r="BS991" s="415">
        <v>0.83333333333333337</v>
      </c>
      <c r="BT991" s="935"/>
      <c r="BU991" s="935"/>
      <c r="BV991" s="935"/>
      <c r="BW991" s="935"/>
      <c r="BX991" s="935"/>
      <c r="BY991" s="935"/>
      <c r="BZ991" s="935"/>
      <c r="CA991" s="935"/>
      <c r="CB991" s="935"/>
      <c r="CC991" s="935"/>
      <c r="CD991" s="935"/>
      <c r="CE991" s="935"/>
      <c r="CF991" s="935"/>
      <c r="CG991" s="935"/>
      <c r="CH991" s="935"/>
      <c r="CI991" s="935"/>
      <c r="CJ991" s="935"/>
      <c r="CK991" s="935"/>
      <c r="CL991" s="935"/>
      <c r="CM991" s="935"/>
      <c r="CN991" s="935"/>
      <c r="CO991" s="935"/>
      <c r="CP991" s="935"/>
      <c r="CQ991" s="935"/>
      <c r="CR991" s="935"/>
      <c r="CS991" s="935"/>
      <c r="CT991" s="935"/>
      <c r="CU991" s="935"/>
      <c r="CV991" s="935"/>
    </row>
    <row r="992" spans="1:100" s="441" customFormat="1">
      <c r="A992" s="375">
        <f t="shared" si="276"/>
        <v>10</v>
      </c>
      <c r="B992" s="862">
        <v>44490</v>
      </c>
      <c r="C992" s="493" t="s">
        <v>2001</v>
      </c>
      <c r="D992" s="376" t="str">
        <f>IFERROR(VLOOKUP(E:E,'Item Data Support Sheet'!A:O,7,0),"")</f>
        <v>NIPPLE PUNCH</v>
      </c>
      <c r="E992" s="447" t="s">
        <v>81</v>
      </c>
      <c r="F992" s="500"/>
      <c r="G992" s="497" t="s">
        <v>1692</v>
      </c>
      <c r="H992" s="602" t="str">
        <f>IFERROR(VLOOKUP(E:E,'Item Data Support Sheet'!A:O,2,0),"")</f>
        <v>NIPPLE S TYPE M SIZE PUNCHED</v>
      </c>
      <c r="I992" s="501" t="s">
        <v>3757</v>
      </c>
      <c r="J992" s="501" t="s">
        <v>2811</v>
      </c>
      <c r="K992" s="499">
        <v>8</v>
      </c>
      <c r="L992" s="499">
        <v>7000</v>
      </c>
      <c r="M992" s="366">
        <v>875</v>
      </c>
      <c r="N992" s="367">
        <f t="shared" si="275"/>
        <v>2760</v>
      </c>
      <c r="O992" s="61">
        <v>2760</v>
      </c>
      <c r="P992" s="368">
        <v>0</v>
      </c>
      <c r="Q992" s="368">
        <v>0</v>
      </c>
      <c r="R992" s="494">
        <v>0</v>
      </c>
      <c r="S992" s="493">
        <v>0</v>
      </c>
      <c r="T992" s="494">
        <v>0</v>
      </c>
      <c r="U992" s="493">
        <v>0</v>
      </c>
      <c r="V992" s="502">
        <v>1</v>
      </c>
      <c r="W992" s="453">
        <f t="shared" si="277"/>
        <v>2760</v>
      </c>
      <c r="X992" s="748">
        <f t="shared" si="278"/>
        <v>0.39428571428571429</v>
      </c>
      <c r="Y992" s="451" t="str">
        <f>IFERROR(VLOOKUP(E:E,'Item Data Support Sheet'!A:J,6,0),0)</f>
        <v>FO016</v>
      </c>
      <c r="Z992" s="428">
        <f>IFERROR(VLOOKUP(E:E,'Item Data Support Sheet'!A:O,4,0),0)</f>
        <v>0</v>
      </c>
      <c r="AA992" s="428">
        <f t="shared" si="279"/>
        <v>0</v>
      </c>
      <c r="AB992" s="429" t="str">
        <f t="shared" si="280"/>
        <v xml:space="preserve"> </v>
      </c>
      <c r="AC992" s="424">
        <f t="shared" si="281"/>
        <v>0</v>
      </c>
      <c r="AD992" s="371">
        <f t="shared" si="282"/>
        <v>0</v>
      </c>
      <c r="AE992" s="748">
        <f t="shared" si="283"/>
        <v>1</v>
      </c>
      <c r="AF992" s="417">
        <f t="shared" si="284"/>
        <v>5.166666666666667</v>
      </c>
      <c r="AG992" s="416">
        <f t="shared" si="285"/>
        <v>2.833333333333333</v>
      </c>
      <c r="AH992" s="372">
        <f t="shared" si="286"/>
        <v>0.35416666666666663</v>
      </c>
      <c r="AI992" s="373">
        <f t="shared" si="287"/>
        <v>345</v>
      </c>
      <c r="AJ992" s="418">
        <f>VLOOKUP(D992,'Standard Cycle time'!C:D,2,0)</f>
        <v>3.5</v>
      </c>
      <c r="AK992" s="418">
        <f t="shared" si="288"/>
        <v>3.695652173913043</v>
      </c>
      <c r="AL992" s="374">
        <f t="shared" si="289"/>
        <v>0.94705882352941184</v>
      </c>
      <c r="AM992" s="372">
        <f t="shared" si="290"/>
        <v>0.33541666666666664</v>
      </c>
      <c r="AN992" s="799">
        <v>0.33541666666666664</v>
      </c>
      <c r="AO992" s="448" t="s">
        <v>3758</v>
      </c>
      <c r="AP992" s="440">
        <v>40</v>
      </c>
      <c r="AQ992" s="440">
        <v>0</v>
      </c>
      <c r="AR992" s="440">
        <v>0</v>
      </c>
      <c r="AS992" s="440">
        <v>240</v>
      </c>
      <c r="AT992" s="440">
        <v>0</v>
      </c>
      <c r="AU992" s="440">
        <v>0</v>
      </c>
      <c r="AV992" s="440">
        <v>0</v>
      </c>
      <c r="AW992" s="440">
        <v>0</v>
      </c>
      <c r="AX992" s="440">
        <v>0</v>
      </c>
      <c r="AY992" s="440">
        <v>0</v>
      </c>
      <c r="AZ992" s="440">
        <v>0</v>
      </c>
      <c r="BA992" s="440">
        <v>0</v>
      </c>
      <c r="BB992" s="440">
        <v>0</v>
      </c>
      <c r="BC992" s="440">
        <v>0</v>
      </c>
      <c r="BD992" s="440">
        <v>0</v>
      </c>
      <c r="BE992" s="440">
        <v>0</v>
      </c>
      <c r="BF992" s="440">
        <v>30</v>
      </c>
      <c r="BG992" s="440">
        <v>0</v>
      </c>
      <c r="BH992" s="440">
        <v>0</v>
      </c>
      <c r="BI992" s="440">
        <v>0</v>
      </c>
      <c r="BJ992" s="440">
        <v>0</v>
      </c>
      <c r="BK992" s="440">
        <v>0</v>
      </c>
      <c r="BL992" s="440">
        <v>0</v>
      </c>
      <c r="BM992" s="440">
        <v>0</v>
      </c>
      <c r="BN992" s="440">
        <v>0</v>
      </c>
      <c r="BO992" s="440">
        <v>0</v>
      </c>
      <c r="BP992" s="440">
        <v>0</v>
      </c>
      <c r="BQ992" s="440">
        <v>0</v>
      </c>
      <c r="BR992" s="415">
        <v>5.166666666666667</v>
      </c>
      <c r="BS992" s="415">
        <v>5.166666666666667</v>
      </c>
      <c r="BT992" s="935"/>
      <c r="BU992" s="935"/>
      <c r="BV992" s="935"/>
      <c r="BW992" s="935"/>
      <c r="BX992" s="935"/>
      <c r="BY992" s="935"/>
      <c r="BZ992" s="935"/>
      <c r="CA992" s="935"/>
      <c r="CB992" s="935"/>
      <c r="CC992" s="935"/>
      <c r="CD992" s="935"/>
      <c r="CE992" s="935"/>
      <c r="CF992" s="935"/>
      <c r="CG992" s="935"/>
      <c r="CH992" s="935"/>
      <c r="CI992" s="935"/>
      <c r="CJ992" s="935"/>
      <c r="CK992" s="935"/>
      <c r="CL992" s="935"/>
      <c r="CM992" s="935"/>
      <c r="CN992" s="935"/>
      <c r="CO992" s="935"/>
      <c r="CP992" s="935"/>
      <c r="CQ992" s="935"/>
      <c r="CR992" s="935"/>
      <c r="CS992" s="935"/>
      <c r="CT992" s="935"/>
      <c r="CU992" s="935"/>
      <c r="CV992" s="935"/>
    </row>
    <row r="993" spans="1:100" s="441" customFormat="1">
      <c r="A993" s="375">
        <f t="shared" si="276"/>
        <v>10</v>
      </c>
      <c r="B993" s="862">
        <v>44490</v>
      </c>
      <c r="C993" s="493" t="s">
        <v>2001</v>
      </c>
      <c r="D993" s="376" t="str">
        <f>IFERROR(VLOOKUP(E:E,'Item Data Support Sheet'!A:O,7,0),"")</f>
        <v>NIPPLE LASER MARKING</v>
      </c>
      <c r="E993" s="447" t="s">
        <v>1815</v>
      </c>
      <c r="F993" s="500"/>
      <c r="G993" s="497" t="s">
        <v>1812</v>
      </c>
      <c r="H993" s="602" t="str">
        <f>IFERROR(VLOOKUP(E:E,'Item Data Support Sheet'!A:O,2,0),"")</f>
        <v>NIPPLE S TYPE M SIZE PUNCHED LASER MARKED</v>
      </c>
      <c r="I993" s="501"/>
      <c r="J993" s="501" t="s">
        <v>2811</v>
      </c>
      <c r="K993" s="499">
        <v>8</v>
      </c>
      <c r="L993" s="499">
        <v>7000</v>
      </c>
      <c r="M993" s="366">
        <v>875</v>
      </c>
      <c r="N993" s="367">
        <f t="shared" si="275"/>
        <v>4760</v>
      </c>
      <c r="O993" s="61">
        <v>4760</v>
      </c>
      <c r="P993" s="368">
        <v>0</v>
      </c>
      <c r="Q993" s="368">
        <v>0</v>
      </c>
      <c r="R993" s="494">
        <v>0</v>
      </c>
      <c r="S993" s="493">
        <v>0</v>
      </c>
      <c r="T993" s="494">
        <v>0</v>
      </c>
      <c r="U993" s="493">
        <v>0</v>
      </c>
      <c r="V993" s="502">
        <v>1</v>
      </c>
      <c r="W993" s="453">
        <f t="shared" si="277"/>
        <v>4760</v>
      </c>
      <c r="X993" s="748">
        <f t="shared" si="278"/>
        <v>0.68</v>
      </c>
      <c r="Y993" s="451" t="str">
        <f>IFERROR(VLOOKUP(E:E,'Item Data Support Sheet'!A:J,6,0),0)</f>
        <v>FO020</v>
      </c>
      <c r="Z993" s="428">
        <f>IFERROR(VLOOKUP(E:E,'Item Data Support Sheet'!A:O,4,0),0)</f>
        <v>0</v>
      </c>
      <c r="AA993" s="428">
        <f t="shared" si="279"/>
        <v>0</v>
      </c>
      <c r="AB993" s="429" t="str">
        <f t="shared" si="280"/>
        <v xml:space="preserve"> </v>
      </c>
      <c r="AC993" s="424">
        <f t="shared" si="281"/>
        <v>0</v>
      </c>
      <c r="AD993" s="371">
        <f t="shared" si="282"/>
        <v>0</v>
      </c>
      <c r="AE993" s="748">
        <f t="shared" si="283"/>
        <v>1</v>
      </c>
      <c r="AF993" s="417">
        <f t="shared" si="284"/>
        <v>1.6666666666666667</v>
      </c>
      <c r="AG993" s="416">
        <f t="shared" si="285"/>
        <v>6.333333333333333</v>
      </c>
      <c r="AH993" s="372">
        <f t="shared" si="286"/>
        <v>0.79166666666666663</v>
      </c>
      <c r="AI993" s="373">
        <f t="shared" si="287"/>
        <v>595</v>
      </c>
      <c r="AJ993" s="418">
        <f>VLOOKUP(D993,'Standard Cycle time'!C:D,2,0)</f>
        <v>3.5</v>
      </c>
      <c r="AK993" s="418">
        <f t="shared" si="288"/>
        <v>4.7899159663865545</v>
      </c>
      <c r="AL993" s="374">
        <f t="shared" si="289"/>
        <v>0.73070175438596496</v>
      </c>
      <c r="AM993" s="372">
        <f t="shared" si="290"/>
        <v>0.57847222222222228</v>
      </c>
      <c r="AN993" s="799">
        <v>0.57847222222222228</v>
      </c>
      <c r="AO993" s="448" t="s">
        <v>2746</v>
      </c>
      <c r="AP993" s="440">
        <v>40</v>
      </c>
      <c r="AQ993" s="440">
        <v>0</v>
      </c>
      <c r="AR993" s="440">
        <v>0</v>
      </c>
      <c r="AS993" s="440">
        <v>0</v>
      </c>
      <c r="AT993" s="440">
        <v>0</v>
      </c>
      <c r="AU993" s="440">
        <v>0</v>
      </c>
      <c r="AV993" s="440">
        <v>30</v>
      </c>
      <c r="AW993" s="440">
        <v>30</v>
      </c>
      <c r="AX993" s="440">
        <v>0</v>
      </c>
      <c r="AY993" s="440">
        <v>0</v>
      </c>
      <c r="AZ993" s="440">
        <v>0</v>
      </c>
      <c r="BA993" s="440">
        <v>0</v>
      </c>
      <c r="BB993" s="440">
        <v>0</v>
      </c>
      <c r="BC993" s="440">
        <v>0</v>
      </c>
      <c r="BD993" s="440">
        <v>0</v>
      </c>
      <c r="BE993" s="440">
        <v>0</v>
      </c>
      <c r="BF993" s="440">
        <v>0</v>
      </c>
      <c r="BG993" s="440">
        <v>0</v>
      </c>
      <c r="BH993" s="440">
        <v>0</v>
      </c>
      <c r="BI993" s="440">
        <v>0</v>
      </c>
      <c r="BJ993" s="440">
        <v>0</v>
      </c>
      <c r="BK993" s="440">
        <v>0</v>
      </c>
      <c r="BL993" s="440">
        <v>0</v>
      </c>
      <c r="BM993" s="440">
        <v>0</v>
      </c>
      <c r="BN993" s="440">
        <v>0</v>
      </c>
      <c r="BO993" s="440">
        <v>0</v>
      </c>
      <c r="BP993" s="440">
        <v>0</v>
      </c>
      <c r="BQ993" s="440">
        <v>0</v>
      </c>
      <c r="BR993" s="415">
        <v>1.6666666666666667</v>
      </c>
      <c r="BS993" s="415">
        <v>1.6666666666666667</v>
      </c>
      <c r="BT993" s="935"/>
      <c r="BU993" s="935"/>
      <c r="BV993" s="935"/>
      <c r="BW993" s="935"/>
      <c r="BX993" s="935"/>
      <c r="BY993" s="935"/>
      <c r="BZ993" s="935"/>
      <c r="CA993" s="935"/>
      <c r="CB993" s="935"/>
      <c r="CC993" s="935"/>
      <c r="CD993" s="935"/>
      <c r="CE993" s="935"/>
      <c r="CF993" s="935"/>
      <c r="CG993" s="935"/>
      <c r="CH993" s="935"/>
      <c r="CI993" s="935"/>
      <c r="CJ993" s="935"/>
      <c r="CK993" s="935"/>
      <c r="CL993" s="935"/>
      <c r="CM993" s="935"/>
      <c r="CN993" s="935"/>
      <c r="CO993" s="935"/>
      <c r="CP993" s="935"/>
      <c r="CQ993" s="935"/>
      <c r="CR993" s="935"/>
      <c r="CS993" s="935"/>
      <c r="CT993" s="935"/>
      <c r="CU993" s="935"/>
      <c r="CV993" s="935"/>
    </row>
    <row r="994" spans="1:100" s="441" customFormat="1">
      <c r="A994" s="375">
        <f t="shared" si="276"/>
        <v>10</v>
      </c>
      <c r="B994" s="862">
        <v>44490</v>
      </c>
      <c r="C994" s="493" t="s">
        <v>2001</v>
      </c>
      <c r="D994" s="376" t="str">
        <f>IFERROR(VLOOKUP(E:E,'Item Data Support Sheet'!A:O,7,0),"")</f>
        <v>BOTTLE MOLDED</v>
      </c>
      <c r="E994" s="447" t="s">
        <v>14</v>
      </c>
      <c r="F994" s="500" t="s">
        <v>1681</v>
      </c>
      <c r="G994" s="497" t="s">
        <v>1888</v>
      </c>
      <c r="H994" s="602" t="str">
        <f>IFERROR(VLOOKUP(E:E,'Item Data Support Sheet'!A:O,2,0),"")</f>
        <v>KPP 240 ML BOTTLE MOLDED</v>
      </c>
      <c r="I994" s="501" t="s">
        <v>3759</v>
      </c>
      <c r="J994" s="501" t="s">
        <v>2811</v>
      </c>
      <c r="K994" s="499">
        <v>8</v>
      </c>
      <c r="L994" s="499">
        <v>2574</v>
      </c>
      <c r="M994" s="366">
        <v>321.75</v>
      </c>
      <c r="N994" s="367">
        <f t="shared" si="275"/>
        <v>3046</v>
      </c>
      <c r="O994" s="61">
        <v>2916</v>
      </c>
      <c r="P994" s="368">
        <v>0</v>
      </c>
      <c r="Q994" s="368">
        <v>50</v>
      </c>
      <c r="R994" s="494">
        <v>0</v>
      </c>
      <c r="S994" s="493">
        <v>0</v>
      </c>
      <c r="T994" s="494">
        <v>80</v>
      </c>
      <c r="U994" s="493">
        <v>0</v>
      </c>
      <c r="V994" s="502">
        <v>1</v>
      </c>
      <c r="W994" s="453">
        <f t="shared" si="277"/>
        <v>2916</v>
      </c>
      <c r="X994" s="748">
        <f t="shared" si="278"/>
        <v>1.1328671328671329</v>
      </c>
      <c r="Y994" s="451" t="str">
        <f>IFERROR(VLOOKUP(E:E,'Item Data Support Sheet'!A:J,6,0),0)</f>
        <v>HMC</v>
      </c>
      <c r="Z994" s="428">
        <f>IFERROR(VLOOKUP(E:E,'Item Data Support Sheet'!A:O,4,0),0)</f>
        <v>32.1</v>
      </c>
      <c r="AA994" s="428">
        <f t="shared" si="279"/>
        <v>97.776600000000016</v>
      </c>
      <c r="AB994" s="429">
        <f t="shared" si="280"/>
        <v>0.95732107682206169</v>
      </c>
      <c r="AC994" s="424">
        <f t="shared" si="281"/>
        <v>2.67022696929239E-2</v>
      </c>
      <c r="AD994" s="371">
        <f t="shared" si="282"/>
        <v>1.614987080103359E-2</v>
      </c>
      <c r="AE994" s="748">
        <f t="shared" si="283"/>
        <v>0.97373604727511487</v>
      </c>
      <c r="AF994" s="417">
        <f t="shared" si="284"/>
        <v>0</v>
      </c>
      <c r="AG994" s="416">
        <f t="shared" si="285"/>
        <v>8</v>
      </c>
      <c r="AH994" s="372">
        <f t="shared" si="286"/>
        <v>1</v>
      </c>
      <c r="AI994" s="373">
        <f t="shared" si="287"/>
        <v>364.5</v>
      </c>
      <c r="AJ994" s="418">
        <f>VLOOKUP(D994,'Standard Cycle time'!C:D,2,0)</f>
        <v>9</v>
      </c>
      <c r="AK994" s="418">
        <f t="shared" si="288"/>
        <v>9.8765432098765427</v>
      </c>
      <c r="AL994" s="374">
        <f t="shared" si="289"/>
        <v>0.91125</v>
      </c>
      <c r="AM994" s="372">
        <f t="shared" si="290"/>
        <v>0.88731697307944846</v>
      </c>
      <c r="AN994" s="799">
        <v>0.88731697307944846</v>
      </c>
      <c r="AO994" s="448"/>
      <c r="AP994" s="440">
        <v>0</v>
      </c>
      <c r="AQ994" s="440">
        <v>0</v>
      </c>
      <c r="AR994" s="440">
        <v>0</v>
      </c>
      <c r="AS994" s="440">
        <v>0</v>
      </c>
      <c r="AT994" s="440">
        <v>0</v>
      </c>
      <c r="AU994" s="440">
        <v>0</v>
      </c>
      <c r="AV994" s="440">
        <v>0</v>
      </c>
      <c r="AW994" s="440">
        <v>0</v>
      </c>
      <c r="AX994" s="440">
        <v>0</v>
      </c>
      <c r="AY994" s="440">
        <v>0</v>
      </c>
      <c r="AZ994" s="440">
        <v>0</v>
      </c>
      <c r="BA994" s="440">
        <v>0</v>
      </c>
      <c r="BB994" s="440">
        <v>0</v>
      </c>
      <c r="BC994" s="440">
        <v>0</v>
      </c>
      <c r="BD994" s="440">
        <v>0</v>
      </c>
      <c r="BE994" s="440">
        <v>0</v>
      </c>
      <c r="BF994" s="440">
        <v>0</v>
      </c>
      <c r="BG994" s="440">
        <v>0</v>
      </c>
      <c r="BH994" s="440">
        <v>0</v>
      </c>
      <c r="BI994" s="440">
        <v>0</v>
      </c>
      <c r="BJ994" s="440">
        <v>0</v>
      </c>
      <c r="BK994" s="440">
        <v>0</v>
      </c>
      <c r="BL994" s="440">
        <v>0</v>
      </c>
      <c r="BM994" s="440">
        <v>0</v>
      </c>
      <c r="BN994" s="440">
        <v>0</v>
      </c>
      <c r="BO994" s="440">
        <v>0</v>
      </c>
      <c r="BP994" s="440">
        <v>0</v>
      </c>
      <c r="BQ994" s="440">
        <v>0</v>
      </c>
      <c r="BR994" s="415">
        <v>0</v>
      </c>
      <c r="BS994" s="415">
        <v>0</v>
      </c>
      <c r="BT994" s="935"/>
      <c r="BU994" s="935"/>
      <c r="BV994" s="935"/>
      <c r="BW994" s="935"/>
      <c r="BX994" s="935"/>
      <c r="BY994" s="935"/>
      <c r="BZ994" s="935"/>
      <c r="CA994" s="935"/>
      <c r="CB994" s="935"/>
      <c r="CC994" s="935"/>
      <c r="CD994" s="935"/>
      <c r="CE994" s="935"/>
      <c r="CF994" s="935"/>
      <c r="CG994" s="935"/>
      <c r="CH994" s="935"/>
      <c r="CI994" s="935"/>
      <c r="CJ994" s="935"/>
      <c r="CK994" s="935"/>
      <c r="CL994" s="935"/>
      <c r="CM994" s="935"/>
      <c r="CN994" s="935"/>
      <c r="CO994" s="935"/>
      <c r="CP994" s="935"/>
      <c r="CQ994" s="935"/>
      <c r="CR994" s="935"/>
      <c r="CS994" s="935"/>
      <c r="CT994" s="935"/>
      <c r="CU994" s="935"/>
      <c r="CV994" s="935"/>
    </row>
    <row r="995" spans="1:100" s="441" customFormat="1">
      <c r="A995" s="375">
        <f t="shared" si="276"/>
        <v>10</v>
      </c>
      <c r="B995" s="862">
        <v>44490</v>
      </c>
      <c r="C995" s="493" t="s">
        <v>2001</v>
      </c>
      <c r="D995" s="376" t="str">
        <f>IFERROR(VLOOKUP(E:E,'Item Data Support Sheet'!A:O,7,0),"")</f>
        <v>HOOD MOLDED</v>
      </c>
      <c r="E995" s="447" t="s">
        <v>1987</v>
      </c>
      <c r="F995" s="500"/>
      <c r="G995" s="497" t="s">
        <v>2729</v>
      </c>
      <c r="H995" s="602" t="str">
        <f>IFERROR(VLOOKUP(E:E,'Item Data Support Sheet'!A:O,2,0),"")</f>
        <v>HOOD S TYPE MOLDED</v>
      </c>
      <c r="I995" s="501" t="s">
        <v>3760</v>
      </c>
      <c r="J995" s="501" t="s">
        <v>2811</v>
      </c>
      <c r="K995" s="499">
        <v>8</v>
      </c>
      <c r="L995" s="499">
        <v>4137</v>
      </c>
      <c r="M995" s="366">
        <v>517.125</v>
      </c>
      <c r="N995" s="367">
        <f t="shared" si="275"/>
        <v>3320</v>
      </c>
      <c r="O995" s="61">
        <v>3300</v>
      </c>
      <c r="P995" s="368">
        <v>0</v>
      </c>
      <c r="Q995" s="368">
        <v>0</v>
      </c>
      <c r="R995" s="494">
        <v>0</v>
      </c>
      <c r="S995" s="493">
        <v>0</v>
      </c>
      <c r="T995" s="494">
        <v>12</v>
      </c>
      <c r="U995" s="493">
        <v>8</v>
      </c>
      <c r="V995" s="502">
        <v>1</v>
      </c>
      <c r="W995" s="453">
        <f t="shared" si="277"/>
        <v>3300</v>
      </c>
      <c r="X995" s="748">
        <f t="shared" si="278"/>
        <v>0.79767947788252358</v>
      </c>
      <c r="Y995" s="451" t="str">
        <f>IFERROR(VLOOKUP(E:E,'Item Data Support Sheet'!A:J,6,0),0)</f>
        <v>HMC</v>
      </c>
      <c r="Z995" s="428">
        <f>IFERROR(VLOOKUP(E:E,'Item Data Support Sheet'!A:O,4,0),0)</f>
        <v>8.6</v>
      </c>
      <c r="AA995" s="428">
        <f t="shared" si="279"/>
        <v>28.552</v>
      </c>
      <c r="AB995" s="429">
        <f t="shared" si="280"/>
        <v>0.99397590361445776</v>
      </c>
      <c r="AC995" s="424">
        <f t="shared" si="281"/>
        <v>3.6231884057971015E-3</v>
      </c>
      <c r="AD995" s="371">
        <f t="shared" si="282"/>
        <v>0</v>
      </c>
      <c r="AE995" s="748">
        <f t="shared" si="283"/>
        <v>0.9963855421686747</v>
      </c>
      <c r="AF995" s="417">
        <f t="shared" si="284"/>
        <v>2</v>
      </c>
      <c r="AG995" s="416">
        <f t="shared" si="285"/>
        <v>6</v>
      </c>
      <c r="AH995" s="372">
        <f t="shared" si="286"/>
        <v>0.75</v>
      </c>
      <c r="AI995" s="373">
        <f t="shared" si="287"/>
        <v>412.5</v>
      </c>
      <c r="AJ995" s="418">
        <f>VLOOKUP(D995,'Standard Cycle time'!C:D,2,0)</f>
        <v>6</v>
      </c>
      <c r="AK995" s="418">
        <f t="shared" si="288"/>
        <v>6.5454545454545459</v>
      </c>
      <c r="AL995" s="374">
        <f t="shared" si="289"/>
        <v>0.91666666666666663</v>
      </c>
      <c r="AM995" s="372">
        <f t="shared" si="290"/>
        <v>0.68501506024096381</v>
      </c>
      <c r="AN995" s="799">
        <v>0.68501506024096381</v>
      </c>
      <c r="AO995" s="448"/>
      <c r="AP995" s="440">
        <v>0</v>
      </c>
      <c r="AQ995" s="440">
        <v>0</v>
      </c>
      <c r="AR995" s="440">
        <v>0</v>
      </c>
      <c r="AS995" s="440">
        <v>0</v>
      </c>
      <c r="AT995" s="440">
        <v>0</v>
      </c>
      <c r="AU995" s="440">
        <v>0</v>
      </c>
      <c r="AV995" s="440">
        <v>30</v>
      </c>
      <c r="AW995" s="440">
        <v>30</v>
      </c>
      <c r="AX995" s="440">
        <v>0</v>
      </c>
      <c r="AY995" s="440">
        <v>0</v>
      </c>
      <c r="AZ995" s="440">
        <v>30</v>
      </c>
      <c r="BA995" s="440">
        <v>0</v>
      </c>
      <c r="BB995" s="440">
        <v>30</v>
      </c>
      <c r="BC995" s="440">
        <v>0</v>
      </c>
      <c r="BD995" s="440">
        <v>0</v>
      </c>
      <c r="BE995" s="440">
        <v>0</v>
      </c>
      <c r="BF995" s="440">
        <v>0</v>
      </c>
      <c r="BG995" s="440">
        <v>0</v>
      </c>
      <c r="BH995" s="440">
        <v>0</v>
      </c>
      <c r="BI995" s="440">
        <v>0</v>
      </c>
      <c r="BJ995" s="440">
        <v>0</v>
      </c>
      <c r="BK995" s="440">
        <v>0</v>
      </c>
      <c r="BL995" s="440">
        <v>0</v>
      </c>
      <c r="BM995" s="440">
        <v>0</v>
      </c>
      <c r="BN995" s="440">
        <v>0</v>
      </c>
      <c r="BO995" s="440">
        <v>0</v>
      </c>
      <c r="BP995" s="440">
        <v>0</v>
      </c>
      <c r="BQ995" s="440">
        <v>0</v>
      </c>
      <c r="BR995" s="415">
        <v>2</v>
      </c>
      <c r="BS995" s="415">
        <v>2</v>
      </c>
      <c r="BT995" s="935"/>
      <c r="BU995" s="935"/>
      <c r="BV995" s="935"/>
      <c r="BW995" s="935"/>
      <c r="BX995" s="935"/>
      <c r="BY995" s="935"/>
      <c r="BZ995" s="935"/>
      <c r="CA995" s="935"/>
      <c r="CB995" s="935"/>
      <c r="CC995" s="935"/>
      <c r="CD995" s="935"/>
      <c r="CE995" s="935"/>
      <c r="CF995" s="935"/>
      <c r="CG995" s="935"/>
      <c r="CH995" s="935"/>
      <c r="CI995" s="935"/>
      <c r="CJ995" s="935"/>
      <c r="CK995" s="935"/>
      <c r="CL995" s="935"/>
      <c r="CM995" s="935"/>
      <c r="CN995" s="935"/>
      <c r="CO995" s="935"/>
      <c r="CP995" s="935"/>
      <c r="CQ995" s="935"/>
      <c r="CR995" s="935"/>
      <c r="CS995" s="935"/>
      <c r="CT995" s="935"/>
      <c r="CU995" s="935"/>
      <c r="CV995" s="935"/>
    </row>
    <row r="996" spans="1:100" s="441" customFormat="1">
      <c r="A996" s="375">
        <f t="shared" si="276"/>
        <v>10</v>
      </c>
      <c r="B996" s="862">
        <v>44490</v>
      </c>
      <c r="C996" s="493" t="s">
        <v>2001</v>
      </c>
      <c r="D996" s="376" t="str">
        <f>IFERROR(VLOOKUP(E:E,'Item Data Support Sheet'!A:O,7,0),"")</f>
        <v>BOTTLE PRINTED</v>
      </c>
      <c r="E996" s="447" t="s">
        <v>64</v>
      </c>
      <c r="F996" s="500"/>
      <c r="G996" s="497"/>
      <c r="H996" s="602" t="str">
        <f>IFERROR(VLOOKUP(E:E,'Item Data Support Sheet'!A:O,2,0),"")</f>
        <v>KPP 240 ML BOTTLE PRINTED</v>
      </c>
      <c r="I996" s="501" t="s">
        <v>3761</v>
      </c>
      <c r="J996" s="501" t="s">
        <v>2813</v>
      </c>
      <c r="K996" s="499">
        <v>8</v>
      </c>
      <c r="L996" s="499">
        <v>5100</v>
      </c>
      <c r="M996" s="366">
        <v>637.5</v>
      </c>
      <c r="N996" s="367">
        <f t="shared" si="275"/>
        <v>5207</v>
      </c>
      <c r="O996" s="61">
        <v>5184</v>
      </c>
      <c r="P996" s="368">
        <v>0</v>
      </c>
      <c r="Q996" s="368">
        <v>0</v>
      </c>
      <c r="R996" s="494">
        <v>43</v>
      </c>
      <c r="S996" s="493">
        <v>0</v>
      </c>
      <c r="T996" s="494">
        <v>23</v>
      </c>
      <c r="U996" s="493">
        <v>0</v>
      </c>
      <c r="V996" s="502">
        <v>5</v>
      </c>
      <c r="W996" s="453">
        <f t="shared" si="277"/>
        <v>1036.8</v>
      </c>
      <c r="X996" s="748">
        <f t="shared" si="278"/>
        <v>1.016470588235294</v>
      </c>
      <c r="Y996" s="451" t="str">
        <f>IFERROR(VLOOKUP(E:E,'Item Data Support Sheet'!A:J,6,0),0)</f>
        <v>FO003</v>
      </c>
      <c r="Z996" s="428">
        <f>IFERROR(VLOOKUP(E:E,'Item Data Support Sheet'!A:O,4,0),0)</f>
        <v>0</v>
      </c>
      <c r="AA996" s="428">
        <f t="shared" si="279"/>
        <v>0</v>
      </c>
      <c r="AB996" s="429" t="str">
        <f t="shared" si="280"/>
        <v xml:space="preserve"> </v>
      </c>
      <c r="AC996" s="424">
        <f t="shared" si="281"/>
        <v>4.417130785481083E-3</v>
      </c>
      <c r="AD996" s="371">
        <f t="shared" si="282"/>
        <v>0</v>
      </c>
      <c r="AE996" s="748">
        <f t="shared" si="283"/>
        <v>0.99558286921451888</v>
      </c>
      <c r="AF996" s="417">
        <f t="shared" si="284"/>
        <v>0</v>
      </c>
      <c r="AG996" s="416">
        <f t="shared" si="285"/>
        <v>8</v>
      </c>
      <c r="AH996" s="372">
        <f t="shared" si="286"/>
        <v>1</v>
      </c>
      <c r="AI996" s="373">
        <f t="shared" si="287"/>
        <v>648</v>
      </c>
      <c r="AJ996" s="418">
        <f>VLOOKUP(D996,'Standard Cycle time'!C:D,2,0)</f>
        <v>32.4</v>
      </c>
      <c r="AK996" s="418">
        <f t="shared" si="288"/>
        <v>27.777777777777779</v>
      </c>
      <c r="AL996" s="374">
        <f t="shared" si="289"/>
        <v>1.1663999999999999</v>
      </c>
      <c r="AM996" s="372">
        <f t="shared" si="290"/>
        <v>1.1612478586518147</v>
      </c>
      <c r="AN996" s="799">
        <v>1.1612478586518147</v>
      </c>
      <c r="AO996" s="448"/>
      <c r="AP996" s="440">
        <v>0</v>
      </c>
      <c r="AQ996" s="440">
        <v>0</v>
      </c>
      <c r="AR996" s="440">
        <v>0</v>
      </c>
      <c r="AS996" s="440">
        <v>0</v>
      </c>
      <c r="AT996" s="440">
        <v>0</v>
      </c>
      <c r="AU996" s="440">
        <v>0</v>
      </c>
      <c r="AV996" s="440">
        <v>0</v>
      </c>
      <c r="AW996" s="440">
        <v>0</v>
      </c>
      <c r="AX996" s="440">
        <v>0</v>
      </c>
      <c r="AY996" s="440">
        <v>0</v>
      </c>
      <c r="AZ996" s="440">
        <v>0</v>
      </c>
      <c r="BA996" s="440">
        <v>0</v>
      </c>
      <c r="BB996" s="440">
        <v>0</v>
      </c>
      <c r="BC996" s="440">
        <v>0</v>
      </c>
      <c r="BD996" s="440">
        <v>0</v>
      </c>
      <c r="BE996" s="440">
        <v>0</v>
      </c>
      <c r="BF996" s="440">
        <v>0</v>
      </c>
      <c r="BG996" s="440">
        <v>0</v>
      </c>
      <c r="BH996" s="440">
        <v>0</v>
      </c>
      <c r="BI996" s="440">
        <v>0</v>
      </c>
      <c r="BJ996" s="440">
        <v>0</v>
      </c>
      <c r="BK996" s="440">
        <v>0</v>
      </c>
      <c r="BL996" s="440">
        <v>0</v>
      </c>
      <c r="BM996" s="440">
        <v>0</v>
      </c>
      <c r="BN996" s="440">
        <v>0</v>
      </c>
      <c r="BO996" s="440">
        <v>0</v>
      </c>
      <c r="BP996" s="440">
        <v>0</v>
      </c>
      <c r="BQ996" s="440">
        <v>0</v>
      </c>
      <c r="BR996" s="415">
        <v>0</v>
      </c>
      <c r="BS996" s="415">
        <v>0</v>
      </c>
      <c r="BT996" s="935"/>
      <c r="BU996" s="935"/>
      <c r="BV996" s="935"/>
      <c r="BW996" s="935"/>
      <c r="BX996" s="935"/>
      <c r="BY996" s="935"/>
      <c r="BZ996" s="935"/>
      <c r="CA996" s="935"/>
      <c r="CB996" s="935"/>
      <c r="CC996" s="935"/>
      <c r="CD996" s="935"/>
      <c r="CE996" s="935"/>
      <c r="CF996" s="935"/>
      <c r="CG996" s="935"/>
      <c r="CH996" s="935"/>
      <c r="CI996" s="935"/>
      <c r="CJ996" s="935"/>
      <c r="CK996" s="935"/>
      <c r="CL996" s="935"/>
      <c r="CM996" s="935"/>
      <c r="CN996" s="935"/>
      <c r="CO996" s="935"/>
      <c r="CP996" s="935"/>
      <c r="CQ996" s="935"/>
      <c r="CR996" s="935"/>
      <c r="CS996" s="935"/>
      <c r="CT996" s="935"/>
      <c r="CU996" s="935"/>
      <c r="CV996" s="935"/>
    </row>
    <row r="997" spans="1:100" s="441" customFormat="1">
      <c r="A997" s="375">
        <f t="shared" si="276"/>
        <v>10</v>
      </c>
      <c r="B997" s="862">
        <v>44490</v>
      </c>
      <c r="C997" s="493" t="s">
        <v>2053</v>
      </c>
      <c r="D997" s="376" t="str">
        <f>IFERROR(VLOOKUP(E:E,'Item Data Support Sheet'!A:O,7,0),"")</f>
        <v>HOOD MOLDED</v>
      </c>
      <c r="E997" s="447" t="s">
        <v>1987</v>
      </c>
      <c r="F997" s="500"/>
      <c r="G997" s="497" t="s">
        <v>2729</v>
      </c>
      <c r="H997" s="602" t="str">
        <f>IFERROR(VLOOKUP(E:E,'Item Data Support Sheet'!A:O,2,0),"")</f>
        <v>HOOD S TYPE MOLDED</v>
      </c>
      <c r="I997" s="501" t="s">
        <v>3762</v>
      </c>
      <c r="J997" s="501" t="s">
        <v>2808</v>
      </c>
      <c r="K997" s="499">
        <v>8</v>
      </c>
      <c r="L997" s="499">
        <v>4137</v>
      </c>
      <c r="M997" s="366">
        <v>517.125</v>
      </c>
      <c r="N997" s="367">
        <f t="shared" si="275"/>
        <v>5206</v>
      </c>
      <c r="O997" s="61">
        <v>5200</v>
      </c>
      <c r="P997" s="368">
        <v>0</v>
      </c>
      <c r="Q997" s="368">
        <v>0</v>
      </c>
      <c r="R997" s="494">
        <v>0</v>
      </c>
      <c r="S997" s="493">
        <v>0</v>
      </c>
      <c r="T997" s="494">
        <v>6</v>
      </c>
      <c r="U997" s="493">
        <v>0</v>
      </c>
      <c r="V997" s="502">
        <v>1</v>
      </c>
      <c r="W997" s="453">
        <f t="shared" si="277"/>
        <v>5200</v>
      </c>
      <c r="X997" s="748">
        <f t="shared" si="278"/>
        <v>1.2569494802997341</v>
      </c>
      <c r="Y997" s="451" t="str">
        <f>IFERROR(VLOOKUP(E:E,'Item Data Support Sheet'!A:J,6,0),0)</f>
        <v>HMC</v>
      </c>
      <c r="Z997" s="428">
        <f>IFERROR(VLOOKUP(E:E,'Item Data Support Sheet'!A:O,4,0),0)</f>
        <v>8.6</v>
      </c>
      <c r="AA997" s="428">
        <f t="shared" si="279"/>
        <v>44.771599999999999</v>
      </c>
      <c r="AB997" s="429">
        <f t="shared" si="280"/>
        <v>0.99884748367268539</v>
      </c>
      <c r="AC997" s="424">
        <f t="shared" si="281"/>
        <v>1.1525163273146369E-3</v>
      </c>
      <c r="AD997" s="371">
        <f t="shared" si="282"/>
        <v>0</v>
      </c>
      <c r="AE997" s="748">
        <f t="shared" si="283"/>
        <v>0.99884748367268539</v>
      </c>
      <c r="AF997" s="417">
        <f t="shared" si="284"/>
        <v>0</v>
      </c>
      <c r="AG997" s="416">
        <f t="shared" si="285"/>
        <v>8</v>
      </c>
      <c r="AH997" s="372">
        <f t="shared" si="286"/>
        <v>1</v>
      </c>
      <c r="AI997" s="373">
        <f t="shared" si="287"/>
        <v>650</v>
      </c>
      <c r="AJ997" s="418">
        <f>VLOOKUP(D997,'Standard Cycle time'!C:D,2,0)</f>
        <v>6</v>
      </c>
      <c r="AK997" s="418">
        <f t="shared" si="288"/>
        <v>5.5384615384615383</v>
      </c>
      <c r="AL997" s="374">
        <f t="shared" si="289"/>
        <v>1.0833333333333333</v>
      </c>
      <c r="AM997" s="372">
        <f t="shared" si="290"/>
        <v>1.0820847739787425</v>
      </c>
      <c r="AN997" s="799">
        <v>1.0820847739787425</v>
      </c>
      <c r="AO997" s="448"/>
      <c r="AP997" s="440">
        <v>0</v>
      </c>
      <c r="AQ997" s="440">
        <v>0</v>
      </c>
      <c r="AR997" s="440">
        <v>0</v>
      </c>
      <c r="AS997" s="440">
        <v>0</v>
      </c>
      <c r="AT997" s="440">
        <v>0</v>
      </c>
      <c r="AU997" s="440">
        <v>0</v>
      </c>
      <c r="AV997" s="440">
        <v>0</v>
      </c>
      <c r="AW997" s="440">
        <v>0</v>
      </c>
      <c r="AX997" s="440">
        <v>0</v>
      </c>
      <c r="AY997" s="440">
        <v>0</v>
      </c>
      <c r="AZ997" s="440">
        <v>0</v>
      </c>
      <c r="BA997" s="440">
        <v>0</v>
      </c>
      <c r="BB997" s="440">
        <v>0</v>
      </c>
      <c r="BC997" s="440">
        <v>0</v>
      </c>
      <c r="BD997" s="440">
        <v>0</v>
      </c>
      <c r="BE997" s="440">
        <v>0</v>
      </c>
      <c r="BF997" s="440">
        <v>0</v>
      </c>
      <c r="BG997" s="440">
        <v>0</v>
      </c>
      <c r="BH997" s="440">
        <v>0</v>
      </c>
      <c r="BI997" s="440">
        <v>0</v>
      </c>
      <c r="BJ997" s="440">
        <v>0</v>
      </c>
      <c r="BK997" s="440">
        <v>0</v>
      </c>
      <c r="BL997" s="440">
        <v>0</v>
      </c>
      <c r="BM997" s="440">
        <v>0</v>
      </c>
      <c r="BN997" s="440">
        <v>0</v>
      </c>
      <c r="BO997" s="440">
        <v>0</v>
      </c>
      <c r="BP997" s="440">
        <v>0</v>
      </c>
      <c r="BQ997" s="440">
        <v>0</v>
      </c>
      <c r="BR997" s="415">
        <v>0</v>
      </c>
      <c r="BS997" s="415">
        <v>0</v>
      </c>
      <c r="BT997" s="935"/>
      <c r="BU997" s="935"/>
      <c r="BV997" s="935"/>
      <c r="BW997" s="935"/>
      <c r="BX997" s="935"/>
      <c r="BY997" s="935"/>
      <c r="BZ997" s="935"/>
      <c r="CA997" s="935"/>
      <c r="CB997" s="935"/>
      <c r="CC997" s="935"/>
      <c r="CD997" s="935"/>
      <c r="CE997" s="935"/>
      <c r="CF997" s="935"/>
      <c r="CG997" s="935"/>
      <c r="CH997" s="935"/>
      <c r="CI997" s="935"/>
      <c r="CJ997" s="935"/>
      <c r="CK997" s="935"/>
      <c r="CL997" s="935"/>
      <c r="CM997" s="935"/>
      <c r="CN997" s="935"/>
      <c r="CO997" s="935"/>
      <c r="CP997" s="935"/>
      <c r="CQ997" s="935"/>
      <c r="CR997" s="935"/>
      <c r="CS997" s="935"/>
      <c r="CT997" s="935"/>
      <c r="CU997" s="935"/>
      <c r="CV997" s="935"/>
    </row>
    <row r="998" spans="1:100" s="441" customFormat="1">
      <c r="A998" s="375">
        <f t="shared" si="276"/>
        <v>10</v>
      </c>
      <c r="B998" s="862">
        <v>44490</v>
      </c>
      <c r="C998" s="493" t="s">
        <v>2053</v>
      </c>
      <c r="D998" s="376" t="str">
        <f>IFERROR(VLOOKUP(E:E,'Item Data Support Sheet'!A:O,7,0),"")</f>
        <v>BOTTLE MOLDED</v>
      </c>
      <c r="E998" s="447" t="s">
        <v>14</v>
      </c>
      <c r="F998" s="500" t="s">
        <v>1681</v>
      </c>
      <c r="G998" s="497" t="s">
        <v>1888</v>
      </c>
      <c r="H998" s="602" t="str">
        <f>IFERROR(VLOOKUP(E:E,'Item Data Support Sheet'!A:O,2,0),"")</f>
        <v>KPP 240 ML BOTTLE MOLDED</v>
      </c>
      <c r="I998" s="501" t="s">
        <v>3763</v>
      </c>
      <c r="J998" s="501" t="s">
        <v>2808</v>
      </c>
      <c r="K998" s="499">
        <v>8</v>
      </c>
      <c r="L998" s="499">
        <v>2574</v>
      </c>
      <c r="M998" s="366">
        <v>321.75</v>
      </c>
      <c r="N998" s="367">
        <f t="shared" si="275"/>
        <v>3142</v>
      </c>
      <c r="O998" s="61">
        <v>3024</v>
      </c>
      <c r="P998" s="368">
        <v>0.22</v>
      </c>
      <c r="Q998" s="368">
        <v>42</v>
      </c>
      <c r="R998" s="494">
        <v>0</v>
      </c>
      <c r="S998" s="493">
        <v>0</v>
      </c>
      <c r="T998" s="494">
        <v>68</v>
      </c>
      <c r="U998" s="493">
        <v>8</v>
      </c>
      <c r="V998" s="502">
        <v>1</v>
      </c>
      <c r="W998" s="453">
        <f t="shared" si="277"/>
        <v>3024</v>
      </c>
      <c r="X998" s="748">
        <f t="shared" si="278"/>
        <v>1.1748251748251748</v>
      </c>
      <c r="Y998" s="451" t="str">
        <f>IFERROR(VLOOKUP(E:E,'Item Data Support Sheet'!A:J,6,0),0)</f>
        <v>HMC</v>
      </c>
      <c r="Z998" s="428">
        <f>IFERROR(VLOOKUP(E:E,'Item Data Support Sheet'!A:O,4,0),0)</f>
        <v>32.1</v>
      </c>
      <c r="AA998" s="428">
        <f t="shared" si="279"/>
        <v>101.07820000000001</v>
      </c>
      <c r="AB998" s="429">
        <f t="shared" si="280"/>
        <v>0.96034951156629222</v>
      </c>
      <c r="AC998" s="424">
        <f t="shared" si="281"/>
        <v>2.1992238033635189E-2</v>
      </c>
      <c r="AD998" s="371">
        <f t="shared" si="282"/>
        <v>1.3190954773869347E-2</v>
      </c>
      <c r="AE998" s="748">
        <f t="shared" si="283"/>
        <v>0.97835773392743475</v>
      </c>
      <c r="AF998" s="417">
        <f t="shared" si="284"/>
        <v>0.5</v>
      </c>
      <c r="AG998" s="416">
        <f t="shared" si="285"/>
        <v>7.5</v>
      </c>
      <c r="AH998" s="372">
        <f t="shared" si="286"/>
        <v>0.9375</v>
      </c>
      <c r="AI998" s="373">
        <f t="shared" si="287"/>
        <v>378</v>
      </c>
      <c r="AJ998" s="418">
        <f>VLOOKUP(D998,'Standard Cycle time'!C:D,2,0)</f>
        <v>9</v>
      </c>
      <c r="AK998" s="418">
        <f t="shared" si="288"/>
        <v>8.9285714285714288</v>
      </c>
      <c r="AL998" s="374">
        <f t="shared" si="289"/>
        <v>1.008</v>
      </c>
      <c r="AM998" s="372">
        <f t="shared" si="290"/>
        <v>0.92454805856142586</v>
      </c>
      <c r="AN998" s="799">
        <v>0.92454805856142586</v>
      </c>
      <c r="AO998" s="448"/>
      <c r="AP998" s="440">
        <v>0</v>
      </c>
      <c r="AQ998" s="440">
        <v>0</v>
      </c>
      <c r="AR998" s="440">
        <v>30</v>
      </c>
      <c r="AS998" s="440">
        <v>0</v>
      </c>
      <c r="AT998" s="440">
        <v>0</v>
      </c>
      <c r="AU998" s="440">
        <v>0</v>
      </c>
      <c r="AV998" s="440">
        <v>0</v>
      </c>
      <c r="AW998" s="440">
        <v>0</v>
      </c>
      <c r="AX998" s="440">
        <v>0</v>
      </c>
      <c r="AY998" s="440">
        <v>0</v>
      </c>
      <c r="AZ998" s="440">
        <v>0</v>
      </c>
      <c r="BA998" s="440">
        <v>0</v>
      </c>
      <c r="BB998" s="440">
        <v>0</v>
      </c>
      <c r="BC998" s="440">
        <v>0</v>
      </c>
      <c r="BD998" s="440">
        <v>0</v>
      </c>
      <c r="BE998" s="440">
        <v>0</v>
      </c>
      <c r="BF998" s="440">
        <v>0</v>
      </c>
      <c r="BG998" s="440">
        <v>0</v>
      </c>
      <c r="BH998" s="440">
        <v>0</v>
      </c>
      <c r="BI998" s="440">
        <v>0</v>
      </c>
      <c r="BJ998" s="440">
        <v>0</v>
      </c>
      <c r="BK998" s="440">
        <v>0</v>
      </c>
      <c r="BL998" s="440">
        <v>0</v>
      </c>
      <c r="BM998" s="440">
        <v>0</v>
      </c>
      <c r="BN998" s="440">
        <v>0</v>
      </c>
      <c r="BO998" s="440">
        <v>0</v>
      </c>
      <c r="BP998" s="440">
        <v>0</v>
      </c>
      <c r="BQ998" s="440">
        <v>0</v>
      </c>
      <c r="BR998" s="415">
        <v>0.5</v>
      </c>
      <c r="BS998" s="415">
        <v>0.5</v>
      </c>
      <c r="BT998" s="935"/>
      <c r="BU998" s="935"/>
      <c r="BV998" s="935"/>
      <c r="BW998" s="935"/>
      <c r="BX998" s="935"/>
      <c r="BY998" s="935"/>
      <c r="BZ998" s="935"/>
      <c r="CA998" s="935"/>
      <c r="CB998" s="935"/>
      <c r="CC998" s="935"/>
      <c r="CD998" s="935"/>
      <c r="CE998" s="935"/>
      <c r="CF998" s="935"/>
      <c r="CG998" s="935"/>
      <c r="CH998" s="935"/>
      <c r="CI998" s="935"/>
      <c r="CJ998" s="935"/>
      <c r="CK998" s="935"/>
      <c r="CL998" s="935"/>
      <c r="CM998" s="935"/>
      <c r="CN998" s="935"/>
      <c r="CO998" s="935"/>
      <c r="CP998" s="935"/>
      <c r="CQ998" s="935"/>
      <c r="CR998" s="935"/>
      <c r="CS998" s="935"/>
      <c r="CT998" s="935"/>
      <c r="CU998" s="935"/>
      <c r="CV998" s="935"/>
    </row>
    <row r="999" spans="1:100" s="441" customFormat="1">
      <c r="A999" s="375">
        <f t="shared" si="276"/>
        <v>10</v>
      </c>
      <c r="B999" s="862">
        <v>44491</v>
      </c>
      <c r="C999" s="493" t="s">
        <v>1980</v>
      </c>
      <c r="D999" s="376" t="str">
        <f>IFERROR(VLOOKUP(E:E,'Item Data Support Sheet'!A:O,7,0),"")</f>
        <v>BOTTLE MOLDED</v>
      </c>
      <c r="E999" s="447" t="s">
        <v>14</v>
      </c>
      <c r="F999" s="500" t="s">
        <v>1681</v>
      </c>
      <c r="G999" s="497" t="s">
        <v>1888</v>
      </c>
      <c r="H999" s="602" t="str">
        <f>IFERROR(VLOOKUP(E:E,'Item Data Support Sheet'!A:O,2,0),"")</f>
        <v>KPP 240 ML BOTTLE MOLDED</v>
      </c>
      <c r="I999" s="501" t="s">
        <v>3764</v>
      </c>
      <c r="J999" s="501" t="s">
        <v>2826</v>
      </c>
      <c r="K999" s="499">
        <v>8</v>
      </c>
      <c r="L999" s="499">
        <v>2574</v>
      </c>
      <c r="M999" s="366">
        <v>321.75</v>
      </c>
      <c r="N999" s="367">
        <f t="shared" si="275"/>
        <v>3262</v>
      </c>
      <c r="O999" s="61">
        <v>3132</v>
      </c>
      <c r="P999" s="368">
        <v>0.2</v>
      </c>
      <c r="Q999" s="368">
        <v>51</v>
      </c>
      <c r="R999" s="494">
        <v>0</v>
      </c>
      <c r="S999" s="493">
        <v>0</v>
      </c>
      <c r="T999" s="494">
        <v>71</v>
      </c>
      <c r="U999" s="493">
        <v>8</v>
      </c>
      <c r="V999" s="502">
        <v>1</v>
      </c>
      <c r="W999" s="453">
        <f t="shared" si="277"/>
        <v>3132</v>
      </c>
      <c r="X999" s="748">
        <f t="shared" si="278"/>
        <v>1.2167832167832169</v>
      </c>
      <c r="Y999" s="451" t="str">
        <f>IFERROR(VLOOKUP(E:E,'Item Data Support Sheet'!A:J,6,0),0)</f>
        <v>HMC</v>
      </c>
      <c r="Z999" s="428">
        <f>IFERROR(VLOOKUP(E:E,'Item Data Support Sheet'!A:O,4,0),0)</f>
        <v>32.1</v>
      </c>
      <c r="AA999" s="428">
        <f t="shared" si="279"/>
        <v>104.91020000000002</v>
      </c>
      <c r="AB999" s="429">
        <f t="shared" si="280"/>
        <v>0.95831673183351096</v>
      </c>
      <c r="AC999" s="424">
        <f t="shared" si="281"/>
        <v>2.216671870121761E-2</v>
      </c>
      <c r="AD999" s="371">
        <f t="shared" si="282"/>
        <v>1.5393902807123452E-2</v>
      </c>
      <c r="AE999" s="748">
        <f t="shared" si="283"/>
        <v>0.97823421213979156</v>
      </c>
      <c r="AF999" s="417">
        <f t="shared" si="284"/>
        <v>0</v>
      </c>
      <c r="AG999" s="416">
        <f t="shared" si="285"/>
        <v>8</v>
      </c>
      <c r="AH999" s="372">
        <f t="shared" si="286"/>
        <v>1</v>
      </c>
      <c r="AI999" s="373">
        <f t="shared" si="287"/>
        <v>391.5</v>
      </c>
      <c r="AJ999" s="418">
        <f>VLOOKUP(D999,'Standard Cycle time'!C:D,2,0)</f>
        <v>9</v>
      </c>
      <c r="AK999" s="418">
        <f t="shared" si="288"/>
        <v>9.1954022988505741</v>
      </c>
      <c r="AL999" s="374">
        <f t="shared" si="289"/>
        <v>0.97875000000000001</v>
      </c>
      <c r="AM999" s="372">
        <f t="shared" si="290"/>
        <v>0.95744673513182099</v>
      </c>
      <c r="AN999" s="799">
        <v>0.95744673513182099</v>
      </c>
      <c r="AO999" s="448"/>
      <c r="AP999" s="440">
        <v>0</v>
      </c>
      <c r="AQ999" s="440">
        <v>0</v>
      </c>
      <c r="AR999" s="440">
        <v>0</v>
      </c>
      <c r="AS999" s="440">
        <v>0</v>
      </c>
      <c r="AT999" s="440">
        <v>0</v>
      </c>
      <c r="AU999" s="440">
        <v>0</v>
      </c>
      <c r="AV999" s="440">
        <v>0</v>
      </c>
      <c r="AW999" s="440">
        <v>0</v>
      </c>
      <c r="AX999" s="440">
        <v>0</v>
      </c>
      <c r="AY999" s="440">
        <v>0</v>
      </c>
      <c r="AZ999" s="440">
        <v>0</v>
      </c>
      <c r="BA999" s="440">
        <v>0</v>
      </c>
      <c r="BB999" s="440">
        <v>0</v>
      </c>
      <c r="BC999" s="440">
        <v>0</v>
      </c>
      <c r="BD999" s="440">
        <v>0</v>
      </c>
      <c r="BE999" s="440">
        <v>0</v>
      </c>
      <c r="BF999" s="440">
        <v>0</v>
      </c>
      <c r="BG999" s="440">
        <v>0</v>
      </c>
      <c r="BH999" s="440">
        <v>0</v>
      </c>
      <c r="BI999" s="440">
        <v>0</v>
      </c>
      <c r="BJ999" s="440">
        <v>0</v>
      </c>
      <c r="BK999" s="440">
        <v>0</v>
      </c>
      <c r="BL999" s="440">
        <v>0</v>
      </c>
      <c r="BM999" s="440">
        <v>0</v>
      </c>
      <c r="BN999" s="440">
        <v>0</v>
      </c>
      <c r="BO999" s="440">
        <v>0</v>
      </c>
      <c r="BP999" s="440">
        <v>0</v>
      </c>
      <c r="BQ999" s="440">
        <v>0</v>
      </c>
      <c r="BR999" s="415">
        <v>0</v>
      </c>
      <c r="BS999" s="415">
        <v>0</v>
      </c>
      <c r="BT999" s="935"/>
      <c r="BU999" s="935"/>
      <c r="BV999" s="935"/>
      <c r="BW999" s="935"/>
      <c r="BX999" s="935"/>
      <c r="BY999" s="935"/>
      <c r="BZ999" s="935"/>
      <c r="CA999" s="935"/>
      <c r="CB999" s="935"/>
      <c r="CC999" s="935"/>
      <c r="CD999" s="935"/>
      <c r="CE999" s="935"/>
      <c r="CF999" s="935"/>
      <c r="CG999" s="935"/>
      <c r="CH999" s="935"/>
      <c r="CI999" s="935"/>
      <c r="CJ999" s="935"/>
      <c r="CK999" s="935"/>
      <c r="CL999" s="935"/>
      <c r="CM999" s="935"/>
      <c r="CN999" s="935"/>
      <c r="CO999" s="935"/>
      <c r="CP999" s="935"/>
      <c r="CQ999" s="935"/>
      <c r="CR999" s="935"/>
      <c r="CS999" s="935"/>
      <c r="CT999" s="935"/>
      <c r="CU999" s="935"/>
      <c r="CV999" s="935"/>
    </row>
    <row r="1000" spans="1:100" s="441" customFormat="1">
      <c r="A1000" s="375">
        <f t="shared" si="276"/>
        <v>10</v>
      </c>
      <c r="B1000" s="862">
        <v>44491</v>
      </c>
      <c r="C1000" s="493" t="s">
        <v>1980</v>
      </c>
      <c r="D1000" s="376" t="str">
        <f>IFERROR(VLOOKUP(E:E,'Item Data Support Sheet'!A:O,7,0),"")</f>
        <v>HOOD MOLDED</v>
      </c>
      <c r="E1000" s="447" t="s">
        <v>1987</v>
      </c>
      <c r="F1000" s="500"/>
      <c r="G1000" s="497" t="s">
        <v>2729</v>
      </c>
      <c r="H1000" s="602" t="str">
        <f>IFERROR(VLOOKUP(E:E,'Item Data Support Sheet'!A:O,2,0),"")</f>
        <v>HOOD S TYPE MOLDED</v>
      </c>
      <c r="I1000" s="501" t="s">
        <v>3765</v>
      </c>
      <c r="J1000" s="501" t="s">
        <v>2826</v>
      </c>
      <c r="K1000" s="499">
        <v>8</v>
      </c>
      <c r="L1000" s="499">
        <v>4137</v>
      </c>
      <c r="M1000" s="366">
        <v>517.125</v>
      </c>
      <c r="N1000" s="367">
        <f t="shared" si="275"/>
        <v>5208</v>
      </c>
      <c r="O1000" s="61">
        <v>5200</v>
      </c>
      <c r="P1000" s="368">
        <v>0</v>
      </c>
      <c r="Q1000" s="368">
        <v>0</v>
      </c>
      <c r="R1000" s="494">
        <v>0</v>
      </c>
      <c r="S1000" s="493">
        <v>0</v>
      </c>
      <c r="T1000" s="494">
        <v>0</v>
      </c>
      <c r="U1000" s="493">
        <v>8</v>
      </c>
      <c r="V1000" s="502">
        <v>1</v>
      </c>
      <c r="W1000" s="453">
        <f t="shared" si="277"/>
        <v>5200</v>
      </c>
      <c r="X1000" s="748">
        <f t="shared" si="278"/>
        <v>1.2569494802997341</v>
      </c>
      <c r="Y1000" s="451" t="str">
        <f>IFERROR(VLOOKUP(E:E,'Item Data Support Sheet'!A:J,6,0),0)</f>
        <v>HMC</v>
      </c>
      <c r="Z1000" s="428">
        <f>IFERROR(VLOOKUP(E:E,'Item Data Support Sheet'!A:O,4,0),0)</f>
        <v>8.6</v>
      </c>
      <c r="AA1000" s="428">
        <f t="shared" si="279"/>
        <v>44.788800000000002</v>
      </c>
      <c r="AB1000" s="429">
        <f t="shared" si="280"/>
        <v>0.99846390168970811</v>
      </c>
      <c r="AC1000" s="424">
        <f t="shared" si="281"/>
        <v>0</v>
      </c>
      <c r="AD1000" s="371">
        <f t="shared" si="282"/>
        <v>0</v>
      </c>
      <c r="AE1000" s="748">
        <f t="shared" si="283"/>
        <v>1</v>
      </c>
      <c r="AF1000" s="417">
        <f t="shared" si="284"/>
        <v>0</v>
      </c>
      <c r="AG1000" s="416">
        <f t="shared" si="285"/>
        <v>8</v>
      </c>
      <c r="AH1000" s="372">
        <f t="shared" si="286"/>
        <v>1</v>
      </c>
      <c r="AI1000" s="373">
        <f t="shared" si="287"/>
        <v>650</v>
      </c>
      <c r="AJ1000" s="418">
        <f>VLOOKUP(D1000,'Standard Cycle time'!C:D,2,0)</f>
        <v>6</v>
      </c>
      <c r="AK1000" s="418">
        <f t="shared" si="288"/>
        <v>5.5384615384615383</v>
      </c>
      <c r="AL1000" s="374">
        <f t="shared" si="289"/>
        <v>1.0833333333333333</v>
      </c>
      <c r="AM1000" s="372">
        <f t="shared" si="290"/>
        <v>1.0833333333333333</v>
      </c>
      <c r="AN1000" s="799">
        <v>1.0833333333333333</v>
      </c>
      <c r="AO1000" s="448"/>
      <c r="AP1000" s="440">
        <v>0</v>
      </c>
      <c r="AQ1000" s="440">
        <v>0</v>
      </c>
      <c r="AR1000" s="440">
        <v>0</v>
      </c>
      <c r="AS1000" s="440">
        <v>0</v>
      </c>
      <c r="AT1000" s="440">
        <v>0</v>
      </c>
      <c r="AU1000" s="440">
        <v>0</v>
      </c>
      <c r="AV1000" s="440">
        <v>0</v>
      </c>
      <c r="AW1000" s="440">
        <v>0</v>
      </c>
      <c r="AX1000" s="440">
        <v>0</v>
      </c>
      <c r="AY1000" s="440">
        <v>0</v>
      </c>
      <c r="AZ1000" s="440">
        <v>0</v>
      </c>
      <c r="BA1000" s="440">
        <v>0</v>
      </c>
      <c r="BB1000" s="440">
        <v>0</v>
      </c>
      <c r="BC1000" s="440">
        <v>0</v>
      </c>
      <c r="BD1000" s="440">
        <v>0</v>
      </c>
      <c r="BE1000" s="440">
        <v>0</v>
      </c>
      <c r="BF1000" s="440">
        <v>0</v>
      </c>
      <c r="BG1000" s="440">
        <v>0</v>
      </c>
      <c r="BH1000" s="440">
        <v>0</v>
      </c>
      <c r="BI1000" s="440">
        <v>0</v>
      </c>
      <c r="BJ1000" s="440">
        <v>0</v>
      </c>
      <c r="BK1000" s="440">
        <v>0</v>
      </c>
      <c r="BL1000" s="440">
        <v>0</v>
      </c>
      <c r="BM1000" s="440">
        <v>0</v>
      </c>
      <c r="BN1000" s="440">
        <v>0</v>
      </c>
      <c r="BO1000" s="440">
        <v>0</v>
      </c>
      <c r="BP1000" s="440">
        <v>0</v>
      </c>
      <c r="BQ1000" s="440">
        <v>0</v>
      </c>
      <c r="BR1000" s="415">
        <v>0</v>
      </c>
      <c r="BS1000" s="415">
        <v>0</v>
      </c>
      <c r="BT1000" s="935"/>
      <c r="BU1000" s="935"/>
      <c r="BV1000" s="935"/>
      <c r="BW1000" s="935"/>
      <c r="BX1000" s="935"/>
      <c r="BY1000" s="935"/>
      <c r="BZ1000" s="935"/>
      <c r="CA1000" s="935"/>
      <c r="CB1000" s="935"/>
      <c r="CC1000" s="935"/>
      <c r="CD1000" s="935"/>
      <c r="CE1000" s="935"/>
      <c r="CF1000" s="935"/>
      <c r="CG1000" s="935"/>
      <c r="CH1000" s="935"/>
      <c r="CI1000" s="935"/>
      <c r="CJ1000" s="935"/>
      <c r="CK1000" s="935"/>
      <c r="CL1000" s="935"/>
      <c r="CM1000" s="935"/>
      <c r="CN1000" s="935"/>
      <c r="CO1000" s="935"/>
      <c r="CP1000" s="935"/>
      <c r="CQ1000" s="935"/>
      <c r="CR1000" s="935"/>
      <c r="CS1000" s="935"/>
      <c r="CT1000" s="935"/>
      <c r="CU1000" s="935"/>
      <c r="CV1000" s="935"/>
    </row>
    <row r="1001" spans="1:100" s="441" customFormat="1">
      <c r="A1001" s="375">
        <f t="shared" si="276"/>
        <v>10</v>
      </c>
      <c r="B1001" s="862">
        <v>44491</v>
      </c>
      <c r="C1001" s="493" t="s">
        <v>1980</v>
      </c>
      <c r="D1001" s="376" t="str">
        <f>IFERROR(VLOOKUP(E:E,'Item Data Support Sheet'!A:O,7,0),"")</f>
        <v>BOTTLE PRINTED</v>
      </c>
      <c r="E1001" s="447" t="s">
        <v>64</v>
      </c>
      <c r="F1001" s="500"/>
      <c r="G1001" s="497" t="s">
        <v>2729</v>
      </c>
      <c r="H1001" s="602" t="str">
        <f>IFERROR(VLOOKUP(E:E,'Item Data Support Sheet'!A:O,2,0),"")</f>
        <v>KPP 240 ML BOTTLE PRINTED</v>
      </c>
      <c r="I1001" s="501" t="s">
        <v>3766</v>
      </c>
      <c r="J1001" s="501" t="s">
        <v>2813</v>
      </c>
      <c r="K1001" s="499">
        <v>8</v>
      </c>
      <c r="L1001" s="499">
        <v>5100</v>
      </c>
      <c r="M1001" s="366">
        <v>637.5</v>
      </c>
      <c r="N1001" s="367">
        <f t="shared" si="275"/>
        <v>5462</v>
      </c>
      <c r="O1001" s="61">
        <v>5400</v>
      </c>
      <c r="P1001" s="368">
        <v>0</v>
      </c>
      <c r="Q1001" s="368">
        <v>0</v>
      </c>
      <c r="R1001" s="494">
        <v>36</v>
      </c>
      <c r="S1001" s="493">
        <v>0</v>
      </c>
      <c r="T1001" s="494">
        <v>62</v>
      </c>
      <c r="U1001" s="493">
        <v>0</v>
      </c>
      <c r="V1001" s="502">
        <v>5</v>
      </c>
      <c r="W1001" s="453">
        <f t="shared" si="277"/>
        <v>1080</v>
      </c>
      <c r="X1001" s="748">
        <f t="shared" si="278"/>
        <v>1.0588235294117647</v>
      </c>
      <c r="Y1001" s="451" t="str">
        <f>IFERROR(VLOOKUP(E:E,'Item Data Support Sheet'!A:J,6,0),0)</f>
        <v>FO003</v>
      </c>
      <c r="Z1001" s="428">
        <f>IFERROR(VLOOKUP(E:E,'Item Data Support Sheet'!A:O,4,0),0)</f>
        <v>0</v>
      </c>
      <c r="AA1001" s="428">
        <f t="shared" si="279"/>
        <v>0</v>
      </c>
      <c r="AB1001" s="429" t="str">
        <f t="shared" si="280"/>
        <v xml:space="preserve"> </v>
      </c>
      <c r="AC1001" s="424">
        <f t="shared" si="281"/>
        <v>1.1351153423654338E-2</v>
      </c>
      <c r="AD1001" s="371">
        <f t="shared" si="282"/>
        <v>0</v>
      </c>
      <c r="AE1001" s="748">
        <f t="shared" si="283"/>
        <v>0.98864884657634566</v>
      </c>
      <c r="AF1001" s="417">
        <f t="shared" si="284"/>
        <v>0</v>
      </c>
      <c r="AG1001" s="416">
        <f t="shared" si="285"/>
        <v>8</v>
      </c>
      <c r="AH1001" s="372">
        <f t="shared" si="286"/>
        <v>1</v>
      </c>
      <c r="AI1001" s="373">
        <f t="shared" si="287"/>
        <v>675</v>
      </c>
      <c r="AJ1001" s="418">
        <f>VLOOKUP(D1001,'Standard Cycle time'!C:D,2,0)</f>
        <v>32.4</v>
      </c>
      <c r="AK1001" s="418">
        <f t="shared" si="288"/>
        <v>26.666666666666668</v>
      </c>
      <c r="AL1001" s="374">
        <f t="shared" si="289"/>
        <v>1.2149999999999999</v>
      </c>
      <c r="AM1001" s="372">
        <f t="shared" si="290"/>
        <v>1.2012083485902598</v>
      </c>
      <c r="AN1001" s="799">
        <v>1.2012083485902598</v>
      </c>
      <c r="AO1001" s="448" t="s">
        <v>3767</v>
      </c>
      <c r="AP1001" s="440">
        <v>0</v>
      </c>
      <c r="AQ1001" s="440">
        <v>0</v>
      </c>
      <c r="AR1001" s="440">
        <v>0</v>
      </c>
      <c r="AS1001" s="440">
        <v>0</v>
      </c>
      <c r="AT1001" s="440">
        <v>0</v>
      </c>
      <c r="AU1001" s="440">
        <v>0</v>
      </c>
      <c r="AV1001" s="440">
        <v>0</v>
      </c>
      <c r="AW1001" s="440">
        <v>0</v>
      </c>
      <c r="AX1001" s="440">
        <v>0</v>
      </c>
      <c r="AY1001" s="440">
        <v>0</v>
      </c>
      <c r="AZ1001" s="440">
        <v>0</v>
      </c>
      <c r="BA1001" s="440">
        <v>0</v>
      </c>
      <c r="BB1001" s="440">
        <v>0</v>
      </c>
      <c r="BC1001" s="440">
        <v>0</v>
      </c>
      <c r="BD1001" s="440">
        <v>0</v>
      </c>
      <c r="BE1001" s="440">
        <v>0</v>
      </c>
      <c r="BF1001" s="440">
        <v>0</v>
      </c>
      <c r="BG1001" s="440">
        <v>0</v>
      </c>
      <c r="BH1001" s="440">
        <v>0</v>
      </c>
      <c r="BI1001" s="440">
        <v>0</v>
      </c>
      <c r="BJ1001" s="440">
        <v>0</v>
      </c>
      <c r="BK1001" s="440">
        <v>0</v>
      </c>
      <c r="BL1001" s="440">
        <v>0</v>
      </c>
      <c r="BM1001" s="440">
        <v>0</v>
      </c>
      <c r="BN1001" s="440">
        <v>0</v>
      </c>
      <c r="BO1001" s="440">
        <v>0</v>
      </c>
      <c r="BP1001" s="440">
        <v>0</v>
      </c>
      <c r="BQ1001" s="440">
        <v>0</v>
      </c>
      <c r="BR1001" s="415">
        <v>0</v>
      </c>
      <c r="BS1001" s="415">
        <v>0</v>
      </c>
      <c r="BT1001" s="935"/>
      <c r="BU1001" s="935"/>
      <c r="BV1001" s="935"/>
      <c r="BW1001" s="935"/>
      <c r="BX1001" s="935"/>
      <c r="BY1001" s="935"/>
      <c r="BZ1001" s="935"/>
      <c r="CA1001" s="935"/>
      <c r="CB1001" s="935"/>
      <c r="CC1001" s="935"/>
      <c r="CD1001" s="935"/>
      <c r="CE1001" s="935"/>
      <c r="CF1001" s="935"/>
      <c r="CG1001" s="935"/>
      <c r="CH1001" s="935"/>
      <c r="CI1001" s="935"/>
      <c r="CJ1001" s="935"/>
      <c r="CK1001" s="935"/>
      <c r="CL1001" s="935"/>
      <c r="CM1001" s="935"/>
      <c r="CN1001" s="935"/>
      <c r="CO1001" s="935"/>
      <c r="CP1001" s="935"/>
      <c r="CQ1001" s="935"/>
      <c r="CR1001" s="935"/>
      <c r="CS1001" s="935"/>
      <c r="CT1001" s="935"/>
      <c r="CU1001" s="935"/>
      <c r="CV1001" s="935"/>
    </row>
    <row r="1002" spans="1:100" s="441" customFormat="1">
      <c r="A1002" s="375">
        <f t="shared" si="276"/>
        <v>10</v>
      </c>
      <c r="B1002" s="862">
        <v>44491</v>
      </c>
      <c r="C1002" s="493" t="s">
        <v>2000</v>
      </c>
      <c r="D1002" s="376" t="str">
        <f>IFERROR(VLOOKUP(E:E,'Item Data Support Sheet'!A:O,7,0),"")</f>
        <v>NIPPLE WRAP PRINTED</v>
      </c>
      <c r="E1002" s="447" t="s">
        <v>110</v>
      </c>
      <c r="F1002" s="500"/>
      <c r="G1002" s="497" t="s">
        <v>1693</v>
      </c>
      <c r="H1002" s="602" t="str">
        <f>IFERROR(VLOOKUP(E:E,'Item Data Support Sheet'!A:O,2,0),"")</f>
        <v>NIPPLE S TYPE L SIZE WITH PRINTED WRAP</v>
      </c>
      <c r="I1002" s="501" t="s">
        <v>3641</v>
      </c>
      <c r="J1002" s="501" t="s">
        <v>2811</v>
      </c>
      <c r="K1002" s="499">
        <v>8</v>
      </c>
      <c r="L1002" s="499">
        <v>16137</v>
      </c>
      <c r="M1002" s="366">
        <v>2017.125</v>
      </c>
      <c r="N1002" s="367">
        <f t="shared" si="275"/>
        <v>16200</v>
      </c>
      <c r="O1002" s="61">
        <v>16180</v>
      </c>
      <c r="P1002" s="368">
        <v>0</v>
      </c>
      <c r="Q1002" s="368">
        <v>0</v>
      </c>
      <c r="R1002" s="494">
        <v>0</v>
      </c>
      <c r="S1002" s="493">
        <v>0</v>
      </c>
      <c r="T1002" s="494">
        <v>20</v>
      </c>
      <c r="U1002" s="493">
        <v>0</v>
      </c>
      <c r="V1002" s="502">
        <v>2</v>
      </c>
      <c r="W1002" s="453">
        <f t="shared" si="277"/>
        <v>8090</v>
      </c>
      <c r="X1002" s="748">
        <f t="shared" si="278"/>
        <v>1.0026646836462787</v>
      </c>
      <c r="Y1002" s="451" t="str">
        <f>IFERROR(VLOOKUP(E:E,'Item Data Support Sheet'!A:J,6,0),0)</f>
        <v>FO021</v>
      </c>
      <c r="Z1002" s="428">
        <f>IFERROR(VLOOKUP(E:E,'Item Data Support Sheet'!A:O,4,0),0)</f>
        <v>0</v>
      </c>
      <c r="AA1002" s="428">
        <f t="shared" si="279"/>
        <v>0</v>
      </c>
      <c r="AB1002" s="429" t="str">
        <f t="shared" si="280"/>
        <v xml:space="preserve"> </v>
      </c>
      <c r="AC1002" s="424">
        <f t="shared" si="281"/>
        <v>1.2345679012345679E-3</v>
      </c>
      <c r="AD1002" s="371">
        <f t="shared" si="282"/>
        <v>0</v>
      </c>
      <c r="AE1002" s="748">
        <f t="shared" si="283"/>
        <v>0.99876543209876545</v>
      </c>
      <c r="AF1002" s="417">
        <f t="shared" si="284"/>
        <v>0.83333333333333337</v>
      </c>
      <c r="AG1002" s="416">
        <f t="shared" si="285"/>
        <v>7.166666666666667</v>
      </c>
      <c r="AH1002" s="372">
        <f t="shared" si="286"/>
        <v>0.89583333333333337</v>
      </c>
      <c r="AI1002" s="373">
        <f t="shared" si="287"/>
        <v>2022.5</v>
      </c>
      <c r="AJ1002" s="418">
        <f>VLOOKUP(D1002,'Standard Cycle time'!C:D,2,0)</f>
        <v>2.5</v>
      </c>
      <c r="AK1002" s="418">
        <f t="shared" si="288"/>
        <v>3.1891223733003708</v>
      </c>
      <c r="AL1002" s="374">
        <f t="shared" si="289"/>
        <v>0.78391472868217049</v>
      </c>
      <c r="AM1002" s="372">
        <f t="shared" si="290"/>
        <v>0.70138996056241421</v>
      </c>
      <c r="AN1002" s="799">
        <v>0.69956010518006495</v>
      </c>
      <c r="AO1002" s="448"/>
      <c r="AP1002" s="440">
        <v>50</v>
      </c>
      <c r="AQ1002" s="440">
        <v>0</v>
      </c>
      <c r="AR1002" s="440">
        <v>0</v>
      </c>
      <c r="AS1002" s="440">
        <v>0</v>
      </c>
      <c r="AT1002" s="440">
        <v>0</v>
      </c>
      <c r="AU1002" s="440">
        <v>0</v>
      </c>
      <c r="AV1002" s="440">
        <v>0</v>
      </c>
      <c r="AW1002" s="440">
        <v>0</v>
      </c>
      <c r="AX1002" s="440">
        <v>0</v>
      </c>
      <c r="AY1002" s="440">
        <v>0</v>
      </c>
      <c r="AZ1002" s="440">
        <v>0</v>
      </c>
      <c r="BA1002" s="440">
        <v>0</v>
      </c>
      <c r="BB1002" s="440">
        <v>0</v>
      </c>
      <c r="BC1002" s="440">
        <v>0</v>
      </c>
      <c r="BD1002" s="440">
        <v>0</v>
      </c>
      <c r="BE1002" s="440">
        <v>0</v>
      </c>
      <c r="BF1002" s="440">
        <v>0</v>
      </c>
      <c r="BG1002" s="440">
        <v>0</v>
      </c>
      <c r="BH1002" s="440">
        <v>0</v>
      </c>
      <c r="BI1002" s="440">
        <v>0</v>
      </c>
      <c r="BJ1002" s="440">
        <v>0</v>
      </c>
      <c r="BK1002" s="440">
        <v>0</v>
      </c>
      <c r="BL1002" s="440">
        <v>0</v>
      </c>
      <c r="BM1002" s="440">
        <v>0</v>
      </c>
      <c r="BN1002" s="440">
        <v>0</v>
      </c>
      <c r="BO1002" s="440">
        <v>0</v>
      </c>
      <c r="BP1002" s="440">
        <v>0</v>
      </c>
      <c r="BQ1002" s="440">
        <v>0</v>
      </c>
      <c r="BR1002" s="415">
        <v>0.83333333333333337</v>
      </c>
      <c r="BS1002" s="415">
        <v>0.83333333333333337</v>
      </c>
      <c r="BT1002" s="935"/>
      <c r="BU1002" s="935"/>
      <c r="BV1002" s="935"/>
      <c r="BW1002" s="935"/>
      <c r="BX1002" s="935"/>
      <c r="BY1002" s="935"/>
      <c r="BZ1002" s="935"/>
      <c r="CA1002" s="935"/>
      <c r="CB1002" s="935"/>
      <c r="CC1002" s="935"/>
      <c r="CD1002" s="935"/>
      <c r="CE1002" s="935"/>
      <c r="CF1002" s="935"/>
      <c r="CG1002" s="935"/>
      <c r="CH1002" s="935"/>
      <c r="CI1002" s="935"/>
      <c r="CJ1002" s="935"/>
      <c r="CK1002" s="935"/>
      <c r="CL1002" s="935"/>
      <c r="CM1002" s="935"/>
      <c r="CN1002" s="935"/>
      <c r="CO1002" s="935"/>
      <c r="CP1002" s="935"/>
      <c r="CQ1002" s="935"/>
      <c r="CR1002" s="935"/>
      <c r="CS1002" s="935"/>
      <c r="CT1002" s="935"/>
      <c r="CU1002" s="935"/>
      <c r="CV1002" s="935"/>
    </row>
    <row r="1003" spans="1:100" s="441" customFormat="1">
      <c r="A1003" s="375">
        <f t="shared" si="276"/>
        <v>10</v>
      </c>
      <c r="B1003" s="862">
        <v>44491</v>
      </c>
      <c r="C1003" s="493" t="s">
        <v>2001</v>
      </c>
      <c r="D1003" s="376" t="str">
        <f>IFERROR(VLOOKUP(E:E,'Item Data Support Sheet'!A:O,7,0),"")</f>
        <v>NIPPLE MOLDED</v>
      </c>
      <c r="E1003" s="447" t="s">
        <v>72</v>
      </c>
      <c r="F1003" s="500" t="s">
        <v>1678</v>
      </c>
      <c r="G1003" s="497" t="s">
        <v>1691</v>
      </c>
      <c r="H1003" s="602" t="str">
        <f>IFERROR(VLOOKUP(E:E,'Item Data Support Sheet'!A:O,2,0),"")</f>
        <v>NIPPLE S TYPE S SIZE INJECTION</v>
      </c>
      <c r="I1003" s="501" t="s">
        <v>3768</v>
      </c>
      <c r="J1003" s="501" t="s">
        <v>2811</v>
      </c>
      <c r="K1003" s="499">
        <v>8</v>
      </c>
      <c r="L1003" s="499">
        <v>4815</v>
      </c>
      <c r="M1003" s="366">
        <v>601.875</v>
      </c>
      <c r="N1003" s="367">
        <f t="shared" si="275"/>
        <v>5209</v>
      </c>
      <c r="O1003" s="61">
        <v>5000</v>
      </c>
      <c r="P1003" s="368">
        <v>10.200000000000001</v>
      </c>
      <c r="Q1003" s="368">
        <v>107</v>
      </c>
      <c r="R1003" s="494">
        <v>0</v>
      </c>
      <c r="S1003" s="493">
        <v>0</v>
      </c>
      <c r="T1003" s="494">
        <v>94</v>
      </c>
      <c r="U1003" s="493">
        <v>8</v>
      </c>
      <c r="V1003" s="502">
        <v>1</v>
      </c>
      <c r="W1003" s="453">
        <f t="shared" si="277"/>
        <v>5000</v>
      </c>
      <c r="X1003" s="748">
        <f t="shared" si="278"/>
        <v>1.0384215991692627</v>
      </c>
      <c r="Y1003" s="451" t="str">
        <f>IFERROR(VLOOKUP(E:E,'Item Data Support Sheet'!A:J,6,0),0)</f>
        <v>Silicon</v>
      </c>
      <c r="Z1003" s="428">
        <f>IFERROR(VLOOKUP(E:E,'Item Data Support Sheet'!A:O,4,0),0)</f>
        <v>6.8</v>
      </c>
      <c r="AA1003" s="428">
        <f t="shared" si="279"/>
        <v>45.621200000000002</v>
      </c>
      <c r="AB1003" s="429">
        <f t="shared" si="280"/>
        <v>0.7452675510508272</v>
      </c>
      <c r="AC1003" s="424">
        <f t="shared" si="281"/>
        <v>1.845308205732234E-2</v>
      </c>
      <c r="AD1003" s="371">
        <f t="shared" si="282"/>
        <v>2.0127915726109856E-2</v>
      </c>
      <c r="AE1003" s="748">
        <f t="shared" si="283"/>
        <v>0.98195430984833942</v>
      </c>
      <c r="AF1003" s="417">
        <f t="shared" si="284"/>
        <v>0</v>
      </c>
      <c r="AG1003" s="416">
        <f t="shared" si="285"/>
        <v>8</v>
      </c>
      <c r="AH1003" s="372">
        <f t="shared" si="286"/>
        <v>1</v>
      </c>
      <c r="AI1003" s="373">
        <f t="shared" si="287"/>
        <v>625</v>
      </c>
      <c r="AJ1003" s="418">
        <f>VLOOKUP(D1003,'Standard Cycle time'!C:D,2,0)</f>
        <v>5.25</v>
      </c>
      <c r="AK1003" s="418">
        <f t="shared" si="288"/>
        <v>5.76</v>
      </c>
      <c r="AL1003" s="374">
        <f t="shared" si="289"/>
        <v>0.91145833333333337</v>
      </c>
      <c r="AM1003" s="372">
        <f t="shared" si="290"/>
        <v>0.8950104386638511</v>
      </c>
      <c r="AN1003" s="799">
        <v>0.90616962448559668</v>
      </c>
      <c r="AO1003" s="448" t="s">
        <v>3769</v>
      </c>
      <c r="AP1003" s="440">
        <v>0</v>
      </c>
      <c r="AQ1003" s="440">
        <v>0</v>
      </c>
      <c r="AR1003" s="440">
        <v>0</v>
      </c>
      <c r="AS1003" s="440">
        <v>0</v>
      </c>
      <c r="AT1003" s="440">
        <v>0</v>
      </c>
      <c r="AU1003" s="440">
        <v>0</v>
      </c>
      <c r="AV1003" s="440">
        <v>0</v>
      </c>
      <c r="AW1003" s="440">
        <v>0</v>
      </c>
      <c r="AX1003" s="440">
        <v>0</v>
      </c>
      <c r="AY1003" s="440">
        <v>0</v>
      </c>
      <c r="AZ1003" s="440">
        <v>0</v>
      </c>
      <c r="BA1003" s="440">
        <v>0</v>
      </c>
      <c r="BB1003" s="440">
        <v>0</v>
      </c>
      <c r="BC1003" s="440">
        <v>0</v>
      </c>
      <c r="BD1003" s="440">
        <v>0</v>
      </c>
      <c r="BE1003" s="440">
        <v>0</v>
      </c>
      <c r="BF1003" s="440">
        <v>0</v>
      </c>
      <c r="BG1003" s="440">
        <v>0</v>
      </c>
      <c r="BH1003" s="440">
        <v>0</v>
      </c>
      <c r="BI1003" s="440">
        <v>0</v>
      </c>
      <c r="BJ1003" s="440">
        <v>0</v>
      </c>
      <c r="BK1003" s="440">
        <v>0</v>
      </c>
      <c r="BL1003" s="440">
        <v>0</v>
      </c>
      <c r="BM1003" s="440">
        <v>0</v>
      </c>
      <c r="BN1003" s="440">
        <v>0</v>
      </c>
      <c r="BO1003" s="440">
        <v>0</v>
      </c>
      <c r="BP1003" s="440">
        <v>0</v>
      </c>
      <c r="BQ1003" s="440">
        <v>0</v>
      </c>
      <c r="BR1003" s="415">
        <v>0</v>
      </c>
      <c r="BS1003" s="415">
        <v>0</v>
      </c>
      <c r="BT1003" s="935"/>
      <c r="BU1003" s="935"/>
      <c r="BV1003" s="935"/>
      <c r="BW1003" s="935"/>
      <c r="BX1003" s="935"/>
      <c r="BY1003" s="935"/>
      <c r="BZ1003" s="935"/>
      <c r="CA1003" s="935"/>
      <c r="CB1003" s="935"/>
      <c r="CC1003" s="935"/>
      <c r="CD1003" s="935"/>
      <c r="CE1003" s="935"/>
      <c r="CF1003" s="935"/>
      <c r="CG1003" s="935"/>
      <c r="CH1003" s="935"/>
      <c r="CI1003" s="935"/>
      <c r="CJ1003" s="935"/>
      <c r="CK1003" s="935"/>
      <c r="CL1003" s="935"/>
      <c r="CM1003" s="935"/>
      <c r="CN1003" s="935"/>
      <c r="CO1003" s="935"/>
      <c r="CP1003" s="935"/>
      <c r="CQ1003" s="935"/>
      <c r="CR1003" s="935"/>
      <c r="CS1003" s="935"/>
      <c r="CT1003" s="935"/>
      <c r="CU1003" s="935"/>
      <c r="CV1003" s="935"/>
    </row>
    <row r="1004" spans="1:100" s="441" customFormat="1">
      <c r="A1004" s="375">
        <f t="shared" si="276"/>
        <v>10</v>
      </c>
      <c r="B1004" s="862">
        <v>44491</v>
      </c>
      <c r="C1004" s="493" t="s">
        <v>2001</v>
      </c>
      <c r="D1004" s="376" t="str">
        <f>IFERROR(VLOOKUP(E:E,'Item Data Support Sheet'!A:O,7,0),"")</f>
        <v>HOOD MOLDED</v>
      </c>
      <c r="E1004" s="447" t="s">
        <v>1987</v>
      </c>
      <c r="F1004" s="500"/>
      <c r="G1004" s="497" t="s">
        <v>2729</v>
      </c>
      <c r="H1004" s="602" t="str">
        <f>IFERROR(VLOOKUP(E:E,'Item Data Support Sheet'!A:O,2,0),"")</f>
        <v>HOOD S TYPE MOLDED</v>
      </c>
      <c r="I1004" s="501" t="s">
        <v>3770</v>
      </c>
      <c r="J1004" s="501" t="s">
        <v>2811</v>
      </c>
      <c r="K1004" s="499">
        <v>8</v>
      </c>
      <c r="L1004" s="499">
        <v>4137</v>
      </c>
      <c r="M1004" s="366">
        <v>517.125</v>
      </c>
      <c r="N1004" s="367">
        <f t="shared" si="275"/>
        <v>5012</v>
      </c>
      <c r="O1004" s="61">
        <v>5000</v>
      </c>
      <c r="P1004" s="368">
        <v>0</v>
      </c>
      <c r="Q1004" s="368">
        <v>0</v>
      </c>
      <c r="R1004" s="494">
        <v>0</v>
      </c>
      <c r="S1004" s="493">
        <v>0</v>
      </c>
      <c r="T1004" s="494">
        <v>12</v>
      </c>
      <c r="U1004" s="493">
        <v>0</v>
      </c>
      <c r="V1004" s="502">
        <v>1</v>
      </c>
      <c r="W1004" s="453">
        <f t="shared" si="277"/>
        <v>5000</v>
      </c>
      <c r="X1004" s="748">
        <f t="shared" si="278"/>
        <v>1.2086052695189751</v>
      </c>
      <c r="Y1004" s="451" t="str">
        <f>IFERROR(VLOOKUP(E:E,'Item Data Support Sheet'!A:J,6,0),0)</f>
        <v>HMC</v>
      </c>
      <c r="Z1004" s="428">
        <f>IFERROR(VLOOKUP(E:E,'Item Data Support Sheet'!A:O,4,0),0)</f>
        <v>8.6</v>
      </c>
      <c r="AA1004" s="428">
        <f t="shared" si="279"/>
        <v>43.103200000000001</v>
      </c>
      <c r="AB1004" s="429">
        <f t="shared" si="280"/>
        <v>0.99760574620909814</v>
      </c>
      <c r="AC1004" s="424">
        <f t="shared" si="281"/>
        <v>2.3942537909018356E-3</v>
      </c>
      <c r="AD1004" s="371">
        <f t="shared" si="282"/>
        <v>0</v>
      </c>
      <c r="AE1004" s="748">
        <f t="shared" si="283"/>
        <v>0.99760574620909814</v>
      </c>
      <c r="AF1004" s="417">
        <f t="shared" si="284"/>
        <v>0.5</v>
      </c>
      <c r="AG1004" s="416">
        <f t="shared" si="285"/>
        <v>7.5</v>
      </c>
      <c r="AH1004" s="372">
        <f t="shared" si="286"/>
        <v>0.9375</v>
      </c>
      <c r="AI1004" s="373">
        <f t="shared" si="287"/>
        <v>625</v>
      </c>
      <c r="AJ1004" s="418">
        <f>VLOOKUP(D1004,'Standard Cycle time'!C:D,2,0)</f>
        <v>6</v>
      </c>
      <c r="AK1004" s="418">
        <f t="shared" si="288"/>
        <v>5.4</v>
      </c>
      <c r="AL1004" s="374">
        <f t="shared" si="289"/>
        <v>1.1111111111111109</v>
      </c>
      <c r="AM1004" s="372">
        <f t="shared" si="290"/>
        <v>1.0391726523011438</v>
      </c>
      <c r="AN1004" s="799">
        <v>1.0392669738273499</v>
      </c>
      <c r="AO1004" s="448"/>
      <c r="AP1004" s="440">
        <v>0</v>
      </c>
      <c r="AQ1004" s="440">
        <v>0</v>
      </c>
      <c r="AR1004" s="440">
        <v>0</v>
      </c>
      <c r="AS1004" s="440">
        <v>0</v>
      </c>
      <c r="AT1004" s="440">
        <v>0</v>
      </c>
      <c r="AU1004" s="440">
        <v>0</v>
      </c>
      <c r="AV1004" s="440">
        <v>30</v>
      </c>
      <c r="AW1004" s="440">
        <v>0</v>
      </c>
      <c r="AX1004" s="440">
        <v>0</v>
      </c>
      <c r="AY1004" s="440">
        <v>0</v>
      </c>
      <c r="AZ1004" s="440">
        <v>0</v>
      </c>
      <c r="BA1004" s="440">
        <v>0</v>
      </c>
      <c r="BB1004" s="440">
        <v>0</v>
      </c>
      <c r="BC1004" s="440">
        <v>0</v>
      </c>
      <c r="BD1004" s="440">
        <v>0</v>
      </c>
      <c r="BE1004" s="440">
        <v>0</v>
      </c>
      <c r="BF1004" s="440">
        <v>0</v>
      </c>
      <c r="BG1004" s="440">
        <v>0</v>
      </c>
      <c r="BH1004" s="440">
        <v>0</v>
      </c>
      <c r="BI1004" s="440">
        <v>0</v>
      </c>
      <c r="BJ1004" s="440">
        <v>0</v>
      </c>
      <c r="BK1004" s="440">
        <v>0</v>
      </c>
      <c r="BL1004" s="440">
        <v>0</v>
      </c>
      <c r="BM1004" s="440">
        <v>0</v>
      </c>
      <c r="BN1004" s="440">
        <v>0</v>
      </c>
      <c r="BO1004" s="440">
        <v>0</v>
      </c>
      <c r="BP1004" s="440">
        <v>0</v>
      </c>
      <c r="BQ1004" s="440">
        <v>0</v>
      </c>
      <c r="BR1004" s="415">
        <v>0.5</v>
      </c>
      <c r="BS1004" s="415">
        <v>0.5</v>
      </c>
      <c r="BT1004" s="935"/>
      <c r="BU1004" s="935"/>
      <c r="BV1004" s="935"/>
      <c r="BW1004" s="935"/>
      <c r="BX1004" s="935"/>
      <c r="BY1004" s="935"/>
      <c r="BZ1004" s="935"/>
      <c r="CA1004" s="935"/>
      <c r="CB1004" s="935"/>
      <c r="CC1004" s="935"/>
      <c r="CD1004" s="935"/>
      <c r="CE1004" s="935"/>
      <c r="CF1004" s="935"/>
      <c r="CG1004" s="935"/>
      <c r="CH1004" s="935"/>
      <c r="CI1004" s="935"/>
      <c r="CJ1004" s="935"/>
      <c r="CK1004" s="935"/>
      <c r="CL1004" s="935"/>
      <c r="CM1004" s="935"/>
      <c r="CN1004" s="935"/>
      <c r="CO1004" s="935"/>
      <c r="CP1004" s="935"/>
      <c r="CQ1004" s="935"/>
      <c r="CR1004" s="935"/>
      <c r="CS1004" s="935"/>
      <c r="CT1004" s="935"/>
      <c r="CU1004" s="935"/>
      <c r="CV1004" s="935"/>
    </row>
    <row r="1005" spans="1:100" s="441" customFormat="1">
      <c r="A1005" s="375">
        <f t="shared" si="276"/>
        <v>10</v>
      </c>
      <c r="B1005" s="862">
        <v>44491</v>
      </c>
      <c r="C1005" s="493" t="s">
        <v>2001</v>
      </c>
      <c r="D1005" s="376" t="str">
        <f>IFERROR(VLOOKUP(E:E,'Item Data Support Sheet'!A:O,7,0),"")</f>
        <v>BOTTLE MOLDED</v>
      </c>
      <c r="E1005" s="447" t="s">
        <v>14</v>
      </c>
      <c r="F1005" s="500" t="s">
        <v>1681</v>
      </c>
      <c r="G1005" s="497" t="s">
        <v>1888</v>
      </c>
      <c r="H1005" s="602" t="str">
        <f>IFERROR(VLOOKUP(E:E,'Item Data Support Sheet'!A:O,2,0),"")</f>
        <v>KPP 240 ML BOTTLE MOLDED</v>
      </c>
      <c r="I1005" s="501" t="s">
        <v>3771</v>
      </c>
      <c r="J1005" s="501" t="s">
        <v>2811</v>
      </c>
      <c r="K1005" s="499">
        <v>8</v>
      </c>
      <c r="L1005" s="499">
        <v>2574</v>
      </c>
      <c r="M1005" s="366">
        <v>321.75</v>
      </c>
      <c r="N1005" s="367">
        <f t="shared" si="275"/>
        <v>3145</v>
      </c>
      <c r="O1005" s="61">
        <v>3024</v>
      </c>
      <c r="P1005" s="368">
        <v>0</v>
      </c>
      <c r="Q1005" s="368">
        <v>30</v>
      </c>
      <c r="R1005" s="494">
        <v>0</v>
      </c>
      <c r="S1005" s="493">
        <v>0</v>
      </c>
      <c r="T1005" s="494">
        <v>91</v>
      </c>
      <c r="U1005" s="493">
        <v>0</v>
      </c>
      <c r="V1005" s="502">
        <v>1</v>
      </c>
      <c r="W1005" s="453">
        <f t="shared" si="277"/>
        <v>3024</v>
      </c>
      <c r="X1005" s="748">
        <f t="shared" si="278"/>
        <v>1.1748251748251748</v>
      </c>
      <c r="Y1005" s="451" t="str">
        <f>IFERROR(VLOOKUP(E:E,'Item Data Support Sheet'!A:J,6,0),0)</f>
        <v>HMC</v>
      </c>
      <c r="Z1005" s="428">
        <f>IFERROR(VLOOKUP(E:E,'Item Data Support Sheet'!A:O,4,0),0)</f>
        <v>32.1</v>
      </c>
      <c r="AA1005" s="428">
        <f t="shared" si="279"/>
        <v>100.95450000000001</v>
      </c>
      <c r="AB1005" s="429">
        <f t="shared" si="280"/>
        <v>0.96152623211446742</v>
      </c>
      <c r="AC1005" s="424">
        <f t="shared" si="281"/>
        <v>2.9213483146067417E-2</v>
      </c>
      <c r="AD1005" s="371">
        <f t="shared" si="282"/>
        <v>9.4488188976377951E-3</v>
      </c>
      <c r="AE1005" s="748">
        <f t="shared" si="283"/>
        <v>0.97106518282988874</v>
      </c>
      <c r="AF1005" s="417">
        <f t="shared" si="284"/>
        <v>0</v>
      </c>
      <c r="AG1005" s="416">
        <f t="shared" si="285"/>
        <v>8</v>
      </c>
      <c r="AH1005" s="372">
        <f t="shared" si="286"/>
        <v>1</v>
      </c>
      <c r="AI1005" s="373">
        <f t="shared" si="287"/>
        <v>378</v>
      </c>
      <c r="AJ1005" s="418">
        <f>VLOOKUP(D1005,'Standard Cycle time'!C:D,2,0)</f>
        <v>9</v>
      </c>
      <c r="AK1005" s="418">
        <f t="shared" si="288"/>
        <v>9.5238095238095237</v>
      </c>
      <c r="AL1005" s="374">
        <f t="shared" si="289"/>
        <v>0.94500000000000006</v>
      </c>
      <c r="AM1005" s="372">
        <f t="shared" si="290"/>
        <v>0.91765659777424491</v>
      </c>
      <c r="AN1005" s="799">
        <v>0.92784217877094977</v>
      </c>
      <c r="AO1005" s="448"/>
      <c r="AP1005" s="440">
        <v>0</v>
      </c>
      <c r="AQ1005" s="440">
        <v>0</v>
      </c>
      <c r="AR1005" s="440">
        <v>0</v>
      </c>
      <c r="AS1005" s="440">
        <v>0</v>
      </c>
      <c r="AT1005" s="440">
        <v>0</v>
      </c>
      <c r="AU1005" s="440">
        <v>0</v>
      </c>
      <c r="AV1005" s="440">
        <v>0</v>
      </c>
      <c r="AW1005" s="440">
        <v>0</v>
      </c>
      <c r="AX1005" s="440">
        <v>0</v>
      </c>
      <c r="AY1005" s="440">
        <v>0</v>
      </c>
      <c r="AZ1005" s="440">
        <v>0</v>
      </c>
      <c r="BA1005" s="440">
        <v>0</v>
      </c>
      <c r="BB1005" s="440">
        <v>0</v>
      </c>
      <c r="BC1005" s="440">
        <v>0</v>
      </c>
      <c r="BD1005" s="440">
        <v>0</v>
      </c>
      <c r="BE1005" s="440">
        <v>0</v>
      </c>
      <c r="BF1005" s="440">
        <v>0</v>
      </c>
      <c r="BG1005" s="440">
        <v>0</v>
      </c>
      <c r="BH1005" s="440">
        <v>0</v>
      </c>
      <c r="BI1005" s="440">
        <v>0</v>
      </c>
      <c r="BJ1005" s="440">
        <v>0</v>
      </c>
      <c r="BK1005" s="440">
        <v>0</v>
      </c>
      <c r="BL1005" s="440">
        <v>0</v>
      </c>
      <c r="BM1005" s="440">
        <v>0</v>
      </c>
      <c r="BN1005" s="440">
        <v>0</v>
      </c>
      <c r="BO1005" s="440">
        <v>0</v>
      </c>
      <c r="BP1005" s="440">
        <v>0</v>
      </c>
      <c r="BQ1005" s="440">
        <v>0</v>
      </c>
      <c r="BR1005" s="415">
        <v>0</v>
      </c>
      <c r="BS1005" s="415">
        <v>0</v>
      </c>
      <c r="BT1005" s="935"/>
      <c r="BU1005" s="935"/>
      <c r="BV1005" s="935"/>
      <c r="BW1005" s="935"/>
      <c r="BX1005" s="935"/>
      <c r="BY1005" s="935"/>
      <c r="BZ1005" s="935"/>
      <c r="CA1005" s="935"/>
      <c r="CB1005" s="935"/>
      <c r="CC1005" s="935"/>
      <c r="CD1005" s="935"/>
      <c r="CE1005" s="935"/>
      <c r="CF1005" s="935"/>
      <c r="CG1005" s="935"/>
      <c r="CH1005" s="935"/>
      <c r="CI1005" s="935"/>
      <c r="CJ1005" s="935"/>
      <c r="CK1005" s="935"/>
      <c r="CL1005" s="935"/>
      <c r="CM1005" s="935"/>
      <c r="CN1005" s="935"/>
      <c r="CO1005" s="935"/>
      <c r="CP1005" s="935"/>
      <c r="CQ1005" s="935"/>
      <c r="CR1005" s="935"/>
      <c r="CS1005" s="935"/>
      <c r="CT1005" s="935"/>
      <c r="CU1005" s="935"/>
      <c r="CV1005" s="935"/>
    </row>
    <row r="1006" spans="1:100" s="441" customFormat="1">
      <c r="A1006" s="375">
        <f t="shared" si="276"/>
        <v>10</v>
      </c>
      <c r="B1006" s="862">
        <v>44491</v>
      </c>
      <c r="C1006" s="493" t="s">
        <v>2001</v>
      </c>
      <c r="D1006" s="376" t="str">
        <f>IFERROR(VLOOKUP(E:E,'Item Data Support Sheet'!A:O,7,0),"")</f>
        <v>NIPPLE PUNCH</v>
      </c>
      <c r="E1006" s="447" t="s">
        <v>80</v>
      </c>
      <c r="F1006" s="500"/>
      <c r="G1006" s="497" t="s">
        <v>1692</v>
      </c>
      <c r="H1006" s="602" t="str">
        <f>IFERROR(VLOOKUP(E:E,'Item Data Support Sheet'!A:O,2,0),"")</f>
        <v>NIPPLE S TYPE S SIZE PUNCHED</v>
      </c>
      <c r="I1006" s="501" t="s">
        <v>3772</v>
      </c>
      <c r="J1006" s="501" t="s">
        <v>2811</v>
      </c>
      <c r="K1006" s="499">
        <v>3</v>
      </c>
      <c r="L1006" s="499">
        <v>2600</v>
      </c>
      <c r="M1006" s="366">
        <v>866.66666666666663</v>
      </c>
      <c r="N1006" s="367">
        <f t="shared" si="275"/>
        <v>3000</v>
      </c>
      <c r="O1006" s="61">
        <v>2992</v>
      </c>
      <c r="P1006" s="368">
        <v>0</v>
      </c>
      <c r="Q1006" s="368">
        <v>0</v>
      </c>
      <c r="R1006" s="494">
        <v>0</v>
      </c>
      <c r="S1006" s="493">
        <v>0</v>
      </c>
      <c r="T1006" s="494">
        <v>0</v>
      </c>
      <c r="U1006" s="493">
        <v>8</v>
      </c>
      <c r="V1006" s="502">
        <v>1</v>
      </c>
      <c r="W1006" s="453">
        <f t="shared" si="277"/>
        <v>2992</v>
      </c>
      <c r="X1006" s="748">
        <f t="shared" si="278"/>
        <v>1.1507692307692308</v>
      </c>
      <c r="Y1006" s="451" t="str">
        <f>IFERROR(VLOOKUP(E:E,'Item Data Support Sheet'!A:J,6,0),0)</f>
        <v>FO015</v>
      </c>
      <c r="Z1006" s="428">
        <f>IFERROR(VLOOKUP(E:E,'Item Data Support Sheet'!A:O,4,0),0)</f>
        <v>0</v>
      </c>
      <c r="AA1006" s="428">
        <f t="shared" si="279"/>
        <v>0</v>
      </c>
      <c r="AB1006" s="429" t="str">
        <f t="shared" si="280"/>
        <v xml:space="preserve"> </v>
      </c>
      <c r="AC1006" s="424">
        <f t="shared" si="281"/>
        <v>0</v>
      </c>
      <c r="AD1006" s="371">
        <f t="shared" si="282"/>
        <v>0</v>
      </c>
      <c r="AE1006" s="748">
        <f t="shared" si="283"/>
        <v>1</v>
      </c>
      <c r="AF1006" s="417">
        <f t="shared" si="284"/>
        <v>0.66666666666666663</v>
      </c>
      <c r="AG1006" s="416">
        <f t="shared" si="285"/>
        <v>2.3333333333333335</v>
      </c>
      <c r="AH1006" s="372">
        <f t="shared" si="286"/>
        <v>0.77777777777777779</v>
      </c>
      <c r="AI1006" s="373">
        <f t="shared" si="287"/>
        <v>997.33333333333337</v>
      </c>
      <c r="AJ1006" s="418">
        <f>VLOOKUP(D1006,'Standard Cycle time'!C:D,2,0)</f>
        <v>3.5</v>
      </c>
      <c r="AK1006" s="418">
        <f t="shared" si="288"/>
        <v>2.8074866310160429</v>
      </c>
      <c r="AL1006" s="374">
        <f t="shared" si="289"/>
        <v>1.2466666666666666</v>
      </c>
      <c r="AM1006" s="372">
        <f t="shared" si="290"/>
        <v>0.96962962962962962</v>
      </c>
      <c r="AN1006" s="799">
        <v>0.96962962962962962</v>
      </c>
      <c r="AO1006" s="448"/>
      <c r="AP1006" s="440">
        <v>40</v>
      </c>
      <c r="AQ1006" s="440">
        <v>0</v>
      </c>
      <c r="AR1006" s="440">
        <v>0</v>
      </c>
      <c r="AS1006" s="440">
        <v>0</v>
      </c>
      <c r="AT1006" s="440">
        <v>0</v>
      </c>
      <c r="AU1006" s="440">
        <v>0</v>
      </c>
      <c r="AV1006" s="440">
        <v>0</v>
      </c>
      <c r="AW1006" s="440">
        <v>0</v>
      </c>
      <c r="AX1006" s="440">
        <v>0</v>
      </c>
      <c r="AY1006" s="440">
        <v>0</v>
      </c>
      <c r="AZ1006" s="440">
        <v>0</v>
      </c>
      <c r="BA1006" s="440">
        <v>0</v>
      </c>
      <c r="BB1006" s="440">
        <v>0</v>
      </c>
      <c r="BC1006" s="440">
        <v>0</v>
      </c>
      <c r="BD1006" s="440">
        <v>0</v>
      </c>
      <c r="BE1006" s="440">
        <v>0</v>
      </c>
      <c r="BF1006" s="440">
        <v>0</v>
      </c>
      <c r="BG1006" s="440">
        <v>0</v>
      </c>
      <c r="BH1006" s="440">
        <v>0</v>
      </c>
      <c r="BI1006" s="440">
        <v>0</v>
      </c>
      <c r="BJ1006" s="440">
        <v>0</v>
      </c>
      <c r="BK1006" s="440">
        <v>0</v>
      </c>
      <c r="BL1006" s="440">
        <v>0</v>
      </c>
      <c r="BM1006" s="440">
        <v>0</v>
      </c>
      <c r="BN1006" s="440">
        <v>0</v>
      </c>
      <c r="BO1006" s="440">
        <v>0</v>
      </c>
      <c r="BP1006" s="440">
        <v>0</v>
      </c>
      <c r="BQ1006" s="440">
        <v>0</v>
      </c>
      <c r="BR1006" s="415">
        <v>0.66666666666666663</v>
      </c>
      <c r="BS1006" s="415">
        <v>0.66666666666666663</v>
      </c>
      <c r="BT1006" s="935"/>
      <c r="BU1006" s="935"/>
      <c r="BV1006" s="935"/>
      <c r="BW1006" s="935"/>
      <c r="BX1006" s="935"/>
      <c r="BY1006" s="935"/>
      <c r="BZ1006" s="935"/>
      <c r="CA1006" s="935"/>
      <c r="CB1006" s="935"/>
      <c r="CC1006" s="935"/>
      <c r="CD1006" s="935"/>
      <c r="CE1006" s="935"/>
      <c r="CF1006" s="935"/>
      <c r="CG1006" s="935"/>
      <c r="CH1006" s="935"/>
      <c r="CI1006" s="935"/>
      <c r="CJ1006" s="935"/>
      <c r="CK1006" s="935"/>
      <c r="CL1006" s="935"/>
      <c r="CM1006" s="935"/>
      <c r="CN1006" s="935"/>
      <c r="CO1006" s="935"/>
      <c r="CP1006" s="935"/>
      <c r="CQ1006" s="935"/>
      <c r="CR1006" s="935"/>
      <c r="CS1006" s="935"/>
      <c r="CT1006" s="935"/>
      <c r="CU1006" s="935"/>
      <c r="CV1006" s="935"/>
    </row>
    <row r="1007" spans="1:100" s="441" customFormat="1">
      <c r="A1007" s="375">
        <f t="shared" si="276"/>
        <v>10</v>
      </c>
      <c r="B1007" s="862">
        <v>44491</v>
      </c>
      <c r="C1007" s="493" t="s">
        <v>2001</v>
      </c>
      <c r="D1007" s="376" t="str">
        <f>IFERROR(VLOOKUP(E:E,'Item Data Support Sheet'!A:O,7,0),"")</f>
        <v>NIPPLE LASER MARKING</v>
      </c>
      <c r="E1007" s="447" t="s">
        <v>1814</v>
      </c>
      <c r="F1007" s="500"/>
      <c r="G1007" s="497" t="s">
        <v>1812</v>
      </c>
      <c r="H1007" s="602" t="str">
        <f>IFERROR(VLOOKUP(E:E,'Item Data Support Sheet'!A:O,2,0),"")</f>
        <v>NIPPLE S TYPE S SIZE PUNCHED LASER MARKED</v>
      </c>
      <c r="I1007" s="501" t="s">
        <v>3773</v>
      </c>
      <c r="J1007" s="501" t="s">
        <v>2811</v>
      </c>
      <c r="K1007" s="499">
        <v>2</v>
      </c>
      <c r="L1007" s="499">
        <v>1750</v>
      </c>
      <c r="M1007" s="366">
        <v>875</v>
      </c>
      <c r="N1007" s="367">
        <f t="shared" si="275"/>
        <v>2040</v>
      </c>
      <c r="O1007" s="61">
        <v>2040</v>
      </c>
      <c r="P1007" s="368">
        <v>0</v>
      </c>
      <c r="Q1007" s="368">
        <v>0</v>
      </c>
      <c r="R1007" s="494">
        <v>0</v>
      </c>
      <c r="S1007" s="493">
        <v>0</v>
      </c>
      <c r="T1007" s="494">
        <v>0</v>
      </c>
      <c r="U1007" s="493">
        <v>0</v>
      </c>
      <c r="V1007" s="502">
        <v>1</v>
      </c>
      <c r="W1007" s="453">
        <f t="shared" si="277"/>
        <v>2040</v>
      </c>
      <c r="X1007" s="748">
        <f t="shared" si="278"/>
        <v>1.1657142857142857</v>
      </c>
      <c r="Y1007" s="451" t="str">
        <f>IFERROR(VLOOKUP(E:E,'Item Data Support Sheet'!A:J,6,0),0)</f>
        <v>FO019</v>
      </c>
      <c r="Z1007" s="428">
        <f>IFERROR(VLOOKUP(E:E,'Item Data Support Sheet'!A:O,4,0),0)</f>
        <v>0</v>
      </c>
      <c r="AA1007" s="428">
        <f t="shared" si="279"/>
        <v>0</v>
      </c>
      <c r="AB1007" s="429" t="str">
        <f t="shared" si="280"/>
        <v xml:space="preserve"> </v>
      </c>
      <c r="AC1007" s="424">
        <f t="shared" si="281"/>
        <v>0</v>
      </c>
      <c r="AD1007" s="371">
        <f t="shared" si="282"/>
        <v>0</v>
      </c>
      <c r="AE1007" s="748">
        <f t="shared" si="283"/>
        <v>1</v>
      </c>
      <c r="AF1007" s="417">
        <f t="shared" si="284"/>
        <v>0.66666666666666663</v>
      </c>
      <c r="AG1007" s="416">
        <f t="shared" si="285"/>
        <v>1.3333333333333335</v>
      </c>
      <c r="AH1007" s="372">
        <f t="shared" si="286"/>
        <v>0.66666666666666674</v>
      </c>
      <c r="AI1007" s="373">
        <f t="shared" si="287"/>
        <v>1020</v>
      </c>
      <c r="AJ1007" s="418">
        <f>VLOOKUP(D1007,'Standard Cycle time'!C:D,2,0)</f>
        <v>3.5</v>
      </c>
      <c r="AK1007" s="418">
        <f t="shared" si="288"/>
        <v>2.3529411764705888</v>
      </c>
      <c r="AL1007" s="374">
        <f t="shared" si="289"/>
        <v>1.4874999999999996</v>
      </c>
      <c r="AM1007" s="372">
        <f t="shared" si="290"/>
        <v>0.99166666666666647</v>
      </c>
      <c r="AN1007" s="799">
        <v>0.99166666666666647</v>
      </c>
      <c r="AO1007" s="448"/>
      <c r="AP1007" s="440">
        <v>40</v>
      </c>
      <c r="AQ1007" s="440">
        <v>0</v>
      </c>
      <c r="AR1007" s="440">
        <v>0</v>
      </c>
      <c r="AS1007" s="440">
        <v>0</v>
      </c>
      <c r="AT1007" s="440">
        <v>0</v>
      </c>
      <c r="AU1007" s="440">
        <v>0</v>
      </c>
      <c r="AV1007" s="440">
        <v>0</v>
      </c>
      <c r="AW1007" s="440">
        <v>0</v>
      </c>
      <c r="AX1007" s="440">
        <v>0</v>
      </c>
      <c r="AY1007" s="440">
        <v>0</v>
      </c>
      <c r="AZ1007" s="440">
        <v>0</v>
      </c>
      <c r="BA1007" s="440">
        <v>0</v>
      </c>
      <c r="BB1007" s="440">
        <v>0</v>
      </c>
      <c r="BC1007" s="440">
        <v>0</v>
      </c>
      <c r="BD1007" s="440">
        <v>0</v>
      </c>
      <c r="BE1007" s="440">
        <v>0</v>
      </c>
      <c r="BF1007" s="440">
        <v>0</v>
      </c>
      <c r="BG1007" s="440">
        <v>0</v>
      </c>
      <c r="BH1007" s="440">
        <v>0</v>
      </c>
      <c r="BI1007" s="440">
        <v>0</v>
      </c>
      <c r="BJ1007" s="440">
        <v>0</v>
      </c>
      <c r="BK1007" s="440">
        <v>0</v>
      </c>
      <c r="BL1007" s="440">
        <v>0</v>
      </c>
      <c r="BM1007" s="440">
        <v>0</v>
      </c>
      <c r="BN1007" s="440">
        <v>0</v>
      </c>
      <c r="BO1007" s="440">
        <v>0</v>
      </c>
      <c r="BP1007" s="440">
        <v>0</v>
      </c>
      <c r="BQ1007" s="440">
        <v>0</v>
      </c>
      <c r="BR1007" s="415">
        <v>0.66666666666666663</v>
      </c>
      <c r="BS1007" s="415">
        <v>0.66666666666666663</v>
      </c>
      <c r="BT1007" s="935"/>
      <c r="BU1007" s="935"/>
      <c r="BV1007" s="935"/>
      <c r="BW1007" s="935"/>
      <c r="BX1007" s="935"/>
      <c r="BY1007" s="935"/>
      <c r="BZ1007" s="935"/>
      <c r="CA1007" s="935"/>
      <c r="CB1007" s="935"/>
      <c r="CC1007" s="935"/>
      <c r="CD1007" s="935"/>
      <c r="CE1007" s="935"/>
      <c r="CF1007" s="935"/>
      <c r="CG1007" s="935"/>
      <c r="CH1007" s="935"/>
      <c r="CI1007" s="935"/>
      <c r="CJ1007" s="935"/>
      <c r="CK1007" s="935"/>
      <c r="CL1007" s="935"/>
      <c r="CM1007" s="935"/>
      <c r="CN1007" s="935"/>
      <c r="CO1007" s="935"/>
      <c r="CP1007" s="935"/>
      <c r="CQ1007" s="935"/>
      <c r="CR1007" s="935"/>
      <c r="CS1007" s="935"/>
      <c r="CT1007" s="935"/>
      <c r="CU1007" s="935"/>
      <c r="CV1007" s="935"/>
    </row>
    <row r="1008" spans="1:100" s="441" customFormat="1">
      <c r="A1008" s="375">
        <f t="shared" si="276"/>
        <v>10</v>
      </c>
      <c r="B1008" s="862">
        <v>44491</v>
      </c>
      <c r="C1008" s="493" t="s">
        <v>2001</v>
      </c>
      <c r="D1008" s="376" t="str">
        <f>IFERROR(VLOOKUP(E:E,'Item Data Support Sheet'!A:O,7,0),"")</f>
        <v>BOTTLE PRINTED</v>
      </c>
      <c r="E1008" s="447" t="s">
        <v>64</v>
      </c>
      <c r="F1008" s="500"/>
      <c r="G1008" s="497"/>
      <c r="H1008" s="602" t="str">
        <f>IFERROR(VLOOKUP(E:E,'Item Data Support Sheet'!A:O,2,0),"")</f>
        <v>KPP 240 ML BOTTLE PRINTED</v>
      </c>
      <c r="I1008" s="501" t="s">
        <v>3774</v>
      </c>
      <c r="J1008" s="501" t="s">
        <v>2811</v>
      </c>
      <c r="K1008" s="499">
        <v>8</v>
      </c>
      <c r="L1008" s="499">
        <v>5100</v>
      </c>
      <c r="M1008" s="366">
        <v>637.5</v>
      </c>
      <c r="N1008" s="367">
        <f t="shared" si="275"/>
        <v>5426</v>
      </c>
      <c r="O1008" s="61">
        <v>5400</v>
      </c>
      <c r="P1008" s="368">
        <v>0</v>
      </c>
      <c r="Q1008" s="368">
        <v>0</v>
      </c>
      <c r="R1008" s="494">
        <v>43</v>
      </c>
      <c r="S1008" s="493">
        <v>0</v>
      </c>
      <c r="T1008" s="494">
        <v>26</v>
      </c>
      <c r="U1008" s="493">
        <v>0</v>
      </c>
      <c r="V1008" s="502">
        <v>6</v>
      </c>
      <c r="W1008" s="453">
        <f t="shared" si="277"/>
        <v>900</v>
      </c>
      <c r="X1008" s="748">
        <f t="shared" si="278"/>
        <v>1.0588235294117647</v>
      </c>
      <c r="Y1008" s="451" t="str">
        <f>IFERROR(VLOOKUP(E:E,'Item Data Support Sheet'!A:J,6,0),0)</f>
        <v>FO003</v>
      </c>
      <c r="Z1008" s="428">
        <f>IFERROR(VLOOKUP(E:E,'Item Data Support Sheet'!A:O,4,0),0)</f>
        <v>0</v>
      </c>
      <c r="AA1008" s="428">
        <f t="shared" si="279"/>
        <v>0</v>
      </c>
      <c r="AB1008" s="429" t="str">
        <f t="shared" si="280"/>
        <v xml:space="preserve"> </v>
      </c>
      <c r="AC1008" s="424">
        <f t="shared" si="281"/>
        <v>4.7917434574272022E-3</v>
      </c>
      <c r="AD1008" s="371">
        <f t="shared" si="282"/>
        <v>0</v>
      </c>
      <c r="AE1008" s="748">
        <f t="shared" si="283"/>
        <v>0.99520825654257283</v>
      </c>
      <c r="AF1008" s="417">
        <f t="shared" si="284"/>
        <v>0</v>
      </c>
      <c r="AG1008" s="416">
        <f t="shared" si="285"/>
        <v>8</v>
      </c>
      <c r="AH1008" s="372">
        <f t="shared" si="286"/>
        <v>1</v>
      </c>
      <c r="AI1008" s="373">
        <f t="shared" si="287"/>
        <v>675</v>
      </c>
      <c r="AJ1008" s="418">
        <f>VLOOKUP(D1008,'Standard Cycle time'!C:D,2,0)</f>
        <v>32.4</v>
      </c>
      <c r="AK1008" s="418">
        <f t="shared" si="288"/>
        <v>32</v>
      </c>
      <c r="AL1008" s="374">
        <f t="shared" si="289"/>
        <v>1.0125</v>
      </c>
      <c r="AM1008" s="372">
        <f t="shared" si="290"/>
        <v>1.0076483597493548</v>
      </c>
      <c r="AN1008" s="799">
        <v>0.99959558823529415</v>
      </c>
      <c r="AO1008" s="448"/>
      <c r="AP1008" s="440">
        <v>0</v>
      </c>
      <c r="AQ1008" s="440">
        <v>0</v>
      </c>
      <c r="AR1008" s="440">
        <v>0</v>
      </c>
      <c r="AS1008" s="440">
        <v>0</v>
      </c>
      <c r="AT1008" s="440">
        <v>0</v>
      </c>
      <c r="AU1008" s="440">
        <v>0</v>
      </c>
      <c r="AV1008" s="440">
        <v>0</v>
      </c>
      <c r="AW1008" s="440">
        <v>0</v>
      </c>
      <c r="AX1008" s="440">
        <v>0</v>
      </c>
      <c r="AY1008" s="440">
        <v>0</v>
      </c>
      <c r="AZ1008" s="440">
        <v>0</v>
      </c>
      <c r="BA1008" s="440">
        <v>0</v>
      </c>
      <c r="BB1008" s="440">
        <v>0</v>
      </c>
      <c r="BC1008" s="440">
        <v>0</v>
      </c>
      <c r="BD1008" s="440">
        <v>0</v>
      </c>
      <c r="BE1008" s="440">
        <v>0</v>
      </c>
      <c r="BF1008" s="440">
        <v>0</v>
      </c>
      <c r="BG1008" s="440">
        <v>0</v>
      </c>
      <c r="BH1008" s="440">
        <v>0</v>
      </c>
      <c r="BI1008" s="440">
        <v>0</v>
      </c>
      <c r="BJ1008" s="440">
        <v>0</v>
      </c>
      <c r="BK1008" s="440">
        <v>0</v>
      </c>
      <c r="BL1008" s="440">
        <v>0</v>
      </c>
      <c r="BM1008" s="440">
        <v>0</v>
      </c>
      <c r="BN1008" s="440">
        <v>0</v>
      </c>
      <c r="BO1008" s="440">
        <v>0</v>
      </c>
      <c r="BP1008" s="440">
        <v>0</v>
      </c>
      <c r="BQ1008" s="440">
        <v>0</v>
      </c>
      <c r="BR1008" s="415">
        <v>0</v>
      </c>
      <c r="BS1008" s="415">
        <v>0</v>
      </c>
      <c r="BT1008" s="935"/>
      <c r="BU1008" s="935"/>
      <c r="BV1008" s="935"/>
      <c r="BW1008" s="935"/>
      <c r="BX1008" s="935"/>
      <c r="BY1008" s="935"/>
      <c r="BZ1008" s="935"/>
      <c r="CA1008" s="935"/>
      <c r="CB1008" s="935"/>
      <c r="CC1008" s="935"/>
      <c r="CD1008" s="935"/>
      <c r="CE1008" s="935"/>
      <c r="CF1008" s="935"/>
      <c r="CG1008" s="935"/>
      <c r="CH1008" s="935"/>
      <c r="CI1008" s="935"/>
      <c r="CJ1008" s="935"/>
      <c r="CK1008" s="935"/>
      <c r="CL1008" s="935"/>
      <c r="CM1008" s="935"/>
      <c r="CN1008" s="935"/>
      <c r="CO1008" s="935"/>
      <c r="CP1008" s="935"/>
      <c r="CQ1008" s="935"/>
      <c r="CR1008" s="935"/>
      <c r="CS1008" s="935"/>
      <c r="CT1008" s="935"/>
      <c r="CU1008" s="935"/>
      <c r="CV1008" s="935"/>
    </row>
    <row r="1009" spans="1:100" s="441" customFormat="1">
      <c r="A1009" s="375">
        <f t="shared" si="276"/>
        <v>10</v>
      </c>
      <c r="B1009" s="862">
        <v>44491</v>
      </c>
      <c r="C1009" s="493" t="s">
        <v>2053</v>
      </c>
      <c r="D1009" s="376" t="str">
        <f>IFERROR(VLOOKUP(E:E,'Item Data Support Sheet'!A:O,7,0),"")</f>
        <v>NIPPLE MOLDED</v>
      </c>
      <c r="E1009" s="447" t="s">
        <v>72</v>
      </c>
      <c r="F1009" s="500" t="s">
        <v>1678</v>
      </c>
      <c r="G1009" s="497" t="s">
        <v>1691</v>
      </c>
      <c r="H1009" s="602" t="str">
        <f>IFERROR(VLOOKUP(E:E,'Item Data Support Sheet'!A:O,2,0),"")</f>
        <v>NIPPLE S TYPE S SIZE INJECTION</v>
      </c>
      <c r="I1009" s="501" t="s">
        <v>3775</v>
      </c>
      <c r="J1009" s="501" t="s">
        <v>2808</v>
      </c>
      <c r="K1009" s="499">
        <v>8</v>
      </c>
      <c r="L1009" s="499">
        <v>4815</v>
      </c>
      <c r="M1009" s="366">
        <v>601.875</v>
      </c>
      <c r="N1009" s="367">
        <f t="shared" si="275"/>
        <v>5500</v>
      </c>
      <c r="O1009" s="61">
        <v>5400</v>
      </c>
      <c r="P1009" s="368">
        <v>0</v>
      </c>
      <c r="Q1009" s="368">
        <v>40</v>
      </c>
      <c r="R1009" s="494">
        <v>0</v>
      </c>
      <c r="S1009" s="493">
        <v>0</v>
      </c>
      <c r="T1009" s="494">
        <v>60</v>
      </c>
      <c r="U1009" s="493">
        <v>0</v>
      </c>
      <c r="V1009" s="502">
        <v>1</v>
      </c>
      <c r="W1009" s="453">
        <f t="shared" si="277"/>
        <v>5400</v>
      </c>
      <c r="X1009" s="748">
        <f t="shared" si="278"/>
        <v>1.1214953271028036</v>
      </c>
      <c r="Y1009" s="451" t="str">
        <f>IFERROR(VLOOKUP(E:E,'Item Data Support Sheet'!A:J,6,0),0)</f>
        <v>Silicon</v>
      </c>
      <c r="Z1009" s="428">
        <f>IFERROR(VLOOKUP(E:E,'Item Data Support Sheet'!A:O,4,0),0)</f>
        <v>6.8</v>
      </c>
      <c r="AA1009" s="428">
        <f t="shared" si="279"/>
        <v>37.4</v>
      </c>
      <c r="AB1009" s="429">
        <f t="shared" si="280"/>
        <v>0.98181818181818181</v>
      </c>
      <c r="AC1009" s="424">
        <f t="shared" si="281"/>
        <v>1.098901098901099E-2</v>
      </c>
      <c r="AD1009" s="371">
        <f t="shared" si="282"/>
        <v>7.2202166064981952E-3</v>
      </c>
      <c r="AE1009" s="748">
        <f t="shared" si="283"/>
        <v>0.98909090909090913</v>
      </c>
      <c r="AF1009" s="417">
        <f t="shared" si="284"/>
        <v>0</v>
      </c>
      <c r="AG1009" s="416">
        <f t="shared" si="285"/>
        <v>8</v>
      </c>
      <c r="AH1009" s="372">
        <f t="shared" si="286"/>
        <v>1</v>
      </c>
      <c r="AI1009" s="373">
        <f t="shared" si="287"/>
        <v>675</v>
      </c>
      <c r="AJ1009" s="418">
        <f>VLOOKUP(D1009,'Standard Cycle time'!C:D,2,0)</f>
        <v>5.25</v>
      </c>
      <c r="AK1009" s="418">
        <f t="shared" si="288"/>
        <v>5.333333333333333</v>
      </c>
      <c r="AL1009" s="374">
        <f t="shared" si="289"/>
        <v>0.984375</v>
      </c>
      <c r="AM1009" s="372">
        <f t="shared" si="290"/>
        <v>0.97363636363636363</v>
      </c>
      <c r="AN1009" s="799">
        <v>0.97348990969406557</v>
      </c>
      <c r="AO1009" s="448"/>
      <c r="AP1009" s="440">
        <v>0</v>
      </c>
      <c r="AQ1009" s="440">
        <v>0</v>
      </c>
      <c r="AR1009" s="440">
        <v>0</v>
      </c>
      <c r="AS1009" s="440">
        <v>0</v>
      </c>
      <c r="AT1009" s="440">
        <v>0</v>
      </c>
      <c r="AU1009" s="440">
        <v>0</v>
      </c>
      <c r="AV1009" s="440">
        <v>0</v>
      </c>
      <c r="AW1009" s="440">
        <v>0</v>
      </c>
      <c r="AX1009" s="440">
        <v>0</v>
      </c>
      <c r="AY1009" s="440">
        <v>0</v>
      </c>
      <c r="AZ1009" s="440">
        <v>0</v>
      </c>
      <c r="BA1009" s="440">
        <v>0</v>
      </c>
      <c r="BB1009" s="440">
        <v>0</v>
      </c>
      <c r="BC1009" s="440">
        <v>0</v>
      </c>
      <c r="BD1009" s="440">
        <v>0</v>
      </c>
      <c r="BE1009" s="440">
        <v>0</v>
      </c>
      <c r="BF1009" s="440">
        <v>0</v>
      </c>
      <c r="BG1009" s="440">
        <v>0</v>
      </c>
      <c r="BH1009" s="440">
        <v>0</v>
      </c>
      <c r="BI1009" s="440">
        <v>0</v>
      </c>
      <c r="BJ1009" s="440">
        <v>0</v>
      </c>
      <c r="BK1009" s="440">
        <v>0</v>
      </c>
      <c r="BL1009" s="440">
        <v>0</v>
      </c>
      <c r="BM1009" s="440">
        <v>0</v>
      </c>
      <c r="BN1009" s="440">
        <v>0</v>
      </c>
      <c r="BO1009" s="440">
        <v>0</v>
      </c>
      <c r="BP1009" s="440">
        <v>0</v>
      </c>
      <c r="BQ1009" s="440">
        <v>0</v>
      </c>
      <c r="BR1009" s="415">
        <v>0</v>
      </c>
      <c r="BS1009" s="415">
        <v>0</v>
      </c>
      <c r="BT1009" s="935"/>
      <c r="BU1009" s="935"/>
      <c r="BV1009" s="935"/>
      <c r="BW1009" s="935"/>
      <c r="BX1009" s="935"/>
      <c r="BY1009" s="935"/>
      <c r="BZ1009" s="935"/>
      <c r="CA1009" s="935"/>
      <c r="CB1009" s="935"/>
      <c r="CC1009" s="935"/>
      <c r="CD1009" s="935"/>
      <c r="CE1009" s="935"/>
      <c r="CF1009" s="935"/>
      <c r="CG1009" s="935"/>
      <c r="CH1009" s="935"/>
      <c r="CI1009" s="935"/>
      <c r="CJ1009" s="935"/>
      <c r="CK1009" s="935"/>
      <c r="CL1009" s="935"/>
      <c r="CM1009" s="935"/>
      <c r="CN1009" s="935"/>
      <c r="CO1009" s="935"/>
      <c r="CP1009" s="935"/>
      <c r="CQ1009" s="935"/>
      <c r="CR1009" s="935"/>
      <c r="CS1009" s="935"/>
      <c r="CT1009" s="935"/>
      <c r="CU1009" s="935"/>
      <c r="CV1009" s="935"/>
    </row>
    <row r="1010" spans="1:100" s="441" customFormat="1">
      <c r="A1010" s="375">
        <f t="shared" si="276"/>
        <v>10</v>
      </c>
      <c r="B1010" s="862">
        <v>44491</v>
      </c>
      <c r="C1010" s="493" t="s">
        <v>2053</v>
      </c>
      <c r="D1010" s="376" t="str">
        <f>IFERROR(VLOOKUP(E:E,'Item Data Support Sheet'!A:O,7,0),"")</f>
        <v>HOOD MOLDED</v>
      </c>
      <c r="E1010" s="447" t="s">
        <v>1987</v>
      </c>
      <c r="F1010" s="500"/>
      <c r="G1010" s="497" t="s">
        <v>2729</v>
      </c>
      <c r="H1010" s="602" t="str">
        <f>IFERROR(VLOOKUP(E:E,'Item Data Support Sheet'!A:O,2,0),"")</f>
        <v>HOOD S TYPE MOLDED</v>
      </c>
      <c r="I1010" s="501" t="s">
        <v>3776</v>
      </c>
      <c r="J1010" s="501" t="s">
        <v>2808</v>
      </c>
      <c r="K1010" s="499">
        <v>8</v>
      </c>
      <c r="L1010" s="499">
        <v>4137</v>
      </c>
      <c r="M1010" s="366">
        <v>517.125</v>
      </c>
      <c r="N1010" s="367">
        <f t="shared" si="275"/>
        <v>4524</v>
      </c>
      <c r="O1010" s="61">
        <v>4500</v>
      </c>
      <c r="P1010" s="368">
        <v>0</v>
      </c>
      <c r="Q1010" s="368">
        <v>0</v>
      </c>
      <c r="R1010" s="494">
        <v>0</v>
      </c>
      <c r="S1010" s="493">
        <v>0</v>
      </c>
      <c r="T1010" s="494">
        <v>16</v>
      </c>
      <c r="U1010" s="493">
        <v>8</v>
      </c>
      <c r="V1010" s="502">
        <v>1</v>
      </c>
      <c r="W1010" s="453">
        <f t="shared" si="277"/>
        <v>4500</v>
      </c>
      <c r="X1010" s="748">
        <f t="shared" si="278"/>
        <v>1.0877447425670776</v>
      </c>
      <c r="Y1010" s="451" t="str">
        <f>IFERROR(VLOOKUP(E:E,'Item Data Support Sheet'!A:J,6,0),0)</f>
        <v>HMC</v>
      </c>
      <c r="Z1010" s="428">
        <f>IFERROR(VLOOKUP(E:E,'Item Data Support Sheet'!A:O,4,0),0)</f>
        <v>8.6</v>
      </c>
      <c r="AA1010" s="428">
        <f t="shared" si="279"/>
        <v>38.906399999999998</v>
      </c>
      <c r="AB1010" s="429">
        <f t="shared" si="280"/>
        <v>0.99469496021220172</v>
      </c>
      <c r="AC1010" s="424">
        <f t="shared" si="281"/>
        <v>3.5429583702391498E-3</v>
      </c>
      <c r="AD1010" s="371">
        <f t="shared" si="282"/>
        <v>0</v>
      </c>
      <c r="AE1010" s="748">
        <f t="shared" si="283"/>
        <v>0.99646330680813444</v>
      </c>
      <c r="AF1010" s="417">
        <f t="shared" si="284"/>
        <v>0.66666666666666663</v>
      </c>
      <c r="AG1010" s="416">
        <f t="shared" si="285"/>
        <v>7.333333333333333</v>
      </c>
      <c r="AH1010" s="372">
        <f t="shared" si="286"/>
        <v>0.91666666666666663</v>
      </c>
      <c r="AI1010" s="373">
        <f t="shared" si="287"/>
        <v>562.5</v>
      </c>
      <c r="AJ1010" s="418">
        <f>VLOOKUP(D1010,'Standard Cycle time'!C:D,2,0)</f>
        <v>6</v>
      </c>
      <c r="AK1010" s="418">
        <f t="shared" si="288"/>
        <v>5.8666666666666663</v>
      </c>
      <c r="AL1010" s="374">
        <f t="shared" si="289"/>
        <v>1.0227272727272727</v>
      </c>
      <c r="AM1010" s="372">
        <f t="shared" si="290"/>
        <v>0.93418435013262602</v>
      </c>
      <c r="AN1010" s="799">
        <v>0.9347727272727272</v>
      </c>
      <c r="AO1010" s="448"/>
      <c r="AP1010" s="440">
        <v>0</v>
      </c>
      <c r="AQ1010" s="440">
        <v>0</v>
      </c>
      <c r="AR1010" s="440">
        <v>0</v>
      </c>
      <c r="AS1010" s="440">
        <v>0</v>
      </c>
      <c r="AT1010" s="440">
        <v>0</v>
      </c>
      <c r="AU1010" s="440">
        <v>0</v>
      </c>
      <c r="AV1010" s="440">
        <v>30</v>
      </c>
      <c r="AW1010" s="440">
        <v>10</v>
      </c>
      <c r="AX1010" s="440">
        <v>0</v>
      </c>
      <c r="AY1010" s="440">
        <v>0</v>
      </c>
      <c r="AZ1010" s="440">
        <v>0</v>
      </c>
      <c r="BA1010" s="440">
        <v>0</v>
      </c>
      <c r="BB1010" s="440">
        <v>0</v>
      </c>
      <c r="BC1010" s="440">
        <v>0</v>
      </c>
      <c r="BD1010" s="440">
        <v>0</v>
      </c>
      <c r="BE1010" s="440">
        <v>0</v>
      </c>
      <c r="BF1010" s="440">
        <v>0</v>
      </c>
      <c r="BG1010" s="440">
        <v>0</v>
      </c>
      <c r="BH1010" s="440">
        <v>0</v>
      </c>
      <c r="BI1010" s="440">
        <v>0</v>
      </c>
      <c r="BJ1010" s="440">
        <v>0</v>
      </c>
      <c r="BK1010" s="440">
        <v>0</v>
      </c>
      <c r="BL1010" s="440">
        <v>0</v>
      </c>
      <c r="BM1010" s="440">
        <v>0</v>
      </c>
      <c r="BN1010" s="440">
        <v>0</v>
      </c>
      <c r="BO1010" s="440">
        <v>0</v>
      </c>
      <c r="BP1010" s="440">
        <v>0</v>
      </c>
      <c r="BQ1010" s="440">
        <v>0</v>
      </c>
      <c r="BR1010" s="415">
        <v>0.66666666666666663</v>
      </c>
      <c r="BS1010" s="415">
        <v>0.66666666666666663</v>
      </c>
      <c r="BT1010" s="935"/>
      <c r="BU1010" s="935"/>
      <c r="BV1010" s="935"/>
      <c r="BW1010" s="935"/>
      <c r="BX1010" s="935"/>
      <c r="BY1010" s="935"/>
      <c r="BZ1010" s="935"/>
      <c r="CA1010" s="935"/>
      <c r="CB1010" s="935"/>
      <c r="CC1010" s="935"/>
      <c r="CD1010" s="935"/>
      <c r="CE1010" s="935"/>
      <c r="CF1010" s="935"/>
      <c r="CG1010" s="935"/>
      <c r="CH1010" s="935"/>
      <c r="CI1010" s="935"/>
      <c r="CJ1010" s="935"/>
      <c r="CK1010" s="935"/>
      <c r="CL1010" s="935"/>
      <c r="CM1010" s="935"/>
      <c r="CN1010" s="935"/>
      <c r="CO1010" s="935"/>
      <c r="CP1010" s="935"/>
      <c r="CQ1010" s="935"/>
      <c r="CR1010" s="935"/>
      <c r="CS1010" s="935"/>
      <c r="CT1010" s="935"/>
      <c r="CU1010" s="935"/>
      <c r="CV1010" s="935"/>
    </row>
    <row r="1011" spans="1:100" s="441" customFormat="1">
      <c r="A1011" s="375">
        <f t="shared" si="276"/>
        <v>10</v>
      </c>
      <c r="B1011" s="862">
        <v>44491</v>
      </c>
      <c r="C1011" s="493" t="s">
        <v>2053</v>
      </c>
      <c r="D1011" s="376" t="str">
        <f>IFERROR(VLOOKUP(E:E,'Item Data Support Sheet'!A:O,7,0),"")</f>
        <v>BOTTLE MOLDED</v>
      </c>
      <c r="E1011" s="447" t="s">
        <v>14</v>
      </c>
      <c r="F1011" s="500" t="s">
        <v>1681</v>
      </c>
      <c r="G1011" s="497" t="s">
        <v>1888</v>
      </c>
      <c r="H1011" s="602" t="str">
        <f>IFERROR(VLOOKUP(E:E,'Item Data Support Sheet'!A:O,2,0),"")</f>
        <v>KPP 240 ML BOTTLE MOLDED</v>
      </c>
      <c r="I1011" s="501" t="s">
        <v>3777</v>
      </c>
      <c r="J1011" s="501" t="s">
        <v>2808</v>
      </c>
      <c r="K1011" s="499">
        <v>8</v>
      </c>
      <c r="L1011" s="499">
        <v>2574</v>
      </c>
      <c r="M1011" s="366">
        <v>321.75</v>
      </c>
      <c r="N1011" s="367">
        <f t="shared" si="275"/>
        <v>2704</v>
      </c>
      <c r="O1011" s="61">
        <v>2592</v>
      </c>
      <c r="P1011" s="368">
        <v>0.32</v>
      </c>
      <c r="Q1011" s="368">
        <v>36</v>
      </c>
      <c r="R1011" s="494">
        <v>0</v>
      </c>
      <c r="S1011" s="493">
        <v>0</v>
      </c>
      <c r="T1011" s="494">
        <v>68</v>
      </c>
      <c r="U1011" s="493">
        <v>8</v>
      </c>
      <c r="V1011" s="502">
        <v>1</v>
      </c>
      <c r="W1011" s="453">
        <f t="shared" si="277"/>
        <v>2592</v>
      </c>
      <c r="X1011" s="748">
        <f t="shared" si="278"/>
        <v>1.0069930069930071</v>
      </c>
      <c r="Y1011" s="451" t="str">
        <f>IFERROR(VLOOKUP(E:E,'Item Data Support Sheet'!A:J,6,0),0)</f>
        <v>HMC</v>
      </c>
      <c r="Z1011" s="428">
        <f>IFERROR(VLOOKUP(E:E,'Item Data Support Sheet'!A:O,4,0),0)</f>
        <v>32.1</v>
      </c>
      <c r="AA1011" s="428">
        <f t="shared" si="279"/>
        <v>87.118400000000008</v>
      </c>
      <c r="AB1011" s="429">
        <f t="shared" si="280"/>
        <v>0.95505886242171578</v>
      </c>
      <c r="AC1011" s="424">
        <f t="shared" si="281"/>
        <v>2.5563909774436091E-2</v>
      </c>
      <c r="AD1011" s="371">
        <f t="shared" si="282"/>
        <v>1.3138686131386862E-2</v>
      </c>
      <c r="AE1011" s="748">
        <f t="shared" si="283"/>
        <v>0.9748520710059172</v>
      </c>
      <c r="AF1011" s="417">
        <f t="shared" si="284"/>
        <v>1</v>
      </c>
      <c r="AG1011" s="416">
        <f t="shared" si="285"/>
        <v>7</v>
      </c>
      <c r="AH1011" s="372">
        <f t="shared" si="286"/>
        <v>0.875</v>
      </c>
      <c r="AI1011" s="373">
        <f t="shared" si="287"/>
        <v>324</v>
      </c>
      <c r="AJ1011" s="418">
        <f>VLOOKUP(D1011,'Standard Cycle time'!C:D,2,0)</f>
        <v>9</v>
      </c>
      <c r="AK1011" s="418">
        <f t="shared" si="288"/>
        <v>9.7222222222222214</v>
      </c>
      <c r="AL1011" s="374">
        <f t="shared" si="289"/>
        <v>0.92571428571428582</v>
      </c>
      <c r="AM1011" s="372">
        <f t="shared" si="290"/>
        <v>0.78963017751479303</v>
      </c>
      <c r="AN1011" s="799">
        <v>0.79782493368700269</v>
      </c>
      <c r="AO1011" s="448"/>
      <c r="AP1011" s="440">
        <v>0</v>
      </c>
      <c r="AQ1011" s="440">
        <v>0</v>
      </c>
      <c r="AR1011" s="440">
        <v>0</v>
      </c>
      <c r="AS1011" s="440">
        <v>0</v>
      </c>
      <c r="AT1011" s="440">
        <v>0</v>
      </c>
      <c r="AU1011" s="440">
        <v>0</v>
      </c>
      <c r="AV1011" s="440">
        <v>0</v>
      </c>
      <c r="AW1011" s="440">
        <v>30</v>
      </c>
      <c r="AX1011" s="440">
        <v>0</v>
      </c>
      <c r="AY1011" s="440">
        <v>0</v>
      </c>
      <c r="AZ1011" s="440">
        <v>30</v>
      </c>
      <c r="BA1011" s="440">
        <v>0</v>
      </c>
      <c r="BB1011" s="440">
        <v>0</v>
      </c>
      <c r="BC1011" s="440">
        <v>0</v>
      </c>
      <c r="BD1011" s="440">
        <v>0</v>
      </c>
      <c r="BE1011" s="440">
        <v>0</v>
      </c>
      <c r="BF1011" s="440">
        <v>0</v>
      </c>
      <c r="BG1011" s="440">
        <v>0</v>
      </c>
      <c r="BH1011" s="440">
        <v>0</v>
      </c>
      <c r="BI1011" s="440">
        <v>0</v>
      </c>
      <c r="BJ1011" s="440">
        <v>0</v>
      </c>
      <c r="BK1011" s="440">
        <v>0</v>
      </c>
      <c r="BL1011" s="440">
        <v>0</v>
      </c>
      <c r="BM1011" s="440">
        <v>0</v>
      </c>
      <c r="BN1011" s="440">
        <v>0</v>
      </c>
      <c r="BO1011" s="440">
        <v>0</v>
      </c>
      <c r="BP1011" s="440">
        <v>0</v>
      </c>
      <c r="BQ1011" s="440">
        <v>0</v>
      </c>
      <c r="BR1011" s="415">
        <v>1</v>
      </c>
      <c r="BS1011" s="415">
        <v>1</v>
      </c>
      <c r="BT1011" s="935"/>
      <c r="BU1011" s="935"/>
      <c r="BV1011" s="935"/>
      <c r="BW1011" s="935"/>
      <c r="BX1011" s="935"/>
      <c r="BY1011" s="935"/>
      <c r="BZ1011" s="935"/>
      <c r="CA1011" s="935"/>
      <c r="CB1011" s="935"/>
      <c r="CC1011" s="935"/>
      <c r="CD1011" s="935"/>
      <c r="CE1011" s="935"/>
      <c r="CF1011" s="935"/>
      <c r="CG1011" s="935"/>
      <c r="CH1011" s="935"/>
      <c r="CI1011" s="935"/>
      <c r="CJ1011" s="935"/>
      <c r="CK1011" s="935"/>
      <c r="CL1011" s="935"/>
      <c r="CM1011" s="935"/>
      <c r="CN1011" s="935"/>
      <c r="CO1011" s="935"/>
      <c r="CP1011" s="935"/>
      <c r="CQ1011" s="935"/>
      <c r="CR1011" s="935"/>
      <c r="CS1011" s="935"/>
      <c r="CT1011" s="935"/>
      <c r="CU1011" s="935"/>
      <c r="CV1011" s="935"/>
    </row>
    <row r="1012" spans="1:100" s="441" customFormat="1">
      <c r="A1012" s="375">
        <f t="shared" si="276"/>
        <v>10</v>
      </c>
      <c r="B1012" s="862">
        <v>44492</v>
      </c>
      <c r="C1012" s="493" t="s">
        <v>1980</v>
      </c>
      <c r="D1012" s="376" t="str">
        <f>IFERROR(VLOOKUP(E:E,'Item Data Support Sheet'!A:O,7,0),"")</f>
        <v>BOTTLE MOLDED</v>
      </c>
      <c r="E1012" s="447" t="s">
        <v>14</v>
      </c>
      <c r="F1012" s="500" t="s">
        <v>1681</v>
      </c>
      <c r="G1012" s="497" t="s">
        <v>1888</v>
      </c>
      <c r="H1012" s="602" t="str">
        <f>IFERROR(VLOOKUP(E:E,'Item Data Support Sheet'!A:O,2,0),"")</f>
        <v>KPP 240 ML BOTTLE MOLDED</v>
      </c>
      <c r="I1012" s="501" t="s">
        <v>3778</v>
      </c>
      <c r="J1012" s="501" t="s">
        <v>2826</v>
      </c>
      <c r="K1012" s="499">
        <v>6</v>
      </c>
      <c r="L1012" s="499">
        <v>2000</v>
      </c>
      <c r="M1012" s="366">
        <v>333.33333333333331</v>
      </c>
      <c r="N1012" s="367">
        <f t="shared" si="275"/>
        <v>2256</v>
      </c>
      <c r="O1012" s="61">
        <v>2160</v>
      </c>
      <c r="P1012" s="368">
        <v>0.25</v>
      </c>
      <c r="Q1012" s="368">
        <v>33</v>
      </c>
      <c r="R1012" s="494">
        <v>0</v>
      </c>
      <c r="S1012" s="493">
        <v>0</v>
      </c>
      <c r="T1012" s="494">
        <v>55</v>
      </c>
      <c r="U1012" s="493">
        <v>8</v>
      </c>
      <c r="V1012" s="502">
        <v>1</v>
      </c>
      <c r="W1012" s="453">
        <f t="shared" si="277"/>
        <v>2160</v>
      </c>
      <c r="X1012" s="748">
        <f t="shared" si="278"/>
        <v>1.08</v>
      </c>
      <c r="Y1012" s="451" t="str">
        <f>IFERROR(VLOOKUP(E:E,'Item Data Support Sheet'!A:J,6,0),0)</f>
        <v>HMC</v>
      </c>
      <c r="Z1012" s="428">
        <f>IFERROR(VLOOKUP(E:E,'Item Data Support Sheet'!A:O,4,0),0)</f>
        <v>32.1</v>
      </c>
      <c r="AA1012" s="428">
        <f t="shared" si="279"/>
        <v>72.667600000000007</v>
      </c>
      <c r="AB1012" s="429">
        <f t="shared" si="280"/>
        <v>0.95415288244004215</v>
      </c>
      <c r="AC1012" s="424">
        <f t="shared" si="281"/>
        <v>2.4830699774266364E-2</v>
      </c>
      <c r="AD1012" s="371">
        <f t="shared" si="282"/>
        <v>1.4416775884665793E-2</v>
      </c>
      <c r="AE1012" s="748">
        <f t="shared" si="283"/>
        <v>0.97562056737588654</v>
      </c>
      <c r="AF1012" s="417">
        <f t="shared" si="284"/>
        <v>0</v>
      </c>
      <c r="AG1012" s="416">
        <f t="shared" si="285"/>
        <v>6</v>
      </c>
      <c r="AH1012" s="372">
        <f t="shared" si="286"/>
        <v>1</v>
      </c>
      <c r="AI1012" s="373">
        <f t="shared" si="287"/>
        <v>360</v>
      </c>
      <c r="AJ1012" s="418">
        <f>VLOOKUP(D1012,'Standard Cycle time'!C:D,2,0)</f>
        <v>9</v>
      </c>
      <c r="AK1012" s="418">
        <f t="shared" si="288"/>
        <v>10</v>
      </c>
      <c r="AL1012" s="374">
        <f t="shared" si="289"/>
        <v>0.9</v>
      </c>
      <c r="AM1012" s="372">
        <f t="shared" si="290"/>
        <v>0.87805851063829787</v>
      </c>
      <c r="AN1012" s="799">
        <v>0.88169378698224854</v>
      </c>
      <c r="AO1012" s="448"/>
      <c r="AP1012" s="440">
        <v>0</v>
      </c>
      <c r="AQ1012" s="440">
        <v>0</v>
      </c>
      <c r="AR1012" s="440">
        <v>0</v>
      </c>
      <c r="AS1012" s="440">
        <v>0</v>
      </c>
      <c r="AT1012" s="440">
        <v>0</v>
      </c>
      <c r="AU1012" s="440">
        <v>0</v>
      </c>
      <c r="AV1012" s="440">
        <v>0</v>
      </c>
      <c r="AW1012" s="440">
        <v>0</v>
      </c>
      <c r="AX1012" s="440">
        <v>0</v>
      </c>
      <c r="AY1012" s="440">
        <v>0</v>
      </c>
      <c r="AZ1012" s="440">
        <v>0</v>
      </c>
      <c r="BA1012" s="440">
        <v>0</v>
      </c>
      <c r="BB1012" s="440">
        <v>0</v>
      </c>
      <c r="BC1012" s="440">
        <v>0</v>
      </c>
      <c r="BD1012" s="440">
        <v>0</v>
      </c>
      <c r="BE1012" s="440">
        <v>0</v>
      </c>
      <c r="BF1012" s="440">
        <v>0</v>
      </c>
      <c r="BG1012" s="440">
        <v>0</v>
      </c>
      <c r="BH1012" s="440">
        <v>0</v>
      </c>
      <c r="BI1012" s="440">
        <v>0</v>
      </c>
      <c r="BJ1012" s="440">
        <v>0</v>
      </c>
      <c r="BK1012" s="440">
        <v>0</v>
      </c>
      <c r="BL1012" s="440">
        <v>0</v>
      </c>
      <c r="BM1012" s="440">
        <v>0</v>
      </c>
      <c r="BN1012" s="440">
        <v>0</v>
      </c>
      <c r="BO1012" s="440">
        <v>0</v>
      </c>
      <c r="BP1012" s="440">
        <v>0</v>
      </c>
      <c r="BQ1012" s="440">
        <v>0</v>
      </c>
      <c r="BR1012" s="415">
        <v>0</v>
      </c>
      <c r="BS1012" s="415">
        <v>0</v>
      </c>
      <c r="BT1012" s="935"/>
      <c r="BU1012" s="935"/>
      <c r="BV1012" s="935"/>
      <c r="BW1012" s="935"/>
      <c r="BX1012" s="935"/>
      <c r="BY1012" s="935"/>
      <c r="BZ1012" s="935"/>
      <c r="CA1012" s="935"/>
      <c r="CB1012" s="935"/>
      <c r="CC1012" s="935"/>
      <c r="CD1012" s="935"/>
      <c r="CE1012" s="935"/>
      <c r="CF1012" s="935"/>
      <c r="CG1012" s="935"/>
      <c r="CH1012" s="935"/>
      <c r="CI1012" s="935"/>
      <c r="CJ1012" s="935"/>
      <c r="CK1012" s="935"/>
      <c r="CL1012" s="935"/>
      <c r="CM1012" s="935"/>
      <c r="CN1012" s="935"/>
      <c r="CO1012" s="935"/>
      <c r="CP1012" s="935"/>
      <c r="CQ1012" s="935"/>
      <c r="CR1012" s="935"/>
      <c r="CS1012" s="935"/>
      <c r="CT1012" s="935"/>
      <c r="CU1012" s="935"/>
      <c r="CV1012" s="935"/>
    </row>
    <row r="1013" spans="1:100" s="441" customFormat="1">
      <c r="A1013" s="375">
        <f t="shared" si="276"/>
        <v>10</v>
      </c>
      <c r="B1013" s="862">
        <v>44492</v>
      </c>
      <c r="C1013" s="493" t="s">
        <v>1980</v>
      </c>
      <c r="D1013" s="376" t="str">
        <f>IFERROR(VLOOKUP(E:E,'Item Data Support Sheet'!A:O,7,0),"")</f>
        <v>NIPPLE MOLDED</v>
      </c>
      <c r="E1013" s="447" t="s">
        <v>72</v>
      </c>
      <c r="F1013" s="500" t="s">
        <v>1678</v>
      </c>
      <c r="G1013" s="497" t="s">
        <v>1691</v>
      </c>
      <c r="H1013" s="602" t="str">
        <f>IFERROR(VLOOKUP(E:E,'Item Data Support Sheet'!A:O,2,0),"")</f>
        <v>NIPPLE S TYPE S SIZE INJECTION</v>
      </c>
      <c r="I1013" s="501" t="s">
        <v>3779</v>
      </c>
      <c r="J1013" s="501" t="s">
        <v>2826</v>
      </c>
      <c r="K1013" s="499">
        <v>6</v>
      </c>
      <c r="L1013" s="499">
        <v>3600</v>
      </c>
      <c r="M1013" s="366">
        <v>600</v>
      </c>
      <c r="N1013" s="367">
        <f t="shared" si="275"/>
        <v>3735</v>
      </c>
      <c r="O1013" s="61">
        <v>3650</v>
      </c>
      <c r="P1013" s="368">
        <v>0.4</v>
      </c>
      <c r="Q1013" s="368">
        <v>37</v>
      </c>
      <c r="R1013" s="494">
        <v>0</v>
      </c>
      <c r="S1013" s="493">
        <v>0</v>
      </c>
      <c r="T1013" s="494">
        <v>40</v>
      </c>
      <c r="U1013" s="493">
        <v>8</v>
      </c>
      <c r="V1013" s="502">
        <v>1</v>
      </c>
      <c r="W1013" s="453">
        <f t="shared" si="277"/>
        <v>3650</v>
      </c>
      <c r="X1013" s="748">
        <f t="shared" si="278"/>
        <v>1.0138888888888888</v>
      </c>
      <c r="Y1013" s="451" t="str">
        <f>IFERROR(VLOOKUP(E:E,'Item Data Support Sheet'!A:J,6,0),0)</f>
        <v>Silicon</v>
      </c>
      <c r="Z1013" s="428">
        <f>IFERROR(VLOOKUP(E:E,'Item Data Support Sheet'!A:O,4,0),0)</f>
        <v>6.8</v>
      </c>
      <c r="AA1013" s="428">
        <f t="shared" si="279"/>
        <v>25.797999999999998</v>
      </c>
      <c r="AB1013" s="429">
        <f t="shared" si="280"/>
        <v>0.96209008450267475</v>
      </c>
      <c r="AC1013" s="424">
        <f t="shared" si="281"/>
        <v>1.0840108401084011E-2</v>
      </c>
      <c r="AD1013" s="371">
        <f t="shared" si="282"/>
        <v>9.8091198303287379E-3</v>
      </c>
      <c r="AE1013" s="748">
        <f t="shared" si="283"/>
        <v>0.98929049531459168</v>
      </c>
      <c r="AF1013" s="417">
        <f t="shared" si="284"/>
        <v>0</v>
      </c>
      <c r="AG1013" s="416">
        <f t="shared" si="285"/>
        <v>6</v>
      </c>
      <c r="AH1013" s="372">
        <f t="shared" si="286"/>
        <v>1</v>
      </c>
      <c r="AI1013" s="373">
        <f t="shared" si="287"/>
        <v>608.33333333333337</v>
      </c>
      <c r="AJ1013" s="418">
        <f>VLOOKUP(D1013,'Standard Cycle time'!C:D,2,0)</f>
        <v>5.25</v>
      </c>
      <c r="AK1013" s="418">
        <f t="shared" si="288"/>
        <v>5.9178082191780819</v>
      </c>
      <c r="AL1013" s="374">
        <f t="shared" si="289"/>
        <v>0.88715277777777779</v>
      </c>
      <c r="AM1013" s="372">
        <f t="shared" si="290"/>
        <v>0.87765181094749367</v>
      </c>
      <c r="AN1013" s="799">
        <v>0.8714231185973208</v>
      </c>
      <c r="AO1013" s="448"/>
      <c r="AP1013" s="440">
        <v>0</v>
      </c>
      <c r="AQ1013" s="440">
        <v>0</v>
      </c>
      <c r="AR1013" s="440">
        <v>0</v>
      </c>
      <c r="AS1013" s="440">
        <v>0</v>
      </c>
      <c r="AT1013" s="440">
        <v>0</v>
      </c>
      <c r="AU1013" s="440">
        <v>0</v>
      </c>
      <c r="AV1013" s="440">
        <v>0</v>
      </c>
      <c r="AW1013" s="440">
        <v>0</v>
      </c>
      <c r="AX1013" s="440">
        <v>0</v>
      </c>
      <c r="AY1013" s="440">
        <v>0</v>
      </c>
      <c r="AZ1013" s="440">
        <v>0</v>
      </c>
      <c r="BA1013" s="440">
        <v>0</v>
      </c>
      <c r="BB1013" s="440">
        <v>0</v>
      </c>
      <c r="BC1013" s="440">
        <v>0</v>
      </c>
      <c r="BD1013" s="440">
        <v>0</v>
      </c>
      <c r="BE1013" s="440">
        <v>0</v>
      </c>
      <c r="BF1013" s="440">
        <v>0</v>
      </c>
      <c r="BG1013" s="440">
        <v>0</v>
      </c>
      <c r="BH1013" s="440">
        <v>0</v>
      </c>
      <c r="BI1013" s="440">
        <v>0</v>
      </c>
      <c r="BJ1013" s="440">
        <v>0</v>
      </c>
      <c r="BK1013" s="440">
        <v>0</v>
      </c>
      <c r="BL1013" s="440">
        <v>0</v>
      </c>
      <c r="BM1013" s="440">
        <v>0</v>
      </c>
      <c r="BN1013" s="440">
        <v>0</v>
      </c>
      <c r="BO1013" s="440">
        <v>0</v>
      </c>
      <c r="BP1013" s="440">
        <v>0</v>
      </c>
      <c r="BQ1013" s="440">
        <v>0</v>
      </c>
      <c r="BR1013" s="415">
        <v>0</v>
      </c>
      <c r="BS1013" s="415">
        <v>0</v>
      </c>
      <c r="BT1013" s="935"/>
      <c r="BU1013" s="935"/>
      <c r="BV1013" s="935"/>
      <c r="BW1013" s="935"/>
      <c r="BX1013" s="935"/>
      <c r="BY1013" s="935"/>
      <c r="BZ1013" s="935"/>
      <c r="CA1013" s="935"/>
      <c r="CB1013" s="935"/>
      <c r="CC1013" s="935"/>
      <c r="CD1013" s="935"/>
      <c r="CE1013" s="935"/>
      <c r="CF1013" s="935"/>
      <c r="CG1013" s="935"/>
      <c r="CH1013" s="935"/>
      <c r="CI1013" s="935"/>
      <c r="CJ1013" s="935"/>
      <c r="CK1013" s="935"/>
      <c r="CL1013" s="935"/>
      <c r="CM1013" s="935"/>
      <c r="CN1013" s="935"/>
      <c r="CO1013" s="935"/>
      <c r="CP1013" s="935"/>
      <c r="CQ1013" s="935"/>
      <c r="CR1013" s="935"/>
      <c r="CS1013" s="935"/>
      <c r="CT1013" s="935"/>
      <c r="CU1013" s="935"/>
      <c r="CV1013" s="935"/>
    </row>
    <row r="1014" spans="1:100" s="441" customFormat="1">
      <c r="A1014" s="375">
        <f t="shared" si="276"/>
        <v>10</v>
      </c>
      <c r="B1014" s="862">
        <v>44492</v>
      </c>
      <c r="C1014" s="493" t="s">
        <v>2000</v>
      </c>
      <c r="D1014" s="376" t="str">
        <f>IFERROR(VLOOKUP(E:E,'Item Data Support Sheet'!A:O,7,0),"")</f>
        <v>NIPPLE PUNCH INSPECTED</v>
      </c>
      <c r="E1014" s="447" t="s">
        <v>1818</v>
      </c>
      <c r="F1014" s="500"/>
      <c r="G1014" s="497"/>
      <c r="H1014" s="602" t="str">
        <f>IFERROR(VLOOKUP(E:E,'Item Data Support Sheet'!A:O,2,0),"")</f>
        <v>NIPPLE S TYPE S SIZE PUNCHED INSPECTED</v>
      </c>
      <c r="I1014" s="501" t="s">
        <v>3773</v>
      </c>
      <c r="J1014" s="501" t="s">
        <v>2811</v>
      </c>
      <c r="K1014" s="499">
        <v>2</v>
      </c>
      <c r="L1014" s="499">
        <v>3534</v>
      </c>
      <c r="M1014" s="366">
        <v>1767</v>
      </c>
      <c r="N1014" s="367">
        <f t="shared" si="275"/>
        <v>3032</v>
      </c>
      <c r="O1014" s="61">
        <v>2992</v>
      </c>
      <c r="P1014" s="368">
        <v>0</v>
      </c>
      <c r="Q1014" s="368">
        <v>0</v>
      </c>
      <c r="R1014" s="494">
        <v>0</v>
      </c>
      <c r="S1014" s="493">
        <v>0</v>
      </c>
      <c r="T1014" s="494">
        <v>40</v>
      </c>
      <c r="U1014" s="493">
        <v>0</v>
      </c>
      <c r="V1014" s="502">
        <v>1</v>
      </c>
      <c r="W1014" s="453">
        <f t="shared" si="277"/>
        <v>2992</v>
      </c>
      <c r="X1014" s="748">
        <f t="shared" si="278"/>
        <v>0.84663271080928126</v>
      </c>
      <c r="Y1014" s="451" t="str">
        <f>IFERROR(VLOOKUP(E:E,'Item Data Support Sheet'!A:J,6,0),0)</f>
        <v>FO104</v>
      </c>
      <c r="Z1014" s="428">
        <f>IFERROR(VLOOKUP(E:E,'Item Data Support Sheet'!A:O,4,0),0)</f>
        <v>0</v>
      </c>
      <c r="AA1014" s="428">
        <f t="shared" si="279"/>
        <v>0</v>
      </c>
      <c r="AB1014" s="429" t="str">
        <f t="shared" si="280"/>
        <v xml:space="preserve"> </v>
      </c>
      <c r="AC1014" s="424">
        <f t="shared" si="281"/>
        <v>1.3192612137203167E-2</v>
      </c>
      <c r="AD1014" s="371">
        <f t="shared" si="282"/>
        <v>0</v>
      </c>
      <c r="AE1014" s="748">
        <f t="shared" si="283"/>
        <v>0.98680738786279687</v>
      </c>
      <c r="AF1014" s="417">
        <f t="shared" si="284"/>
        <v>0</v>
      </c>
      <c r="AG1014" s="416">
        <f t="shared" si="285"/>
        <v>2</v>
      </c>
      <c r="AH1014" s="372">
        <f t="shared" si="286"/>
        <v>1</v>
      </c>
      <c r="AI1014" s="373">
        <f t="shared" si="287"/>
        <v>1496</v>
      </c>
      <c r="AJ1014" s="418">
        <f>VLOOKUP(D1014,'Standard Cycle time'!C:D,2,0)</f>
        <v>4</v>
      </c>
      <c r="AK1014" s="418">
        <f t="shared" si="288"/>
        <v>2.4064171122994651</v>
      </c>
      <c r="AL1014" s="374">
        <f t="shared" si="289"/>
        <v>1.6622222222222223</v>
      </c>
      <c r="AM1014" s="372">
        <f t="shared" si="290"/>
        <v>1.6402931691586047</v>
      </c>
      <c r="AN1014" s="799">
        <v>1.6444206455451436</v>
      </c>
      <c r="AO1014" s="448"/>
      <c r="AP1014" s="440"/>
      <c r="AQ1014" s="440"/>
      <c r="AR1014" s="440"/>
      <c r="AS1014" s="440"/>
      <c r="AT1014" s="440"/>
      <c r="AU1014" s="440"/>
      <c r="AV1014" s="440"/>
      <c r="AW1014" s="440"/>
      <c r="AX1014" s="440"/>
      <c r="AY1014" s="440"/>
      <c r="AZ1014" s="440"/>
      <c r="BA1014" s="440"/>
      <c r="BB1014" s="440"/>
      <c r="BC1014" s="440"/>
      <c r="BD1014" s="440"/>
      <c r="BE1014" s="440"/>
      <c r="BF1014" s="440"/>
      <c r="BG1014" s="440"/>
      <c r="BH1014" s="440"/>
      <c r="BI1014" s="440"/>
      <c r="BJ1014" s="440"/>
      <c r="BK1014" s="440"/>
      <c r="BL1014" s="440"/>
      <c r="BM1014" s="440"/>
      <c r="BN1014" s="440"/>
      <c r="BO1014" s="440"/>
      <c r="BP1014" s="440"/>
      <c r="BQ1014" s="440"/>
      <c r="BR1014" s="415"/>
      <c r="BS1014" s="415"/>
      <c r="BT1014" s="935"/>
      <c r="BU1014" s="935"/>
      <c r="BV1014" s="935"/>
      <c r="BW1014" s="935"/>
      <c r="BX1014" s="935"/>
      <c r="BY1014" s="935"/>
      <c r="BZ1014" s="935"/>
      <c r="CA1014" s="935"/>
      <c r="CB1014" s="935"/>
      <c r="CC1014" s="935"/>
      <c r="CD1014" s="935"/>
      <c r="CE1014" s="935"/>
      <c r="CF1014" s="935"/>
      <c r="CG1014" s="935"/>
      <c r="CH1014" s="935"/>
      <c r="CI1014" s="935"/>
      <c r="CJ1014" s="935"/>
      <c r="CK1014" s="935"/>
      <c r="CL1014" s="935"/>
      <c r="CM1014" s="935"/>
      <c r="CN1014" s="935"/>
      <c r="CO1014" s="935"/>
      <c r="CP1014" s="935"/>
      <c r="CQ1014" s="935"/>
      <c r="CR1014" s="935"/>
      <c r="CS1014" s="935"/>
      <c r="CT1014" s="935"/>
      <c r="CU1014" s="935"/>
      <c r="CV1014" s="935"/>
    </row>
    <row r="1015" spans="1:100" s="441" customFormat="1">
      <c r="A1015" s="375">
        <f t="shared" si="276"/>
        <v>10</v>
      </c>
      <c r="B1015" s="862">
        <v>44492</v>
      </c>
      <c r="C1015" s="493" t="s">
        <v>2000</v>
      </c>
      <c r="D1015" s="376" t="str">
        <f>IFERROR(VLOOKUP(E:E,'Item Data Support Sheet'!A:O,7,0),"")</f>
        <v>NIPPLE PUNCH INSPECTED</v>
      </c>
      <c r="E1015" s="447" t="s">
        <v>1819</v>
      </c>
      <c r="F1015" s="500"/>
      <c r="G1015" s="497"/>
      <c r="H1015" s="602" t="str">
        <f>IFERROR(VLOOKUP(E:E,'Item Data Support Sheet'!A:O,2,0),"")</f>
        <v>NIPPLE S TYPE M SIZE PUNCHED INSPECTED</v>
      </c>
      <c r="I1015" s="501" t="s">
        <v>3780</v>
      </c>
      <c r="J1015" s="501" t="s">
        <v>2811</v>
      </c>
      <c r="K1015" s="499">
        <v>2</v>
      </c>
      <c r="L1015" s="499">
        <v>3534</v>
      </c>
      <c r="M1015" s="366">
        <v>1767</v>
      </c>
      <c r="N1015" s="367">
        <f t="shared" si="275"/>
        <v>2497</v>
      </c>
      <c r="O1015" s="61">
        <v>2436</v>
      </c>
      <c r="P1015" s="368">
        <v>0</v>
      </c>
      <c r="Q1015" s="368">
        <v>0</v>
      </c>
      <c r="R1015" s="494">
        <v>0</v>
      </c>
      <c r="S1015" s="493">
        <v>0</v>
      </c>
      <c r="T1015" s="494">
        <v>61</v>
      </c>
      <c r="U1015" s="493">
        <v>0</v>
      </c>
      <c r="V1015" s="502">
        <v>1</v>
      </c>
      <c r="W1015" s="453">
        <f t="shared" si="277"/>
        <v>2436</v>
      </c>
      <c r="X1015" s="748">
        <f t="shared" si="278"/>
        <v>0.68930390492359928</v>
      </c>
      <c r="Y1015" s="451" t="str">
        <f>IFERROR(VLOOKUP(E:E,'Item Data Support Sheet'!A:J,6,0),0)</f>
        <v>FO105</v>
      </c>
      <c r="Z1015" s="428">
        <f>IFERROR(VLOOKUP(E:E,'Item Data Support Sheet'!A:O,4,0),0)</f>
        <v>0</v>
      </c>
      <c r="AA1015" s="428">
        <f t="shared" si="279"/>
        <v>0</v>
      </c>
      <c r="AB1015" s="429" t="str">
        <f t="shared" si="280"/>
        <v xml:space="preserve"> </v>
      </c>
      <c r="AC1015" s="424">
        <f t="shared" si="281"/>
        <v>2.4429315178213857E-2</v>
      </c>
      <c r="AD1015" s="371">
        <f t="shared" si="282"/>
        <v>0</v>
      </c>
      <c r="AE1015" s="748">
        <f t="shared" si="283"/>
        <v>0.9755706848217861</v>
      </c>
      <c r="AF1015" s="417">
        <f t="shared" si="284"/>
        <v>0</v>
      </c>
      <c r="AG1015" s="416">
        <f t="shared" si="285"/>
        <v>2</v>
      </c>
      <c r="AH1015" s="372">
        <f t="shared" si="286"/>
        <v>1</v>
      </c>
      <c r="AI1015" s="373">
        <f t="shared" si="287"/>
        <v>1218</v>
      </c>
      <c r="AJ1015" s="418">
        <f>VLOOKUP(D1015,'Standard Cycle time'!C:D,2,0)</f>
        <v>4</v>
      </c>
      <c r="AK1015" s="418">
        <f t="shared" si="288"/>
        <v>2.9556650246305418</v>
      </c>
      <c r="AL1015" s="374">
        <f t="shared" si="289"/>
        <v>1.3533333333333333</v>
      </c>
      <c r="AM1015" s="372">
        <f t="shared" si="290"/>
        <v>1.3202723267921506</v>
      </c>
      <c r="AN1015" s="799">
        <v>1.3261059806508355</v>
      </c>
      <c r="AO1015" s="448"/>
      <c r="AP1015" s="440"/>
      <c r="AQ1015" s="440"/>
      <c r="AR1015" s="440"/>
      <c r="AS1015" s="440"/>
      <c r="AT1015" s="440"/>
      <c r="AU1015" s="440"/>
      <c r="AV1015" s="440"/>
      <c r="AW1015" s="440"/>
      <c r="AX1015" s="440"/>
      <c r="AY1015" s="440"/>
      <c r="AZ1015" s="440"/>
      <c r="BA1015" s="440"/>
      <c r="BB1015" s="440"/>
      <c r="BC1015" s="440"/>
      <c r="BD1015" s="440"/>
      <c r="BE1015" s="440"/>
      <c r="BF1015" s="440"/>
      <c r="BG1015" s="440"/>
      <c r="BH1015" s="440"/>
      <c r="BI1015" s="440"/>
      <c r="BJ1015" s="440"/>
      <c r="BK1015" s="440"/>
      <c r="BL1015" s="440"/>
      <c r="BM1015" s="440"/>
      <c r="BN1015" s="440"/>
      <c r="BO1015" s="440"/>
      <c r="BP1015" s="440"/>
      <c r="BQ1015" s="440"/>
      <c r="BR1015" s="415"/>
      <c r="BS1015" s="415"/>
      <c r="BT1015" s="935"/>
      <c r="BU1015" s="935"/>
      <c r="BV1015" s="935"/>
      <c r="BW1015" s="935"/>
      <c r="BX1015" s="935"/>
      <c r="BY1015" s="935"/>
      <c r="BZ1015" s="935"/>
      <c r="CA1015" s="935"/>
      <c r="CB1015" s="935"/>
      <c r="CC1015" s="935"/>
      <c r="CD1015" s="935"/>
      <c r="CE1015" s="935"/>
      <c r="CF1015" s="935"/>
      <c r="CG1015" s="935"/>
      <c r="CH1015" s="935"/>
      <c r="CI1015" s="935"/>
      <c r="CJ1015" s="935"/>
      <c r="CK1015" s="935"/>
      <c r="CL1015" s="935"/>
      <c r="CM1015" s="935"/>
      <c r="CN1015" s="935"/>
      <c r="CO1015" s="935"/>
      <c r="CP1015" s="935"/>
      <c r="CQ1015" s="935"/>
      <c r="CR1015" s="935"/>
      <c r="CS1015" s="935"/>
      <c r="CT1015" s="935"/>
      <c r="CU1015" s="935"/>
      <c r="CV1015" s="935"/>
    </row>
    <row r="1016" spans="1:100" s="441" customFormat="1">
      <c r="A1016" s="375">
        <f t="shared" si="276"/>
        <v>10</v>
      </c>
      <c r="B1016" s="862">
        <v>44492</v>
      </c>
      <c r="C1016" s="493" t="s">
        <v>2000</v>
      </c>
      <c r="D1016" s="376" t="str">
        <f>IFERROR(VLOOKUP(E:E,'Item Data Support Sheet'!A:O,7,0),"")</f>
        <v>NIPPLE WRAP PRINTED</v>
      </c>
      <c r="E1016" s="447" t="s">
        <v>109</v>
      </c>
      <c r="F1016" s="500"/>
      <c r="G1016" s="497" t="s">
        <v>1693</v>
      </c>
      <c r="H1016" s="602" t="str">
        <f>IFERROR(VLOOKUP(E:E,'Item Data Support Sheet'!A:O,2,0),"")</f>
        <v>NIPPLE S TYPE M SIZE WITH PRINTED WRAP</v>
      </c>
      <c r="I1016" s="501" t="s">
        <v>3718</v>
      </c>
      <c r="J1016" s="501" t="s">
        <v>2826</v>
      </c>
      <c r="K1016" s="499">
        <v>4</v>
      </c>
      <c r="L1016" s="499">
        <v>8000</v>
      </c>
      <c r="M1016" s="366">
        <v>2000</v>
      </c>
      <c r="N1016" s="367">
        <f t="shared" si="275"/>
        <v>8142</v>
      </c>
      <c r="O1016" s="61">
        <v>8139</v>
      </c>
      <c r="P1016" s="368">
        <v>0</v>
      </c>
      <c r="Q1016" s="368">
        <v>0</v>
      </c>
      <c r="R1016" s="494">
        <v>0</v>
      </c>
      <c r="S1016" s="493">
        <v>0</v>
      </c>
      <c r="T1016" s="494">
        <v>3</v>
      </c>
      <c r="U1016" s="493">
        <v>0</v>
      </c>
      <c r="V1016" s="502">
        <v>2</v>
      </c>
      <c r="W1016" s="453">
        <f t="shared" si="277"/>
        <v>4069.5</v>
      </c>
      <c r="X1016" s="748">
        <f t="shared" si="278"/>
        <v>1.0173749999999999</v>
      </c>
      <c r="Y1016" s="451" t="str">
        <f>IFERROR(VLOOKUP(E:E,'Item Data Support Sheet'!A:J,6,0),0)</f>
        <v>FO020</v>
      </c>
      <c r="Z1016" s="428">
        <f>IFERROR(VLOOKUP(E:E,'Item Data Support Sheet'!A:O,4,0),0)</f>
        <v>0</v>
      </c>
      <c r="AA1016" s="428">
        <f t="shared" si="279"/>
        <v>0</v>
      </c>
      <c r="AB1016" s="429" t="str">
        <f t="shared" si="280"/>
        <v xml:space="preserve"> </v>
      </c>
      <c r="AC1016" s="424">
        <f t="shared" si="281"/>
        <v>3.6845983787767134E-4</v>
      </c>
      <c r="AD1016" s="371">
        <f t="shared" si="282"/>
        <v>0</v>
      </c>
      <c r="AE1016" s="748">
        <f t="shared" si="283"/>
        <v>0.9996315401621223</v>
      </c>
      <c r="AF1016" s="417">
        <f t="shared" si="284"/>
        <v>0</v>
      </c>
      <c r="AG1016" s="416">
        <f t="shared" si="285"/>
        <v>4</v>
      </c>
      <c r="AH1016" s="372">
        <f t="shared" si="286"/>
        <v>1</v>
      </c>
      <c r="AI1016" s="373">
        <f t="shared" si="287"/>
        <v>2034.75</v>
      </c>
      <c r="AJ1016" s="418">
        <f>VLOOKUP(D1016,'Standard Cycle time'!C:D,2,0)</f>
        <v>2.5</v>
      </c>
      <c r="AK1016" s="418">
        <f t="shared" si="288"/>
        <v>3.5385182454847031</v>
      </c>
      <c r="AL1016" s="374">
        <f t="shared" si="289"/>
        <v>0.7065104166666667</v>
      </c>
      <c r="AM1016" s="372">
        <f t="shared" si="290"/>
        <v>0.70625009595308275</v>
      </c>
      <c r="AN1016" s="799">
        <v>0.70594293842034805</v>
      </c>
      <c r="AO1016" s="448"/>
      <c r="AP1016" s="440">
        <v>0</v>
      </c>
      <c r="AQ1016" s="440">
        <v>0</v>
      </c>
      <c r="AR1016" s="440">
        <v>0</v>
      </c>
      <c r="AS1016" s="440">
        <v>0</v>
      </c>
      <c r="AT1016" s="440">
        <v>0</v>
      </c>
      <c r="AU1016" s="440">
        <v>0</v>
      </c>
      <c r="AV1016" s="440">
        <v>0</v>
      </c>
      <c r="AW1016" s="440">
        <v>0</v>
      </c>
      <c r="AX1016" s="440">
        <v>0</v>
      </c>
      <c r="AY1016" s="440">
        <v>0</v>
      </c>
      <c r="AZ1016" s="440">
        <v>0</v>
      </c>
      <c r="BA1016" s="440">
        <v>0</v>
      </c>
      <c r="BB1016" s="440">
        <v>0</v>
      </c>
      <c r="BC1016" s="440">
        <v>0</v>
      </c>
      <c r="BD1016" s="440">
        <v>0</v>
      </c>
      <c r="BE1016" s="440">
        <v>0</v>
      </c>
      <c r="BF1016" s="440">
        <v>0</v>
      </c>
      <c r="BG1016" s="440">
        <v>0</v>
      </c>
      <c r="BH1016" s="440">
        <v>0</v>
      </c>
      <c r="BI1016" s="440">
        <v>0</v>
      </c>
      <c r="BJ1016" s="440">
        <v>0</v>
      </c>
      <c r="BK1016" s="440">
        <v>0</v>
      </c>
      <c r="BL1016" s="440">
        <v>0</v>
      </c>
      <c r="BM1016" s="440">
        <v>0</v>
      </c>
      <c r="BN1016" s="440">
        <v>0</v>
      </c>
      <c r="BO1016" s="440">
        <v>0</v>
      </c>
      <c r="BP1016" s="440">
        <v>0</v>
      </c>
      <c r="BQ1016" s="440">
        <v>0</v>
      </c>
      <c r="BR1016" s="415">
        <v>0</v>
      </c>
      <c r="BS1016" s="415">
        <v>0</v>
      </c>
      <c r="BT1016" s="935"/>
      <c r="BU1016" s="935"/>
      <c r="BV1016" s="935"/>
      <c r="BW1016" s="935"/>
      <c r="BX1016" s="935"/>
      <c r="BY1016" s="935"/>
      <c r="BZ1016" s="935"/>
      <c r="CA1016" s="935"/>
      <c r="CB1016" s="935"/>
      <c r="CC1016" s="935"/>
      <c r="CD1016" s="935"/>
      <c r="CE1016" s="935"/>
      <c r="CF1016" s="935"/>
      <c r="CG1016" s="935"/>
      <c r="CH1016" s="935"/>
      <c r="CI1016" s="935"/>
      <c r="CJ1016" s="935"/>
      <c r="CK1016" s="935"/>
      <c r="CL1016" s="935"/>
      <c r="CM1016" s="935"/>
      <c r="CN1016" s="935"/>
      <c r="CO1016" s="935"/>
      <c r="CP1016" s="935"/>
      <c r="CQ1016" s="935"/>
      <c r="CR1016" s="935"/>
      <c r="CS1016" s="935"/>
      <c r="CT1016" s="935"/>
      <c r="CU1016" s="935"/>
      <c r="CV1016" s="935"/>
    </row>
    <row r="1017" spans="1:100" s="441" customFormat="1">
      <c r="A1017" s="375">
        <f t="shared" si="276"/>
        <v>10</v>
      </c>
      <c r="B1017" s="862">
        <v>44492</v>
      </c>
      <c r="C1017" s="493" t="s">
        <v>1980</v>
      </c>
      <c r="D1017" s="376" t="str">
        <f>IFERROR(VLOOKUP(E:E,'Item Data Support Sheet'!A:O,7,0),"")</f>
        <v>HOOD MOLDED</v>
      </c>
      <c r="E1017" s="447" t="s">
        <v>1987</v>
      </c>
      <c r="F1017" s="500"/>
      <c r="G1017" s="497" t="s">
        <v>2729</v>
      </c>
      <c r="H1017" s="602" t="str">
        <f>IFERROR(VLOOKUP(E:E,'Item Data Support Sheet'!A:O,2,0),"")</f>
        <v>HOOD S TYPE MOLDED</v>
      </c>
      <c r="I1017" s="501" t="s">
        <v>3781</v>
      </c>
      <c r="J1017" s="501" t="s">
        <v>2811</v>
      </c>
      <c r="K1017" s="499">
        <v>7</v>
      </c>
      <c r="L1017" s="499">
        <v>3600</v>
      </c>
      <c r="M1017" s="366">
        <v>514.28571428571433</v>
      </c>
      <c r="N1017" s="367">
        <f t="shared" si="275"/>
        <v>3683</v>
      </c>
      <c r="O1017" s="61">
        <v>3675</v>
      </c>
      <c r="P1017" s="368">
        <v>0</v>
      </c>
      <c r="Q1017" s="368">
        <v>0</v>
      </c>
      <c r="R1017" s="494">
        <v>0</v>
      </c>
      <c r="S1017" s="493">
        <v>0</v>
      </c>
      <c r="T1017" s="494">
        <v>8</v>
      </c>
      <c r="U1017" s="493">
        <v>0</v>
      </c>
      <c r="V1017" s="502">
        <v>1</v>
      </c>
      <c r="W1017" s="453">
        <f t="shared" si="277"/>
        <v>3675</v>
      </c>
      <c r="X1017" s="748">
        <f t="shared" si="278"/>
        <v>1.0208333333333333</v>
      </c>
      <c r="Y1017" s="451" t="str">
        <f>IFERROR(VLOOKUP(E:E,'Item Data Support Sheet'!A:J,6,0),0)</f>
        <v>HMC</v>
      </c>
      <c r="Z1017" s="428">
        <f>IFERROR(VLOOKUP(E:E,'Item Data Support Sheet'!A:O,4,0),0)</f>
        <v>8.6</v>
      </c>
      <c r="AA1017" s="428">
        <f t="shared" si="279"/>
        <v>31.6738</v>
      </c>
      <c r="AB1017" s="429">
        <f t="shared" si="280"/>
        <v>0.99782785772468097</v>
      </c>
      <c r="AC1017" s="424">
        <f t="shared" si="281"/>
        <v>2.1721422753190334E-3</v>
      </c>
      <c r="AD1017" s="371">
        <f t="shared" si="282"/>
        <v>0</v>
      </c>
      <c r="AE1017" s="748">
        <f t="shared" si="283"/>
        <v>0.99782785772468097</v>
      </c>
      <c r="AF1017" s="417">
        <f t="shared" si="284"/>
        <v>1</v>
      </c>
      <c r="AG1017" s="416">
        <f t="shared" si="285"/>
        <v>6</v>
      </c>
      <c r="AH1017" s="372">
        <f t="shared" si="286"/>
        <v>0.8571428571428571</v>
      </c>
      <c r="AI1017" s="373">
        <f t="shared" si="287"/>
        <v>525</v>
      </c>
      <c r="AJ1017" s="418">
        <f>VLOOKUP(D1017,'Standard Cycle time'!C:D,2,0)</f>
        <v>6</v>
      </c>
      <c r="AK1017" s="418">
        <f t="shared" si="288"/>
        <v>5.8775510204081636</v>
      </c>
      <c r="AL1017" s="374">
        <f t="shared" si="289"/>
        <v>1.0208333333333333</v>
      </c>
      <c r="AM1017" s="372">
        <f t="shared" si="290"/>
        <v>0.87309937550909567</v>
      </c>
      <c r="AN1017" s="799">
        <v>0.87414026037828541</v>
      </c>
      <c r="AO1017" s="448"/>
      <c r="AP1017" s="440">
        <v>0</v>
      </c>
      <c r="AQ1017" s="440">
        <v>0</v>
      </c>
      <c r="AR1017" s="440">
        <v>0</v>
      </c>
      <c r="AS1017" s="440">
        <v>0</v>
      </c>
      <c r="AT1017" s="440">
        <v>0</v>
      </c>
      <c r="AU1017" s="440">
        <v>0</v>
      </c>
      <c r="AV1017" s="440">
        <v>0</v>
      </c>
      <c r="AW1017" s="440">
        <v>30</v>
      </c>
      <c r="AX1017" s="440">
        <v>0</v>
      </c>
      <c r="AY1017" s="440">
        <v>0</v>
      </c>
      <c r="AZ1017" s="440">
        <v>30</v>
      </c>
      <c r="BA1017" s="440">
        <v>0</v>
      </c>
      <c r="BB1017" s="440">
        <v>0</v>
      </c>
      <c r="BC1017" s="440">
        <v>0</v>
      </c>
      <c r="BD1017" s="440">
        <v>0</v>
      </c>
      <c r="BE1017" s="440">
        <v>0</v>
      </c>
      <c r="BF1017" s="440">
        <v>0</v>
      </c>
      <c r="BG1017" s="440">
        <v>0</v>
      </c>
      <c r="BH1017" s="440">
        <v>0</v>
      </c>
      <c r="BI1017" s="440">
        <v>0</v>
      </c>
      <c r="BJ1017" s="440">
        <v>0</v>
      </c>
      <c r="BK1017" s="440">
        <v>0</v>
      </c>
      <c r="BL1017" s="440">
        <v>0</v>
      </c>
      <c r="BM1017" s="440">
        <v>0</v>
      </c>
      <c r="BN1017" s="440">
        <v>0</v>
      </c>
      <c r="BO1017" s="440">
        <v>0</v>
      </c>
      <c r="BP1017" s="440">
        <v>0</v>
      </c>
      <c r="BQ1017" s="440">
        <v>0</v>
      </c>
      <c r="BR1017" s="415">
        <v>1</v>
      </c>
      <c r="BS1017" s="415">
        <v>1</v>
      </c>
      <c r="BT1017" s="935"/>
      <c r="BU1017" s="935"/>
      <c r="BV1017" s="935"/>
      <c r="BW1017" s="935"/>
      <c r="BX1017" s="935"/>
      <c r="BY1017" s="935"/>
      <c r="BZ1017" s="935"/>
      <c r="CA1017" s="935"/>
      <c r="CB1017" s="935"/>
      <c r="CC1017" s="935"/>
      <c r="CD1017" s="935"/>
      <c r="CE1017" s="935"/>
      <c r="CF1017" s="935"/>
      <c r="CG1017" s="935"/>
      <c r="CH1017" s="935"/>
      <c r="CI1017" s="935"/>
      <c r="CJ1017" s="935"/>
      <c r="CK1017" s="935"/>
      <c r="CL1017" s="935"/>
      <c r="CM1017" s="935"/>
      <c r="CN1017" s="935"/>
      <c r="CO1017" s="935"/>
      <c r="CP1017" s="935"/>
      <c r="CQ1017" s="935"/>
      <c r="CR1017" s="935"/>
      <c r="CS1017" s="935"/>
      <c r="CT1017" s="935"/>
      <c r="CU1017" s="935"/>
      <c r="CV1017" s="935"/>
    </row>
    <row r="1018" spans="1:100" s="441" customFormat="1">
      <c r="A1018" s="375">
        <f t="shared" si="276"/>
        <v>10</v>
      </c>
      <c r="B1018" s="862">
        <v>44492</v>
      </c>
      <c r="C1018" s="493" t="s">
        <v>1980</v>
      </c>
      <c r="D1018" s="376" t="str">
        <f>IFERROR(VLOOKUP(E:E,'Item Data Support Sheet'!A:O,7,0),"")</f>
        <v>NIPPLE PUNCH</v>
      </c>
      <c r="E1018" s="447" t="s">
        <v>80</v>
      </c>
      <c r="F1018" s="500"/>
      <c r="G1018" s="497" t="s">
        <v>1692</v>
      </c>
      <c r="H1018" s="602" t="str">
        <f>IFERROR(VLOOKUP(E:E,'Item Data Support Sheet'!A:O,2,0),"")</f>
        <v>NIPPLE S TYPE S SIZE PUNCHED</v>
      </c>
      <c r="I1018" s="501" t="s">
        <v>3782</v>
      </c>
      <c r="J1018" s="501" t="s">
        <v>2811</v>
      </c>
      <c r="K1018" s="499">
        <v>7</v>
      </c>
      <c r="L1018" s="499">
        <v>6000</v>
      </c>
      <c r="M1018" s="366">
        <v>857.14285714285711</v>
      </c>
      <c r="N1018" s="367">
        <f t="shared" si="275"/>
        <v>5400</v>
      </c>
      <c r="O1018" s="61">
        <v>5400</v>
      </c>
      <c r="P1018" s="368">
        <v>0</v>
      </c>
      <c r="Q1018" s="368">
        <v>0</v>
      </c>
      <c r="R1018" s="494">
        <v>0</v>
      </c>
      <c r="S1018" s="493">
        <v>0</v>
      </c>
      <c r="T1018" s="494">
        <v>0</v>
      </c>
      <c r="U1018" s="493">
        <v>0</v>
      </c>
      <c r="V1018" s="502">
        <v>1</v>
      </c>
      <c r="W1018" s="453">
        <f t="shared" si="277"/>
        <v>5400</v>
      </c>
      <c r="X1018" s="748">
        <f t="shared" si="278"/>
        <v>0.9</v>
      </c>
      <c r="Y1018" s="451" t="str">
        <f>IFERROR(VLOOKUP(E:E,'Item Data Support Sheet'!A:J,6,0),0)</f>
        <v>FO015</v>
      </c>
      <c r="Z1018" s="428">
        <f>IFERROR(VLOOKUP(E:E,'Item Data Support Sheet'!A:O,4,0),0)</f>
        <v>0</v>
      </c>
      <c r="AA1018" s="428">
        <f t="shared" si="279"/>
        <v>0</v>
      </c>
      <c r="AB1018" s="429" t="str">
        <f t="shared" si="280"/>
        <v xml:space="preserve"> </v>
      </c>
      <c r="AC1018" s="424">
        <f t="shared" si="281"/>
        <v>0</v>
      </c>
      <c r="AD1018" s="371">
        <f t="shared" si="282"/>
        <v>0</v>
      </c>
      <c r="AE1018" s="748">
        <f t="shared" si="283"/>
        <v>1</v>
      </c>
      <c r="AF1018" s="417">
        <f t="shared" si="284"/>
        <v>1</v>
      </c>
      <c r="AG1018" s="416">
        <f t="shared" si="285"/>
        <v>6</v>
      </c>
      <c r="AH1018" s="372">
        <f t="shared" si="286"/>
        <v>0.8571428571428571</v>
      </c>
      <c r="AI1018" s="373">
        <f t="shared" si="287"/>
        <v>771.42857142857144</v>
      </c>
      <c r="AJ1018" s="418">
        <f>VLOOKUP(D1018,'Standard Cycle time'!C:D,2,0)</f>
        <v>3.5</v>
      </c>
      <c r="AK1018" s="418">
        <f t="shared" si="288"/>
        <v>4</v>
      </c>
      <c r="AL1018" s="374">
        <f t="shared" si="289"/>
        <v>0.875</v>
      </c>
      <c r="AM1018" s="372">
        <f t="shared" si="290"/>
        <v>0.75</v>
      </c>
      <c r="AN1018" s="799">
        <v>0.75</v>
      </c>
      <c r="AO1018" s="448" t="s">
        <v>3783</v>
      </c>
      <c r="AP1018" s="440">
        <v>30</v>
      </c>
      <c r="AQ1018" s="440">
        <v>0</v>
      </c>
      <c r="AR1018" s="440">
        <v>0</v>
      </c>
      <c r="AS1018" s="440">
        <v>0</v>
      </c>
      <c r="AT1018" s="440">
        <v>0</v>
      </c>
      <c r="AU1018" s="440">
        <v>0</v>
      </c>
      <c r="AV1018" s="440">
        <v>0</v>
      </c>
      <c r="AW1018" s="440">
        <v>0</v>
      </c>
      <c r="AX1018" s="440">
        <v>0</v>
      </c>
      <c r="AY1018" s="440">
        <v>0</v>
      </c>
      <c r="AZ1018" s="440">
        <v>0</v>
      </c>
      <c r="BA1018" s="440">
        <v>0</v>
      </c>
      <c r="BB1018" s="440">
        <v>0</v>
      </c>
      <c r="BC1018" s="440">
        <v>0</v>
      </c>
      <c r="BD1018" s="440">
        <v>0</v>
      </c>
      <c r="BE1018" s="440">
        <v>0</v>
      </c>
      <c r="BF1018" s="440">
        <v>0</v>
      </c>
      <c r="BG1018" s="440">
        <v>0</v>
      </c>
      <c r="BH1018" s="440">
        <v>0</v>
      </c>
      <c r="BI1018" s="440">
        <v>0</v>
      </c>
      <c r="BJ1018" s="440">
        <v>0</v>
      </c>
      <c r="BK1018" s="440">
        <v>0</v>
      </c>
      <c r="BL1018" s="440">
        <v>0</v>
      </c>
      <c r="BM1018" s="440">
        <v>0</v>
      </c>
      <c r="BN1018" s="440">
        <v>0</v>
      </c>
      <c r="BO1018" s="440">
        <v>0</v>
      </c>
      <c r="BP1018" s="440">
        <v>0</v>
      </c>
      <c r="BQ1018" s="440">
        <v>30</v>
      </c>
      <c r="BR1018" s="415">
        <v>1</v>
      </c>
      <c r="BS1018" s="415">
        <v>1</v>
      </c>
      <c r="BT1018" s="935"/>
      <c r="BU1018" s="935"/>
      <c r="BV1018" s="935"/>
      <c r="BW1018" s="935"/>
      <c r="BX1018" s="935"/>
      <c r="BY1018" s="935"/>
      <c r="BZ1018" s="935"/>
      <c r="CA1018" s="935"/>
      <c r="CB1018" s="935"/>
      <c r="CC1018" s="935"/>
      <c r="CD1018" s="935"/>
      <c r="CE1018" s="935"/>
      <c r="CF1018" s="935"/>
      <c r="CG1018" s="935"/>
      <c r="CH1018" s="935"/>
      <c r="CI1018" s="935"/>
      <c r="CJ1018" s="935"/>
      <c r="CK1018" s="935"/>
      <c r="CL1018" s="935"/>
      <c r="CM1018" s="935"/>
      <c r="CN1018" s="935"/>
      <c r="CO1018" s="935"/>
      <c r="CP1018" s="935"/>
      <c r="CQ1018" s="935"/>
      <c r="CR1018" s="935"/>
      <c r="CS1018" s="935"/>
      <c r="CT1018" s="935"/>
      <c r="CU1018" s="935"/>
      <c r="CV1018" s="935"/>
    </row>
    <row r="1019" spans="1:100" s="441" customFormat="1">
      <c r="A1019" s="375">
        <f t="shared" si="276"/>
        <v>10</v>
      </c>
      <c r="B1019" s="862">
        <v>44492</v>
      </c>
      <c r="C1019" s="493" t="s">
        <v>1980</v>
      </c>
      <c r="D1019" s="376" t="str">
        <f>IFERROR(VLOOKUP(E:E,'Item Data Support Sheet'!A:O,7,0),"")</f>
        <v>NIPPLE LASER MARKING</v>
      </c>
      <c r="E1019" s="447" t="s">
        <v>1814</v>
      </c>
      <c r="F1019" s="500"/>
      <c r="G1019" s="497" t="s">
        <v>1812</v>
      </c>
      <c r="H1019" s="602" t="str">
        <f>IFERROR(VLOOKUP(E:E,'Item Data Support Sheet'!A:O,2,0),"")</f>
        <v>NIPPLE S TYPE S SIZE PUNCHED LASER MARKED</v>
      </c>
      <c r="I1019" s="501" t="s">
        <v>3773</v>
      </c>
      <c r="J1019" s="501" t="s">
        <v>2811</v>
      </c>
      <c r="K1019" s="499">
        <v>7</v>
      </c>
      <c r="L1019" s="499">
        <v>6000</v>
      </c>
      <c r="M1019" s="366">
        <v>857.14285714285711</v>
      </c>
      <c r="N1019" s="367">
        <f t="shared" si="275"/>
        <v>4952</v>
      </c>
      <c r="O1019" s="61">
        <v>4952</v>
      </c>
      <c r="P1019" s="368">
        <v>0</v>
      </c>
      <c r="Q1019" s="368">
        <v>0</v>
      </c>
      <c r="R1019" s="494">
        <v>0</v>
      </c>
      <c r="S1019" s="493">
        <v>0</v>
      </c>
      <c r="T1019" s="494">
        <v>0</v>
      </c>
      <c r="U1019" s="493">
        <v>0</v>
      </c>
      <c r="V1019" s="502">
        <v>1</v>
      </c>
      <c r="W1019" s="453">
        <f t="shared" si="277"/>
        <v>4952</v>
      </c>
      <c r="X1019" s="748">
        <f t="shared" si="278"/>
        <v>0.82533333333333336</v>
      </c>
      <c r="Y1019" s="451" t="str">
        <f>IFERROR(VLOOKUP(E:E,'Item Data Support Sheet'!A:J,6,0),0)</f>
        <v>FO019</v>
      </c>
      <c r="Z1019" s="428">
        <f>IFERROR(VLOOKUP(E:E,'Item Data Support Sheet'!A:O,4,0),0)</f>
        <v>0</v>
      </c>
      <c r="AA1019" s="428">
        <f t="shared" si="279"/>
        <v>0</v>
      </c>
      <c r="AB1019" s="429" t="str">
        <f t="shared" si="280"/>
        <v xml:space="preserve"> </v>
      </c>
      <c r="AC1019" s="424">
        <f t="shared" si="281"/>
        <v>0</v>
      </c>
      <c r="AD1019" s="371">
        <f t="shared" si="282"/>
        <v>0</v>
      </c>
      <c r="AE1019" s="748">
        <f t="shared" si="283"/>
        <v>1</v>
      </c>
      <c r="AF1019" s="417">
        <f t="shared" si="284"/>
        <v>0.5</v>
      </c>
      <c r="AG1019" s="416">
        <f t="shared" si="285"/>
        <v>6.5</v>
      </c>
      <c r="AH1019" s="372">
        <f t="shared" si="286"/>
        <v>0.9285714285714286</v>
      </c>
      <c r="AI1019" s="373">
        <f t="shared" si="287"/>
        <v>707.42857142857144</v>
      </c>
      <c r="AJ1019" s="418">
        <f>VLOOKUP(D1019,'Standard Cycle time'!C:D,2,0)</f>
        <v>3.5</v>
      </c>
      <c r="AK1019" s="418">
        <f t="shared" si="288"/>
        <v>4.725363489499192</v>
      </c>
      <c r="AL1019" s="374">
        <f t="shared" si="289"/>
        <v>0.74068376068376074</v>
      </c>
      <c r="AM1019" s="372">
        <f t="shared" si="290"/>
        <v>0.68777777777777782</v>
      </c>
      <c r="AN1019" s="799">
        <v>0.68777777777777782</v>
      </c>
      <c r="AO1019" s="448" t="s">
        <v>3784</v>
      </c>
      <c r="AP1019" s="440">
        <v>30</v>
      </c>
      <c r="AQ1019" s="440">
        <v>0</v>
      </c>
      <c r="AR1019" s="440">
        <v>0</v>
      </c>
      <c r="AS1019" s="440">
        <v>0</v>
      </c>
      <c r="AT1019" s="440">
        <v>0</v>
      </c>
      <c r="AU1019" s="440">
        <v>0</v>
      </c>
      <c r="AV1019" s="440">
        <v>0</v>
      </c>
      <c r="AW1019" s="440">
        <v>0</v>
      </c>
      <c r="AX1019" s="440">
        <v>0</v>
      </c>
      <c r="AY1019" s="440">
        <v>0</v>
      </c>
      <c r="AZ1019" s="440">
        <v>0</v>
      </c>
      <c r="BA1019" s="440">
        <v>0</v>
      </c>
      <c r="BB1019" s="440">
        <v>0</v>
      </c>
      <c r="BC1019" s="440">
        <v>0</v>
      </c>
      <c r="BD1019" s="440">
        <v>0</v>
      </c>
      <c r="BE1019" s="440">
        <v>0</v>
      </c>
      <c r="BF1019" s="440">
        <v>0</v>
      </c>
      <c r="BG1019" s="440">
        <v>0</v>
      </c>
      <c r="BH1019" s="440">
        <v>0</v>
      </c>
      <c r="BI1019" s="440">
        <v>0</v>
      </c>
      <c r="BJ1019" s="440">
        <v>0</v>
      </c>
      <c r="BK1019" s="440">
        <v>0</v>
      </c>
      <c r="BL1019" s="440">
        <v>0</v>
      </c>
      <c r="BM1019" s="440">
        <v>0</v>
      </c>
      <c r="BN1019" s="440">
        <v>0</v>
      </c>
      <c r="BO1019" s="440">
        <v>0</v>
      </c>
      <c r="BP1019" s="440">
        <v>0</v>
      </c>
      <c r="BQ1019" s="440">
        <v>0</v>
      </c>
      <c r="BR1019" s="415">
        <v>0.5</v>
      </c>
      <c r="BS1019" s="415">
        <v>0.5</v>
      </c>
      <c r="BT1019" s="935"/>
      <c r="BU1019" s="935"/>
      <c r="BV1019" s="935"/>
      <c r="BW1019" s="935"/>
      <c r="BX1019" s="935"/>
      <c r="BY1019" s="935"/>
      <c r="BZ1019" s="935"/>
      <c r="CA1019" s="935"/>
      <c r="CB1019" s="935"/>
      <c r="CC1019" s="935"/>
      <c r="CD1019" s="935"/>
      <c r="CE1019" s="935"/>
      <c r="CF1019" s="935"/>
      <c r="CG1019" s="935"/>
      <c r="CH1019" s="935"/>
      <c r="CI1019" s="935"/>
      <c r="CJ1019" s="935"/>
      <c r="CK1019" s="935"/>
      <c r="CL1019" s="935"/>
      <c r="CM1019" s="935"/>
      <c r="CN1019" s="935"/>
      <c r="CO1019" s="935"/>
      <c r="CP1019" s="935"/>
      <c r="CQ1019" s="935"/>
      <c r="CR1019" s="935"/>
      <c r="CS1019" s="935"/>
      <c r="CT1019" s="935"/>
      <c r="CU1019" s="935"/>
      <c r="CV1019" s="935"/>
    </row>
    <row r="1020" spans="1:100" s="441" customFormat="1">
      <c r="A1020" s="375">
        <f t="shared" si="276"/>
        <v>10</v>
      </c>
      <c r="B1020" s="862">
        <v>44492</v>
      </c>
      <c r="C1020" s="493" t="s">
        <v>1980</v>
      </c>
      <c r="D1020" s="376" t="str">
        <f>IFERROR(VLOOKUP(E:E,'Item Data Support Sheet'!A:O,7,0),"")</f>
        <v>BOTTLE PRINTED</v>
      </c>
      <c r="E1020" s="447" t="s">
        <v>64</v>
      </c>
      <c r="F1020" s="500"/>
      <c r="G1020" s="497"/>
      <c r="H1020" s="602" t="str">
        <f>IFERROR(VLOOKUP(E:E,'Item Data Support Sheet'!A:O,2,0),"")</f>
        <v>KPP 240 ML BOTTLE PRINTED</v>
      </c>
      <c r="I1020" s="501" t="s">
        <v>3774</v>
      </c>
      <c r="J1020" s="501" t="s">
        <v>2813</v>
      </c>
      <c r="K1020" s="499">
        <v>6.5</v>
      </c>
      <c r="L1020" s="499">
        <v>4160</v>
      </c>
      <c r="M1020" s="366">
        <v>640</v>
      </c>
      <c r="N1020" s="367">
        <f t="shared" si="275"/>
        <v>3917</v>
      </c>
      <c r="O1020" s="61">
        <v>3888</v>
      </c>
      <c r="P1020" s="368">
        <v>0</v>
      </c>
      <c r="Q1020" s="368">
        <v>0</v>
      </c>
      <c r="R1020" s="494">
        <v>28</v>
      </c>
      <c r="S1020" s="493">
        <v>0</v>
      </c>
      <c r="T1020" s="494">
        <v>29</v>
      </c>
      <c r="U1020" s="493">
        <v>0</v>
      </c>
      <c r="V1020" s="502">
        <v>5</v>
      </c>
      <c r="W1020" s="453">
        <f t="shared" si="277"/>
        <v>777.6</v>
      </c>
      <c r="X1020" s="748">
        <f t="shared" si="278"/>
        <v>0.93461538461538463</v>
      </c>
      <c r="Y1020" s="451" t="str">
        <f>IFERROR(VLOOKUP(E:E,'Item Data Support Sheet'!A:J,6,0),0)</f>
        <v>FO003</v>
      </c>
      <c r="Z1020" s="428">
        <f>IFERROR(VLOOKUP(E:E,'Item Data Support Sheet'!A:O,4,0),0)</f>
        <v>0</v>
      </c>
      <c r="AA1020" s="428">
        <f t="shared" si="279"/>
        <v>0</v>
      </c>
      <c r="AB1020" s="429" t="str">
        <f t="shared" si="280"/>
        <v xml:space="preserve"> </v>
      </c>
      <c r="AC1020" s="424">
        <f t="shared" si="281"/>
        <v>7.4036252233852439E-3</v>
      </c>
      <c r="AD1020" s="371">
        <f t="shared" si="282"/>
        <v>0</v>
      </c>
      <c r="AE1020" s="748">
        <f t="shared" si="283"/>
        <v>0.99259637477661478</v>
      </c>
      <c r="AF1020" s="417">
        <f t="shared" si="284"/>
        <v>0.16666666666666666</v>
      </c>
      <c r="AG1020" s="416">
        <f t="shared" si="285"/>
        <v>6.333333333333333</v>
      </c>
      <c r="AH1020" s="372">
        <f t="shared" si="286"/>
        <v>0.97435897435897434</v>
      </c>
      <c r="AI1020" s="373">
        <f t="shared" si="287"/>
        <v>598.15384615384619</v>
      </c>
      <c r="AJ1020" s="418">
        <f>VLOOKUP(D1020,'Standard Cycle time'!C:D,2,0)</f>
        <v>32.4</v>
      </c>
      <c r="AK1020" s="418">
        <f t="shared" si="288"/>
        <v>29.320987654320984</v>
      </c>
      <c r="AL1020" s="374">
        <f t="shared" si="289"/>
        <v>1.1050105263157897</v>
      </c>
      <c r="AM1020" s="372">
        <f t="shared" si="290"/>
        <v>1.068705610651794</v>
      </c>
      <c r="AN1020" s="799">
        <v>1.0728420384331956</v>
      </c>
      <c r="AO1020" s="448"/>
      <c r="AP1020" s="440">
        <v>10</v>
      </c>
      <c r="AQ1020" s="440">
        <v>0</v>
      </c>
      <c r="AR1020" s="440">
        <v>0</v>
      </c>
      <c r="AS1020" s="440">
        <v>0</v>
      </c>
      <c r="AT1020" s="440">
        <v>0</v>
      </c>
      <c r="AU1020" s="440">
        <v>0</v>
      </c>
      <c r="AV1020" s="440">
        <v>0</v>
      </c>
      <c r="AW1020" s="440">
        <v>0</v>
      </c>
      <c r="AX1020" s="440">
        <v>0</v>
      </c>
      <c r="AY1020" s="440">
        <v>0</v>
      </c>
      <c r="AZ1020" s="440">
        <v>0</v>
      </c>
      <c r="BA1020" s="440">
        <v>0</v>
      </c>
      <c r="BB1020" s="440">
        <v>0</v>
      </c>
      <c r="BC1020" s="440">
        <v>0</v>
      </c>
      <c r="BD1020" s="440">
        <v>0</v>
      </c>
      <c r="BE1020" s="440">
        <v>0</v>
      </c>
      <c r="BF1020" s="440">
        <v>0</v>
      </c>
      <c r="BG1020" s="440">
        <v>0</v>
      </c>
      <c r="BH1020" s="440">
        <v>0</v>
      </c>
      <c r="BI1020" s="440">
        <v>0</v>
      </c>
      <c r="BJ1020" s="440">
        <v>0</v>
      </c>
      <c r="BK1020" s="440">
        <v>0</v>
      </c>
      <c r="BL1020" s="440">
        <v>0</v>
      </c>
      <c r="BM1020" s="440">
        <v>0</v>
      </c>
      <c r="BN1020" s="440">
        <v>0</v>
      </c>
      <c r="BO1020" s="440">
        <v>0</v>
      </c>
      <c r="BP1020" s="440">
        <v>0</v>
      </c>
      <c r="BQ1020" s="440">
        <v>0</v>
      </c>
      <c r="BR1020" s="415">
        <v>0.16666666666666666</v>
      </c>
      <c r="BS1020" s="415">
        <v>0.16666666666666666</v>
      </c>
      <c r="BT1020" s="935"/>
      <c r="BU1020" s="935"/>
      <c r="BV1020" s="935"/>
      <c r="BW1020" s="935"/>
      <c r="BX1020" s="935"/>
      <c r="BY1020" s="935"/>
      <c r="BZ1020" s="935"/>
      <c r="CA1020" s="935"/>
      <c r="CB1020" s="935"/>
      <c r="CC1020" s="935"/>
      <c r="CD1020" s="935"/>
      <c r="CE1020" s="935"/>
      <c r="CF1020" s="935"/>
      <c r="CG1020" s="935"/>
      <c r="CH1020" s="935"/>
      <c r="CI1020" s="935"/>
      <c r="CJ1020" s="935"/>
      <c r="CK1020" s="935"/>
      <c r="CL1020" s="935"/>
      <c r="CM1020" s="935"/>
      <c r="CN1020" s="935"/>
      <c r="CO1020" s="935"/>
      <c r="CP1020" s="935"/>
      <c r="CQ1020" s="935"/>
      <c r="CR1020" s="935"/>
      <c r="CS1020" s="935"/>
      <c r="CT1020" s="935"/>
      <c r="CU1020" s="935"/>
      <c r="CV1020" s="935"/>
    </row>
    <row r="1021" spans="1:100" s="441" customFormat="1">
      <c r="A1021" s="375">
        <f t="shared" si="276"/>
        <v>10</v>
      </c>
      <c r="B1021" s="862">
        <v>44494</v>
      </c>
      <c r="C1021" s="493" t="s">
        <v>1980</v>
      </c>
      <c r="D1021" s="376" t="str">
        <f>IFERROR(VLOOKUP(E:E,'Item Data Support Sheet'!A:O,7,0),"")</f>
        <v>BOTTLE MOLDED</v>
      </c>
      <c r="E1021" s="447" t="s">
        <v>14</v>
      </c>
      <c r="F1021" s="500" t="s">
        <v>1681</v>
      </c>
      <c r="G1021" s="497" t="s">
        <v>1888</v>
      </c>
      <c r="H1021" s="602" t="str">
        <f>IFERROR(VLOOKUP(E:E,'Item Data Support Sheet'!A:O,2,0),"")</f>
        <v>KPP 240 ML BOTTLE MOLDED</v>
      </c>
      <c r="I1021" s="501" t="s">
        <v>3785</v>
      </c>
      <c r="J1021" s="501" t="s">
        <v>2809</v>
      </c>
      <c r="K1021" s="499">
        <v>8</v>
      </c>
      <c r="L1021" s="499">
        <v>2040</v>
      </c>
      <c r="M1021" s="366">
        <v>255</v>
      </c>
      <c r="N1021" s="367">
        <f t="shared" si="275"/>
        <v>2130</v>
      </c>
      <c r="O1021" s="61">
        <v>2052</v>
      </c>
      <c r="P1021" s="368">
        <v>0.12</v>
      </c>
      <c r="Q1021" s="368">
        <v>30</v>
      </c>
      <c r="R1021" s="494">
        <v>0</v>
      </c>
      <c r="S1021" s="493">
        <v>0</v>
      </c>
      <c r="T1021" s="494">
        <v>40</v>
      </c>
      <c r="U1021" s="493">
        <v>8</v>
      </c>
      <c r="V1021" s="502">
        <v>1</v>
      </c>
      <c r="W1021" s="453">
        <f t="shared" si="277"/>
        <v>2052</v>
      </c>
      <c r="X1021" s="748">
        <f t="shared" si="278"/>
        <v>1.0058823529411764</v>
      </c>
      <c r="Y1021" s="451" t="str">
        <f>IFERROR(VLOOKUP(E:E,'Item Data Support Sheet'!A:J,6,0),0)</f>
        <v>HMC</v>
      </c>
      <c r="Z1021" s="428">
        <f>IFERROR(VLOOKUP(E:E,'Item Data Support Sheet'!A:O,4,0),0)</f>
        <v>32.1</v>
      </c>
      <c r="AA1021" s="428">
        <f t="shared" si="279"/>
        <v>68.493000000000009</v>
      </c>
      <c r="AB1021" s="429">
        <f t="shared" si="280"/>
        <v>0.96169243572335861</v>
      </c>
      <c r="AC1021" s="424">
        <f t="shared" si="281"/>
        <v>1.9120458891013385E-2</v>
      </c>
      <c r="AD1021" s="371">
        <f t="shared" si="282"/>
        <v>1.3888888888888888E-2</v>
      </c>
      <c r="AE1021" s="748">
        <f t="shared" si="283"/>
        <v>0.98122065727699526</v>
      </c>
      <c r="AF1021" s="417">
        <f t="shared" si="284"/>
        <v>2</v>
      </c>
      <c r="AG1021" s="416">
        <f t="shared" si="285"/>
        <v>6</v>
      </c>
      <c r="AH1021" s="372">
        <f t="shared" si="286"/>
        <v>0.75</v>
      </c>
      <c r="AI1021" s="373">
        <f t="shared" si="287"/>
        <v>256.5</v>
      </c>
      <c r="AJ1021" s="418">
        <f>VLOOKUP(D1021,'Standard Cycle time'!C:D,2,0)</f>
        <v>9</v>
      </c>
      <c r="AK1021" s="418">
        <f t="shared" si="288"/>
        <v>10.526315789473685</v>
      </c>
      <c r="AL1021" s="374">
        <f t="shared" si="289"/>
        <v>0.85499999999999998</v>
      </c>
      <c r="AM1021" s="372">
        <f t="shared" si="290"/>
        <v>0.62920774647887323</v>
      </c>
      <c r="AN1021" s="799">
        <v>0.63470162113862649</v>
      </c>
      <c r="AO1021" s="448"/>
      <c r="AP1021" s="440">
        <v>0</v>
      </c>
      <c r="AQ1021" s="440">
        <v>0</v>
      </c>
      <c r="AR1021" s="440">
        <v>0</v>
      </c>
      <c r="AS1021" s="440">
        <v>0</v>
      </c>
      <c r="AT1021" s="440">
        <v>0</v>
      </c>
      <c r="AU1021" s="440">
        <v>0</v>
      </c>
      <c r="AV1021" s="440">
        <v>30</v>
      </c>
      <c r="AW1021" s="440">
        <v>30</v>
      </c>
      <c r="AX1021" s="440">
        <v>0</v>
      </c>
      <c r="AY1021" s="440">
        <v>0</v>
      </c>
      <c r="AZ1021" s="440">
        <v>30</v>
      </c>
      <c r="BA1021" s="440">
        <v>0</v>
      </c>
      <c r="BB1021" s="440">
        <v>30</v>
      </c>
      <c r="BC1021" s="440">
        <v>0</v>
      </c>
      <c r="BD1021" s="440">
        <v>0</v>
      </c>
      <c r="BE1021" s="440">
        <v>0</v>
      </c>
      <c r="BF1021" s="440">
        <v>0</v>
      </c>
      <c r="BG1021" s="440">
        <v>0</v>
      </c>
      <c r="BH1021" s="440">
        <v>0</v>
      </c>
      <c r="BI1021" s="440">
        <v>0</v>
      </c>
      <c r="BJ1021" s="440">
        <v>0</v>
      </c>
      <c r="BK1021" s="440">
        <v>0</v>
      </c>
      <c r="BL1021" s="440">
        <v>0</v>
      </c>
      <c r="BM1021" s="440">
        <v>0</v>
      </c>
      <c r="BN1021" s="440">
        <v>0</v>
      </c>
      <c r="BO1021" s="440">
        <v>0</v>
      </c>
      <c r="BP1021" s="440">
        <v>0</v>
      </c>
      <c r="BQ1021" s="440">
        <v>0</v>
      </c>
      <c r="BR1021" s="415">
        <v>2</v>
      </c>
      <c r="BS1021" s="415">
        <v>2</v>
      </c>
      <c r="BT1021" s="935"/>
      <c r="BU1021" s="935"/>
      <c r="BV1021" s="935"/>
      <c r="BW1021" s="935"/>
      <c r="BX1021" s="935"/>
      <c r="BY1021" s="935"/>
      <c r="BZ1021" s="935"/>
      <c r="CA1021" s="935"/>
      <c r="CB1021" s="935"/>
      <c r="CC1021" s="935"/>
      <c r="CD1021" s="935"/>
      <c r="CE1021" s="935"/>
      <c r="CF1021" s="935"/>
      <c r="CG1021" s="935"/>
      <c r="CH1021" s="935"/>
      <c r="CI1021" s="935"/>
      <c r="CJ1021" s="935"/>
      <c r="CK1021" s="935"/>
      <c r="CL1021" s="935"/>
      <c r="CM1021" s="935"/>
      <c r="CN1021" s="935"/>
      <c r="CO1021" s="935"/>
      <c r="CP1021" s="935"/>
      <c r="CQ1021" s="935"/>
      <c r="CR1021" s="935"/>
      <c r="CS1021" s="935"/>
      <c r="CT1021" s="935"/>
      <c r="CU1021" s="935"/>
      <c r="CV1021" s="935"/>
    </row>
    <row r="1022" spans="1:100" s="441" customFormat="1">
      <c r="A1022" s="375">
        <f t="shared" si="276"/>
        <v>10</v>
      </c>
      <c r="B1022" s="862">
        <v>44494</v>
      </c>
      <c r="C1022" s="493" t="s">
        <v>1980</v>
      </c>
      <c r="D1022" s="376" t="str">
        <f>IFERROR(VLOOKUP(E:E,'Item Data Support Sheet'!A:O,7,0),"")</f>
        <v>NIPPLE MOLDED</v>
      </c>
      <c r="E1022" s="447" t="s">
        <v>72</v>
      </c>
      <c r="F1022" s="500" t="s">
        <v>1678</v>
      </c>
      <c r="G1022" s="497" t="s">
        <v>1691</v>
      </c>
      <c r="H1022" s="602" t="str">
        <f>IFERROR(VLOOKUP(E:E,'Item Data Support Sheet'!A:O,2,0),"")</f>
        <v>NIPPLE S TYPE S SIZE INJECTION</v>
      </c>
      <c r="I1022" s="501" t="s">
        <v>3786</v>
      </c>
      <c r="J1022" s="501" t="s">
        <v>2809</v>
      </c>
      <c r="K1022" s="499">
        <v>8</v>
      </c>
      <c r="L1022" s="499">
        <v>3600</v>
      </c>
      <c r="M1022" s="366">
        <v>450</v>
      </c>
      <c r="N1022" s="367">
        <f t="shared" si="275"/>
        <v>3443</v>
      </c>
      <c r="O1022" s="61">
        <v>3300</v>
      </c>
      <c r="P1022" s="368">
        <v>1.1200000000000001</v>
      </c>
      <c r="Q1022" s="368">
        <v>73</v>
      </c>
      <c r="R1022" s="494">
        <v>0</v>
      </c>
      <c r="S1022" s="493">
        <v>0</v>
      </c>
      <c r="T1022" s="494">
        <v>62</v>
      </c>
      <c r="U1022" s="493">
        <v>8</v>
      </c>
      <c r="V1022" s="502">
        <v>1</v>
      </c>
      <c r="W1022" s="453">
        <f t="shared" si="277"/>
        <v>3300</v>
      </c>
      <c r="X1022" s="748">
        <f t="shared" si="278"/>
        <v>0.91666666666666663</v>
      </c>
      <c r="Y1022" s="451" t="str">
        <f>IFERROR(VLOOKUP(E:E,'Item Data Support Sheet'!A:J,6,0),0)</f>
        <v>Silicon</v>
      </c>
      <c r="Z1022" s="428">
        <f>IFERROR(VLOOKUP(E:E,'Item Data Support Sheet'!A:O,4,0),0)</f>
        <v>6.8</v>
      </c>
      <c r="AA1022" s="428">
        <f t="shared" si="279"/>
        <v>24.532399999999999</v>
      </c>
      <c r="AB1022" s="429">
        <f t="shared" si="280"/>
        <v>0.91470871174446844</v>
      </c>
      <c r="AC1022" s="424">
        <f t="shared" si="281"/>
        <v>1.8441403926234383E-2</v>
      </c>
      <c r="AD1022" s="371">
        <f t="shared" si="282"/>
        <v>2.0762229806598406E-2</v>
      </c>
      <c r="AE1022" s="748">
        <f t="shared" si="283"/>
        <v>0.98199244844612255</v>
      </c>
      <c r="AF1022" s="417">
        <f t="shared" si="284"/>
        <v>2.5</v>
      </c>
      <c r="AG1022" s="416">
        <f t="shared" si="285"/>
        <v>5.5</v>
      </c>
      <c r="AH1022" s="372">
        <f t="shared" si="286"/>
        <v>0.6875</v>
      </c>
      <c r="AI1022" s="373">
        <f t="shared" si="287"/>
        <v>412.5</v>
      </c>
      <c r="AJ1022" s="418">
        <f>VLOOKUP(D1022,'Standard Cycle time'!C:D,2,0)</f>
        <v>5.25</v>
      </c>
      <c r="AK1022" s="418">
        <f t="shared" si="288"/>
        <v>6</v>
      </c>
      <c r="AL1022" s="374">
        <f t="shared" si="289"/>
        <v>0.875</v>
      </c>
      <c r="AM1022" s="372">
        <f t="shared" si="290"/>
        <v>0.59072983226837061</v>
      </c>
      <c r="AN1022" s="799">
        <v>0.5840522300469484</v>
      </c>
      <c r="AO1022" s="448"/>
      <c r="AP1022" s="440">
        <v>0</v>
      </c>
      <c r="AQ1022" s="440">
        <v>0</v>
      </c>
      <c r="AR1022" s="440">
        <v>0</v>
      </c>
      <c r="AS1022" s="440">
        <v>0</v>
      </c>
      <c r="AT1022" s="440">
        <v>0</v>
      </c>
      <c r="AU1022" s="440">
        <v>30</v>
      </c>
      <c r="AV1022" s="440">
        <v>30</v>
      </c>
      <c r="AW1022" s="440">
        <v>30</v>
      </c>
      <c r="AX1022" s="440">
        <v>0</v>
      </c>
      <c r="AY1022" s="440">
        <v>0</v>
      </c>
      <c r="AZ1022" s="440">
        <v>0</v>
      </c>
      <c r="BA1022" s="440">
        <v>0</v>
      </c>
      <c r="BB1022" s="440">
        <v>60</v>
      </c>
      <c r="BC1022" s="440">
        <v>0</v>
      </c>
      <c r="BD1022" s="440">
        <v>0</v>
      </c>
      <c r="BE1022" s="440">
        <v>0</v>
      </c>
      <c r="BF1022" s="440">
        <v>0</v>
      </c>
      <c r="BG1022" s="440">
        <v>0</v>
      </c>
      <c r="BH1022" s="440">
        <v>0</v>
      </c>
      <c r="BI1022" s="440">
        <v>0</v>
      </c>
      <c r="BJ1022" s="440">
        <v>0</v>
      </c>
      <c r="BK1022" s="440">
        <v>0</v>
      </c>
      <c r="BL1022" s="440">
        <v>0</v>
      </c>
      <c r="BM1022" s="440">
        <v>0</v>
      </c>
      <c r="BN1022" s="440">
        <v>0</v>
      </c>
      <c r="BO1022" s="440">
        <v>0</v>
      </c>
      <c r="BP1022" s="440">
        <v>0</v>
      </c>
      <c r="BQ1022" s="440">
        <v>0</v>
      </c>
      <c r="BR1022" s="415">
        <v>2.5</v>
      </c>
      <c r="BS1022" s="415">
        <v>2.5</v>
      </c>
      <c r="BT1022" s="935"/>
      <c r="BU1022" s="935"/>
      <c r="BV1022" s="935"/>
      <c r="BW1022" s="935"/>
      <c r="BX1022" s="935"/>
      <c r="BY1022" s="935"/>
      <c r="BZ1022" s="935"/>
      <c r="CA1022" s="935"/>
      <c r="CB1022" s="935"/>
      <c r="CC1022" s="935"/>
      <c r="CD1022" s="935"/>
      <c r="CE1022" s="935"/>
      <c r="CF1022" s="935"/>
      <c r="CG1022" s="935"/>
      <c r="CH1022" s="935"/>
      <c r="CI1022" s="935"/>
      <c r="CJ1022" s="935"/>
      <c r="CK1022" s="935"/>
      <c r="CL1022" s="935"/>
      <c r="CM1022" s="935"/>
      <c r="CN1022" s="935"/>
      <c r="CO1022" s="935"/>
      <c r="CP1022" s="935"/>
      <c r="CQ1022" s="935"/>
      <c r="CR1022" s="935"/>
      <c r="CS1022" s="935"/>
      <c r="CT1022" s="935"/>
      <c r="CU1022" s="935"/>
      <c r="CV1022" s="935"/>
    </row>
    <row r="1023" spans="1:100" s="441" customFormat="1">
      <c r="A1023" s="375">
        <f t="shared" si="276"/>
        <v>10</v>
      </c>
      <c r="B1023" s="862">
        <v>44494</v>
      </c>
      <c r="C1023" s="493" t="s">
        <v>1980</v>
      </c>
      <c r="D1023" s="376" t="str">
        <f>IFERROR(VLOOKUP(E:E,'Item Data Support Sheet'!A:O,7,0),"")</f>
        <v>HOOD MOLDED</v>
      </c>
      <c r="E1023" s="447" t="s">
        <v>1987</v>
      </c>
      <c r="F1023" s="500"/>
      <c r="G1023" s="497" t="s">
        <v>2729</v>
      </c>
      <c r="H1023" s="602" t="str">
        <f>IFERROR(VLOOKUP(E:E,'Item Data Support Sheet'!A:O,2,0),"")</f>
        <v>HOOD S TYPE MOLDED</v>
      </c>
      <c r="I1023" s="501" t="s">
        <v>3787</v>
      </c>
      <c r="J1023" s="501" t="s">
        <v>2809</v>
      </c>
      <c r="K1023" s="499">
        <v>8</v>
      </c>
      <c r="L1023" s="499">
        <v>3600</v>
      </c>
      <c r="M1023" s="366">
        <v>450</v>
      </c>
      <c r="N1023" s="367">
        <f t="shared" si="275"/>
        <v>4030</v>
      </c>
      <c r="O1023" s="61">
        <v>4000</v>
      </c>
      <c r="P1023" s="368">
        <v>0.1</v>
      </c>
      <c r="Q1023" s="368">
        <v>18</v>
      </c>
      <c r="R1023" s="494">
        <v>0</v>
      </c>
      <c r="S1023" s="493">
        <v>0</v>
      </c>
      <c r="T1023" s="494">
        <v>4</v>
      </c>
      <c r="U1023" s="493">
        <v>8</v>
      </c>
      <c r="V1023" s="502">
        <v>1</v>
      </c>
      <c r="W1023" s="453">
        <f t="shared" si="277"/>
        <v>4000</v>
      </c>
      <c r="X1023" s="748">
        <f t="shared" si="278"/>
        <v>1.1111111111111112</v>
      </c>
      <c r="Y1023" s="451" t="str">
        <f>IFERROR(VLOOKUP(E:E,'Item Data Support Sheet'!A:J,6,0),0)</f>
        <v>HMC</v>
      </c>
      <c r="Z1023" s="428">
        <f>IFERROR(VLOOKUP(E:E,'Item Data Support Sheet'!A:O,4,0),0)</f>
        <v>8.6</v>
      </c>
      <c r="AA1023" s="428">
        <f t="shared" si="279"/>
        <v>34.758000000000003</v>
      </c>
      <c r="AB1023" s="429">
        <f t="shared" si="280"/>
        <v>0.98970021290062704</v>
      </c>
      <c r="AC1023" s="424">
        <f t="shared" si="281"/>
        <v>9.99000999000999E-4</v>
      </c>
      <c r="AD1023" s="371">
        <f t="shared" si="282"/>
        <v>4.4466403162055339E-3</v>
      </c>
      <c r="AE1023" s="748">
        <f t="shared" si="283"/>
        <v>0.99900744416873444</v>
      </c>
      <c r="AF1023" s="417">
        <f t="shared" si="284"/>
        <v>1.3333333333333333</v>
      </c>
      <c r="AG1023" s="416">
        <f t="shared" si="285"/>
        <v>6.666666666666667</v>
      </c>
      <c r="AH1023" s="372">
        <f t="shared" si="286"/>
        <v>0.83333333333333337</v>
      </c>
      <c r="AI1023" s="373">
        <f t="shared" si="287"/>
        <v>500</v>
      </c>
      <c r="AJ1023" s="418">
        <f>VLOOKUP(D1023,'Standard Cycle time'!C:D,2,0)</f>
        <v>6</v>
      </c>
      <c r="AK1023" s="418">
        <f t="shared" si="288"/>
        <v>6</v>
      </c>
      <c r="AL1023" s="374">
        <f t="shared" si="289"/>
        <v>1</v>
      </c>
      <c r="AM1023" s="372">
        <f t="shared" si="290"/>
        <v>0.83250620347394544</v>
      </c>
      <c r="AN1023" s="799">
        <v>0.83236518540032922</v>
      </c>
      <c r="AO1023" s="448"/>
      <c r="AP1023" s="440">
        <v>0</v>
      </c>
      <c r="AQ1023" s="440">
        <v>0</v>
      </c>
      <c r="AR1023" s="440">
        <v>0</v>
      </c>
      <c r="AS1023" s="440">
        <v>0</v>
      </c>
      <c r="AT1023" s="440">
        <v>0</v>
      </c>
      <c r="AU1023" s="440">
        <v>0</v>
      </c>
      <c r="AV1023" s="440">
        <v>30</v>
      </c>
      <c r="AW1023" s="440">
        <v>30</v>
      </c>
      <c r="AX1023" s="440">
        <v>0</v>
      </c>
      <c r="AY1023" s="440">
        <v>0</v>
      </c>
      <c r="AZ1023" s="440">
        <v>20</v>
      </c>
      <c r="BA1023" s="440">
        <v>0</v>
      </c>
      <c r="BB1023" s="440">
        <v>0</v>
      </c>
      <c r="BC1023" s="440">
        <v>0</v>
      </c>
      <c r="BD1023" s="440">
        <v>0</v>
      </c>
      <c r="BE1023" s="440">
        <v>0</v>
      </c>
      <c r="BF1023" s="440">
        <v>0</v>
      </c>
      <c r="BG1023" s="440">
        <v>0</v>
      </c>
      <c r="BH1023" s="440">
        <v>0</v>
      </c>
      <c r="BI1023" s="440">
        <v>0</v>
      </c>
      <c r="BJ1023" s="440">
        <v>0</v>
      </c>
      <c r="BK1023" s="440">
        <v>0</v>
      </c>
      <c r="BL1023" s="440">
        <v>0</v>
      </c>
      <c r="BM1023" s="440">
        <v>0</v>
      </c>
      <c r="BN1023" s="440">
        <v>0</v>
      </c>
      <c r="BO1023" s="440">
        <v>0</v>
      </c>
      <c r="BP1023" s="440">
        <v>0</v>
      </c>
      <c r="BQ1023" s="440">
        <v>0</v>
      </c>
      <c r="BR1023" s="415">
        <v>1.3333333333333333</v>
      </c>
      <c r="BS1023" s="415">
        <v>1.3333333333333333</v>
      </c>
      <c r="BT1023" s="935"/>
      <c r="BU1023" s="935"/>
      <c r="BV1023" s="935"/>
      <c r="BW1023" s="935"/>
      <c r="BX1023" s="935"/>
      <c r="BY1023" s="935"/>
      <c r="BZ1023" s="935"/>
      <c r="CA1023" s="935"/>
      <c r="CB1023" s="935"/>
      <c r="CC1023" s="935"/>
      <c r="CD1023" s="935"/>
      <c r="CE1023" s="935"/>
      <c r="CF1023" s="935"/>
      <c r="CG1023" s="935"/>
      <c r="CH1023" s="935"/>
      <c r="CI1023" s="935"/>
      <c r="CJ1023" s="935"/>
      <c r="CK1023" s="935"/>
      <c r="CL1023" s="935"/>
      <c r="CM1023" s="935"/>
      <c r="CN1023" s="935"/>
      <c r="CO1023" s="935"/>
      <c r="CP1023" s="935"/>
      <c r="CQ1023" s="935"/>
      <c r="CR1023" s="935"/>
      <c r="CS1023" s="935"/>
      <c r="CT1023" s="935"/>
      <c r="CU1023" s="935"/>
      <c r="CV1023" s="935"/>
    </row>
    <row r="1024" spans="1:100" s="441" customFormat="1">
      <c r="A1024" s="375">
        <f t="shared" si="276"/>
        <v>10</v>
      </c>
      <c r="B1024" s="862">
        <v>44494</v>
      </c>
      <c r="C1024" s="493" t="s">
        <v>1980</v>
      </c>
      <c r="D1024" s="376" t="str">
        <f>IFERROR(VLOOKUP(E:E,'Item Data Support Sheet'!A:O,7,0),"")</f>
        <v>NIPPLE PUNCH</v>
      </c>
      <c r="E1024" s="447" t="s">
        <v>80</v>
      </c>
      <c r="F1024" s="500"/>
      <c r="G1024" s="497" t="s">
        <v>1692</v>
      </c>
      <c r="H1024" s="602" t="str">
        <f>IFERROR(VLOOKUP(E:E,'Item Data Support Sheet'!A:O,2,0),"")</f>
        <v>NIPPLE S TYPE S SIZE PUNCHED</v>
      </c>
      <c r="I1024" s="501" t="s">
        <v>3788</v>
      </c>
      <c r="J1024" s="501" t="s">
        <v>2809</v>
      </c>
      <c r="K1024" s="499">
        <v>8</v>
      </c>
      <c r="L1024" s="499">
        <v>7000</v>
      </c>
      <c r="M1024" s="366">
        <v>875</v>
      </c>
      <c r="N1024" s="367">
        <f t="shared" si="275"/>
        <v>6650</v>
      </c>
      <c r="O1024" s="61">
        <v>6650</v>
      </c>
      <c r="P1024" s="368">
        <v>0</v>
      </c>
      <c r="Q1024" s="368">
        <v>0</v>
      </c>
      <c r="R1024" s="494">
        <v>0</v>
      </c>
      <c r="S1024" s="493">
        <v>0</v>
      </c>
      <c r="T1024" s="494">
        <v>0</v>
      </c>
      <c r="U1024" s="493">
        <v>0</v>
      </c>
      <c r="V1024" s="502">
        <v>1</v>
      </c>
      <c r="W1024" s="453">
        <f t="shared" si="277"/>
        <v>6650</v>
      </c>
      <c r="X1024" s="748">
        <f t="shared" si="278"/>
        <v>0.95</v>
      </c>
      <c r="Y1024" s="451" t="str">
        <f>IFERROR(VLOOKUP(E:E,'Item Data Support Sheet'!A:J,6,0),0)</f>
        <v>FO015</v>
      </c>
      <c r="Z1024" s="428">
        <f>IFERROR(VLOOKUP(E:E,'Item Data Support Sheet'!A:O,4,0),0)</f>
        <v>0</v>
      </c>
      <c r="AA1024" s="428">
        <f t="shared" si="279"/>
        <v>0</v>
      </c>
      <c r="AB1024" s="429" t="str">
        <f t="shared" si="280"/>
        <v xml:space="preserve"> </v>
      </c>
      <c r="AC1024" s="424">
        <f t="shared" si="281"/>
        <v>0</v>
      </c>
      <c r="AD1024" s="371">
        <f t="shared" si="282"/>
        <v>0</v>
      </c>
      <c r="AE1024" s="748">
        <f t="shared" si="283"/>
        <v>1</v>
      </c>
      <c r="AF1024" s="417">
        <f t="shared" si="284"/>
        <v>0.83333333333333337</v>
      </c>
      <c r="AG1024" s="416">
        <f t="shared" si="285"/>
        <v>7.166666666666667</v>
      </c>
      <c r="AH1024" s="372">
        <f t="shared" si="286"/>
        <v>0.89583333333333337</v>
      </c>
      <c r="AI1024" s="373">
        <f t="shared" si="287"/>
        <v>831.25</v>
      </c>
      <c r="AJ1024" s="418">
        <f>VLOOKUP(D1024,'Standard Cycle time'!C:D,2,0)</f>
        <v>3.5</v>
      </c>
      <c r="AK1024" s="418">
        <f t="shared" si="288"/>
        <v>3.8796992481203008</v>
      </c>
      <c r="AL1024" s="374">
        <f t="shared" si="289"/>
        <v>0.90213178294573648</v>
      </c>
      <c r="AM1024" s="372">
        <f t="shared" si="290"/>
        <v>0.80815972222222232</v>
      </c>
      <c r="AN1024" s="799">
        <v>0.80815972222222232</v>
      </c>
      <c r="AO1024" s="448"/>
      <c r="AP1024" s="440">
        <v>50</v>
      </c>
      <c r="AQ1024" s="440">
        <v>0</v>
      </c>
      <c r="AR1024" s="440">
        <v>0</v>
      </c>
      <c r="AS1024" s="440">
        <v>0</v>
      </c>
      <c r="AT1024" s="440">
        <v>0</v>
      </c>
      <c r="AU1024" s="440">
        <v>0</v>
      </c>
      <c r="AV1024" s="440">
        <v>0</v>
      </c>
      <c r="AW1024" s="440">
        <v>0</v>
      </c>
      <c r="AX1024" s="440">
        <v>0</v>
      </c>
      <c r="AY1024" s="440">
        <v>0</v>
      </c>
      <c r="AZ1024" s="440">
        <v>0</v>
      </c>
      <c r="BA1024" s="440">
        <v>0</v>
      </c>
      <c r="BB1024" s="440">
        <v>0</v>
      </c>
      <c r="BC1024" s="440">
        <v>0</v>
      </c>
      <c r="BD1024" s="440">
        <v>0</v>
      </c>
      <c r="BE1024" s="440">
        <v>0</v>
      </c>
      <c r="BF1024" s="440">
        <v>0</v>
      </c>
      <c r="BG1024" s="440">
        <v>0</v>
      </c>
      <c r="BH1024" s="440">
        <v>0</v>
      </c>
      <c r="BI1024" s="440">
        <v>0</v>
      </c>
      <c r="BJ1024" s="440">
        <v>0</v>
      </c>
      <c r="BK1024" s="440">
        <v>0</v>
      </c>
      <c r="BL1024" s="440">
        <v>0</v>
      </c>
      <c r="BM1024" s="440">
        <v>0</v>
      </c>
      <c r="BN1024" s="440">
        <v>0</v>
      </c>
      <c r="BO1024" s="440">
        <v>0</v>
      </c>
      <c r="BP1024" s="440">
        <v>0</v>
      </c>
      <c r="BQ1024" s="440">
        <v>0</v>
      </c>
      <c r="BR1024" s="415">
        <v>0.83333333333333337</v>
      </c>
      <c r="BS1024" s="415">
        <v>0.83333333333333337</v>
      </c>
      <c r="BT1024" s="935"/>
      <c r="BU1024" s="935"/>
      <c r="BV1024" s="935"/>
      <c r="BW1024" s="935"/>
      <c r="BX1024" s="935"/>
      <c r="BY1024" s="935"/>
      <c r="BZ1024" s="935"/>
      <c r="CA1024" s="935"/>
      <c r="CB1024" s="935"/>
      <c r="CC1024" s="935"/>
      <c r="CD1024" s="935"/>
      <c r="CE1024" s="935"/>
      <c r="CF1024" s="935"/>
      <c r="CG1024" s="935"/>
      <c r="CH1024" s="935"/>
      <c r="CI1024" s="935"/>
      <c r="CJ1024" s="935"/>
      <c r="CK1024" s="935"/>
      <c r="CL1024" s="935"/>
      <c r="CM1024" s="935"/>
      <c r="CN1024" s="935"/>
      <c r="CO1024" s="935"/>
      <c r="CP1024" s="935"/>
      <c r="CQ1024" s="935"/>
      <c r="CR1024" s="935"/>
      <c r="CS1024" s="935"/>
      <c r="CT1024" s="935"/>
      <c r="CU1024" s="935"/>
      <c r="CV1024" s="935"/>
    </row>
    <row r="1025" spans="1:100" s="441" customFormat="1">
      <c r="A1025" s="375">
        <f t="shared" si="276"/>
        <v>10</v>
      </c>
      <c r="B1025" s="862">
        <v>44494</v>
      </c>
      <c r="C1025" s="493" t="s">
        <v>1980</v>
      </c>
      <c r="D1025" s="376" t="str">
        <f>IFERROR(VLOOKUP(E:E,'Item Data Support Sheet'!A:O,7,0),"")</f>
        <v>NIPPLE LASER MARKING</v>
      </c>
      <c r="E1025" s="447" t="s">
        <v>1814</v>
      </c>
      <c r="F1025" s="500"/>
      <c r="G1025" s="497" t="s">
        <v>1812</v>
      </c>
      <c r="H1025" s="602" t="str">
        <f>IFERROR(VLOOKUP(E:E,'Item Data Support Sheet'!A:O,2,0),"")</f>
        <v>NIPPLE S TYPE S SIZE PUNCHED LASER MARKED</v>
      </c>
      <c r="I1025" s="501"/>
      <c r="J1025" s="501" t="s">
        <v>2809</v>
      </c>
      <c r="K1025" s="499">
        <v>8</v>
      </c>
      <c r="L1025" s="499">
        <v>7000</v>
      </c>
      <c r="M1025" s="366">
        <v>875</v>
      </c>
      <c r="N1025" s="367">
        <f t="shared" si="275"/>
        <v>7050</v>
      </c>
      <c r="O1025" s="61">
        <v>7050</v>
      </c>
      <c r="P1025" s="368">
        <v>0</v>
      </c>
      <c r="Q1025" s="368">
        <v>0</v>
      </c>
      <c r="R1025" s="494">
        <v>0</v>
      </c>
      <c r="S1025" s="493">
        <v>0</v>
      </c>
      <c r="T1025" s="494">
        <v>0</v>
      </c>
      <c r="U1025" s="493">
        <v>0</v>
      </c>
      <c r="V1025" s="502">
        <v>1</v>
      </c>
      <c r="W1025" s="453">
        <f t="shared" si="277"/>
        <v>7050</v>
      </c>
      <c r="X1025" s="748">
        <f t="shared" si="278"/>
        <v>1.0071428571428571</v>
      </c>
      <c r="Y1025" s="451" t="str">
        <f>IFERROR(VLOOKUP(E:E,'Item Data Support Sheet'!A:J,6,0),0)</f>
        <v>FO019</v>
      </c>
      <c r="Z1025" s="428">
        <f>IFERROR(VLOOKUP(E:E,'Item Data Support Sheet'!A:O,4,0),0)</f>
        <v>0</v>
      </c>
      <c r="AA1025" s="428">
        <f t="shared" si="279"/>
        <v>0</v>
      </c>
      <c r="AB1025" s="429" t="str">
        <f t="shared" si="280"/>
        <v xml:space="preserve"> </v>
      </c>
      <c r="AC1025" s="424">
        <f t="shared" si="281"/>
        <v>0</v>
      </c>
      <c r="AD1025" s="371">
        <f t="shared" si="282"/>
        <v>0</v>
      </c>
      <c r="AE1025" s="748">
        <f t="shared" si="283"/>
        <v>1</v>
      </c>
      <c r="AF1025" s="417">
        <f t="shared" si="284"/>
        <v>0.83333333333333337</v>
      </c>
      <c r="AG1025" s="416">
        <f t="shared" si="285"/>
        <v>7.166666666666667</v>
      </c>
      <c r="AH1025" s="372">
        <f t="shared" si="286"/>
        <v>0.89583333333333337</v>
      </c>
      <c r="AI1025" s="373">
        <f t="shared" si="287"/>
        <v>881.25</v>
      </c>
      <c r="AJ1025" s="418">
        <f>VLOOKUP(D1025,'Standard Cycle time'!C:D,2,0)</f>
        <v>3.5</v>
      </c>
      <c r="AK1025" s="418">
        <f t="shared" si="288"/>
        <v>3.6595744680851063</v>
      </c>
      <c r="AL1025" s="374">
        <f t="shared" si="289"/>
        <v>0.95639534883720934</v>
      </c>
      <c r="AM1025" s="372">
        <f t="shared" si="290"/>
        <v>0.85677083333333337</v>
      </c>
      <c r="AN1025" s="799">
        <v>0.85677083333333337</v>
      </c>
      <c r="AO1025" s="448"/>
      <c r="AP1025" s="440">
        <v>50</v>
      </c>
      <c r="AQ1025" s="440">
        <v>0</v>
      </c>
      <c r="AR1025" s="440">
        <v>0</v>
      </c>
      <c r="AS1025" s="440">
        <v>0</v>
      </c>
      <c r="AT1025" s="440">
        <v>0</v>
      </c>
      <c r="AU1025" s="440">
        <v>0</v>
      </c>
      <c r="AV1025" s="440">
        <v>0</v>
      </c>
      <c r="AW1025" s="440">
        <v>0</v>
      </c>
      <c r="AX1025" s="440">
        <v>0</v>
      </c>
      <c r="AY1025" s="440">
        <v>0</v>
      </c>
      <c r="AZ1025" s="440">
        <v>0</v>
      </c>
      <c r="BA1025" s="440">
        <v>0</v>
      </c>
      <c r="BB1025" s="440">
        <v>0</v>
      </c>
      <c r="BC1025" s="440">
        <v>0</v>
      </c>
      <c r="BD1025" s="440">
        <v>0</v>
      </c>
      <c r="BE1025" s="440">
        <v>0</v>
      </c>
      <c r="BF1025" s="440">
        <v>0</v>
      </c>
      <c r="BG1025" s="440">
        <v>0</v>
      </c>
      <c r="BH1025" s="440">
        <v>0</v>
      </c>
      <c r="BI1025" s="440">
        <v>0</v>
      </c>
      <c r="BJ1025" s="440">
        <v>0</v>
      </c>
      <c r="BK1025" s="440">
        <v>0</v>
      </c>
      <c r="BL1025" s="440">
        <v>0</v>
      </c>
      <c r="BM1025" s="440">
        <v>0</v>
      </c>
      <c r="BN1025" s="440">
        <v>0</v>
      </c>
      <c r="BO1025" s="440">
        <v>0</v>
      </c>
      <c r="BP1025" s="440">
        <v>0</v>
      </c>
      <c r="BQ1025" s="440">
        <v>0</v>
      </c>
      <c r="BR1025" s="415">
        <v>0.83333333333333337</v>
      </c>
      <c r="BS1025" s="415">
        <v>0.83333333333333337</v>
      </c>
      <c r="BT1025" s="935"/>
      <c r="BU1025" s="935"/>
      <c r="BV1025" s="935"/>
      <c r="BW1025" s="935"/>
      <c r="BX1025" s="935"/>
      <c r="BY1025" s="935"/>
      <c r="BZ1025" s="935"/>
      <c r="CA1025" s="935"/>
      <c r="CB1025" s="935"/>
      <c r="CC1025" s="935"/>
      <c r="CD1025" s="935"/>
      <c r="CE1025" s="935"/>
      <c r="CF1025" s="935"/>
      <c r="CG1025" s="935"/>
      <c r="CH1025" s="935"/>
      <c r="CI1025" s="935"/>
      <c r="CJ1025" s="935"/>
      <c r="CK1025" s="935"/>
      <c r="CL1025" s="935"/>
      <c r="CM1025" s="935"/>
      <c r="CN1025" s="935"/>
      <c r="CO1025" s="935"/>
      <c r="CP1025" s="935"/>
      <c r="CQ1025" s="935"/>
      <c r="CR1025" s="935"/>
      <c r="CS1025" s="935"/>
      <c r="CT1025" s="935"/>
      <c r="CU1025" s="935"/>
      <c r="CV1025" s="935"/>
    </row>
    <row r="1026" spans="1:100" s="441" customFormat="1">
      <c r="A1026" s="375">
        <f t="shared" si="276"/>
        <v>10</v>
      </c>
      <c r="B1026" s="862">
        <v>44494</v>
      </c>
      <c r="C1026" s="493" t="s">
        <v>1980</v>
      </c>
      <c r="D1026" s="376" t="str">
        <f>IFERROR(VLOOKUP(E:E,'Item Data Support Sheet'!A:O,7,0),"")</f>
        <v>BOTTLE PRINTED</v>
      </c>
      <c r="E1026" s="447" t="s">
        <v>64</v>
      </c>
      <c r="F1026" s="500"/>
      <c r="G1026" s="497"/>
      <c r="H1026" s="602" t="str">
        <f>IFERROR(VLOOKUP(E:E,'Item Data Support Sheet'!A:O,2,0),"")</f>
        <v>KPP 240 ML BOTTLE PRINTED</v>
      </c>
      <c r="I1026" s="501" t="s">
        <v>3789</v>
      </c>
      <c r="J1026" s="501" t="s">
        <v>2809</v>
      </c>
      <c r="K1026" s="499">
        <v>8</v>
      </c>
      <c r="L1026" s="499">
        <v>5120</v>
      </c>
      <c r="M1026" s="366">
        <v>640</v>
      </c>
      <c r="N1026" s="367">
        <f t="shared" si="275"/>
        <v>3265</v>
      </c>
      <c r="O1026" s="61">
        <v>3240</v>
      </c>
      <c r="P1026" s="368">
        <v>0</v>
      </c>
      <c r="Q1026" s="368">
        <v>0</v>
      </c>
      <c r="R1026" s="494">
        <v>92</v>
      </c>
      <c r="S1026" s="493">
        <v>0</v>
      </c>
      <c r="T1026" s="494">
        <v>25</v>
      </c>
      <c r="U1026" s="493">
        <v>0</v>
      </c>
      <c r="V1026" s="502">
        <v>4</v>
      </c>
      <c r="W1026" s="453">
        <f t="shared" si="277"/>
        <v>810</v>
      </c>
      <c r="X1026" s="748">
        <f t="shared" si="278"/>
        <v>0.6328125</v>
      </c>
      <c r="Y1026" s="451" t="str">
        <f>IFERROR(VLOOKUP(E:E,'Item Data Support Sheet'!A:J,6,0),0)</f>
        <v>FO003</v>
      </c>
      <c r="Z1026" s="428">
        <f>IFERROR(VLOOKUP(E:E,'Item Data Support Sheet'!A:O,4,0),0)</f>
        <v>0</v>
      </c>
      <c r="AA1026" s="428">
        <f t="shared" si="279"/>
        <v>0</v>
      </c>
      <c r="AB1026" s="429" t="str">
        <f t="shared" si="280"/>
        <v xml:space="preserve"> </v>
      </c>
      <c r="AC1026" s="424">
        <f t="shared" si="281"/>
        <v>7.656967840735069E-3</v>
      </c>
      <c r="AD1026" s="371">
        <f t="shared" si="282"/>
        <v>0</v>
      </c>
      <c r="AE1026" s="748">
        <f t="shared" si="283"/>
        <v>0.99234303215926489</v>
      </c>
      <c r="AF1026" s="417">
        <f t="shared" si="284"/>
        <v>0.66666666666666663</v>
      </c>
      <c r="AG1026" s="416">
        <f t="shared" si="285"/>
        <v>7.333333333333333</v>
      </c>
      <c r="AH1026" s="372">
        <f t="shared" si="286"/>
        <v>0.91666666666666663</v>
      </c>
      <c r="AI1026" s="373">
        <f t="shared" si="287"/>
        <v>405</v>
      </c>
      <c r="AJ1026" s="418">
        <f>VLOOKUP(D1026,'Standard Cycle time'!C:D,2,0)</f>
        <v>32.4</v>
      </c>
      <c r="AK1026" s="418">
        <f t="shared" si="288"/>
        <v>32.592592592592595</v>
      </c>
      <c r="AL1026" s="374">
        <f t="shared" si="289"/>
        <v>0.99409090909090891</v>
      </c>
      <c r="AM1026" s="372">
        <f t="shared" si="290"/>
        <v>0.90427258805512989</v>
      </c>
      <c r="AN1026" s="799">
        <v>0.90801861702127651</v>
      </c>
      <c r="AO1026" s="448" t="s">
        <v>3790</v>
      </c>
      <c r="AP1026" s="440">
        <v>40</v>
      </c>
      <c r="AQ1026" s="440">
        <v>0</v>
      </c>
      <c r="AR1026" s="440">
        <v>0</v>
      </c>
      <c r="AS1026" s="440">
        <v>0</v>
      </c>
      <c r="AT1026" s="440">
        <v>0</v>
      </c>
      <c r="AU1026" s="440">
        <v>0</v>
      </c>
      <c r="AV1026" s="440">
        <v>0</v>
      </c>
      <c r="AW1026" s="440">
        <v>0</v>
      </c>
      <c r="AX1026" s="440">
        <v>0</v>
      </c>
      <c r="AY1026" s="440">
        <v>0</v>
      </c>
      <c r="AZ1026" s="440">
        <v>0</v>
      </c>
      <c r="BA1026" s="440">
        <v>0</v>
      </c>
      <c r="BB1026" s="440">
        <v>0</v>
      </c>
      <c r="BC1026" s="440">
        <v>0</v>
      </c>
      <c r="BD1026" s="440">
        <v>0</v>
      </c>
      <c r="BE1026" s="440">
        <v>0</v>
      </c>
      <c r="BF1026" s="440">
        <v>0</v>
      </c>
      <c r="BG1026" s="440">
        <v>0</v>
      </c>
      <c r="BH1026" s="440">
        <v>0</v>
      </c>
      <c r="BI1026" s="440">
        <v>0</v>
      </c>
      <c r="BJ1026" s="440">
        <v>0</v>
      </c>
      <c r="BK1026" s="440">
        <v>0</v>
      </c>
      <c r="BL1026" s="440">
        <v>0</v>
      </c>
      <c r="BM1026" s="440">
        <v>0</v>
      </c>
      <c r="BN1026" s="440">
        <v>0</v>
      </c>
      <c r="BO1026" s="440">
        <v>0</v>
      </c>
      <c r="BP1026" s="440">
        <v>0</v>
      </c>
      <c r="BQ1026" s="440">
        <v>0</v>
      </c>
      <c r="BR1026" s="415">
        <v>0.66666666666666663</v>
      </c>
      <c r="BS1026" s="415">
        <v>0.66666666666666663</v>
      </c>
      <c r="BT1026" s="935"/>
      <c r="BU1026" s="935"/>
      <c r="BV1026" s="935"/>
      <c r="BW1026" s="935"/>
      <c r="BX1026" s="935"/>
      <c r="BY1026" s="935"/>
      <c r="BZ1026" s="935"/>
      <c r="CA1026" s="935"/>
      <c r="CB1026" s="935"/>
      <c r="CC1026" s="935"/>
      <c r="CD1026" s="935"/>
      <c r="CE1026" s="935"/>
      <c r="CF1026" s="935"/>
      <c r="CG1026" s="935"/>
      <c r="CH1026" s="935"/>
      <c r="CI1026" s="935"/>
      <c r="CJ1026" s="935"/>
      <c r="CK1026" s="935"/>
      <c r="CL1026" s="935"/>
      <c r="CM1026" s="935"/>
      <c r="CN1026" s="935"/>
      <c r="CO1026" s="935"/>
      <c r="CP1026" s="935"/>
      <c r="CQ1026" s="935"/>
      <c r="CR1026" s="935"/>
      <c r="CS1026" s="935"/>
      <c r="CT1026" s="935"/>
      <c r="CU1026" s="935"/>
      <c r="CV1026" s="935"/>
    </row>
    <row r="1027" spans="1:100" s="441" customFormat="1">
      <c r="A1027" s="375">
        <f t="shared" si="276"/>
        <v>10</v>
      </c>
      <c r="B1027" s="862">
        <v>44494</v>
      </c>
      <c r="C1027" s="493" t="s">
        <v>2000</v>
      </c>
      <c r="D1027" s="376" t="str">
        <f>IFERROR(VLOOKUP(E:E,'Item Data Support Sheet'!A:O,7,0),"")</f>
        <v>NIPPLE WRAP PRINTED</v>
      </c>
      <c r="E1027" s="447" t="s">
        <v>111</v>
      </c>
      <c r="F1027" s="500"/>
      <c r="G1027" s="497" t="s">
        <v>1693</v>
      </c>
      <c r="H1027" s="602" t="str">
        <f>IFERROR(VLOOKUP(E:E,'Item Data Support Sheet'!A:O,2,0),"")</f>
        <v>NIPPLE S TYPE Y SIZE WITH PRINTED WRAP</v>
      </c>
      <c r="I1027" s="501" t="s">
        <v>3780</v>
      </c>
      <c r="J1027" s="501" t="s">
        <v>2811</v>
      </c>
      <c r="K1027" s="499">
        <v>4</v>
      </c>
      <c r="L1027" s="499">
        <v>8000</v>
      </c>
      <c r="M1027" s="366">
        <v>2000</v>
      </c>
      <c r="N1027" s="367">
        <f t="shared" si="275"/>
        <v>3473</v>
      </c>
      <c r="O1027" s="61">
        <v>3470</v>
      </c>
      <c r="P1027" s="368">
        <v>0</v>
      </c>
      <c r="Q1027" s="368">
        <v>0</v>
      </c>
      <c r="R1027" s="494">
        <v>0</v>
      </c>
      <c r="S1027" s="493">
        <v>0</v>
      </c>
      <c r="T1027" s="494">
        <v>3</v>
      </c>
      <c r="U1027" s="493">
        <v>0</v>
      </c>
      <c r="V1027" s="502">
        <v>2</v>
      </c>
      <c r="W1027" s="453">
        <f t="shared" si="277"/>
        <v>1735</v>
      </c>
      <c r="X1027" s="748">
        <f t="shared" si="278"/>
        <v>0.43375000000000002</v>
      </c>
      <c r="Y1027" s="451" t="str">
        <f>IFERROR(VLOOKUP(E:E,'Item Data Support Sheet'!A:J,6,0),0)</f>
        <v>FO022</v>
      </c>
      <c r="Z1027" s="428">
        <f>IFERROR(VLOOKUP(E:E,'Item Data Support Sheet'!A:O,4,0),0)</f>
        <v>0</v>
      </c>
      <c r="AA1027" s="428">
        <f t="shared" si="279"/>
        <v>0</v>
      </c>
      <c r="AB1027" s="429" t="str">
        <f t="shared" si="280"/>
        <v xml:space="preserve"> </v>
      </c>
      <c r="AC1027" s="424">
        <f t="shared" si="281"/>
        <v>8.6380650734235536E-4</v>
      </c>
      <c r="AD1027" s="371">
        <f t="shared" si="282"/>
        <v>0</v>
      </c>
      <c r="AE1027" s="748">
        <f t="shared" si="283"/>
        <v>0.9991361934926577</v>
      </c>
      <c r="AF1027" s="417">
        <f t="shared" si="284"/>
        <v>2.6666666666666665</v>
      </c>
      <c r="AG1027" s="416">
        <f t="shared" si="285"/>
        <v>1.3333333333333335</v>
      </c>
      <c r="AH1027" s="372">
        <f t="shared" si="286"/>
        <v>0.33333333333333337</v>
      </c>
      <c r="AI1027" s="373">
        <f t="shared" si="287"/>
        <v>867.5</v>
      </c>
      <c r="AJ1027" s="418">
        <f>VLOOKUP(D1027,'Standard Cycle time'!C:D,2,0)</f>
        <v>2.5</v>
      </c>
      <c r="AK1027" s="418">
        <f t="shared" si="288"/>
        <v>2.7665706051873205</v>
      </c>
      <c r="AL1027" s="374">
        <f t="shared" si="289"/>
        <v>0.90364583333333315</v>
      </c>
      <c r="AM1027" s="372">
        <f t="shared" si="290"/>
        <v>0.30095508606072235</v>
      </c>
      <c r="AN1027" s="799">
        <v>0.3010871010638298</v>
      </c>
      <c r="AO1027" s="448"/>
      <c r="AP1027" s="440">
        <v>40</v>
      </c>
      <c r="AQ1027" s="440">
        <v>0</v>
      </c>
      <c r="AR1027" s="440">
        <v>0</v>
      </c>
      <c r="AS1027" s="440">
        <v>120</v>
      </c>
      <c r="AT1027" s="440">
        <v>0</v>
      </c>
      <c r="AU1027" s="440">
        <v>0</v>
      </c>
      <c r="AV1027" s="440">
        <v>0</v>
      </c>
      <c r="AW1027" s="440">
        <v>0</v>
      </c>
      <c r="AX1027" s="440">
        <v>0</v>
      </c>
      <c r="AY1027" s="440">
        <v>0</v>
      </c>
      <c r="AZ1027" s="440">
        <v>0</v>
      </c>
      <c r="BA1027" s="440">
        <v>0</v>
      </c>
      <c r="BB1027" s="440">
        <v>0</v>
      </c>
      <c r="BC1027" s="440">
        <v>0</v>
      </c>
      <c r="BD1027" s="440">
        <v>0</v>
      </c>
      <c r="BE1027" s="440">
        <v>0</v>
      </c>
      <c r="BF1027" s="440">
        <v>0</v>
      </c>
      <c r="BG1027" s="440">
        <v>0</v>
      </c>
      <c r="BH1027" s="440">
        <v>0</v>
      </c>
      <c r="BI1027" s="440">
        <v>0</v>
      </c>
      <c r="BJ1027" s="440">
        <v>0</v>
      </c>
      <c r="BK1027" s="440">
        <v>0</v>
      </c>
      <c r="BL1027" s="440">
        <v>0</v>
      </c>
      <c r="BM1027" s="440">
        <v>0</v>
      </c>
      <c r="BN1027" s="440">
        <v>0</v>
      </c>
      <c r="BO1027" s="440">
        <v>0</v>
      </c>
      <c r="BP1027" s="440">
        <v>0</v>
      </c>
      <c r="BQ1027" s="440">
        <v>0</v>
      </c>
      <c r="BR1027" s="415">
        <v>2.6666666666666665</v>
      </c>
      <c r="BS1027" s="415">
        <v>2.6666666666666665</v>
      </c>
      <c r="BT1027" s="935"/>
      <c r="BU1027" s="935"/>
      <c r="BV1027" s="935"/>
      <c r="BW1027" s="935"/>
      <c r="BX1027" s="935"/>
      <c r="BY1027" s="935"/>
      <c r="BZ1027" s="935"/>
      <c r="CA1027" s="935"/>
      <c r="CB1027" s="935"/>
      <c r="CC1027" s="935"/>
      <c r="CD1027" s="935"/>
      <c r="CE1027" s="935"/>
      <c r="CF1027" s="935"/>
      <c r="CG1027" s="935"/>
      <c r="CH1027" s="935"/>
      <c r="CI1027" s="935"/>
      <c r="CJ1027" s="935"/>
      <c r="CK1027" s="935"/>
      <c r="CL1027" s="935"/>
      <c r="CM1027" s="935"/>
      <c r="CN1027" s="935"/>
      <c r="CO1027" s="935"/>
      <c r="CP1027" s="935"/>
      <c r="CQ1027" s="935"/>
      <c r="CR1027" s="935"/>
      <c r="CS1027" s="935"/>
      <c r="CT1027" s="935"/>
      <c r="CU1027" s="935"/>
      <c r="CV1027" s="935"/>
    </row>
    <row r="1028" spans="1:100" s="441" customFormat="1">
      <c r="A1028" s="375">
        <f t="shared" si="276"/>
        <v>10</v>
      </c>
      <c r="B1028" s="862">
        <v>44494</v>
      </c>
      <c r="C1028" s="493" t="s">
        <v>2000</v>
      </c>
      <c r="D1028" s="376" t="str">
        <f>IFERROR(VLOOKUP(E:E,'Item Data Support Sheet'!A:O,7,0),"")</f>
        <v>NIPPLE WRAP PRINTED</v>
      </c>
      <c r="E1028" s="447" t="s">
        <v>108</v>
      </c>
      <c r="F1028" s="500"/>
      <c r="G1028" s="497" t="s">
        <v>1693</v>
      </c>
      <c r="H1028" s="602" t="str">
        <f>IFERROR(VLOOKUP(E:E,'Item Data Support Sheet'!A:O,2,0),"")</f>
        <v>NIPPLE S TYPE S SIZE WITH PRINTED WRAP</v>
      </c>
      <c r="I1028" s="501" t="s">
        <v>3791</v>
      </c>
      <c r="J1028" s="501" t="s">
        <v>2811</v>
      </c>
      <c r="K1028" s="499">
        <v>4.5</v>
      </c>
      <c r="L1028" s="499">
        <v>8134</v>
      </c>
      <c r="M1028" s="366">
        <v>1807.5555555555557</v>
      </c>
      <c r="N1028" s="367">
        <f t="shared" ref="N1028:N1091" si="291">+O1028+Q1028+T1028+U1028</f>
        <v>5936</v>
      </c>
      <c r="O1028" s="61">
        <v>5934</v>
      </c>
      <c r="P1028" s="368">
        <v>0</v>
      </c>
      <c r="Q1028" s="368">
        <v>0</v>
      </c>
      <c r="R1028" s="494">
        <v>0</v>
      </c>
      <c r="S1028" s="493">
        <v>0</v>
      </c>
      <c r="T1028" s="494">
        <v>2</v>
      </c>
      <c r="U1028" s="493">
        <v>0</v>
      </c>
      <c r="V1028" s="502">
        <v>2</v>
      </c>
      <c r="W1028" s="453">
        <f t="shared" si="277"/>
        <v>2967</v>
      </c>
      <c r="X1028" s="748">
        <f t="shared" si="278"/>
        <v>0.72953036636341284</v>
      </c>
      <c r="Y1028" s="451" t="str">
        <f>IFERROR(VLOOKUP(E:E,'Item Data Support Sheet'!A:J,6,0),0)</f>
        <v>FO108</v>
      </c>
      <c r="Z1028" s="428">
        <f>IFERROR(VLOOKUP(E:E,'Item Data Support Sheet'!A:O,4,0),0)</f>
        <v>0</v>
      </c>
      <c r="AA1028" s="428">
        <f t="shared" si="279"/>
        <v>0</v>
      </c>
      <c r="AB1028" s="429" t="str">
        <f t="shared" si="280"/>
        <v xml:space="preserve"> </v>
      </c>
      <c r="AC1028" s="424">
        <f t="shared" si="281"/>
        <v>3.3692722371967657E-4</v>
      </c>
      <c r="AD1028" s="371">
        <f t="shared" si="282"/>
        <v>0</v>
      </c>
      <c r="AE1028" s="748">
        <f t="shared" si="283"/>
        <v>0.9996630727762803</v>
      </c>
      <c r="AF1028" s="417">
        <f t="shared" si="284"/>
        <v>2.1666666666666665</v>
      </c>
      <c r="AG1028" s="416">
        <f t="shared" si="285"/>
        <v>2.3333333333333335</v>
      </c>
      <c r="AH1028" s="372">
        <f t="shared" si="286"/>
        <v>0.5185185185185186</v>
      </c>
      <c r="AI1028" s="373">
        <f t="shared" si="287"/>
        <v>1318.6666666666667</v>
      </c>
      <c r="AJ1028" s="418">
        <f>VLOOKUP(D1028,'Standard Cycle time'!C:D,2,0)</f>
        <v>2.5</v>
      </c>
      <c r="AK1028" s="418">
        <f t="shared" si="288"/>
        <v>2.8311425682507583</v>
      </c>
      <c r="AL1028" s="374">
        <f t="shared" si="289"/>
        <v>0.88303571428571426</v>
      </c>
      <c r="AM1028" s="372">
        <f t="shared" si="290"/>
        <v>0.45771610137765806</v>
      </c>
      <c r="AN1028" s="799">
        <v>0.45760669610007365</v>
      </c>
      <c r="AO1028" s="448"/>
      <c r="AP1028" s="440">
        <v>10</v>
      </c>
      <c r="AQ1028" s="440">
        <v>0</v>
      </c>
      <c r="AR1028" s="440">
        <v>0</v>
      </c>
      <c r="AS1028" s="440">
        <v>120</v>
      </c>
      <c r="AT1028" s="440">
        <v>0</v>
      </c>
      <c r="AU1028" s="440">
        <v>0</v>
      </c>
      <c r="AV1028" s="440">
        <v>0</v>
      </c>
      <c r="AW1028" s="440">
        <v>0</v>
      </c>
      <c r="AX1028" s="440">
        <v>0</v>
      </c>
      <c r="AY1028" s="440">
        <v>0</v>
      </c>
      <c r="AZ1028" s="440">
        <v>0</v>
      </c>
      <c r="BA1028" s="440">
        <v>0</v>
      </c>
      <c r="BB1028" s="440">
        <v>0</v>
      </c>
      <c r="BC1028" s="440">
        <v>0</v>
      </c>
      <c r="BD1028" s="440">
        <v>0</v>
      </c>
      <c r="BE1028" s="440">
        <v>0</v>
      </c>
      <c r="BF1028" s="440">
        <v>0</v>
      </c>
      <c r="BG1028" s="440">
        <v>0</v>
      </c>
      <c r="BH1028" s="440">
        <v>0</v>
      </c>
      <c r="BI1028" s="440">
        <v>0</v>
      </c>
      <c r="BJ1028" s="440">
        <v>0</v>
      </c>
      <c r="BK1028" s="440">
        <v>0</v>
      </c>
      <c r="BL1028" s="440">
        <v>0</v>
      </c>
      <c r="BM1028" s="440">
        <v>0</v>
      </c>
      <c r="BN1028" s="440">
        <v>0</v>
      </c>
      <c r="BO1028" s="440">
        <v>0</v>
      </c>
      <c r="BP1028" s="440">
        <v>0</v>
      </c>
      <c r="BQ1028" s="440">
        <v>0</v>
      </c>
      <c r="BR1028" s="415">
        <v>2.1666666666666665</v>
      </c>
      <c r="BS1028" s="415">
        <v>2.1666666666666665</v>
      </c>
      <c r="BT1028" s="935"/>
      <c r="BU1028" s="935"/>
      <c r="BV1028" s="935"/>
      <c r="BW1028" s="935"/>
      <c r="BX1028" s="935"/>
      <c r="BY1028" s="935"/>
      <c r="BZ1028" s="935"/>
      <c r="CA1028" s="935"/>
      <c r="CB1028" s="935"/>
      <c r="CC1028" s="935"/>
      <c r="CD1028" s="935"/>
      <c r="CE1028" s="935"/>
      <c r="CF1028" s="935"/>
      <c r="CG1028" s="935"/>
      <c r="CH1028" s="935"/>
      <c r="CI1028" s="935"/>
      <c r="CJ1028" s="935"/>
      <c r="CK1028" s="935"/>
      <c r="CL1028" s="935"/>
      <c r="CM1028" s="935"/>
      <c r="CN1028" s="935"/>
      <c r="CO1028" s="935"/>
      <c r="CP1028" s="935"/>
      <c r="CQ1028" s="935"/>
      <c r="CR1028" s="935"/>
      <c r="CS1028" s="935"/>
      <c r="CT1028" s="935"/>
      <c r="CU1028" s="935"/>
      <c r="CV1028" s="935"/>
    </row>
    <row r="1029" spans="1:100" s="441" customFormat="1">
      <c r="A1029" s="375">
        <f t="shared" ref="A1029:A1092" si="292">MONTH(B1029)</f>
        <v>10</v>
      </c>
      <c r="B1029" s="862">
        <v>44494</v>
      </c>
      <c r="C1029" s="493" t="s">
        <v>2000</v>
      </c>
      <c r="D1029" s="376" t="str">
        <f>IFERROR(VLOOKUP(E:E,'Item Data Support Sheet'!A:O,7,0),"")</f>
        <v>NIPPLE PUNCH INSPECTED</v>
      </c>
      <c r="E1029" s="447" t="s">
        <v>1818</v>
      </c>
      <c r="F1029" s="500"/>
      <c r="G1029" s="497"/>
      <c r="H1029" s="602" t="str">
        <f>IFERROR(VLOOKUP(E:E,'Item Data Support Sheet'!A:O,2,0),"")</f>
        <v>NIPPLE S TYPE S SIZE PUNCHED INSPECTED</v>
      </c>
      <c r="I1029" s="501" t="s">
        <v>3773</v>
      </c>
      <c r="J1029" s="501" t="s">
        <v>2811</v>
      </c>
      <c r="K1029" s="499">
        <v>8</v>
      </c>
      <c r="L1029" s="499">
        <v>14000</v>
      </c>
      <c r="M1029" s="366">
        <v>1750</v>
      </c>
      <c r="N1029" s="367">
        <f t="shared" si="291"/>
        <v>13347</v>
      </c>
      <c r="O1029" s="61">
        <v>13323</v>
      </c>
      <c r="P1029" s="368">
        <v>0</v>
      </c>
      <c r="Q1029" s="368">
        <v>0</v>
      </c>
      <c r="R1029" s="494">
        <v>0</v>
      </c>
      <c r="S1029" s="493">
        <v>0</v>
      </c>
      <c r="T1029" s="494">
        <v>24</v>
      </c>
      <c r="U1029" s="493">
        <v>0</v>
      </c>
      <c r="V1029" s="502">
        <v>1</v>
      </c>
      <c r="W1029" s="453">
        <f t="shared" ref="W1029:W1092" si="293">IFERROR(O1029/V1029,0)</f>
        <v>13323</v>
      </c>
      <c r="X1029" s="748">
        <f t="shared" ref="X1029:X1092" si="294">O1029/L1029</f>
        <v>0.95164285714285712</v>
      </c>
      <c r="Y1029" s="451" t="str">
        <f>IFERROR(VLOOKUP(E:E,'Item Data Support Sheet'!A:J,6,0),0)</f>
        <v>FO104</v>
      </c>
      <c r="Z1029" s="428">
        <f>IFERROR(VLOOKUP(E:E,'Item Data Support Sheet'!A:O,4,0),0)</f>
        <v>0</v>
      </c>
      <c r="AA1029" s="428">
        <f t="shared" ref="AA1029:AA1092" si="295">IFERROR(((N1029)*(Z1029/1000))+P1029,0)</f>
        <v>0</v>
      </c>
      <c r="AB1029" s="429" t="str">
        <f t="shared" ref="AB1029:AB1092" si="296">IFERROR((O1029*(Z1029/1000)/(AA1029))," ")</f>
        <v xml:space="preserve"> </v>
      </c>
      <c r="AC1029" s="424">
        <f t="shared" ref="AC1029:AC1092" si="297">IFERROR((T1029)/((T1029)+O1029),0)</f>
        <v>1.7981568891885817E-3</v>
      </c>
      <c r="AD1029" s="371">
        <f t="shared" ref="AD1029:AD1092" si="298">IFERROR(Q1029/(Q1029+N1029),0)</f>
        <v>0</v>
      </c>
      <c r="AE1029" s="748">
        <f t="shared" ref="AE1029:AE1092" si="299">(N1029-T1029)/N1029</f>
        <v>0.99820184311081139</v>
      </c>
      <c r="AF1029" s="417">
        <f t="shared" ref="AF1029:AF1092" si="300">BR1029</f>
        <v>0.83333333333333337</v>
      </c>
      <c r="AG1029" s="416">
        <f t="shared" ref="AG1029:AG1092" si="301">K1029-AF1029</f>
        <v>7.166666666666667</v>
      </c>
      <c r="AH1029" s="372">
        <f t="shared" ref="AH1029:AH1092" si="302">IFERROR(AG1029/K1029," ")</f>
        <v>0.89583333333333337</v>
      </c>
      <c r="AI1029" s="373">
        <f t="shared" ref="AI1029:AI1092" si="303">IFERROR(O1029/K1029,0)</f>
        <v>1665.375</v>
      </c>
      <c r="AJ1029" s="418">
        <f>VLOOKUP(D1029,'Standard Cycle time'!C:D,2,0)</f>
        <v>4</v>
      </c>
      <c r="AK1029" s="418">
        <f t="shared" ref="AK1029:AK1092" si="304">AG1029*V1029*3600/O1029</f>
        <v>1.9365007881107859</v>
      </c>
      <c r="AL1029" s="374">
        <f t="shared" ref="AL1029:AL1092" si="305">AJ1029/AK1029</f>
        <v>2.0655813953488371</v>
      </c>
      <c r="AM1029" s="372">
        <f t="shared" ref="AM1029:AM1092" si="306">AE1029*AL1029*AH1029</f>
        <v>1.8470893271896305</v>
      </c>
      <c r="AN1029" s="799">
        <v>1.8429351976639712</v>
      </c>
      <c r="AO1029" s="448"/>
      <c r="AP1029" s="440">
        <v>50</v>
      </c>
      <c r="AQ1029" s="440">
        <v>0</v>
      </c>
      <c r="AR1029" s="440">
        <v>0</v>
      </c>
      <c r="AS1029" s="440">
        <v>0</v>
      </c>
      <c r="AT1029" s="440">
        <v>0</v>
      </c>
      <c r="AU1029" s="440">
        <v>0</v>
      </c>
      <c r="AV1029" s="440">
        <v>0</v>
      </c>
      <c r="AW1029" s="440">
        <v>0</v>
      </c>
      <c r="AX1029" s="440">
        <v>0</v>
      </c>
      <c r="AY1029" s="440">
        <v>0</v>
      </c>
      <c r="AZ1029" s="440">
        <v>0</v>
      </c>
      <c r="BA1029" s="440">
        <v>0</v>
      </c>
      <c r="BB1029" s="440">
        <v>0</v>
      </c>
      <c r="BC1029" s="440">
        <v>0</v>
      </c>
      <c r="BD1029" s="440">
        <v>0</v>
      </c>
      <c r="BE1029" s="440">
        <v>0</v>
      </c>
      <c r="BF1029" s="440">
        <v>0</v>
      </c>
      <c r="BG1029" s="440">
        <v>0</v>
      </c>
      <c r="BH1029" s="440">
        <v>0</v>
      </c>
      <c r="BI1029" s="440">
        <v>0</v>
      </c>
      <c r="BJ1029" s="440">
        <v>0</v>
      </c>
      <c r="BK1029" s="440">
        <v>0</v>
      </c>
      <c r="BL1029" s="440">
        <v>0</v>
      </c>
      <c r="BM1029" s="440">
        <v>0</v>
      </c>
      <c r="BN1029" s="440">
        <v>0</v>
      </c>
      <c r="BO1029" s="440">
        <v>0</v>
      </c>
      <c r="BP1029" s="440">
        <v>0</v>
      </c>
      <c r="BQ1029" s="440">
        <v>0</v>
      </c>
      <c r="BR1029" s="415">
        <v>0.83333333333333337</v>
      </c>
      <c r="BS1029" s="415">
        <v>0.83333333333333337</v>
      </c>
      <c r="BT1029" s="935"/>
      <c r="BU1029" s="935"/>
      <c r="BV1029" s="935"/>
      <c r="BW1029" s="935"/>
      <c r="BX1029" s="935"/>
      <c r="BY1029" s="935"/>
      <c r="BZ1029" s="935"/>
      <c r="CA1029" s="935"/>
      <c r="CB1029" s="935"/>
      <c r="CC1029" s="935"/>
      <c r="CD1029" s="935"/>
      <c r="CE1029" s="935"/>
      <c r="CF1029" s="935"/>
      <c r="CG1029" s="935"/>
      <c r="CH1029" s="935"/>
      <c r="CI1029" s="935"/>
      <c r="CJ1029" s="935"/>
      <c r="CK1029" s="935"/>
      <c r="CL1029" s="935"/>
      <c r="CM1029" s="935"/>
      <c r="CN1029" s="935"/>
      <c r="CO1029" s="935"/>
      <c r="CP1029" s="935"/>
      <c r="CQ1029" s="935"/>
      <c r="CR1029" s="935"/>
      <c r="CS1029" s="935"/>
      <c r="CT1029" s="935"/>
      <c r="CU1029" s="935"/>
      <c r="CV1029" s="935"/>
    </row>
    <row r="1030" spans="1:100" s="441" customFormat="1">
      <c r="A1030" s="375">
        <f t="shared" si="292"/>
        <v>10</v>
      </c>
      <c r="B1030" s="862">
        <v>44494</v>
      </c>
      <c r="C1030" s="493" t="s">
        <v>2001</v>
      </c>
      <c r="D1030" s="376" t="str">
        <f>IFERROR(VLOOKUP(E:E,'Item Data Support Sheet'!A:O,7,0),"")</f>
        <v>NIPPLE PUNCH</v>
      </c>
      <c r="E1030" s="447" t="s">
        <v>80</v>
      </c>
      <c r="F1030" s="500"/>
      <c r="G1030" s="497" t="s">
        <v>1692</v>
      </c>
      <c r="H1030" s="602" t="str">
        <f>IFERROR(VLOOKUP(E:E,'Item Data Support Sheet'!A:O,2,0),"")</f>
        <v>NIPPLE S TYPE S SIZE PUNCHED</v>
      </c>
      <c r="I1030" s="501" t="s">
        <v>3792</v>
      </c>
      <c r="J1030" s="501" t="s">
        <v>2811</v>
      </c>
      <c r="K1030" s="499">
        <v>8</v>
      </c>
      <c r="L1030" s="499">
        <v>7000</v>
      </c>
      <c r="M1030" s="366">
        <v>875</v>
      </c>
      <c r="N1030" s="367">
        <f t="shared" si="291"/>
        <v>6300</v>
      </c>
      <c r="O1030" s="61">
        <v>6300</v>
      </c>
      <c r="P1030" s="368">
        <v>0</v>
      </c>
      <c r="Q1030" s="368">
        <v>0</v>
      </c>
      <c r="R1030" s="494">
        <v>0</v>
      </c>
      <c r="S1030" s="493">
        <v>0</v>
      </c>
      <c r="T1030" s="494">
        <v>0</v>
      </c>
      <c r="U1030" s="493">
        <v>0</v>
      </c>
      <c r="V1030" s="502">
        <v>1</v>
      </c>
      <c r="W1030" s="453">
        <f t="shared" si="293"/>
        <v>6300</v>
      </c>
      <c r="X1030" s="748">
        <f t="shared" si="294"/>
        <v>0.9</v>
      </c>
      <c r="Y1030" s="451" t="str">
        <f>IFERROR(VLOOKUP(E:E,'Item Data Support Sheet'!A:J,6,0),0)</f>
        <v>FO015</v>
      </c>
      <c r="Z1030" s="428">
        <f>IFERROR(VLOOKUP(E:E,'Item Data Support Sheet'!A:O,4,0),0)</f>
        <v>0</v>
      </c>
      <c r="AA1030" s="428">
        <f t="shared" si="295"/>
        <v>0</v>
      </c>
      <c r="AB1030" s="429" t="str">
        <f t="shared" si="296"/>
        <v xml:space="preserve"> </v>
      </c>
      <c r="AC1030" s="424">
        <f t="shared" si="297"/>
        <v>0</v>
      </c>
      <c r="AD1030" s="371">
        <f t="shared" si="298"/>
        <v>0</v>
      </c>
      <c r="AE1030" s="748">
        <f t="shared" si="299"/>
        <v>1</v>
      </c>
      <c r="AF1030" s="417">
        <f t="shared" si="300"/>
        <v>1.6666666666666667</v>
      </c>
      <c r="AG1030" s="416">
        <f t="shared" si="301"/>
        <v>6.333333333333333</v>
      </c>
      <c r="AH1030" s="372">
        <f t="shared" si="302"/>
        <v>0.79166666666666663</v>
      </c>
      <c r="AI1030" s="373">
        <f t="shared" si="303"/>
        <v>787.5</v>
      </c>
      <c r="AJ1030" s="418">
        <f>VLOOKUP(D1030,'Standard Cycle time'!C:D,2,0)</f>
        <v>3.5</v>
      </c>
      <c r="AK1030" s="418">
        <f t="shared" si="304"/>
        <v>3.6190476190476191</v>
      </c>
      <c r="AL1030" s="374">
        <f t="shared" si="305"/>
        <v>0.96710526315789469</v>
      </c>
      <c r="AM1030" s="372">
        <f t="shared" si="306"/>
        <v>0.76562499999999989</v>
      </c>
      <c r="AN1030" s="799">
        <v>0.76562499999999989</v>
      </c>
      <c r="AO1030" s="448" t="s">
        <v>2746</v>
      </c>
      <c r="AP1030" s="440">
        <v>40</v>
      </c>
      <c r="AQ1030" s="440">
        <v>0</v>
      </c>
      <c r="AR1030" s="440">
        <v>0</v>
      </c>
      <c r="AS1030" s="440">
        <v>60</v>
      </c>
      <c r="AT1030" s="440">
        <v>0</v>
      </c>
      <c r="AU1030" s="440">
        <v>0</v>
      </c>
      <c r="AV1030" s="440">
        <v>0</v>
      </c>
      <c r="AW1030" s="440">
        <v>0</v>
      </c>
      <c r="AX1030" s="440">
        <v>0</v>
      </c>
      <c r="AY1030" s="440">
        <v>0</v>
      </c>
      <c r="AZ1030" s="440">
        <v>0</v>
      </c>
      <c r="BA1030" s="440">
        <v>0</v>
      </c>
      <c r="BB1030" s="440">
        <v>0</v>
      </c>
      <c r="BC1030" s="440">
        <v>0</v>
      </c>
      <c r="BD1030" s="440">
        <v>0</v>
      </c>
      <c r="BE1030" s="440">
        <v>0</v>
      </c>
      <c r="BF1030" s="440">
        <v>0</v>
      </c>
      <c r="BG1030" s="440">
        <v>0</v>
      </c>
      <c r="BH1030" s="440">
        <v>0</v>
      </c>
      <c r="BI1030" s="440">
        <v>0</v>
      </c>
      <c r="BJ1030" s="440">
        <v>0</v>
      </c>
      <c r="BK1030" s="440">
        <v>0</v>
      </c>
      <c r="BL1030" s="440">
        <v>0</v>
      </c>
      <c r="BM1030" s="440">
        <v>0</v>
      </c>
      <c r="BN1030" s="440">
        <v>0</v>
      </c>
      <c r="BO1030" s="440">
        <v>0</v>
      </c>
      <c r="BP1030" s="440">
        <v>0</v>
      </c>
      <c r="BQ1030" s="440">
        <v>0</v>
      </c>
      <c r="BR1030" s="415">
        <v>1.6666666666666667</v>
      </c>
      <c r="BS1030" s="415">
        <v>1.6666666666666667</v>
      </c>
      <c r="BT1030" s="935"/>
      <c r="BU1030" s="935"/>
      <c r="BV1030" s="935"/>
      <c r="BW1030" s="935"/>
      <c r="BX1030" s="935"/>
      <c r="BY1030" s="935"/>
      <c r="BZ1030" s="935"/>
      <c r="CA1030" s="935"/>
      <c r="CB1030" s="935"/>
      <c r="CC1030" s="935"/>
      <c r="CD1030" s="935"/>
      <c r="CE1030" s="935"/>
      <c r="CF1030" s="935"/>
      <c r="CG1030" s="935"/>
      <c r="CH1030" s="935"/>
      <c r="CI1030" s="935"/>
      <c r="CJ1030" s="935"/>
      <c r="CK1030" s="935"/>
      <c r="CL1030" s="935"/>
      <c r="CM1030" s="935"/>
      <c r="CN1030" s="935"/>
      <c r="CO1030" s="935"/>
      <c r="CP1030" s="935"/>
      <c r="CQ1030" s="935"/>
      <c r="CR1030" s="935"/>
      <c r="CS1030" s="935"/>
      <c r="CT1030" s="935"/>
      <c r="CU1030" s="935"/>
      <c r="CV1030" s="935"/>
    </row>
    <row r="1031" spans="1:100" s="441" customFormat="1">
      <c r="A1031" s="375">
        <f t="shared" si="292"/>
        <v>10</v>
      </c>
      <c r="B1031" s="862">
        <v>44494</v>
      </c>
      <c r="C1031" s="493" t="s">
        <v>2001</v>
      </c>
      <c r="D1031" s="376" t="str">
        <f>IFERROR(VLOOKUP(E:E,'Item Data Support Sheet'!A:O,7,0),"")</f>
        <v>NIPPLE LASER MARKING</v>
      </c>
      <c r="E1031" s="447" t="s">
        <v>1814</v>
      </c>
      <c r="F1031" s="500"/>
      <c r="G1031" s="497" t="s">
        <v>1812</v>
      </c>
      <c r="H1031" s="602" t="str">
        <f>IFERROR(VLOOKUP(E:E,'Item Data Support Sheet'!A:O,2,0),"")</f>
        <v>NIPPLE S TYPE S SIZE PUNCHED LASER MARKED</v>
      </c>
      <c r="I1031" s="501" t="s">
        <v>3791</v>
      </c>
      <c r="J1031" s="501" t="s">
        <v>2811</v>
      </c>
      <c r="K1031" s="499">
        <v>8</v>
      </c>
      <c r="L1031" s="499">
        <v>7000</v>
      </c>
      <c r="M1031" s="366">
        <v>875</v>
      </c>
      <c r="N1031" s="367">
        <f t="shared" si="291"/>
        <v>6300</v>
      </c>
      <c r="O1031" s="61">
        <v>6300</v>
      </c>
      <c r="P1031" s="368">
        <v>0</v>
      </c>
      <c r="Q1031" s="368">
        <v>0</v>
      </c>
      <c r="R1031" s="494">
        <v>0</v>
      </c>
      <c r="S1031" s="493">
        <v>0</v>
      </c>
      <c r="T1031" s="494">
        <v>0</v>
      </c>
      <c r="U1031" s="493">
        <v>0</v>
      </c>
      <c r="V1031" s="502">
        <v>1</v>
      </c>
      <c r="W1031" s="453">
        <f t="shared" si="293"/>
        <v>6300</v>
      </c>
      <c r="X1031" s="748">
        <f t="shared" si="294"/>
        <v>0.9</v>
      </c>
      <c r="Y1031" s="451" t="str">
        <f>IFERROR(VLOOKUP(E:E,'Item Data Support Sheet'!A:J,6,0),0)</f>
        <v>FO019</v>
      </c>
      <c r="Z1031" s="428">
        <f>IFERROR(VLOOKUP(E:E,'Item Data Support Sheet'!A:O,4,0),0)</f>
        <v>0</v>
      </c>
      <c r="AA1031" s="428">
        <f t="shared" si="295"/>
        <v>0</v>
      </c>
      <c r="AB1031" s="429" t="str">
        <f t="shared" si="296"/>
        <v xml:space="preserve"> </v>
      </c>
      <c r="AC1031" s="424">
        <f t="shared" si="297"/>
        <v>0</v>
      </c>
      <c r="AD1031" s="371">
        <f t="shared" si="298"/>
        <v>0</v>
      </c>
      <c r="AE1031" s="748">
        <f t="shared" si="299"/>
        <v>1</v>
      </c>
      <c r="AF1031" s="417">
        <f t="shared" si="300"/>
        <v>1.6666666666666667</v>
      </c>
      <c r="AG1031" s="416">
        <f t="shared" si="301"/>
        <v>6.333333333333333</v>
      </c>
      <c r="AH1031" s="372">
        <f t="shared" si="302"/>
        <v>0.79166666666666663</v>
      </c>
      <c r="AI1031" s="373">
        <f t="shared" si="303"/>
        <v>787.5</v>
      </c>
      <c r="AJ1031" s="418">
        <f>VLOOKUP(D1031,'Standard Cycle time'!C:D,2,0)</f>
        <v>3.5</v>
      </c>
      <c r="AK1031" s="418">
        <f t="shared" si="304"/>
        <v>3.6190476190476191</v>
      </c>
      <c r="AL1031" s="374">
        <f t="shared" si="305"/>
        <v>0.96710526315789469</v>
      </c>
      <c r="AM1031" s="372">
        <f t="shared" si="306"/>
        <v>0.76562499999999989</v>
      </c>
      <c r="AN1031" s="799">
        <v>0.76562499999999989</v>
      </c>
      <c r="AO1031" s="448" t="s">
        <v>2746</v>
      </c>
      <c r="AP1031" s="440">
        <v>40</v>
      </c>
      <c r="AQ1031" s="440">
        <v>0</v>
      </c>
      <c r="AR1031" s="440">
        <v>0</v>
      </c>
      <c r="AS1031" s="440">
        <v>60</v>
      </c>
      <c r="AT1031" s="440">
        <v>0</v>
      </c>
      <c r="AU1031" s="440">
        <v>0</v>
      </c>
      <c r="AV1031" s="440">
        <v>0</v>
      </c>
      <c r="AW1031" s="440">
        <v>0</v>
      </c>
      <c r="AX1031" s="440">
        <v>0</v>
      </c>
      <c r="AY1031" s="440">
        <v>0</v>
      </c>
      <c r="AZ1031" s="440">
        <v>0</v>
      </c>
      <c r="BA1031" s="440">
        <v>0</v>
      </c>
      <c r="BB1031" s="440">
        <v>0</v>
      </c>
      <c r="BC1031" s="440">
        <v>0</v>
      </c>
      <c r="BD1031" s="440">
        <v>0</v>
      </c>
      <c r="BE1031" s="440">
        <v>0</v>
      </c>
      <c r="BF1031" s="440">
        <v>0</v>
      </c>
      <c r="BG1031" s="440">
        <v>0</v>
      </c>
      <c r="BH1031" s="440">
        <v>0</v>
      </c>
      <c r="BI1031" s="440">
        <v>0</v>
      </c>
      <c r="BJ1031" s="440">
        <v>0</v>
      </c>
      <c r="BK1031" s="440">
        <v>0</v>
      </c>
      <c r="BL1031" s="440">
        <v>0</v>
      </c>
      <c r="BM1031" s="440">
        <v>0</v>
      </c>
      <c r="BN1031" s="440">
        <v>0</v>
      </c>
      <c r="BO1031" s="440">
        <v>0</v>
      </c>
      <c r="BP1031" s="440">
        <v>0</v>
      </c>
      <c r="BQ1031" s="440">
        <v>0</v>
      </c>
      <c r="BR1031" s="415">
        <v>1.6666666666666667</v>
      </c>
      <c r="BS1031" s="415">
        <v>1.6666666666666667</v>
      </c>
      <c r="BT1031" s="935"/>
      <c r="BU1031" s="935"/>
      <c r="BV1031" s="935"/>
      <c r="BW1031" s="935"/>
      <c r="BX1031" s="935"/>
      <c r="BY1031" s="935"/>
      <c r="BZ1031" s="935"/>
      <c r="CA1031" s="935"/>
      <c r="CB1031" s="935"/>
      <c r="CC1031" s="935"/>
      <c r="CD1031" s="935"/>
      <c r="CE1031" s="935"/>
      <c r="CF1031" s="935"/>
      <c r="CG1031" s="935"/>
      <c r="CH1031" s="935"/>
      <c r="CI1031" s="935"/>
      <c r="CJ1031" s="935"/>
      <c r="CK1031" s="935"/>
      <c r="CL1031" s="935"/>
      <c r="CM1031" s="935"/>
      <c r="CN1031" s="935"/>
      <c r="CO1031" s="935"/>
      <c r="CP1031" s="935"/>
      <c r="CQ1031" s="935"/>
      <c r="CR1031" s="935"/>
      <c r="CS1031" s="935"/>
      <c r="CT1031" s="935"/>
      <c r="CU1031" s="935"/>
      <c r="CV1031" s="935"/>
    </row>
    <row r="1032" spans="1:100" s="441" customFormat="1">
      <c r="A1032" s="375">
        <f t="shared" si="292"/>
        <v>10</v>
      </c>
      <c r="B1032" s="862">
        <v>44494</v>
      </c>
      <c r="C1032" s="493" t="s">
        <v>2001</v>
      </c>
      <c r="D1032" s="376" t="str">
        <f>IFERROR(VLOOKUP(E:E,'Item Data Support Sheet'!A:O,7,0),"")</f>
        <v>NIPPLE MOLDED</v>
      </c>
      <c r="E1032" s="447" t="s">
        <v>72</v>
      </c>
      <c r="F1032" s="500" t="s">
        <v>1678</v>
      </c>
      <c r="G1032" s="497" t="s">
        <v>1691</v>
      </c>
      <c r="H1032" s="602" t="str">
        <f>IFERROR(VLOOKUP(E:E,'Item Data Support Sheet'!A:O,2,0),"")</f>
        <v>NIPPLE S TYPE S SIZE INJECTION</v>
      </c>
      <c r="I1032" s="501" t="s">
        <v>3793</v>
      </c>
      <c r="J1032" s="501" t="s">
        <v>2811</v>
      </c>
      <c r="K1032" s="499">
        <v>8</v>
      </c>
      <c r="L1032" s="499">
        <v>4815</v>
      </c>
      <c r="M1032" s="366">
        <v>601.875</v>
      </c>
      <c r="N1032" s="367">
        <f t="shared" si="291"/>
        <v>5190</v>
      </c>
      <c r="O1032" s="61">
        <v>5000</v>
      </c>
      <c r="P1032" s="368">
        <v>0</v>
      </c>
      <c r="Q1032" s="368">
        <v>90</v>
      </c>
      <c r="R1032" s="494">
        <v>0</v>
      </c>
      <c r="S1032" s="493">
        <v>0</v>
      </c>
      <c r="T1032" s="494">
        <v>100</v>
      </c>
      <c r="U1032" s="493">
        <v>0</v>
      </c>
      <c r="V1032" s="502">
        <v>1</v>
      </c>
      <c r="W1032" s="453">
        <f t="shared" si="293"/>
        <v>5000</v>
      </c>
      <c r="X1032" s="748">
        <f t="shared" si="294"/>
        <v>1.0384215991692627</v>
      </c>
      <c r="Y1032" s="451" t="str">
        <f>IFERROR(VLOOKUP(E:E,'Item Data Support Sheet'!A:J,6,0),0)</f>
        <v>Silicon</v>
      </c>
      <c r="Z1032" s="428">
        <f>IFERROR(VLOOKUP(E:E,'Item Data Support Sheet'!A:O,4,0),0)</f>
        <v>6.8</v>
      </c>
      <c r="AA1032" s="428">
        <f t="shared" si="295"/>
        <v>35.291999999999994</v>
      </c>
      <c r="AB1032" s="429">
        <f t="shared" si="296"/>
        <v>0.96339113680154154</v>
      </c>
      <c r="AC1032" s="424">
        <f t="shared" si="297"/>
        <v>1.9607843137254902E-2</v>
      </c>
      <c r="AD1032" s="371">
        <f t="shared" si="298"/>
        <v>1.7045454545454544E-2</v>
      </c>
      <c r="AE1032" s="748">
        <f t="shared" si="299"/>
        <v>0.98073217726396922</v>
      </c>
      <c r="AF1032" s="417">
        <f t="shared" si="300"/>
        <v>0</v>
      </c>
      <c r="AG1032" s="416">
        <f t="shared" si="301"/>
        <v>8</v>
      </c>
      <c r="AH1032" s="372">
        <f t="shared" si="302"/>
        <v>1</v>
      </c>
      <c r="AI1032" s="373">
        <f t="shared" si="303"/>
        <v>625</v>
      </c>
      <c r="AJ1032" s="418">
        <f>VLOOKUP(D1032,'Standard Cycle time'!C:D,2,0)</f>
        <v>5.25</v>
      </c>
      <c r="AK1032" s="418">
        <f t="shared" si="304"/>
        <v>5.76</v>
      </c>
      <c r="AL1032" s="374">
        <f t="shared" si="305"/>
        <v>0.91145833333333337</v>
      </c>
      <c r="AM1032" s="372">
        <f t="shared" si="306"/>
        <v>0.89389651573538864</v>
      </c>
      <c r="AN1032" s="799">
        <v>0.8969907407407407</v>
      </c>
      <c r="AO1032" s="448"/>
      <c r="AP1032" s="440">
        <v>0</v>
      </c>
      <c r="AQ1032" s="440">
        <v>0</v>
      </c>
      <c r="AR1032" s="440">
        <v>0</v>
      </c>
      <c r="AS1032" s="440">
        <v>0</v>
      </c>
      <c r="AT1032" s="440">
        <v>0</v>
      </c>
      <c r="AU1032" s="440">
        <v>0</v>
      </c>
      <c r="AV1032" s="440">
        <v>0</v>
      </c>
      <c r="AW1032" s="440">
        <v>0</v>
      </c>
      <c r="AX1032" s="440">
        <v>0</v>
      </c>
      <c r="AY1032" s="440">
        <v>0</v>
      </c>
      <c r="AZ1032" s="440">
        <v>0</v>
      </c>
      <c r="BA1032" s="440">
        <v>0</v>
      </c>
      <c r="BB1032" s="440">
        <v>0</v>
      </c>
      <c r="BC1032" s="440">
        <v>0</v>
      </c>
      <c r="BD1032" s="440">
        <v>0</v>
      </c>
      <c r="BE1032" s="440">
        <v>0</v>
      </c>
      <c r="BF1032" s="440">
        <v>0</v>
      </c>
      <c r="BG1032" s="440">
        <v>0</v>
      </c>
      <c r="BH1032" s="440">
        <v>0</v>
      </c>
      <c r="BI1032" s="440">
        <v>0</v>
      </c>
      <c r="BJ1032" s="440">
        <v>0</v>
      </c>
      <c r="BK1032" s="440">
        <v>0</v>
      </c>
      <c r="BL1032" s="440">
        <v>0</v>
      </c>
      <c r="BM1032" s="440">
        <v>0</v>
      </c>
      <c r="BN1032" s="440">
        <v>0</v>
      </c>
      <c r="BO1032" s="440">
        <v>0</v>
      </c>
      <c r="BP1032" s="440">
        <v>0</v>
      </c>
      <c r="BQ1032" s="440">
        <v>0</v>
      </c>
      <c r="BR1032" s="415">
        <v>0</v>
      </c>
      <c r="BS1032" s="415">
        <v>0</v>
      </c>
      <c r="BT1032" s="935"/>
      <c r="BU1032" s="935"/>
      <c r="BV1032" s="935"/>
      <c r="BW1032" s="935"/>
      <c r="BX1032" s="935"/>
      <c r="BY1032" s="935"/>
      <c r="BZ1032" s="935"/>
      <c r="CA1032" s="935"/>
      <c r="CB1032" s="935"/>
      <c r="CC1032" s="935"/>
      <c r="CD1032" s="935"/>
      <c r="CE1032" s="935"/>
      <c r="CF1032" s="935"/>
      <c r="CG1032" s="935"/>
      <c r="CH1032" s="935"/>
      <c r="CI1032" s="935"/>
      <c r="CJ1032" s="935"/>
      <c r="CK1032" s="935"/>
      <c r="CL1032" s="935"/>
      <c r="CM1032" s="935"/>
      <c r="CN1032" s="935"/>
      <c r="CO1032" s="935"/>
      <c r="CP1032" s="935"/>
      <c r="CQ1032" s="935"/>
      <c r="CR1032" s="935"/>
      <c r="CS1032" s="935"/>
      <c r="CT1032" s="935"/>
      <c r="CU1032" s="935"/>
      <c r="CV1032" s="935"/>
    </row>
    <row r="1033" spans="1:100" s="441" customFormat="1">
      <c r="A1033" s="375">
        <f t="shared" si="292"/>
        <v>10</v>
      </c>
      <c r="B1033" s="862">
        <v>44494</v>
      </c>
      <c r="C1033" s="493" t="s">
        <v>2001</v>
      </c>
      <c r="D1033" s="376" t="str">
        <f>IFERROR(VLOOKUP(E:E,'Item Data Support Sheet'!A:O,7,0),"")</f>
        <v>HOOD MOLDED</v>
      </c>
      <c r="E1033" s="447" t="s">
        <v>1987</v>
      </c>
      <c r="F1033" s="500"/>
      <c r="G1033" s="497" t="s">
        <v>2729</v>
      </c>
      <c r="H1033" s="602" t="str">
        <f>IFERROR(VLOOKUP(E:E,'Item Data Support Sheet'!A:O,2,0),"")</f>
        <v>HOOD S TYPE MOLDED</v>
      </c>
      <c r="I1033" s="501" t="s">
        <v>3794</v>
      </c>
      <c r="J1033" s="501" t="s">
        <v>2811</v>
      </c>
      <c r="K1033" s="499">
        <v>8</v>
      </c>
      <c r="L1033" s="499">
        <v>4137</v>
      </c>
      <c r="M1033" s="366">
        <v>517.125</v>
      </c>
      <c r="N1033" s="367">
        <f t="shared" si="291"/>
        <v>4540</v>
      </c>
      <c r="O1033" s="61">
        <v>4500</v>
      </c>
      <c r="P1033" s="368">
        <v>0</v>
      </c>
      <c r="Q1033" s="368">
        <v>24</v>
      </c>
      <c r="R1033" s="494">
        <v>0</v>
      </c>
      <c r="S1033" s="493">
        <v>0</v>
      </c>
      <c r="T1033" s="494">
        <v>16</v>
      </c>
      <c r="U1033" s="493">
        <v>0</v>
      </c>
      <c r="V1033" s="502">
        <v>1</v>
      </c>
      <c r="W1033" s="453">
        <f t="shared" si="293"/>
        <v>4500</v>
      </c>
      <c r="X1033" s="748">
        <f t="shared" si="294"/>
        <v>1.0877447425670776</v>
      </c>
      <c r="Y1033" s="451" t="str">
        <f>IFERROR(VLOOKUP(E:E,'Item Data Support Sheet'!A:J,6,0),0)</f>
        <v>HMC</v>
      </c>
      <c r="Z1033" s="428">
        <f>IFERROR(VLOOKUP(E:E,'Item Data Support Sheet'!A:O,4,0),0)</f>
        <v>8.6</v>
      </c>
      <c r="AA1033" s="428">
        <f t="shared" si="295"/>
        <v>39.043999999999997</v>
      </c>
      <c r="AB1033" s="429">
        <f t="shared" si="296"/>
        <v>0.99118942731277548</v>
      </c>
      <c r="AC1033" s="424">
        <f t="shared" si="297"/>
        <v>3.5429583702391498E-3</v>
      </c>
      <c r="AD1033" s="371">
        <f t="shared" si="298"/>
        <v>5.2585451358457495E-3</v>
      </c>
      <c r="AE1033" s="748">
        <f t="shared" si="299"/>
        <v>0.99647577092511008</v>
      </c>
      <c r="AF1033" s="417">
        <f t="shared" si="300"/>
        <v>0.66666666666666663</v>
      </c>
      <c r="AG1033" s="416">
        <f t="shared" si="301"/>
        <v>7.333333333333333</v>
      </c>
      <c r="AH1033" s="372">
        <f t="shared" si="302"/>
        <v>0.91666666666666663</v>
      </c>
      <c r="AI1033" s="373">
        <f t="shared" si="303"/>
        <v>562.5</v>
      </c>
      <c r="AJ1033" s="418">
        <f>VLOOKUP(D1033,'Standard Cycle time'!C:D,2,0)</f>
        <v>6</v>
      </c>
      <c r="AK1033" s="418">
        <f t="shared" si="304"/>
        <v>5.8666666666666663</v>
      </c>
      <c r="AL1033" s="374">
        <f t="shared" si="305"/>
        <v>1.0227272727272727</v>
      </c>
      <c r="AM1033" s="372">
        <f t="shared" si="306"/>
        <v>0.93419603524229067</v>
      </c>
      <c r="AN1033" s="799">
        <v>0.93460982658959524</v>
      </c>
      <c r="AO1033" s="448"/>
      <c r="AP1033" s="440">
        <v>0</v>
      </c>
      <c r="AQ1033" s="440">
        <v>0</v>
      </c>
      <c r="AR1033" s="440">
        <v>0</v>
      </c>
      <c r="AS1033" s="440">
        <v>0</v>
      </c>
      <c r="AT1033" s="440">
        <v>0</v>
      </c>
      <c r="AU1033" s="440">
        <v>0</v>
      </c>
      <c r="AV1033" s="440">
        <v>20</v>
      </c>
      <c r="AW1033" s="440">
        <v>0</v>
      </c>
      <c r="AX1033" s="440">
        <v>0</v>
      </c>
      <c r="AY1033" s="440">
        <v>0</v>
      </c>
      <c r="AZ1033" s="440">
        <v>20</v>
      </c>
      <c r="BA1033" s="440">
        <v>0</v>
      </c>
      <c r="BB1033" s="440">
        <v>0</v>
      </c>
      <c r="BC1033" s="440">
        <v>0</v>
      </c>
      <c r="BD1033" s="440">
        <v>0</v>
      </c>
      <c r="BE1033" s="440">
        <v>0</v>
      </c>
      <c r="BF1033" s="440">
        <v>0</v>
      </c>
      <c r="BG1033" s="440">
        <v>0</v>
      </c>
      <c r="BH1033" s="440">
        <v>0</v>
      </c>
      <c r="BI1033" s="440">
        <v>0</v>
      </c>
      <c r="BJ1033" s="440">
        <v>0</v>
      </c>
      <c r="BK1033" s="440">
        <v>0</v>
      </c>
      <c r="BL1033" s="440">
        <v>0</v>
      </c>
      <c r="BM1033" s="440">
        <v>0</v>
      </c>
      <c r="BN1033" s="440">
        <v>0</v>
      </c>
      <c r="BO1033" s="440">
        <v>0</v>
      </c>
      <c r="BP1033" s="440">
        <v>0</v>
      </c>
      <c r="BQ1033" s="440">
        <v>0</v>
      </c>
      <c r="BR1033" s="415">
        <v>0.66666666666666663</v>
      </c>
      <c r="BS1033" s="415">
        <v>0.66666666666666663</v>
      </c>
      <c r="BT1033" s="935"/>
      <c r="BU1033" s="935"/>
      <c r="BV1033" s="935"/>
      <c r="BW1033" s="935"/>
      <c r="BX1033" s="935"/>
      <c r="BY1033" s="935"/>
      <c r="BZ1033" s="935"/>
      <c r="CA1033" s="935"/>
      <c r="CB1033" s="935"/>
      <c r="CC1033" s="935"/>
      <c r="CD1033" s="935"/>
      <c r="CE1033" s="935"/>
      <c r="CF1033" s="935"/>
      <c r="CG1033" s="935"/>
      <c r="CH1033" s="935"/>
      <c r="CI1033" s="935"/>
      <c r="CJ1033" s="935"/>
      <c r="CK1033" s="935"/>
      <c r="CL1033" s="935"/>
      <c r="CM1033" s="935"/>
      <c r="CN1033" s="935"/>
      <c r="CO1033" s="935"/>
      <c r="CP1033" s="935"/>
      <c r="CQ1033" s="935"/>
      <c r="CR1033" s="935"/>
      <c r="CS1033" s="935"/>
      <c r="CT1033" s="935"/>
      <c r="CU1033" s="935"/>
      <c r="CV1033" s="935"/>
    </row>
    <row r="1034" spans="1:100" s="441" customFormat="1">
      <c r="A1034" s="375">
        <f t="shared" si="292"/>
        <v>10</v>
      </c>
      <c r="B1034" s="862">
        <v>44494</v>
      </c>
      <c r="C1034" s="493" t="s">
        <v>2001</v>
      </c>
      <c r="D1034" s="376" t="str">
        <f>IFERROR(VLOOKUP(E:E,'Item Data Support Sheet'!A:O,7,0),"")</f>
        <v>BOTTLE MOLDED</v>
      </c>
      <c r="E1034" s="447" t="s">
        <v>14</v>
      </c>
      <c r="F1034" s="500" t="s">
        <v>1681</v>
      </c>
      <c r="G1034" s="497" t="s">
        <v>1888</v>
      </c>
      <c r="H1034" s="602" t="str">
        <f>IFERROR(VLOOKUP(E:E,'Item Data Support Sheet'!A:O,2,0),"")</f>
        <v>KPP 240 ML BOTTLE MOLDED</v>
      </c>
      <c r="I1034" s="501" t="s">
        <v>3795</v>
      </c>
      <c r="J1034" s="501" t="s">
        <v>2811</v>
      </c>
      <c r="K1034" s="499">
        <v>8</v>
      </c>
      <c r="L1034" s="499">
        <v>2574</v>
      </c>
      <c r="M1034" s="366">
        <v>321.75</v>
      </c>
      <c r="N1034" s="367">
        <f t="shared" si="291"/>
        <v>2826</v>
      </c>
      <c r="O1034" s="61">
        <v>2700</v>
      </c>
      <c r="P1034" s="368">
        <v>0</v>
      </c>
      <c r="Q1034" s="368">
        <v>60</v>
      </c>
      <c r="R1034" s="494">
        <v>0</v>
      </c>
      <c r="S1034" s="493">
        <v>0</v>
      </c>
      <c r="T1034" s="494">
        <v>66</v>
      </c>
      <c r="U1034" s="493">
        <v>0</v>
      </c>
      <c r="V1034" s="502">
        <v>1</v>
      </c>
      <c r="W1034" s="453">
        <f t="shared" si="293"/>
        <v>2700</v>
      </c>
      <c r="X1034" s="748">
        <f t="shared" si="294"/>
        <v>1.048951048951049</v>
      </c>
      <c r="Y1034" s="451" t="str">
        <f>IFERROR(VLOOKUP(E:E,'Item Data Support Sheet'!A:J,6,0),0)</f>
        <v>HMC</v>
      </c>
      <c r="Z1034" s="428">
        <f>IFERROR(VLOOKUP(E:E,'Item Data Support Sheet'!A:O,4,0),0)</f>
        <v>32.1</v>
      </c>
      <c r="AA1034" s="428">
        <f t="shared" si="295"/>
        <v>90.714600000000004</v>
      </c>
      <c r="AB1034" s="429">
        <f t="shared" si="296"/>
        <v>0.95541401273885362</v>
      </c>
      <c r="AC1034" s="424">
        <f t="shared" si="297"/>
        <v>2.3861171366594359E-2</v>
      </c>
      <c r="AD1034" s="371">
        <f t="shared" si="298"/>
        <v>2.0790020790020791E-2</v>
      </c>
      <c r="AE1034" s="748">
        <f t="shared" si="299"/>
        <v>0.97664543524416136</v>
      </c>
      <c r="AF1034" s="417">
        <f t="shared" si="300"/>
        <v>0</v>
      </c>
      <c r="AG1034" s="416">
        <f t="shared" si="301"/>
        <v>8</v>
      </c>
      <c r="AH1034" s="372">
        <f t="shared" si="302"/>
        <v>1</v>
      </c>
      <c r="AI1034" s="373">
        <f t="shared" si="303"/>
        <v>337.5</v>
      </c>
      <c r="AJ1034" s="418">
        <f>VLOOKUP(D1034,'Standard Cycle time'!C:D,2,0)</f>
        <v>9</v>
      </c>
      <c r="AK1034" s="418">
        <f t="shared" si="304"/>
        <v>10.666666666666666</v>
      </c>
      <c r="AL1034" s="374">
        <f t="shared" si="305"/>
        <v>0.84375</v>
      </c>
      <c r="AM1034" s="372">
        <f t="shared" si="306"/>
        <v>0.82404458598726116</v>
      </c>
      <c r="AN1034" s="799">
        <v>0.8314840308370044</v>
      </c>
      <c r="AO1034" s="448"/>
      <c r="AP1034" s="440">
        <v>0</v>
      </c>
      <c r="AQ1034" s="440">
        <v>0</v>
      </c>
      <c r="AR1034" s="440">
        <v>0</v>
      </c>
      <c r="AS1034" s="440">
        <v>0</v>
      </c>
      <c r="AT1034" s="440">
        <v>0</v>
      </c>
      <c r="AU1034" s="440">
        <v>0</v>
      </c>
      <c r="AV1034" s="440">
        <v>0</v>
      </c>
      <c r="AW1034" s="440">
        <v>0</v>
      </c>
      <c r="AX1034" s="440">
        <v>0</v>
      </c>
      <c r="AY1034" s="440">
        <v>0</v>
      </c>
      <c r="AZ1034" s="440">
        <v>0</v>
      </c>
      <c r="BA1034" s="440">
        <v>0</v>
      </c>
      <c r="BB1034" s="440">
        <v>0</v>
      </c>
      <c r="BC1034" s="440">
        <v>0</v>
      </c>
      <c r="BD1034" s="440">
        <v>0</v>
      </c>
      <c r="BE1034" s="440">
        <v>0</v>
      </c>
      <c r="BF1034" s="440">
        <v>0</v>
      </c>
      <c r="BG1034" s="440">
        <v>0</v>
      </c>
      <c r="BH1034" s="440">
        <v>0</v>
      </c>
      <c r="BI1034" s="440">
        <v>0</v>
      </c>
      <c r="BJ1034" s="440">
        <v>0</v>
      </c>
      <c r="BK1034" s="440">
        <v>0</v>
      </c>
      <c r="BL1034" s="440">
        <v>0</v>
      </c>
      <c r="BM1034" s="440">
        <v>0</v>
      </c>
      <c r="BN1034" s="440">
        <v>0</v>
      </c>
      <c r="BO1034" s="440">
        <v>0</v>
      </c>
      <c r="BP1034" s="440">
        <v>0</v>
      </c>
      <c r="BQ1034" s="440">
        <v>0</v>
      </c>
      <c r="BR1034" s="415">
        <v>0</v>
      </c>
      <c r="BS1034" s="415">
        <v>0</v>
      </c>
      <c r="BT1034" s="935"/>
      <c r="BU1034" s="935"/>
      <c r="BV1034" s="935"/>
      <c r="BW1034" s="935"/>
      <c r="BX1034" s="935"/>
      <c r="BY1034" s="935"/>
      <c r="BZ1034" s="935"/>
      <c r="CA1034" s="935"/>
      <c r="CB1034" s="935"/>
      <c r="CC1034" s="935"/>
      <c r="CD1034" s="935"/>
      <c r="CE1034" s="935"/>
      <c r="CF1034" s="935"/>
      <c r="CG1034" s="935"/>
      <c r="CH1034" s="935"/>
      <c r="CI1034" s="935"/>
      <c r="CJ1034" s="935"/>
      <c r="CK1034" s="935"/>
      <c r="CL1034" s="935"/>
      <c r="CM1034" s="935"/>
      <c r="CN1034" s="935"/>
      <c r="CO1034" s="935"/>
      <c r="CP1034" s="935"/>
      <c r="CQ1034" s="935"/>
      <c r="CR1034" s="935"/>
      <c r="CS1034" s="935"/>
      <c r="CT1034" s="935"/>
      <c r="CU1034" s="935"/>
      <c r="CV1034" s="935"/>
    </row>
    <row r="1035" spans="1:100" s="441" customFormat="1">
      <c r="A1035" s="375">
        <f t="shared" si="292"/>
        <v>10</v>
      </c>
      <c r="B1035" s="862">
        <v>44494</v>
      </c>
      <c r="C1035" s="493" t="s">
        <v>2001</v>
      </c>
      <c r="D1035" s="376" t="str">
        <f>IFERROR(VLOOKUP(E:E,'Item Data Support Sheet'!A:O,7,0),"")</f>
        <v>BOTTLE PRINTED</v>
      </c>
      <c r="E1035" s="447" t="s">
        <v>64</v>
      </c>
      <c r="F1035" s="500"/>
      <c r="G1035" s="497"/>
      <c r="H1035" s="602" t="str">
        <f>IFERROR(VLOOKUP(E:E,'Item Data Support Sheet'!A:O,2,0),"")</f>
        <v>KPP 240 ML BOTTLE PRINTED</v>
      </c>
      <c r="I1035" s="501" t="s">
        <v>3796</v>
      </c>
      <c r="J1035" s="501" t="s">
        <v>2811</v>
      </c>
      <c r="K1035" s="499">
        <v>8</v>
      </c>
      <c r="L1035" s="499">
        <v>5120</v>
      </c>
      <c r="M1035" s="366">
        <v>640</v>
      </c>
      <c r="N1035" s="367">
        <f t="shared" si="291"/>
        <v>4743</v>
      </c>
      <c r="O1035" s="61">
        <v>4709</v>
      </c>
      <c r="P1035" s="368">
        <v>0</v>
      </c>
      <c r="Q1035" s="368">
        <v>0</v>
      </c>
      <c r="R1035" s="494">
        <v>38</v>
      </c>
      <c r="S1035" s="493">
        <v>0</v>
      </c>
      <c r="T1035" s="494">
        <v>34</v>
      </c>
      <c r="U1035" s="493">
        <v>0</v>
      </c>
      <c r="V1035" s="502">
        <v>5</v>
      </c>
      <c r="W1035" s="453">
        <f t="shared" si="293"/>
        <v>941.8</v>
      </c>
      <c r="X1035" s="748">
        <f t="shared" si="294"/>
        <v>0.91972656249999996</v>
      </c>
      <c r="Y1035" s="451" t="str">
        <f>IFERROR(VLOOKUP(E:E,'Item Data Support Sheet'!A:J,6,0),0)</f>
        <v>FO003</v>
      </c>
      <c r="Z1035" s="428">
        <f>IFERROR(VLOOKUP(E:E,'Item Data Support Sheet'!A:O,4,0),0)</f>
        <v>0</v>
      </c>
      <c r="AA1035" s="428">
        <f t="shared" si="295"/>
        <v>0</v>
      </c>
      <c r="AB1035" s="429" t="str">
        <f t="shared" si="296"/>
        <v xml:space="preserve"> </v>
      </c>
      <c r="AC1035" s="424">
        <f t="shared" si="297"/>
        <v>7.1684587813620072E-3</v>
      </c>
      <c r="AD1035" s="371">
        <f t="shared" si="298"/>
        <v>0</v>
      </c>
      <c r="AE1035" s="748">
        <f t="shared" si="299"/>
        <v>0.99283154121863804</v>
      </c>
      <c r="AF1035" s="417">
        <f t="shared" si="300"/>
        <v>0.66666666666666663</v>
      </c>
      <c r="AG1035" s="416">
        <f t="shared" si="301"/>
        <v>7.333333333333333</v>
      </c>
      <c r="AH1035" s="372">
        <f t="shared" si="302"/>
        <v>0.91666666666666663</v>
      </c>
      <c r="AI1035" s="373">
        <f t="shared" si="303"/>
        <v>588.625</v>
      </c>
      <c r="AJ1035" s="418">
        <f>VLOOKUP(D1035,'Standard Cycle time'!C:D,2,0)</f>
        <v>32.4</v>
      </c>
      <c r="AK1035" s="418">
        <f t="shared" si="304"/>
        <v>28.031429178169464</v>
      </c>
      <c r="AL1035" s="374">
        <f t="shared" si="305"/>
        <v>1.1558454545454544</v>
      </c>
      <c r="AM1035" s="372">
        <f t="shared" si="306"/>
        <v>1.0519298387096772</v>
      </c>
      <c r="AN1035" s="799">
        <v>1.0467777070063693</v>
      </c>
      <c r="AO1035" s="448" t="s">
        <v>3797</v>
      </c>
      <c r="AP1035" s="440">
        <v>40</v>
      </c>
      <c r="AQ1035" s="440">
        <v>0</v>
      </c>
      <c r="AR1035" s="440">
        <v>0</v>
      </c>
      <c r="AS1035" s="440">
        <v>0</v>
      </c>
      <c r="AT1035" s="440">
        <v>0</v>
      </c>
      <c r="AU1035" s="440">
        <v>0</v>
      </c>
      <c r="AV1035" s="440">
        <v>0</v>
      </c>
      <c r="AW1035" s="440">
        <v>0</v>
      </c>
      <c r="AX1035" s="440">
        <v>0</v>
      </c>
      <c r="AY1035" s="440">
        <v>0</v>
      </c>
      <c r="AZ1035" s="440">
        <v>0</v>
      </c>
      <c r="BA1035" s="440">
        <v>0</v>
      </c>
      <c r="BB1035" s="440">
        <v>0</v>
      </c>
      <c r="BC1035" s="440">
        <v>0</v>
      </c>
      <c r="BD1035" s="440">
        <v>0</v>
      </c>
      <c r="BE1035" s="440">
        <v>0</v>
      </c>
      <c r="BF1035" s="440">
        <v>0</v>
      </c>
      <c r="BG1035" s="440">
        <v>0</v>
      </c>
      <c r="BH1035" s="440">
        <v>0</v>
      </c>
      <c r="BI1035" s="440">
        <v>0</v>
      </c>
      <c r="BJ1035" s="440">
        <v>0</v>
      </c>
      <c r="BK1035" s="440">
        <v>0</v>
      </c>
      <c r="BL1035" s="440">
        <v>0</v>
      </c>
      <c r="BM1035" s="440">
        <v>0</v>
      </c>
      <c r="BN1035" s="440">
        <v>0</v>
      </c>
      <c r="BO1035" s="440">
        <v>0</v>
      </c>
      <c r="BP1035" s="440">
        <v>0</v>
      </c>
      <c r="BQ1035" s="440">
        <v>0</v>
      </c>
      <c r="BR1035" s="415">
        <v>0.66666666666666663</v>
      </c>
      <c r="BS1035" s="415">
        <v>0.66666666666666663</v>
      </c>
      <c r="BT1035" s="935"/>
      <c r="BU1035" s="935"/>
      <c r="BV1035" s="935"/>
      <c r="BW1035" s="935"/>
      <c r="BX1035" s="935"/>
      <c r="BY1035" s="935"/>
      <c r="BZ1035" s="935"/>
      <c r="CA1035" s="935"/>
      <c r="CB1035" s="935"/>
      <c r="CC1035" s="935"/>
      <c r="CD1035" s="935"/>
      <c r="CE1035" s="935"/>
      <c r="CF1035" s="935"/>
      <c r="CG1035" s="935"/>
      <c r="CH1035" s="935"/>
      <c r="CI1035" s="935"/>
      <c r="CJ1035" s="935"/>
      <c r="CK1035" s="935"/>
      <c r="CL1035" s="935"/>
      <c r="CM1035" s="935"/>
      <c r="CN1035" s="935"/>
      <c r="CO1035" s="935"/>
      <c r="CP1035" s="935"/>
      <c r="CQ1035" s="935"/>
      <c r="CR1035" s="935"/>
      <c r="CS1035" s="935"/>
      <c r="CT1035" s="935"/>
      <c r="CU1035" s="935"/>
      <c r="CV1035" s="935"/>
    </row>
    <row r="1036" spans="1:100" s="441" customFormat="1">
      <c r="A1036" s="375">
        <f t="shared" si="292"/>
        <v>10</v>
      </c>
      <c r="B1036" s="862">
        <v>44494</v>
      </c>
      <c r="C1036" s="493" t="s">
        <v>2053</v>
      </c>
      <c r="D1036" s="376" t="str">
        <f>IFERROR(VLOOKUP(E:E,'Item Data Support Sheet'!A:O,7,0),"")</f>
        <v>BOTTLE MOLDED</v>
      </c>
      <c r="E1036" s="447" t="s">
        <v>14</v>
      </c>
      <c r="F1036" s="500" t="s">
        <v>1681</v>
      </c>
      <c r="G1036" s="497" t="s">
        <v>1888</v>
      </c>
      <c r="H1036" s="602" t="str">
        <f>IFERROR(VLOOKUP(E:E,'Item Data Support Sheet'!A:O,2,0),"")</f>
        <v>KPP 240 ML BOTTLE MOLDED</v>
      </c>
      <c r="I1036" s="501" t="s">
        <v>3798</v>
      </c>
      <c r="J1036" s="501" t="s">
        <v>2826</v>
      </c>
      <c r="K1036" s="499">
        <v>8</v>
      </c>
      <c r="L1036" s="499">
        <v>2574</v>
      </c>
      <c r="M1036" s="366">
        <v>321.75</v>
      </c>
      <c r="N1036" s="367">
        <f t="shared" si="291"/>
        <v>3142</v>
      </c>
      <c r="O1036" s="61">
        <v>3024</v>
      </c>
      <c r="P1036" s="368">
        <v>0.3</v>
      </c>
      <c r="Q1036" s="368">
        <v>40</v>
      </c>
      <c r="R1036" s="494">
        <v>0</v>
      </c>
      <c r="S1036" s="493">
        <v>0</v>
      </c>
      <c r="T1036" s="494">
        <v>70</v>
      </c>
      <c r="U1036" s="493">
        <v>8</v>
      </c>
      <c r="V1036" s="502">
        <v>1</v>
      </c>
      <c r="W1036" s="453">
        <f t="shared" si="293"/>
        <v>3024</v>
      </c>
      <c r="X1036" s="748">
        <f t="shared" si="294"/>
        <v>1.1748251748251748</v>
      </c>
      <c r="Y1036" s="451" t="str">
        <f>IFERROR(VLOOKUP(E:E,'Item Data Support Sheet'!A:J,6,0),0)</f>
        <v>HMC</v>
      </c>
      <c r="Z1036" s="428">
        <f>IFERROR(VLOOKUP(E:E,'Item Data Support Sheet'!A:O,4,0),0)</f>
        <v>32.1</v>
      </c>
      <c r="AA1036" s="428">
        <f t="shared" si="295"/>
        <v>101.15820000000001</v>
      </c>
      <c r="AB1036" s="429">
        <f t="shared" si="296"/>
        <v>0.95959002829231832</v>
      </c>
      <c r="AC1036" s="424">
        <f t="shared" si="297"/>
        <v>2.2624434389140271E-2</v>
      </c>
      <c r="AD1036" s="371">
        <f t="shared" si="298"/>
        <v>1.257071024512885E-2</v>
      </c>
      <c r="AE1036" s="748">
        <f t="shared" si="299"/>
        <v>0.97772119669000634</v>
      </c>
      <c r="AF1036" s="417">
        <f t="shared" si="300"/>
        <v>0</v>
      </c>
      <c r="AG1036" s="416">
        <f t="shared" si="301"/>
        <v>8</v>
      </c>
      <c r="AH1036" s="372">
        <f t="shared" si="302"/>
        <v>1</v>
      </c>
      <c r="AI1036" s="373">
        <f t="shared" si="303"/>
        <v>378</v>
      </c>
      <c r="AJ1036" s="418">
        <f>VLOOKUP(D1036,'Standard Cycle time'!C:D,2,0)</f>
        <v>9</v>
      </c>
      <c r="AK1036" s="418">
        <f t="shared" si="304"/>
        <v>9.5238095238095237</v>
      </c>
      <c r="AL1036" s="374">
        <f t="shared" si="305"/>
        <v>0.94500000000000006</v>
      </c>
      <c r="AM1036" s="372">
        <f t="shared" si="306"/>
        <v>0.92394653087205603</v>
      </c>
      <c r="AN1036" s="799">
        <v>0.92159235668789807</v>
      </c>
      <c r="AO1036" s="448"/>
      <c r="AP1036" s="440">
        <v>0</v>
      </c>
      <c r="AQ1036" s="440">
        <v>0</v>
      </c>
      <c r="AR1036" s="440">
        <v>0</v>
      </c>
      <c r="AS1036" s="440">
        <v>0</v>
      </c>
      <c r="AT1036" s="440">
        <v>0</v>
      </c>
      <c r="AU1036" s="440">
        <v>0</v>
      </c>
      <c r="AV1036" s="440">
        <v>0</v>
      </c>
      <c r="AW1036" s="440">
        <v>0</v>
      </c>
      <c r="AX1036" s="440">
        <v>0</v>
      </c>
      <c r="AY1036" s="440">
        <v>0</v>
      </c>
      <c r="AZ1036" s="440">
        <v>0</v>
      </c>
      <c r="BA1036" s="440">
        <v>0</v>
      </c>
      <c r="BB1036" s="440">
        <v>0</v>
      </c>
      <c r="BC1036" s="440">
        <v>0</v>
      </c>
      <c r="BD1036" s="440">
        <v>0</v>
      </c>
      <c r="BE1036" s="440">
        <v>0</v>
      </c>
      <c r="BF1036" s="440">
        <v>0</v>
      </c>
      <c r="BG1036" s="440">
        <v>0</v>
      </c>
      <c r="BH1036" s="440">
        <v>0</v>
      </c>
      <c r="BI1036" s="440">
        <v>0</v>
      </c>
      <c r="BJ1036" s="440">
        <v>0</v>
      </c>
      <c r="BK1036" s="440">
        <v>0</v>
      </c>
      <c r="BL1036" s="440">
        <v>0</v>
      </c>
      <c r="BM1036" s="440">
        <v>0</v>
      </c>
      <c r="BN1036" s="440">
        <v>0</v>
      </c>
      <c r="BO1036" s="440">
        <v>0</v>
      </c>
      <c r="BP1036" s="440">
        <v>0</v>
      </c>
      <c r="BQ1036" s="440">
        <v>0</v>
      </c>
      <c r="BR1036" s="415">
        <v>0</v>
      </c>
      <c r="BS1036" s="415">
        <v>0</v>
      </c>
      <c r="BT1036" s="935"/>
      <c r="BU1036" s="935"/>
      <c r="BV1036" s="935"/>
      <c r="BW1036" s="935"/>
      <c r="BX1036" s="935"/>
      <c r="BY1036" s="935"/>
      <c r="BZ1036" s="935"/>
      <c r="CA1036" s="935"/>
      <c r="CB1036" s="935"/>
      <c r="CC1036" s="935"/>
      <c r="CD1036" s="935"/>
      <c r="CE1036" s="935"/>
      <c r="CF1036" s="935"/>
      <c r="CG1036" s="935"/>
      <c r="CH1036" s="935"/>
      <c r="CI1036" s="935"/>
      <c r="CJ1036" s="935"/>
      <c r="CK1036" s="935"/>
      <c r="CL1036" s="935"/>
      <c r="CM1036" s="935"/>
      <c r="CN1036" s="935"/>
      <c r="CO1036" s="935"/>
      <c r="CP1036" s="935"/>
      <c r="CQ1036" s="935"/>
      <c r="CR1036" s="935"/>
      <c r="CS1036" s="935"/>
      <c r="CT1036" s="935"/>
      <c r="CU1036" s="935"/>
      <c r="CV1036" s="935"/>
    </row>
    <row r="1037" spans="1:100" s="441" customFormat="1">
      <c r="A1037" s="375">
        <f t="shared" si="292"/>
        <v>10</v>
      </c>
      <c r="B1037" s="862">
        <v>44494</v>
      </c>
      <c r="C1037" s="493" t="s">
        <v>2053</v>
      </c>
      <c r="D1037" s="376" t="str">
        <f>IFERROR(VLOOKUP(E:E,'Item Data Support Sheet'!A:O,7,0),"")</f>
        <v>HOOD MOLDED</v>
      </c>
      <c r="E1037" s="447" t="s">
        <v>1987</v>
      </c>
      <c r="F1037" s="500"/>
      <c r="G1037" s="497" t="s">
        <v>2729</v>
      </c>
      <c r="H1037" s="602" t="str">
        <f>IFERROR(VLOOKUP(E:E,'Item Data Support Sheet'!A:O,2,0),"")</f>
        <v>HOOD S TYPE MOLDED</v>
      </c>
      <c r="I1037" s="501" t="s">
        <v>3799</v>
      </c>
      <c r="J1037" s="501" t="s">
        <v>2826</v>
      </c>
      <c r="K1037" s="499">
        <v>8</v>
      </c>
      <c r="L1037" s="499">
        <v>4137</v>
      </c>
      <c r="M1037" s="366">
        <v>517.125</v>
      </c>
      <c r="N1037" s="367">
        <f t="shared" si="291"/>
        <v>5029</v>
      </c>
      <c r="O1037" s="61">
        <v>5000</v>
      </c>
      <c r="P1037" s="368">
        <v>0</v>
      </c>
      <c r="Q1037" s="368">
        <v>16</v>
      </c>
      <c r="R1037" s="494">
        <v>0</v>
      </c>
      <c r="S1037" s="493">
        <v>0</v>
      </c>
      <c r="T1037" s="494">
        <v>5</v>
      </c>
      <c r="U1037" s="493">
        <v>8</v>
      </c>
      <c r="V1037" s="502">
        <v>1</v>
      </c>
      <c r="W1037" s="453">
        <f t="shared" si="293"/>
        <v>5000</v>
      </c>
      <c r="X1037" s="748">
        <f t="shared" si="294"/>
        <v>1.2086052695189751</v>
      </c>
      <c r="Y1037" s="451" t="str">
        <f>IFERROR(VLOOKUP(E:E,'Item Data Support Sheet'!A:J,6,0),0)</f>
        <v>HMC</v>
      </c>
      <c r="Z1037" s="428">
        <f>IFERROR(VLOOKUP(E:E,'Item Data Support Sheet'!A:O,4,0),0)</f>
        <v>8.6</v>
      </c>
      <c r="AA1037" s="428">
        <f t="shared" si="295"/>
        <v>43.249400000000001</v>
      </c>
      <c r="AB1037" s="429">
        <f t="shared" si="296"/>
        <v>0.9942334460131238</v>
      </c>
      <c r="AC1037" s="424">
        <f t="shared" si="297"/>
        <v>9.99000999000999E-4</v>
      </c>
      <c r="AD1037" s="371">
        <f t="shared" si="298"/>
        <v>3.1714568880079285E-3</v>
      </c>
      <c r="AE1037" s="748">
        <f t="shared" si="299"/>
        <v>0.99900576655398687</v>
      </c>
      <c r="AF1037" s="417">
        <f t="shared" si="300"/>
        <v>0</v>
      </c>
      <c r="AG1037" s="416">
        <f t="shared" si="301"/>
        <v>8</v>
      </c>
      <c r="AH1037" s="372">
        <f t="shared" si="302"/>
        <v>1</v>
      </c>
      <c r="AI1037" s="373">
        <f t="shared" si="303"/>
        <v>625</v>
      </c>
      <c r="AJ1037" s="418">
        <f>VLOOKUP(D1037,'Standard Cycle time'!C:D,2,0)</f>
        <v>6</v>
      </c>
      <c r="AK1037" s="418">
        <f t="shared" si="304"/>
        <v>5.76</v>
      </c>
      <c r="AL1037" s="374">
        <f t="shared" si="305"/>
        <v>1.0416666666666667</v>
      </c>
      <c r="AM1037" s="372">
        <f t="shared" si="306"/>
        <v>1.0406310068270697</v>
      </c>
      <c r="AN1037" s="799">
        <v>1.0400090176108636</v>
      </c>
      <c r="AO1037" s="448"/>
      <c r="AP1037" s="440">
        <v>0</v>
      </c>
      <c r="AQ1037" s="440">
        <v>0</v>
      </c>
      <c r="AR1037" s="440">
        <v>0</v>
      </c>
      <c r="AS1037" s="440">
        <v>0</v>
      </c>
      <c r="AT1037" s="440">
        <v>0</v>
      </c>
      <c r="AU1037" s="440">
        <v>0</v>
      </c>
      <c r="AV1037" s="440">
        <v>0</v>
      </c>
      <c r="AW1037" s="440">
        <v>0</v>
      </c>
      <c r="AX1037" s="440">
        <v>0</v>
      </c>
      <c r="AY1037" s="440">
        <v>0</v>
      </c>
      <c r="AZ1037" s="440">
        <v>0</v>
      </c>
      <c r="BA1037" s="440">
        <v>0</v>
      </c>
      <c r="BB1037" s="440">
        <v>0</v>
      </c>
      <c r="BC1037" s="440">
        <v>0</v>
      </c>
      <c r="BD1037" s="440">
        <v>0</v>
      </c>
      <c r="BE1037" s="440">
        <v>0</v>
      </c>
      <c r="BF1037" s="440">
        <v>0</v>
      </c>
      <c r="BG1037" s="440">
        <v>0</v>
      </c>
      <c r="BH1037" s="440">
        <v>0</v>
      </c>
      <c r="BI1037" s="440">
        <v>0</v>
      </c>
      <c r="BJ1037" s="440">
        <v>0</v>
      </c>
      <c r="BK1037" s="440">
        <v>0</v>
      </c>
      <c r="BL1037" s="440">
        <v>0</v>
      </c>
      <c r="BM1037" s="440">
        <v>0</v>
      </c>
      <c r="BN1037" s="440">
        <v>0</v>
      </c>
      <c r="BO1037" s="440">
        <v>0</v>
      </c>
      <c r="BP1037" s="440">
        <v>0</v>
      </c>
      <c r="BQ1037" s="440">
        <v>0</v>
      </c>
      <c r="BR1037" s="415">
        <v>0</v>
      </c>
      <c r="BS1037" s="415">
        <v>0</v>
      </c>
      <c r="BT1037" s="935"/>
      <c r="BU1037" s="935"/>
      <c r="BV1037" s="935"/>
      <c r="BW1037" s="935"/>
      <c r="BX1037" s="935"/>
      <c r="BY1037" s="935"/>
      <c r="BZ1037" s="935"/>
      <c r="CA1037" s="935"/>
      <c r="CB1037" s="935"/>
      <c r="CC1037" s="935"/>
      <c r="CD1037" s="935"/>
      <c r="CE1037" s="935"/>
      <c r="CF1037" s="935"/>
      <c r="CG1037" s="935"/>
      <c r="CH1037" s="935"/>
      <c r="CI1037" s="935"/>
      <c r="CJ1037" s="935"/>
      <c r="CK1037" s="935"/>
      <c r="CL1037" s="935"/>
      <c r="CM1037" s="935"/>
      <c r="CN1037" s="935"/>
      <c r="CO1037" s="935"/>
      <c r="CP1037" s="935"/>
      <c r="CQ1037" s="935"/>
      <c r="CR1037" s="935"/>
      <c r="CS1037" s="935"/>
      <c r="CT1037" s="935"/>
      <c r="CU1037" s="935"/>
      <c r="CV1037" s="935"/>
    </row>
    <row r="1038" spans="1:100" s="441" customFormat="1">
      <c r="A1038" s="375">
        <f t="shared" si="292"/>
        <v>10</v>
      </c>
      <c r="B1038" s="862">
        <v>44494</v>
      </c>
      <c r="C1038" s="493" t="s">
        <v>2053</v>
      </c>
      <c r="D1038" s="376" t="str">
        <f>IFERROR(VLOOKUP(E:E,'Item Data Support Sheet'!A:O,7,0),"")</f>
        <v>NIPPLE MOLDED</v>
      </c>
      <c r="E1038" s="447" t="s">
        <v>72</v>
      </c>
      <c r="F1038" s="500" t="s">
        <v>1678</v>
      </c>
      <c r="G1038" s="497" t="s">
        <v>1691</v>
      </c>
      <c r="H1038" s="602" t="str">
        <f>IFERROR(VLOOKUP(E:E,'Item Data Support Sheet'!A:O,2,0),"")</f>
        <v>NIPPLE S TYPE S SIZE INJECTION</v>
      </c>
      <c r="I1038" s="501" t="s">
        <v>3800</v>
      </c>
      <c r="J1038" s="501" t="s">
        <v>2826</v>
      </c>
      <c r="K1038" s="499">
        <v>8</v>
      </c>
      <c r="L1038" s="499">
        <v>4815</v>
      </c>
      <c r="M1038" s="366">
        <v>601.875</v>
      </c>
      <c r="N1038" s="367">
        <f t="shared" si="291"/>
        <v>5127</v>
      </c>
      <c r="O1038" s="61">
        <v>5000</v>
      </c>
      <c r="P1038" s="368">
        <v>0</v>
      </c>
      <c r="Q1038" s="368">
        <v>34</v>
      </c>
      <c r="R1038" s="494">
        <v>0</v>
      </c>
      <c r="S1038" s="493">
        <v>0</v>
      </c>
      <c r="T1038" s="494">
        <v>77</v>
      </c>
      <c r="U1038" s="493">
        <v>16</v>
      </c>
      <c r="V1038" s="502">
        <v>1</v>
      </c>
      <c r="W1038" s="453">
        <f t="shared" si="293"/>
        <v>5000</v>
      </c>
      <c r="X1038" s="748">
        <f t="shared" si="294"/>
        <v>1.0384215991692627</v>
      </c>
      <c r="Y1038" s="451" t="str">
        <f>IFERROR(VLOOKUP(E:E,'Item Data Support Sheet'!A:J,6,0),0)</f>
        <v>Silicon</v>
      </c>
      <c r="Z1038" s="428">
        <f>IFERROR(VLOOKUP(E:E,'Item Data Support Sheet'!A:O,4,0),0)</f>
        <v>6.8</v>
      </c>
      <c r="AA1038" s="428">
        <f t="shared" si="295"/>
        <v>34.863599999999998</v>
      </c>
      <c r="AB1038" s="429">
        <f t="shared" si="296"/>
        <v>0.97522917885703142</v>
      </c>
      <c r="AC1038" s="424">
        <f t="shared" si="297"/>
        <v>1.5166436872168603E-2</v>
      </c>
      <c r="AD1038" s="371">
        <f t="shared" si="298"/>
        <v>6.587870567719434E-3</v>
      </c>
      <c r="AE1038" s="748">
        <f t="shared" si="299"/>
        <v>0.98498147064560171</v>
      </c>
      <c r="AF1038" s="417">
        <f t="shared" si="300"/>
        <v>0</v>
      </c>
      <c r="AG1038" s="416">
        <f t="shared" si="301"/>
        <v>8</v>
      </c>
      <c r="AH1038" s="372">
        <f t="shared" si="302"/>
        <v>1</v>
      </c>
      <c r="AI1038" s="373">
        <f t="shared" si="303"/>
        <v>625</v>
      </c>
      <c r="AJ1038" s="418">
        <f>VLOOKUP(D1038,'Standard Cycle time'!C:D,2,0)</f>
        <v>5.25</v>
      </c>
      <c r="AK1038" s="418">
        <f t="shared" si="304"/>
        <v>5.76</v>
      </c>
      <c r="AL1038" s="374">
        <f t="shared" si="305"/>
        <v>0.91145833333333337</v>
      </c>
      <c r="AM1038" s="372">
        <f t="shared" si="306"/>
        <v>0.89776956959885579</v>
      </c>
      <c r="AN1038" s="799">
        <v>0.89750281699476375</v>
      </c>
      <c r="AO1038" s="448"/>
      <c r="AP1038" s="440">
        <v>0</v>
      </c>
      <c r="AQ1038" s="440">
        <v>0</v>
      </c>
      <c r="AR1038" s="440">
        <v>0</v>
      </c>
      <c r="AS1038" s="440">
        <v>0</v>
      </c>
      <c r="AT1038" s="440">
        <v>0</v>
      </c>
      <c r="AU1038" s="440">
        <v>0</v>
      </c>
      <c r="AV1038" s="440">
        <v>0</v>
      </c>
      <c r="AW1038" s="440">
        <v>0</v>
      </c>
      <c r="AX1038" s="440">
        <v>0</v>
      </c>
      <c r="AY1038" s="440">
        <v>0</v>
      </c>
      <c r="AZ1038" s="440">
        <v>0</v>
      </c>
      <c r="BA1038" s="440">
        <v>0</v>
      </c>
      <c r="BB1038" s="440">
        <v>0</v>
      </c>
      <c r="BC1038" s="440">
        <v>0</v>
      </c>
      <c r="BD1038" s="440">
        <v>0</v>
      </c>
      <c r="BE1038" s="440">
        <v>0</v>
      </c>
      <c r="BF1038" s="440">
        <v>0</v>
      </c>
      <c r="BG1038" s="440">
        <v>0</v>
      </c>
      <c r="BH1038" s="440">
        <v>0</v>
      </c>
      <c r="BI1038" s="440">
        <v>0</v>
      </c>
      <c r="BJ1038" s="440">
        <v>0</v>
      </c>
      <c r="BK1038" s="440">
        <v>0</v>
      </c>
      <c r="BL1038" s="440">
        <v>0</v>
      </c>
      <c r="BM1038" s="440">
        <v>0</v>
      </c>
      <c r="BN1038" s="440">
        <v>0</v>
      </c>
      <c r="BO1038" s="440">
        <v>0</v>
      </c>
      <c r="BP1038" s="440">
        <v>0</v>
      </c>
      <c r="BQ1038" s="440">
        <v>0</v>
      </c>
      <c r="BR1038" s="415">
        <v>0</v>
      </c>
      <c r="BS1038" s="415">
        <v>0</v>
      </c>
      <c r="BT1038" s="935"/>
      <c r="BU1038" s="935"/>
      <c r="BV1038" s="935"/>
      <c r="BW1038" s="935"/>
      <c r="BX1038" s="935"/>
      <c r="BY1038" s="935"/>
      <c r="BZ1038" s="935"/>
      <c r="CA1038" s="935"/>
      <c r="CB1038" s="935"/>
      <c r="CC1038" s="935"/>
      <c r="CD1038" s="935"/>
      <c r="CE1038" s="935"/>
      <c r="CF1038" s="935"/>
      <c r="CG1038" s="935"/>
      <c r="CH1038" s="935"/>
      <c r="CI1038" s="935"/>
      <c r="CJ1038" s="935"/>
      <c r="CK1038" s="935"/>
      <c r="CL1038" s="935"/>
      <c r="CM1038" s="935"/>
      <c r="CN1038" s="935"/>
      <c r="CO1038" s="935"/>
      <c r="CP1038" s="935"/>
      <c r="CQ1038" s="935"/>
      <c r="CR1038" s="935"/>
      <c r="CS1038" s="935"/>
      <c r="CT1038" s="935"/>
      <c r="CU1038" s="935"/>
      <c r="CV1038" s="935"/>
    </row>
    <row r="1039" spans="1:100" s="441" customFormat="1">
      <c r="A1039" s="375">
        <f t="shared" si="292"/>
        <v>10</v>
      </c>
      <c r="B1039" s="862">
        <v>44495</v>
      </c>
      <c r="C1039" s="493" t="s">
        <v>1980</v>
      </c>
      <c r="D1039" s="376" t="str">
        <f>IFERROR(VLOOKUP(E:E,'Item Data Support Sheet'!A:O,7,0),"")</f>
        <v>BOTTLE MOLDED</v>
      </c>
      <c r="E1039" s="447" t="s">
        <v>14</v>
      </c>
      <c r="F1039" s="500" t="s">
        <v>1681</v>
      </c>
      <c r="G1039" s="497" t="s">
        <v>1888</v>
      </c>
      <c r="H1039" s="602" t="str">
        <f>IFERROR(VLOOKUP(E:E,'Item Data Support Sheet'!A:O,2,0),"")</f>
        <v>KPP 240 ML BOTTLE MOLDED</v>
      </c>
      <c r="I1039" s="501" t="s">
        <v>3801</v>
      </c>
      <c r="J1039" s="501" t="s">
        <v>2826</v>
      </c>
      <c r="K1039" s="499">
        <v>8</v>
      </c>
      <c r="L1039" s="499">
        <v>2574</v>
      </c>
      <c r="M1039" s="366">
        <v>321.75</v>
      </c>
      <c r="N1039" s="367">
        <f t="shared" si="291"/>
        <v>3344</v>
      </c>
      <c r="O1039" s="61">
        <v>3240</v>
      </c>
      <c r="P1039" s="368">
        <v>0.2</v>
      </c>
      <c r="Q1039" s="368">
        <v>20</v>
      </c>
      <c r="R1039" s="494">
        <v>0</v>
      </c>
      <c r="S1039" s="493">
        <v>0</v>
      </c>
      <c r="T1039" s="494">
        <v>76</v>
      </c>
      <c r="U1039" s="493">
        <v>8</v>
      </c>
      <c r="V1039" s="502">
        <v>1</v>
      </c>
      <c r="W1039" s="453">
        <f t="shared" si="293"/>
        <v>3240</v>
      </c>
      <c r="X1039" s="748">
        <f t="shared" si="294"/>
        <v>1.2587412587412588</v>
      </c>
      <c r="Y1039" s="451" t="str">
        <f>IFERROR(VLOOKUP(E:E,'Item Data Support Sheet'!A:J,6,0),0)</f>
        <v>HMC</v>
      </c>
      <c r="Z1039" s="428">
        <f>IFERROR(VLOOKUP(E:E,'Item Data Support Sheet'!A:O,4,0),0)</f>
        <v>32.1</v>
      </c>
      <c r="AA1039" s="428">
        <f t="shared" si="295"/>
        <v>107.54240000000001</v>
      </c>
      <c r="AB1039" s="429">
        <f t="shared" si="296"/>
        <v>0.96709762847025904</v>
      </c>
      <c r="AC1039" s="424">
        <f t="shared" si="297"/>
        <v>2.2919179734620022E-2</v>
      </c>
      <c r="AD1039" s="371">
        <f t="shared" si="298"/>
        <v>5.945303210463734E-3</v>
      </c>
      <c r="AE1039" s="748">
        <f t="shared" si="299"/>
        <v>0.97727272727272729</v>
      </c>
      <c r="AF1039" s="417">
        <f t="shared" si="300"/>
        <v>0</v>
      </c>
      <c r="AG1039" s="416">
        <f t="shared" si="301"/>
        <v>8</v>
      </c>
      <c r="AH1039" s="372">
        <f t="shared" si="302"/>
        <v>1</v>
      </c>
      <c r="AI1039" s="373">
        <f t="shared" si="303"/>
        <v>405</v>
      </c>
      <c r="AJ1039" s="418">
        <f>VLOOKUP(D1039,'Standard Cycle time'!C:D,2,0)</f>
        <v>9</v>
      </c>
      <c r="AK1039" s="418">
        <f t="shared" si="304"/>
        <v>8.8888888888888893</v>
      </c>
      <c r="AL1039" s="374">
        <f t="shared" si="305"/>
        <v>1.0125</v>
      </c>
      <c r="AM1039" s="372">
        <f t="shared" si="306"/>
        <v>0.98948863636363638</v>
      </c>
      <c r="AN1039" s="799">
        <v>0.99749122293739023</v>
      </c>
      <c r="AO1039" s="448"/>
      <c r="AP1039" s="440">
        <v>0</v>
      </c>
      <c r="AQ1039" s="440">
        <v>0</v>
      </c>
      <c r="AR1039" s="440">
        <v>0</v>
      </c>
      <c r="AS1039" s="440">
        <v>0</v>
      </c>
      <c r="AT1039" s="440">
        <v>0</v>
      </c>
      <c r="AU1039" s="440">
        <v>0</v>
      </c>
      <c r="AV1039" s="440">
        <v>0</v>
      </c>
      <c r="AW1039" s="440">
        <v>0</v>
      </c>
      <c r="AX1039" s="440">
        <v>0</v>
      </c>
      <c r="AY1039" s="440">
        <v>0</v>
      </c>
      <c r="AZ1039" s="440">
        <v>0</v>
      </c>
      <c r="BA1039" s="440">
        <v>0</v>
      </c>
      <c r="BB1039" s="440">
        <v>0</v>
      </c>
      <c r="BC1039" s="440">
        <v>0</v>
      </c>
      <c r="BD1039" s="440">
        <v>0</v>
      </c>
      <c r="BE1039" s="440">
        <v>0</v>
      </c>
      <c r="BF1039" s="440">
        <v>0</v>
      </c>
      <c r="BG1039" s="440">
        <v>0</v>
      </c>
      <c r="BH1039" s="440">
        <v>0</v>
      </c>
      <c r="BI1039" s="440">
        <v>0</v>
      </c>
      <c r="BJ1039" s="440">
        <v>0</v>
      </c>
      <c r="BK1039" s="440">
        <v>0</v>
      </c>
      <c r="BL1039" s="440">
        <v>0</v>
      </c>
      <c r="BM1039" s="440">
        <v>0</v>
      </c>
      <c r="BN1039" s="440">
        <v>0</v>
      </c>
      <c r="BO1039" s="440">
        <v>0</v>
      </c>
      <c r="BP1039" s="440">
        <v>0</v>
      </c>
      <c r="BQ1039" s="440">
        <v>0</v>
      </c>
      <c r="BR1039" s="415">
        <v>0</v>
      </c>
      <c r="BS1039" s="415">
        <v>0</v>
      </c>
      <c r="BT1039" s="935"/>
      <c r="BU1039" s="935"/>
      <c r="BV1039" s="935"/>
      <c r="BW1039" s="935"/>
      <c r="BX1039" s="935"/>
      <c r="BY1039" s="935"/>
      <c r="BZ1039" s="935"/>
      <c r="CA1039" s="935"/>
      <c r="CB1039" s="935"/>
      <c r="CC1039" s="935"/>
      <c r="CD1039" s="935"/>
      <c r="CE1039" s="935"/>
      <c r="CF1039" s="935"/>
      <c r="CG1039" s="935"/>
      <c r="CH1039" s="935"/>
      <c r="CI1039" s="935"/>
      <c r="CJ1039" s="935"/>
      <c r="CK1039" s="935"/>
      <c r="CL1039" s="935"/>
      <c r="CM1039" s="935"/>
      <c r="CN1039" s="935"/>
      <c r="CO1039" s="935"/>
      <c r="CP1039" s="935"/>
      <c r="CQ1039" s="935"/>
      <c r="CR1039" s="935"/>
      <c r="CS1039" s="935"/>
      <c r="CT1039" s="935"/>
      <c r="CU1039" s="935"/>
      <c r="CV1039" s="935"/>
    </row>
    <row r="1040" spans="1:100" s="441" customFormat="1">
      <c r="A1040" s="375">
        <f t="shared" si="292"/>
        <v>10</v>
      </c>
      <c r="B1040" s="862">
        <v>44495</v>
      </c>
      <c r="C1040" s="493" t="s">
        <v>1980</v>
      </c>
      <c r="D1040" s="376" t="str">
        <f>IFERROR(VLOOKUP(E:E,'Item Data Support Sheet'!A:O,7,0),"")</f>
        <v>NIPPLE MOLDED</v>
      </c>
      <c r="E1040" s="447" t="s">
        <v>72</v>
      </c>
      <c r="F1040" s="500" t="s">
        <v>1678</v>
      </c>
      <c r="G1040" s="497" t="s">
        <v>1691</v>
      </c>
      <c r="H1040" s="602" t="str">
        <f>IFERROR(VLOOKUP(E:E,'Item Data Support Sheet'!A:O,2,0),"")</f>
        <v>NIPPLE S TYPE S SIZE INJECTION</v>
      </c>
      <c r="I1040" s="501" t="s">
        <v>3802</v>
      </c>
      <c r="J1040" s="501" t="s">
        <v>2826</v>
      </c>
      <c r="K1040" s="499">
        <v>8</v>
      </c>
      <c r="L1040" s="499">
        <v>4815</v>
      </c>
      <c r="M1040" s="366">
        <v>601.875</v>
      </c>
      <c r="N1040" s="367">
        <f t="shared" si="291"/>
        <v>4870</v>
      </c>
      <c r="O1040" s="61">
        <v>4750</v>
      </c>
      <c r="P1040" s="368">
        <v>0</v>
      </c>
      <c r="Q1040" s="368">
        <v>50</v>
      </c>
      <c r="R1040" s="494">
        <v>0</v>
      </c>
      <c r="S1040" s="493">
        <v>0</v>
      </c>
      <c r="T1040" s="494">
        <v>62</v>
      </c>
      <c r="U1040" s="493">
        <v>8</v>
      </c>
      <c r="V1040" s="502">
        <v>1</v>
      </c>
      <c r="W1040" s="453">
        <f t="shared" si="293"/>
        <v>4750</v>
      </c>
      <c r="X1040" s="748">
        <f t="shared" si="294"/>
        <v>0.98650051921079962</v>
      </c>
      <c r="Y1040" s="451" t="str">
        <f>IFERROR(VLOOKUP(E:E,'Item Data Support Sheet'!A:J,6,0),0)</f>
        <v>Silicon</v>
      </c>
      <c r="Z1040" s="428">
        <f>IFERROR(VLOOKUP(E:E,'Item Data Support Sheet'!A:O,4,0),0)</f>
        <v>6.8</v>
      </c>
      <c r="AA1040" s="428">
        <f t="shared" si="295"/>
        <v>33.116</v>
      </c>
      <c r="AB1040" s="429">
        <f t="shared" si="296"/>
        <v>0.97535934291581106</v>
      </c>
      <c r="AC1040" s="424">
        <f t="shared" si="297"/>
        <v>1.2884455527847049E-2</v>
      </c>
      <c r="AD1040" s="371">
        <f t="shared" si="298"/>
        <v>1.016260162601626E-2</v>
      </c>
      <c r="AE1040" s="748">
        <f t="shared" si="299"/>
        <v>0.98726899383983568</v>
      </c>
      <c r="AF1040" s="417">
        <f t="shared" si="300"/>
        <v>0</v>
      </c>
      <c r="AG1040" s="416">
        <f t="shared" si="301"/>
        <v>8</v>
      </c>
      <c r="AH1040" s="372">
        <f t="shared" si="302"/>
        <v>1</v>
      </c>
      <c r="AI1040" s="373">
        <f t="shared" si="303"/>
        <v>593.75</v>
      </c>
      <c r="AJ1040" s="418">
        <f>VLOOKUP(D1040,'Standard Cycle time'!C:D,2,0)</f>
        <v>5.25</v>
      </c>
      <c r="AK1040" s="418">
        <f t="shared" si="304"/>
        <v>6.0631578947368423</v>
      </c>
      <c r="AL1040" s="374">
        <f t="shared" si="305"/>
        <v>0.86588541666666663</v>
      </c>
      <c r="AM1040" s="372">
        <f t="shared" si="306"/>
        <v>0.85486182409308686</v>
      </c>
      <c r="AN1040" s="799">
        <v>0.84983132102272729</v>
      </c>
      <c r="AO1040" s="448"/>
      <c r="AP1040" s="440">
        <v>0</v>
      </c>
      <c r="AQ1040" s="440">
        <v>0</v>
      </c>
      <c r="AR1040" s="440">
        <v>0</v>
      </c>
      <c r="AS1040" s="440">
        <v>0</v>
      </c>
      <c r="AT1040" s="440">
        <v>0</v>
      </c>
      <c r="AU1040" s="440">
        <v>0</v>
      </c>
      <c r="AV1040" s="440">
        <v>0</v>
      </c>
      <c r="AW1040" s="440">
        <v>0</v>
      </c>
      <c r="AX1040" s="440">
        <v>0</v>
      </c>
      <c r="AY1040" s="440">
        <v>0</v>
      </c>
      <c r="AZ1040" s="440">
        <v>0</v>
      </c>
      <c r="BA1040" s="440">
        <v>0</v>
      </c>
      <c r="BB1040" s="440">
        <v>0</v>
      </c>
      <c r="BC1040" s="440">
        <v>0</v>
      </c>
      <c r="BD1040" s="440">
        <v>0</v>
      </c>
      <c r="BE1040" s="440">
        <v>0</v>
      </c>
      <c r="BF1040" s="440">
        <v>0</v>
      </c>
      <c r="BG1040" s="440">
        <v>0</v>
      </c>
      <c r="BH1040" s="440">
        <v>0</v>
      </c>
      <c r="BI1040" s="440">
        <v>0</v>
      </c>
      <c r="BJ1040" s="440">
        <v>0</v>
      </c>
      <c r="BK1040" s="440">
        <v>0</v>
      </c>
      <c r="BL1040" s="440">
        <v>0</v>
      </c>
      <c r="BM1040" s="440">
        <v>0</v>
      </c>
      <c r="BN1040" s="440">
        <v>0</v>
      </c>
      <c r="BO1040" s="440">
        <v>0</v>
      </c>
      <c r="BP1040" s="440">
        <v>0</v>
      </c>
      <c r="BQ1040" s="440">
        <v>0</v>
      </c>
      <c r="BR1040" s="415">
        <v>0</v>
      </c>
      <c r="BS1040" s="415">
        <v>0</v>
      </c>
      <c r="BT1040" s="935"/>
      <c r="BU1040" s="935"/>
      <c r="BV1040" s="935"/>
      <c r="BW1040" s="935"/>
      <c r="BX1040" s="935"/>
      <c r="BY1040" s="935"/>
      <c r="BZ1040" s="935"/>
      <c r="CA1040" s="935"/>
      <c r="CB1040" s="935"/>
      <c r="CC1040" s="935"/>
      <c r="CD1040" s="935"/>
      <c r="CE1040" s="935"/>
      <c r="CF1040" s="935"/>
      <c r="CG1040" s="935"/>
      <c r="CH1040" s="935"/>
      <c r="CI1040" s="935"/>
      <c r="CJ1040" s="935"/>
      <c r="CK1040" s="935"/>
      <c r="CL1040" s="935"/>
      <c r="CM1040" s="935"/>
      <c r="CN1040" s="935"/>
      <c r="CO1040" s="935"/>
      <c r="CP1040" s="935"/>
      <c r="CQ1040" s="935"/>
      <c r="CR1040" s="935"/>
      <c r="CS1040" s="935"/>
      <c r="CT1040" s="935"/>
      <c r="CU1040" s="935"/>
      <c r="CV1040" s="935"/>
    </row>
    <row r="1041" spans="1:100" s="441" customFormat="1">
      <c r="A1041" s="375">
        <f t="shared" si="292"/>
        <v>10</v>
      </c>
      <c r="B1041" s="862">
        <v>44495</v>
      </c>
      <c r="C1041" s="493" t="s">
        <v>1980</v>
      </c>
      <c r="D1041" s="376" t="str">
        <f>IFERROR(VLOOKUP(E:E,'Item Data Support Sheet'!A:O,7,0),"")</f>
        <v>HOOD MOLDED</v>
      </c>
      <c r="E1041" s="447" t="s">
        <v>1987</v>
      </c>
      <c r="F1041" s="500"/>
      <c r="G1041" s="497" t="s">
        <v>2729</v>
      </c>
      <c r="H1041" s="602" t="str">
        <f>IFERROR(VLOOKUP(E:E,'Item Data Support Sheet'!A:O,2,0),"")</f>
        <v>HOOD S TYPE MOLDED</v>
      </c>
      <c r="I1041" s="501" t="s">
        <v>3803</v>
      </c>
      <c r="J1041" s="501" t="s">
        <v>2826</v>
      </c>
      <c r="K1041" s="499">
        <v>8</v>
      </c>
      <c r="L1041" s="499">
        <v>4137</v>
      </c>
      <c r="M1041" s="366">
        <v>517.125</v>
      </c>
      <c r="N1041" s="367">
        <f t="shared" si="291"/>
        <v>5010</v>
      </c>
      <c r="O1041" s="61">
        <v>5000</v>
      </c>
      <c r="P1041" s="368">
        <v>0</v>
      </c>
      <c r="Q1041" s="368">
        <v>0</v>
      </c>
      <c r="R1041" s="494">
        <v>0</v>
      </c>
      <c r="S1041" s="493">
        <v>0</v>
      </c>
      <c r="T1041" s="494">
        <v>2</v>
      </c>
      <c r="U1041" s="493">
        <v>8</v>
      </c>
      <c r="V1041" s="502">
        <v>1</v>
      </c>
      <c r="W1041" s="453">
        <f t="shared" si="293"/>
        <v>5000</v>
      </c>
      <c r="X1041" s="748">
        <f t="shared" si="294"/>
        <v>1.2086052695189751</v>
      </c>
      <c r="Y1041" s="451" t="str">
        <f>IFERROR(VLOOKUP(E:E,'Item Data Support Sheet'!A:J,6,0),0)</f>
        <v>HMC</v>
      </c>
      <c r="Z1041" s="428">
        <f>IFERROR(VLOOKUP(E:E,'Item Data Support Sheet'!A:O,4,0),0)</f>
        <v>8.6</v>
      </c>
      <c r="AA1041" s="428">
        <f t="shared" si="295"/>
        <v>43.085999999999999</v>
      </c>
      <c r="AB1041" s="429">
        <f t="shared" si="296"/>
        <v>0.99800399201596812</v>
      </c>
      <c r="AC1041" s="424">
        <f t="shared" si="297"/>
        <v>3.9984006397441024E-4</v>
      </c>
      <c r="AD1041" s="371">
        <f t="shared" si="298"/>
        <v>0</v>
      </c>
      <c r="AE1041" s="748">
        <f t="shared" si="299"/>
        <v>0.9996007984031936</v>
      </c>
      <c r="AF1041" s="417">
        <f t="shared" si="300"/>
        <v>0</v>
      </c>
      <c r="AG1041" s="416">
        <f t="shared" si="301"/>
        <v>8</v>
      </c>
      <c r="AH1041" s="372">
        <f t="shared" si="302"/>
        <v>1</v>
      </c>
      <c r="AI1041" s="373">
        <f t="shared" si="303"/>
        <v>625</v>
      </c>
      <c r="AJ1041" s="418">
        <f>VLOOKUP(D1041,'Standard Cycle time'!C:D,2,0)</f>
        <v>6</v>
      </c>
      <c r="AK1041" s="418">
        <f t="shared" si="304"/>
        <v>5.76</v>
      </c>
      <c r="AL1041" s="374">
        <f t="shared" si="305"/>
        <v>1.0416666666666667</v>
      </c>
      <c r="AM1041" s="372">
        <f t="shared" si="306"/>
        <v>1.0412508316699933</v>
      </c>
      <c r="AN1041" s="799">
        <v>1.0412388774811774</v>
      </c>
      <c r="AO1041" s="448"/>
      <c r="AP1041" s="440">
        <v>0</v>
      </c>
      <c r="AQ1041" s="440">
        <v>0</v>
      </c>
      <c r="AR1041" s="440">
        <v>0</v>
      </c>
      <c r="AS1041" s="440">
        <v>0</v>
      </c>
      <c r="AT1041" s="440">
        <v>0</v>
      </c>
      <c r="AU1041" s="440">
        <v>0</v>
      </c>
      <c r="AV1041" s="440">
        <v>0</v>
      </c>
      <c r="AW1041" s="440">
        <v>0</v>
      </c>
      <c r="AX1041" s="440">
        <v>0</v>
      </c>
      <c r="AY1041" s="440">
        <v>0</v>
      </c>
      <c r="AZ1041" s="440">
        <v>0</v>
      </c>
      <c r="BA1041" s="440">
        <v>0</v>
      </c>
      <c r="BB1041" s="440">
        <v>0</v>
      </c>
      <c r="BC1041" s="440">
        <v>0</v>
      </c>
      <c r="BD1041" s="440">
        <v>0</v>
      </c>
      <c r="BE1041" s="440">
        <v>0</v>
      </c>
      <c r="BF1041" s="440">
        <v>0</v>
      </c>
      <c r="BG1041" s="440">
        <v>0</v>
      </c>
      <c r="BH1041" s="440">
        <v>0</v>
      </c>
      <c r="BI1041" s="440">
        <v>0</v>
      </c>
      <c r="BJ1041" s="440">
        <v>0</v>
      </c>
      <c r="BK1041" s="440">
        <v>0</v>
      </c>
      <c r="BL1041" s="440">
        <v>0</v>
      </c>
      <c r="BM1041" s="440">
        <v>0</v>
      </c>
      <c r="BN1041" s="440">
        <v>0</v>
      </c>
      <c r="BO1041" s="440">
        <v>0</v>
      </c>
      <c r="BP1041" s="440">
        <v>0</v>
      </c>
      <c r="BQ1041" s="440">
        <v>0</v>
      </c>
      <c r="BR1041" s="415">
        <v>0</v>
      </c>
      <c r="BS1041" s="415">
        <v>0</v>
      </c>
      <c r="BT1041" s="935"/>
      <c r="BU1041" s="935"/>
      <c r="BV1041" s="935"/>
      <c r="BW1041" s="935"/>
      <c r="BX1041" s="935"/>
      <c r="BY1041" s="935"/>
      <c r="BZ1041" s="935"/>
      <c r="CA1041" s="935"/>
      <c r="CB1041" s="935"/>
      <c r="CC1041" s="935"/>
      <c r="CD1041" s="935"/>
      <c r="CE1041" s="935"/>
      <c r="CF1041" s="935"/>
      <c r="CG1041" s="935"/>
      <c r="CH1041" s="935"/>
      <c r="CI1041" s="935"/>
      <c r="CJ1041" s="935"/>
      <c r="CK1041" s="935"/>
      <c r="CL1041" s="935"/>
      <c r="CM1041" s="935"/>
      <c r="CN1041" s="935"/>
      <c r="CO1041" s="935"/>
      <c r="CP1041" s="935"/>
      <c r="CQ1041" s="935"/>
      <c r="CR1041" s="935"/>
      <c r="CS1041" s="935"/>
      <c r="CT1041" s="935"/>
      <c r="CU1041" s="935"/>
      <c r="CV1041" s="935"/>
    </row>
    <row r="1042" spans="1:100" s="441" customFormat="1">
      <c r="A1042" s="375">
        <f t="shared" si="292"/>
        <v>10</v>
      </c>
      <c r="B1042" s="862">
        <v>44495</v>
      </c>
      <c r="C1042" s="493" t="s">
        <v>1980</v>
      </c>
      <c r="D1042" s="376" t="str">
        <f>IFERROR(VLOOKUP(E:E,'Item Data Support Sheet'!A:O,7,0),"")</f>
        <v>NIPPLE PUNCH</v>
      </c>
      <c r="E1042" s="447" t="s">
        <v>80</v>
      </c>
      <c r="F1042" s="500"/>
      <c r="G1042" s="497" t="s">
        <v>1692</v>
      </c>
      <c r="H1042" s="602" t="str">
        <f>IFERROR(VLOOKUP(E:E,'Item Data Support Sheet'!A:O,2,0),"")</f>
        <v>NIPPLE S TYPE S SIZE PUNCHED</v>
      </c>
      <c r="I1042" s="501" t="s">
        <v>3804</v>
      </c>
      <c r="J1042" s="501" t="s">
        <v>2826</v>
      </c>
      <c r="K1042" s="499">
        <v>8</v>
      </c>
      <c r="L1042" s="499">
        <v>7000</v>
      </c>
      <c r="M1042" s="366">
        <v>875</v>
      </c>
      <c r="N1042" s="367">
        <f t="shared" si="291"/>
        <v>7000</v>
      </c>
      <c r="O1042" s="61">
        <v>7000</v>
      </c>
      <c r="P1042" s="368">
        <v>0</v>
      </c>
      <c r="Q1042" s="368">
        <v>0</v>
      </c>
      <c r="R1042" s="494">
        <v>0</v>
      </c>
      <c r="S1042" s="493">
        <v>0</v>
      </c>
      <c r="T1042" s="494">
        <v>0</v>
      </c>
      <c r="U1042" s="493">
        <v>0</v>
      </c>
      <c r="V1042" s="502">
        <v>1</v>
      </c>
      <c r="W1042" s="453">
        <f t="shared" si="293"/>
        <v>7000</v>
      </c>
      <c r="X1042" s="748">
        <f t="shared" si="294"/>
        <v>1</v>
      </c>
      <c r="Y1042" s="451" t="str">
        <f>IFERROR(VLOOKUP(E:E,'Item Data Support Sheet'!A:J,6,0),0)</f>
        <v>FO015</v>
      </c>
      <c r="Z1042" s="428">
        <f>IFERROR(VLOOKUP(E:E,'Item Data Support Sheet'!A:O,4,0),0)</f>
        <v>0</v>
      </c>
      <c r="AA1042" s="428">
        <f t="shared" si="295"/>
        <v>0</v>
      </c>
      <c r="AB1042" s="429" t="str">
        <f t="shared" si="296"/>
        <v xml:space="preserve"> </v>
      </c>
      <c r="AC1042" s="424">
        <f t="shared" si="297"/>
        <v>0</v>
      </c>
      <c r="AD1042" s="371">
        <f t="shared" si="298"/>
        <v>0</v>
      </c>
      <c r="AE1042" s="748">
        <f t="shared" si="299"/>
        <v>1</v>
      </c>
      <c r="AF1042" s="417">
        <f t="shared" si="300"/>
        <v>0.66666666666666663</v>
      </c>
      <c r="AG1042" s="416">
        <f t="shared" si="301"/>
        <v>7.333333333333333</v>
      </c>
      <c r="AH1042" s="372">
        <f t="shared" si="302"/>
        <v>0.91666666666666663</v>
      </c>
      <c r="AI1042" s="373">
        <f t="shared" si="303"/>
        <v>875</v>
      </c>
      <c r="AJ1042" s="418">
        <f>VLOOKUP(D1042,'Standard Cycle time'!C:D,2,0)</f>
        <v>3.5</v>
      </c>
      <c r="AK1042" s="418">
        <f t="shared" si="304"/>
        <v>3.7714285714285714</v>
      </c>
      <c r="AL1042" s="374">
        <f t="shared" si="305"/>
        <v>0.92803030303030309</v>
      </c>
      <c r="AM1042" s="372">
        <f t="shared" si="306"/>
        <v>0.85069444444444442</v>
      </c>
      <c r="AN1042" s="799">
        <v>0.85069444444444442</v>
      </c>
      <c r="AO1042" s="448"/>
      <c r="AP1042" s="440">
        <v>40</v>
      </c>
      <c r="AQ1042" s="440">
        <v>0</v>
      </c>
      <c r="AR1042" s="440">
        <v>0</v>
      </c>
      <c r="AS1042" s="440">
        <v>0</v>
      </c>
      <c r="AT1042" s="440">
        <v>0</v>
      </c>
      <c r="AU1042" s="440">
        <v>0</v>
      </c>
      <c r="AV1042" s="440">
        <v>0</v>
      </c>
      <c r="AW1042" s="440">
        <v>0</v>
      </c>
      <c r="AX1042" s="440">
        <v>0</v>
      </c>
      <c r="AY1042" s="440">
        <v>0</v>
      </c>
      <c r="AZ1042" s="440">
        <v>0</v>
      </c>
      <c r="BA1042" s="440">
        <v>0</v>
      </c>
      <c r="BB1042" s="440">
        <v>0</v>
      </c>
      <c r="BC1042" s="440">
        <v>0</v>
      </c>
      <c r="BD1042" s="440">
        <v>0</v>
      </c>
      <c r="BE1042" s="440">
        <v>0</v>
      </c>
      <c r="BF1042" s="440">
        <v>0</v>
      </c>
      <c r="BG1042" s="440">
        <v>0</v>
      </c>
      <c r="BH1042" s="440">
        <v>0</v>
      </c>
      <c r="BI1042" s="440">
        <v>0</v>
      </c>
      <c r="BJ1042" s="440">
        <v>0</v>
      </c>
      <c r="BK1042" s="440">
        <v>0</v>
      </c>
      <c r="BL1042" s="440">
        <v>0</v>
      </c>
      <c r="BM1042" s="440">
        <v>0</v>
      </c>
      <c r="BN1042" s="440">
        <v>0</v>
      </c>
      <c r="BO1042" s="440">
        <v>0</v>
      </c>
      <c r="BP1042" s="440">
        <v>0</v>
      </c>
      <c r="BQ1042" s="440">
        <v>0</v>
      </c>
      <c r="BR1042" s="415">
        <v>0.66666666666666663</v>
      </c>
      <c r="BS1042" s="415">
        <v>0.66666666666666663</v>
      </c>
      <c r="BT1042" s="935"/>
      <c r="BU1042" s="935"/>
      <c r="BV1042" s="935"/>
      <c r="BW1042" s="935"/>
      <c r="BX1042" s="935"/>
      <c r="BY1042" s="935"/>
      <c r="BZ1042" s="935"/>
      <c r="CA1042" s="935"/>
      <c r="CB1042" s="935"/>
      <c r="CC1042" s="935"/>
      <c r="CD1042" s="935"/>
      <c r="CE1042" s="935"/>
      <c r="CF1042" s="935"/>
      <c r="CG1042" s="935"/>
      <c r="CH1042" s="935"/>
      <c r="CI1042" s="935"/>
      <c r="CJ1042" s="935"/>
      <c r="CK1042" s="935"/>
      <c r="CL1042" s="935"/>
      <c r="CM1042" s="935"/>
      <c r="CN1042" s="935"/>
      <c r="CO1042" s="935"/>
      <c r="CP1042" s="935"/>
      <c r="CQ1042" s="935"/>
      <c r="CR1042" s="935"/>
      <c r="CS1042" s="935"/>
      <c r="CT1042" s="935"/>
      <c r="CU1042" s="935"/>
      <c r="CV1042" s="935"/>
    </row>
    <row r="1043" spans="1:100" s="441" customFormat="1">
      <c r="A1043" s="375">
        <f t="shared" si="292"/>
        <v>10</v>
      </c>
      <c r="B1043" s="862">
        <v>44495</v>
      </c>
      <c r="C1043" s="493" t="s">
        <v>1980</v>
      </c>
      <c r="D1043" s="376" t="str">
        <f>IFERROR(VLOOKUP(E:E,'Item Data Support Sheet'!A:O,7,0),"")</f>
        <v>NIPPLE LASER MARKING</v>
      </c>
      <c r="E1043" s="447" t="s">
        <v>1814</v>
      </c>
      <c r="F1043" s="500"/>
      <c r="G1043" s="497" t="s">
        <v>1812</v>
      </c>
      <c r="H1043" s="602" t="str">
        <f>IFERROR(VLOOKUP(E:E,'Item Data Support Sheet'!A:O,2,0),"")</f>
        <v>NIPPLE S TYPE S SIZE PUNCHED LASER MARKED</v>
      </c>
      <c r="I1043" s="501" t="s">
        <v>3805</v>
      </c>
      <c r="J1043" s="501" t="s">
        <v>2826</v>
      </c>
      <c r="K1043" s="499">
        <v>8</v>
      </c>
      <c r="L1043" s="499">
        <v>7000</v>
      </c>
      <c r="M1043" s="366">
        <v>875</v>
      </c>
      <c r="N1043" s="367">
        <f t="shared" si="291"/>
        <v>7000</v>
      </c>
      <c r="O1043" s="61">
        <v>7000</v>
      </c>
      <c r="P1043" s="368">
        <v>0</v>
      </c>
      <c r="Q1043" s="368">
        <v>0</v>
      </c>
      <c r="R1043" s="494">
        <v>0</v>
      </c>
      <c r="S1043" s="493">
        <v>0</v>
      </c>
      <c r="T1043" s="494">
        <v>0</v>
      </c>
      <c r="U1043" s="493">
        <v>0</v>
      </c>
      <c r="V1043" s="502">
        <v>1</v>
      </c>
      <c r="W1043" s="453">
        <f t="shared" si="293"/>
        <v>7000</v>
      </c>
      <c r="X1043" s="748">
        <f t="shared" si="294"/>
        <v>1</v>
      </c>
      <c r="Y1043" s="451" t="str">
        <f>IFERROR(VLOOKUP(E:E,'Item Data Support Sheet'!A:J,6,0),0)</f>
        <v>FO019</v>
      </c>
      <c r="Z1043" s="428">
        <f>IFERROR(VLOOKUP(E:E,'Item Data Support Sheet'!A:O,4,0),0)</f>
        <v>0</v>
      </c>
      <c r="AA1043" s="428">
        <f t="shared" si="295"/>
        <v>0</v>
      </c>
      <c r="AB1043" s="429" t="str">
        <f t="shared" si="296"/>
        <v xml:space="preserve"> </v>
      </c>
      <c r="AC1043" s="424">
        <f t="shared" si="297"/>
        <v>0</v>
      </c>
      <c r="AD1043" s="371">
        <f t="shared" si="298"/>
        <v>0</v>
      </c>
      <c r="AE1043" s="748">
        <f t="shared" si="299"/>
        <v>1</v>
      </c>
      <c r="AF1043" s="417">
        <f t="shared" si="300"/>
        <v>0.66666666666666663</v>
      </c>
      <c r="AG1043" s="416">
        <f t="shared" si="301"/>
        <v>7.333333333333333</v>
      </c>
      <c r="AH1043" s="372">
        <f t="shared" si="302"/>
        <v>0.91666666666666663</v>
      </c>
      <c r="AI1043" s="373">
        <f t="shared" si="303"/>
        <v>875</v>
      </c>
      <c r="AJ1043" s="418">
        <f>VLOOKUP(D1043,'Standard Cycle time'!C:D,2,0)</f>
        <v>3.5</v>
      </c>
      <c r="AK1043" s="418">
        <f t="shared" si="304"/>
        <v>3.7714285714285714</v>
      </c>
      <c r="AL1043" s="374">
        <f t="shared" si="305"/>
        <v>0.92803030303030309</v>
      </c>
      <c r="AM1043" s="372">
        <f t="shared" si="306"/>
        <v>0.85069444444444442</v>
      </c>
      <c r="AN1043" s="799">
        <v>0.85069444444444442</v>
      </c>
      <c r="AO1043" s="448"/>
      <c r="AP1043" s="440">
        <v>40</v>
      </c>
      <c r="AQ1043" s="440">
        <v>0</v>
      </c>
      <c r="AR1043" s="440">
        <v>0</v>
      </c>
      <c r="AS1043" s="440">
        <v>0</v>
      </c>
      <c r="AT1043" s="440">
        <v>0</v>
      </c>
      <c r="AU1043" s="440">
        <v>0</v>
      </c>
      <c r="AV1043" s="440">
        <v>0</v>
      </c>
      <c r="AW1043" s="440">
        <v>0</v>
      </c>
      <c r="AX1043" s="440">
        <v>0</v>
      </c>
      <c r="AY1043" s="440">
        <v>0</v>
      </c>
      <c r="AZ1043" s="440">
        <v>0</v>
      </c>
      <c r="BA1043" s="440">
        <v>0</v>
      </c>
      <c r="BB1043" s="440">
        <v>0</v>
      </c>
      <c r="BC1043" s="440">
        <v>0</v>
      </c>
      <c r="BD1043" s="440">
        <v>0</v>
      </c>
      <c r="BE1043" s="440">
        <v>0</v>
      </c>
      <c r="BF1043" s="440">
        <v>0</v>
      </c>
      <c r="BG1043" s="440">
        <v>0</v>
      </c>
      <c r="BH1043" s="440">
        <v>0</v>
      </c>
      <c r="BI1043" s="440">
        <v>0</v>
      </c>
      <c r="BJ1043" s="440">
        <v>0</v>
      </c>
      <c r="BK1043" s="440">
        <v>0</v>
      </c>
      <c r="BL1043" s="440">
        <v>0</v>
      </c>
      <c r="BM1043" s="440">
        <v>0</v>
      </c>
      <c r="BN1043" s="440">
        <v>0</v>
      </c>
      <c r="BO1043" s="440">
        <v>0</v>
      </c>
      <c r="BP1043" s="440">
        <v>0</v>
      </c>
      <c r="BQ1043" s="440">
        <v>0</v>
      </c>
      <c r="BR1043" s="415">
        <v>0.66666666666666663</v>
      </c>
      <c r="BS1043" s="415">
        <v>0.66666666666666663</v>
      </c>
      <c r="BT1043" s="935"/>
      <c r="BU1043" s="935"/>
      <c r="BV1043" s="935"/>
      <c r="BW1043" s="935"/>
      <c r="BX1043" s="935"/>
      <c r="BY1043" s="935"/>
      <c r="BZ1043" s="935"/>
      <c r="CA1043" s="935"/>
      <c r="CB1043" s="935"/>
      <c r="CC1043" s="935"/>
      <c r="CD1043" s="935"/>
      <c r="CE1043" s="935"/>
      <c r="CF1043" s="935"/>
      <c r="CG1043" s="935"/>
      <c r="CH1043" s="935"/>
      <c r="CI1043" s="935"/>
      <c r="CJ1043" s="935"/>
      <c r="CK1043" s="935"/>
      <c r="CL1043" s="935"/>
      <c r="CM1043" s="935"/>
      <c r="CN1043" s="935"/>
      <c r="CO1043" s="935"/>
      <c r="CP1043" s="935"/>
      <c r="CQ1043" s="935"/>
      <c r="CR1043" s="935"/>
      <c r="CS1043" s="935"/>
      <c r="CT1043" s="935"/>
      <c r="CU1043" s="935"/>
      <c r="CV1043" s="935"/>
    </row>
    <row r="1044" spans="1:100" s="441" customFormat="1">
      <c r="A1044" s="375">
        <f t="shared" si="292"/>
        <v>10</v>
      </c>
      <c r="B1044" s="862">
        <v>44495</v>
      </c>
      <c r="C1044" s="493" t="s">
        <v>2000</v>
      </c>
      <c r="D1044" s="376" t="str">
        <f>IFERROR(VLOOKUP(E:E,'Item Data Support Sheet'!A:O,7,0),"")</f>
        <v>NIPPLE PUNCH INSPECTED</v>
      </c>
      <c r="E1044" s="447" t="s">
        <v>1818</v>
      </c>
      <c r="F1044" s="500"/>
      <c r="G1044" s="497"/>
      <c r="H1044" s="602" t="str">
        <f>IFERROR(VLOOKUP(E:E,'Item Data Support Sheet'!A:O,2,0),"")</f>
        <v>NIPPLE S TYPE S SIZE PUNCHED INSPECTED</v>
      </c>
      <c r="I1044" s="501" t="s">
        <v>3791</v>
      </c>
      <c r="J1044" s="501" t="s">
        <v>2811</v>
      </c>
      <c r="K1044" s="499">
        <v>8</v>
      </c>
      <c r="L1044" s="499">
        <v>14000</v>
      </c>
      <c r="M1044" s="366">
        <v>1750</v>
      </c>
      <c r="N1044" s="367">
        <f t="shared" si="291"/>
        <v>14000</v>
      </c>
      <c r="O1044" s="61">
        <v>13817</v>
      </c>
      <c r="P1044" s="368">
        <v>0</v>
      </c>
      <c r="Q1044" s="368">
        <v>0</v>
      </c>
      <c r="R1044" s="494">
        <v>0</v>
      </c>
      <c r="S1044" s="493">
        <v>0</v>
      </c>
      <c r="T1044" s="494">
        <v>183</v>
      </c>
      <c r="U1044" s="493">
        <v>0</v>
      </c>
      <c r="V1044" s="502">
        <v>2</v>
      </c>
      <c r="W1044" s="453">
        <f t="shared" si="293"/>
        <v>6908.5</v>
      </c>
      <c r="X1044" s="748">
        <f t="shared" si="294"/>
        <v>0.98692857142857138</v>
      </c>
      <c r="Y1044" s="451" t="str">
        <f>IFERROR(VLOOKUP(E:E,'Item Data Support Sheet'!A:J,6,0),0)</f>
        <v>FO104</v>
      </c>
      <c r="Z1044" s="428">
        <f>IFERROR(VLOOKUP(E:E,'Item Data Support Sheet'!A:O,4,0),0)</f>
        <v>0</v>
      </c>
      <c r="AA1044" s="428">
        <f t="shared" si="295"/>
        <v>0</v>
      </c>
      <c r="AB1044" s="429" t="str">
        <f t="shared" si="296"/>
        <v xml:space="preserve"> </v>
      </c>
      <c r="AC1044" s="424">
        <f t="shared" si="297"/>
        <v>1.3071428571428571E-2</v>
      </c>
      <c r="AD1044" s="371">
        <f t="shared" si="298"/>
        <v>0</v>
      </c>
      <c r="AE1044" s="748">
        <f t="shared" si="299"/>
        <v>0.98692857142857138</v>
      </c>
      <c r="AF1044" s="417">
        <f t="shared" si="300"/>
        <v>0.83333333333333337</v>
      </c>
      <c r="AG1044" s="416">
        <f t="shared" si="301"/>
        <v>7.166666666666667</v>
      </c>
      <c r="AH1044" s="372">
        <f t="shared" si="302"/>
        <v>0.89583333333333337</v>
      </c>
      <c r="AI1044" s="373">
        <f t="shared" si="303"/>
        <v>1727.125</v>
      </c>
      <c r="AJ1044" s="418">
        <f>VLOOKUP(D1044,'Standard Cycle time'!C:D,2,0)</f>
        <v>4</v>
      </c>
      <c r="AK1044" s="418">
        <f t="shared" si="304"/>
        <v>3.7345299269016428</v>
      </c>
      <c r="AL1044" s="374">
        <f t="shared" si="305"/>
        <v>1.0710852713178296</v>
      </c>
      <c r="AM1044" s="372">
        <f t="shared" si="306"/>
        <v>0.94697167162698415</v>
      </c>
      <c r="AN1044" s="799">
        <v>0.93442945436507951</v>
      </c>
      <c r="AO1044" s="448"/>
      <c r="AP1044" s="440">
        <v>50</v>
      </c>
      <c r="AQ1044" s="440">
        <v>0</v>
      </c>
      <c r="AR1044" s="440">
        <v>0</v>
      </c>
      <c r="AS1044" s="440">
        <v>0</v>
      </c>
      <c r="AT1044" s="440">
        <v>0</v>
      </c>
      <c r="AU1044" s="440">
        <v>0</v>
      </c>
      <c r="AV1044" s="440">
        <v>0</v>
      </c>
      <c r="AW1044" s="440">
        <v>0</v>
      </c>
      <c r="AX1044" s="440">
        <v>0</v>
      </c>
      <c r="AY1044" s="440">
        <v>0</v>
      </c>
      <c r="AZ1044" s="440">
        <v>0</v>
      </c>
      <c r="BA1044" s="440">
        <v>0</v>
      </c>
      <c r="BB1044" s="440">
        <v>0</v>
      </c>
      <c r="BC1044" s="440">
        <v>0</v>
      </c>
      <c r="BD1044" s="440">
        <v>0</v>
      </c>
      <c r="BE1044" s="440">
        <v>0</v>
      </c>
      <c r="BF1044" s="440">
        <v>0</v>
      </c>
      <c r="BG1044" s="440">
        <v>0</v>
      </c>
      <c r="BH1044" s="440">
        <v>0</v>
      </c>
      <c r="BI1044" s="440">
        <v>0</v>
      </c>
      <c r="BJ1044" s="440">
        <v>0</v>
      </c>
      <c r="BK1044" s="440">
        <v>0</v>
      </c>
      <c r="BL1044" s="440">
        <v>0</v>
      </c>
      <c r="BM1044" s="440">
        <v>0</v>
      </c>
      <c r="BN1044" s="440">
        <v>0</v>
      </c>
      <c r="BO1044" s="440">
        <v>0</v>
      </c>
      <c r="BP1044" s="440">
        <v>0</v>
      </c>
      <c r="BQ1044" s="440">
        <v>0</v>
      </c>
      <c r="BR1044" s="415">
        <v>0.83333333333333337</v>
      </c>
      <c r="BS1044" s="415">
        <v>0.83333333333333337</v>
      </c>
      <c r="BT1044" s="935"/>
      <c r="BU1044" s="935"/>
      <c r="BV1044" s="935"/>
      <c r="BW1044" s="935"/>
      <c r="BX1044" s="935"/>
      <c r="BY1044" s="935"/>
      <c r="BZ1044" s="935"/>
      <c r="CA1044" s="935"/>
      <c r="CB1044" s="935"/>
      <c r="CC1044" s="935"/>
      <c r="CD1044" s="935"/>
      <c r="CE1044" s="935"/>
      <c r="CF1044" s="935"/>
      <c r="CG1044" s="935"/>
      <c r="CH1044" s="935"/>
      <c r="CI1044" s="935"/>
      <c r="CJ1044" s="935"/>
      <c r="CK1044" s="935"/>
      <c r="CL1044" s="935"/>
      <c r="CM1044" s="935"/>
      <c r="CN1044" s="935"/>
      <c r="CO1044" s="935"/>
      <c r="CP1044" s="935"/>
      <c r="CQ1044" s="935"/>
      <c r="CR1044" s="935"/>
      <c r="CS1044" s="935"/>
      <c r="CT1044" s="935"/>
      <c r="CU1044" s="935"/>
      <c r="CV1044" s="935"/>
    </row>
    <row r="1045" spans="1:100" s="441" customFormat="1">
      <c r="A1045" s="375">
        <f t="shared" si="292"/>
        <v>10</v>
      </c>
      <c r="B1045" s="862">
        <v>44495</v>
      </c>
      <c r="C1045" s="493" t="s">
        <v>2000</v>
      </c>
      <c r="D1045" s="376" t="str">
        <f>IFERROR(VLOOKUP(E:E,'Item Data Support Sheet'!A:O,7,0),"")</f>
        <v>NIPPLE WRAP PRINTED</v>
      </c>
      <c r="E1045" s="447" t="s">
        <v>108</v>
      </c>
      <c r="F1045" s="500"/>
      <c r="G1045" s="497" t="s">
        <v>1693</v>
      </c>
      <c r="H1045" s="602" t="str">
        <f>IFERROR(VLOOKUP(E:E,'Item Data Support Sheet'!A:O,2,0),"")</f>
        <v>NIPPLE S TYPE S SIZE WITH PRINTED WRAP</v>
      </c>
      <c r="I1045" s="501" t="s">
        <v>3806</v>
      </c>
      <c r="J1045" s="501" t="s">
        <v>2811</v>
      </c>
      <c r="K1045" s="499">
        <v>8</v>
      </c>
      <c r="L1045" s="499">
        <v>16171</v>
      </c>
      <c r="M1045" s="366">
        <v>2021.375</v>
      </c>
      <c r="N1045" s="367">
        <f t="shared" si="291"/>
        <v>12442</v>
      </c>
      <c r="O1045" s="61">
        <v>12440</v>
      </c>
      <c r="P1045" s="368">
        <v>0</v>
      </c>
      <c r="Q1045" s="368">
        <v>0</v>
      </c>
      <c r="R1045" s="494">
        <v>0</v>
      </c>
      <c r="S1045" s="493">
        <v>0</v>
      </c>
      <c r="T1045" s="494">
        <v>2</v>
      </c>
      <c r="U1045" s="493">
        <v>0</v>
      </c>
      <c r="V1045" s="502">
        <v>2</v>
      </c>
      <c r="W1045" s="453">
        <f t="shared" si="293"/>
        <v>6220</v>
      </c>
      <c r="X1045" s="748">
        <f t="shared" si="294"/>
        <v>0.7692783377651351</v>
      </c>
      <c r="Y1045" s="451" t="str">
        <f>IFERROR(VLOOKUP(E:E,'Item Data Support Sheet'!A:J,6,0),0)</f>
        <v>FO108</v>
      </c>
      <c r="Z1045" s="428">
        <f>IFERROR(VLOOKUP(E:E,'Item Data Support Sheet'!A:O,4,0),0)</f>
        <v>0</v>
      </c>
      <c r="AA1045" s="428">
        <f t="shared" si="295"/>
        <v>0</v>
      </c>
      <c r="AB1045" s="429" t="str">
        <f t="shared" si="296"/>
        <v xml:space="preserve"> </v>
      </c>
      <c r="AC1045" s="424">
        <f t="shared" si="297"/>
        <v>1.6074586079408456E-4</v>
      </c>
      <c r="AD1045" s="371">
        <f t="shared" si="298"/>
        <v>0</v>
      </c>
      <c r="AE1045" s="748">
        <f t="shared" si="299"/>
        <v>0.99983925413920594</v>
      </c>
      <c r="AF1045" s="417">
        <f t="shared" si="300"/>
        <v>2.8333333333333335</v>
      </c>
      <c r="AG1045" s="416">
        <f t="shared" si="301"/>
        <v>5.1666666666666661</v>
      </c>
      <c r="AH1045" s="372">
        <f t="shared" si="302"/>
        <v>0.64583333333333326</v>
      </c>
      <c r="AI1045" s="373">
        <f t="shared" si="303"/>
        <v>1555</v>
      </c>
      <c r="AJ1045" s="418">
        <f>VLOOKUP(D1045,'Standard Cycle time'!C:D,2,0)</f>
        <v>2.5</v>
      </c>
      <c r="AK1045" s="418">
        <f t="shared" si="304"/>
        <v>2.9903536977491956</v>
      </c>
      <c r="AL1045" s="374">
        <f t="shared" si="305"/>
        <v>0.83602150537634423</v>
      </c>
      <c r="AM1045" s="372">
        <f t="shared" si="306"/>
        <v>0.53984376395363387</v>
      </c>
      <c r="AN1045" s="799">
        <v>0.53985342261904767</v>
      </c>
      <c r="AO1045" s="448"/>
      <c r="AP1045" s="440">
        <v>50</v>
      </c>
      <c r="AQ1045" s="440">
        <v>0</v>
      </c>
      <c r="AR1045" s="440">
        <v>0</v>
      </c>
      <c r="AS1045" s="440">
        <v>0</v>
      </c>
      <c r="AT1045" s="440">
        <v>0</v>
      </c>
      <c r="AU1045" s="440">
        <v>0</v>
      </c>
      <c r="AV1045" s="440">
        <v>120</v>
      </c>
      <c r="AW1045" s="440">
        <v>0</v>
      </c>
      <c r="AX1045" s="440">
        <v>0</v>
      </c>
      <c r="AY1045" s="440">
        <v>0</v>
      </c>
      <c r="AZ1045" s="440">
        <v>0</v>
      </c>
      <c r="BA1045" s="440">
        <v>0</v>
      </c>
      <c r="BB1045" s="440">
        <v>0</v>
      </c>
      <c r="BC1045" s="440">
        <v>0</v>
      </c>
      <c r="BD1045" s="440">
        <v>0</v>
      </c>
      <c r="BE1045" s="440">
        <v>0</v>
      </c>
      <c r="BF1045" s="440">
        <v>0</v>
      </c>
      <c r="BG1045" s="440">
        <v>0</v>
      </c>
      <c r="BH1045" s="440">
        <v>0</v>
      </c>
      <c r="BI1045" s="440">
        <v>0</v>
      </c>
      <c r="BJ1045" s="440">
        <v>0</v>
      </c>
      <c r="BK1045" s="440">
        <v>0</v>
      </c>
      <c r="BL1045" s="440">
        <v>0</v>
      </c>
      <c r="BM1045" s="440">
        <v>0</v>
      </c>
      <c r="BN1045" s="440">
        <v>0</v>
      </c>
      <c r="BO1045" s="440">
        <v>0</v>
      </c>
      <c r="BP1045" s="440">
        <v>0</v>
      </c>
      <c r="BQ1045" s="440">
        <v>0</v>
      </c>
      <c r="BR1045" s="415">
        <v>2.8333333333333335</v>
      </c>
      <c r="BS1045" s="415">
        <v>2.8333333333333335</v>
      </c>
      <c r="BT1045" s="935"/>
      <c r="BU1045" s="935"/>
      <c r="BV1045" s="935"/>
      <c r="BW1045" s="935"/>
      <c r="BX1045" s="935"/>
      <c r="BY1045" s="935"/>
      <c r="BZ1045" s="935"/>
      <c r="CA1045" s="935"/>
      <c r="CB1045" s="935"/>
      <c r="CC1045" s="935"/>
      <c r="CD1045" s="935"/>
      <c r="CE1045" s="935"/>
      <c r="CF1045" s="935"/>
      <c r="CG1045" s="935"/>
      <c r="CH1045" s="935"/>
      <c r="CI1045" s="935"/>
      <c r="CJ1045" s="935"/>
      <c r="CK1045" s="935"/>
      <c r="CL1045" s="935"/>
      <c r="CM1045" s="935"/>
      <c r="CN1045" s="935"/>
      <c r="CO1045" s="935"/>
      <c r="CP1045" s="935"/>
      <c r="CQ1045" s="935"/>
      <c r="CR1045" s="935"/>
      <c r="CS1045" s="935"/>
      <c r="CT1045" s="935"/>
      <c r="CU1045" s="935"/>
      <c r="CV1045" s="935"/>
    </row>
    <row r="1046" spans="1:100" s="441" customFormat="1">
      <c r="A1046" s="375">
        <f t="shared" si="292"/>
        <v>10</v>
      </c>
      <c r="B1046" s="862">
        <v>44495</v>
      </c>
      <c r="C1046" s="493" t="s">
        <v>2001</v>
      </c>
      <c r="D1046" s="376" t="str">
        <f>IFERROR(VLOOKUP(E:E,'Item Data Support Sheet'!A:O,7,0),"")</f>
        <v>NIPPLE PUNCH</v>
      </c>
      <c r="E1046" s="447" t="s">
        <v>80</v>
      </c>
      <c r="F1046" s="500"/>
      <c r="G1046" s="497" t="s">
        <v>1692</v>
      </c>
      <c r="H1046" s="602" t="str">
        <f>IFERROR(VLOOKUP(E:E,'Item Data Support Sheet'!A:O,2,0),"")</f>
        <v>NIPPLE S TYPE S SIZE PUNCHED</v>
      </c>
      <c r="I1046" s="501" t="s">
        <v>3807</v>
      </c>
      <c r="J1046" s="501" t="s">
        <v>2811</v>
      </c>
      <c r="K1046" s="499">
        <v>8</v>
      </c>
      <c r="L1046" s="499">
        <v>7000</v>
      </c>
      <c r="M1046" s="366">
        <v>875</v>
      </c>
      <c r="N1046" s="367">
        <f t="shared" si="291"/>
        <v>6750</v>
      </c>
      <c r="O1046" s="61">
        <v>6750</v>
      </c>
      <c r="P1046" s="368">
        <v>0</v>
      </c>
      <c r="Q1046" s="368">
        <v>0</v>
      </c>
      <c r="R1046" s="494">
        <v>0</v>
      </c>
      <c r="S1046" s="493">
        <v>0</v>
      </c>
      <c r="T1046" s="494">
        <v>0</v>
      </c>
      <c r="U1046" s="493">
        <v>0</v>
      </c>
      <c r="V1046" s="502">
        <v>1</v>
      </c>
      <c r="W1046" s="453">
        <f t="shared" si="293"/>
        <v>6750</v>
      </c>
      <c r="X1046" s="748">
        <f t="shared" si="294"/>
        <v>0.9642857142857143</v>
      </c>
      <c r="Y1046" s="451" t="str">
        <f>IFERROR(VLOOKUP(E:E,'Item Data Support Sheet'!A:J,6,0),0)</f>
        <v>FO015</v>
      </c>
      <c r="Z1046" s="428">
        <f>IFERROR(VLOOKUP(E:E,'Item Data Support Sheet'!A:O,4,0),0)</f>
        <v>0</v>
      </c>
      <c r="AA1046" s="428">
        <f t="shared" si="295"/>
        <v>0</v>
      </c>
      <c r="AB1046" s="429" t="str">
        <f t="shared" si="296"/>
        <v xml:space="preserve"> </v>
      </c>
      <c r="AC1046" s="424">
        <f t="shared" si="297"/>
        <v>0</v>
      </c>
      <c r="AD1046" s="371">
        <f t="shared" si="298"/>
        <v>0</v>
      </c>
      <c r="AE1046" s="748">
        <f t="shared" si="299"/>
        <v>1</v>
      </c>
      <c r="AF1046" s="417">
        <f t="shared" si="300"/>
        <v>1</v>
      </c>
      <c r="AG1046" s="416">
        <f t="shared" si="301"/>
        <v>7</v>
      </c>
      <c r="AH1046" s="372">
        <f t="shared" si="302"/>
        <v>0.875</v>
      </c>
      <c r="AI1046" s="373">
        <f t="shared" si="303"/>
        <v>843.75</v>
      </c>
      <c r="AJ1046" s="418">
        <f>VLOOKUP(D1046,'Standard Cycle time'!C:D,2,0)</f>
        <v>3.5</v>
      </c>
      <c r="AK1046" s="418">
        <f t="shared" si="304"/>
        <v>3.7333333333333334</v>
      </c>
      <c r="AL1046" s="374">
        <f t="shared" si="305"/>
        <v>0.9375</v>
      </c>
      <c r="AM1046" s="372">
        <f t="shared" si="306"/>
        <v>0.8203125</v>
      </c>
      <c r="AN1046" s="799">
        <v>0.8203125</v>
      </c>
      <c r="AO1046" s="448" t="s">
        <v>3678</v>
      </c>
      <c r="AP1046" s="440">
        <v>40</v>
      </c>
      <c r="AQ1046" s="440">
        <v>0</v>
      </c>
      <c r="AR1046" s="440">
        <v>0</v>
      </c>
      <c r="AS1046" s="440">
        <v>20</v>
      </c>
      <c r="AT1046" s="440">
        <v>0</v>
      </c>
      <c r="AU1046" s="440">
        <v>0</v>
      </c>
      <c r="AV1046" s="440">
        <v>0</v>
      </c>
      <c r="AW1046" s="440">
        <v>0</v>
      </c>
      <c r="AX1046" s="440">
        <v>0</v>
      </c>
      <c r="AY1046" s="440">
        <v>0</v>
      </c>
      <c r="AZ1046" s="440">
        <v>0</v>
      </c>
      <c r="BA1046" s="440">
        <v>0</v>
      </c>
      <c r="BB1046" s="440">
        <v>0</v>
      </c>
      <c r="BC1046" s="440">
        <v>0</v>
      </c>
      <c r="BD1046" s="440">
        <v>0</v>
      </c>
      <c r="BE1046" s="440">
        <v>0</v>
      </c>
      <c r="BF1046" s="440">
        <v>0</v>
      </c>
      <c r="BG1046" s="440">
        <v>0</v>
      </c>
      <c r="BH1046" s="440">
        <v>0</v>
      </c>
      <c r="BI1046" s="440">
        <v>0</v>
      </c>
      <c r="BJ1046" s="440">
        <v>0</v>
      </c>
      <c r="BK1046" s="440">
        <v>0</v>
      </c>
      <c r="BL1046" s="440">
        <v>0</v>
      </c>
      <c r="BM1046" s="440">
        <v>0</v>
      </c>
      <c r="BN1046" s="440">
        <v>0</v>
      </c>
      <c r="BO1046" s="440">
        <v>0</v>
      </c>
      <c r="BP1046" s="440">
        <v>0</v>
      </c>
      <c r="BQ1046" s="440">
        <v>0</v>
      </c>
      <c r="BR1046" s="415">
        <v>1</v>
      </c>
      <c r="BS1046" s="415">
        <v>1</v>
      </c>
      <c r="BT1046" s="935"/>
      <c r="BU1046" s="935"/>
      <c r="BV1046" s="935"/>
      <c r="BW1046" s="935"/>
      <c r="BX1046" s="935"/>
      <c r="BY1046" s="935"/>
      <c r="BZ1046" s="935"/>
      <c r="CA1046" s="935"/>
      <c r="CB1046" s="935"/>
      <c r="CC1046" s="935"/>
      <c r="CD1046" s="935"/>
      <c r="CE1046" s="935"/>
      <c r="CF1046" s="935"/>
      <c r="CG1046" s="935"/>
      <c r="CH1046" s="935"/>
      <c r="CI1046" s="935"/>
      <c r="CJ1046" s="935"/>
      <c r="CK1046" s="935"/>
      <c r="CL1046" s="935"/>
      <c r="CM1046" s="935"/>
      <c r="CN1046" s="935"/>
      <c r="CO1046" s="935"/>
      <c r="CP1046" s="935"/>
      <c r="CQ1046" s="935"/>
      <c r="CR1046" s="935"/>
      <c r="CS1046" s="935"/>
      <c r="CT1046" s="935"/>
      <c r="CU1046" s="935"/>
      <c r="CV1046" s="935"/>
    </row>
    <row r="1047" spans="1:100" s="441" customFormat="1">
      <c r="A1047" s="375">
        <f t="shared" si="292"/>
        <v>10</v>
      </c>
      <c r="B1047" s="862">
        <v>44495</v>
      </c>
      <c r="C1047" s="493" t="s">
        <v>2001</v>
      </c>
      <c r="D1047" s="376" t="str">
        <f>IFERROR(VLOOKUP(E:E,'Item Data Support Sheet'!A:O,7,0),"")</f>
        <v>NIPPLE LASER MARKING</v>
      </c>
      <c r="E1047" s="447" t="s">
        <v>1814</v>
      </c>
      <c r="F1047" s="500"/>
      <c r="G1047" s="497" t="s">
        <v>1812</v>
      </c>
      <c r="H1047" s="602" t="str">
        <f>IFERROR(VLOOKUP(E:E,'Item Data Support Sheet'!A:O,2,0),"")</f>
        <v>NIPPLE S TYPE S SIZE PUNCHED LASER MARKED</v>
      </c>
      <c r="I1047" s="501" t="s">
        <v>3806</v>
      </c>
      <c r="J1047" s="501" t="s">
        <v>2811</v>
      </c>
      <c r="K1047" s="499">
        <v>8</v>
      </c>
      <c r="L1047" s="499">
        <v>7000</v>
      </c>
      <c r="M1047" s="366">
        <v>875</v>
      </c>
      <c r="N1047" s="367">
        <f t="shared" si="291"/>
        <v>6750</v>
      </c>
      <c r="O1047" s="61">
        <v>6750</v>
      </c>
      <c r="P1047" s="368">
        <v>0</v>
      </c>
      <c r="Q1047" s="368">
        <v>0</v>
      </c>
      <c r="R1047" s="494">
        <v>0</v>
      </c>
      <c r="S1047" s="493">
        <v>0</v>
      </c>
      <c r="T1047" s="494">
        <v>0</v>
      </c>
      <c r="U1047" s="493">
        <v>0</v>
      </c>
      <c r="V1047" s="502">
        <v>1</v>
      </c>
      <c r="W1047" s="453">
        <f t="shared" si="293"/>
        <v>6750</v>
      </c>
      <c r="X1047" s="748">
        <f t="shared" si="294"/>
        <v>0.9642857142857143</v>
      </c>
      <c r="Y1047" s="451" t="str">
        <f>IFERROR(VLOOKUP(E:E,'Item Data Support Sheet'!A:J,6,0),0)</f>
        <v>FO019</v>
      </c>
      <c r="Z1047" s="428">
        <f>IFERROR(VLOOKUP(E:E,'Item Data Support Sheet'!A:O,4,0),0)</f>
        <v>0</v>
      </c>
      <c r="AA1047" s="428">
        <f t="shared" si="295"/>
        <v>0</v>
      </c>
      <c r="AB1047" s="429" t="str">
        <f t="shared" si="296"/>
        <v xml:space="preserve"> </v>
      </c>
      <c r="AC1047" s="424">
        <f t="shared" si="297"/>
        <v>0</v>
      </c>
      <c r="AD1047" s="371">
        <f t="shared" si="298"/>
        <v>0</v>
      </c>
      <c r="AE1047" s="748">
        <f t="shared" si="299"/>
        <v>1</v>
      </c>
      <c r="AF1047" s="417">
        <f t="shared" si="300"/>
        <v>1</v>
      </c>
      <c r="AG1047" s="416">
        <f t="shared" si="301"/>
        <v>7</v>
      </c>
      <c r="AH1047" s="372">
        <f t="shared" si="302"/>
        <v>0.875</v>
      </c>
      <c r="AI1047" s="373">
        <f t="shared" si="303"/>
        <v>843.75</v>
      </c>
      <c r="AJ1047" s="418">
        <f>VLOOKUP(D1047,'Standard Cycle time'!C:D,2,0)</f>
        <v>3.5</v>
      </c>
      <c r="AK1047" s="418">
        <f t="shared" si="304"/>
        <v>3.7333333333333334</v>
      </c>
      <c r="AL1047" s="374">
        <f t="shared" si="305"/>
        <v>0.9375</v>
      </c>
      <c r="AM1047" s="372">
        <f t="shared" si="306"/>
        <v>0.8203125</v>
      </c>
      <c r="AN1047" s="799">
        <v>0.8203125</v>
      </c>
      <c r="AO1047" s="448" t="s">
        <v>3808</v>
      </c>
      <c r="AP1047" s="440">
        <v>40</v>
      </c>
      <c r="AQ1047" s="440">
        <v>0</v>
      </c>
      <c r="AR1047" s="440">
        <v>0</v>
      </c>
      <c r="AS1047" s="440">
        <v>20</v>
      </c>
      <c r="AT1047" s="440">
        <v>0</v>
      </c>
      <c r="AU1047" s="440">
        <v>0</v>
      </c>
      <c r="AV1047" s="440">
        <v>0</v>
      </c>
      <c r="AW1047" s="440">
        <v>0</v>
      </c>
      <c r="AX1047" s="440">
        <v>0</v>
      </c>
      <c r="AY1047" s="440">
        <v>0</v>
      </c>
      <c r="AZ1047" s="440">
        <v>0</v>
      </c>
      <c r="BA1047" s="440">
        <v>0</v>
      </c>
      <c r="BB1047" s="440">
        <v>0</v>
      </c>
      <c r="BC1047" s="440">
        <v>0</v>
      </c>
      <c r="BD1047" s="440">
        <v>0</v>
      </c>
      <c r="BE1047" s="440">
        <v>0</v>
      </c>
      <c r="BF1047" s="440">
        <v>0</v>
      </c>
      <c r="BG1047" s="440">
        <v>0</v>
      </c>
      <c r="BH1047" s="440">
        <v>0</v>
      </c>
      <c r="BI1047" s="440">
        <v>0</v>
      </c>
      <c r="BJ1047" s="440">
        <v>0</v>
      </c>
      <c r="BK1047" s="440">
        <v>0</v>
      </c>
      <c r="BL1047" s="440">
        <v>0</v>
      </c>
      <c r="BM1047" s="440">
        <v>0</v>
      </c>
      <c r="BN1047" s="440">
        <v>0</v>
      </c>
      <c r="BO1047" s="440">
        <v>0</v>
      </c>
      <c r="BP1047" s="440">
        <v>0</v>
      </c>
      <c r="BQ1047" s="440">
        <v>0</v>
      </c>
      <c r="BR1047" s="415">
        <v>1</v>
      </c>
      <c r="BS1047" s="415">
        <v>1</v>
      </c>
      <c r="BT1047" s="935"/>
      <c r="BU1047" s="935"/>
      <c r="BV1047" s="935"/>
      <c r="BW1047" s="935"/>
      <c r="BX1047" s="935"/>
      <c r="BY1047" s="935"/>
      <c r="BZ1047" s="935"/>
      <c r="CA1047" s="935"/>
      <c r="CB1047" s="935"/>
      <c r="CC1047" s="935"/>
      <c r="CD1047" s="935"/>
      <c r="CE1047" s="935"/>
      <c r="CF1047" s="935"/>
      <c r="CG1047" s="935"/>
      <c r="CH1047" s="935"/>
      <c r="CI1047" s="935"/>
      <c r="CJ1047" s="935"/>
      <c r="CK1047" s="935"/>
      <c r="CL1047" s="935"/>
      <c r="CM1047" s="935"/>
      <c r="CN1047" s="935"/>
      <c r="CO1047" s="935"/>
      <c r="CP1047" s="935"/>
      <c r="CQ1047" s="935"/>
      <c r="CR1047" s="935"/>
      <c r="CS1047" s="935"/>
      <c r="CT1047" s="935"/>
      <c r="CU1047" s="935"/>
      <c r="CV1047" s="935"/>
    </row>
    <row r="1048" spans="1:100" s="441" customFormat="1">
      <c r="A1048" s="375">
        <f t="shared" si="292"/>
        <v>10</v>
      </c>
      <c r="B1048" s="862">
        <v>44495</v>
      </c>
      <c r="C1048" s="493" t="s">
        <v>2001</v>
      </c>
      <c r="D1048" s="376" t="str">
        <f>IFERROR(VLOOKUP(E:E,'Item Data Support Sheet'!A:O,7,0),"")</f>
        <v>HOOD MOLDED</v>
      </c>
      <c r="E1048" s="447" t="s">
        <v>1987</v>
      </c>
      <c r="F1048" s="500"/>
      <c r="G1048" s="497" t="s">
        <v>2729</v>
      </c>
      <c r="H1048" s="602" t="str">
        <f>IFERROR(VLOOKUP(E:E,'Item Data Support Sheet'!A:O,2,0),"")</f>
        <v>HOOD S TYPE MOLDED</v>
      </c>
      <c r="I1048" s="501" t="s">
        <v>3809</v>
      </c>
      <c r="J1048" s="501" t="s">
        <v>2811</v>
      </c>
      <c r="K1048" s="499">
        <v>8</v>
      </c>
      <c r="L1048" s="499">
        <v>4137</v>
      </c>
      <c r="M1048" s="366">
        <v>517.125</v>
      </c>
      <c r="N1048" s="367">
        <f t="shared" si="291"/>
        <v>5050</v>
      </c>
      <c r="O1048" s="61">
        <v>5000</v>
      </c>
      <c r="P1048" s="368">
        <v>0</v>
      </c>
      <c r="Q1048" s="368">
        <v>24</v>
      </c>
      <c r="R1048" s="494">
        <v>0</v>
      </c>
      <c r="S1048" s="493">
        <v>0</v>
      </c>
      <c r="T1048" s="494">
        <v>26</v>
      </c>
      <c r="U1048" s="493">
        <v>0</v>
      </c>
      <c r="V1048" s="502">
        <v>1</v>
      </c>
      <c r="W1048" s="453">
        <f t="shared" si="293"/>
        <v>5000</v>
      </c>
      <c r="X1048" s="748">
        <f t="shared" si="294"/>
        <v>1.2086052695189751</v>
      </c>
      <c r="Y1048" s="451" t="str">
        <f>IFERROR(VLOOKUP(E:E,'Item Data Support Sheet'!A:J,6,0),0)</f>
        <v>HMC</v>
      </c>
      <c r="Z1048" s="428">
        <f>IFERROR(VLOOKUP(E:E,'Item Data Support Sheet'!A:O,4,0),0)</f>
        <v>8.6</v>
      </c>
      <c r="AA1048" s="428">
        <f t="shared" si="295"/>
        <v>43.43</v>
      </c>
      <c r="AB1048" s="429">
        <f t="shared" si="296"/>
        <v>0.99009900990099009</v>
      </c>
      <c r="AC1048" s="424">
        <f t="shared" si="297"/>
        <v>5.1730998806207721E-3</v>
      </c>
      <c r="AD1048" s="371">
        <f t="shared" si="298"/>
        <v>4.7299960583366179E-3</v>
      </c>
      <c r="AE1048" s="748">
        <f t="shared" si="299"/>
        <v>0.99485148514851485</v>
      </c>
      <c r="AF1048" s="417">
        <f t="shared" si="300"/>
        <v>0</v>
      </c>
      <c r="AG1048" s="416">
        <f t="shared" si="301"/>
        <v>8</v>
      </c>
      <c r="AH1048" s="372">
        <f t="shared" si="302"/>
        <v>1</v>
      </c>
      <c r="AI1048" s="373">
        <f t="shared" si="303"/>
        <v>625</v>
      </c>
      <c r="AJ1048" s="418">
        <f>VLOOKUP(D1048,'Standard Cycle time'!C:D,2,0)</f>
        <v>6</v>
      </c>
      <c r="AK1048" s="418">
        <f t="shared" si="304"/>
        <v>5.76</v>
      </c>
      <c r="AL1048" s="374">
        <f t="shared" si="305"/>
        <v>1.0416666666666667</v>
      </c>
      <c r="AM1048" s="372">
        <f t="shared" si="306"/>
        <v>1.0363036303630364</v>
      </c>
      <c r="AN1048" s="799">
        <v>1.0376543209876543</v>
      </c>
      <c r="AO1048" s="448"/>
      <c r="AP1048" s="440">
        <v>0</v>
      </c>
      <c r="AQ1048" s="440">
        <v>0</v>
      </c>
      <c r="AR1048" s="440">
        <v>0</v>
      </c>
      <c r="AS1048" s="440">
        <v>0</v>
      </c>
      <c r="AT1048" s="440">
        <v>0</v>
      </c>
      <c r="AU1048" s="440">
        <v>0</v>
      </c>
      <c r="AV1048" s="440">
        <v>0</v>
      </c>
      <c r="AW1048" s="440">
        <v>0</v>
      </c>
      <c r="AX1048" s="440">
        <v>0</v>
      </c>
      <c r="AY1048" s="440">
        <v>0</v>
      </c>
      <c r="AZ1048" s="440">
        <v>0</v>
      </c>
      <c r="BA1048" s="440">
        <v>0</v>
      </c>
      <c r="BB1048" s="440">
        <v>0</v>
      </c>
      <c r="BC1048" s="440">
        <v>0</v>
      </c>
      <c r="BD1048" s="440">
        <v>0</v>
      </c>
      <c r="BE1048" s="440">
        <v>0</v>
      </c>
      <c r="BF1048" s="440">
        <v>0</v>
      </c>
      <c r="BG1048" s="440">
        <v>0</v>
      </c>
      <c r="BH1048" s="440">
        <v>0</v>
      </c>
      <c r="BI1048" s="440">
        <v>0</v>
      </c>
      <c r="BJ1048" s="440">
        <v>0</v>
      </c>
      <c r="BK1048" s="440">
        <v>0</v>
      </c>
      <c r="BL1048" s="440">
        <v>0</v>
      </c>
      <c r="BM1048" s="440">
        <v>0</v>
      </c>
      <c r="BN1048" s="440">
        <v>0</v>
      </c>
      <c r="BO1048" s="440">
        <v>0</v>
      </c>
      <c r="BP1048" s="440">
        <v>0</v>
      </c>
      <c r="BQ1048" s="440">
        <v>0</v>
      </c>
      <c r="BR1048" s="415">
        <v>0</v>
      </c>
      <c r="BS1048" s="415">
        <v>0</v>
      </c>
      <c r="BT1048" s="935"/>
      <c r="BU1048" s="935"/>
      <c r="BV1048" s="935"/>
      <c r="BW1048" s="935"/>
      <c r="BX1048" s="935"/>
      <c r="BY1048" s="935"/>
      <c r="BZ1048" s="935"/>
      <c r="CA1048" s="935"/>
      <c r="CB1048" s="935"/>
      <c r="CC1048" s="935"/>
      <c r="CD1048" s="935"/>
      <c r="CE1048" s="935"/>
      <c r="CF1048" s="935"/>
      <c r="CG1048" s="935"/>
      <c r="CH1048" s="935"/>
      <c r="CI1048" s="935"/>
      <c r="CJ1048" s="935"/>
      <c r="CK1048" s="935"/>
      <c r="CL1048" s="935"/>
      <c r="CM1048" s="935"/>
      <c r="CN1048" s="935"/>
      <c r="CO1048" s="935"/>
      <c r="CP1048" s="935"/>
      <c r="CQ1048" s="935"/>
      <c r="CR1048" s="935"/>
      <c r="CS1048" s="935"/>
      <c r="CT1048" s="935"/>
      <c r="CU1048" s="935"/>
      <c r="CV1048" s="935"/>
    </row>
    <row r="1049" spans="1:100" s="441" customFormat="1">
      <c r="A1049" s="375">
        <f t="shared" si="292"/>
        <v>10</v>
      </c>
      <c r="B1049" s="862">
        <v>44495</v>
      </c>
      <c r="C1049" s="493" t="s">
        <v>2001</v>
      </c>
      <c r="D1049" s="376" t="str">
        <f>IFERROR(VLOOKUP(E:E,'Item Data Support Sheet'!A:O,7,0),"")</f>
        <v>BOTTLE MOLDED</v>
      </c>
      <c r="E1049" s="447" t="s">
        <v>14</v>
      </c>
      <c r="F1049" s="500" t="s">
        <v>1681</v>
      </c>
      <c r="G1049" s="497" t="s">
        <v>1888</v>
      </c>
      <c r="H1049" s="602" t="str">
        <f>IFERROR(VLOOKUP(E:E,'Item Data Support Sheet'!A:O,2,0),"")</f>
        <v>KPP 240 ML BOTTLE MOLDED</v>
      </c>
      <c r="I1049" s="501" t="s">
        <v>3810</v>
      </c>
      <c r="J1049" s="501" t="s">
        <v>2811</v>
      </c>
      <c r="K1049" s="499">
        <v>8</v>
      </c>
      <c r="L1049" s="499">
        <v>2574</v>
      </c>
      <c r="M1049" s="366">
        <v>321.75</v>
      </c>
      <c r="N1049" s="367">
        <f t="shared" si="291"/>
        <v>3360</v>
      </c>
      <c r="O1049" s="61">
        <v>3240</v>
      </c>
      <c r="P1049" s="368">
        <v>0</v>
      </c>
      <c r="Q1049" s="368">
        <v>53</v>
      </c>
      <c r="R1049" s="494">
        <v>0</v>
      </c>
      <c r="S1049" s="493">
        <v>0</v>
      </c>
      <c r="T1049" s="494">
        <v>67</v>
      </c>
      <c r="U1049" s="493">
        <v>0</v>
      </c>
      <c r="V1049" s="502">
        <v>1</v>
      </c>
      <c r="W1049" s="453">
        <f t="shared" si="293"/>
        <v>3240</v>
      </c>
      <c r="X1049" s="748">
        <f t="shared" si="294"/>
        <v>1.2587412587412588</v>
      </c>
      <c r="Y1049" s="451" t="str">
        <f>IFERROR(VLOOKUP(E:E,'Item Data Support Sheet'!A:J,6,0),0)</f>
        <v>HMC</v>
      </c>
      <c r="Z1049" s="428">
        <f>IFERROR(VLOOKUP(E:E,'Item Data Support Sheet'!A:O,4,0),0)</f>
        <v>32.1</v>
      </c>
      <c r="AA1049" s="428">
        <f t="shared" si="295"/>
        <v>107.85600000000001</v>
      </c>
      <c r="AB1049" s="429">
        <f t="shared" si="296"/>
        <v>0.9642857142857143</v>
      </c>
      <c r="AC1049" s="424">
        <f t="shared" si="297"/>
        <v>2.0260054429996975E-2</v>
      </c>
      <c r="AD1049" s="371">
        <f t="shared" si="298"/>
        <v>1.5528860240257838E-2</v>
      </c>
      <c r="AE1049" s="748">
        <f t="shared" si="299"/>
        <v>0.98005952380952377</v>
      </c>
      <c r="AF1049" s="417">
        <f t="shared" si="300"/>
        <v>0</v>
      </c>
      <c r="AG1049" s="416">
        <f t="shared" si="301"/>
        <v>8</v>
      </c>
      <c r="AH1049" s="372">
        <f t="shared" si="302"/>
        <v>1</v>
      </c>
      <c r="AI1049" s="373">
        <f t="shared" si="303"/>
        <v>405</v>
      </c>
      <c r="AJ1049" s="418">
        <f>VLOOKUP(D1049,'Standard Cycle time'!C:D,2,0)</f>
        <v>9</v>
      </c>
      <c r="AK1049" s="418">
        <f t="shared" si="304"/>
        <v>8.8888888888888893</v>
      </c>
      <c r="AL1049" s="374">
        <f t="shared" si="305"/>
        <v>1.0125</v>
      </c>
      <c r="AM1049" s="372">
        <f t="shared" si="306"/>
        <v>0.99231026785714282</v>
      </c>
      <c r="AN1049" s="799">
        <v>0.99906683168316823</v>
      </c>
      <c r="AO1049" s="448"/>
      <c r="AP1049" s="440">
        <v>0</v>
      </c>
      <c r="AQ1049" s="440">
        <v>0</v>
      </c>
      <c r="AR1049" s="440">
        <v>0</v>
      </c>
      <c r="AS1049" s="440">
        <v>0</v>
      </c>
      <c r="AT1049" s="440">
        <v>0</v>
      </c>
      <c r="AU1049" s="440">
        <v>0</v>
      </c>
      <c r="AV1049" s="440">
        <v>0</v>
      </c>
      <c r="AW1049" s="440">
        <v>0</v>
      </c>
      <c r="AX1049" s="440">
        <v>0</v>
      </c>
      <c r="AY1049" s="440">
        <v>0</v>
      </c>
      <c r="AZ1049" s="440">
        <v>0</v>
      </c>
      <c r="BA1049" s="440">
        <v>0</v>
      </c>
      <c r="BB1049" s="440">
        <v>0</v>
      </c>
      <c r="BC1049" s="440">
        <v>0</v>
      </c>
      <c r="BD1049" s="440">
        <v>0</v>
      </c>
      <c r="BE1049" s="440">
        <v>0</v>
      </c>
      <c r="BF1049" s="440">
        <v>0</v>
      </c>
      <c r="BG1049" s="440">
        <v>0</v>
      </c>
      <c r="BH1049" s="440">
        <v>0</v>
      </c>
      <c r="BI1049" s="440">
        <v>0</v>
      </c>
      <c r="BJ1049" s="440">
        <v>0</v>
      </c>
      <c r="BK1049" s="440">
        <v>0</v>
      </c>
      <c r="BL1049" s="440">
        <v>0</v>
      </c>
      <c r="BM1049" s="440">
        <v>0</v>
      </c>
      <c r="BN1049" s="440">
        <v>0</v>
      </c>
      <c r="BO1049" s="440">
        <v>0</v>
      </c>
      <c r="BP1049" s="440">
        <v>0</v>
      </c>
      <c r="BQ1049" s="440">
        <v>0</v>
      </c>
      <c r="BR1049" s="415">
        <v>0</v>
      </c>
      <c r="BS1049" s="415">
        <v>0</v>
      </c>
      <c r="BT1049" s="935"/>
      <c r="BU1049" s="935"/>
      <c r="BV1049" s="935"/>
      <c r="BW1049" s="935"/>
      <c r="BX1049" s="935"/>
      <c r="BY1049" s="935"/>
      <c r="BZ1049" s="935"/>
      <c r="CA1049" s="935"/>
      <c r="CB1049" s="935"/>
      <c r="CC1049" s="935"/>
      <c r="CD1049" s="935"/>
      <c r="CE1049" s="935"/>
      <c r="CF1049" s="935"/>
      <c r="CG1049" s="935"/>
      <c r="CH1049" s="935"/>
      <c r="CI1049" s="935"/>
      <c r="CJ1049" s="935"/>
      <c r="CK1049" s="935"/>
      <c r="CL1049" s="935"/>
      <c r="CM1049" s="935"/>
      <c r="CN1049" s="935"/>
      <c r="CO1049" s="935"/>
      <c r="CP1049" s="935"/>
      <c r="CQ1049" s="935"/>
      <c r="CR1049" s="935"/>
      <c r="CS1049" s="935"/>
      <c r="CT1049" s="935"/>
      <c r="CU1049" s="935"/>
      <c r="CV1049" s="935"/>
    </row>
    <row r="1050" spans="1:100" s="441" customFormat="1">
      <c r="A1050" s="375">
        <f t="shared" si="292"/>
        <v>10</v>
      </c>
      <c r="B1050" s="862">
        <v>44495</v>
      </c>
      <c r="C1050" s="493" t="s">
        <v>2001</v>
      </c>
      <c r="D1050" s="376" t="str">
        <f>IFERROR(VLOOKUP(E:E,'Item Data Support Sheet'!A:O,7,0),"")</f>
        <v>NIPPLE MOLDED</v>
      </c>
      <c r="E1050" s="447" t="s">
        <v>72</v>
      </c>
      <c r="F1050" s="500" t="s">
        <v>1678</v>
      </c>
      <c r="G1050" s="497" t="s">
        <v>1691</v>
      </c>
      <c r="H1050" s="602" t="str">
        <f>IFERROR(VLOOKUP(E:E,'Item Data Support Sheet'!A:O,2,0),"")</f>
        <v>NIPPLE S TYPE S SIZE INJECTION</v>
      </c>
      <c r="I1050" s="501" t="s">
        <v>3811</v>
      </c>
      <c r="J1050" s="501" t="s">
        <v>2811</v>
      </c>
      <c r="K1050" s="499">
        <v>8</v>
      </c>
      <c r="L1050" s="499">
        <v>4815</v>
      </c>
      <c r="M1050" s="366">
        <v>601.875</v>
      </c>
      <c r="N1050" s="367">
        <f t="shared" si="291"/>
        <v>5152</v>
      </c>
      <c r="O1050" s="61">
        <v>5000</v>
      </c>
      <c r="P1050" s="368">
        <v>0</v>
      </c>
      <c r="Q1050" s="368">
        <v>77</v>
      </c>
      <c r="R1050" s="494">
        <v>0</v>
      </c>
      <c r="S1050" s="493">
        <v>0</v>
      </c>
      <c r="T1050" s="494">
        <v>75</v>
      </c>
      <c r="U1050" s="493">
        <v>0</v>
      </c>
      <c r="V1050" s="502">
        <v>1</v>
      </c>
      <c r="W1050" s="453">
        <f t="shared" si="293"/>
        <v>5000</v>
      </c>
      <c r="X1050" s="748">
        <f t="shared" si="294"/>
        <v>1.0384215991692627</v>
      </c>
      <c r="Y1050" s="451" t="str">
        <f>IFERROR(VLOOKUP(E:E,'Item Data Support Sheet'!A:J,6,0),0)</f>
        <v>Silicon</v>
      </c>
      <c r="Z1050" s="428">
        <f>IFERROR(VLOOKUP(E:E,'Item Data Support Sheet'!A:O,4,0),0)</f>
        <v>6.8</v>
      </c>
      <c r="AA1050" s="428">
        <f t="shared" si="295"/>
        <v>35.0336</v>
      </c>
      <c r="AB1050" s="429">
        <f t="shared" si="296"/>
        <v>0.97049689440993792</v>
      </c>
      <c r="AC1050" s="424">
        <f t="shared" si="297"/>
        <v>1.4778325123152709E-2</v>
      </c>
      <c r="AD1050" s="371">
        <f t="shared" si="298"/>
        <v>1.4725568942436412E-2</v>
      </c>
      <c r="AE1050" s="748">
        <f t="shared" si="299"/>
        <v>0.98544254658385089</v>
      </c>
      <c r="AF1050" s="417">
        <f t="shared" si="300"/>
        <v>0</v>
      </c>
      <c r="AG1050" s="416">
        <f t="shared" si="301"/>
        <v>8</v>
      </c>
      <c r="AH1050" s="372">
        <f t="shared" si="302"/>
        <v>1</v>
      </c>
      <c r="AI1050" s="373">
        <f t="shared" si="303"/>
        <v>625</v>
      </c>
      <c r="AJ1050" s="418">
        <f>VLOOKUP(D1050,'Standard Cycle time'!C:D,2,0)</f>
        <v>5.25</v>
      </c>
      <c r="AK1050" s="418">
        <f t="shared" si="304"/>
        <v>5.76</v>
      </c>
      <c r="AL1050" s="374">
        <f t="shared" si="305"/>
        <v>0.91145833333333337</v>
      </c>
      <c r="AM1050" s="372">
        <f t="shared" si="306"/>
        <v>0.89818982110507251</v>
      </c>
      <c r="AN1050" s="799">
        <v>0.89111328125</v>
      </c>
      <c r="AO1050" s="448"/>
      <c r="AP1050" s="440">
        <v>0</v>
      </c>
      <c r="AQ1050" s="440">
        <v>0</v>
      </c>
      <c r="AR1050" s="440">
        <v>0</v>
      </c>
      <c r="AS1050" s="440">
        <v>0</v>
      </c>
      <c r="AT1050" s="440">
        <v>0</v>
      </c>
      <c r="AU1050" s="440">
        <v>0</v>
      </c>
      <c r="AV1050" s="440">
        <v>0</v>
      </c>
      <c r="AW1050" s="440">
        <v>0</v>
      </c>
      <c r="AX1050" s="440">
        <v>0</v>
      </c>
      <c r="AY1050" s="440">
        <v>0</v>
      </c>
      <c r="AZ1050" s="440">
        <v>0</v>
      </c>
      <c r="BA1050" s="440">
        <v>0</v>
      </c>
      <c r="BB1050" s="440">
        <v>0</v>
      </c>
      <c r="BC1050" s="440">
        <v>0</v>
      </c>
      <c r="BD1050" s="440">
        <v>0</v>
      </c>
      <c r="BE1050" s="440">
        <v>0</v>
      </c>
      <c r="BF1050" s="440">
        <v>0</v>
      </c>
      <c r="BG1050" s="440">
        <v>0</v>
      </c>
      <c r="BH1050" s="440">
        <v>0</v>
      </c>
      <c r="BI1050" s="440">
        <v>0</v>
      </c>
      <c r="BJ1050" s="440">
        <v>0</v>
      </c>
      <c r="BK1050" s="440">
        <v>0</v>
      </c>
      <c r="BL1050" s="440">
        <v>0</v>
      </c>
      <c r="BM1050" s="440">
        <v>0</v>
      </c>
      <c r="BN1050" s="440">
        <v>0</v>
      </c>
      <c r="BO1050" s="440">
        <v>0</v>
      </c>
      <c r="BP1050" s="440">
        <v>0</v>
      </c>
      <c r="BQ1050" s="440">
        <v>0</v>
      </c>
      <c r="BR1050" s="415">
        <v>0</v>
      </c>
      <c r="BS1050" s="415">
        <v>0</v>
      </c>
      <c r="BT1050" s="935"/>
      <c r="BU1050" s="935"/>
      <c r="BV1050" s="935"/>
      <c r="BW1050" s="935"/>
      <c r="BX1050" s="935"/>
      <c r="BY1050" s="935"/>
      <c r="BZ1050" s="935"/>
      <c r="CA1050" s="935"/>
      <c r="CB1050" s="935"/>
      <c r="CC1050" s="935"/>
      <c r="CD1050" s="935"/>
      <c r="CE1050" s="935"/>
      <c r="CF1050" s="935"/>
      <c r="CG1050" s="935"/>
      <c r="CH1050" s="935"/>
      <c r="CI1050" s="935"/>
      <c r="CJ1050" s="935"/>
      <c r="CK1050" s="935"/>
      <c r="CL1050" s="935"/>
      <c r="CM1050" s="935"/>
      <c r="CN1050" s="935"/>
      <c r="CO1050" s="935"/>
      <c r="CP1050" s="935"/>
      <c r="CQ1050" s="935"/>
      <c r="CR1050" s="935"/>
      <c r="CS1050" s="935"/>
      <c r="CT1050" s="935"/>
      <c r="CU1050" s="935"/>
      <c r="CV1050" s="935"/>
    </row>
    <row r="1051" spans="1:100" s="441" customFormat="1">
      <c r="A1051" s="375">
        <f t="shared" si="292"/>
        <v>10</v>
      </c>
      <c r="B1051" s="862">
        <v>44495</v>
      </c>
      <c r="C1051" s="493" t="s">
        <v>2053</v>
      </c>
      <c r="D1051" s="376" t="str">
        <f>IFERROR(VLOOKUP(E:E,'Item Data Support Sheet'!A:O,7,0),"")</f>
        <v>HOOD MOLDED</v>
      </c>
      <c r="E1051" s="447" t="s">
        <v>1987</v>
      </c>
      <c r="F1051" s="500"/>
      <c r="G1051" s="497" t="s">
        <v>2729</v>
      </c>
      <c r="H1051" s="602" t="str">
        <f>IFERROR(VLOOKUP(E:E,'Item Data Support Sheet'!A:O,2,0),"")</f>
        <v>HOOD S TYPE MOLDED</v>
      </c>
      <c r="I1051" s="501" t="s">
        <v>3812</v>
      </c>
      <c r="J1051" s="501" t="s">
        <v>2808</v>
      </c>
      <c r="K1051" s="499">
        <v>8</v>
      </c>
      <c r="L1051" s="499">
        <v>4137</v>
      </c>
      <c r="M1051" s="366">
        <v>517.125</v>
      </c>
      <c r="N1051" s="367">
        <f t="shared" si="291"/>
        <v>5083</v>
      </c>
      <c r="O1051" s="61">
        <v>5000</v>
      </c>
      <c r="P1051" s="368">
        <v>0</v>
      </c>
      <c r="Q1051" s="368">
        <v>45</v>
      </c>
      <c r="R1051" s="494">
        <v>0</v>
      </c>
      <c r="S1051" s="493">
        <v>0</v>
      </c>
      <c r="T1051" s="494">
        <v>30</v>
      </c>
      <c r="U1051" s="493">
        <v>8</v>
      </c>
      <c r="V1051" s="502">
        <v>1</v>
      </c>
      <c r="W1051" s="453">
        <f t="shared" si="293"/>
        <v>5000</v>
      </c>
      <c r="X1051" s="748">
        <f t="shared" si="294"/>
        <v>1.2086052695189751</v>
      </c>
      <c r="Y1051" s="451" t="str">
        <f>IFERROR(VLOOKUP(E:E,'Item Data Support Sheet'!A:J,6,0),0)</f>
        <v>HMC</v>
      </c>
      <c r="Z1051" s="428">
        <f>IFERROR(VLOOKUP(E:E,'Item Data Support Sheet'!A:O,4,0),0)</f>
        <v>8.6</v>
      </c>
      <c r="AA1051" s="428">
        <f t="shared" si="295"/>
        <v>43.713799999999999</v>
      </c>
      <c r="AB1051" s="429">
        <f t="shared" si="296"/>
        <v>0.98367106039740315</v>
      </c>
      <c r="AC1051" s="424">
        <f t="shared" si="297"/>
        <v>5.9642147117296221E-3</v>
      </c>
      <c r="AD1051" s="371">
        <f t="shared" si="298"/>
        <v>8.7753510140405611E-3</v>
      </c>
      <c r="AE1051" s="748">
        <f t="shared" si="299"/>
        <v>0.99409797363761554</v>
      </c>
      <c r="AF1051" s="417">
        <f t="shared" si="300"/>
        <v>0.33333333333333331</v>
      </c>
      <c r="AG1051" s="416">
        <f t="shared" si="301"/>
        <v>7.666666666666667</v>
      </c>
      <c r="AH1051" s="372">
        <f t="shared" si="302"/>
        <v>0.95833333333333337</v>
      </c>
      <c r="AI1051" s="373">
        <f t="shared" si="303"/>
        <v>625</v>
      </c>
      <c r="AJ1051" s="418">
        <f>VLOOKUP(D1051,'Standard Cycle time'!C:D,2,0)</f>
        <v>6</v>
      </c>
      <c r="AK1051" s="418">
        <f t="shared" si="304"/>
        <v>5.52</v>
      </c>
      <c r="AL1051" s="374">
        <f t="shared" si="305"/>
        <v>1.0869565217391306</v>
      </c>
      <c r="AM1051" s="372">
        <f t="shared" si="306"/>
        <v>1.0355187225391831</v>
      </c>
      <c r="AN1051" s="799">
        <v>1.0356010610766049</v>
      </c>
      <c r="AO1051" s="448" t="s">
        <v>3813</v>
      </c>
      <c r="AP1051" s="440">
        <v>0</v>
      </c>
      <c r="AQ1051" s="440">
        <v>0</v>
      </c>
      <c r="AR1051" s="440">
        <v>0</v>
      </c>
      <c r="AS1051" s="440">
        <v>0</v>
      </c>
      <c r="AT1051" s="440">
        <v>0</v>
      </c>
      <c r="AU1051" s="440">
        <v>0</v>
      </c>
      <c r="AV1051" s="440">
        <v>0</v>
      </c>
      <c r="AW1051" s="440">
        <v>0</v>
      </c>
      <c r="AX1051" s="440">
        <v>0</v>
      </c>
      <c r="AY1051" s="440">
        <v>0</v>
      </c>
      <c r="AZ1051" s="440">
        <v>20</v>
      </c>
      <c r="BA1051" s="440">
        <v>0</v>
      </c>
      <c r="BB1051" s="440">
        <v>0</v>
      </c>
      <c r="BC1051" s="440">
        <v>0</v>
      </c>
      <c r="BD1051" s="440">
        <v>0</v>
      </c>
      <c r="BE1051" s="440">
        <v>0</v>
      </c>
      <c r="BF1051" s="440">
        <v>0</v>
      </c>
      <c r="BG1051" s="440">
        <v>0</v>
      </c>
      <c r="BH1051" s="440">
        <v>0</v>
      </c>
      <c r="BI1051" s="440">
        <v>0</v>
      </c>
      <c r="BJ1051" s="440">
        <v>0</v>
      </c>
      <c r="BK1051" s="440">
        <v>0</v>
      </c>
      <c r="BL1051" s="440">
        <v>0</v>
      </c>
      <c r="BM1051" s="440">
        <v>0</v>
      </c>
      <c r="BN1051" s="440">
        <v>0</v>
      </c>
      <c r="BO1051" s="440">
        <v>0</v>
      </c>
      <c r="BP1051" s="440">
        <v>0</v>
      </c>
      <c r="BQ1051" s="440">
        <v>0</v>
      </c>
      <c r="BR1051" s="415">
        <v>0.33333333333333331</v>
      </c>
      <c r="BS1051" s="415">
        <v>0.33333333333333331</v>
      </c>
      <c r="BT1051" s="935"/>
      <c r="BU1051" s="935"/>
      <c r="BV1051" s="935"/>
      <c r="BW1051" s="935"/>
      <c r="BX1051" s="935"/>
      <c r="BY1051" s="935"/>
      <c r="BZ1051" s="935"/>
      <c r="CA1051" s="935"/>
      <c r="CB1051" s="935"/>
      <c r="CC1051" s="935"/>
      <c r="CD1051" s="935"/>
      <c r="CE1051" s="935"/>
      <c r="CF1051" s="935"/>
      <c r="CG1051" s="935"/>
      <c r="CH1051" s="935"/>
      <c r="CI1051" s="935"/>
      <c r="CJ1051" s="935"/>
      <c r="CK1051" s="935"/>
      <c r="CL1051" s="935"/>
      <c r="CM1051" s="935"/>
      <c r="CN1051" s="935"/>
      <c r="CO1051" s="935"/>
      <c r="CP1051" s="935"/>
      <c r="CQ1051" s="935"/>
      <c r="CR1051" s="935"/>
      <c r="CS1051" s="935"/>
      <c r="CT1051" s="935"/>
      <c r="CU1051" s="935"/>
      <c r="CV1051" s="935"/>
    </row>
    <row r="1052" spans="1:100" s="441" customFormat="1">
      <c r="A1052" s="375">
        <f t="shared" si="292"/>
        <v>10</v>
      </c>
      <c r="B1052" s="862">
        <v>44495</v>
      </c>
      <c r="C1052" s="493" t="s">
        <v>2053</v>
      </c>
      <c r="D1052" s="376" t="str">
        <f>IFERROR(VLOOKUP(E:E,'Item Data Support Sheet'!A:O,7,0),"")</f>
        <v>BOTTLE MOLDED</v>
      </c>
      <c r="E1052" s="447" t="s">
        <v>14</v>
      </c>
      <c r="F1052" s="500" t="s">
        <v>1681</v>
      </c>
      <c r="G1052" s="497" t="s">
        <v>1888</v>
      </c>
      <c r="H1052" s="602" t="str">
        <f>IFERROR(VLOOKUP(E:E,'Item Data Support Sheet'!A:O,2,0),"")</f>
        <v>KPP 240 ML BOTTLE MOLDED</v>
      </c>
      <c r="I1052" s="501" t="s">
        <v>3814</v>
      </c>
      <c r="J1052" s="501" t="s">
        <v>2808</v>
      </c>
      <c r="K1052" s="499">
        <v>8</v>
      </c>
      <c r="L1052" s="499">
        <v>2574</v>
      </c>
      <c r="M1052" s="366">
        <v>321.75</v>
      </c>
      <c r="N1052" s="367">
        <f t="shared" si="291"/>
        <v>3340</v>
      </c>
      <c r="O1052" s="61">
        <v>3240</v>
      </c>
      <c r="P1052" s="368">
        <v>0</v>
      </c>
      <c r="Q1052" s="368">
        <v>30</v>
      </c>
      <c r="R1052" s="494">
        <v>0</v>
      </c>
      <c r="S1052" s="493">
        <v>0</v>
      </c>
      <c r="T1052" s="494">
        <v>62</v>
      </c>
      <c r="U1052" s="493">
        <v>8</v>
      </c>
      <c r="V1052" s="502">
        <v>1</v>
      </c>
      <c r="W1052" s="453">
        <f t="shared" si="293"/>
        <v>3240</v>
      </c>
      <c r="X1052" s="748">
        <f t="shared" si="294"/>
        <v>1.2587412587412588</v>
      </c>
      <c r="Y1052" s="451" t="str">
        <f>IFERROR(VLOOKUP(E:E,'Item Data Support Sheet'!A:J,6,0),0)</f>
        <v>HMC</v>
      </c>
      <c r="Z1052" s="428">
        <f>IFERROR(VLOOKUP(E:E,'Item Data Support Sheet'!A:O,4,0),0)</f>
        <v>32.1</v>
      </c>
      <c r="AA1052" s="428">
        <f t="shared" si="295"/>
        <v>107.21400000000001</v>
      </c>
      <c r="AB1052" s="429">
        <f t="shared" si="296"/>
        <v>0.97005988023952083</v>
      </c>
      <c r="AC1052" s="424">
        <f t="shared" si="297"/>
        <v>1.877649909145972E-2</v>
      </c>
      <c r="AD1052" s="371">
        <f t="shared" si="298"/>
        <v>8.9020771513353119E-3</v>
      </c>
      <c r="AE1052" s="748">
        <f t="shared" si="299"/>
        <v>0.98143712574850295</v>
      </c>
      <c r="AF1052" s="417">
        <f t="shared" si="300"/>
        <v>0</v>
      </c>
      <c r="AG1052" s="416">
        <f t="shared" si="301"/>
        <v>8</v>
      </c>
      <c r="AH1052" s="372">
        <f t="shared" si="302"/>
        <v>1</v>
      </c>
      <c r="AI1052" s="373">
        <f t="shared" si="303"/>
        <v>405</v>
      </c>
      <c r="AJ1052" s="418">
        <f>VLOOKUP(D1052,'Standard Cycle time'!C:D,2,0)</f>
        <v>9</v>
      </c>
      <c r="AK1052" s="418">
        <f t="shared" si="304"/>
        <v>8.8888888888888893</v>
      </c>
      <c r="AL1052" s="374">
        <f t="shared" si="305"/>
        <v>1.0125</v>
      </c>
      <c r="AM1052" s="372">
        <f t="shared" si="306"/>
        <v>0.99370508982035921</v>
      </c>
      <c r="AN1052" s="799">
        <v>1.0001500098367107</v>
      </c>
      <c r="AO1052" s="448"/>
      <c r="AP1052" s="440">
        <v>0</v>
      </c>
      <c r="AQ1052" s="440">
        <v>0</v>
      </c>
      <c r="AR1052" s="440">
        <v>0</v>
      </c>
      <c r="AS1052" s="440">
        <v>0</v>
      </c>
      <c r="AT1052" s="440">
        <v>0</v>
      </c>
      <c r="AU1052" s="440">
        <v>0</v>
      </c>
      <c r="AV1052" s="440">
        <v>0</v>
      </c>
      <c r="AW1052" s="440">
        <v>0</v>
      </c>
      <c r="AX1052" s="440">
        <v>0</v>
      </c>
      <c r="AY1052" s="440">
        <v>0</v>
      </c>
      <c r="AZ1052" s="440">
        <v>0</v>
      </c>
      <c r="BA1052" s="440">
        <v>0</v>
      </c>
      <c r="BB1052" s="440">
        <v>0</v>
      </c>
      <c r="BC1052" s="440">
        <v>0</v>
      </c>
      <c r="BD1052" s="440">
        <v>0</v>
      </c>
      <c r="BE1052" s="440">
        <v>0</v>
      </c>
      <c r="BF1052" s="440">
        <v>0</v>
      </c>
      <c r="BG1052" s="440">
        <v>0</v>
      </c>
      <c r="BH1052" s="440">
        <v>0</v>
      </c>
      <c r="BI1052" s="440">
        <v>0</v>
      </c>
      <c r="BJ1052" s="440">
        <v>0</v>
      </c>
      <c r="BK1052" s="440">
        <v>0</v>
      </c>
      <c r="BL1052" s="440">
        <v>0</v>
      </c>
      <c r="BM1052" s="440">
        <v>0</v>
      </c>
      <c r="BN1052" s="440">
        <v>0</v>
      </c>
      <c r="BO1052" s="440">
        <v>0</v>
      </c>
      <c r="BP1052" s="440">
        <v>0</v>
      </c>
      <c r="BQ1052" s="440">
        <v>0</v>
      </c>
      <c r="BR1052" s="415">
        <v>0</v>
      </c>
      <c r="BS1052" s="415">
        <v>0</v>
      </c>
      <c r="BT1052" s="935"/>
      <c r="BU1052" s="935"/>
      <c r="BV1052" s="935"/>
      <c r="BW1052" s="935"/>
      <c r="BX1052" s="935"/>
      <c r="BY1052" s="935"/>
      <c r="BZ1052" s="935"/>
      <c r="CA1052" s="935"/>
      <c r="CB1052" s="935"/>
      <c r="CC1052" s="935"/>
      <c r="CD1052" s="935"/>
      <c r="CE1052" s="935"/>
      <c r="CF1052" s="935"/>
      <c r="CG1052" s="935"/>
      <c r="CH1052" s="935"/>
      <c r="CI1052" s="935"/>
      <c r="CJ1052" s="935"/>
      <c r="CK1052" s="935"/>
      <c r="CL1052" s="935"/>
      <c r="CM1052" s="935"/>
      <c r="CN1052" s="935"/>
      <c r="CO1052" s="935"/>
      <c r="CP1052" s="935"/>
      <c r="CQ1052" s="935"/>
      <c r="CR1052" s="935"/>
      <c r="CS1052" s="935"/>
      <c r="CT1052" s="935"/>
      <c r="CU1052" s="935"/>
      <c r="CV1052" s="935"/>
    </row>
    <row r="1053" spans="1:100" s="441" customFormat="1">
      <c r="A1053" s="375">
        <f t="shared" si="292"/>
        <v>10</v>
      </c>
      <c r="B1053" s="862">
        <v>44495</v>
      </c>
      <c r="C1053" s="493" t="s">
        <v>2053</v>
      </c>
      <c r="D1053" s="376" t="str">
        <f>IFERROR(VLOOKUP(E:E,'Item Data Support Sheet'!A:O,7,0),"")</f>
        <v>NIPPLE MOLDED</v>
      </c>
      <c r="E1053" s="447" t="s">
        <v>72</v>
      </c>
      <c r="F1053" s="500" t="s">
        <v>1678</v>
      </c>
      <c r="G1053" s="497" t="s">
        <v>1691</v>
      </c>
      <c r="H1053" s="602" t="str">
        <f>IFERROR(VLOOKUP(E:E,'Item Data Support Sheet'!A:O,2,0),"")</f>
        <v>NIPPLE S TYPE S SIZE INJECTION</v>
      </c>
      <c r="I1053" s="501" t="s">
        <v>3815</v>
      </c>
      <c r="J1053" s="501" t="s">
        <v>2808</v>
      </c>
      <c r="K1053" s="499">
        <v>8</v>
      </c>
      <c r="L1053" s="499">
        <v>4815</v>
      </c>
      <c r="M1053" s="366">
        <v>601.875</v>
      </c>
      <c r="N1053" s="367">
        <f t="shared" si="291"/>
        <v>5490</v>
      </c>
      <c r="O1053" s="61">
        <v>5400</v>
      </c>
      <c r="P1053" s="368">
        <v>0</v>
      </c>
      <c r="Q1053" s="368">
        <v>32</v>
      </c>
      <c r="R1053" s="494">
        <v>0</v>
      </c>
      <c r="S1053" s="493">
        <v>0</v>
      </c>
      <c r="T1053" s="494">
        <v>50</v>
      </c>
      <c r="U1053" s="493">
        <v>8</v>
      </c>
      <c r="V1053" s="502">
        <v>1</v>
      </c>
      <c r="W1053" s="453">
        <f t="shared" si="293"/>
        <v>5400</v>
      </c>
      <c r="X1053" s="748">
        <f t="shared" si="294"/>
        <v>1.1214953271028036</v>
      </c>
      <c r="Y1053" s="451" t="str">
        <f>IFERROR(VLOOKUP(E:E,'Item Data Support Sheet'!A:J,6,0),0)</f>
        <v>Silicon</v>
      </c>
      <c r="Z1053" s="428">
        <f>IFERROR(VLOOKUP(E:E,'Item Data Support Sheet'!A:O,4,0),0)</f>
        <v>6.8</v>
      </c>
      <c r="AA1053" s="428">
        <f t="shared" si="295"/>
        <v>37.332000000000001</v>
      </c>
      <c r="AB1053" s="429">
        <f t="shared" si="296"/>
        <v>0.98360655737704916</v>
      </c>
      <c r="AC1053" s="424">
        <f t="shared" si="297"/>
        <v>9.1743119266055051E-3</v>
      </c>
      <c r="AD1053" s="371">
        <f t="shared" si="298"/>
        <v>5.795001810938066E-3</v>
      </c>
      <c r="AE1053" s="748">
        <f t="shared" si="299"/>
        <v>0.99089253187613846</v>
      </c>
      <c r="AF1053" s="417">
        <f t="shared" si="300"/>
        <v>0.5</v>
      </c>
      <c r="AG1053" s="416">
        <f t="shared" si="301"/>
        <v>7.5</v>
      </c>
      <c r="AH1053" s="372">
        <f t="shared" si="302"/>
        <v>0.9375</v>
      </c>
      <c r="AI1053" s="373">
        <f t="shared" si="303"/>
        <v>675</v>
      </c>
      <c r="AJ1053" s="418">
        <f>VLOOKUP(D1053,'Standard Cycle time'!C:D,2,0)</f>
        <v>5.25</v>
      </c>
      <c r="AK1053" s="418">
        <f t="shared" si="304"/>
        <v>5</v>
      </c>
      <c r="AL1053" s="374">
        <f t="shared" si="305"/>
        <v>1.05</v>
      </c>
      <c r="AM1053" s="372">
        <f t="shared" si="306"/>
        <v>0.97540983606557385</v>
      </c>
      <c r="AN1053" s="799">
        <v>0.96963884730538918</v>
      </c>
      <c r="AO1053" s="448"/>
      <c r="AP1053" s="440">
        <v>0</v>
      </c>
      <c r="AQ1053" s="440">
        <v>0</v>
      </c>
      <c r="AR1053" s="440">
        <v>0</v>
      </c>
      <c r="AS1053" s="440">
        <v>0</v>
      </c>
      <c r="AT1053" s="440">
        <v>0</v>
      </c>
      <c r="AU1053" s="440">
        <v>0</v>
      </c>
      <c r="AV1053" s="440">
        <v>0</v>
      </c>
      <c r="AW1053" s="440">
        <v>30</v>
      </c>
      <c r="AX1053" s="440">
        <v>0</v>
      </c>
      <c r="AY1053" s="440">
        <v>0</v>
      </c>
      <c r="AZ1053" s="440">
        <v>0</v>
      </c>
      <c r="BA1053" s="440">
        <v>0</v>
      </c>
      <c r="BB1053" s="440">
        <v>0</v>
      </c>
      <c r="BC1053" s="440">
        <v>0</v>
      </c>
      <c r="BD1053" s="440">
        <v>0</v>
      </c>
      <c r="BE1053" s="440">
        <v>0</v>
      </c>
      <c r="BF1053" s="440">
        <v>0</v>
      </c>
      <c r="BG1053" s="440">
        <v>0</v>
      </c>
      <c r="BH1053" s="440">
        <v>0</v>
      </c>
      <c r="BI1053" s="440">
        <v>0</v>
      </c>
      <c r="BJ1053" s="440">
        <v>0</v>
      </c>
      <c r="BK1053" s="440">
        <v>0</v>
      </c>
      <c r="BL1053" s="440">
        <v>0</v>
      </c>
      <c r="BM1053" s="440">
        <v>0</v>
      </c>
      <c r="BN1053" s="440">
        <v>0</v>
      </c>
      <c r="BO1053" s="440">
        <v>0</v>
      </c>
      <c r="BP1053" s="440">
        <v>0</v>
      </c>
      <c r="BQ1053" s="440">
        <v>0</v>
      </c>
      <c r="BR1053" s="415">
        <v>0.5</v>
      </c>
      <c r="BS1053" s="415">
        <v>0.5</v>
      </c>
      <c r="BT1053" s="935"/>
      <c r="BU1053" s="935"/>
      <c r="BV1053" s="935"/>
      <c r="BW1053" s="935"/>
      <c r="BX1053" s="935"/>
      <c r="BY1053" s="935"/>
      <c r="BZ1053" s="935"/>
      <c r="CA1053" s="935"/>
      <c r="CB1053" s="935"/>
      <c r="CC1053" s="935"/>
      <c r="CD1053" s="935"/>
      <c r="CE1053" s="935"/>
      <c r="CF1053" s="935"/>
      <c r="CG1053" s="935"/>
      <c r="CH1053" s="935"/>
      <c r="CI1053" s="935"/>
      <c r="CJ1053" s="935"/>
      <c r="CK1053" s="935"/>
      <c r="CL1053" s="935"/>
      <c r="CM1053" s="935"/>
      <c r="CN1053" s="935"/>
      <c r="CO1053" s="935"/>
      <c r="CP1053" s="935"/>
      <c r="CQ1053" s="935"/>
      <c r="CR1053" s="935"/>
      <c r="CS1053" s="935"/>
      <c r="CT1053" s="935"/>
      <c r="CU1053" s="935"/>
      <c r="CV1053" s="935"/>
    </row>
    <row r="1054" spans="1:100" s="441" customFormat="1">
      <c r="A1054" s="375">
        <f t="shared" si="292"/>
        <v>10</v>
      </c>
      <c r="B1054" s="862">
        <v>44496</v>
      </c>
      <c r="C1054" s="493" t="s">
        <v>1980</v>
      </c>
      <c r="D1054" s="376" t="str">
        <f>IFERROR(VLOOKUP(E:E,'Item Data Support Sheet'!A:O,7,0),"")</f>
        <v>BOTTLE MOLDED</v>
      </c>
      <c r="E1054" s="447" t="s">
        <v>14</v>
      </c>
      <c r="F1054" s="500" t="s">
        <v>1681</v>
      </c>
      <c r="G1054" s="497" t="s">
        <v>1888</v>
      </c>
      <c r="H1054" s="602" t="str">
        <f>IFERROR(VLOOKUP(E:E,'Item Data Support Sheet'!A:O,2,0),"")</f>
        <v>KPP 240 ML BOTTLE MOLDED</v>
      </c>
      <c r="I1054" s="501" t="s">
        <v>3816</v>
      </c>
      <c r="J1054" s="501" t="s">
        <v>2809</v>
      </c>
      <c r="K1054" s="499">
        <v>8</v>
      </c>
      <c r="L1054" s="499">
        <v>2574</v>
      </c>
      <c r="M1054" s="366">
        <v>321.75</v>
      </c>
      <c r="N1054" s="367">
        <f t="shared" si="291"/>
        <v>3420</v>
      </c>
      <c r="O1054" s="61">
        <v>3348</v>
      </c>
      <c r="P1054" s="368">
        <v>0</v>
      </c>
      <c r="Q1054" s="368">
        <v>22</v>
      </c>
      <c r="R1054" s="494">
        <v>0</v>
      </c>
      <c r="S1054" s="493">
        <v>0</v>
      </c>
      <c r="T1054" s="494">
        <v>42</v>
      </c>
      <c r="U1054" s="493">
        <v>8</v>
      </c>
      <c r="V1054" s="502">
        <v>1</v>
      </c>
      <c r="W1054" s="453">
        <f t="shared" si="293"/>
        <v>3348</v>
      </c>
      <c r="X1054" s="748">
        <f t="shared" si="294"/>
        <v>1.3006993006993006</v>
      </c>
      <c r="Y1054" s="451" t="str">
        <f>IFERROR(VLOOKUP(E:E,'Item Data Support Sheet'!A:J,6,0),0)</f>
        <v>HMC</v>
      </c>
      <c r="Z1054" s="428">
        <f>IFERROR(VLOOKUP(E:E,'Item Data Support Sheet'!A:O,4,0),0)</f>
        <v>32.1</v>
      </c>
      <c r="AA1054" s="428">
        <f t="shared" si="295"/>
        <v>109.78200000000001</v>
      </c>
      <c r="AB1054" s="429">
        <f t="shared" si="296"/>
        <v>0.97894736842105268</v>
      </c>
      <c r="AC1054" s="424">
        <f t="shared" si="297"/>
        <v>1.2389380530973451E-2</v>
      </c>
      <c r="AD1054" s="371">
        <f t="shared" si="298"/>
        <v>6.3916327716443929E-3</v>
      </c>
      <c r="AE1054" s="748">
        <f t="shared" si="299"/>
        <v>0.987719298245614</v>
      </c>
      <c r="AF1054" s="417">
        <f t="shared" si="300"/>
        <v>0</v>
      </c>
      <c r="AG1054" s="416">
        <f t="shared" si="301"/>
        <v>8</v>
      </c>
      <c r="AH1054" s="372">
        <f t="shared" si="302"/>
        <v>1</v>
      </c>
      <c r="AI1054" s="373">
        <f t="shared" si="303"/>
        <v>418.5</v>
      </c>
      <c r="AJ1054" s="418">
        <f>VLOOKUP(D1054,'Standard Cycle time'!C:D,2,0)</f>
        <v>9</v>
      </c>
      <c r="AK1054" s="418">
        <f t="shared" si="304"/>
        <v>8.6021505376344081</v>
      </c>
      <c r="AL1054" s="374">
        <f t="shared" si="305"/>
        <v>1.0462500000000001</v>
      </c>
      <c r="AM1054" s="372">
        <f t="shared" si="306"/>
        <v>1.0334013157894737</v>
      </c>
      <c r="AN1054" s="799">
        <v>1.0382459016393444</v>
      </c>
      <c r="AO1054" s="448" t="s">
        <v>3767</v>
      </c>
      <c r="AP1054" s="440">
        <v>0</v>
      </c>
      <c r="AQ1054" s="440">
        <v>0</v>
      </c>
      <c r="AR1054" s="440">
        <v>0</v>
      </c>
      <c r="AS1054" s="440">
        <v>0</v>
      </c>
      <c r="AT1054" s="440">
        <v>0</v>
      </c>
      <c r="AU1054" s="440">
        <v>0</v>
      </c>
      <c r="AV1054" s="440">
        <v>0</v>
      </c>
      <c r="AW1054" s="440">
        <v>0</v>
      </c>
      <c r="AX1054" s="440">
        <v>0</v>
      </c>
      <c r="AY1054" s="440">
        <v>0</v>
      </c>
      <c r="AZ1054" s="440">
        <v>0</v>
      </c>
      <c r="BA1054" s="440">
        <v>0</v>
      </c>
      <c r="BB1054" s="440">
        <v>0</v>
      </c>
      <c r="BC1054" s="440">
        <v>0</v>
      </c>
      <c r="BD1054" s="440">
        <v>0</v>
      </c>
      <c r="BE1054" s="440">
        <v>0</v>
      </c>
      <c r="BF1054" s="440">
        <v>0</v>
      </c>
      <c r="BG1054" s="440">
        <v>0</v>
      </c>
      <c r="BH1054" s="440">
        <v>0</v>
      </c>
      <c r="BI1054" s="440">
        <v>0</v>
      </c>
      <c r="BJ1054" s="440">
        <v>0</v>
      </c>
      <c r="BK1054" s="440">
        <v>0</v>
      </c>
      <c r="BL1054" s="440">
        <v>0</v>
      </c>
      <c r="BM1054" s="440">
        <v>0</v>
      </c>
      <c r="BN1054" s="440">
        <v>0</v>
      </c>
      <c r="BO1054" s="440">
        <v>0</v>
      </c>
      <c r="BP1054" s="440">
        <v>0</v>
      </c>
      <c r="BQ1054" s="440">
        <v>0</v>
      </c>
      <c r="BR1054" s="415">
        <v>0</v>
      </c>
      <c r="BS1054" s="415">
        <v>0</v>
      </c>
      <c r="BT1054" s="935"/>
      <c r="BU1054" s="935"/>
      <c r="BV1054" s="935"/>
      <c r="BW1054" s="935"/>
      <c r="BX1054" s="935"/>
      <c r="BY1054" s="935"/>
      <c r="BZ1054" s="935"/>
      <c r="CA1054" s="935"/>
      <c r="CB1054" s="935"/>
      <c r="CC1054" s="935"/>
      <c r="CD1054" s="935"/>
      <c r="CE1054" s="935"/>
      <c r="CF1054" s="935"/>
      <c r="CG1054" s="935"/>
      <c r="CH1054" s="935"/>
      <c r="CI1054" s="935"/>
      <c r="CJ1054" s="935"/>
      <c r="CK1054" s="935"/>
      <c r="CL1054" s="935"/>
      <c r="CM1054" s="935"/>
      <c r="CN1054" s="935"/>
      <c r="CO1054" s="935"/>
      <c r="CP1054" s="935"/>
      <c r="CQ1054" s="935"/>
      <c r="CR1054" s="935"/>
      <c r="CS1054" s="935"/>
      <c r="CT1054" s="935"/>
      <c r="CU1054" s="935"/>
      <c r="CV1054" s="935"/>
    </row>
    <row r="1055" spans="1:100" s="441" customFormat="1">
      <c r="A1055" s="375">
        <f t="shared" si="292"/>
        <v>10</v>
      </c>
      <c r="B1055" s="862">
        <v>44496</v>
      </c>
      <c r="C1055" s="493" t="s">
        <v>1980</v>
      </c>
      <c r="D1055" s="376" t="str">
        <f>IFERROR(VLOOKUP(E:E,'Item Data Support Sheet'!A:O,7,0),"")</f>
        <v>NIPPLE MOLDED</v>
      </c>
      <c r="E1055" s="447" t="s">
        <v>72</v>
      </c>
      <c r="F1055" s="500" t="s">
        <v>1678</v>
      </c>
      <c r="G1055" s="497" t="s">
        <v>1691</v>
      </c>
      <c r="H1055" s="602" t="str">
        <f>IFERROR(VLOOKUP(E:E,'Item Data Support Sheet'!A:O,2,0),"")</f>
        <v>NIPPLE S TYPE S SIZE INJECTION</v>
      </c>
      <c r="I1055" s="501" t="s">
        <v>3817</v>
      </c>
      <c r="J1055" s="501" t="s">
        <v>2809</v>
      </c>
      <c r="K1055" s="499">
        <v>8</v>
      </c>
      <c r="L1055" s="499">
        <v>4815</v>
      </c>
      <c r="M1055" s="366">
        <v>601.875</v>
      </c>
      <c r="N1055" s="367">
        <f t="shared" si="291"/>
        <v>5697</v>
      </c>
      <c r="O1055" s="61">
        <v>5600</v>
      </c>
      <c r="P1055" s="368">
        <v>0</v>
      </c>
      <c r="Q1055" s="368">
        <v>36</v>
      </c>
      <c r="R1055" s="494">
        <v>0</v>
      </c>
      <c r="S1055" s="493">
        <v>0</v>
      </c>
      <c r="T1055" s="494">
        <v>53</v>
      </c>
      <c r="U1055" s="493">
        <v>8</v>
      </c>
      <c r="V1055" s="502">
        <v>1</v>
      </c>
      <c r="W1055" s="453">
        <f t="shared" si="293"/>
        <v>5600</v>
      </c>
      <c r="X1055" s="748">
        <f t="shared" si="294"/>
        <v>1.1630321910695742</v>
      </c>
      <c r="Y1055" s="451" t="str">
        <f>IFERROR(VLOOKUP(E:E,'Item Data Support Sheet'!A:J,6,0),0)</f>
        <v>Silicon</v>
      </c>
      <c r="Z1055" s="428">
        <f>IFERROR(VLOOKUP(E:E,'Item Data Support Sheet'!A:O,4,0),0)</f>
        <v>6.8</v>
      </c>
      <c r="AA1055" s="428">
        <f t="shared" si="295"/>
        <v>38.739599999999996</v>
      </c>
      <c r="AB1055" s="429">
        <f t="shared" si="296"/>
        <v>0.98297349482183616</v>
      </c>
      <c r="AC1055" s="424">
        <f t="shared" si="297"/>
        <v>9.3755528038209808E-3</v>
      </c>
      <c r="AD1055" s="371">
        <f t="shared" si="298"/>
        <v>6.2794348508634227E-3</v>
      </c>
      <c r="AE1055" s="748">
        <f t="shared" si="299"/>
        <v>0.99069685799543616</v>
      </c>
      <c r="AF1055" s="417">
        <f t="shared" si="300"/>
        <v>0</v>
      </c>
      <c r="AG1055" s="416">
        <f t="shared" si="301"/>
        <v>8</v>
      </c>
      <c r="AH1055" s="372">
        <f t="shared" si="302"/>
        <v>1</v>
      </c>
      <c r="AI1055" s="373">
        <f t="shared" si="303"/>
        <v>700</v>
      </c>
      <c r="AJ1055" s="418">
        <f>VLOOKUP(D1055,'Standard Cycle time'!C:D,2,0)</f>
        <v>5.25</v>
      </c>
      <c r="AK1055" s="418">
        <f t="shared" si="304"/>
        <v>5.1428571428571432</v>
      </c>
      <c r="AL1055" s="374">
        <f t="shared" si="305"/>
        <v>1.0208333333333333</v>
      </c>
      <c r="AM1055" s="372">
        <f t="shared" si="306"/>
        <v>1.0113363758703411</v>
      </c>
      <c r="AN1055" s="799">
        <v>1.0050134015594541</v>
      </c>
      <c r="AO1055" s="448" t="s">
        <v>3767</v>
      </c>
      <c r="AP1055" s="440">
        <v>0</v>
      </c>
      <c r="AQ1055" s="440">
        <v>0</v>
      </c>
      <c r="AR1055" s="440">
        <v>0</v>
      </c>
      <c r="AS1055" s="440">
        <v>0</v>
      </c>
      <c r="AT1055" s="440">
        <v>0</v>
      </c>
      <c r="AU1055" s="440">
        <v>0</v>
      </c>
      <c r="AV1055" s="440">
        <v>0</v>
      </c>
      <c r="AW1055" s="440">
        <v>0</v>
      </c>
      <c r="AX1055" s="440">
        <v>0</v>
      </c>
      <c r="AY1055" s="440">
        <v>0</v>
      </c>
      <c r="AZ1055" s="440">
        <v>0</v>
      </c>
      <c r="BA1055" s="440">
        <v>0</v>
      </c>
      <c r="BB1055" s="440">
        <v>0</v>
      </c>
      <c r="BC1055" s="440">
        <v>0</v>
      </c>
      <c r="BD1055" s="440">
        <v>0</v>
      </c>
      <c r="BE1055" s="440">
        <v>0</v>
      </c>
      <c r="BF1055" s="440">
        <v>0</v>
      </c>
      <c r="BG1055" s="440">
        <v>0</v>
      </c>
      <c r="BH1055" s="440">
        <v>0</v>
      </c>
      <c r="BI1055" s="440">
        <v>0</v>
      </c>
      <c r="BJ1055" s="440">
        <v>0</v>
      </c>
      <c r="BK1055" s="440">
        <v>0</v>
      </c>
      <c r="BL1055" s="440">
        <v>0</v>
      </c>
      <c r="BM1055" s="440">
        <v>0</v>
      </c>
      <c r="BN1055" s="440">
        <v>0</v>
      </c>
      <c r="BO1055" s="440">
        <v>0</v>
      </c>
      <c r="BP1055" s="440">
        <v>0</v>
      </c>
      <c r="BQ1055" s="440">
        <v>0</v>
      </c>
      <c r="BR1055" s="415">
        <v>0</v>
      </c>
      <c r="BS1055" s="415">
        <v>0</v>
      </c>
      <c r="BT1055" s="935"/>
      <c r="BU1055" s="935"/>
      <c r="BV1055" s="935"/>
      <c r="BW1055" s="935"/>
      <c r="BX1055" s="935"/>
      <c r="BY1055" s="935"/>
      <c r="BZ1055" s="935"/>
      <c r="CA1055" s="935"/>
      <c r="CB1055" s="935"/>
      <c r="CC1055" s="935"/>
      <c r="CD1055" s="935"/>
      <c r="CE1055" s="935"/>
      <c r="CF1055" s="935"/>
      <c r="CG1055" s="935"/>
      <c r="CH1055" s="935"/>
      <c r="CI1055" s="935"/>
      <c r="CJ1055" s="935"/>
      <c r="CK1055" s="935"/>
      <c r="CL1055" s="935"/>
      <c r="CM1055" s="935"/>
      <c r="CN1055" s="935"/>
      <c r="CO1055" s="935"/>
      <c r="CP1055" s="935"/>
      <c r="CQ1055" s="935"/>
      <c r="CR1055" s="935"/>
      <c r="CS1055" s="935"/>
      <c r="CT1055" s="935"/>
      <c r="CU1055" s="935"/>
      <c r="CV1055" s="935"/>
    </row>
    <row r="1056" spans="1:100" s="441" customFormat="1">
      <c r="A1056" s="375">
        <f t="shared" si="292"/>
        <v>10</v>
      </c>
      <c r="B1056" s="862">
        <v>44496</v>
      </c>
      <c r="C1056" s="493" t="s">
        <v>1980</v>
      </c>
      <c r="D1056" s="376" t="str">
        <f>IFERROR(VLOOKUP(E:E,'Item Data Support Sheet'!A:O,7,0),"")</f>
        <v>HOOD MOLDED</v>
      </c>
      <c r="E1056" s="447" t="s">
        <v>1987</v>
      </c>
      <c r="F1056" s="500"/>
      <c r="G1056" s="497" t="s">
        <v>2729</v>
      </c>
      <c r="H1056" s="602" t="str">
        <f>IFERROR(VLOOKUP(E:E,'Item Data Support Sheet'!A:O,2,0),"")</f>
        <v>HOOD S TYPE MOLDED</v>
      </c>
      <c r="I1056" s="501" t="s">
        <v>3818</v>
      </c>
      <c r="J1056" s="501" t="s">
        <v>2809</v>
      </c>
      <c r="K1056" s="499">
        <v>8</v>
      </c>
      <c r="L1056" s="499">
        <v>4137</v>
      </c>
      <c r="M1056" s="366">
        <v>517.125</v>
      </c>
      <c r="N1056" s="367">
        <f t="shared" si="291"/>
        <v>5012</v>
      </c>
      <c r="O1056" s="61">
        <v>5000</v>
      </c>
      <c r="P1056" s="368">
        <v>0</v>
      </c>
      <c r="Q1056" s="368">
        <v>0</v>
      </c>
      <c r="R1056" s="494">
        <v>0</v>
      </c>
      <c r="S1056" s="493">
        <v>0</v>
      </c>
      <c r="T1056" s="494">
        <v>4</v>
      </c>
      <c r="U1056" s="493">
        <v>8</v>
      </c>
      <c r="V1056" s="502">
        <v>1</v>
      </c>
      <c r="W1056" s="453">
        <f t="shared" si="293"/>
        <v>5000</v>
      </c>
      <c r="X1056" s="748">
        <f t="shared" si="294"/>
        <v>1.2086052695189751</v>
      </c>
      <c r="Y1056" s="451" t="str">
        <f>IFERROR(VLOOKUP(E:E,'Item Data Support Sheet'!A:J,6,0),0)</f>
        <v>HMC</v>
      </c>
      <c r="Z1056" s="428">
        <f>IFERROR(VLOOKUP(E:E,'Item Data Support Sheet'!A:O,4,0),0)</f>
        <v>8.6</v>
      </c>
      <c r="AA1056" s="428">
        <f t="shared" si="295"/>
        <v>43.103200000000001</v>
      </c>
      <c r="AB1056" s="429">
        <f t="shared" si="296"/>
        <v>0.99760574620909814</v>
      </c>
      <c r="AC1056" s="424">
        <f t="shared" si="297"/>
        <v>7.993605115907274E-4</v>
      </c>
      <c r="AD1056" s="371">
        <f t="shared" si="298"/>
        <v>0</v>
      </c>
      <c r="AE1056" s="748">
        <f t="shared" si="299"/>
        <v>0.99920191540303271</v>
      </c>
      <c r="AF1056" s="417">
        <f t="shared" si="300"/>
        <v>0</v>
      </c>
      <c r="AG1056" s="416">
        <f t="shared" si="301"/>
        <v>8</v>
      </c>
      <c r="AH1056" s="372">
        <f t="shared" si="302"/>
        <v>1</v>
      </c>
      <c r="AI1056" s="373">
        <f t="shared" si="303"/>
        <v>625</v>
      </c>
      <c r="AJ1056" s="418">
        <f>VLOOKUP(D1056,'Standard Cycle time'!C:D,2,0)</f>
        <v>6</v>
      </c>
      <c r="AK1056" s="418">
        <f t="shared" si="304"/>
        <v>5.76</v>
      </c>
      <c r="AL1056" s="374">
        <f t="shared" si="305"/>
        <v>1.0416666666666667</v>
      </c>
      <c r="AM1056" s="372">
        <f t="shared" si="306"/>
        <v>1.0408353285448257</v>
      </c>
      <c r="AN1056" s="799">
        <v>1.0409352875782576</v>
      </c>
      <c r="AO1056" s="448" t="s">
        <v>3767</v>
      </c>
      <c r="AP1056" s="440">
        <v>0</v>
      </c>
      <c r="AQ1056" s="440">
        <v>0</v>
      </c>
      <c r="AR1056" s="440">
        <v>0</v>
      </c>
      <c r="AS1056" s="440">
        <v>0</v>
      </c>
      <c r="AT1056" s="440">
        <v>0</v>
      </c>
      <c r="AU1056" s="440">
        <v>0</v>
      </c>
      <c r="AV1056" s="440">
        <v>0</v>
      </c>
      <c r="AW1056" s="440">
        <v>0</v>
      </c>
      <c r="AX1056" s="440">
        <v>0</v>
      </c>
      <c r="AY1056" s="440">
        <v>0</v>
      </c>
      <c r="AZ1056" s="440">
        <v>0</v>
      </c>
      <c r="BA1056" s="440">
        <v>0</v>
      </c>
      <c r="BB1056" s="440">
        <v>0</v>
      </c>
      <c r="BC1056" s="440">
        <v>0</v>
      </c>
      <c r="BD1056" s="440">
        <v>0</v>
      </c>
      <c r="BE1056" s="440">
        <v>0</v>
      </c>
      <c r="BF1056" s="440">
        <v>0</v>
      </c>
      <c r="BG1056" s="440">
        <v>0</v>
      </c>
      <c r="BH1056" s="440">
        <v>0</v>
      </c>
      <c r="BI1056" s="440">
        <v>0</v>
      </c>
      <c r="BJ1056" s="440">
        <v>0</v>
      </c>
      <c r="BK1056" s="440">
        <v>0</v>
      </c>
      <c r="BL1056" s="440">
        <v>0</v>
      </c>
      <c r="BM1056" s="440">
        <v>0</v>
      </c>
      <c r="BN1056" s="440">
        <v>0</v>
      </c>
      <c r="BO1056" s="440">
        <v>0</v>
      </c>
      <c r="BP1056" s="440">
        <v>0</v>
      </c>
      <c r="BQ1056" s="440">
        <v>0</v>
      </c>
      <c r="BR1056" s="415">
        <v>0</v>
      </c>
      <c r="BS1056" s="415">
        <v>0</v>
      </c>
      <c r="BT1056" s="935"/>
      <c r="BU1056" s="935"/>
      <c r="BV1056" s="935"/>
      <c r="BW1056" s="935"/>
      <c r="BX1056" s="935"/>
      <c r="BY1056" s="935"/>
      <c r="BZ1056" s="935"/>
      <c r="CA1056" s="935"/>
      <c r="CB1056" s="935"/>
      <c r="CC1056" s="935"/>
      <c r="CD1056" s="935"/>
      <c r="CE1056" s="935"/>
      <c r="CF1056" s="935"/>
      <c r="CG1056" s="935"/>
      <c r="CH1056" s="935"/>
      <c r="CI1056" s="935"/>
      <c r="CJ1056" s="935"/>
      <c r="CK1056" s="935"/>
      <c r="CL1056" s="935"/>
      <c r="CM1056" s="935"/>
      <c r="CN1056" s="935"/>
      <c r="CO1056" s="935"/>
      <c r="CP1056" s="935"/>
      <c r="CQ1056" s="935"/>
      <c r="CR1056" s="935"/>
      <c r="CS1056" s="935"/>
      <c r="CT1056" s="935"/>
      <c r="CU1056" s="935"/>
      <c r="CV1056" s="935"/>
    </row>
    <row r="1057" spans="1:100" s="441" customFormat="1">
      <c r="A1057" s="375">
        <f t="shared" si="292"/>
        <v>10</v>
      </c>
      <c r="B1057" s="862">
        <v>44496</v>
      </c>
      <c r="C1057" s="493" t="s">
        <v>1980</v>
      </c>
      <c r="D1057" s="376" t="str">
        <f>IFERROR(VLOOKUP(E:E,'Item Data Support Sheet'!A:O,7,0),"")</f>
        <v>NIPPLE PUNCH</v>
      </c>
      <c r="E1057" s="447" t="s">
        <v>80</v>
      </c>
      <c r="F1057" s="500"/>
      <c r="G1057" s="497" t="s">
        <v>1692</v>
      </c>
      <c r="H1057" s="602" t="str">
        <f>IFERROR(VLOOKUP(E:E,'Item Data Support Sheet'!A:O,2,0),"")</f>
        <v>NIPPLE S TYPE S SIZE PUNCHED</v>
      </c>
      <c r="I1057" s="501"/>
      <c r="J1057" s="501" t="s">
        <v>2809</v>
      </c>
      <c r="K1057" s="499">
        <v>8</v>
      </c>
      <c r="L1057" s="499">
        <v>7000</v>
      </c>
      <c r="M1057" s="366">
        <v>875</v>
      </c>
      <c r="N1057" s="367">
        <f t="shared" si="291"/>
        <v>7400</v>
      </c>
      <c r="O1057" s="61">
        <v>7400</v>
      </c>
      <c r="P1057" s="368">
        <v>0</v>
      </c>
      <c r="Q1057" s="368">
        <v>0</v>
      </c>
      <c r="R1057" s="494">
        <v>0</v>
      </c>
      <c r="S1057" s="493">
        <v>0</v>
      </c>
      <c r="T1057" s="494">
        <v>0</v>
      </c>
      <c r="U1057" s="493">
        <v>0</v>
      </c>
      <c r="V1057" s="502">
        <v>1</v>
      </c>
      <c r="W1057" s="453">
        <f t="shared" si="293"/>
        <v>7400</v>
      </c>
      <c r="X1057" s="748">
        <f t="shared" si="294"/>
        <v>1.0571428571428572</v>
      </c>
      <c r="Y1057" s="451" t="str">
        <f>IFERROR(VLOOKUP(E:E,'Item Data Support Sheet'!A:J,6,0),0)</f>
        <v>FO015</v>
      </c>
      <c r="Z1057" s="428">
        <f>IFERROR(VLOOKUP(E:E,'Item Data Support Sheet'!A:O,4,0),0)</f>
        <v>0</v>
      </c>
      <c r="AA1057" s="428">
        <f t="shared" si="295"/>
        <v>0</v>
      </c>
      <c r="AB1057" s="429" t="str">
        <f t="shared" si="296"/>
        <v xml:space="preserve"> </v>
      </c>
      <c r="AC1057" s="424">
        <f t="shared" si="297"/>
        <v>0</v>
      </c>
      <c r="AD1057" s="371">
        <f t="shared" si="298"/>
        <v>0</v>
      </c>
      <c r="AE1057" s="748">
        <f t="shared" si="299"/>
        <v>1</v>
      </c>
      <c r="AF1057" s="417">
        <f t="shared" si="300"/>
        <v>0.66666666666666663</v>
      </c>
      <c r="AG1057" s="416">
        <f t="shared" si="301"/>
        <v>7.333333333333333</v>
      </c>
      <c r="AH1057" s="372">
        <f t="shared" si="302"/>
        <v>0.91666666666666663</v>
      </c>
      <c r="AI1057" s="373">
        <f t="shared" si="303"/>
        <v>925</v>
      </c>
      <c r="AJ1057" s="418">
        <f>VLOOKUP(D1057,'Standard Cycle time'!C:D,2,0)</f>
        <v>3.5</v>
      </c>
      <c r="AK1057" s="418">
        <f t="shared" si="304"/>
        <v>3.5675675675675675</v>
      </c>
      <c r="AL1057" s="374">
        <f t="shared" si="305"/>
        <v>0.98106060606060608</v>
      </c>
      <c r="AM1057" s="372">
        <f t="shared" si="306"/>
        <v>0.89930555555555558</v>
      </c>
      <c r="AN1057" s="799">
        <v>0.89930555555555558</v>
      </c>
      <c r="AO1057" s="448" t="s">
        <v>3767</v>
      </c>
      <c r="AP1057" s="440">
        <v>40</v>
      </c>
      <c r="AQ1057" s="440">
        <v>0</v>
      </c>
      <c r="AR1057" s="440">
        <v>0</v>
      </c>
      <c r="AS1057" s="440">
        <v>0</v>
      </c>
      <c r="AT1057" s="440">
        <v>0</v>
      </c>
      <c r="AU1057" s="440">
        <v>0</v>
      </c>
      <c r="AV1057" s="440">
        <v>0</v>
      </c>
      <c r="AW1057" s="440">
        <v>0</v>
      </c>
      <c r="AX1057" s="440">
        <v>0</v>
      </c>
      <c r="AY1057" s="440">
        <v>0</v>
      </c>
      <c r="AZ1057" s="440">
        <v>0</v>
      </c>
      <c r="BA1057" s="440">
        <v>0</v>
      </c>
      <c r="BB1057" s="440">
        <v>0</v>
      </c>
      <c r="BC1057" s="440">
        <v>0</v>
      </c>
      <c r="BD1057" s="440">
        <v>0</v>
      </c>
      <c r="BE1057" s="440">
        <v>0</v>
      </c>
      <c r="BF1057" s="440">
        <v>0</v>
      </c>
      <c r="BG1057" s="440">
        <v>0</v>
      </c>
      <c r="BH1057" s="440">
        <v>0</v>
      </c>
      <c r="BI1057" s="440">
        <v>0</v>
      </c>
      <c r="BJ1057" s="440">
        <v>0</v>
      </c>
      <c r="BK1057" s="440">
        <v>0</v>
      </c>
      <c r="BL1057" s="440">
        <v>0</v>
      </c>
      <c r="BM1057" s="440">
        <v>0</v>
      </c>
      <c r="BN1057" s="440">
        <v>0</v>
      </c>
      <c r="BO1057" s="440">
        <v>0</v>
      </c>
      <c r="BP1057" s="440">
        <v>0</v>
      </c>
      <c r="BQ1057" s="440">
        <v>0</v>
      </c>
      <c r="BR1057" s="415">
        <v>0.66666666666666663</v>
      </c>
      <c r="BS1057" s="415">
        <v>0.66666666666666663</v>
      </c>
      <c r="BT1057" s="935"/>
      <c r="BU1057" s="935"/>
      <c r="BV1057" s="935"/>
      <c r="BW1057" s="935"/>
      <c r="BX1057" s="935"/>
      <c r="BY1057" s="935"/>
      <c r="BZ1057" s="935"/>
      <c r="CA1057" s="935"/>
      <c r="CB1057" s="935"/>
      <c r="CC1057" s="935"/>
      <c r="CD1057" s="935"/>
      <c r="CE1057" s="935"/>
      <c r="CF1057" s="935"/>
      <c r="CG1057" s="935"/>
      <c r="CH1057" s="935"/>
      <c r="CI1057" s="935"/>
      <c r="CJ1057" s="935"/>
      <c r="CK1057" s="935"/>
      <c r="CL1057" s="935"/>
      <c r="CM1057" s="935"/>
      <c r="CN1057" s="935"/>
      <c r="CO1057" s="935"/>
      <c r="CP1057" s="935"/>
      <c r="CQ1057" s="935"/>
      <c r="CR1057" s="935"/>
      <c r="CS1057" s="935"/>
      <c r="CT1057" s="935"/>
      <c r="CU1057" s="935"/>
      <c r="CV1057" s="935"/>
    </row>
    <row r="1058" spans="1:100" s="441" customFormat="1">
      <c r="A1058" s="375">
        <f t="shared" si="292"/>
        <v>10</v>
      </c>
      <c r="B1058" s="862">
        <v>44496</v>
      </c>
      <c r="C1058" s="493" t="s">
        <v>1980</v>
      </c>
      <c r="D1058" s="376" t="str">
        <f>IFERROR(VLOOKUP(E:E,'Item Data Support Sheet'!A:O,7,0),"")</f>
        <v>NIPPLE LASER MARKING</v>
      </c>
      <c r="E1058" s="447" t="s">
        <v>1814</v>
      </c>
      <c r="F1058" s="500"/>
      <c r="G1058" s="497" t="s">
        <v>1812</v>
      </c>
      <c r="H1058" s="602" t="str">
        <f>IFERROR(VLOOKUP(E:E,'Item Data Support Sheet'!A:O,2,0),"")</f>
        <v>NIPPLE S TYPE S SIZE PUNCHED LASER MARKED</v>
      </c>
      <c r="I1058" s="501"/>
      <c r="J1058" s="501" t="s">
        <v>2809</v>
      </c>
      <c r="K1058" s="499">
        <v>8</v>
      </c>
      <c r="L1058" s="499">
        <v>7000</v>
      </c>
      <c r="M1058" s="366">
        <v>875</v>
      </c>
      <c r="N1058" s="367">
        <f t="shared" si="291"/>
        <v>7000</v>
      </c>
      <c r="O1058" s="61">
        <v>7000</v>
      </c>
      <c r="P1058" s="368">
        <v>0</v>
      </c>
      <c r="Q1058" s="368">
        <v>0</v>
      </c>
      <c r="R1058" s="494">
        <v>0</v>
      </c>
      <c r="S1058" s="493">
        <v>0</v>
      </c>
      <c r="T1058" s="494">
        <v>0</v>
      </c>
      <c r="U1058" s="493">
        <v>0</v>
      </c>
      <c r="V1058" s="502">
        <v>1</v>
      </c>
      <c r="W1058" s="453">
        <f t="shared" si="293"/>
        <v>7000</v>
      </c>
      <c r="X1058" s="748">
        <f t="shared" si="294"/>
        <v>1</v>
      </c>
      <c r="Y1058" s="451" t="str">
        <f>IFERROR(VLOOKUP(E:E,'Item Data Support Sheet'!A:J,6,0),0)</f>
        <v>FO019</v>
      </c>
      <c r="Z1058" s="428">
        <f>IFERROR(VLOOKUP(E:E,'Item Data Support Sheet'!A:O,4,0),0)</f>
        <v>0</v>
      </c>
      <c r="AA1058" s="428">
        <f t="shared" si="295"/>
        <v>0</v>
      </c>
      <c r="AB1058" s="429" t="str">
        <f t="shared" si="296"/>
        <v xml:space="preserve"> </v>
      </c>
      <c r="AC1058" s="424">
        <f t="shared" si="297"/>
        <v>0</v>
      </c>
      <c r="AD1058" s="371">
        <f t="shared" si="298"/>
        <v>0</v>
      </c>
      <c r="AE1058" s="748">
        <f t="shared" si="299"/>
        <v>1</v>
      </c>
      <c r="AF1058" s="417">
        <f t="shared" si="300"/>
        <v>0.66666666666666663</v>
      </c>
      <c r="AG1058" s="416">
        <f t="shared" si="301"/>
        <v>7.333333333333333</v>
      </c>
      <c r="AH1058" s="372">
        <f t="shared" si="302"/>
        <v>0.91666666666666663</v>
      </c>
      <c r="AI1058" s="373">
        <f t="shared" si="303"/>
        <v>875</v>
      </c>
      <c r="AJ1058" s="418">
        <f>VLOOKUP(D1058,'Standard Cycle time'!C:D,2,0)</f>
        <v>3.5</v>
      </c>
      <c r="AK1058" s="418">
        <f t="shared" si="304"/>
        <v>3.7714285714285714</v>
      </c>
      <c r="AL1058" s="374">
        <f t="shared" si="305"/>
        <v>0.92803030303030309</v>
      </c>
      <c r="AM1058" s="372">
        <f t="shared" si="306"/>
        <v>0.85069444444444442</v>
      </c>
      <c r="AN1058" s="799">
        <v>0.85069444444444442</v>
      </c>
      <c r="AO1058" s="448" t="s">
        <v>3767</v>
      </c>
      <c r="AP1058" s="440">
        <v>40</v>
      </c>
      <c r="AQ1058" s="440">
        <v>0</v>
      </c>
      <c r="AR1058" s="440">
        <v>0</v>
      </c>
      <c r="AS1058" s="440">
        <v>0</v>
      </c>
      <c r="AT1058" s="440">
        <v>0</v>
      </c>
      <c r="AU1058" s="440">
        <v>0</v>
      </c>
      <c r="AV1058" s="440">
        <v>0</v>
      </c>
      <c r="AW1058" s="440">
        <v>0</v>
      </c>
      <c r="AX1058" s="440">
        <v>0</v>
      </c>
      <c r="AY1058" s="440">
        <v>0</v>
      </c>
      <c r="AZ1058" s="440">
        <v>0</v>
      </c>
      <c r="BA1058" s="440">
        <v>0</v>
      </c>
      <c r="BB1058" s="440">
        <v>0</v>
      </c>
      <c r="BC1058" s="440">
        <v>0</v>
      </c>
      <c r="BD1058" s="440">
        <v>0</v>
      </c>
      <c r="BE1058" s="440">
        <v>0</v>
      </c>
      <c r="BF1058" s="440">
        <v>0</v>
      </c>
      <c r="BG1058" s="440">
        <v>0</v>
      </c>
      <c r="BH1058" s="440">
        <v>0</v>
      </c>
      <c r="BI1058" s="440">
        <v>0</v>
      </c>
      <c r="BJ1058" s="440">
        <v>0</v>
      </c>
      <c r="BK1058" s="440">
        <v>0</v>
      </c>
      <c r="BL1058" s="440">
        <v>0</v>
      </c>
      <c r="BM1058" s="440">
        <v>0</v>
      </c>
      <c r="BN1058" s="440">
        <v>0</v>
      </c>
      <c r="BO1058" s="440">
        <v>0</v>
      </c>
      <c r="BP1058" s="440">
        <v>0</v>
      </c>
      <c r="BQ1058" s="440">
        <v>0</v>
      </c>
      <c r="BR1058" s="415">
        <v>0.66666666666666663</v>
      </c>
      <c r="BS1058" s="415">
        <v>0.66666666666666663</v>
      </c>
      <c r="BT1058" s="935"/>
      <c r="BU1058" s="935"/>
      <c r="BV1058" s="935"/>
      <c r="BW1058" s="935"/>
      <c r="BX1058" s="935"/>
      <c r="BY1058" s="935"/>
      <c r="BZ1058" s="935"/>
      <c r="CA1058" s="935"/>
      <c r="CB1058" s="935"/>
      <c r="CC1058" s="935"/>
      <c r="CD1058" s="935"/>
      <c r="CE1058" s="935"/>
      <c r="CF1058" s="935"/>
      <c r="CG1058" s="935"/>
      <c r="CH1058" s="935"/>
      <c r="CI1058" s="935"/>
      <c r="CJ1058" s="935"/>
      <c r="CK1058" s="935"/>
      <c r="CL1058" s="935"/>
      <c r="CM1058" s="935"/>
      <c r="CN1058" s="935"/>
      <c r="CO1058" s="935"/>
      <c r="CP1058" s="935"/>
      <c r="CQ1058" s="935"/>
      <c r="CR1058" s="935"/>
      <c r="CS1058" s="935"/>
      <c r="CT1058" s="935"/>
      <c r="CU1058" s="935"/>
      <c r="CV1058" s="935"/>
    </row>
    <row r="1059" spans="1:100" s="441" customFormat="1">
      <c r="A1059" s="375">
        <f t="shared" si="292"/>
        <v>10</v>
      </c>
      <c r="B1059" s="862">
        <v>44496</v>
      </c>
      <c r="C1059" s="493" t="s">
        <v>2000</v>
      </c>
      <c r="D1059" s="376" t="str">
        <f>IFERROR(VLOOKUP(E:E,'Item Data Support Sheet'!A:O,7,0),"")</f>
        <v>NIPPLE WRAP PRINTED</v>
      </c>
      <c r="E1059" s="447" t="s">
        <v>108</v>
      </c>
      <c r="F1059" s="500"/>
      <c r="G1059" s="497" t="s">
        <v>1693</v>
      </c>
      <c r="H1059" s="602" t="str">
        <f>IFERROR(VLOOKUP(E:E,'Item Data Support Sheet'!A:O,2,0),"")</f>
        <v>NIPPLE S TYPE S SIZE WITH PRINTED WRAP</v>
      </c>
      <c r="I1059" s="501" t="s">
        <v>3819</v>
      </c>
      <c r="J1059" s="501" t="s">
        <v>2811</v>
      </c>
      <c r="K1059" s="499">
        <v>8</v>
      </c>
      <c r="L1059" s="499">
        <v>16171</v>
      </c>
      <c r="M1059" s="366">
        <v>2021.375</v>
      </c>
      <c r="N1059" s="367">
        <f t="shared" si="291"/>
        <v>14452</v>
      </c>
      <c r="O1059" s="61">
        <v>14451</v>
      </c>
      <c r="P1059" s="368">
        <v>0</v>
      </c>
      <c r="Q1059" s="368">
        <v>0</v>
      </c>
      <c r="R1059" s="494">
        <v>0</v>
      </c>
      <c r="S1059" s="493">
        <v>0</v>
      </c>
      <c r="T1059" s="494">
        <v>1</v>
      </c>
      <c r="U1059" s="493">
        <v>0</v>
      </c>
      <c r="V1059" s="502">
        <v>2</v>
      </c>
      <c r="W1059" s="453">
        <f t="shared" si="293"/>
        <v>7225.5</v>
      </c>
      <c r="X1059" s="748">
        <f t="shared" si="294"/>
        <v>0.89363675715787516</v>
      </c>
      <c r="Y1059" s="451" t="str">
        <f>IFERROR(VLOOKUP(E:E,'Item Data Support Sheet'!A:J,6,0),0)</f>
        <v>FO108</v>
      </c>
      <c r="Z1059" s="428">
        <f>IFERROR(VLOOKUP(E:E,'Item Data Support Sheet'!A:O,4,0),0)</f>
        <v>0</v>
      </c>
      <c r="AA1059" s="428">
        <f t="shared" si="295"/>
        <v>0</v>
      </c>
      <c r="AB1059" s="429" t="str">
        <f t="shared" si="296"/>
        <v xml:space="preserve"> </v>
      </c>
      <c r="AC1059" s="424">
        <f t="shared" si="297"/>
        <v>6.9194575145308605E-5</v>
      </c>
      <c r="AD1059" s="371">
        <f t="shared" si="298"/>
        <v>0</v>
      </c>
      <c r="AE1059" s="748">
        <f t="shared" si="299"/>
        <v>0.99993080542485469</v>
      </c>
      <c r="AF1059" s="417">
        <f t="shared" si="300"/>
        <v>0.83333333333333337</v>
      </c>
      <c r="AG1059" s="416">
        <f t="shared" si="301"/>
        <v>7.166666666666667</v>
      </c>
      <c r="AH1059" s="372">
        <f t="shared" si="302"/>
        <v>0.89583333333333337</v>
      </c>
      <c r="AI1059" s="373">
        <f t="shared" si="303"/>
        <v>1806.375</v>
      </c>
      <c r="AJ1059" s="418">
        <f>VLOOKUP(D1059,'Standard Cycle time'!C:D,2,0)</f>
        <v>2.5</v>
      </c>
      <c r="AK1059" s="418">
        <f t="shared" si="304"/>
        <v>3.5706871496782231</v>
      </c>
      <c r="AL1059" s="374">
        <f t="shared" si="305"/>
        <v>0.70014534883720925</v>
      </c>
      <c r="AM1059" s="372">
        <f t="shared" si="306"/>
        <v>0.62717014189212572</v>
      </c>
      <c r="AN1059" s="799">
        <v>0.62712393973214287</v>
      </c>
      <c r="AO1059" s="448"/>
      <c r="AP1059" s="440">
        <v>50</v>
      </c>
      <c r="AQ1059" s="440">
        <v>0</v>
      </c>
      <c r="AR1059" s="440">
        <v>0</v>
      </c>
      <c r="AS1059" s="440">
        <v>0</v>
      </c>
      <c r="AT1059" s="440">
        <v>0</v>
      </c>
      <c r="AU1059" s="440">
        <v>0</v>
      </c>
      <c r="AV1059" s="440">
        <v>0</v>
      </c>
      <c r="AW1059" s="440">
        <v>0</v>
      </c>
      <c r="AX1059" s="440">
        <v>0</v>
      </c>
      <c r="AY1059" s="440">
        <v>0</v>
      </c>
      <c r="AZ1059" s="440">
        <v>0</v>
      </c>
      <c r="BA1059" s="440">
        <v>0</v>
      </c>
      <c r="BB1059" s="440">
        <v>0</v>
      </c>
      <c r="BC1059" s="440">
        <v>0</v>
      </c>
      <c r="BD1059" s="440">
        <v>0</v>
      </c>
      <c r="BE1059" s="440">
        <v>0</v>
      </c>
      <c r="BF1059" s="440">
        <v>0</v>
      </c>
      <c r="BG1059" s="440">
        <v>0</v>
      </c>
      <c r="BH1059" s="440">
        <v>0</v>
      </c>
      <c r="BI1059" s="440">
        <v>0</v>
      </c>
      <c r="BJ1059" s="440">
        <v>0</v>
      </c>
      <c r="BK1059" s="440">
        <v>0</v>
      </c>
      <c r="BL1059" s="440">
        <v>0</v>
      </c>
      <c r="BM1059" s="440">
        <v>0</v>
      </c>
      <c r="BN1059" s="440">
        <v>0</v>
      </c>
      <c r="BO1059" s="440">
        <v>0</v>
      </c>
      <c r="BP1059" s="440">
        <v>0</v>
      </c>
      <c r="BQ1059" s="440">
        <v>0</v>
      </c>
      <c r="BR1059" s="415">
        <v>0.83333333333333337</v>
      </c>
      <c r="BS1059" s="415">
        <v>0.83333333333333337</v>
      </c>
      <c r="BT1059" s="935"/>
      <c r="BU1059" s="935"/>
      <c r="BV1059" s="935"/>
      <c r="BW1059" s="935"/>
      <c r="BX1059" s="935"/>
      <c r="BY1059" s="935"/>
      <c r="BZ1059" s="935"/>
      <c r="CA1059" s="935"/>
      <c r="CB1059" s="935"/>
      <c r="CC1059" s="935"/>
      <c r="CD1059" s="935"/>
      <c r="CE1059" s="935"/>
      <c r="CF1059" s="935"/>
      <c r="CG1059" s="935"/>
      <c r="CH1059" s="935"/>
      <c r="CI1059" s="935"/>
      <c r="CJ1059" s="935"/>
      <c r="CK1059" s="935"/>
      <c r="CL1059" s="935"/>
      <c r="CM1059" s="935"/>
      <c r="CN1059" s="935"/>
      <c r="CO1059" s="935"/>
      <c r="CP1059" s="935"/>
      <c r="CQ1059" s="935"/>
      <c r="CR1059" s="935"/>
      <c r="CS1059" s="935"/>
      <c r="CT1059" s="935"/>
      <c r="CU1059" s="935"/>
      <c r="CV1059" s="935"/>
    </row>
    <row r="1060" spans="1:100" s="441" customFormat="1">
      <c r="A1060" s="375">
        <f t="shared" si="292"/>
        <v>10</v>
      </c>
      <c r="B1060" s="862">
        <v>44496</v>
      </c>
      <c r="C1060" s="493" t="s">
        <v>2000</v>
      </c>
      <c r="D1060" s="376" t="str">
        <f>IFERROR(VLOOKUP(E:E,'Item Data Support Sheet'!A:O,7,0),"")</f>
        <v>NIPPLE PUNCH INSPECTED</v>
      </c>
      <c r="E1060" s="447" t="s">
        <v>1818</v>
      </c>
      <c r="F1060" s="500"/>
      <c r="G1060" s="497"/>
      <c r="H1060" s="602" t="str">
        <f>IFERROR(VLOOKUP(E:E,'Item Data Support Sheet'!A:O,2,0),"")</f>
        <v>NIPPLE S TYPE S SIZE PUNCHED INSPECTED</v>
      </c>
      <c r="I1060" s="501" t="s">
        <v>3806</v>
      </c>
      <c r="J1060" s="501" t="s">
        <v>2811</v>
      </c>
      <c r="K1060" s="499">
        <v>8</v>
      </c>
      <c r="L1060" s="499">
        <v>14000</v>
      </c>
      <c r="M1060" s="366">
        <v>1750</v>
      </c>
      <c r="N1060" s="367">
        <f t="shared" si="291"/>
        <v>13750</v>
      </c>
      <c r="O1060" s="61">
        <v>13690</v>
      </c>
      <c r="P1060" s="368">
        <v>0</v>
      </c>
      <c r="Q1060" s="368">
        <v>0</v>
      </c>
      <c r="R1060" s="494">
        <v>0</v>
      </c>
      <c r="S1060" s="493">
        <v>0</v>
      </c>
      <c r="T1060" s="494">
        <v>60</v>
      </c>
      <c r="U1060" s="493">
        <v>0</v>
      </c>
      <c r="V1060" s="502">
        <v>1</v>
      </c>
      <c r="W1060" s="453">
        <f t="shared" si="293"/>
        <v>13690</v>
      </c>
      <c r="X1060" s="748">
        <f t="shared" si="294"/>
        <v>0.97785714285714287</v>
      </c>
      <c r="Y1060" s="451" t="str">
        <f>IFERROR(VLOOKUP(E:E,'Item Data Support Sheet'!A:J,6,0),0)</f>
        <v>FO104</v>
      </c>
      <c r="Z1060" s="428">
        <f>IFERROR(VLOOKUP(E:E,'Item Data Support Sheet'!A:O,4,0),0)</f>
        <v>0</v>
      </c>
      <c r="AA1060" s="428">
        <f t="shared" si="295"/>
        <v>0</v>
      </c>
      <c r="AB1060" s="429" t="str">
        <f t="shared" si="296"/>
        <v xml:space="preserve"> </v>
      </c>
      <c r="AC1060" s="424">
        <f t="shared" si="297"/>
        <v>4.3636363636363638E-3</v>
      </c>
      <c r="AD1060" s="371">
        <f t="shared" si="298"/>
        <v>0</v>
      </c>
      <c r="AE1060" s="748">
        <f t="shared" si="299"/>
        <v>0.99563636363636365</v>
      </c>
      <c r="AF1060" s="417">
        <f t="shared" si="300"/>
        <v>0.83333333333333337</v>
      </c>
      <c r="AG1060" s="416">
        <f t="shared" si="301"/>
        <v>7.166666666666667</v>
      </c>
      <c r="AH1060" s="372">
        <f t="shared" si="302"/>
        <v>0.89583333333333337</v>
      </c>
      <c r="AI1060" s="373">
        <f t="shared" si="303"/>
        <v>1711.25</v>
      </c>
      <c r="AJ1060" s="418">
        <f>VLOOKUP(D1060,'Standard Cycle time'!C:D,2,0)</f>
        <v>4</v>
      </c>
      <c r="AK1060" s="418">
        <f t="shared" si="304"/>
        <v>1.8845872899926954</v>
      </c>
      <c r="AL1060" s="374">
        <f t="shared" si="305"/>
        <v>2.1224806201550388</v>
      </c>
      <c r="AM1060" s="372">
        <f t="shared" si="306"/>
        <v>1.8930919191919193</v>
      </c>
      <c r="AN1060" s="799">
        <v>1.8934949411077282</v>
      </c>
      <c r="AO1060" s="448"/>
      <c r="AP1060" s="440">
        <v>50</v>
      </c>
      <c r="AQ1060" s="440">
        <v>0</v>
      </c>
      <c r="AR1060" s="440">
        <v>0</v>
      </c>
      <c r="AS1060" s="440">
        <v>0</v>
      </c>
      <c r="AT1060" s="440">
        <v>0</v>
      </c>
      <c r="AU1060" s="440">
        <v>0</v>
      </c>
      <c r="AV1060" s="440">
        <v>0</v>
      </c>
      <c r="AW1060" s="440">
        <v>0</v>
      </c>
      <c r="AX1060" s="440">
        <v>0</v>
      </c>
      <c r="AY1060" s="440">
        <v>0</v>
      </c>
      <c r="AZ1060" s="440">
        <v>0</v>
      </c>
      <c r="BA1060" s="440">
        <v>0</v>
      </c>
      <c r="BB1060" s="440">
        <v>0</v>
      </c>
      <c r="BC1060" s="440">
        <v>0</v>
      </c>
      <c r="BD1060" s="440">
        <v>0</v>
      </c>
      <c r="BE1060" s="440">
        <v>0</v>
      </c>
      <c r="BF1060" s="440">
        <v>0</v>
      </c>
      <c r="BG1060" s="440">
        <v>0</v>
      </c>
      <c r="BH1060" s="440">
        <v>0</v>
      </c>
      <c r="BI1060" s="440">
        <v>0</v>
      </c>
      <c r="BJ1060" s="440">
        <v>0</v>
      </c>
      <c r="BK1060" s="440">
        <v>0</v>
      </c>
      <c r="BL1060" s="440">
        <v>0</v>
      </c>
      <c r="BM1060" s="440">
        <v>0</v>
      </c>
      <c r="BN1060" s="440">
        <v>0</v>
      </c>
      <c r="BO1060" s="440">
        <v>0</v>
      </c>
      <c r="BP1060" s="440">
        <v>0</v>
      </c>
      <c r="BQ1060" s="440">
        <v>0</v>
      </c>
      <c r="BR1060" s="415">
        <v>0.83333333333333337</v>
      </c>
      <c r="BS1060" s="415">
        <v>0.83333333333333337</v>
      </c>
      <c r="BT1060" s="935"/>
      <c r="BU1060" s="935"/>
      <c r="BV1060" s="935"/>
      <c r="BW1060" s="935"/>
      <c r="BX1060" s="935"/>
      <c r="BY1060" s="935"/>
      <c r="BZ1060" s="935"/>
      <c r="CA1060" s="935"/>
      <c r="CB1060" s="935"/>
      <c r="CC1060" s="935"/>
      <c r="CD1060" s="935"/>
      <c r="CE1060" s="935"/>
      <c r="CF1060" s="935"/>
      <c r="CG1060" s="935"/>
      <c r="CH1060" s="935"/>
      <c r="CI1060" s="935"/>
      <c r="CJ1060" s="935"/>
      <c r="CK1060" s="935"/>
      <c r="CL1060" s="935"/>
      <c r="CM1060" s="935"/>
      <c r="CN1060" s="935"/>
      <c r="CO1060" s="935"/>
      <c r="CP1060" s="935"/>
      <c r="CQ1060" s="935"/>
      <c r="CR1060" s="935"/>
      <c r="CS1060" s="935"/>
      <c r="CT1060" s="935"/>
      <c r="CU1060" s="935"/>
      <c r="CV1060" s="935"/>
    </row>
    <row r="1061" spans="1:100" s="441" customFormat="1">
      <c r="A1061" s="375">
        <f t="shared" si="292"/>
        <v>10</v>
      </c>
      <c r="B1061" s="862">
        <v>44496</v>
      </c>
      <c r="C1061" s="493" t="s">
        <v>2001</v>
      </c>
      <c r="D1061" s="376" t="str">
        <f>IFERROR(VLOOKUP(E:E,'Item Data Support Sheet'!A:O,7,0),"")</f>
        <v>NIPPLE PUNCH</v>
      </c>
      <c r="E1061" s="447" t="s">
        <v>80</v>
      </c>
      <c r="F1061" s="500"/>
      <c r="G1061" s="497" t="s">
        <v>1692</v>
      </c>
      <c r="H1061" s="602" t="str">
        <f>IFERROR(VLOOKUP(E:E,'Item Data Support Sheet'!A:O,2,0),"")</f>
        <v>NIPPLE S TYPE S SIZE PUNCHED</v>
      </c>
      <c r="I1061" s="501" t="s">
        <v>3820</v>
      </c>
      <c r="J1061" s="501" t="s">
        <v>2811</v>
      </c>
      <c r="K1061" s="499">
        <v>8</v>
      </c>
      <c r="L1061" s="499">
        <v>7000</v>
      </c>
      <c r="M1061" s="366">
        <v>875</v>
      </c>
      <c r="N1061" s="367">
        <f t="shared" si="291"/>
        <v>7600</v>
      </c>
      <c r="O1061" s="61">
        <v>7600</v>
      </c>
      <c r="P1061" s="368">
        <v>0</v>
      </c>
      <c r="Q1061" s="368">
        <v>0</v>
      </c>
      <c r="R1061" s="494">
        <v>0</v>
      </c>
      <c r="S1061" s="493">
        <v>0</v>
      </c>
      <c r="T1061" s="494">
        <v>0</v>
      </c>
      <c r="U1061" s="493">
        <v>0</v>
      </c>
      <c r="V1061" s="502">
        <v>1</v>
      </c>
      <c r="W1061" s="453">
        <f t="shared" si="293"/>
        <v>7600</v>
      </c>
      <c r="X1061" s="748">
        <f t="shared" si="294"/>
        <v>1.0857142857142856</v>
      </c>
      <c r="Y1061" s="451" t="str">
        <f>IFERROR(VLOOKUP(E:E,'Item Data Support Sheet'!A:J,6,0),0)</f>
        <v>FO015</v>
      </c>
      <c r="Z1061" s="428">
        <f>IFERROR(VLOOKUP(E:E,'Item Data Support Sheet'!A:O,4,0),0)</f>
        <v>0</v>
      </c>
      <c r="AA1061" s="428">
        <f t="shared" si="295"/>
        <v>0</v>
      </c>
      <c r="AB1061" s="429" t="str">
        <f t="shared" si="296"/>
        <v xml:space="preserve"> </v>
      </c>
      <c r="AC1061" s="424">
        <f t="shared" si="297"/>
        <v>0</v>
      </c>
      <c r="AD1061" s="371">
        <f t="shared" si="298"/>
        <v>0</v>
      </c>
      <c r="AE1061" s="748">
        <f t="shared" si="299"/>
        <v>1</v>
      </c>
      <c r="AF1061" s="417">
        <f t="shared" si="300"/>
        <v>0.66666666666666663</v>
      </c>
      <c r="AG1061" s="416">
        <f t="shared" si="301"/>
        <v>7.333333333333333</v>
      </c>
      <c r="AH1061" s="372">
        <f t="shared" si="302"/>
        <v>0.91666666666666663</v>
      </c>
      <c r="AI1061" s="373">
        <f t="shared" si="303"/>
        <v>950</v>
      </c>
      <c r="AJ1061" s="418">
        <f>VLOOKUP(D1061,'Standard Cycle time'!C:D,2,0)</f>
        <v>3.5</v>
      </c>
      <c r="AK1061" s="418">
        <f t="shared" si="304"/>
        <v>3.4736842105263159</v>
      </c>
      <c r="AL1061" s="374">
        <f t="shared" si="305"/>
        <v>1.0075757575757576</v>
      </c>
      <c r="AM1061" s="372">
        <f t="shared" si="306"/>
        <v>0.92361111111111105</v>
      </c>
      <c r="AN1061" s="799">
        <v>0.92361111111111105</v>
      </c>
      <c r="AO1061" s="448"/>
      <c r="AP1061" s="440">
        <v>40</v>
      </c>
      <c r="AQ1061" s="440">
        <v>0</v>
      </c>
      <c r="AR1061" s="440">
        <v>0</v>
      </c>
      <c r="AS1061" s="440">
        <v>0</v>
      </c>
      <c r="AT1061" s="440">
        <v>0</v>
      </c>
      <c r="AU1061" s="440">
        <v>0</v>
      </c>
      <c r="AV1061" s="440">
        <v>0</v>
      </c>
      <c r="AW1061" s="440">
        <v>0</v>
      </c>
      <c r="AX1061" s="440">
        <v>0</v>
      </c>
      <c r="AY1061" s="440">
        <v>0</v>
      </c>
      <c r="AZ1061" s="440">
        <v>0</v>
      </c>
      <c r="BA1061" s="440">
        <v>0</v>
      </c>
      <c r="BB1061" s="440">
        <v>0</v>
      </c>
      <c r="BC1061" s="440">
        <v>0</v>
      </c>
      <c r="BD1061" s="440">
        <v>0</v>
      </c>
      <c r="BE1061" s="440">
        <v>0</v>
      </c>
      <c r="BF1061" s="440">
        <v>0</v>
      </c>
      <c r="BG1061" s="440">
        <v>0</v>
      </c>
      <c r="BH1061" s="440">
        <v>0</v>
      </c>
      <c r="BI1061" s="440">
        <v>0</v>
      </c>
      <c r="BJ1061" s="440">
        <v>0</v>
      </c>
      <c r="BK1061" s="440">
        <v>0</v>
      </c>
      <c r="BL1061" s="440">
        <v>0</v>
      </c>
      <c r="BM1061" s="440">
        <v>0</v>
      </c>
      <c r="BN1061" s="440">
        <v>0</v>
      </c>
      <c r="BO1061" s="440">
        <v>0</v>
      </c>
      <c r="BP1061" s="440">
        <v>0</v>
      </c>
      <c r="BQ1061" s="440">
        <v>0</v>
      </c>
      <c r="BR1061" s="415">
        <v>0.66666666666666663</v>
      </c>
      <c r="BS1061" s="415">
        <v>0.66666666666666663</v>
      </c>
      <c r="BT1061" s="935"/>
      <c r="BU1061" s="935"/>
      <c r="BV1061" s="935"/>
      <c r="BW1061" s="935"/>
      <c r="BX1061" s="935"/>
      <c r="BY1061" s="935"/>
      <c r="BZ1061" s="935"/>
      <c r="CA1061" s="935"/>
      <c r="CB1061" s="935"/>
      <c r="CC1061" s="935"/>
      <c r="CD1061" s="935"/>
      <c r="CE1061" s="935"/>
      <c r="CF1061" s="935"/>
      <c r="CG1061" s="935"/>
      <c r="CH1061" s="935"/>
      <c r="CI1061" s="935"/>
      <c r="CJ1061" s="935"/>
      <c r="CK1061" s="935"/>
      <c r="CL1061" s="935"/>
      <c r="CM1061" s="935"/>
      <c r="CN1061" s="935"/>
      <c r="CO1061" s="935"/>
      <c r="CP1061" s="935"/>
      <c r="CQ1061" s="935"/>
      <c r="CR1061" s="935"/>
      <c r="CS1061" s="935"/>
      <c r="CT1061" s="935"/>
      <c r="CU1061" s="935"/>
      <c r="CV1061" s="935"/>
    </row>
    <row r="1062" spans="1:100" s="441" customFormat="1">
      <c r="A1062" s="375">
        <f t="shared" si="292"/>
        <v>10</v>
      </c>
      <c r="B1062" s="862">
        <v>44496</v>
      </c>
      <c r="C1062" s="493" t="s">
        <v>2001</v>
      </c>
      <c r="D1062" s="376" t="str">
        <f>IFERROR(VLOOKUP(E:E,'Item Data Support Sheet'!A:O,7,0),"")</f>
        <v>NIPPLE LASER MARKING</v>
      </c>
      <c r="E1062" s="447" t="s">
        <v>1814</v>
      </c>
      <c r="F1062" s="500"/>
      <c r="G1062" s="497" t="s">
        <v>1812</v>
      </c>
      <c r="H1062" s="602" t="str">
        <f>IFERROR(VLOOKUP(E:E,'Item Data Support Sheet'!A:O,2,0),"")</f>
        <v>NIPPLE S TYPE S SIZE PUNCHED LASER MARKED</v>
      </c>
      <c r="I1062" s="501" t="s">
        <v>3821</v>
      </c>
      <c r="J1062" s="501" t="s">
        <v>2811</v>
      </c>
      <c r="K1062" s="499">
        <v>8</v>
      </c>
      <c r="L1062" s="499">
        <v>7000</v>
      </c>
      <c r="M1062" s="366">
        <v>875</v>
      </c>
      <c r="N1062" s="367">
        <f t="shared" si="291"/>
        <v>7000</v>
      </c>
      <c r="O1062" s="61">
        <v>7000</v>
      </c>
      <c r="P1062" s="368">
        <v>0</v>
      </c>
      <c r="Q1062" s="368">
        <v>0</v>
      </c>
      <c r="R1062" s="494">
        <v>0</v>
      </c>
      <c r="S1062" s="493">
        <v>0</v>
      </c>
      <c r="T1062" s="494">
        <v>0</v>
      </c>
      <c r="U1062" s="493">
        <v>0</v>
      </c>
      <c r="V1062" s="502">
        <v>1</v>
      </c>
      <c r="W1062" s="453">
        <f t="shared" si="293"/>
        <v>7000</v>
      </c>
      <c r="X1062" s="748">
        <f t="shared" si="294"/>
        <v>1</v>
      </c>
      <c r="Y1062" s="451" t="str">
        <f>IFERROR(VLOOKUP(E:E,'Item Data Support Sheet'!A:J,6,0),0)</f>
        <v>FO019</v>
      </c>
      <c r="Z1062" s="428">
        <f>IFERROR(VLOOKUP(E:E,'Item Data Support Sheet'!A:O,4,0),0)</f>
        <v>0</v>
      </c>
      <c r="AA1062" s="428">
        <f t="shared" si="295"/>
        <v>0</v>
      </c>
      <c r="AB1062" s="429" t="str">
        <f t="shared" si="296"/>
        <v xml:space="preserve"> </v>
      </c>
      <c r="AC1062" s="424">
        <f t="shared" si="297"/>
        <v>0</v>
      </c>
      <c r="AD1062" s="371">
        <f t="shared" si="298"/>
        <v>0</v>
      </c>
      <c r="AE1062" s="748">
        <f t="shared" si="299"/>
        <v>1</v>
      </c>
      <c r="AF1062" s="417">
        <f t="shared" si="300"/>
        <v>0.66666666666666663</v>
      </c>
      <c r="AG1062" s="416">
        <f t="shared" si="301"/>
        <v>7.333333333333333</v>
      </c>
      <c r="AH1062" s="372">
        <f t="shared" si="302"/>
        <v>0.91666666666666663</v>
      </c>
      <c r="AI1062" s="373">
        <f t="shared" si="303"/>
        <v>875</v>
      </c>
      <c r="AJ1062" s="418">
        <f>VLOOKUP(D1062,'Standard Cycle time'!C:D,2,0)</f>
        <v>3.5</v>
      </c>
      <c r="AK1062" s="418">
        <f t="shared" si="304"/>
        <v>3.7714285714285714</v>
      </c>
      <c r="AL1062" s="374">
        <f t="shared" si="305"/>
        <v>0.92803030303030309</v>
      </c>
      <c r="AM1062" s="372">
        <f t="shared" si="306"/>
        <v>0.85069444444444442</v>
      </c>
      <c r="AN1062" s="799">
        <v>0.85069444444444442</v>
      </c>
      <c r="AO1062" s="448"/>
      <c r="AP1062" s="440">
        <v>40</v>
      </c>
      <c r="AQ1062" s="440">
        <v>0</v>
      </c>
      <c r="AR1062" s="440">
        <v>0</v>
      </c>
      <c r="AS1062" s="440">
        <v>0</v>
      </c>
      <c r="AT1062" s="440">
        <v>0</v>
      </c>
      <c r="AU1062" s="440">
        <v>0</v>
      </c>
      <c r="AV1062" s="440">
        <v>0</v>
      </c>
      <c r="AW1062" s="440">
        <v>0</v>
      </c>
      <c r="AX1062" s="440">
        <v>0</v>
      </c>
      <c r="AY1062" s="440">
        <v>0</v>
      </c>
      <c r="AZ1062" s="440">
        <v>0</v>
      </c>
      <c r="BA1062" s="440">
        <v>0</v>
      </c>
      <c r="BB1062" s="440">
        <v>0</v>
      </c>
      <c r="BC1062" s="440">
        <v>0</v>
      </c>
      <c r="BD1062" s="440">
        <v>0</v>
      </c>
      <c r="BE1062" s="440">
        <v>0</v>
      </c>
      <c r="BF1062" s="440">
        <v>0</v>
      </c>
      <c r="BG1062" s="440">
        <v>0</v>
      </c>
      <c r="BH1062" s="440">
        <v>0</v>
      </c>
      <c r="BI1062" s="440">
        <v>0</v>
      </c>
      <c r="BJ1062" s="440">
        <v>0</v>
      </c>
      <c r="BK1062" s="440">
        <v>0</v>
      </c>
      <c r="BL1062" s="440">
        <v>0</v>
      </c>
      <c r="BM1062" s="440">
        <v>0</v>
      </c>
      <c r="BN1062" s="440">
        <v>0</v>
      </c>
      <c r="BO1062" s="440">
        <v>0</v>
      </c>
      <c r="BP1062" s="440">
        <v>0</v>
      </c>
      <c r="BQ1062" s="440">
        <v>0</v>
      </c>
      <c r="BR1062" s="415">
        <v>0.66666666666666663</v>
      </c>
      <c r="BS1062" s="415">
        <v>0.66666666666666663</v>
      </c>
      <c r="BT1062" s="935"/>
      <c r="BU1062" s="935"/>
      <c r="BV1062" s="935"/>
      <c r="BW1062" s="935"/>
      <c r="BX1062" s="935"/>
      <c r="BY1062" s="935"/>
      <c r="BZ1062" s="935"/>
      <c r="CA1062" s="935"/>
      <c r="CB1062" s="935"/>
      <c r="CC1062" s="935"/>
      <c r="CD1062" s="935"/>
      <c r="CE1062" s="935"/>
      <c r="CF1062" s="935"/>
      <c r="CG1062" s="935"/>
      <c r="CH1062" s="935"/>
      <c r="CI1062" s="935"/>
      <c r="CJ1062" s="935"/>
      <c r="CK1062" s="935"/>
      <c r="CL1062" s="935"/>
      <c r="CM1062" s="935"/>
      <c r="CN1062" s="935"/>
      <c r="CO1062" s="935"/>
      <c r="CP1062" s="935"/>
      <c r="CQ1062" s="935"/>
      <c r="CR1062" s="935"/>
      <c r="CS1062" s="935"/>
      <c r="CT1062" s="935"/>
      <c r="CU1062" s="935"/>
      <c r="CV1062" s="935"/>
    </row>
    <row r="1063" spans="1:100" s="441" customFormat="1">
      <c r="A1063" s="375">
        <f t="shared" si="292"/>
        <v>10</v>
      </c>
      <c r="B1063" s="862">
        <v>44496</v>
      </c>
      <c r="C1063" s="493" t="s">
        <v>2001</v>
      </c>
      <c r="D1063" s="376" t="str">
        <f>IFERROR(VLOOKUP(E:E,'Item Data Support Sheet'!A:O,7,0),"")</f>
        <v>HOOD MOLDED</v>
      </c>
      <c r="E1063" s="447" t="s">
        <v>1987</v>
      </c>
      <c r="F1063" s="500"/>
      <c r="G1063" s="497" t="s">
        <v>2729</v>
      </c>
      <c r="H1063" s="602" t="str">
        <f>IFERROR(VLOOKUP(E:E,'Item Data Support Sheet'!A:O,2,0),"")</f>
        <v>HOOD S TYPE MOLDED</v>
      </c>
      <c r="I1063" s="501" t="s">
        <v>3822</v>
      </c>
      <c r="J1063" s="501" t="s">
        <v>2811</v>
      </c>
      <c r="K1063" s="499">
        <v>8</v>
      </c>
      <c r="L1063" s="499">
        <v>4137</v>
      </c>
      <c r="M1063" s="366">
        <v>517.125</v>
      </c>
      <c r="N1063" s="367">
        <f t="shared" si="291"/>
        <v>5042</v>
      </c>
      <c r="O1063" s="61">
        <v>5000</v>
      </c>
      <c r="P1063" s="368">
        <v>0</v>
      </c>
      <c r="Q1063" s="368">
        <v>12</v>
      </c>
      <c r="R1063" s="494">
        <v>0</v>
      </c>
      <c r="S1063" s="493">
        <v>0</v>
      </c>
      <c r="T1063" s="494">
        <v>30</v>
      </c>
      <c r="U1063" s="493">
        <v>0</v>
      </c>
      <c r="V1063" s="502">
        <v>1</v>
      </c>
      <c r="W1063" s="453">
        <f t="shared" si="293"/>
        <v>5000</v>
      </c>
      <c r="X1063" s="748">
        <f t="shared" si="294"/>
        <v>1.2086052695189751</v>
      </c>
      <c r="Y1063" s="451" t="str">
        <f>IFERROR(VLOOKUP(E:E,'Item Data Support Sheet'!A:J,6,0),0)</f>
        <v>HMC</v>
      </c>
      <c r="Z1063" s="428">
        <f>IFERROR(VLOOKUP(E:E,'Item Data Support Sheet'!A:O,4,0),0)</f>
        <v>8.6</v>
      </c>
      <c r="AA1063" s="428">
        <f t="shared" si="295"/>
        <v>43.361199999999997</v>
      </c>
      <c r="AB1063" s="429">
        <f t="shared" si="296"/>
        <v>0.99166997223324083</v>
      </c>
      <c r="AC1063" s="424">
        <f t="shared" si="297"/>
        <v>5.9642147117296221E-3</v>
      </c>
      <c r="AD1063" s="371">
        <f t="shared" si="298"/>
        <v>2.3743569449940641E-3</v>
      </c>
      <c r="AE1063" s="748">
        <f t="shared" si="299"/>
        <v>0.99404998016660051</v>
      </c>
      <c r="AF1063" s="417">
        <f t="shared" si="300"/>
        <v>0</v>
      </c>
      <c r="AG1063" s="416">
        <f t="shared" si="301"/>
        <v>8</v>
      </c>
      <c r="AH1063" s="372">
        <f t="shared" si="302"/>
        <v>1</v>
      </c>
      <c r="AI1063" s="373">
        <f t="shared" si="303"/>
        <v>625</v>
      </c>
      <c r="AJ1063" s="418">
        <f>VLOOKUP(D1063,'Standard Cycle time'!C:D,2,0)</f>
        <v>6</v>
      </c>
      <c r="AK1063" s="418">
        <f t="shared" si="304"/>
        <v>5.76</v>
      </c>
      <c r="AL1063" s="374">
        <f t="shared" si="305"/>
        <v>1.0416666666666667</v>
      </c>
      <c r="AM1063" s="372">
        <f t="shared" si="306"/>
        <v>1.0354687293402089</v>
      </c>
      <c r="AN1063" s="799">
        <v>1.0372023809523809</v>
      </c>
      <c r="AO1063" s="448"/>
      <c r="AP1063" s="440">
        <v>0</v>
      </c>
      <c r="AQ1063" s="440">
        <v>0</v>
      </c>
      <c r="AR1063" s="440">
        <v>0</v>
      </c>
      <c r="AS1063" s="440">
        <v>0</v>
      </c>
      <c r="AT1063" s="440">
        <v>0</v>
      </c>
      <c r="AU1063" s="440">
        <v>0</v>
      </c>
      <c r="AV1063" s="440">
        <v>0</v>
      </c>
      <c r="AW1063" s="440">
        <v>0</v>
      </c>
      <c r="AX1063" s="440">
        <v>0</v>
      </c>
      <c r="AY1063" s="440">
        <v>0</v>
      </c>
      <c r="AZ1063" s="440">
        <v>0</v>
      </c>
      <c r="BA1063" s="440">
        <v>0</v>
      </c>
      <c r="BB1063" s="440">
        <v>0</v>
      </c>
      <c r="BC1063" s="440">
        <v>0</v>
      </c>
      <c r="BD1063" s="440">
        <v>0</v>
      </c>
      <c r="BE1063" s="440">
        <v>0</v>
      </c>
      <c r="BF1063" s="440">
        <v>0</v>
      </c>
      <c r="BG1063" s="440">
        <v>0</v>
      </c>
      <c r="BH1063" s="440">
        <v>0</v>
      </c>
      <c r="BI1063" s="440">
        <v>0</v>
      </c>
      <c r="BJ1063" s="440">
        <v>0</v>
      </c>
      <c r="BK1063" s="440">
        <v>0</v>
      </c>
      <c r="BL1063" s="440">
        <v>0</v>
      </c>
      <c r="BM1063" s="440">
        <v>0</v>
      </c>
      <c r="BN1063" s="440">
        <v>0</v>
      </c>
      <c r="BO1063" s="440">
        <v>0</v>
      </c>
      <c r="BP1063" s="440">
        <v>0</v>
      </c>
      <c r="BQ1063" s="440">
        <v>0</v>
      </c>
      <c r="BR1063" s="415">
        <v>0</v>
      </c>
      <c r="BS1063" s="415">
        <v>0</v>
      </c>
      <c r="BT1063" s="935"/>
      <c r="BU1063" s="935"/>
      <c r="BV1063" s="935"/>
      <c r="BW1063" s="935"/>
      <c r="BX1063" s="935"/>
      <c r="BY1063" s="935"/>
      <c r="BZ1063" s="935"/>
      <c r="CA1063" s="935"/>
      <c r="CB1063" s="935"/>
      <c r="CC1063" s="935"/>
      <c r="CD1063" s="935"/>
      <c r="CE1063" s="935"/>
      <c r="CF1063" s="935"/>
      <c r="CG1063" s="935"/>
      <c r="CH1063" s="935"/>
      <c r="CI1063" s="935"/>
      <c r="CJ1063" s="935"/>
      <c r="CK1063" s="935"/>
      <c r="CL1063" s="935"/>
      <c r="CM1063" s="935"/>
      <c r="CN1063" s="935"/>
      <c r="CO1063" s="935"/>
      <c r="CP1063" s="935"/>
      <c r="CQ1063" s="935"/>
      <c r="CR1063" s="935"/>
      <c r="CS1063" s="935"/>
      <c r="CT1063" s="935"/>
      <c r="CU1063" s="935"/>
      <c r="CV1063" s="935"/>
    </row>
    <row r="1064" spans="1:100" s="441" customFormat="1">
      <c r="A1064" s="375">
        <f t="shared" si="292"/>
        <v>10</v>
      </c>
      <c r="B1064" s="862">
        <v>44496</v>
      </c>
      <c r="C1064" s="493" t="s">
        <v>2001</v>
      </c>
      <c r="D1064" s="376" t="str">
        <f>IFERROR(VLOOKUP(E:E,'Item Data Support Sheet'!A:O,7,0),"")</f>
        <v>NIPPLE MOLDED</v>
      </c>
      <c r="E1064" s="447" t="s">
        <v>72</v>
      </c>
      <c r="F1064" s="500" t="s">
        <v>1678</v>
      </c>
      <c r="G1064" s="497" t="s">
        <v>1691</v>
      </c>
      <c r="H1064" s="602" t="str">
        <f>IFERROR(VLOOKUP(E:E,'Item Data Support Sheet'!A:O,2,0),"")</f>
        <v>NIPPLE S TYPE S SIZE INJECTION</v>
      </c>
      <c r="I1064" s="501" t="s">
        <v>3823</v>
      </c>
      <c r="J1064" s="501" t="s">
        <v>2811</v>
      </c>
      <c r="K1064" s="499">
        <v>8</v>
      </c>
      <c r="L1064" s="499">
        <v>4815</v>
      </c>
      <c r="M1064" s="366">
        <v>601.875</v>
      </c>
      <c r="N1064" s="367">
        <f t="shared" si="291"/>
        <v>5091</v>
      </c>
      <c r="O1064" s="61">
        <v>5000</v>
      </c>
      <c r="P1064" s="368">
        <v>0</v>
      </c>
      <c r="Q1064" s="368">
        <v>50</v>
      </c>
      <c r="R1064" s="494">
        <v>0</v>
      </c>
      <c r="S1064" s="493">
        <v>0</v>
      </c>
      <c r="T1064" s="494">
        <v>41</v>
      </c>
      <c r="U1064" s="493">
        <v>0</v>
      </c>
      <c r="V1064" s="502">
        <v>1</v>
      </c>
      <c r="W1064" s="453">
        <f t="shared" si="293"/>
        <v>5000</v>
      </c>
      <c r="X1064" s="748">
        <f t="shared" si="294"/>
        <v>1.0384215991692627</v>
      </c>
      <c r="Y1064" s="451" t="str">
        <f>IFERROR(VLOOKUP(E:E,'Item Data Support Sheet'!A:J,6,0),0)</f>
        <v>Silicon</v>
      </c>
      <c r="Z1064" s="428">
        <f>IFERROR(VLOOKUP(E:E,'Item Data Support Sheet'!A:O,4,0),0)</f>
        <v>6.8</v>
      </c>
      <c r="AA1064" s="428">
        <f t="shared" si="295"/>
        <v>34.6188</v>
      </c>
      <c r="AB1064" s="429">
        <f t="shared" si="296"/>
        <v>0.98212531919072876</v>
      </c>
      <c r="AC1064" s="424">
        <f t="shared" si="297"/>
        <v>8.1333068835548507E-3</v>
      </c>
      <c r="AD1064" s="371">
        <f t="shared" si="298"/>
        <v>9.7257342929391172E-3</v>
      </c>
      <c r="AE1064" s="748">
        <f t="shared" si="299"/>
        <v>0.99194657238263606</v>
      </c>
      <c r="AF1064" s="417">
        <f t="shared" si="300"/>
        <v>0</v>
      </c>
      <c r="AG1064" s="416">
        <f t="shared" si="301"/>
        <v>8</v>
      </c>
      <c r="AH1064" s="372">
        <f t="shared" si="302"/>
        <v>1</v>
      </c>
      <c r="AI1064" s="373">
        <f t="shared" si="303"/>
        <v>625</v>
      </c>
      <c r="AJ1064" s="418">
        <f>VLOOKUP(D1064,'Standard Cycle time'!C:D,2,0)</f>
        <v>5.25</v>
      </c>
      <c r="AK1064" s="418">
        <f t="shared" si="304"/>
        <v>5.76</v>
      </c>
      <c r="AL1064" s="374">
        <f t="shared" si="305"/>
        <v>0.91145833333333337</v>
      </c>
      <c r="AM1064" s="372">
        <f t="shared" si="306"/>
        <v>0.90411796961959023</v>
      </c>
      <c r="AN1064" s="799">
        <v>0.90404663328044432</v>
      </c>
      <c r="AO1064" s="448"/>
      <c r="AP1064" s="440">
        <v>0</v>
      </c>
      <c r="AQ1064" s="440">
        <v>0</v>
      </c>
      <c r="AR1064" s="440">
        <v>0</v>
      </c>
      <c r="AS1064" s="440">
        <v>0</v>
      </c>
      <c r="AT1064" s="440">
        <v>0</v>
      </c>
      <c r="AU1064" s="440">
        <v>0</v>
      </c>
      <c r="AV1064" s="440">
        <v>0</v>
      </c>
      <c r="AW1064" s="440">
        <v>0</v>
      </c>
      <c r="AX1064" s="440">
        <v>0</v>
      </c>
      <c r="AY1064" s="440">
        <v>0</v>
      </c>
      <c r="AZ1064" s="440">
        <v>0</v>
      </c>
      <c r="BA1064" s="440">
        <v>0</v>
      </c>
      <c r="BB1064" s="440">
        <v>0</v>
      </c>
      <c r="BC1064" s="440">
        <v>0</v>
      </c>
      <c r="BD1064" s="440">
        <v>0</v>
      </c>
      <c r="BE1064" s="440">
        <v>0</v>
      </c>
      <c r="BF1064" s="440">
        <v>0</v>
      </c>
      <c r="BG1064" s="440">
        <v>0</v>
      </c>
      <c r="BH1064" s="440">
        <v>0</v>
      </c>
      <c r="BI1064" s="440">
        <v>0</v>
      </c>
      <c r="BJ1064" s="440">
        <v>0</v>
      </c>
      <c r="BK1064" s="440">
        <v>0</v>
      </c>
      <c r="BL1064" s="440">
        <v>0</v>
      </c>
      <c r="BM1064" s="440">
        <v>0</v>
      </c>
      <c r="BN1064" s="440">
        <v>0</v>
      </c>
      <c r="BO1064" s="440">
        <v>0</v>
      </c>
      <c r="BP1064" s="440">
        <v>0</v>
      </c>
      <c r="BQ1064" s="440">
        <v>0</v>
      </c>
      <c r="BR1064" s="415">
        <v>0</v>
      </c>
      <c r="BS1064" s="415">
        <v>0</v>
      </c>
      <c r="BT1064" s="935"/>
      <c r="BU1064" s="935"/>
      <c r="BV1064" s="935"/>
      <c r="BW1064" s="935"/>
      <c r="BX1064" s="935"/>
      <c r="BY1064" s="935"/>
      <c r="BZ1064" s="935"/>
      <c r="CA1064" s="935"/>
      <c r="CB1064" s="935"/>
      <c r="CC1064" s="935"/>
      <c r="CD1064" s="935"/>
      <c r="CE1064" s="935"/>
      <c r="CF1064" s="935"/>
      <c r="CG1064" s="935"/>
      <c r="CH1064" s="935"/>
      <c r="CI1064" s="935"/>
      <c r="CJ1064" s="935"/>
      <c r="CK1064" s="935"/>
      <c r="CL1064" s="935"/>
      <c r="CM1064" s="935"/>
      <c r="CN1064" s="935"/>
      <c r="CO1064" s="935"/>
      <c r="CP1064" s="935"/>
      <c r="CQ1064" s="935"/>
      <c r="CR1064" s="935"/>
      <c r="CS1064" s="935"/>
      <c r="CT1064" s="935"/>
      <c r="CU1064" s="935"/>
      <c r="CV1064" s="935"/>
    </row>
    <row r="1065" spans="1:100" s="441" customFormat="1">
      <c r="A1065" s="375">
        <f t="shared" si="292"/>
        <v>10</v>
      </c>
      <c r="B1065" s="862">
        <v>44496</v>
      </c>
      <c r="C1065" s="493" t="s">
        <v>3824</v>
      </c>
      <c r="D1065" s="376" t="str">
        <f>IFERROR(VLOOKUP(E:E,'Item Data Support Sheet'!A:O,7,0),"")</f>
        <v>BOTTLE MOLDED</v>
      </c>
      <c r="E1065" s="447" t="s">
        <v>14</v>
      </c>
      <c r="F1065" s="500" t="s">
        <v>1681</v>
      </c>
      <c r="G1065" s="497" t="s">
        <v>1888</v>
      </c>
      <c r="H1065" s="602" t="str">
        <f>IFERROR(VLOOKUP(E:E,'Item Data Support Sheet'!A:O,2,0),"")</f>
        <v>KPP 240 ML BOTTLE MOLDED</v>
      </c>
      <c r="I1065" s="501" t="s">
        <v>3825</v>
      </c>
      <c r="J1065" s="501" t="s">
        <v>2811</v>
      </c>
      <c r="K1065" s="499">
        <v>8</v>
      </c>
      <c r="L1065" s="499">
        <v>2574</v>
      </c>
      <c r="M1065" s="366">
        <v>321.75</v>
      </c>
      <c r="N1065" s="367">
        <f t="shared" si="291"/>
        <v>3227</v>
      </c>
      <c r="O1065" s="61">
        <v>3132</v>
      </c>
      <c r="P1065" s="368">
        <v>0.157</v>
      </c>
      <c r="Q1065" s="368">
        <v>55</v>
      </c>
      <c r="R1065" s="494">
        <v>0</v>
      </c>
      <c r="S1065" s="493">
        <v>0</v>
      </c>
      <c r="T1065" s="494">
        <v>40</v>
      </c>
      <c r="U1065" s="493">
        <v>0</v>
      </c>
      <c r="V1065" s="502">
        <v>1</v>
      </c>
      <c r="W1065" s="453">
        <f t="shared" si="293"/>
        <v>3132</v>
      </c>
      <c r="X1065" s="748">
        <f t="shared" si="294"/>
        <v>1.2167832167832169</v>
      </c>
      <c r="Y1065" s="451" t="str">
        <f>IFERROR(VLOOKUP(E:E,'Item Data Support Sheet'!A:J,6,0),0)</f>
        <v>HMC</v>
      </c>
      <c r="Z1065" s="428">
        <f>IFERROR(VLOOKUP(E:E,'Item Data Support Sheet'!A:O,4,0),0)</f>
        <v>32.1</v>
      </c>
      <c r="AA1065" s="428">
        <f t="shared" si="295"/>
        <v>103.7437</v>
      </c>
      <c r="AB1065" s="429">
        <f t="shared" si="296"/>
        <v>0.96909209908649885</v>
      </c>
      <c r="AC1065" s="424">
        <f t="shared" si="297"/>
        <v>1.2610340479192938E-2</v>
      </c>
      <c r="AD1065" s="371">
        <f t="shared" si="298"/>
        <v>1.6758074344911639E-2</v>
      </c>
      <c r="AE1065" s="748">
        <f t="shared" si="299"/>
        <v>0.98760458630306791</v>
      </c>
      <c r="AF1065" s="417">
        <f t="shared" si="300"/>
        <v>0</v>
      </c>
      <c r="AG1065" s="416">
        <f t="shared" si="301"/>
        <v>8</v>
      </c>
      <c r="AH1065" s="372">
        <f t="shared" si="302"/>
        <v>1</v>
      </c>
      <c r="AI1065" s="373">
        <f t="shared" si="303"/>
        <v>391.5</v>
      </c>
      <c r="AJ1065" s="418">
        <f>VLOOKUP(D1065,'Standard Cycle time'!C:D,2,0)</f>
        <v>9</v>
      </c>
      <c r="AK1065" s="418">
        <f t="shared" si="304"/>
        <v>9.1954022988505741</v>
      </c>
      <c r="AL1065" s="374">
        <f t="shared" si="305"/>
        <v>0.97875000000000001</v>
      </c>
      <c r="AM1065" s="372">
        <f t="shared" si="306"/>
        <v>0.96661798884412775</v>
      </c>
      <c r="AN1065" s="799">
        <v>0.97105995875073658</v>
      </c>
      <c r="AO1065" s="448"/>
      <c r="AP1065" s="440">
        <v>0</v>
      </c>
      <c r="AQ1065" s="440">
        <v>0</v>
      </c>
      <c r="AR1065" s="440">
        <v>0</v>
      </c>
      <c r="AS1065" s="440">
        <v>0</v>
      </c>
      <c r="AT1065" s="440">
        <v>0</v>
      </c>
      <c r="AU1065" s="440">
        <v>0</v>
      </c>
      <c r="AV1065" s="440">
        <v>0</v>
      </c>
      <c r="AW1065" s="440">
        <v>0</v>
      </c>
      <c r="AX1065" s="440">
        <v>0</v>
      </c>
      <c r="AY1065" s="440">
        <v>0</v>
      </c>
      <c r="AZ1065" s="440">
        <v>0</v>
      </c>
      <c r="BA1065" s="440">
        <v>0</v>
      </c>
      <c r="BB1065" s="440">
        <v>0</v>
      </c>
      <c r="BC1065" s="440">
        <v>0</v>
      </c>
      <c r="BD1065" s="440">
        <v>0</v>
      </c>
      <c r="BE1065" s="440">
        <v>0</v>
      </c>
      <c r="BF1065" s="440">
        <v>0</v>
      </c>
      <c r="BG1065" s="440">
        <v>0</v>
      </c>
      <c r="BH1065" s="440">
        <v>0</v>
      </c>
      <c r="BI1065" s="440">
        <v>0</v>
      </c>
      <c r="BJ1065" s="440">
        <v>0</v>
      </c>
      <c r="BK1065" s="440">
        <v>0</v>
      </c>
      <c r="BL1065" s="440">
        <v>0</v>
      </c>
      <c r="BM1065" s="440">
        <v>0</v>
      </c>
      <c r="BN1065" s="440">
        <v>0</v>
      </c>
      <c r="BO1065" s="440">
        <v>0</v>
      </c>
      <c r="BP1065" s="440">
        <v>0</v>
      </c>
      <c r="BQ1065" s="440">
        <v>0</v>
      </c>
      <c r="BR1065" s="415">
        <v>0</v>
      </c>
      <c r="BS1065" s="415">
        <v>0</v>
      </c>
      <c r="BT1065" s="935"/>
      <c r="BU1065" s="935"/>
      <c r="BV1065" s="935"/>
      <c r="BW1065" s="935"/>
      <c r="BX1065" s="935"/>
      <c r="BY1065" s="935"/>
      <c r="BZ1065" s="935"/>
      <c r="CA1065" s="935"/>
      <c r="CB1065" s="935"/>
      <c r="CC1065" s="935"/>
      <c r="CD1065" s="935"/>
      <c r="CE1065" s="935"/>
      <c r="CF1065" s="935"/>
      <c r="CG1065" s="935"/>
      <c r="CH1065" s="935"/>
      <c r="CI1065" s="935"/>
      <c r="CJ1065" s="935"/>
      <c r="CK1065" s="935"/>
      <c r="CL1065" s="935"/>
      <c r="CM1065" s="935"/>
      <c r="CN1065" s="935"/>
      <c r="CO1065" s="935"/>
      <c r="CP1065" s="935"/>
      <c r="CQ1065" s="935"/>
      <c r="CR1065" s="935"/>
      <c r="CS1065" s="935"/>
      <c r="CT1065" s="935"/>
      <c r="CU1065" s="935"/>
      <c r="CV1065" s="935"/>
    </row>
    <row r="1066" spans="1:100" s="441" customFormat="1">
      <c r="A1066" s="375">
        <f t="shared" si="292"/>
        <v>10</v>
      </c>
      <c r="B1066" s="862">
        <v>44496</v>
      </c>
      <c r="C1066" s="493" t="s">
        <v>2053</v>
      </c>
      <c r="D1066" s="376" t="str">
        <f>IFERROR(VLOOKUP(E:E,'Item Data Support Sheet'!A:O,7,0),"")</f>
        <v>HOOD MOLDED</v>
      </c>
      <c r="E1066" s="447" t="s">
        <v>1987</v>
      </c>
      <c r="F1066" s="500"/>
      <c r="G1066" s="497" t="s">
        <v>2729</v>
      </c>
      <c r="H1066" s="602" t="str">
        <f>IFERROR(VLOOKUP(E:E,'Item Data Support Sheet'!A:O,2,0),"")</f>
        <v>HOOD S TYPE MOLDED</v>
      </c>
      <c r="I1066" s="501" t="s">
        <v>3826</v>
      </c>
      <c r="J1066" s="501" t="s">
        <v>2808</v>
      </c>
      <c r="K1066" s="499">
        <v>8</v>
      </c>
      <c r="L1066" s="499">
        <v>4137</v>
      </c>
      <c r="M1066" s="366">
        <v>517.125</v>
      </c>
      <c r="N1066" s="367">
        <f t="shared" si="291"/>
        <v>4708</v>
      </c>
      <c r="O1066" s="61">
        <v>4700</v>
      </c>
      <c r="P1066" s="368">
        <v>0</v>
      </c>
      <c r="Q1066" s="368">
        <v>0</v>
      </c>
      <c r="R1066" s="494">
        <v>0</v>
      </c>
      <c r="S1066" s="493">
        <v>0</v>
      </c>
      <c r="T1066" s="494">
        <v>0</v>
      </c>
      <c r="U1066" s="493">
        <v>8</v>
      </c>
      <c r="V1066" s="502">
        <v>1</v>
      </c>
      <c r="W1066" s="453">
        <f t="shared" si="293"/>
        <v>4700</v>
      </c>
      <c r="X1066" s="748">
        <f t="shared" si="294"/>
        <v>1.1360889533478367</v>
      </c>
      <c r="Y1066" s="451" t="str">
        <f>IFERROR(VLOOKUP(E:E,'Item Data Support Sheet'!A:J,6,0),0)</f>
        <v>HMC</v>
      </c>
      <c r="Z1066" s="428">
        <f>IFERROR(VLOOKUP(E:E,'Item Data Support Sheet'!A:O,4,0),0)</f>
        <v>8.6</v>
      </c>
      <c r="AA1066" s="428">
        <f t="shared" si="295"/>
        <v>40.488799999999998</v>
      </c>
      <c r="AB1066" s="429">
        <f t="shared" si="296"/>
        <v>0.99830076465590489</v>
      </c>
      <c r="AC1066" s="424">
        <f t="shared" si="297"/>
        <v>0</v>
      </c>
      <c r="AD1066" s="371">
        <f t="shared" si="298"/>
        <v>0</v>
      </c>
      <c r="AE1066" s="748">
        <f t="shared" si="299"/>
        <v>1</v>
      </c>
      <c r="AF1066" s="417">
        <f t="shared" si="300"/>
        <v>0.33333333333333331</v>
      </c>
      <c r="AG1066" s="416">
        <f t="shared" si="301"/>
        <v>7.666666666666667</v>
      </c>
      <c r="AH1066" s="372">
        <f t="shared" si="302"/>
        <v>0.95833333333333337</v>
      </c>
      <c r="AI1066" s="373">
        <f t="shared" si="303"/>
        <v>587.5</v>
      </c>
      <c r="AJ1066" s="418">
        <f>VLOOKUP(D1066,'Standard Cycle time'!C:D,2,0)</f>
        <v>6</v>
      </c>
      <c r="AK1066" s="418">
        <f t="shared" si="304"/>
        <v>5.8723404255319149</v>
      </c>
      <c r="AL1066" s="374">
        <f t="shared" si="305"/>
        <v>1.0217391304347827</v>
      </c>
      <c r="AM1066" s="372">
        <f t="shared" si="306"/>
        <v>0.97916666666666685</v>
      </c>
      <c r="AN1066" s="799">
        <v>0.97916666666666685</v>
      </c>
      <c r="AO1066" s="448"/>
      <c r="AP1066" s="440">
        <v>0</v>
      </c>
      <c r="AQ1066" s="440">
        <v>0</v>
      </c>
      <c r="AR1066" s="440">
        <v>0</v>
      </c>
      <c r="AS1066" s="440">
        <v>0</v>
      </c>
      <c r="AT1066" s="440">
        <v>0</v>
      </c>
      <c r="AU1066" s="440">
        <v>0</v>
      </c>
      <c r="AV1066" s="440">
        <v>20</v>
      </c>
      <c r="AW1066" s="440">
        <v>0</v>
      </c>
      <c r="AX1066" s="440">
        <v>0</v>
      </c>
      <c r="AY1066" s="440">
        <v>0</v>
      </c>
      <c r="AZ1066" s="440">
        <v>0</v>
      </c>
      <c r="BA1066" s="440">
        <v>0</v>
      </c>
      <c r="BB1066" s="440">
        <v>0</v>
      </c>
      <c r="BC1066" s="440">
        <v>0</v>
      </c>
      <c r="BD1066" s="440">
        <v>0</v>
      </c>
      <c r="BE1066" s="440">
        <v>0</v>
      </c>
      <c r="BF1066" s="440">
        <v>0</v>
      </c>
      <c r="BG1066" s="440">
        <v>0</v>
      </c>
      <c r="BH1066" s="440">
        <v>0</v>
      </c>
      <c r="BI1066" s="440">
        <v>0</v>
      </c>
      <c r="BJ1066" s="440">
        <v>0</v>
      </c>
      <c r="BK1066" s="440">
        <v>0</v>
      </c>
      <c r="BL1066" s="440">
        <v>0</v>
      </c>
      <c r="BM1066" s="440">
        <v>0</v>
      </c>
      <c r="BN1066" s="440">
        <v>0</v>
      </c>
      <c r="BO1066" s="440">
        <v>0</v>
      </c>
      <c r="BP1066" s="440">
        <v>0</v>
      </c>
      <c r="BQ1066" s="440">
        <v>0</v>
      </c>
      <c r="BR1066" s="415">
        <v>0.33333333333333331</v>
      </c>
      <c r="BS1066" s="415">
        <v>0.33333333333333331</v>
      </c>
      <c r="BT1066" s="935"/>
      <c r="BU1066" s="935"/>
      <c r="BV1066" s="935"/>
      <c r="BW1066" s="935"/>
      <c r="BX1066" s="935"/>
      <c r="BY1066" s="935"/>
      <c r="BZ1066" s="935"/>
      <c r="CA1066" s="935"/>
      <c r="CB1066" s="935"/>
      <c r="CC1066" s="935"/>
      <c r="CD1066" s="935"/>
      <c r="CE1066" s="935"/>
      <c r="CF1066" s="935"/>
      <c r="CG1066" s="935"/>
      <c r="CH1066" s="935"/>
      <c r="CI1066" s="935"/>
      <c r="CJ1066" s="935"/>
      <c r="CK1066" s="935"/>
      <c r="CL1066" s="935"/>
      <c r="CM1066" s="935"/>
      <c r="CN1066" s="935"/>
      <c r="CO1066" s="935"/>
      <c r="CP1066" s="935"/>
      <c r="CQ1066" s="935"/>
      <c r="CR1066" s="935"/>
      <c r="CS1066" s="935"/>
      <c r="CT1066" s="935"/>
      <c r="CU1066" s="935"/>
      <c r="CV1066" s="935"/>
    </row>
    <row r="1067" spans="1:100" s="441" customFormat="1">
      <c r="A1067" s="375">
        <f t="shared" si="292"/>
        <v>10</v>
      </c>
      <c r="B1067" s="862">
        <v>44496</v>
      </c>
      <c r="C1067" s="493" t="s">
        <v>2053</v>
      </c>
      <c r="D1067" s="376" t="str">
        <f>IFERROR(VLOOKUP(E:E,'Item Data Support Sheet'!A:O,7,0),"")</f>
        <v>BOTTLE MOLDED</v>
      </c>
      <c r="E1067" s="447" t="s">
        <v>14</v>
      </c>
      <c r="F1067" s="500" t="s">
        <v>1681</v>
      </c>
      <c r="G1067" s="497" t="s">
        <v>1888</v>
      </c>
      <c r="H1067" s="602" t="str">
        <f>IFERROR(VLOOKUP(E:E,'Item Data Support Sheet'!A:O,2,0),"")</f>
        <v>KPP 240 ML BOTTLE MOLDED</v>
      </c>
      <c r="I1067" s="501" t="s">
        <v>3827</v>
      </c>
      <c r="J1067" s="501" t="s">
        <v>2808</v>
      </c>
      <c r="K1067" s="499">
        <v>8</v>
      </c>
      <c r="L1067" s="499">
        <v>2574</v>
      </c>
      <c r="M1067" s="366">
        <v>321.75</v>
      </c>
      <c r="N1067" s="367">
        <f t="shared" si="291"/>
        <v>2940</v>
      </c>
      <c r="O1067" s="61">
        <v>2808</v>
      </c>
      <c r="P1067" s="368">
        <v>0.23</v>
      </c>
      <c r="Q1067" s="368">
        <v>58</v>
      </c>
      <c r="R1067" s="494">
        <v>0</v>
      </c>
      <c r="S1067" s="493">
        <v>0</v>
      </c>
      <c r="T1067" s="494">
        <v>66</v>
      </c>
      <c r="U1067" s="493">
        <v>8</v>
      </c>
      <c r="V1067" s="502">
        <v>1</v>
      </c>
      <c r="W1067" s="453">
        <f t="shared" si="293"/>
        <v>2808</v>
      </c>
      <c r="X1067" s="748">
        <f t="shared" si="294"/>
        <v>1.0909090909090908</v>
      </c>
      <c r="Y1067" s="451" t="str">
        <f>IFERROR(VLOOKUP(E:E,'Item Data Support Sheet'!A:J,6,0),0)</f>
        <v>HMC</v>
      </c>
      <c r="Z1067" s="428">
        <f>IFERROR(VLOOKUP(E:E,'Item Data Support Sheet'!A:O,4,0),0)</f>
        <v>32.1</v>
      </c>
      <c r="AA1067" s="428">
        <f t="shared" si="295"/>
        <v>94.604000000000013</v>
      </c>
      <c r="AB1067" s="429">
        <f t="shared" si="296"/>
        <v>0.95278000930193218</v>
      </c>
      <c r="AC1067" s="424">
        <f t="shared" si="297"/>
        <v>2.2964509394572025E-2</v>
      </c>
      <c r="AD1067" s="371">
        <f t="shared" si="298"/>
        <v>1.9346230820547032E-2</v>
      </c>
      <c r="AE1067" s="748">
        <f t="shared" si="299"/>
        <v>0.97755102040816322</v>
      </c>
      <c r="AF1067" s="417">
        <f t="shared" si="300"/>
        <v>1.3333333333333333</v>
      </c>
      <c r="AG1067" s="416">
        <f t="shared" si="301"/>
        <v>6.666666666666667</v>
      </c>
      <c r="AH1067" s="372">
        <f t="shared" si="302"/>
        <v>0.83333333333333337</v>
      </c>
      <c r="AI1067" s="373">
        <f t="shared" si="303"/>
        <v>351</v>
      </c>
      <c r="AJ1067" s="418">
        <f>VLOOKUP(D1067,'Standard Cycle time'!C:D,2,0)</f>
        <v>9</v>
      </c>
      <c r="AK1067" s="418">
        <f t="shared" si="304"/>
        <v>8.5470085470085468</v>
      </c>
      <c r="AL1067" s="374">
        <f t="shared" si="305"/>
        <v>1.0529999999999999</v>
      </c>
      <c r="AM1067" s="372">
        <f t="shared" si="306"/>
        <v>0.8578010204081632</v>
      </c>
      <c r="AN1067" s="799">
        <v>0.86519859813084121</v>
      </c>
      <c r="AO1067" s="448" t="s">
        <v>3828</v>
      </c>
      <c r="AP1067" s="440">
        <v>0</v>
      </c>
      <c r="AQ1067" s="440">
        <v>0</v>
      </c>
      <c r="AR1067" s="440">
        <v>0</v>
      </c>
      <c r="AS1067" s="440">
        <v>0</v>
      </c>
      <c r="AT1067" s="440">
        <v>0</v>
      </c>
      <c r="AU1067" s="440">
        <v>0</v>
      </c>
      <c r="AV1067" s="440">
        <v>0</v>
      </c>
      <c r="AW1067" s="440">
        <v>0</v>
      </c>
      <c r="AX1067" s="440">
        <v>0</v>
      </c>
      <c r="AY1067" s="440">
        <v>0</v>
      </c>
      <c r="AZ1067" s="440">
        <v>0</v>
      </c>
      <c r="BA1067" s="440">
        <v>0</v>
      </c>
      <c r="BB1067" s="440">
        <v>0</v>
      </c>
      <c r="BC1067" s="440">
        <v>0</v>
      </c>
      <c r="BD1067" s="440">
        <v>0</v>
      </c>
      <c r="BE1067" s="440">
        <v>0</v>
      </c>
      <c r="BF1067" s="440">
        <v>0</v>
      </c>
      <c r="BG1067" s="440">
        <v>0</v>
      </c>
      <c r="BH1067" s="440">
        <v>0</v>
      </c>
      <c r="BI1067" s="440">
        <v>0</v>
      </c>
      <c r="BJ1067" s="440">
        <v>0</v>
      </c>
      <c r="BK1067" s="440">
        <v>80</v>
      </c>
      <c r="BL1067" s="440">
        <v>0</v>
      </c>
      <c r="BM1067" s="440">
        <v>0</v>
      </c>
      <c r="BN1067" s="440">
        <v>0</v>
      </c>
      <c r="BO1067" s="440">
        <v>0</v>
      </c>
      <c r="BP1067" s="440">
        <v>0</v>
      </c>
      <c r="BQ1067" s="440">
        <v>0</v>
      </c>
      <c r="BR1067" s="415">
        <v>1.3333333333333333</v>
      </c>
      <c r="BS1067" s="415">
        <v>1.3333333333333333</v>
      </c>
      <c r="BT1067" s="935"/>
      <c r="BU1067" s="935"/>
      <c r="BV1067" s="935"/>
      <c r="BW1067" s="935"/>
      <c r="BX1067" s="935"/>
      <c r="BY1067" s="935"/>
      <c r="BZ1067" s="935"/>
      <c r="CA1067" s="935"/>
      <c r="CB1067" s="935"/>
      <c r="CC1067" s="935"/>
      <c r="CD1067" s="935"/>
      <c r="CE1067" s="935"/>
      <c r="CF1067" s="935"/>
      <c r="CG1067" s="935"/>
      <c r="CH1067" s="935"/>
      <c r="CI1067" s="935"/>
      <c r="CJ1067" s="935"/>
      <c r="CK1067" s="935"/>
      <c r="CL1067" s="935"/>
      <c r="CM1067" s="935"/>
      <c r="CN1067" s="935"/>
      <c r="CO1067" s="935"/>
      <c r="CP1067" s="935"/>
      <c r="CQ1067" s="935"/>
      <c r="CR1067" s="935"/>
      <c r="CS1067" s="935"/>
      <c r="CT1067" s="935"/>
      <c r="CU1067" s="935"/>
      <c r="CV1067" s="935"/>
    </row>
    <row r="1068" spans="1:100" s="441" customFormat="1">
      <c r="A1068" s="375">
        <f t="shared" si="292"/>
        <v>10</v>
      </c>
      <c r="B1068" s="862">
        <v>44496</v>
      </c>
      <c r="C1068" s="493" t="s">
        <v>2053</v>
      </c>
      <c r="D1068" s="376" t="str">
        <f>IFERROR(VLOOKUP(E:E,'Item Data Support Sheet'!A:O,7,0),"")</f>
        <v>NIPPLE MOLDED</v>
      </c>
      <c r="E1068" s="447" t="s">
        <v>72</v>
      </c>
      <c r="F1068" s="500" t="s">
        <v>1678</v>
      </c>
      <c r="G1068" s="497" t="s">
        <v>1691</v>
      </c>
      <c r="H1068" s="602" t="str">
        <f>IFERROR(VLOOKUP(E:E,'Item Data Support Sheet'!A:O,2,0),"")</f>
        <v>NIPPLE S TYPE S SIZE INJECTION</v>
      </c>
      <c r="I1068" s="501" t="s">
        <v>3829</v>
      </c>
      <c r="J1068" s="501" t="s">
        <v>2808</v>
      </c>
      <c r="K1068" s="499">
        <v>8</v>
      </c>
      <c r="L1068" s="499">
        <v>4815</v>
      </c>
      <c r="M1068" s="366">
        <v>601.875</v>
      </c>
      <c r="N1068" s="367">
        <f t="shared" si="291"/>
        <v>4836</v>
      </c>
      <c r="O1068" s="61">
        <v>4700</v>
      </c>
      <c r="P1068" s="368">
        <v>0</v>
      </c>
      <c r="Q1068" s="368">
        <v>65</v>
      </c>
      <c r="R1068" s="494">
        <v>0</v>
      </c>
      <c r="S1068" s="493">
        <v>0</v>
      </c>
      <c r="T1068" s="494">
        <v>55</v>
      </c>
      <c r="U1068" s="493">
        <v>16</v>
      </c>
      <c r="V1068" s="502">
        <v>1</v>
      </c>
      <c r="W1068" s="453">
        <f t="shared" si="293"/>
        <v>4700</v>
      </c>
      <c r="X1068" s="748">
        <f t="shared" si="294"/>
        <v>0.97611630321910692</v>
      </c>
      <c r="Y1068" s="451" t="str">
        <f>IFERROR(VLOOKUP(E:E,'Item Data Support Sheet'!A:J,6,0),0)</f>
        <v>Silicon</v>
      </c>
      <c r="Z1068" s="428">
        <f>IFERROR(VLOOKUP(E:E,'Item Data Support Sheet'!A:O,4,0),0)</f>
        <v>6.8</v>
      </c>
      <c r="AA1068" s="428">
        <f t="shared" si="295"/>
        <v>32.884799999999998</v>
      </c>
      <c r="AB1068" s="429">
        <f t="shared" si="296"/>
        <v>0.97187758478081054</v>
      </c>
      <c r="AC1068" s="424">
        <f t="shared" si="297"/>
        <v>1.1566771819137749E-2</v>
      </c>
      <c r="AD1068" s="371">
        <f t="shared" si="298"/>
        <v>1.3262599469496022E-2</v>
      </c>
      <c r="AE1068" s="748">
        <f t="shared" si="299"/>
        <v>0.98862696443341602</v>
      </c>
      <c r="AF1068" s="417">
        <f t="shared" si="300"/>
        <v>1.5</v>
      </c>
      <c r="AG1068" s="416">
        <f t="shared" si="301"/>
        <v>6.5</v>
      </c>
      <c r="AH1068" s="372">
        <f t="shared" si="302"/>
        <v>0.8125</v>
      </c>
      <c r="AI1068" s="373">
        <f t="shared" si="303"/>
        <v>587.5</v>
      </c>
      <c r="AJ1068" s="418">
        <f>VLOOKUP(D1068,'Standard Cycle time'!C:D,2,0)</f>
        <v>5.25</v>
      </c>
      <c r="AK1068" s="418">
        <f t="shared" si="304"/>
        <v>4.9787234042553195</v>
      </c>
      <c r="AL1068" s="374">
        <f t="shared" si="305"/>
        <v>1.0544871794871795</v>
      </c>
      <c r="AM1068" s="372">
        <f t="shared" si="306"/>
        <v>0.84702674817342161</v>
      </c>
      <c r="AN1068" s="799">
        <v>0.84074280753968256</v>
      </c>
      <c r="AO1068" s="448" t="s">
        <v>3830</v>
      </c>
      <c r="AP1068" s="440">
        <v>0</v>
      </c>
      <c r="AQ1068" s="440">
        <v>0</v>
      </c>
      <c r="AR1068" s="440">
        <v>0</v>
      </c>
      <c r="AS1068" s="440">
        <v>0</v>
      </c>
      <c r="AT1068" s="440">
        <v>30</v>
      </c>
      <c r="AU1068" s="440">
        <v>0</v>
      </c>
      <c r="AV1068" s="440">
        <v>0</v>
      </c>
      <c r="AW1068" s="440">
        <v>30</v>
      </c>
      <c r="AX1068" s="440">
        <v>0</v>
      </c>
      <c r="AY1068" s="440">
        <v>0</v>
      </c>
      <c r="AZ1068" s="440">
        <v>0</v>
      </c>
      <c r="BA1068" s="440">
        <v>0</v>
      </c>
      <c r="BB1068" s="440">
        <v>0</v>
      </c>
      <c r="BC1068" s="440">
        <v>0</v>
      </c>
      <c r="BD1068" s="440">
        <v>0</v>
      </c>
      <c r="BE1068" s="440">
        <v>0</v>
      </c>
      <c r="BF1068" s="440">
        <v>0</v>
      </c>
      <c r="BG1068" s="440">
        <v>0</v>
      </c>
      <c r="BH1068" s="440">
        <v>0</v>
      </c>
      <c r="BI1068" s="440">
        <v>0</v>
      </c>
      <c r="BJ1068" s="440">
        <v>0</v>
      </c>
      <c r="BK1068" s="440">
        <v>0</v>
      </c>
      <c r="BL1068" s="440">
        <v>0</v>
      </c>
      <c r="BM1068" s="440">
        <v>30</v>
      </c>
      <c r="BN1068" s="440">
        <v>0</v>
      </c>
      <c r="BO1068" s="440">
        <v>0</v>
      </c>
      <c r="BP1068" s="440">
        <v>0</v>
      </c>
      <c r="BQ1068" s="440">
        <v>0</v>
      </c>
      <c r="BR1068" s="415">
        <v>1.5</v>
      </c>
      <c r="BS1068" s="415">
        <v>1.5</v>
      </c>
      <c r="BT1068" s="935"/>
      <c r="BU1068" s="935"/>
      <c r="BV1068" s="935"/>
      <c r="BW1068" s="935"/>
      <c r="BX1068" s="935"/>
      <c r="BY1068" s="935"/>
      <c r="BZ1068" s="935"/>
      <c r="CA1068" s="935"/>
      <c r="CB1068" s="935"/>
      <c r="CC1068" s="935"/>
      <c r="CD1068" s="935"/>
      <c r="CE1068" s="935"/>
      <c r="CF1068" s="935"/>
      <c r="CG1068" s="935"/>
      <c r="CH1068" s="935"/>
      <c r="CI1068" s="935"/>
      <c r="CJ1068" s="935"/>
      <c r="CK1068" s="935"/>
      <c r="CL1068" s="935"/>
      <c r="CM1068" s="935"/>
      <c r="CN1068" s="935"/>
      <c r="CO1068" s="935"/>
      <c r="CP1068" s="935"/>
      <c r="CQ1068" s="935"/>
      <c r="CR1068" s="935"/>
      <c r="CS1068" s="935"/>
      <c r="CT1068" s="935"/>
      <c r="CU1068" s="935"/>
      <c r="CV1068" s="935"/>
    </row>
    <row r="1069" spans="1:100" s="441" customFormat="1">
      <c r="A1069" s="375">
        <f t="shared" si="292"/>
        <v>10</v>
      </c>
      <c r="B1069" s="862">
        <v>44497</v>
      </c>
      <c r="C1069" s="493" t="s">
        <v>1980</v>
      </c>
      <c r="D1069" s="376" t="str">
        <f>IFERROR(VLOOKUP(E:E,'Item Data Support Sheet'!A:O,7,0),"")</f>
        <v>BOTTLE MOLDED</v>
      </c>
      <c r="E1069" s="447" t="s">
        <v>14</v>
      </c>
      <c r="F1069" s="500" t="s">
        <v>1681</v>
      </c>
      <c r="G1069" s="497" t="s">
        <v>1888</v>
      </c>
      <c r="H1069" s="602" t="str">
        <f>IFERROR(VLOOKUP(E:E,'Item Data Support Sheet'!A:O,2,0),"")</f>
        <v>KPP 240 ML BOTTLE MOLDED</v>
      </c>
      <c r="I1069" s="501" t="s">
        <v>3831</v>
      </c>
      <c r="J1069" s="501" t="s">
        <v>2826</v>
      </c>
      <c r="K1069" s="499">
        <v>8</v>
      </c>
      <c r="L1069" s="499">
        <v>2574</v>
      </c>
      <c r="M1069" s="366">
        <v>321.75</v>
      </c>
      <c r="N1069" s="367">
        <f t="shared" si="291"/>
        <v>3260</v>
      </c>
      <c r="O1069" s="61">
        <v>3132</v>
      </c>
      <c r="P1069" s="368">
        <v>0.35</v>
      </c>
      <c r="Q1069" s="368">
        <v>49</v>
      </c>
      <c r="R1069" s="494">
        <v>0</v>
      </c>
      <c r="S1069" s="493">
        <v>0</v>
      </c>
      <c r="T1069" s="494">
        <v>71</v>
      </c>
      <c r="U1069" s="493">
        <v>8</v>
      </c>
      <c r="V1069" s="502">
        <v>1</v>
      </c>
      <c r="W1069" s="453">
        <f t="shared" si="293"/>
        <v>3132</v>
      </c>
      <c r="X1069" s="748">
        <f t="shared" si="294"/>
        <v>1.2167832167832169</v>
      </c>
      <c r="Y1069" s="451" t="str">
        <f>IFERROR(VLOOKUP(E:E,'Item Data Support Sheet'!A:J,6,0),0)</f>
        <v>HMC</v>
      </c>
      <c r="Z1069" s="428">
        <f>IFERROR(VLOOKUP(E:E,'Item Data Support Sheet'!A:O,4,0),0)</f>
        <v>32.1</v>
      </c>
      <c r="AA1069" s="428">
        <f t="shared" si="295"/>
        <v>104.99600000000001</v>
      </c>
      <c r="AB1069" s="429">
        <f t="shared" si="296"/>
        <v>0.95753362032839351</v>
      </c>
      <c r="AC1069" s="424">
        <f t="shared" si="297"/>
        <v>2.216671870121761E-2</v>
      </c>
      <c r="AD1069" s="371">
        <f t="shared" si="298"/>
        <v>1.4808099123602297E-2</v>
      </c>
      <c r="AE1069" s="748">
        <f t="shared" si="299"/>
        <v>0.97822085889570554</v>
      </c>
      <c r="AF1069" s="417">
        <f t="shared" si="300"/>
        <v>0</v>
      </c>
      <c r="AG1069" s="416">
        <f t="shared" si="301"/>
        <v>8</v>
      </c>
      <c r="AH1069" s="372">
        <f t="shared" si="302"/>
        <v>1</v>
      </c>
      <c r="AI1069" s="373">
        <f t="shared" si="303"/>
        <v>391.5</v>
      </c>
      <c r="AJ1069" s="418">
        <f>VLOOKUP(D1069,'Standard Cycle time'!C:D,2,0)</f>
        <v>9</v>
      </c>
      <c r="AK1069" s="418">
        <f t="shared" si="304"/>
        <v>9.1954022988505741</v>
      </c>
      <c r="AL1069" s="374">
        <f t="shared" si="305"/>
        <v>0.97875000000000001</v>
      </c>
      <c r="AM1069" s="372">
        <f t="shared" si="306"/>
        <v>0.95743366564417176</v>
      </c>
      <c r="AN1069" s="799">
        <v>0.96438042803970214</v>
      </c>
      <c r="AO1069" s="448" t="s">
        <v>3832</v>
      </c>
      <c r="AP1069" s="440">
        <v>0</v>
      </c>
      <c r="AQ1069" s="440">
        <v>0</v>
      </c>
      <c r="AR1069" s="440">
        <v>0</v>
      </c>
      <c r="AS1069" s="440">
        <v>0</v>
      </c>
      <c r="AT1069" s="440">
        <v>0</v>
      </c>
      <c r="AU1069" s="440">
        <v>0</v>
      </c>
      <c r="AV1069" s="440">
        <v>0</v>
      </c>
      <c r="AW1069" s="440">
        <v>0</v>
      </c>
      <c r="AX1069" s="440">
        <v>0</v>
      </c>
      <c r="AY1069" s="440">
        <v>0</v>
      </c>
      <c r="AZ1069" s="440">
        <v>0</v>
      </c>
      <c r="BA1069" s="440">
        <v>0</v>
      </c>
      <c r="BB1069" s="440">
        <v>0</v>
      </c>
      <c r="BC1069" s="440">
        <v>0</v>
      </c>
      <c r="BD1069" s="440">
        <v>0</v>
      </c>
      <c r="BE1069" s="440">
        <v>0</v>
      </c>
      <c r="BF1069" s="440">
        <v>0</v>
      </c>
      <c r="BG1069" s="440">
        <v>0</v>
      </c>
      <c r="BH1069" s="440">
        <v>0</v>
      </c>
      <c r="BI1069" s="440">
        <v>0</v>
      </c>
      <c r="BJ1069" s="440">
        <v>0</v>
      </c>
      <c r="BK1069" s="440">
        <v>0</v>
      </c>
      <c r="BL1069" s="440">
        <v>0</v>
      </c>
      <c r="BM1069" s="440">
        <v>0</v>
      </c>
      <c r="BN1069" s="440">
        <v>0</v>
      </c>
      <c r="BO1069" s="440">
        <v>0</v>
      </c>
      <c r="BP1069" s="440">
        <v>0</v>
      </c>
      <c r="BQ1069" s="440">
        <v>0</v>
      </c>
      <c r="BR1069" s="415">
        <v>0</v>
      </c>
      <c r="BS1069" s="415">
        <v>0</v>
      </c>
      <c r="BT1069" s="935"/>
      <c r="BU1069" s="935"/>
      <c r="BV1069" s="935"/>
      <c r="BW1069" s="935"/>
      <c r="BX1069" s="935"/>
      <c r="BY1069" s="935"/>
      <c r="BZ1069" s="935"/>
      <c r="CA1069" s="935"/>
      <c r="CB1069" s="935"/>
      <c r="CC1069" s="935"/>
      <c r="CD1069" s="935"/>
      <c r="CE1069" s="935"/>
      <c r="CF1069" s="935"/>
      <c r="CG1069" s="935"/>
      <c r="CH1069" s="935"/>
      <c r="CI1069" s="935"/>
      <c r="CJ1069" s="935"/>
      <c r="CK1069" s="935"/>
      <c r="CL1069" s="935"/>
      <c r="CM1069" s="935"/>
      <c r="CN1069" s="935"/>
      <c r="CO1069" s="935"/>
      <c r="CP1069" s="935"/>
      <c r="CQ1069" s="935"/>
      <c r="CR1069" s="935"/>
      <c r="CS1069" s="935"/>
      <c r="CT1069" s="935"/>
      <c r="CU1069" s="935"/>
      <c r="CV1069" s="935"/>
    </row>
    <row r="1070" spans="1:100" s="441" customFormat="1">
      <c r="A1070" s="375">
        <f t="shared" si="292"/>
        <v>10</v>
      </c>
      <c r="B1070" s="862">
        <v>44497</v>
      </c>
      <c r="C1070" s="493" t="s">
        <v>1980</v>
      </c>
      <c r="D1070" s="376" t="str">
        <f>IFERROR(VLOOKUP(E:E,'Item Data Support Sheet'!A:O,7,0),"")</f>
        <v>NIPPLE PUNCH</v>
      </c>
      <c r="E1070" s="447" t="s">
        <v>80</v>
      </c>
      <c r="F1070" s="500"/>
      <c r="G1070" s="497" t="s">
        <v>1692</v>
      </c>
      <c r="H1070" s="602" t="str">
        <f>IFERROR(VLOOKUP(E:E,'Item Data Support Sheet'!A:O,2,0),"")</f>
        <v>NIPPLE S TYPE S SIZE PUNCHED</v>
      </c>
      <c r="I1070" s="501" t="s">
        <v>3833</v>
      </c>
      <c r="J1070" s="501" t="s">
        <v>2826</v>
      </c>
      <c r="K1070" s="499">
        <v>8</v>
      </c>
      <c r="L1070" s="499">
        <v>7000</v>
      </c>
      <c r="M1070" s="366">
        <v>875</v>
      </c>
      <c r="N1070" s="367">
        <f t="shared" si="291"/>
        <v>7000</v>
      </c>
      <c r="O1070" s="61">
        <v>7000</v>
      </c>
      <c r="P1070" s="368">
        <v>0</v>
      </c>
      <c r="Q1070" s="368">
        <v>0</v>
      </c>
      <c r="R1070" s="494">
        <v>0</v>
      </c>
      <c r="S1070" s="493">
        <v>0</v>
      </c>
      <c r="T1070" s="494">
        <v>0</v>
      </c>
      <c r="U1070" s="493">
        <v>0</v>
      </c>
      <c r="V1070" s="502">
        <v>1</v>
      </c>
      <c r="W1070" s="453">
        <f t="shared" si="293"/>
        <v>7000</v>
      </c>
      <c r="X1070" s="748">
        <f t="shared" si="294"/>
        <v>1</v>
      </c>
      <c r="Y1070" s="451" t="str">
        <f>IFERROR(VLOOKUP(E:E,'Item Data Support Sheet'!A:J,6,0),0)</f>
        <v>FO015</v>
      </c>
      <c r="Z1070" s="428">
        <f>IFERROR(VLOOKUP(E:E,'Item Data Support Sheet'!A:O,4,0),0)</f>
        <v>0</v>
      </c>
      <c r="AA1070" s="428">
        <f t="shared" si="295"/>
        <v>0</v>
      </c>
      <c r="AB1070" s="429" t="str">
        <f t="shared" si="296"/>
        <v xml:space="preserve"> </v>
      </c>
      <c r="AC1070" s="424">
        <f t="shared" si="297"/>
        <v>0</v>
      </c>
      <c r="AD1070" s="371">
        <f t="shared" si="298"/>
        <v>0</v>
      </c>
      <c r="AE1070" s="748">
        <f t="shared" si="299"/>
        <v>1</v>
      </c>
      <c r="AF1070" s="417">
        <f t="shared" si="300"/>
        <v>0.66666666666666663</v>
      </c>
      <c r="AG1070" s="416">
        <f t="shared" si="301"/>
        <v>7.333333333333333</v>
      </c>
      <c r="AH1070" s="372">
        <f t="shared" si="302"/>
        <v>0.91666666666666663</v>
      </c>
      <c r="AI1070" s="373">
        <f t="shared" si="303"/>
        <v>875</v>
      </c>
      <c r="AJ1070" s="418">
        <f>VLOOKUP(D1070,'Standard Cycle time'!C:D,2,0)</f>
        <v>3.5</v>
      </c>
      <c r="AK1070" s="418">
        <f t="shared" si="304"/>
        <v>3.7714285714285714</v>
      </c>
      <c r="AL1070" s="374">
        <f t="shared" si="305"/>
        <v>0.92803030303030309</v>
      </c>
      <c r="AM1070" s="372">
        <f t="shared" si="306"/>
        <v>0.85069444444444442</v>
      </c>
      <c r="AN1070" s="799">
        <v>0.85069444444444442</v>
      </c>
      <c r="AO1070" s="448"/>
      <c r="AP1070" s="440">
        <v>40</v>
      </c>
      <c r="AQ1070" s="440">
        <v>0</v>
      </c>
      <c r="AR1070" s="440">
        <v>0</v>
      </c>
      <c r="AS1070" s="440">
        <v>0</v>
      </c>
      <c r="AT1070" s="440">
        <v>0</v>
      </c>
      <c r="AU1070" s="440">
        <v>0</v>
      </c>
      <c r="AV1070" s="440">
        <v>0</v>
      </c>
      <c r="AW1070" s="440">
        <v>0</v>
      </c>
      <c r="AX1070" s="440">
        <v>0</v>
      </c>
      <c r="AY1070" s="440">
        <v>0</v>
      </c>
      <c r="AZ1070" s="440">
        <v>0</v>
      </c>
      <c r="BA1070" s="440">
        <v>0</v>
      </c>
      <c r="BB1070" s="440">
        <v>0</v>
      </c>
      <c r="BC1070" s="440">
        <v>0</v>
      </c>
      <c r="BD1070" s="440">
        <v>0</v>
      </c>
      <c r="BE1070" s="440">
        <v>0</v>
      </c>
      <c r="BF1070" s="440">
        <v>0</v>
      </c>
      <c r="BG1070" s="440">
        <v>0</v>
      </c>
      <c r="BH1070" s="440">
        <v>0</v>
      </c>
      <c r="BI1070" s="440">
        <v>0</v>
      </c>
      <c r="BJ1070" s="440">
        <v>0</v>
      </c>
      <c r="BK1070" s="440">
        <v>0</v>
      </c>
      <c r="BL1070" s="440">
        <v>0</v>
      </c>
      <c r="BM1070" s="440">
        <v>0</v>
      </c>
      <c r="BN1070" s="440">
        <v>0</v>
      </c>
      <c r="BO1070" s="440">
        <v>0</v>
      </c>
      <c r="BP1070" s="440">
        <v>0</v>
      </c>
      <c r="BQ1070" s="440">
        <v>0</v>
      </c>
      <c r="BR1070" s="415">
        <v>0.66666666666666663</v>
      </c>
      <c r="BS1070" s="415">
        <v>0.66666666666666663</v>
      </c>
      <c r="BT1070" s="935"/>
      <c r="BU1070" s="935"/>
      <c r="BV1070" s="935"/>
      <c r="BW1070" s="935"/>
      <c r="BX1070" s="935"/>
      <c r="BY1070" s="935"/>
      <c r="BZ1070" s="935"/>
      <c r="CA1070" s="935"/>
      <c r="CB1070" s="935"/>
      <c r="CC1070" s="935"/>
      <c r="CD1070" s="935"/>
      <c r="CE1070" s="935"/>
      <c r="CF1070" s="935"/>
      <c r="CG1070" s="935"/>
      <c r="CH1070" s="935"/>
      <c r="CI1070" s="935"/>
      <c r="CJ1070" s="935"/>
      <c r="CK1070" s="935"/>
      <c r="CL1070" s="935"/>
      <c r="CM1070" s="935"/>
      <c r="CN1070" s="935"/>
      <c r="CO1070" s="935"/>
      <c r="CP1070" s="935"/>
      <c r="CQ1070" s="935"/>
      <c r="CR1070" s="935"/>
      <c r="CS1070" s="935"/>
      <c r="CT1070" s="935"/>
      <c r="CU1070" s="935"/>
      <c r="CV1070" s="935"/>
    </row>
    <row r="1071" spans="1:100" s="441" customFormat="1">
      <c r="A1071" s="375">
        <f t="shared" si="292"/>
        <v>10</v>
      </c>
      <c r="B1071" s="862">
        <v>44497</v>
      </c>
      <c r="C1071" s="493" t="s">
        <v>1980</v>
      </c>
      <c r="D1071" s="376" t="str">
        <f>IFERROR(VLOOKUP(E:E,'Item Data Support Sheet'!A:O,7,0),"")</f>
        <v>NIPPLE LASER MARKING</v>
      </c>
      <c r="E1071" s="447" t="s">
        <v>1814</v>
      </c>
      <c r="F1071" s="500"/>
      <c r="G1071" s="497" t="s">
        <v>1812</v>
      </c>
      <c r="H1071" s="602" t="str">
        <f>IFERROR(VLOOKUP(E:E,'Item Data Support Sheet'!A:O,2,0),"")</f>
        <v>NIPPLE S TYPE S SIZE PUNCHED LASER MARKED</v>
      </c>
      <c r="I1071" s="501" t="s">
        <v>3834</v>
      </c>
      <c r="J1071" s="501" t="s">
        <v>2826</v>
      </c>
      <c r="K1071" s="499">
        <v>8</v>
      </c>
      <c r="L1071" s="499">
        <v>7000</v>
      </c>
      <c r="M1071" s="366">
        <v>875</v>
      </c>
      <c r="N1071" s="367">
        <f t="shared" si="291"/>
        <v>7000</v>
      </c>
      <c r="O1071" s="61">
        <v>7000</v>
      </c>
      <c r="P1071" s="368">
        <v>0</v>
      </c>
      <c r="Q1071" s="368">
        <v>0</v>
      </c>
      <c r="R1071" s="494">
        <v>0</v>
      </c>
      <c r="S1071" s="493">
        <v>0</v>
      </c>
      <c r="T1071" s="494">
        <v>0</v>
      </c>
      <c r="U1071" s="493">
        <v>0</v>
      </c>
      <c r="V1071" s="502">
        <v>1</v>
      </c>
      <c r="W1071" s="453">
        <f t="shared" si="293"/>
        <v>7000</v>
      </c>
      <c r="X1071" s="748">
        <f t="shared" si="294"/>
        <v>1</v>
      </c>
      <c r="Y1071" s="451" t="str">
        <f>IFERROR(VLOOKUP(E:E,'Item Data Support Sheet'!A:J,6,0),0)</f>
        <v>FO019</v>
      </c>
      <c r="Z1071" s="428">
        <f>IFERROR(VLOOKUP(E:E,'Item Data Support Sheet'!A:O,4,0),0)</f>
        <v>0</v>
      </c>
      <c r="AA1071" s="428">
        <f t="shared" si="295"/>
        <v>0</v>
      </c>
      <c r="AB1071" s="429" t="str">
        <f t="shared" si="296"/>
        <v xml:space="preserve"> </v>
      </c>
      <c r="AC1071" s="424">
        <f t="shared" si="297"/>
        <v>0</v>
      </c>
      <c r="AD1071" s="371">
        <f t="shared" si="298"/>
        <v>0</v>
      </c>
      <c r="AE1071" s="748">
        <f t="shared" si="299"/>
        <v>1</v>
      </c>
      <c r="AF1071" s="417">
        <f t="shared" si="300"/>
        <v>0.66666666666666663</v>
      </c>
      <c r="AG1071" s="416">
        <f t="shared" si="301"/>
        <v>7.333333333333333</v>
      </c>
      <c r="AH1071" s="372">
        <f t="shared" si="302"/>
        <v>0.91666666666666663</v>
      </c>
      <c r="AI1071" s="373">
        <f t="shared" si="303"/>
        <v>875</v>
      </c>
      <c r="AJ1071" s="418">
        <f>VLOOKUP(D1071,'Standard Cycle time'!C:D,2,0)</f>
        <v>3.5</v>
      </c>
      <c r="AK1071" s="418">
        <f t="shared" si="304"/>
        <v>3.7714285714285714</v>
      </c>
      <c r="AL1071" s="374">
        <f t="shared" si="305"/>
        <v>0.92803030303030309</v>
      </c>
      <c r="AM1071" s="372">
        <f t="shared" si="306"/>
        <v>0.85069444444444442</v>
      </c>
      <c r="AN1071" s="799">
        <v>0.85069444444444442</v>
      </c>
      <c r="AO1071" s="448"/>
      <c r="AP1071" s="440">
        <v>40</v>
      </c>
      <c r="AQ1071" s="440">
        <v>0</v>
      </c>
      <c r="AR1071" s="440">
        <v>0</v>
      </c>
      <c r="AS1071" s="440">
        <v>0</v>
      </c>
      <c r="AT1071" s="440">
        <v>0</v>
      </c>
      <c r="AU1071" s="440">
        <v>0</v>
      </c>
      <c r="AV1071" s="440">
        <v>0</v>
      </c>
      <c r="AW1071" s="440">
        <v>0</v>
      </c>
      <c r="AX1071" s="440">
        <v>0</v>
      </c>
      <c r="AY1071" s="440">
        <v>0</v>
      </c>
      <c r="AZ1071" s="440">
        <v>0</v>
      </c>
      <c r="BA1071" s="440">
        <v>0</v>
      </c>
      <c r="BB1071" s="440">
        <v>0</v>
      </c>
      <c r="BC1071" s="440">
        <v>0</v>
      </c>
      <c r="BD1071" s="440">
        <v>0</v>
      </c>
      <c r="BE1071" s="440">
        <v>0</v>
      </c>
      <c r="BF1071" s="440">
        <v>0</v>
      </c>
      <c r="BG1071" s="440">
        <v>0</v>
      </c>
      <c r="BH1071" s="440">
        <v>0</v>
      </c>
      <c r="BI1071" s="440">
        <v>0</v>
      </c>
      <c r="BJ1071" s="440">
        <v>0</v>
      </c>
      <c r="BK1071" s="440">
        <v>0</v>
      </c>
      <c r="BL1071" s="440">
        <v>0</v>
      </c>
      <c r="BM1071" s="440">
        <v>0</v>
      </c>
      <c r="BN1071" s="440">
        <v>0</v>
      </c>
      <c r="BO1071" s="440">
        <v>0</v>
      </c>
      <c r="BP1071" s="440">
        <v>0</v>
      </c>
      <c r="BQ1071" s="440">
        <v>0</v>
      </c>
      <c r="BR1071" s="415">
        <v>0.66666666666666663</v>
      </c>
      <c r="BS1071" s="415">
        <v>0.66666666666666663</v>
      </c>
      <c r="BT1071" s="935"/>
      <c r="BU1071" s="935"/>
      <c r="BV1071" s="935"/>
      <c r="BW1071" s="935"/>
      <c r="BX1071" s="935"/>
      <c r="BY1071" s="935"/>
      <c r="BZ1071" s="935"/>
      <c r="CA1071" s="935"/>
      <c r="CB1071" s="935"/>
      <c r="CC1071" s="935"/>
      <c r="CD1071" s="935"/>
      <c r="CE1071" s="935"/>
      <c r="CF1071" s="935"/>
      <c r="CG1071" s="935"/>
      <c r="CH1071" s="935"/>
      <c r="CI1071" s="935"/>
      <c r="CJ1071" s="935"/>
      <c r="CK1071" s="935"/>
      <c r="CL1071" s="935"/>
      <c r="CM1071" s="935"/>
      <c r="CN1071" s="935"/>
      <c r="CO1071" s="935"/>
      <c r="CP1071" s="935"/>
      <c r="CQ1071" s="935"/>
      <c r="CR1071" s="935"/>
      <c r="CS1071" s="935"/>
      <c r="CT1071" s="935"/>
      <c r="CU1071" s="935"/>
      <c r="CV1071" s="935"/>
    </row>
    <row r="1072" spans="1:100" s="441" customFormat="1">
      <c r="A1072" s="375">
        <f t="shared" si="292"/>
        <v>10</v>
      </c>
      <c r="B1072" s="862">
        <v>44497</v>
      </c>
      <c r="C1072" s="493" t="s">
        <v>1980</v>
      </c>
      <c r="D1072" s="376" t="str">
        <f>IFERROR(VLOOKUP(E:E,'Item Data Support Sheet'!A:O,7,0),"")</f>
        <v>NIPPLE MOLDED</v>
      </c>
      <c r="E1072" s="447" t="s">
        <v>72</v>
      </c>
      <c r="F1072" s="500" t="s">
        <v>1678</v>
      </c>
      <c r="G1072" s="497" t="s">
        <v>1691</v>
      </c>
      <c r="H1072" s="602" t="str">
        <f>IFERROR(VLOOKUP(E:E,'Item Data Support Sheet'!A:O,2,0),"")</f>
        <v>NIPPLE S TYPE S SIZE INJECTION</v>
      </c>
      <c r="I1072" s="501" t="s">
        <v>3835</v>
      </c>
      <c r="J1072" s="501" t="s">
        <v>2826</v>
      </c>
      <c r="K1072" s="499">
        <v>8</v>
      </c>
      <c r="L1072" s="499">
        <v>4815</v>
      </c>
      <c r="M1072" s="366">
        <v>601.875</v>
      </c>
      <c r="N1072" s="367">
        <f t="shared" si="291"/>
        <v>5218</v>
      </c>
      <c r="O1072" s="61">
        <v>5200</v>
      </c>
      <c r="P1072" s="368">
        <v>0</v>
      </c>
      <c r="Q1072" s="368">
        <v>0</v>
      </c>
      <c r="R1072" s="494">
        <v>0</v>
      </c>
      <c r="S1072" s="493">
        <v>0</v>
      </c>
      <c r="T1072" s="494">
        <v>10</v>
      </c>
      <c r="U1072" s="493">
        <v>8</v>
      </c>
      <c r="V1072" s="502">
        <v>1</v>
      </c>
      <c r="W1072" s="453">
        <f t="shared" si="293"/>
        <v>5200</v>
      </c>
      <c r="X1072" s="748">
        <f t="shared" si="294"/>
        <v>1.0799584631360333</v>
      </c>
      <c r="Y1072" s="451" t="str">
        <f>IFERROR(VLOOKUP(E:E,'Item Data Support Sheet'!A:J,6,0),0)</f>
        <v>Silicon</v>
      </c>
      <c r="Z1072" s="428">
        <f>IFERROR(VLOOKUP(E:E,'Item Data Support Sheet'!A:O,4,0),0)</f>
        <v>6.8</v>
      </c>
      <c r="AA1072" s="428">
        <f t="shared" si="295"/>
        <v>35.482399999999998</v>
      </c>
      <c r="AB1072" s="429">
        <f t="shared" si="296"/>
        <v>0.99655040245304716</v>
      </c>
      <c r="AC1072" s="424">
        <f t="shared" si="297"/>
        <v>1.9193857965451055E-3</v>
      </c>
      <c r="AD1072" s="371">
        <f t="shared" si="298"/>
        <v>0</v>
      </c>
      <c r="AE1072" s="748">
        <f t="shared" si="299"/>
        <v>0.99808355691835948</v>
      </c>
      <c r="AF1072" s="417">
        <f t="shared" si="300"/>
        <v>0</v>
      </c>
      <c r="AG1072" s="416">
        <f t="shared" si="301"/>
        <v>8</v>
      </c>
      <c r="AH1072" s="372">
        <f t="shared" si="302"/>
        <v>1</v>
      </c>
      <c r="AI1072" s="373">
        <f t="shared" si="303"/>
        <v>650</v>
      </c>
      <c r="AJ1072" s="418">
        <f>VLOOKUP(D1072,'Standard Cycle time'!C:D,2,0)</f>
        <v>5.25</v>
      </c>
      <c r="AK1072" s="418">
        <f t="shared" si="304"/>
        <v>5.5384615384615383</v>
      </c>
      <c r="AL1072" s="374">
        <f t="shared" si="305"/>
        <v>0.94791666666666674</v>
      </c>
      <c r="AM1072" s="372">
        <f t="shared" si="306"/>
        <v>0.94610003832886169</v>
      </c>
      <c r="AN1072" s="799">
        <v>0.94656250000000008</v>
      </c>
      <c r="AO1072" s="448"/>
      <c r="AP1072" s="440">
        <v>0</v>
      </c>
      <c r="AQ1072" s="440">
        <v>0</v>
      </c>
      <c r="AR1072" s="440">
        <v>0</v>
      </c>
      <c r="AS1072" s="440">
        <v>0</v>
      </c>
      <c r="AT1072" s="440">
        <v>0</v>
      </c>
      <c r="AU1072" s="440">
        <v>0</v>
      </c>
      <c r="AV1072" s="440">
        <v>0</v>
      </c>
      <c r="AW1072" s="440">
        <v>0</v>
      </c>
      <c r="AX1072" s="440">
        <v>0</v>
      </c>
      <c r="AY1072" s="440">
        <v>0</v>
      </c>
      <c r="AZ1072" s="440">
        <v>0</v>
      </c>
      <c r="BA1072" s="440">
        <v>0</v>
      </c>
      <c r="BB1072" s="440">
        <v>0</v>
      </c>
      <c r="BC1072" s="440">
        <v>0</v>
      </c>
      <c r="BD1072" s="440">
        <v>0</v>
      </c>
      <c r="BE1072" s="440">
        <v>0</v>
      </c>
      <c r="BF1072" s="440">
        <v>0</v>
      </c>
      <c r="BG1072" s="440">
        <v>0</v>
      </c>
      <c r="BH1072" s="440">
        <v>0</v>
      </c>
      <c r="BI1072" s="440">
        <v>0</v>
      </c>
      <c r="BJ1072" s="440">
        <v>0</v>
      </c>
      <c r="BK1072" s="440">
        <v>0</v>
      </c>
      <c r="BL1072" s="440">
        <v>0</v>
      </c>
      <c r="BM1072" s="440">
        <v>0</v>
      </c>
      <c r="BN1072" s="440">
        <v>0</v>
      </c>
      <c r="BO1072" s="440">
        <v>0</v>
      </c>
      <c r="BP1072" s="440">
        <v>0</v>
      </c>
      <c r="BQ1072" s="440">
        <v>0</v>
      </c>
      <c r="BR1072" s="415">
        <v>0</v>
      </c>
      <c r="BS1072" s="415">
        <v>0</v>
      </c>
      <c r="BT1072" s="935"/>
      <c r="BU1072" s="935"/>
      <c r="BV1072" s="935"/>
      <c r="BW1072" s="935"/>
      <c r="BX1072" s="935"/>
      <c r="BY1072" s="935"/>
      <c r="BZ1072" s="935"/>
      <c r="CA1072" s="935"/>
      <c r="CB1072" s="935"/>
      <c r="CC1072" s="935"/>
      <c r="CD1072" s="935"/>
      <c r="CE1072" s="935"/>
      <c r="CF1072" s="935"/>
      <c r="CG1072" s="935"/>
      <c r="CH1072" s="935"/>
      <c r="CI1072" s="935"/>
      <c r="CJ1072" s="935"/>
      <c r="CK1072" s="935"/>
      <c r="CL1072" s="935"/>
      <c r="CM1072" s="935"/>
      <c r="CN1072" s="935"/>
      <c r="CO1072" s="935"/>
      <c r="CP1072" s="935"/>
      <c r="CQ1072" s="935"/>
      <c r="CR1072" s="935"/>
      <c r="CS1072" s="935"/>
      <c r="CT1072" s="935"/>
      <c r="CU1072" s="935"/>
      <c r="CV1072" s="935"/>
    </row>
    <row r="1073" spans="1:100" s="441" customFormat="1">
      <c r="A1073" s="375">
        <f t="shared" si="292"/>
        <v>10</v>
      </c>
      <c r="B1073" s="862">
        <v>44497</v>
      </c>
      <c r="C1073" s="493" t="s">
        <v>1980</v>
      </c>
      <c r="D1073" s="376" t="str">
        <f>IFERROR(VLOOKUP(E:E,'Item Data Support Sheet'!A:O,7,0),"")</f>
        <v>HOOD MOLDED</v>
      </c>
      <c r="E1073" s="447" t="s">
        <v>1987</v>
      </c>
      <c r="F1073" s="500"/>
      <c r="G1073" s="497" t="s">
        <v>2729</v>
      </c>
      <c r="H1073" s="602" t="str">
        <f>IFERROR(VLOOKUP(E:E,'Item Data Support Sheet'!A:O,2,0),"")</f>
        <v>HOOD S TYPE MOLDED</v>
      </c>
      <c r="I1073" s="501" t="s">
        <v>3836</v>
      </c>
      <c r="J1073" s="501" t="s">
        <v>2826</v>
      </c>
      <c r="K1073" s="499">
        <v>8</v>
      </c>
      <c r="L1073" s="499">
        <v>4137</v>
      </c>
      <c r="M1073" s="366">
        <v>517.125</v>
      </c>
      <c r="N1073" s="367">
        <f t="shared" si="291"/>
        <v>5008</v>
      </c>
      <c r="O1073" s="61">
        <v>5000</v>
      </c>
      <c r="P1073" s="368">
        <v>0</v>
      </c>
      <c r="Q1073" s="368">
        <v>0</v>
      </c>
      <c r="R1073" s="494">
        <v>0</v>
      </c>
      <c r="S1073" s="493">
        <v>0</v>
      </c>
      <c r="T1073" s="494">
        <v>0</v>
      </c>
      <c r="U1073" s="493">
        <v>8</v>
      </c>
      <c r="V1073" s="502">
        <v>1</v>
      </c>
      <c r="W1073" s="453">
        <f t="shared" si="293"/>
        <v>5000</v>
      </c>
      <c r="X1073" s="748">
        <f t="shared" si="294"/>
        <v>1.2086052695189751</v>
      </c>
      <c r="Y1073" s="451" t="str">
        <f>IFERROR(VLOOKUP(E:E,'Item Data Support Sheet'!A:J,6,0),0)</f>
        <v>HMC</v>
      </c>
      <c r="Z1073" s="428">
        <f>IFERROR(VLOOKUP(E:E,'Item Data Support Sheet'!A:O,4,0),0)</f>
        <v>8.6</v>
      </c>
      <c r="AA1073" s="428">
        <f t="shared" si="295"/>
        <v>43.068800000000003</v>
      </c>
      <c r="AB1073" s="429">
        <f t="shared" si="296"/>
        <v>0.99840255591054305</v>
      </c>
      <c r="AC1073" s="424">
        <f t="shared" si="297"/>
        <v>0</v>
      </c>
      <c r="AD1073" s="371">
        <f t="shared" si="298"/>
        <v>0</v>
      </c>
      <c r="AE1073" s="748">
        <f t="shared" si="299"/>
        <v>1</v>
      </c>
      <c r="AF1073" s="417">
        <f t="shared" si="300"/>
        <v>0</v>
      </c>
      <c r="AG1073" s="416">
        <f t="shared" si="301"/>
        <v>8</v>
      </c>
      <c r="AH1073" s="372">
        <f t="shared" si="302"/>
        <v>1</v>
      </c>
      <c r="AI1073" s="373">
        <f t="shared" si="303"/>
        <v>625</v>
      </c>
      <c r="AJ1073" s="418">
        <f>VLOOKUP(D1073,'Standard Cycle time'!C:D,2,0)</f>
        <v>6</v>
      </c>
      <c r="AK1073" s="418">
        <f t="shared" si="304"/>
        <v>5.76</v>
      </c>
      <c r="AL1073" s="374">
        <f t="shared" si="305"/>
        <v>1.0416666666666667</v>
      </c>
      <c r="AM1073" s="372">
        <f t="shared" si="306"/>
        <v>1.0416666666666667</v>
      </c>
      <c r="AN1073" s="799">
        <v>1.0416666666666667</v>
      </c>
      <c r="AO1073" s="448"/>
      <c r="AP1073" s="440">
        <v>0</v>
      </c>
      <c r="AQ1073" s="440">
        <v>0</v>
      </c>
      <c r="AR1073" s="440">
        <v>0</v>
      </c>
      <c r="AS1073" s="440">
        <v>0</v>
      </c>
      <c r="AT1073" s="440">
        <v>0</v>
      </c>
      <c r="AU1073" s="440">
        <v>0</v>
      </c>
      <c r="AV1073" s="440">
        <v>0</v>
      </c>
      <c r="AW1073" s="440">
        <v>0</v>
      </c>
      <c r="AX1073" s="440">
        <v>0</v>
      </c>
      <c r="AY1073" s="440">
        <v>0</v>
      </c>
      <c r="AZ1073" s="440">
        <v>0</v>
      </c>
      <c r="BA1073" s="440">
        <v>0</v>
      </c>
      <c r="BB1073" s="440">
        <v>0</v>
      </c>
      <c r="BC1073" s="440">
        <v>0</v>
      </c>
      <c r="BD1073" s="440">
        <v>0</v>
      </c>
      <c r="BE1073" s="440">
        <v>0</v>
      </c>
      <c r="BF1073" s="440">
        <v>0</v>
      </c>
      <c r="BG1073" s="440">
        <v>0</v>
      </c>
      <c r="BH1073" s="440">
        <v>0</v>
      </c>
      <c r="BI1073" s="440">
        <v>0</v>
      </c>
      <c r="BJ1073" s="440">
        <v>0</v>
      </c>
      <c r="BK1073" s="440">
        <v>0</v>
      </c>
      <c r="BL1073" s="440">
        <v>0</v>
      </c>
      <c r="BM1073" s="440">
        <v>0</v>
      </c>
      <c r="BN1073" s="440">
        <v>0</v>
      </c>
      <c r="BO1073" s="440">
        <v>0</v>
      </c>
      <c r="BP1073" s="440">
        <v>0</v>
      </c>
      <c r="BQ1073" s="440">
        <v>0</v>
      </c>
      <c r="BR1073" s="415">
        <v>0</v>
      </c>
      <c r="BS1073" s="415">
        <v>0</v>
      </c>
      <c r="BT1073" s="935"/>
      <c r="BU1073" s="935"/>
      <c r="BV1073" s="935"/>
      <c r="BW1073" s="935"/>
      <c r="BX1073" s="935"/>
      <c r="BY1073" s="935"/>
      <c r="BZ1073" s="935"/>
      <c r="CA1073" s="935"/>
      <c r="CB1073" s="935"/>
      <c r="CC1073" s="935"/>
      <c r="CD1073" s="935"/>
      <c r="CE1073" s="935"/>
      <c r="CF1073" s="935"/>
      <c r="CG1073" s="935"/>
      <c r="CH1073" s="935"/>
      <c r="CI1073" s="935"/>
      <c r="CJ1073" s="935"/>
      <c r="CK1073" s="935"/>
      <c r="CL1073" s="935"/>
      <c r="CM1073" s="935"/>
      <c r="CN1073" s="935"/>
      <c r="CO1073" s="935"/>
      <c r="CP1073" s="935"/>
      <c r="CQ1073" s="935"/>
      <c r="CR1073" s="935"/>
      <c r="CS1073" s="935"/>
      <c r="CT1073" s="935"/>
      <c r="CU1073" s="935"/>
      <c r="CV1073" s="935"/>
    </row>
    <row r="1074" spans="1:100" s="441" customFormat="1">
      <c r="A1074" s="375">
        <f t="shared" si="292"/>
        <v>10</v>
      </c>
      <c r="B1074" s="862">
        <v>44497</v>
      </c>
      <c r="C1074" s="493" t="s">
        <v>1980</v>
      </c>
      <c r="D1074" s="376" t="str">
        <f>IFERROR(VLOOKUP(E:E,'Item Data Support Sheet'!A:O,7,0),"")</f>
        <v>BOTTLE PRINTED</v>
      </c>
      <c r="E1074" s="447" t="s">
        <v>64</v>
      </c>
      <c r="F1074" s="500"/>
      <c r="G1074" s="497"/>
      <c r="H1074" s="602" t="str">
        <f>IFERROR(VLOOKUP(E:E,'Item Data Support Sheet'!A:O,2,0),"")</f>
        <v>KPP 240 ML BOTTLE PRINTED</v>
      </c>
      <c r="I1074" s="501" t="s">
        <v>3837</v>
      </c>
      <c r="J1074" s="501" t="s">
        <v>2813</v>
      </c>
      <c r="K1074" s="499">
        <v>8</v>
      </c>
      <c r="L1074" s="499">
        <v>5120</v>
      </c>
      <c r="M1074" s="366">
        <v>640</v>
      </c>
      <c r="N1074" s="367">
        <f t="shared" si="291"/>
        <v>4717</v>
      </c>
      <c r="O1074" s="61">
        <v>4644</v>
      </c>
      <c r="P1074" s="368">
        <v>0</v>
      </c>
      <c r="Q1074" s="368">
        <v>0</v>
      </c>
      <c r="R1074" s="494">
        <v>49</v>
      </c>
      <c r="S1074" s="493">
        <v>0</v>
      </c>
      <c r="T1074" s="494">
        <v>73</v>
      </c>
      <c r="U1074" s="493">
        <v>0</v>
      </c>
      <c r="V1074" s="502">
        <v>4.5</v>
      </c>
      <c r="W1074" s="453">
        <f t="shared" si="293"/>
        <v>1032</v>
      </c>
      <c r="X1074" s="748">
        <f t="shared" si="294"/>
        <v>0.90703124999999996</v>
      </c>
      <c r="Y1074" s="451" t="str">
        <f>IFERROR(VLOOKUP(E:E,'Item Data Support Sheet'!A:J,6,0),0)</f>
        <v>FO003</v>
      </c>
      <c r="Z1074" s="428">
        <f>IFERROR(VLOOKUP(E:E,'Item Data Support Sheet'!A:O,4,0),0)</f>
        <v>0</v>
      </c>
      <c r="AA1074" s="428">
        <f t="shared" si="295"/>
        <v>0</v>
      </c>
      <c r="AB1074" s="429" t="str">
        <f t="shared" si="296"/>
        <v xml:space="preserve"> </v>
      </c>
      <c r="AC1074" s="424">
        <f t="shared" si="297"/>
        <v>1.5475938096247616E-2</v>
      </c>
      <c r="AD1074" s="371">
        <f t="shared" si="298"/>
        <v>0</v>
      </c>
      <c r="AE1074" s="748">
        <f t="shared" si="299"/>
        <v>0.98452406190375241</v>
      </c>
      <c r="AF1074" s="417">
        <f t="shared" si="300"/>
        <v>0</v>
      </c>
      <c r="AG1074" s="416">
        <f t="shared" si="301"/>
        <v>8</v>
      </c>
      <c r="AH1074" s="372">
        <f t="shared" si="302"/>
        <v>1</v>
      </c>
      <c r="AI1074" s="373">
        <f t="shared" si="303"/>
        <v>580.5</v>
      </c>
      <c r="AJ1074" s="418">
        <f>VLOOKUP(D1074,'Standard Cycle time'!C:D,2,0)</f>
        <v>32.4</v>
      </c>
      <c r="AK1074" s="418">
        <f t="shared" si="304"/>
        <v>27.906976744186046</v>
      </c>
      <c r="AL1074" s="374">
        <f t="shared" si="305"/>
        <v>1.161</v>
      </c>
      <c r="AM1074" s="372">
        <f t="shared" si="306"/>
        <v>1.1430324358702566</v>
      </c>
      <c r="AN1074" s="799">
        <v>1.1440764776357828</v>
      </c>
      <c r="AO1074" s="448" t="s">
        <v>3704</v>
      </c>
      <c r="AP1074" s="440">
        <v>0</v>
      </c>
      <c r="AQ1074" s="440">
        <v>0</v>
      </c>
      <c r="AR1074" s="440">
        <v>0</v>
      </c>
      <c r="AS1074" s="440">
        <v>0</v>
      </c>
      <c r="AT1074" s="440">
        <v>0</v>
      </c>
      <c r="AU1074" s="440">
        <v>0</v>
      </c>
      <c r="AV1074" s="440">
        <v>0</v>
      </c>
      <c r="AW1074" s="440">
        <v>0</v>
      </c>
      <c r="AX1074" s="440">
        <v>0</v>
      </c>
      <c r="AY1074" s="440">
        <v>0</v>
      </c>
      <c r="AZ1074" s="440">
        <v>0</v>
      </c>
      <c r="BA1074" s="440">
        <v>0</v>
      </c>
      <c r="BB1074" s="440">
        <v>0</v>
      </c>
      <c r="BC1074" s="440">
        <v>0</v>
      </c>
      <c r="BD1074" s="440">
        <v>0</v>
      </c>
      <c r="BE1074" s="440">
        <v>0</v>
      </c>
      <c r="BF1074" s="440">
        <v>0</v>
      </c>
      <c r="BG1074" s="440">
        <v>0</v>
      </c>
      <c r="BH1074" s="440">
        <v>0</v>
      </c>
      <c r="BI1074" s="440">
        <v>0</v>
      </c>
      <c r="BJ1074" s="440">
        <v>0</v>
      </c>
      <c r="BK1074" s="440">
        <v>0</v>
      </c>
      <c r="BL1074" s="440">
        <v>0</v>
      </c>
      <c r="BM1074" s="440">
        <v>0</v>
      </c>
      <c r="BN1074" s="440">
        <v>0</v>
      </c>
      <c r="BO1074" s="440">
        <v>0</v>
      </c>
      <c r="BP1074" s="440">
        <v>0</v>
      </c>
      <c r="BQ1074" s="440">
        <v>0</v>
      </c>
      <c r="BR1074" s="415">
        <v>0</v>
      </c>
      <c r="BS1074" s="415">
        <v>0</v>
      </c>
      <c r="BT1074" s="935"/>
      <c r="BU1074" s="935"/>
      <c r="BV1074" s="935"/>
      <c r="BW1074" s="935"/>
      <c r="BX1074" s="935"/>
      <c r="BY1074" s="935"/>
      <c r="BZ1074" s="935"/>
      <c r="CA1074" s="935"/>
      <c r="CB1074" s="935"/>
      <c r="CC1074" s="935"/>
      <c r="CD1074" s="935"/>
      <c r="CE1074" s="935"/>
      <c r="CF1074" s="935"/>
      <c r="CG1074" s="935"/>
      <c r="CH1074" s="935"/>
      <c r="CI1074" s="935"/>
      <c r="CJ1074" s="935"/>
      <c r="CK1074" s="935"/>
      <c r="CL1074" s="935"/>
      <c r="CM1074" s="935"/>
      <c r="CN1074" s="935"/>
      <c r="CO1074" s="935"/>
      <c r="CP1074" s="935"/>
      <c r="CQ1074" s="935"/>
      <c r="CR1074" s="935"/>
      <c r="CS1074" s="935"/>
      <c r="CT1074" s="935"/>
      <c r="CU1074" s="935"/>
      <c r="CV1074" s="935"/>
    </row>
    <row r="1075" spans="1:100" s="441" customFormat="1">
      <c r="A1075" s="375">
        <f t="shared" si="292"/>
        <v>10</v>
      </c>
      <c r="B1075" s="862">
        <v>44497</v>
      </c>
      <c r="C1075" s="493" t="s">
        <v>2000</v>
      </c>
      <c r="D1075" s="376" t="str">
        <f>IFERROR(VLOOKUP(E:E,'Item Data Support Sheet'!A:O,7,0),"")</f>
        <v>NIPPLE PUNCH INSPECTED</v>
      </c>
      <c r="E1075" s="447" t="s">
        <v>1818</v>
      </c>
      <c r="F1075" s="500"/>
      <c r="G1075" s="497"/>
      <c r="H1075" s="602" t="str">
        <f>IFERROR(VLOOKUP(E:E,'Item Data Support Sheet'!A:O,2,0),"")</f>
        <v>NIPPLE S TYPE S SIZE PUNCHED INSPECTED</v>
      </c>
      <c r="I1075" s="501" t="s">
        <v>3838</v>
      </c>
      <c r="J1075" s="501" t="s">
        <v>2811</v>
      </c>
      <c r="K1075" s="499">
        <v>8</v>
      </c>
      <c r="L1075" s="499">
        <v>14000</v>
      </c>
      <c r="M1075" s="366">
        <v>1750</v>
      </c>
      <c r="N1075" s="367">
        <f t="shared" si="291"/>
        <v>13700</v>
      </c>
      <c r="O1075" s="61">
        <v>13628</v>
      </c>
      <c r="P1075" s="368">
        <v>0</v>
      </c>
      <c r="Q1075" s="368">
        <v>0</v>
      </c>
      <c r="R1075" s="494">
        <v>0</v>
      </c>
      <c r="S1075" s="493">
        <v>0</v>
      </c>
      <c r="T1075" s="494">
        <v>72</v>
      </c>
      <c r="U1075" s="493">
        <v>0</v>
      </c>
      <c r="V1075" s="502">
        <v>1</v>
      </c>
      <c r="W1075" s="453">
        <f t="shared" si="293"/>
        <v>13628</v>
      </c>
      <c r="X1075" s="748">
        <f t="shared" si="294"/>
        <v>0.97342857142857142</v>
      </c>
      <c r="Y1075" s="451" t="str">
        <f>IFERROR(VLOOKUP(E:E,'Item Data Support Sheet'!A:J,6,0),0)</f>
        <v>FO104</v>
      </c>
      <c r="Z1075" s="428">
        <f>IFERROR(VLOOKUP(E:E,'Item Data Support Sheet'!A:O,4,0),0)</f>
        <v>0</v>
      </c>
      <c r="AA1075" s="428">
        <f t="shared" si="295"/>
        <v>0</v>
      </c>
      <c r="AB1075" s="429" t="str">
        <f t="shared" si="296"/>
        <v xml:space="preserve"> </v>
      </c>
      <c r="AC1075" s="424">
        <f t="shared" si="297"/>
        <v>5.2554744525547441E-3</v>
      </c>
      <c r="AD1075" s="371">
        <f t="shared" si="298"/>
        <v>0</v>
      </c>
      <c r="AE1075" s="748">
        <f t="shared" si="299"/>
        <v>0.9947445255474453</v>
      </c>
      <c r="AF1075" s="417">
        <f t="shared" si="300"/>
        <v>0.83333333333333337</v>
      </c>
      <c r="AG1075" s="416">
        <f t="shared" si="301"/>
        <v>7.166666666666667</v>
      </c>
      <c r="AH1075" s="372">
        <f t="shared" si="302"/>
        <v>0.89583333333333337</v>
      </c>
      <c r="AI1075" s="373">
        <f t="shared" si="303"/>
        <v>1703.5</v>
      </c>
      <c r="AJ1075" s="418">
        <f>VLOOKUP(D1075,'Standard Cycle time'!C:D,2,0)</f>
        <v>4</v>
      </c>
      <c r="AK1075" s="418">
        <f t="shared" si="304"/>
        <v>1.8931611388318168</v>
      </c>
      <c r="AL1075" s="374">
        <f t="shared" si="305"/>
        <v>2.1128682170542636</v>
      </c>
      <c r="AM1075" s="372">
        <f t="shared" si="306"/>
        <v>1.8828303325223035</v>
      </c>
      <c r="AN1075" s="799">
        <v>1.8638865333427557</v>
      </c>
      <c r="AO1075" s="448"/>
      <c r="AP1075" s="440">
        <v>50</v>
      </c>
      <c r="AQ1075" s="440">
        <v>0</v>
      </c>
      <c r="AR1075" s="440">
        <v>0</v>
      </c>
      <c r="AS1075" s="440">
        <v>0</v>
      </c>
      <c r="AT1075" s="440">
        <v>0</v>
      </c>
      <c r="AU1075" s="440">
        <v>0</v>
      </c>
      <c r="AV1075" s="440">
        <v>0</v>
      </c>
      <c r="AW1075" s="440">
        <v>0</v>
      </c>
      <c r="AX1075" s="440">
        <v>0</v>
      </c>
      <c r="AY1075" s="440">
        <v>0</v>
      </c>
      <c r="AZ1075" s="440">
        <v>0</v>
      </c>
      <c r="BA1075" s="440">
        <v>0</v>
      </c>
      <c r="BB1075" s="440">
        <v>0</v>
      </c>
      <c r="BC1075" s="440">
        <v>0</v>
      </c>
      <c r="BD1075" s="440">
        <v>0</v>
      </c>
      <c r="BE1075" s="440">
        <v>0</v>
      </c>
      <c r="BF1075" s="440">
        <v>0</v>
      </c>
      <c r="BG1075" s="440">
        <v>0</v>
      </c>
      <c r="BH1075" s="440">
        <v>0</v>
      </c>
      <c r="BI1075" s="440">
        <v>0</v>
      </c>
      <c r="BJ1075" s="440">
        <v>0</v>
      </c>
      <c r="BK1075" s="440">
        <v>0</v>
      </c>
      <c r="BL1075" s="440">
        <v>0</v>
      </c>
      <c r="BM1075" s="440">
        <v>0</v>
      </c>
      <c r="BN1075" s="440">
        <v>0</v>
      </c>
      <c r="BO1075" s="440">
        <v>0</v>
      </c>
      <c r="BP1075" s="440">
        <v>0</v>
      </c>
      <c r="BQ1075" s="440">
        <v>0</v>
      </c>
      <c r="BR1075" s="415">
        <v>0.83333333333333337</v>
      </c>
      <c r="BS1075" s="415">
        <v>0.83333333333333337</v>
      </c>
      <c r="BT1075" s="935"/>
      <c r="BU1075" s="935"/>
      <c r="BV1075" s="935"/>
      <c r="BW1075" s="935"/>
      <c r="BX1075" s="935"/>
      <c r="BY1075" s="935"/>
      <c r="BZ1075" s="935"/>
      <c r="CA1075" s="935"/>
      <c r="CB1075" s="935"/>
      <c r="CC1075" s="935"/>
      <c r="CD1075" s="935"/>
      <c r="CE1075" s="935"/>
      <c r="CF1075" s="935"/>
      <c r="CG1075" s="935"/>
      <c r="CH1075" s="935"/>
      <c r="CI1075" s="935"/>
      <c r="CJ1075" s="935"/>
      <c r="CK1075" s="935"/>
      <c r="CL1075" s="935"/>
      <c r="CM1075" s="935"/>
      <c r="CN1075" s="935"/>
      <c r="CO1075" s="935"/>
      <c r="CP1075" s="935"/>
      <c r="CQ1075" s="935"/>
      <c r="CR1075" s="935"/>
      <c r="CS1075" s="935"/>
      <c r="CT1075" s="935"/>
      <c r="CU1075" s="935"/>
      <c r="CV1075" s="935"/>
    </row>
    <row r="1076" spans="1:100" s="441" customFormat="1">
      <c r="A1076" s="375">
        <f t="shared" si="292"/>
        <v>10</v>
      </c>
      <c r="B1076" s="862">
        <v>44497</v>
      </c>
      <c r="C1076" s="493" t="s">
        <v>2000</v>
      </c>
      <c r="D1076" s="376" t="str">
        <f>IFERROR(VLOOKUP(E:E,'Item Data Support Sheet'!A:O,7,0),"")</f>
        <v>NIPPLE WRAP PRINTED</v>
      </c>
      <c r="E1076" s="447" t="s">
        <v>108</v>
      </c>
      <c r="F1076" s="500"/>
      <c r="G1076" s="497" t="s">
        <v>1693</v>
      </c>
      <c r="H1076" s="602" t="str">
        <f>IFERROR(VLOOKUP(E:E,'Item Data Support Sheet'!A:O,2,0),"")</f>
        <v>NIPPLE S TYPE S SIZE WITH PRINTED WRAP</v>
      </c>
      <c r="I1076" s="501" t="s">
        <v>3838</v>
      </c>
      <c r="J1076" s="501" t="s">
        <v>2811</v>
      </c>
      <c r="K1076" s="499">
        <v>8</v>
      </c>
      <c r="L1076" s="499">
        <v>16171</v>
      </c>
      <c r="M1076" s="366">
        <v>2021.375</v>
      </c>
      <c r="N1076" s="367">
        <f t="shared" si="291"/>
        <v>13628</v>
      </c>
      <c r="O1076" s="61">
        <v>13624</v>
      </c>
      <c r="P1076" s="368">
        <v>0</v>
      </c>
      <c r="Q1076" s="368">
        <v>0</v>
      </c>
      <c r="R1076" s="494">
        <v>0</v>
      </c>
      <c r="S1076" s="493">
        <v>0</v>
      </c>
      <c r="T1076" s="494">
        <v>4</v>
      </c>
      <c r="U1076" s="493">
        <v>0</v>
      </c>
      <c r="V1076" s="502">
        <v>2</v>
      </c>
      <c r="W1076" s="453">
        <f t="shared" si="293"/>
        <v>6812</v>
      </c>
      <c r="X1076" s="748">
        <f t="shared" si="294"/>
        <v>0.84249582586110938</v>
      </c>
      <c r="Y1076" s="451" t="str">
        <f>IFERROR(VLOOKUP(E:E,'Item Data Support Sheet'!A:J,6,0),0)</f>
        <v>FO108</v>
      </c>
      <c r="Z1076" s="428">
        <f>IFERROR(VLOOKUP(E:E,'Item Data Support Sheet'!A:O,4,0),0)</f>
        <v>0</v>
      </c>
      <c r="AA1076" s="428">
        <f t="shared" si="295"/>
        <v>0</v>
      </c>
      <c r="AB1076" s="429" t="str">
        <f t="shared" si="296"/>
        <v xml:space="preserve"> </v>
      </c>
      <c r="AC1076" s="424">
        <f t="shared" si="297"/>
        <v>2.93513354857646E-4</v>
      </c>
      <c r="AD1076" s="371">
        <f t="shared" si="298"/>
        <v>0</v>
      </c>
      <c r="AE1076" s="748">
        <f t="shared" si="299"/>
        <v>0.99970648664514239</v>
      </c>
      <c r="AF1076" s="417">
        <f t="shared" si="300"/>
        <v>2.8333333333333335</v>
      </c>
      <c r="AG1076" s="416">
        <f t="shared" si="301"/>
        <v>5.1666666666666661</v>
      </c>
      <c r="AH1076" s="372">
        <f t="shared" si="302"/>
        <v>0.64583333333333326</v>
      </c>
      <c r="AI1076" s="373">
        <f t="shared" si="303"/>
        <v>1703</v>
      </c>
      <c r="AJ1076" s="418">
        <f>VLOOKUP(D1076,'Standard Cycle time'!C:D,2,0)</f>
        <v>2.5</v>
      </c>
      <c r="AK1076" s="418">
        <f t="shared" si="304"/>
        <v>2.7304756312389893</v>
      </c>
      <c r="AL1076" s="374">
        <f t="shared" si="305"/>
        <v>0.91559139784946264</v>
      </c>
      <c r="AM1076" s="372">
        <f t="shared" si="306"/>
        <v>0.59114588429051318</v>
      </c>
      <c r="AN1076" s="799">
        <v>0.59114679643146806</v>
      </c>
      <c r="AO1076" s="448"/>
      <c r="AP1076" s="440">
        <v>50</v>
      </c>
      <c r="AQ1076" s="440">
        <v>0</v>
      </c>
      <c r="AR1076" s="440">
        <v>0</v>
      </c>
      <c r="AS1076" s="440">
        <v>30</v>
      </c>
      <c r="AT1076" s="440">
        <v>30</v>
      </c>
      <c r="AU1076" s="440">
        <v>0</v>
      </c>
      <c r="AV1076" s="440">
        <v>60</v>
      </c>
      <c r="AW1076" s="440">
        <v>0</v>
      </c>
      <c r="AX1076" s="440">
        <v>0</v>
      </c>
      <c r="AY1076" s="440">
        <v>0</v>
      </c>
      <c r="AZ1076" s="440">
        <v>0</v>
      </c>
      <c r="BA1076" s="440">
        <v>0</v>
      </c>
      <c r="BB1076" s="440">
        <v>0</v>
      </c>
      <c r="BC1076" s="440">
        <v>0</v>
      </c>
      <c r="BD1076" s="440">
        <v>0</v>
      </c>
      <c r="BE1076" s="440">
        <v>0</v>
      </c>
      <c r="BF1076" s="440">
        <v>0</v>
      </c>
      <c r="BG1076" s="440">
        <v>0</v>
      </c>
      <c r="BH1076" s="440">
        <v>0</v>
      </c>
      <c r="BI1076" s="440">
        <v>0</v>
      </c>
      <c r="BJ1076" s="440">
        <v>0</v>
      </c>
      <c r="BK1076" s="440">
        <v>0</v>
      </c>
      <c r="BL1076" s="440">
        <v>0</v>
      </c>
      <c r="BM1076" s="440">
        <v>0</v>
      </c>
      <c r="BN1076" s="440">
        <v>0</v>
      </c>
      <c r="BO1076" s="440">
        <v>0</v>
      </c>
      <c r="BP1076" s="440">
        <v>0</v>
      </c>
      <c r="BQ1076" s="440">
        <v>0</v>
      </c>
      <c r="BR1076" s="415">
        <v>2.8333333333333335</v>
      </c>
      <c r="BS1076" s="415">
        <v>2.8333333333333335</v>
      </c>
      <c r="BT1076" s="935"/>
      <c r="BU1076" s="935"/>
      <c r="BV1076" s="935"/>
      <c r="BW1076" s="935"/>
      <c r="BX1076" s="935"/>
      <c r="BY1076" s="935"/>
      <c r="BZ1076" s="935"/>
      <c r="CA1076" s="935"/>
      <c r="CB1076" s="935"/>
      <c r="CC1076" s="935"/>
      <c r="CD1076" s="935"/>
      <c r="CE1076" s="935"/>
      <c r="CF1076" s="935"/>
      <c r="CG1076" s="935"/>
      <c r="CH1076" s="935"/>
      <c r="CI1076" s="935"/>
      <c r="CJ1076" s="935"/>
      <c r="CK1076" s="935"/>
      <c r="CL1076" s="935"/>
      <c r="CM1076" s="935"/>
      <c r="CN1076" s="935"/>
      <c r="CO1076" s="935"/>
      <c r="CP1076" s="935"/>
      <c r="CQ1076" s="935"/>
      <c r="CR1076" s="935"/>
      <c r="CS1076" s="935"/>
      <c r="CT1076" s="935"/>
      <c r="CU1076" s="935"/>
      <c r="CV1076" s="935"/>
    </row>
    <row r="1077" spans="1:100" s="441" customFormat="1">
      <c r="A1077" s="375">
        <f t="shared" si="292"/>
        <v>10</v>
      </c>
      <c r="B1077" s="862">
        <v>44497</v>
      </c>
      <c r="C1077" s="493" t="s">
        <v>2001</v>
      </c>
      <c r="D1077" s="376" t="str">
        <f>IFERROR(VLOOKUP(E:E,'Item Data Support Sheet'!A:O,7,0),"")</f>
        <v>NIPPLE PUNCH</v>
      </c>
      <c r="E1077" s="447" t="s">
        <v>80</v>
      </c>
      <c r="F1077" s="500"/>
      <c r="G1077" s="497" t="s">
        <v>1692</v>
      </c>
      <c r="H1077" s="602" t="str">
        <f>IFERROR(VLOOKUP(E:E,'Item Data Support Sheet'!A:O,2,0),"")</f>
        <v>NIPPLE S TYPE S SIZE PUNCHED</v>
      </c>
      <c r="I1077" s="501" t="s">
        <v>3839</v>
      </c>
      <c r="J1077" s="501" t="s">
        <v>2811</v>
      </c>
      <c r="K1077" s="499">
        <v>8</v>
      </c>
      <c r="L1077" s="499">
        <v>7000</v>
      </c>
      <c r="M1077" s="366">
        <v>875</v>
      </c>
      <c r="N1077" s="367">
        <f t="shared" si="291"/>
        <v>6900</v>
      </c>
      <c r="O1077" s="61">
        <v>6900</v>
      </c>
      <c r="P1077" s="368">
        <v>0</v>
      </c>
      <c r="Q1077" s="368">
        <v>0</v>
      </c>
      <c r="R1077" s="494">
        <v>0</v>
      </c>
      <c r="S1077" s="493">
        <v>0</v>
      </c>
      <c r="T1077" s="494">
        <v>0</v>
      </c>
      <c r="U1077" s="493">
        <v>0</v>
      </c>
      <c r="V1077" s="502">
        <v>1</v>
      </c>
      <c r="W1077" s="453">
        <f t="shared" si="293"/>
        <v>6900</v>
      </c>
      <c r="X1077" s="748">
        <f t="shared" si="294"/>
        <v>0.98571428571428577</v>
      </c>
      <c r="Y1077" s="451" t="str">
        <f>IFERROR(VLOOKUP(E:E,'Item Data Support Sheet'!A:J,6,0),0)</f>
        <v>FO015</v>
      </c>
      <c r="Z1077" s="428">
        <f>IFERROR(VLOOKUP(E:E,'Item Data Support Sheet'!A:O,4,0),0)</f>
        <v>0</v>
      </c>
      <c r="AA1077" s="428">
        <f t="shared" si="295"/>
        <v>0</v>
      </c>
      <c r="AB1077" s="429" t="str">
        <f t="shared" si="296"/>
        <v xml:space="preserve"> </v>
      </c>
      <c r="AC1077" s="424">
        <f t="shared" si="297"/>
        <v>0</v>
      </c>
      <c r="AD1077" s="371">
        <f t="shared" si="298"/>
        <v>0</v>
      </c>
      <c r="AE1077" s="748">
        <f t="shared" si="299"/>
        <v>1</v>
      </c>
      <c r="AF1077" s="417">
        <f t="shared" si="300"/>
        <v>0.66666666666666663</v>
      </c>
      <c r="AG1077" s="416">
        <f t="shared" si="301"/>
        <v>7.333333333333333</v>
      </c>
      <c r="AH1077" s="372">
        <f t="shared" si="302"/>
        <v>0.91666666666666663</v>
      </c>
      <c r="AI1077" s="373">
        <f t="shared" si="303"/>
        <v>862.5</v>
      </c>
      <c r="AJ1077" s="418">
        <f>VLOOKUP(D1077,'Standard Cycle time'!C:D,2,0)</f>
        <v>3.5</v>
      </c>
      <c r="AK1077" s="418">
        <f t="shared" si="304"/>
        <v>3.8260869565217392</v>
      </c>
      <c r="AL1077" s="374">
        <f t="shared" si="305"/>
        <v>0.91477272727272729</v>
      </c>
      <c r="AM1077" s="372">
        <f t="shared" si="306"/>
        <v>0.83854166666666663</v>
      </c>
      <c r="AN1077" s="799">
        <v>0.83854166666666663</v>
      </c>
      <c r="AO1077" s="448" t="s">
        <v>3840</v>
      </c>
      <c r="AP1077" s="440">
        <v>40</v>
      </c>
      <c r="AQ1077" s="440">
        <v>0</v>
      </c>
      <c r="AR1077" s="440">
        <v>0</v>
      </c>
      <c r="AS1077" s="440">
        <v>0</v>
      </c>
      <c r="AT1077" s="440">
        <v>0</v>
      </c>
      <c r="AU1077" s="440">
        <v>0</v>
      </c>
      <c r="AV1077" s="440">
        <v>0</v>
      </c>
      <c r="AW1077" s="440">
        <v>0</v>
      </c>
      <c r="AX1077" s="440">
        <v>0</v>
      </c>
      <c r="AY1077" s="440">
        <v>0</v>
      </c>
      <c r="AZ1077" s="440">
        <v>0</v>
      </c>
      <c r="BA1077" s="440">
        <v>0</v>
      </c>
      <c r="BB1077" s="440">
        <v>0</v>
      </c>
      <c r="BC1077" s="440">
        <v>0</v>
      </c>
      <c r="BD1077" s="440">
        <v>0</v>
      </c>
      <c r="BE1077" s="440">
        <v>0</v>
      </c>
      <c r="BF1077" s="440">
        <v>0</v>
      </c>
      <c r="BG1077" s="440">
        <v>0</v>
      </c>
      <c r="BH1077" s="440">
        <v>0</v>
      </c>
      <c r="BI1077" s="440">
        <v>0</v>
      </c>
      <c r="BJ1077" s="440">
        <v>0</v>
      </c>
      <c r="BK1077" s="440">
        <v>0</v>
      </c>
      <c r="BL1077" s="440">
        <v>0</v>
      </c>
      <c r="BM1077" s="440">
        <v>0</v>
      </c>
      <c r="BN1077" s="440">
        <v>0</v>
      </c>
      <c r="BO1077" s="440">
        <v>0</v>
      </c>
      <c r="BP1077" s="440">
        <v>0</v>
      </c>
      <c r="BQ1077" s="440">
        <v>0</v>
      </c>
      <c r="BR1077" s="415">
        <v>0.66666666666666663</v>
      </c>
      <c r="BS1077" s="415">
        <v>0.66666666666666663</v>
      </c>
      <c r="BT1077" s="935"/>
      <c r="BU1077" s="935"/>
      <c r="BV1077" s="935"/>
      <c r="BW1077" s="935"/>
      <c r="BX1077" s="935"/>
      <c r="BY1077" s="935"/>
      <c r="BZ1077" s="935"/>
      <c r="CA1077" s="935"/>
      <c r="CB1077" s="935"/>
      <c r="CC1077" s="935"/>
      <c r="CD1077" s="935"/>
      <c r="CE1077" s="935"/>
      <c r="CF1077" s="935"/>
      <c r="CG1077" s="935"/>
      <c r="CH1077" s="935"/>
      <c r="CI1077" s="935"/>
      <c r="CJ1077" s="935"/>
      <c r="CK1077" s="935"/>
      <c r="CL1077" s="935"/>
      <c r="CM1077" s="935"/>
      <c r="CN1077" s="935"/>
      <c r="CO1077" s="935"/>
      <c r="CP1077" s="935"/>
      <c r="CQ1077" s="935"/>
      <c r="CR1077" s="935"/>
      <c r="CS1077" s="935"/>
      <c r="CT1077" s="935"/>
      <c r="CU1077" s="935"/>
      <c r="CV1077" s="935"/>
    </row>
    <row r="1078" spans="1:100" s="441" customFormat="1">
      <c r="A1078" s="375">
        <f t="shared" si="292"/>
        <v>10</v>
      </c>
      <c r="B1078" s="862">
        <v>44497</v>
      </c>
      <c r="C1078" s="493" t="s">
        <v>2001</v>
      </c>
      <c r="D1078" s="376" t="str">
        <f>IFERROR(VLOOKUP(E:E,'Item Data Support Sheet'!A:O,7,0),"")</f>
        <v>NIPPLE LASER MARKING</v>
      </c>
      <c r="E1078" s="447" t="s">
        <v>1814</v>
      </c>
      <c r="F1078" s="500"/>
      <c r="G1078" s="497" t="s">
        <v>1812</v>
      </c>
      <c r="H1078" s="602" t="str">
        <f>IFERROR(VLOOKUP(E:E,'Item Data Support Sheet'!A:O,2,0),"")</f>
        <v>NIPPLE S TYPE S SIZE PUNCHED LASER MARKED</v>
      </c>
      <c r="I1078" s="501" t="s">
        <v>3841</v>
      </c>
      <c r="J1078" s="501" t="s">
        <v>2811</v>
      </c>
      <c r="K1078" s="499">
        <v>8</v>
      </c>
      <c r="L1078" s="499">
        <v>7000</v>
      </c>
      <c r="M1078" s="366">
        <v>875</v>
      </c>
      <c r="N1078" s="367">
        <f t="shared" si="291"/>
        <v>6900</v>
      </c>
      <c r="O1078" s="61">
        <v>6900</v>
      </c>
      <c r="P1078" s="368">
        <v>0</v>
      </c>
      <c r="Q1078" s="368">
        <v>0</v>
      </c>
      <c r="R1078" s="494">
        <v>0</v>
      </c>
      <c r="S1078" s="493">
        <v>0</v>
      </c>
      <c r="T1078" s="494">
        <v>0</v>
      </c>
      <c r="U1078" s="493">
        <v>0</v>
      </c>
      <c r="V1078" s="502">
        <v>1</v>
      </c>
      <c r="W1078" s="453">
        <f t="shared" si="293"/>
        <v>6900</v>
      </c>
      <c r="X1078" s="748">
        <f t="shared" si="294"/>
        <v>0.98571428571428577</v>
      </c>
      <c r="Y1078" s="451" t="str">
        <f>IFERROR(VLOOKUP(E:E,'Item Data Support Sheet'!A:J,6,0),0)</f>
        <v>FO019</v>
      </c>
      <c r="Z1078" s="428">
        <f>IFERROR(VLOOKUP(E:E,'Item Data Support Sheet'!A:O,4,0),0)</f>
        <v>0</v>
      </c>
      <c r="AA1078" s="428">
        <f t="shared" si="295"/>
        <v>0</v>
      </c>
      <c r="AB1078" s="429" t="str">
        <f t="shared" si="296"/>
        <v xml:space="preserve"> </v>
      </c>
      <c r="AC1078" s="424">
        <f t="shared" si="297"/>
        <v>0</v>
      </c>
      <c r="AD1078" s="371">
        <f t="shared" si="298"/>
        <v>0</v>
      </c>
      <c r="AE1078" s="748">
        <f t="shared" si="299"/>
        <v>1</v>
      </c>
      <c r="AF1078" s="417">
        <f t="shared" si="300"/>
        <v>0.66666666666666663</v>
      </c>
      <c r="AG1078" s="416">
        <f t="shared" si="301"/>
        <v>7.333333333333333</v>
      </c>
      <c r="AH1078" s="372">
        <f t="shared" si="302"/>
        <v>0.91666666666666663</v>
      </c>
      <c r="AI1078" s="373">
        <f t="shared" si="303"/>
        <v>862.5</v>
      </c>
      <c r="AJ1078" s="418">
        <f>VLOOKUP(D1078,'Standard Cycle time'!C:D,2,0)</f>
        <v>3.5</v>
      </c>
      <c r="AK1078" s="418">
        <f t="shared" si="304"/>
        <v>3.8260869565217392</v>
      </c>
      <c r="AL1078" s="374">
        <f t="shared" si="305"/>
        <v>0.91477272727272729</v>
      </c>
      <c r="AM1078" s="372">
        <f t="shared" si="306"/>
        <v>0.83854166666666663</v>
      </c>
      <c r="AN1078" s="799">
        <v>0.83854166666666663</v>
      </c>
      <c r="AO1078" s="448" t="s">
        <v>3840</v>
      </c>
      <c r="AP1078" s="440">
        <v>40</v>
      </c>
      <c r="AQ1078" s="440">
        <v>0</v>
      </c>
      <c r="AR1078" s="440">
        <v>0</v>
      </c>
      <c r="AS1078" s="440">
        <v>0</v>
      </c>
      <c r="AT1078" s="440">
        <v>0</v>
      </c>
      <c r="AU1078" s="440">
        <v>0</v>
      </c>
      <c r="AV1078" s="440">
        <v>0</v>
      </c>
      <c r="AW1078" s="440">
        <v>0</v>
      </c>
      <c r="AX1078" s="440">
        <v>0</v>
      </c>
      <c r="AY1078" s="440">
        <v>0</v>
      </c>
      <c r="AZ1078" s="440">
        <v>0</v>
      </c>
      <c r="BA1078" s="440">
        <v>0</v>
      </c>
      <c r="BB1078" s="440">
        <v>0</v>
      </c>
      <c r="BC1078" s="440">
        <v>0</v>
      </c>
      <c r="BD1078" s="440">
        <v>0</v>
      </c>
      <c r="BE1078" s="440">
        <v>0</v>
      </c>
      <c r="BF1078" s="440">
        <v>0</v>
      </c>
      <c r="BG1078" s="440">
        <v>0</v>
      </c>
      <c r="BH1078" s="440">
        <v>0</v>
      </c>
      <c r="BI1078" s="440">
        <v>0</v>
      </c>
      <c r="BJ1078" s="440">
        <v>0</v>
      </c>
      <c r="BK1078" s="440">
        <v>0</v>
      </c>
      <c r="BL1078" s="440">
        <v>0</v>
      </c>
      <c r="BM1078" s="440">
        <v>0</v>
      </c>
      <c r="BN1078" s="440">
        <v>0</v>
      </c>
      <c r="BO1078" s="440">
        <v>0</v>
      </c>
      <c r="BP1078" s="440">
        <v>0</v>
      </c>
      <c r="BQ1078" s="440">
        <v>0</v>
      </c>
      <c r="BR1078" s="415">
        <v>0.66666666666666663</v>
      </c>
      <c r="BS1078" s="415">
        <v>0.66666666666666663</v>
      </c>
      <c r="BT1078" s="935"/>
      <c r="BU1078" s="935"/>
      <c r="BV1078" s="935"/>
      <c r="BW1078" s="935"/>
      <c r="BX1078" s="935"/>
      <c r="BY1078" s="935"/>
      <c r="BZ1078" s="935"/>
      <c r="CA1078" s="935"/>
      <c r="CB1078" s="935"/>
      <c r="CC1078" s="935"/>
      <c r="CD1078" s="935"/>
      <c r="CE1078" s="935"/>
      <c r="CF1078" s="935"/>
      <c r="CG1078" s="935"/>
      <c r="CH1078" s="935"/>
      <c r="CI1078" s="935"/>
      <c r="CJ1078" s="935"/>
      <c r="CK1078" s="935"/>
      <c r="CL1078" s="935"/>
      <c r="CM1078" s="935"/>
      <c r="CN1078" s="935"/>
      <c r="CO1078" s="935"/>
      <c r="CP1078" s="935"/>
      <c r="CQ1078" s="935"/>
      <c r="CR1078" s="935"/>
      <c r="CS1078" s="935"/>
      <c r="CT1078" s="935"/>
      <c r="CU1078" s="935"/>
      <c r="CV1078" s="935"/>
    </row>
    <row r="1079" spans="1:100" s="441" customFormat="1">
      <c r="A1079" s="375">
        <f t="shared" si="292"/>
        <v>10</v>
      </c>
      <c r="B1079" s="862">
        <v>44497</v>
      </c>
      <c r="C1079" s="493" t="s">
        <v>2001</v>
      </c>
      <c r="D1079" s="376" t="str">
        <f>IFERROR(VLOOKUP(E:E,'Item Data Support Sheet'!A:O,7,0),"")</f>
        <v>NIPPLE MOLDED</v>
      </c>
      <c r="E1079" s="447" t="s">
        <v>72</v>
      </c>
      <c r="F1079" s="500" t="s">
        <v>1678</v>
      </c>
      <c r="G1079" s="497" t="s">
        <v>1691</v>
      </c>
      <c r="H1079" s="602" t="str">
        <f>IFERROR(VLOOKUP(E:E,'Item Data Support Sheet'!A:O,2,0),"")</f>
        <v>NIPPLE S TYPE S SIZE INJECTION</v>
      </c>
      <c r="I1079" s="501" t="s">
        <v>3842</v>
      </c>
      <c r="J1079" s="501" t="s">
        <v>2811</v>
      </c>
      <c r="K1079" s="499">
        <v>8</v>
      </c>
      <c r="L1079" s="499">
        <v>4815</v>
      </c>
      <c r="M1079" s="366">
        <v>601.875</v>
      </c>
      <c r="N1079" s="367">
        <f t="shared" si="291"/>
        <v>5515</v>
      </c>
      <c r="O1079" s="61">
        <v>5500</v>
      </c>
      <c r="P1079" s="368">
        <v>0</v>
      </c>
      <c r="Q1079" s="368">
        <v>0</v>
      </c>
      <c r="R1079" s="494">
        <v>0</v>
      </c>
      <c r="S1079" s="493">
        <v>0</v>
      </c>
      <c r="T1079" s="494">
        <v>15</v>
      </c>
      <c r="U1079" s="493">
        <v>0</v>
      </c>
      <c r="V1079" s="502">
        <v>1</v>
      </c>
      <c r="W1079" s="453">
        <f t="shared" si="293"/>
        <v>5500</v>
      </c>
      <c r="X1079" s="748">
        <f t="shared" si="294"/>
        <v>1.142263759086189</v>
      </c>
      <c r="Y1079" s="451" t="str">
        <f>IFERROR(VLOOKUP(E:E,'Item Data Support Sheet'!A:J,6,0),0)</f>
        <v>Silicon</v>
      </c>
      <c r="Z1079" s="428">
        <f>IFERROR(VLOOKUP(E:E,'Item Data Support Sheet'!A:O,4,0),0)</f>
        <v>6.8</v>
      </c>
      <c r="AA1079" s="428">
        <f t="shared" si="295"/>
        <v>37.501999999999995</v>
      </c>
      <c r="AB1079" s="429">
        <f t="shared" si="296"/>
        <v>0.99728014505893026</v>
      </c>
      <c r="AC1079" s="424">
        <f t="shared" si="297"/>
        <v>2.7198549410698096E-3</v>
      </c>
      <c r="AD1079" s="371">
        <f t="shared" si="298"/>
        <v>0</v>
      </c>
      <c r="AE1079" s="748">
        <f t="shared" si="299"/>
        <v>0.99728014505893015</v>
      </c>
      <c r="AF1079" s="417">
        <f t="shared" si="300"/>
        <v>0</v>
      </c>
      <c r="AG1079" s="416">
        <f t="shared" si="301"/>
        <v>8</v>
      </c>
      <c r="AH1079" s="372">
        <f t="shared" si="302"/>
        <v>1</v>
      </c>
      <c r="AI1079" s="373">
        <f t="shared" si="303"/>
        <v>687.5</v>
      </c>
      <c r="AJ1079" s="418">
        <f>VLOOKUP(D1079,'Standard Cycle time'!C:D,2,0)</f>
        <v>5.25</v>
      </c>
      <c r="AK1079" s="418">
        <f t="shared" si="304"/>
        <v>5.2363636363636363</v>
      </c>
      <c r="AL1079" s="374">
        <f t="shared" si="305"/>
        <v>1.0026041666666667</v>
      </c>
      <c r="AM1079" s="372">
        <f t="shared" si="306"/>
        <v>0.99987722877002116</v>
      </c>
      <c r="AN1079" s="799">
        <v>1.0004245923913044</v>
      </c>
      <c r="AO1079" s="448"/>
      <c r="AP1079" s="440">
        <v>0</v>
      </c>
      <c r="AQ1079" s="440">
        <v>0</v>
      </c>
      <c r="AR1079" s="440">
        <v>0</v>
      </c>
      <c r="AS1079" s="440">
        <v>0</v>
      </c>
      <c r="AT1079" s="440">
        <v>0</v>
      </c>
      <c r="AU1079" s="440">
        <v>0</v>
      </c>
      <c r="AV1079" s="440">
        <v>0</v>
      </c>
      <c r="AW1079" s="440">
        <v>0</v>
      </c>
      <c r="AX1079" s="440">
        <v>0</v>
      </c>
      <c r="AY1079" s="440">
        <v>0</v>
      </c>
      <c r="AZ1079" s="440">
        <v>0</v>
      </c>
      <c r="BA1079" s="440">
        <v>0</v>
      </c>
      <c r="BB1079" s="440">
        <v>0</v>
      </c>
      <c r="BC1079" s="440">
        <v>0</v>
      </c>
      <c r="BD1079" s="440">
        <v>0</v>
      </c>
      <c r="BE1079" s="440">
        <v>0</v>
      </c>
      <c r="BF1079" s="440">
        <v>0</v>
      </c>
      <c r="BG1079" s="440">
        <v>0</v>
      </c>
      <c r="BH1079" s="440">
        <v>0</v>
      </c>
      <c r="BI1079" s="440">
        <v>0</v>
      </c>
      <c r="BJ1079" s="440">
        <v>0</v>
      </c>
      <c r="BK1079" s="440">
        <v>0</v>
      </c>
      <c r="BL1079" s="440">
        <v>0</v>
      </c>
      <c r="BM1079" s="440">
        <v>0</v>
      </c>
      <c r="BN1079" s="440">
        <v>0</v>
      </c>
      <c r="BO1079" s="440">
        <v>0</v>
      </c>
      <c r="BP1079" s="440">
        <v>0</v>
      </c>
      <c r="BQ1079" s="440">
        <v>0</v>
      </c>
      <c r="BR1079" s="415">
        <v>0</v>
      </c>
      <c r="BS1079" s="415">
        <v>0</v>
      </c>
      <c r="BT1079" s="935"/>
      <c r="BU1079" s="935"/>
      <c r="BV1079" s="935"/>
      <c r="BW1079" s="935"/>
      <c r="BX1079" s="935"/>
      <c r="BY1079" s="935"/>
      <c r="BZ1079" s="935"/>
      <c r="CA1079" s="935"/>
      <c r="CB1079" s="935"/>
      <c r="CC1079" s="935"/>
      <c r="CD1079" s="935"/>
      <c r="CE1079" s="935"/>
      <c r="CF1079" s="935"/>
      <c r="CG1079" s="935"/>
      <c r="CH1079" s="935"/>
      <c r="CI1079" s="935"/>
      <c r="CJ1079" s="935"/>
      <c r="CK1079" s="935"/>
      <c r="CL1079" s="935"/>
      <c r="CM1079" s="935"/>
      <c r="CN1079" s="935"/>
      <c r="CO1079" s="935"/>
      <c r="CP1079" s="935"/>
      <c r="CQ1079" s="935"/>
      <c r="CR1079" s="935"/>
      <c r="CS1079" s="935"/>
      <c r="CT1079" s="935"/>
      <c r="CU1079" s="935"/>
      <c r="CV1079" s="935"/>
    </row>
    <row r="1080" spans="1:100" s="441" customFormat="1">
      <c r="A1080" s="375">
        <f t="shared" si="292"/>
        <v>10</v>
      </c>
      <c r="B1080" s="862">
        <v>44497</v>
      </c>
      <c r="C1080" s="493" t="s">
        <v>2001</v>
      </c>
      <c r="D1080" s="376" t="str">
        <f>IFERROR(VLOOKUP(E:E,'Item Data Support Sheet'!A:O,7,0),"")</f>
        <v>HOOD MOLDED</v>
      </c>
      <c r="E1080" s="447" t="s">
        <v>1987</v>
      </c>
      <c r="F1080" s="500"/>
      <c r="G1080" s="497" t="s">
        <v>2729</v>
      </c>
      <c r="H1080" s="602" t="str">
        <f>IFERROR(VLOOKUP(E:E,'Item Data Support Sheet'!A:O,2,0),"")</f>
        <v>HOOD S TYPE MOLDED</v>
      </c>
      <c r="I1080" s="501" t="s">
        <v>3843</v>
      </c>
      <c r="J1080" s="501" t="s">
        <v>2811</v>
      </c>
      <c r="K1080" s="499">
        <v>8</v>
      </c>
      <c r="L1080" s="499">
        <v>4137</v>
      </c>
      <c r="M1080" s="366">
        <v>517.125</v>
      </c>
      <c r="N1080" s="367">
        <f t="shared" si="291"/>
        <v>5040</v>
      </c>
      <c r="O1080" s="61">
        <v>5000</v>
      </c>
      <c r="P1080" s="368">
        <v>0</v>
      </c>
      <c r="Q1080" s="368">
        <v>8</v>
      </c>
      <c r="R1080" s="494">
        <v>0</v>
      </c>
      <c r="S1080" s="493">
        <v>0</v>
      </c>
      <c r="T1080" s="494">
        <v>32</v>
      </c>
      <c r="U1080" s="493">
        <v>0</v>
      </c>
      <c r="V1080" s="502">
        <v>1</v>
      </c>
      <c r="W1080" s="453">
        <f t="shared" si="293"/>
        <v>5000</v>
      </c>
      <c r="X1080" s="748">
        <f t="shared" si="294"/>
        <v>1.2086052695189751</v>
      </c>
      <c r="Y1080" s="451" t="str">
        <f>IFERROR(VLOOKUP(E:E,'Item Data Support Sheet'!A:J,6,0),0)</f>
        <v>HMC</v>
      </c>
      <c r="Z1080" s="428">
        <f>IFERROR(VLOOKUP(E:E,'Item Data Support Sheet'!A:O,4,0),0)</f>
        <v>8.6</v>
      </c>
      <c r="AA1080" s="428">
        <f t="shared" si="295"/>
        <v>43.344000000000001</v>
      </c>
      <c r="AB1080" s="429">
        <f t="shared" si="296"/>
        <v>0.99206349206349198</v>
      </c>
      <c r="AC1080" s="424">
        <f t="shared" si="297"/>
        <v>6.3593004769475362E-3</v>
      </c>
      <c r="AD1080" s="371">
        <f t="shared" si="298"/>
        <v>1.5847860538827259E-3</v>
      </c>
      <c r="AE1080" s="748">
        <f t="shared" si="299"/>
        <v>0.99365079365079367</v>
      </c>
      <c r="AF1080" s="417">
        <f t="shared" si="300"/>
        <v>0</v>
      </c>
      <c r="AG1080" s="416">
        <f t="shared" si="301"/>
        <v>8</v>
      </c>
      <c r="AH1080" s="372">
        <f t="shared" si="302"/>
        <v>1</v>
      </c>
      <c r="AI1080" s="373">
        <f t="shared" si="303"/>
        <v>625</v>
      </c>
      <c r="AJ1080" s="418">
        <f>VLOOKUP(D1080,'Standard Cycle time'!C:D,2,0)</f>
        <v>6</v>
      </c>
      <c r="AK1080" s="418">
        <f t="shared" si="304"/>
        <v>5.76</v>
      </c>
      <c r="AL1080" s="374">
        <f t="shared" si="305"/>
        <v>1.0416666666666667</v>
      </c>
      <c r="AM1080" s="372">
        <f t="shared" si="306"/>
        <v>1.0350529100529102</v>
      </c>
      <c r="AN1080" s="799">
        <v>1.0356225445754006</v>
      </c>
      <c r="AO1080" s="448"/>
      <c r="AP1080" s="440">
        <v>0</v>
      </c>
      <c r="AQ1080" s="440">
        <v>0</v>
      </c>
      <c r="AR1080" s="440">
        <v>0</v>
      </c>
      <c r="AS1080" s="440">
        <v>0</v>
      </c>
      <c r="AT1080" s="440">
        <v>0</v>
      </c>
      <c r="AU1080" s="440">
        <v>0</v>
      </c>
      <c r="AV1080" s="440">
        <v>0</v>
      </c>
      <c r="AW1080" s="440">
        <v>0</v>
      </c>
      <c r="AX1080" s="440">
        <v>0</v>
      </c>
      <c r="AY1080" s="440">
        <v>0</v>
      </c>
      <c r="AZ1080" s="440">
        <v>0</v>
      </c>
      <c r="BA1080" s="440">
        <v>0</v>
      </c>
      <c r="BB1080" s="440">
        <v>0</v>
      </c>
      <c r="BC1080" s="440">
        <v>0</v>
      </c>
      <c r="BD1080" s="440">
        <v>0</v>
      </c>
      <c r="BE1080" s="440">
        <v>0</v>
      </c>
      <c r="BF1080" s="440">
        <v>0</v>
      </c>
      <c r="BG1080" s="440">
        <v>0</v>
      </c>
      <c r="BH1080" s="440">
        <v>0</v>
      </c>
      <c r="BI1080" s="440">
        <v>0</v>
      </c>
      <c r="BJ1080" s="440">
        <v>0</v>
      </c>
      <c r="BK1080" s="440">
        <v>0</v>
      </c>
      <c r="BL1080" s="440">
        <v>0</v>
      </c>
      <c r="BM1080" s="440">
        <v>0</v>
      </c>
      <c r="BN1080" s="440">
        <v>0</v>
      </c>
      <c r="BO1080" s="440">
        <v>0</v>
      </c>
      <c r="BP1080" s="440">
        <v>0</v>
      </c>
      <c r="BQ1080" s="440">
        <v>0</v>
      </c>
      <c r="BR1080" s="415">
        <v>0</v>
      </c>
      <c r="BS1080" s="415">
        <v>0</v>
      </c>
      <c r="BT1080" s="935"/>
      <c r="BU1080" s="935"/>
      <c r="BV1080" s="935"/>
      <c r="BW1080" s="935"/>
      <c r="BX1080" s="935"/>
      <c r="BY1080" s="935"/>
      <c r="BZ1080" s="935"/>
      <c r="CA1080" s="935"/>
      <c r="CB1080" s="935"/>
      <c r="CC1080" s="935"/>
      <c r="CD1080" s="935"/>
      <c r="CE1080" s="935"/>
      <c r="CF1080" s="935"/>
      <c r="CG1080" s="935"/>
      <c r="CH1080" s="935"/>
      <c r="CI1080" s="935"/>
      <c r="CJ1080" s="935"/>
      <c r="CK1080" s="935"/>
      <c r="CL1080" s="935"/>
      <c r="CM1080" s="935"/>
      <c r="CN1080" s="935"/>
      <c r="CO1080" s="935"/>
      <c r="CP1080" s="935"/>
      <c r="CQ1080" s="935"/>
      <c r="CR1080" s="935"/>
      <c r="CS1080" s="935"/>
      <c r="CT1080" s="935"/>
      <c r="CU1080" s="935"/>
      <c r="CV1080" s="935"/>
    </row>
    <row r="1081" spans="1:100" s="441" customFormat="1">
      <c r="A1081" s="375">
        <f t="shared" si="292"/>
        <v>10</v>
      </c>
      <c r="B1081" s="862">
        <v>44497</v>
      </c>
      <c r="C1081" s="493" t="s">
        <v>2001</v>
      </c>
      <c r="D1081" s="376" t="str">
        <f>IFERROR(VLOOKUP(E:E,'Item Data Support Sheet'!A:O,7,0),"")</f>
        <v>BOTTLE MOLDED</v>
      </c>
      <c r="E1081" s="447" t="s">
        <v>14</v>
      </c>
      <c r="F1081" s="500" t="s">
        <v>1681</v>
      </c>
      <c r="G1081" s="497" t="s">
        <v>1888</v>
      </c>
      <c r="H1081" s="602" t="str">
        <f>IFERROR(VLOOKUP(E:E,'Item Data Support Sheet'!A:O,2,0),"")</f>
        <v>KPP 240 ML BOTTLE MOLDED</v>
      </c>
      <c r="I1081" s="501" t="s">
        <v>3844</v>
      </c>
      <c r="J1081" s="501" t="s">
        <v>2811</v>
      </c>
      <c r="K1081" s="499">
        <v>8</v>
      </c>
      <c r="L1081" s="499">
        <v>2574</v>
      </c>
      <c r="M1081" s="366">
        <v>321.75</v>
      </c>
      <c r="N1081" s="367">
        <f t="shared" si="291"/>
        <v>3159</v>
      </c>
      <c r="O1081" s="61">
        <v>3024</v>
      </c>
      <c r="P1081" s="368">
        <v>0.63</v>
      </c>
      <c r="Q1081" s="368">
        <v>65</v>
      </c>
      <c r="R1081" s="494">
        <v>0</v>
      </c>
      <c r="S1081" s="493">
        <v>0</v>
      </c>
      <c r="T1081" s="494">
        <v>70</v>
      </c>
      <c r="U1081" s="493">
        <v>0</v>
      </c>
      <c r="V1081" s="502">
        <v>1</v>
      </c>
      <c r="W1081" s="453">
        <f t="shared" si="293"/>
        <v>3024</v>
      </c>
      <c r="X1081" s="748">
        <f t="shared" si="294"/>
        <v>1.1748251748251748</v>
      </c>
      <c r="Y1081" s="451" t="str">
        <f>IFERROR(VLOOKUP(E:E,'Item Data Support Sheet'!A:J,6,0),0)</f>
        <v>HMC</v>
      </c>
      <c r="Z1081" s="428">
        <f>IFERROR(VLOOKUP(E:E,'Item Data Support Sheet'!A:O,4,0),0)</f>
        <v>32.1</v>
      </c>
      <c r="AA1081" s="428">
        <f t="shared" si="295"/>
        <v>102.0339</v>
      </c>
      <c r="AB1081" s="429">
        <f t="shared" si="296"/>
        <v>0.95135440280142192</v>
      </c>
      <c r="AC1081" s="424">
        <f t="shared" si="297"/>
        <v>2.2624434389140271E-2</v>
      </c>
      <c r="AD1081" s="371">
        <f t="shared" si="298"/>
        <v>2.0161290322580645E-2</v>
      </c>
      <c r="AE1081" s="748">
        <f t="shared" si="299"/>
        <v>0.97784108895220001</v>
      </c>
      <c r="AF1081" s="417">
        <f t="shared" si="300"/>
        <v>0</v>
      </c>
      <c r="AG1081" s="416">
        <f t="shared" si="301"/>
        <v>8</v>
      </c>
      <c r="AH1081" s="372">
        <f t="shared" si="302"/>
        <v>1</v>
      </c>
      <c r="AI1081" s="373">
        <f t="shared" si="303"/>
        <v>378</v>
      </c>
      <c r="AJ1081" s="418">
        <f>VLOOKUP(D1081,'Standard Cycle time'!C:D,2,0)</f>
        <v>9</v>
      </c>
      <c r="AK1081" s="418">
        <f t="shared" si="304"/>
        <v>9.5238095238095237</v>
      </c>
      <c r="AL1081" s="374">
        <f t="shared" si="305"/>
        <v>0.94500000000000006</v>
      </c>
      <c r="AM1081" s="372">
        <f t="shared" si="306"/>
        <v>0.92405982905982909</v>
      </c>
      <c r="AN1081" s="799">
        <v>0.93187500000000012</v>
      </c>
      <c r="AO1081" s="448"/>
      <c r="AP1081" s="440">
        <v>0</v>
      </c>
      <c r="AQ1081" s="440">
        <v>0</v>
      </c>
      <c r="AR1081" s="440">
        <v>0</v>
      </c>
      <c r="AS1081" s="440">
        <v>0</v>
      </c>
      <c r="AT1081" s="440">
        <v>0</v>
      </c>
      <c r="AU1081" s="440">
        <v>0</v>
      </c>
      <c r="AV1081" s="440">
        <v>0</v>
      </c>
      <c r="AW1081" s="440">
        <v>0</v>
      </c>
      <c r="AX1081" s="440">
        <v>0</v>
      </c>
      <c r="AY1081" s="440">
        <v>0</v>
      </c>
      <c r="AZ1081" s="440">
        <v>0</v>
      </c>
      <c r="BA1081" s="440">
        <v>0</v>
      </c>
      <c r="BB1081" s="440">
        <v>0</v>
      </c>
      <c r="BC1081" s="440">
        <v>0</v>
      </c>
      <c r="BD1081" s="440">
        <v>0</v>
      </c>
      <c r="BE1081" s="440">
        <v>0</v>
      </c>
      <c r="BF1081" s="440">
        <v>0</v>
      </c>
      <c r="BG1081" s="440">
        <v>0</v>
      </c>
      <c r="BH1081" s="440">
        <v>0</v>
      </c>
      <c r="BI1081" s="440">
        <v>0</v>
      </c>
      <c r="BJ1081" s="440">
        <v>0</v>
      </c>
      <c r="BK1081" s="440">
        <v>0</v>
      </c>
      <c r="BL1081" s="440">
        <v>0</v>
      </c>
      <c r="BM1081" s="440">
        <v>0</v>
      </c>
      <c r="BN1081" s="440">
        <v>0</v>
      </c>
      <c r="BO1081" s="440">
        <v>0</v>
      </c>
      <c r="BP1081" s="440">
        <v>0</v>
      </c>
      <c r="BQ1081" s="440">
        <v>0</v>
      </c>
      <c r="BR1081" s="415">
        <v>0</v>
      </c>
      <c r="BS1081" s="415">
        <v>0</v>
      </c>
      <c r="BT1081" s="935"/>
      <c r="BU1081" s="935"/>
      <c r="BV1081" s="935"/>
      <c r="BW1081" s="935"/>
      <c r="BX1081" s="935"/>
      <c r="BY1081" s="935"/>
      <c r="BZ1081" s="935"/>
      <c r="CA1081" s="935"/>
      <c r="CB1081" s="935"/>
      <c r="CC1081" s="935"/>
      <c r="CD1081" s="935"/>
      <c r="CE1081" s="935"/>
      <c r="CF1081" s="935"/>
      <c r="CG1081" s="935"/>
      <c r="CH1081" s="935"/>
      <c r="CI1081" s="935"/>
      <c r="CJ1081" s="935"/>
      <c r="CK1081" s="935"/>
      <c r="CL1081" s="935"/>
      <c r="CM1081" s="935"/>
      <c r="CN1081" s="935"/>
      <c r="CO1081" s="935"/>
      <c r="CP1081" s="935"/>
      <c r="CQ1081" s="935"/>
      <c r="CR1081" s="935"/>
      <c r="CS1081" s="935"/>
      <c r="CT1081" s="935"/>
      <c r="CU1081" s="935"/>
      <c r="CV1081" s="935"/>
    </row>
    <row r="1082" spans="1:100" s="441" customFormat="1">
      <c r="A1082" s="375">
        <f t="shared" si="292"/>
        <v>10</v>
      </c>
      <c r="B1082" s="862">
        <v>44497</v>
      </c>
      <c r="C1082" s="493" t="s">
        <v>2001</v>
      </c>
      <c r="D1082" s="376" t="str">
        <f>IFERROR(VLOOKUP(E:E,'Item Data Support Sheet'!A:O,7,0),"")</f>
        <v>BOTTLE PRINTED</v>
      </c>
      <c r="E1082" s="447" t="s">
        <v>64</v>
      </c>
      <c r="F1082" s="500"/>
      <c r="G1082" s="497"/>
      <c r="H1082" s="602" t="str">
        <f>IFERROR(VLOOKUP(E:E,'Item Data Support Sheet'!A:O,2,0),"")</f>
        <v>KPP 240 ML BOTTLE PRINTED</v>
      </c>
      <c r="I1082" s="501" t="s">
        <v>3845</v>
      </c>
      <c r="J1082" s="501" t="s">
        <v>2811</v>
      </c>
      <c r="K1082" s="499">
        <v>8</v>
      </c>
      <c r="L1082" s="499">
        <v>5100</v>
      </c>
      <c r="M1082" s="366">
        <v>637.5</v>
      </c>
      <c r="N1082" s="367">
        <f t="shared" si="291"/>
        <v>4610</v>
      </c>
      <c r="O1082" s="61">
        <v>4536</v>
      </c>
      <c r="P1082" s="368">
        <v>0</v>
      </c>
      <c r="Q1082" s="368">
        <v>0</v>
      </c>
      <c r="R1082" s="494">
        <v>49</v>
      </c>
      <c r="S1082" s="493">
        <v>0</v>
      </c>
      <c r="T1082" s="494">
        <v>74</v>
      </c>
      <c r="U1082" s="493">
        <v>0</v>
      </c>
      <c r="V1082" s="502">
        <v>5</v>
      </c>
      <c r="W1082" s="453">
        <f t="shared" si="293"/>
        <v>907.2</v>
      </c>
      <c r="X1082" s="748">
        <f t="shared" si="294"/>
        <v>0.88941176470588235</v>
      </c>
      <c r="Y1082" s="451" t="str">
        <f>IFERROR(VLOOKUP(E:E,'Item Data Support Sheet'!A:J,6,0),0)</f>
        <v>FO003</v>
      </c>
      <c r="Z1082" s="428">
        <f>IFERROR(VLOOKUP(E:E,'Item Data Support Sheet'!A:O,4,0),0)</f>
        <v>0</v>
      </c>
      <c r="AA1082" s="428">
        <f t="shared" si="295"/>
        <v>0</v>
      </c>
      <c r="AB1082" s="429" t="str">
        <f t="shared" si="296"/>
        <v xml:space="preserve"> </v>
      </c>
      <c r="AC1082" s="424">
        <f t="shared" si="297"/>
        <v>1.6052060737527116E-2</v>
      </c>
      <c r="AD1082" s="371">
        <f t="shared" si="298"/>
        <v>0</v>
      </c>
      <c r="AE1082" s="748">
        <f t="shared" si="299"/>
        <v>0.98394793926247293</v>
      </c>
      <c r="AF1082" s="417">
        <f t="shared" si="300"/>
        <v>0.83333333333333337</v>
      </c>
      <c r="AG1082" s="416">
        <f t="shared" si="301"/>
        <v>7.166666666666667</v>
      </c>
      <c r="AH1082" s="372">
        <f t="shared" si="302"/>
        <v>0.89583333333333337</v>
      </c>
      <c r="AI1082" s="373">
        <f t="shared" si="303"/>
        <v>567</v>
      </c>
      <c r="AJ1082" s="418">
        <f>VLOOKUP(D1082,'Standard Cycle time'!C:D,2,0)</f>
        <v>32.4</v>
      </c>
      <c r="AK1082" s="418">
        <f t="shared" si="304"/>
        <v>28.439153439153444</v>
      </c>
      <c r="AL1082" s="374">
        <f t="shared" si="305"/>
        <v>1.1392744186046508</v>
      </c>
      <c r="AM1082" s="372">
        <f t="shared" si="306"/>
        <v>1.0042172668112797</v>
      </c>
      <c r="AN1082" s="799">
        <v>0.99669230769230754</v>
      </c>
      <c r="AO1082" s="448"/>
      <c r="AP1082" s="440">
        <v>50</v>
      </c>
      <c r="AQ1082" s="440">
        <v>0</v>
      </c>
      <c r="AR1082" s="440">
        <v>0</v>
      </c>
      <c r="AS1082" s="440">
        <v>0</v>
      </c>
      <c r="AT1082" s="440">
        <v>0</v>
      </c>
      <c r="AU1082" s="440">
        <v>0</v>
      </c>
      <c r="AV1082" s="440">
        <v>0</v>
      </c>
      <c r="AW1082" s="440">
        <v>0</v>
      </c>
      <c r="AX1082" s="440">
        <v>0</v>
      </c>
      <c r="AY1082" s="440">
        <v>0</v>
      </c>
      <c r="AZ1082" s="440">
        <v>0</v>
      </c>
      <c r="BA1082" s="440">
        <v>0</v>
      </c>
      <c r="BB1082" s="440">
        <v>0</v>
      </c>
      <c r="BC1082" s="440">
        <v>0</v>
      </c>
      <c r="BD1082" s="440">
        <v>0</v>
      </c>
      <c r="BE1082" s="440">
        <v>0</v>
      </c>
      <c r="BF1082" s="440">
        <v>0</v>
      </c>
      <c r="BG1082" s="440">
        <v>0</v>
      </c>
      <c r="BH1082" s="440">
        <v>0</v>
      </c>
      <c r="BI1082" s="440">
        <v>0</v>
      </c>
      <c r="BJ1082" s="440">
        <v>0</v>
      </c>
      <c r="BK1082" s="440">
        <v>0</v>
      </c>
      <c r="BL1082" s="440">
        <v>0</v>
      </c>
      <c r="BM1082" s="440">
        <v>0</v>
      </c>
      <c r="BN1082" s="440">
        <v>0</v>
      </c>
      <c r="BO1082" s="440">
        <v>0</v>
      </c>
      <c r="BP1082" s="440">
        <v>0</v>
      </c>
      <c r="BQ1082" s="440">
        <v>0</v>
      </c>
      <c r="BR1082" s="415">
        <v>0.83333333333333337</v>
      </c>
      <c r="BS1082" s="415">
        <v>0.83333333333333337</v>
      </c>
      <c r="BT1082" s="935"/>
      <c r="BU1082" s="935"/>
      <c r="BV1082" s="935"/>
      <c r="BW1082" s="935"/>
      <c r="BX1082" s="935"/>
      <c r="BY1082" s="935"/>
      <c r="BZ1082" s="935"/>
      <c r="CA1082" s="935"/>
      <c r="CB1082" s="935"/>
      <c r="CC1082" s="935"/>
      <c r="CD1082" s="935"/>
      <c r="CE1082" s="935"/>
      <c r="CF1082" s="935"/>
      <c r="CG1082" s="935"/>
      <c r="CH1082" s="935"/>
      <c r="CI1082" s="935"/>
      <c r="CJ1082" s="935"/>
      <c r="CK1082" s="935"/>
      <c r="CL1082" s="935"/>
      <c r="CM1082" s="935"/>
      <c r="CN1082" s="935"/>
      <c r="CO1082" s="935"/>
      <c r="CP1082" s="935"/>
      <c r="CQ1082" s="935"/>
      <c r="CR1082" s="935"/>
      <c r="CS1082" s="935"/>
      <c r="CT1082" s="935"/>
      <c r="CU1082" s="935"/>
      <c r="CV1082" s="935"/>
    </row>
    <row r="1083" spans="1:100" s="441" customFormat="1">
      <c r="A1083" s="375">
        <f t="shared" si="292"/>
        <v>10</v>
      </c>
      <c r="B1083" s="862">
        <v>44497</v>
      </c>
      <c r="C1083" s="493" t="s">
        <v>2053</v>
      </c>
      <c r="D1083" s="376" t="str">
        <f>IFERROR(VLOOKUP(E:E,'Item Data Support Sheet'!A:O,7,0),"")</f>
        <v>BOTTLE MOLDED</v>
      </c>
      <c r="E1083" s="447" t="s">
        <v>14</v>
      </c>
      <c r="F1083" s="500" t="s">
        <v>1681</v>
      </c>
      <c r="G1083" s="497" t="s">
        <v>1888</v>
      </c>
      <c r="H1083" s="602" t="str">
        <f>IFERROR(VLOOKUP(E:E,'Item Data Support Sheet'!A:O,2,0),"")</f>
        <v>KPP 240 ML BOTTLE MOLDED</v>
      </c>
      <c r="I1083" s="501" t="s">
        <v>3846</v>
      </c>
      <c r="J1083" s="501" t="s">
        <v>2808</v>
      </c>
      <c r="K1083" s="499">
        <v>8</v>
      </c>
      <c r="L1083" s="499">
        <v>2574</v>
      </c>
      <c r="M1083" s="366">
        <v>321.75</v>
      </c>
      <c r="N1083" s="367">
        <f t="shared" si="291"/>
        <v>2810</v>
      </c>
      <c r="O1083" s="61">
        <v>2732</v>
      </c>
      <c r="P1083" s="368">
        <v>0.32</v>
      </c>
      <c r="Q1083" s="368">
        <v>38</v>
      </c>
      <c r="R1083" s="494">
        <v>0</v>
      </c>
      <c r="S1083" s="493">
        <v>0</v>
      </c>
      <c r="T1083" s="494">
        <v>32</v>
      </c>
      <c r="U1083" s="493">
        <v>8</v>
      </c>
      <c r="V1083" s="502">
        <v>1</v>
      </c>
      <c r="W1083" s="453">
        <f t="shared" si="293"/>
        <v>2732</v>
      </c>
      <c r="X1083" s="748">
        <f t="shared" si="294"/>
        <v>1.0613830613830615</v>
      </c>
      <c r="Y1083" s="451" t="str">
        <f>IFERROR(VLOOKUP(E:E,'Item Data Support Sheet'!A:J,6,0),0)</f>
        <v>HMC</v>
      </c>
      <c r="Z1083" s="428">
        <f>IFERROR(VLOOKUP(E:E,'Item Data Support Sheet'!A:O,4,0),0)</f>
        <v>32.1</v>
      </c>
      <c r="AA1083" s="428">
        <f t="shared" si="295"/>
        <v>90.521000000000001</v>
      </c>
      <c r="AB1083" s="429">
        <f t="shared" si="296"/>
        <v>0.96880502866738116</v>
      </c>
      <c r="AC1083" s="424">
        <f t="shared" si="297"/>
        <v>1.1577424023154847E-2</v>
      </c>
      <c r="AD1083" s="371">
        <f t="shared" si="298"/>
        <v>1.3342696629213483E-2</v>
      </c>
      <c r="AE1083" s="748">
        <f t="shared" si="299"/>
        <v>0.98861209964412811</v>
      </c>
      <c r="AF1083" s="417">
        <f t="shared" si="300"/>
        <v>0</v>
      </c>
      <c r="AG1083" s="416">
        <f t="shared" si="301"/>
        <v>8</v>
      </c>
      <c r="AH1083" s="372">
        <f t="shared" si="302"/>
        <v>1</v>
      </c>
      <c r="AI1083" s="373">
        <f t="shared" si="303"/>
        <v>341.5</v>
      </c>
      <c r="AJ1083" s="418">
        <f>VLOOKUP(D1083,'Standard Cycle time'!C:D,2,0)</f>
        <v>9</v>
      </c>
      <c r="AK1083" s="418">
        <f t="shared" si="304"/>
        <v>10.541727672035138</v>
      </c>
      <c r="AL1083" s="374">
        <f t="shared" si="305"/>
        <v>0.85375000000000001</v>
      </c>
      <c r="AM1083" s="372">
        <f t="shared" si="306"/>
        <v>0.8440275800711744</v>
      </c>
      <c r="AN1083" s="799">
        <v>0.84782375271149668</v>
      </c>
      <c r="AO1083" s="448"/>
      <c r="AP1083" s="440">
        <v>0</v>
      </c>
      <c r="AQ1083" s="440">
        <v>0</v>
      </c>
      <c r="AR1083" s="440">
        <v>0</v>
      </c>
      <c r="AS1083" s="440">
        <v>0</v>
      </c>
      <c r="AT1083" s="440">
        <v>0</v>
      </c>
      <c r="AU1083" s="440">
        <v>0</v>
      </c>
      <c r="AV1083" s="440">
        <v>0</v>
      </c>
      <c r="AW1083" s="440">
        <v>0</v>
      </c>
      <c r="AX1083" s="440">
        <v>0</v>
      </c>
      <c r="AY1083" s="440">
        <v>0</v>
      </c>
      <c r="AZ1083" s="440">
        <v>0</v>
      </c>
      <c r="BA1083" s="440">
        <v>0</v>
      </c>
      <c r="BB1083" s="440">
        <v>0</v>
      </c>
      <c r="BC1083" s="440">
        <v>0</v>
      </c>
      <c r="BD1083" s="440">
        <v>0</v>
      </c>
      <c r="BE1083" s="440">
        <v>0</v>
      </c>
      <c r="BF1083" s="440">
        <v>0</v>
      </c>
      <c r="BG1083" s="440">
        <v>0</v>
      </c>
      <c r="BH1083" s="440">
        <v>0</v>
      </c>
      <c r="BI1083" s="440">
        <v>0</v>
      </c>
      <c r="BJ1083" s="440">
        <v>0</v>
      </c>
      <c r="BK1083" s="440">
        <v>0</v>
      </c>
      <c r="BL1083" s="440">
        <v>0</v>
      </c>
      <c r="BM1083" s="440">
        <v>0</v>
      </c>
      <c r="BN1083" s="440">
        <v>0</v>
      </c>
      <c r="BO1083" s="440">
        <v>0</v>
      </c>
      <c r="BP1083" s="440">
        <v>0</v>
      </c>
      <c r="BQ1083" s="440">
        <v>0</v>
      </c>
      <c r="BR1083" s="415">
        <v>0</v>
      </c>
      <c r="BS1083" s="415">
        <v>0</v>
      </c>
      <c r="BT1083" s="935"/>
      <c r="BU1083" s="935"/>
      <c r="BV1083" s="935"/>
      <c r="BW1083" s="935"/>
      <c r="BX1083" s="935"/>
      <c r="BY1083" s="935"/>
      <c r="BZ1083" s="935"/>
      <c r="CA1083" s="935"/>
      <c r="CB1083" s="935"/>
      <c r="CC1083" s="935"/>
      <c r="CD1083" s="935"/>
      <c r="CE1083" s="935"/>
      <c r="CF1083" s="935"/>
      <c r="CG1083" s="935"/>
      <c r="CH1083" s="935"/>
      <c r="CI1083" s="935"/>
      <c r="CJ1083" s="935"/>
      <c r="CK1083" s="935"/>
      <c r="CL1083" s="935"/>
      <c r="CM1083" s="935"/>
      <c r="CN1083" s="935"/>
      <c r="CO1083" s="935"/>
      <c r="CP1083" s="935"/>
      <c r="CQ1083" s="935"/>
      <c r="CR1083" s="935"/>
      <c r="CS1083" s="935"/>
      <c r="CT1083" s="935"/>
      <c r="CU1083" s="935"/>
      <c r="CV1083" s="935"/>
    </row>
    <row r="1084" spans="1:100" s="441" customFormat="1">
      <c r="A1084" s="375">
        <f t="shared" si="292"/>
        <v>10</v>
      </c>
      <c r="B1084" s="862">
        <v>44497</v>
      </c>
      <c r="C1084" s="493" t="s">
        <v>2053</v>
      </c>
      <c r="D1084" s="376" t="str">
        <f>IFERROR(VLOOKUP(E:E,'Item Data Support Sheet'!A:O,7,0),"")</f>
        <v>HOOD MOLDED</v>
      </c>
      <c r="E1084" s="447" t="s">
        <v>1987</v>
      </c>
      <c r="F1084" s="500"/>
      <c r="G1084" s="497" t="s">
        <v>2729</v>
      </c>
      <c r="H1084" s="602" t="str">
        <f>IFERROR(VLOOKUP(E:E,'Item Data Support Sheet'!A:O,2,0),"")</f>
        <v>HOOD S TYPE MOLDED</v>
      </c>
      <c r="I1084" s="501" t="s">
        <v>3847</v>
      </c>
      <c r="J1084" s="501" t="s">
        <v>2808</v>
      </c>
      <c r="K1084" s="499">
        <v>8</v>
      </c>
      <c r="L1084" s="499">
        <v>4137</v>
      </c>
      <c r="M1084" s="366">
        <v>517.125</v>
      </c>
      <c r="N1084" s="367">
        <f t="shared" si="291"/>
        <v>5013</v>
      </c>
      <c r="O1084" s="61">
        <v>5000</v>
      </c>
      <c r="P1084" s="368">
        <v>0</v>
      </c>
      <c r="Q1084" s="368">
        <v>0</v>
      </c>
      <c r="R1084" s="494">
        <v>0</v>
      </c>
      <c r="S1084" s="493">
        <v>0</v>
      </c>
      <c r="T1084" s="494">
        <v>5</v>
      </c>
      <c r="U1084" s="493">
        <v>8</v>
      </c>
      <c r="V1084" s="502">
        <v>1</v>
      </c>
      <c r="W1084" s="453">
        <f t="shared" si="293"/>
        <v>5000</v>
      </c>
      <c r="X1084" s="748">
        <f t="shared" si="294"/>
        <v>1.2086052695189751</v>
      </c>
      <c r="Y1084" s="451" t="str">
        <f>IFERROR(VLOOKUP(E:E,'Item Data Support Sheet'!A:J,6,0),0)</f>
        <v>HMC</v>
      </c>
      <c r="Z1084" s="428">
        <f>IFERROR(VLOOKUP(E:E,'Item Data Support Sheet'!A:O,4,0),0)</f>
        <v>8.6</v>
      </c>
      <c r="AA1084" s="428">
        <f t="shared" si="295"/>
        <v>43.111800000000002</v>
      </c>
      <c r="AB1084" s="429">
        <f t="shared" si="296"/>
        <v>0.99740674246957906</v>
      </c>
      <c r="AC1084" s="424">
        <f t="shared" si="297"/>
        <v>9.99000999000999E-4</v>
      </c>
      <c r="AD1084" s="371">
        <f t="shared" si="298"/>
        <v>0</v>
      </c>
      <c r="AE1084" s="748">
        <f t="shared" si="299"/>
        <v>0.99900259325753038</v>
      </c>
      <c r="AF1084" s="417">
        <f t="shared" si="300"/>
        <v>0</v>
      </c>
      <c r="AG1084" s="416">
        <f t="shared" si="301"/>
        <v>8</v>
      </c>
      <c r="AH1084" s="372">
        <f t="shared" si="302"/>
        <v>1</v>
      </c>
      <c r="AI1084" s="373">
        <f t="shared" si="303"/>
        <v>625</v>
      </c>
      <c r="AJ1084" s="418">
        <f>VLOOKUP(D1084,'Standard Cycle time'!C:D,2,0)</f>
        <v>6</v>
      </c>
      <c r="AK1084" s="418">
        <f t="shared" si="304"/>
        <v>5.76</v>
      </c>
      <c r="AL1084" s="374">
        <f t="shared" si="305"/>
        <v>1.0416666666666667</v>
      </c>
      <c r="AM1084" s="372">
        <f t="shared" si="306"/>
        <v>1.0406277013099277</v>
      </c>
      <c r="AN1084" s="799">
        <v>1.0398131672597866</v>
      </c>
      <c r="AO1084" s="448"/>
      <c r="AP1084" s="440">
        <v>0</v>
      </c>
      <c r="AQ1084" s="440">
        <v>0</v>
      </c>
      <c r="AR1084" s="440">
        <v>0</v>
      </c>
      <c r="AS1084" s="440">
        <v>0</v>
      </c>
      <c r="AT1084" s="440">
        <v>0</v>
      </c>
      <c r="AU1084" s="440">
        <v>0</v>
      </c>
      <c r="AV1084" s="440">
        <v>0</v>
      </c>
      <c r="AW1084" s="440">
        <v>0</v>
      </c>
      <c r="AX1084" s="440">
        <v>0</v>
      </c>
      <c r="AY1084" s="440">
        <v>0</v>
      </c>
      <c r="AZ1084" s="440">
        <v>0</v>
      </c>
      <c r="BA1084" s="440">
        <v>0</v>
      </c>
      <c r="BB1084" s="440">
        <v>0</v>
      </c>
      <c r="BC1084" s="440">
        <v>0</v>
      </c>
      <c r="BD1084" s="440">
        <v>0</v>
      </c>
      <c r="BE1084" s="440">
        <v>0</v>
      </c>
      <c r="BF1084" s="440">
        <v>0</v>
      </c>
      <c r="BG1084" s="440">
        <v>0</v>
      </c>
      <c r="BH1084" s="440">
        <v>0</v>
      </c>
      <c r="BI1084" s="440">
        <v>0</v>
      </c>
      <c r="BJ1084" s="440">
        <v>0</v>
      </c>
      <c r="BK1084" s="440">
        <v>0</v>
      </c>
      <c r="BL1084" s="440">
        <v>0</v>
      </c>
      <c r="BM1084" s="440">
        <v>0</v>
      </c>
      <c r="BN1084" s="440">
        <v>0</v>
      </c>
      <c r="BO1084" s="440">
        <v>0</v>
      </c>
      <c r="BP1084" s="440">
        <v>0</v>
      </c>
      <c r="BQ1084" s="440">
        <v>0</v>
      </c>
      <c r="BR1084" s="415">
        <v>0</v>
      </c>
      <c r="BS1084" s="415">
        <v>0</v>
      </c>
      <c r="BT1084" s="935"/>
      <c r="BU1084" s="935"/>
      <c r="BV1084" s="935"/>
      <c r="BW1084" s="935"/>
      <c r="BX1084" s="935"/>
      <c r="BY1084" s="935"/>
      <c r="BZ1084" s="935"/>
      <c r="CA1084" s="935"/>
      <c r="CB1084" s="935"/>
      <c r="CC1084" s="935"/>
      <c r="CD1084" s="935"/>
      <c r="CE1084" s="935"/>
      <c r="CF1084" s="935"/>
      <c r="CG1084" s="935"/>
      <c r="CH1084" s="935"/>
      <c r="CI1084" s="935"/>
      <c r="CJ1084" s="935"/>
      <c r="CK1084" s="935"/>
      <c r="CL1084" s="935"/>
      <c r="CM1084" s="935"/>
      <c r="CN1084" s="935"/>
      <c r="CO1084" s="935"/>
      <c r="CP1084" s="935"/>
      <c r="CQ1084" s="935"/>
      <c r="CR1084" s="935"/>
      <c r="CS1084" s="935"/>
      <c r="CT1084" s="935"/>
      <c r="CU1084" s="935"/>
      <c r="CV1084" s="935"/>
    </row>
    <row r="1085" spans="1:100" s="441" customFormat="1">
      <c r="A1085" s="375">
        <f t="shared" si="292"/>
        <v>10</v>
      </c>
      <c r="B1085" s="862">
        <v>44497</v>
      </c>
      <c r="C1085" s="493" t="s">
        <v>2053</v>
      </c>
      <c r="D1085" s="376" t="str">
        <f>IFERROR(VLOOKUP(E:E,'Item Data Support Sheet'!A:O,7,0),"")</f>
        <v>NIPPLE MOLDED</v>
      </c>
      <c r="E1085" s="447" t="s">
        <v>72</v>
      </c>
      <c r="F1085" s="500" t="s">
        <v>1678</v>
      </c>
      <c r="G1085" s="497" t="s">
        <v>1691</v>
      </c>
      <c r="H1085" s="602" t="str">
        <f>IFERROR(VLOOKUP(E:E,'Item Data Support Sheet'!A:O,2,0),"")</f>
        <v>NIPPLE S TYPE S SIZE INJECTION</v>
      </c>
      <c r="I1085" s="501" t="s">
        <v>3848</v>
      </c>
      <c r="J1085" s="501" t="s">
        <v>2808</v>
      </c>
      <c r="K1085" s="499">
        <v>8</v>
      </c>
      <c r="L1085" s="499">
        <v>4815</v>
      </c>
      <c r="M1085" s="366">
        <v>601.875</v>
      </c>
      <c r="N1085" s="367">
        <f t="shared" si="291"/>
        <v>5536</v>
      </c>
      <c r="O1085" s="61">
        <v>5500</v>
      </c>
      <c r="P1085" s="368">
        <v>0</v>
      </c>
      <c r="Q1085" s="368">
        <v>0</v>
      </c>
      <c r="R1085" s="494">
        <v>0</v>
      </c>
      <c r="S1085" s="493">
        <v>0</v>
      </c>
      <c r="T1085" s="494">
        <v>28</v>
      </c>
      <c r="U1085" s="493">
        <v>8</v>
      </c>
      <c r="V1085" s="502">
        <v>1</v>
      </c>
      <c r="W1085" s="453">
        <f t="shared" si="293"/>
        <v>5500</v>
      </c>
      <c r="X1085" s="748">
        <f t="shared" si="294"/>
        <v>1.142263759086189</v>
      </c>
      <c r="Y1085" s="451" t="str">
        <f>IFERROR(VLOOKUP(E:E,'Item Data Support Sheet'!A:J,6,0),0)</f>
        <v>Silicon</v>
      </c>
      <c r="Z1085" s="428">
        <f>IFERROR(VLOOKUP(E:E,'Item Data Support Sheet'!A:O,4,0),0)</f>
        <v>6.8</v>
      </c>
      <c r="AA1085" s="428">
        <f t="shared" si="295"/>
        <v>37.644799999999996</v>
      </c>
      <c r="AB1085" s="429">
        <f t="shared" si="296"/>
        <v>0.99349710982658967</v>
      </c>
      <c r="AC1085" s="424">
        <f t="shared" si="297"/>
        <v>5.065123010130246E-3</v>
      </c>
      <c r="AD1085" s="371">
        <f t="shared" si="298"/>
        <v>0</v>
      </c>
      <c r="AE1085" s="748">
        <f t="shared" si="299"/>
        <v>0.99494219653179194</v>
      </c>
      <c r="AF1085" s="417">
        <f t="shared" si="300"/>
        <v>0</v>
      </c>
      <c r="AG1085" s="416">
        <f t="shared" si="301"/>
        <v>8</v>
      </c>
      <c r="AH1085" s="372">
        <f t="shared" si="302"/>
        <v>1</v>
      </c>
      <c r="AI1085" s="373">
        <f t="shared" si="303"/>
        <v>687.5</v>
      </c>
      <c r="AJ1085" s="418">
        <f>VLOOKUP(D1085,'Standard Cycle time'!C:D,2,0)</f>
        <v>5.25</v>
      </c>
      <c r="AK1085" s="418">
        <f t="shared" si="304"/>
        <v>5.2363636363636363</v>
      </c>
      <c r="AL1085" s="374">
        <f t="shared" si="305"/>
        <v>1.0026041666666667</v>
      </c>
      <c r="AM1085" s="372">
        <f t="shared" si="306"/>
        <v>0.99753319183526024</v>
      </c>
      <c r="AN1085" s="799">
        <v>0.99700414339384269</v>
      </c>
      <c r="AO1085" s="448"/>
      <c r="AP1085" s="440">
        <v>0</v>
      </c>
      <c r="AQ1085" s="440">
        <v>0</v>
      </c>
      <c r="AR1085" s="440">
        <v>0</v>
      </c>
      <c r="AS1085" s="440">
        <v>0</v>
      </c>
      <c r="AT1085" s="440">
        <v>0</v>
      </c>
      <c r="AU1085" s="440">
        <v>0</v>
      </c>
      <c r="AV1085" s="440">
        <v>0</v>
      </c>
      <c r="AW1085" s="440">
        <v>0</v>
      </c>
      <c r="AX1085" s="440">
        <v>0</v>
      </c>
      <c r="AY1085" s="440">
        <v>0</v>
      </c>
      <c r="AZ1085" s="440">
        <v>0</v>
      </c>
      <c r="BA1085" s="440">
        <v>0</v>
      </c>
      <c r="BB1085" s="440">
        <v>0</v>
      </c>
      <c r="BC1085" s="440">
        <v>0</v>
      </c>
      <c r="BD1085" s="440">
        <v>0</v>
      </c>
      <c r="BE1085" s="440">
        <v>0</v>
      </c>
      <c r="BF1085" s="440">
        <v>0</v>
      </c>
      <c r="BG1085" s="440">
        <v>0</v>
      </c>
      <c r="BH1085" s="440">
        <v>0</v>
      </c>
      <c r="BI1085" s="440">
        <v>0</v>
      </c>
      <c r="BJ1085" s="440">
        <v>0</v>
      </c>
      <c r="BK1085" s="440">
        <v>0</v>
      </c>
      <c r="BL1085" s="440">
        <v>0</v>
      </c>
      <c r="BM1085" s="440">
        <v>0</v>
      </c>
      <c r="BN1085" s="440">
        <v>0</v>
      </c>
      <c r="BO1085" s="440">
        <v>0</v>
      </c>
      <c r="BP1085" s="440">
        <v>0</v>
      </c>
      <c r="BQ1085" s="440">
        <v>0</v>
      </c>
      <c r="BR1085" s="415">
        <v>0</v>
      </c>
      <c r="BS1085" s="415">
        <v>0</v>
      </c>
      <c r="BT1085" s="935"/>
      <c r="BU1085" s="935"/>
      <c r="BV1085" s="935"/>
      <c r="BW1085" s="935"/>
      <c r="BX1085" s="935"/>
      <c r="BY1085" s="935"/>
      <c r="BZ1085" s="935"/>
      <c r="CA1085" s="935"/>
      <c r="CB1085" s="935"/>
      <c r="CC1085" s="935"/>
      <c r="CD1085" s="935"/>
      <c r="CE1085" s="935"/>
      <c r="CF1085" s="935"/>
      <c r="CG1085" s="935"/>
      <c r="CH1085" s="935"/>
      <c r="CI1085" s="935"/>
      <c r="CJ1085" s="935"/>
      <c r="CK1085" s="935"/>
      <c r="CL1085" s="935"/>
      <c r="CM1085" s="935"/>
      <c r="CN1085" s="935"/>
      <c r="CO1085" s="935"/>
      <c r="CP1085" s="935"/>
      <c r="CQ1085" s="935"/>
      <c r="CR1085" s="935"/>
      <c r="CS1085" s="935"/>
      <c r="CT1085" s="935"/>
      <c r="CU1085" s="935"/>
      <c r="CV1085" s="935"/>
    </row>
    <row r="1086" spans="1:100" s="441" customFormat="1">
      <c r="A1086" s="375">
        <f t="shared" si="292"/>
        <v>10</v>
      </c>
      <c r="B1086" s="862">
        <v>44498</v>
      </c>
      <c r="C1086" s="493" t="s">
        <v>1980</v>
      </c>
      <c r="D1086" s="376" t="str">
        <f>IFERROR(VLOOKUP(E:E,'Item Data Support Sheet'!A:O,7,0),"")</f>
        <v>NIPPLE PUNCH</v>
      </c>
      <c r="E1086" s="447" t="s">
        <v>80</v>
      </c>
      <c r="F1086" s="500"/>
      <c r="G1086" s="497" t="s">
        <v>1692</v>
      </c>
      <c r="H1086" s="602" t="str">
        <f>IFERROR(VLOOKUP(E:E,'Item Data Support Sheet'!A:O,2,0),"")</f>
        <v>NIPPLE S TYPE S SIZE PUNCHED</v>
      </c>
      <c r="I1086" s="501" t="s">
        <v>3849</v>
      </c>
      <c r="J1086" s="501" t="s">
        <v>2826</v>
      </c>
      <c r="K1086" s="499">
        <v>8</v>
      </c>
      <c r="L1086" s="499">
        <v>7000</v>
      </c>
      <c r="M1086" s="366">
        <v>875</v>
      </c>
      <c r="N1086" s="367">
        <f t="shared" si="291"/>
        <v>7000</v>
      </c>
      <c r="O1086" s="61">
        <v>7000</v>
      </c>
      <c r="P1086" s="368">
        <v>0</v>
      </c>
      <c r="Q1086" s="368">
        <v>0</v>
      </c>
      <c r="R1086" s="494">
        <v>0</v>
      </c>
      <c r="S1086" s="493">
        <v>0</v>
      </c>
      <c r="T1086" s="494">
        <v>0</v>
      </c>
      <c r="U1086" s="493">
        <v>0</v>
      </c>
      <c r="V1086" s="502">
        <v>1</v>
      </c>
      <c r="W1086" s="453">
        <f t="shared" si="293"/>
        <v>7000</v>
      </c>
      <c r="X1086" s="748">
        <f t="shared" si="294"/>
        <v>1</v>
      </c>
      <c r="Y1086" s="451" t="str">
        <f>IFERROR(VLOOKUP(E:E,'Item Data Support Sheet'!A:J,6,0),0)</f>
        <v>FO015</v>
      </c>
      <c r="Z1086" s="428">
        <f>IFERROR(VLOOKUP(E:E,'Item Data Support Sheet'!A:O,4,0),0)</f>
        <v>0</v>
      </c>
      <c r="AA1086" s="428">
        <f t="shared" si="295"/>
        <v>0</v>
      </c>
      <c r="AB1086" s="429" t="str">
        <f t="shared" si="296"/>
        <v xml:space="preserve"> </v>
      </c>
      <c r="AC1086" s="424">
        <f t="shared" si="297"/>
        <v>0</v>
      </c>
      <c r="AD1086" s="371">
        <f t="shared" si="298"/>
        <v>0</v>
      </c>
      <c r="AE1086" s="748">
        <f t="shared" si="299"/>
        <v>1</v>
      </c>
      <c r="AF1086" s="417">
        <f t="shared" si="300"/>
        <v>0.66666666666666663</v>
      </c>
      <c r="AG1086" s="416">
        <f t="shared" si="301"/>
        <v>7.333333333333333</v>
      </c>
      <c r="AH1086" s="372">
        <f t="shared" si="302"/>
        <v>0.91666666666666663</v>
      </c>
      <c r="AI1086" s="373">
        <f t="shared" si="303"/>
        <v>875</v>
      </c>
      <c r="AJ1086" s="418">
        <f>VLOOKUP(D1086,'Standard Cycle time'!C:D,2,0)</f>
        <v>3.5</v>
      </c>
      <c r="AK1086" s="418">
        <f t="shared" si="304"/>
        <v>3.7714285714285714</v>
      </c>
      <c r="AL1086" s="374">
        <f t="shared" si="305"/>
        <v>0.92803030303030309</v>
      </c>
      <c r="AM1086" s="372">
        <f t="shared" si="306"/>
        <v>0.85069444444444442</v>
      </c>
      <c r="AN1086" s="799">
        <v>0.85069444444444442</v>
      </c>
      <c r="AO1086" s="448"/>
      <c r="AP1086" s="440">
        <v>40</v>
      </c>
      <c r="AQ1086" s="440">
        <v>0</v>
      </c>
      <c r="AR1086" s="440">
        <v>0</v>
      </c>
      <c r="AS1086" s="440">
        <v>0</v>
      </c>
      <c r="AT1086" s="440">
        <v>0</v>
      </c>
      <c r="AU1086" s="440">
        <v>0</v>
      </c>
      <c r="AV1086" s="440">
        <v>0</v>
      </c>
      <c r="AW1086" s="440">
        <v>0</v>
      </c>
      <c r="AX1086" s="440">
        <v>0</v>
      </c>
      <c r="AY1086" s="440">
        <v>0</v>
      </c>
      <c r="AZ1086" s="440">
        <v>0</v>
      </c>
      <c r="BA1086" s="440">
        <v>0</v>
      </c>
      <c r="BB1086" s="440">
        <v>0</v>
      </c>
      <c r="BC1086" s="440">
        <v>0</v>
      </c>
      <c r="BD1086" s="440">
        <v>0</v>
      </c>
      <c r="BE1086" s="440">
        <v>0</v>
      </c>
      <c r="BF1086" s="440">
        <v>0</v>
      </c>
      <c r="BG1086" s="440">
        <v>0</v>
      </c>
      <c r="BH1086" s="440">
        <v>0</v>
      </c>
      <c r="BI1086" s="440">
        <v>0</v>
      </c>
      <c r="BJ1086" s="440">
        <v>0</v>
      </c>
      <c r="BK1086" s="440">
        <v>0</v>
      </c>
      <c r="BL1086" s="440">
        <v>0</v>
      </c>
      <c r="BM1086" s="440">
        <v>0</v>
      </c>
      <c r="BN1086" s="440">
        <v>0</v>
      </c>
      <c r="BO1086" s="440">
        <v>0</v>
      </c>
      <c r="BP1086" s="440">
        <v>0</v>
      </c>
      <c r="BQ1086" s="440">
        <v>0</v>
      </c>
      <c r="BR1086" s="415">
        <v>0.66666666666666663</v>
      </c>
      <c r="BS1086" s="415">
        <v>0.66666666666666663</v>
      </c>
      <c r="BT1086" s="935"/>
      <c r="BU1086" s="935"/>
      <c r="BV1086" s="935"/>
      <c r="BW1086" s="935"/>
      <c r="BX1086" s="935"/>
      <c r="BY1086" s="935"/>
      <c r="BZ1086" s="935"/>
      <c r="CA1086" s="935"/>
      <c r="CB1086" s="935"/>
      <c r="CC1086" s="935"/>
      <c r="CD1086" s="935"/>
      <c r="CE1086" s="935"/>
      <c r="CF1086" s="935"/>
      <c r="CG1086" s="935"/>
      <c r="CH1086" s="935"/>
      <c r="CI1086" s="935"/>
      <c r="CJ1086" s="935"/>
      <c r="CK1086" s="935"/>
      <c r="CL1086" s="935"/>
      <c r="CM1086" s="935"/>
      <c r="CN1086" s="935"/>
      <c r="CO1086" s="935"/>
      <c r="CP1086" s="935"/>
      <c r="CQ1086" s="935"/>
      <c r="CR1086" s="935"/>
      <c r="CS1086" s="935"/>
      <c r="CT1086" s="935"/>
      <c r="CU1086" s="935"/>
      <c r="CV1086" s="935"/>
    </row>
    <row r="1087" spans="1:100" s="441" customFormat="1">
      <c r="A1087" s="375">
        <f t="shared" si="292"/>
        <v>10</v>
      </c>
      <c r="B1087" s="862">
        <v>44498</v>
      </c>
      <c r="C1087" s="493" t="s">
        <v>1980</v>
      </c>
      <c r="D1087" s="376" t="str">
        <f>IFERROR(VLOOKUP(E:E,'Item Data Support Sheet'!A:O,7,0),"")</f>
        <v>NIPPLE LASER MARKING</v>
      </c>
      <c r="E1087" s="447" t="s">
        <v>1814</v>
      </c>
      <c r="F1087" s="500"/>
      <c r="G1087" s="497" t="s">
        <v>1812</v>
      </c>
      <c r="H1087" s="602" t="str">
        <f>IFERROR(VLOOKUP(E:E,'Item Data Support Sheet'!A:O,2,0),"")</f>
        <v>NIPPLE S TYPE S SIZE PUNCHED LASER MARKED</v>
      </c>
      <c r="I1087" s="501" t="s">
        <v>3850</v>
      </c>
      <c r="J1087" s="501" t="s">
        <v>2826</v>
      </c>
      <c r="K1087" s="499">
        <v>8</v>
      </c>
      <c r="L1087" s="499">
        <v>7000</v>
      </c>
      <c r="M1087" s="366">
        <v>875</v>
      </c>
      <c r="N1087" s="367">
        <f t="shared" si="291"/>
        <v>7000</v>
      </c>
      <c r="O1087" s="61">
        <v>7000</v>
      </c>
      <c r="P1087" s="368">
        <v>0</v>
      </c>
      <c r="Q1087" s="368">
        <v>0</v>
      </c>
      <c r="R1087" s="494">
        <v>0</v>
      </c>
      <c r="S1087" s="493">
        <v>0</v>
      </c>
      <c r="T1087" s="494">
        <v>0</v>
      </c>
      <c r="U1087" s="493">
        <v>0</v>
      </c>
      <c r="V1087" s="502">
        <v>1</v>
      </c>
      <c r="W1087" s="453">
        <f t="shared" si="293"/>
        <v>7000</v>
      </c>
      <c r="X1087" s="748">
        <f t="shared" si="294"/>
        <v>1</v>
      </c>
      <c r="Y1087" s="451" t="str">
        <f>IFERROR(VLOOKUP(E:E,'Item Data Support Sheet'!A:J,6,0),0)</f>
        <v>FO019</v>
      </c>
      <c r="Z1087" s="428">
        <f>IFERROR(VLOOKUP(E:E,'Item Data Support Sheet'!A:O,4,0),0)</f>
        <v>0</v>
      </c>
      <c r="AA1087" s="428">
        <f t="shared" si="295"/>
        <v>0</v>
      </c>
      <c r="AB1087" s="429" t="str">
        <f t="shared" si="296"/>
        <v xml:space="preserve"> </v>
      </c>
      <c r="AC1087" s="424">
        <f t="shared" si="297"/>
        <v>0</v>
      </c>
      <c r="AD1087" s="371">
        <f t="shared" si="298"/>
        <v>0</v>
      </c>
      <c r="AE1087" s="748">
        <f t="shared" si="299"/>
        <v>1</v>
      </c>
      <c r="AF1087" s="417">
        <f t="shared" si="300"/>
        <v>0.66666666666666663</v>
      </c>
      <c r="AG1087" s="416">
        <f t="shared" si="301"/>
        <v>7.333333333333333</v>
      </c>
      <c r="AH1087" s="372">
        <f t="shared" si="302"/>
        <v>0.91666666666666663</v>
      </c>
      <c r="AI1087" s="373">
        <f t="shared" si="303"/>
        <v>875</v>
      </c>
      <c r="AJ1087" s="418">
        <f>VLOOKUP(D1087,'Standard Cycle time'!C:D,2,0)</f>
        <v>3.5</v>
      </c>
      <c r="AK1087" s="418">
        <f t="shared" si="304"/>
        <v>3.7714285714285714</v>
      </c>
      <c r="AL1087" s="374">
        <f t="shared" si="305"/>
        <v>0.92803030303030309</v>
      </c>
      <c r="AM1087" s="372">
        <f t="shared" si="306"/>
        <v>0.85069444444444442</v>
      </c>
      <c r="AN1087" s="799">
        <v>0.85069444444444442</v>
      </c>
      <c r="AO1087" s="448"/>
      <c r="AP1087" s="440">
        <v>40</v>
      </c>
      <c r="AQ1087" s="440">
        <v>0</v>
      </c>
      <c r="AR1087" s="440">
        <v>0</v>
      </c>
      <c r="AS1087" s="440">
        <v>0</v>
      </c>
      <c r="AT1087" s="440">
        <v>0</v>
      </c>
      <c r="AU1087" s="440">
        <v>0</v>
      </c>
      <c r="AV1087" s="440">
        <v>0</v>
      </c>
      <c r="AW1087" s="440">
        <v>0</v>
      </c>
      <c r="AX1087" s="440">
        <v>0</v>
      </c>
      <c r="AY1087" s="440">
        <v>0</v>
      </c>
      <c r="AZ1087" s="440">
        <v>0</v>
      </c>
      <c r="BA1087" s="440">
        <v>0</v>
      </c>
      <c r="BB1087" s="440">
        <v>0</v>
      </c>
      <c r="BC1087" s="440">
        <v>0</v>
      </c>
      <c r="BD1087" s="440">
        <v>0</v>
      </c>
      <c r="BE1087" s="440">
        <v>0</v>
      </c>
      <c r="BF1087" s="440">
        <v>0</v>
      </c>
      <c r="BG1087" s="440">
        <v>0</v>
      </c>
      <c r="BH1087" s="440">
        <v>0</v>
      </c>
      <c r="BI1087" s="440">
        <v>0</v>
      </c>
      <c r="BJ1087" s="440">
        <v>0</v>
      </c>
      <c r="BK1087" s="440">
        <v>0</v>
      </c>
      <c r="BL1087" s="440">
        <v>0</v>
      </c>
      <c r="BM1087" s="440">
        <v>0</v>
      </c>
      <c r="BN1087" s="440">
        <v>0</v>
      </c>
      <c r="BO1087" s="440">
        <v>0</v>
      </c>
      <c r="BP1087" s="440">
        <v>0</v>
      </c>
      <c r="BQ1087" s="440">
        <v>0</v>
      </c>
      <c r="BR1087" s="415">
        <v>0.66666666666666663</v>
      </c>
      <c r="BS1087" s="415">
        <v>0.66666666666666663</v>
      </c>
      <c r="BT1087" s="935"/>
      <c r="BU1087" s="935"/>
      <c r="BV1087" s="935"/>
      <c r="BW1087" s="935"/>
      <c r="BX1087" s="935"/>
      <c r="BY1087" s="935"/>
      <c r="BZ1087" s="935"/>
      <c r="CA1087" s="935"/>
      <c r="CB1087" s="935"/>
      <c r="CC1087" s="935"/>
      <c r="CD1087" s="935"/>
      <c r="CE1087" s="935"/>
      <c r="CF1087" s="935"/>
      <c r="CG1087" s="935"/>
      <c r="CH1087" s="935"/>
      <c r="CI1087" s="935"/>
      <c r="CJ1087" s="935"/>
      <c r="CK1087" s="935"/>
      <c r="CL1087" s="935"/>
      <c r="CM1087" s="935"/>
      <c r="CN1087" s="935"/>
      <c r="CO1087" s="935"/>
      <c r="CP1087" s="935"/>
      <c r="CQ1087" s="935"/>
      <c r="CR1087" s="935"/>
      <c r="CS1087" s="935"/>
      <c r="CT1087" s="935"/>
      <c r="CU1087" s="935"/>
      <c r="CV1087" s="935"/>
    </row>
    <row r="1088" spans="1:100" s="441" customFormat="1">
      <c r="A1088" s="375">
        <f t="shared" si="292"/>
        <v>10</v>
      </c>
      <c r="B1088" s="862">
        <v>44498</v>
      </c>
      <c r="C1088" s="493" t="s">
        <v>1980</v>
      </c>
      <c r="D1088" s="376" t="str">
        <f>IFERROR(VLOOKUP(E:E,'Item Data Support Sheet'!A:O,7,0),"")</f>
        <v>HOOD MOLDED</v>
      </c>
      <c r="E1088" s="447" t="s">
        <v>1987</v>
      </c>
      <c r="F1088" s="500"/>
      <c r="G1088" s="497" t="s">
        <v>2729</v>
      </c>
      <c r="H1088" s="602" t="str">
        <f>IFERROR(VLOOKUP(E:E,'Item Data Support Sheet'!A:O,2,0),"")</f>
        <v>HOOD S TYPE MOLDED</v>
      </c>
      <c r="I1088" s="501" t="s">
        <v>3851</v>
      </c>
      <c r="J1088" s="501" t="s">
        <v>2826</v>
      </c>
      <c r="K1088" s="499">
        <v>8</v>
      </c>
      <c r="L1088" s="499">
        <v>4137</v>
      </c>
      <c r="M1088" s="366">
        <v>517.125</v>
      </c>
      <c r="N1088" s="367">
        <f t="shared" si="291"/>
        <v>5012</v>
      </c>
      <c r="O1088" s="61">
        <v>5000</v>
      </c>
      <c r="P1088" s="368">
        <v>0</v>
      </c>
      <c r="Q1088" s="368">
        <v>0</v>
      </c>
      <c r="R1088" s="494">
        <v>0</v>
      </c>
      <c r="S1088" s="493">
        <v>0</v>
      </c>
      <c r="T1088" s="494">
        <v>4</v>
      </c>
      <c r="U1088" s="493">
        <v>8</v>
      </c>
      <c r="V1088" s="502">
        <v>1</v>
      </c>
      <c r="W1088" s="453">
        <f t="shared" si="293"/>
        <v>5000</v>
      </c>
      <c r="X1088" s="748">
        <f t="shared" si="294"/>
        <v>1.2086052695189751</v>
      </c>
      <c r="Y1088" s="451" t="str">
        <f>IFERROR(VLOOKUP(E:E,'Item Data Support Sheet'!A:J,6,0),0)</f>
        <v>HMC</v>
      </c>
      <c r="Z1088" s="428">
        <f>IFERROR(VLOOKUP(E:E,'Item Data Support Sheet'!A:O,4,0),0)</f>
        <v>8.6</v>
      </c>
      <c r="AA1088" s="428">
        <f t="shared" si="295"/>
        <v>43.103200000000001</v>
      </c>
      <c r="AB1088" s="429">
        <f t="shared" si="296"/>
        <v>0.99760574620909814</v>
      </c>
      <c r="AC1088" s="424">
        <f t="shared" si="297"/>
        <v>7.993605115907274E-4</v>
      </c>
      <c r="AD1088" s="371">
        <f t="shared" si="298"/>
        <v>0</v>
      </c>
      <c r="AE1088" s="748">
        <f t="shared" si="299"/>
        <v>0.99920191540303271</v>
      </c>
      <c r="AF1088" s="417">
        <f t="shared" si="300"/>
        <v>0</v>
      </c>
      <c r="AG1088" s="416">
        <f t="shared" si="301"/>
        <v>8</v>
      </c>
      <c r="AH1088" s="372">
        <f t="shared" si="302"/>
        <v>1</v>
      </c>
      <c r="AI1088" s="373">
        <f t="shared" si="303"/>
        <v>625</v>
      </c>
      <c r="AJ1088" s="418">
        <f>VLOOKUP(D1088,'Standard Cycle time'!C:D,2,0)</f>
        <v>6</v>
      </c>
      <c r="AK1088" s="418">
        <f t="shared" si="304"/>
        <v>5.76</v>
      </c>
      <c r="AL1088" s="374">
        <f t="shared" si="305"/>
        <v>1.0416666666666667</v>
      </c>
      <c r="AM1088" s="372">
        <f t="shared" si="306"/>
        <v>1.0408353285448257</v>
      </c>
      <c r="AN1088" s="799">
        <v>1.0410714285714286</v>
      </c>
      <c r="AO1088" s="448"/>
      <c r="AP1088" s="440">
        <v>0</v>
      </c>
      <c r="AQ1088" s="440">
        <v>0</v>
      </c>
      <c r="AR1088" s="440">
        <v>0</v>
      </c>
      <c r="AS1088" s="440">
        <v>0</v>
      </c>
      <c r="AT1088" s="440">
        <v>0</v>
      </c>
      <c r="AU1088" s="440">
        <v>0</v>
      </c>
      <c r="AV1088" s="440">
        <v>0</v>
      </c>
      <c r="AW1088" s="440">
        <v>0</v>
      </c>
      <c r="AX1088" s="440">
        <v>0</v>
      </c>
      <c r="AY1088" s="440">
        <v>0</v>
      </c>
      <c r="AZ1088" s="440">
        <v>0</v>
      </c>
      <c r="BA1088" s="440">
        <v>0</v>
      </c>
      <c r="BB1088" s="440">
        <v>0</v>
      </c>
      <c r="BC1088" s="440">
        <v>0</v>
      </c>
      <c r="BD1088" s="440">
        <v>0</v>
      </c>
      <c r="BE1088" s="440">
        <v>0</v>
      </c>
      <c r="BF1088" s="440">
        <v>0</v>
      </c>
      <c r="BG1088" s="440">
        <v>0</v>
      </c>
      <c r="BH1088" s="440">
        <v>0</v>
      </c>
      <c r="BI1088" s="440">
        <v>0</v>
      </c>
      <c r="BJ1088" s="440">
        <v>0</v>
      </c>
      <c r="BK1088" s="440">
        <v>0</v>
      </c>
      <c r="BL1088" s="440">
        <v>0</v>
      </c>
      <c r="BM1088" s="440">
        <v>0</v>
      </c>
      <c r="BN1088" s="440">
        <v>0</v>
      </c>
      <c r="BO1088" s="440">
        <v>0</v>
      </c>
      <c r="BP1088" s="440">
        <v>0</v>
      </c>
      <c r="BQ1088" s="440">
        <v>0</v>
      </c>
      <c r="BR1088" s="415">
        <v>0</v>
      </c>
      <c r="BS1088" s="415">
        <v>0</v>
      </c>
      <c r="BT1088" s="935"/>
      <c r="BU1088" s="935"/>
      <c r="BV1088" s="935"/>
      <c r="BW1088" s="935"/>
      <c r="BX1088" s="935"/>
      <c r="BY1088" s="935"/>
      <c r="BZ1088" s="935"/>
      <c r="CA1088" s="935"/>
      <c r="CB1088" s="935"/>
      <c r="CC1088" s="935"/>
      <c r="CD1088" s="935"/>
      <c r="CE1088" s="935"/>
      <c r="CF1088" s="935"/>
      <c r="CG1088" s="935"/>
      <c r="CH1088" s="935"/>
      <c r="CI1088" s="935"/>
      <c r="CJ1088" s="935"/>
      <c r="CK1088" s="935"/>
      <c r="CL1088" s="935"/>
      <c r="CM1088" s="935"/>
      <c r="CN1088" s="935"/>
      <c r="CO1088" s="935"/>
      <c r="CP1088" s="935"/>
      <c r="CQ1088" s="935"/>
      <c r="CR1088" s="935"/>
      <c r="CS1088" s="935"/>
      <c r="CT1088" s="935"/>
      <c r="CU1088" s="935"/>
      <c r="CV1088" s="935"/>
    </row>
    <row r="1089" spans="1:100" s="441" customFormat="1">
      <c r="A1089" s="375">
        <f t="shared" si="292"/>
        <v>10</v>
      </c>
      <c r="B1089" s="862">
        <v>44498</v>
      </c>
      <c r="C1089" s="493" t="s">
        <v>1980</v>
      </c>
      <c r="D1089" s="376" t="str">
        <f>IFERROR(VLOOKUP(E:E,'Item Data Support Sheet'!A:O,7,0),"")</f>
        <v>NIPPLE MOLDED</v>
      </c>
      <c r="E1089" s="447" t="s">
        <v>72</v>
      </c>
      <c r="F1089" s="500" t="s">
        <v>1678</v>
      </c>
      <c r="G1089" s="497" t="s">
        <v>1691</v>
      </c>
      <c r="H1089" s="602" t="str">
        <f>IFERROR(VLOOKUP(E:E,'Item Data Support Sheet'!A:O,2,0),"")</f>
        <v>NIPPLE S TYPE S SIZE INJECTION</v>
      </c>
      <c r="I1089" s="501" t="s">
        <v>3852</v>
      </c>
      <c r="J1089" s="501" t="s">
        <v>2826</v>
      </c>
      <c r="K1089" s="499">
        <v>8</v>
      </c>
      <c r="L1089" s="499">
        <v>4815</v>
      </c>
      <c r="M1089" s="366">
        <v>601.875</v>
      </c>
      <c r="N1089" s="367">
        <f t="shared" si="291"/>
        <v>5440</v>
      </c>
      <c r="O1089" s="61">
        <v>5400</v>
      </c>
      <c r="P1089" s="368">
        <v>0</v>
      </c>
      <c r="Q1089" s="368">
        <v>0</v>
      </c>
      <c r="R1089" s="494">
        <v>0</v>
      </c>
      <c r="S1089" s="493">
        <v>0</v>
      </c>
      <c r="T1089" s="494">
        <v>32</v>
      </c>
      <c r="U1089" s="493">
        <v>8</v>
      </c>
      <c r="V1089" s="502">
        <v>1</v>
      </c>
      <c r="W1089" s="453">
        <f t="shared" si="293"/>
        <v>5400</v>
      </c>
      <c r="X1089" s="748">
        <f t="shared" si="294"/>
        <v>1.1214953271028036</v>
      </c>
      <c r="Y1089" s="451" t="str">
        <f>IFERROR(VLOOKUP(E:E,'Item Data Support Sheet'!A:J,6,0),0)</f>
        <v>Silicon</v>
      </c>
      <c r="Z1089" s="428">
        <f>IFERROR(VLOOKUP(E:E,'Item Data Support Sheet'!A:O,4,0),0)</f>
        <v>6.8</v>
      </c>
      <c r="AA1089" s="428">
        <f t="shared" si="295"/>
        <v>36.991999999999997</v>
      </c>
      <c r="AB1089" s="429">
        <f t="shared" si="296"/>
        <v>0.99264705882352944</v>
      </c>
      <c r="AC1089" s="424">
        <f t="shared" si="297"/>
        <v>5.8910162002945507E-3</v>
      </c>
      <c r="AD1089" s="371">
        <f t="shared" si="298"/>
        <v>0</v>
      </c>
      <c r="AE1089" s="748">
        <f t="shared" si="299"/>
        <v>0.99411764705882355</v>
      </c>
      <c r="AF1089" s="417">
        <f t="shared" si="300"/>
        <v>0</v>
      </c>
      <c r="AG1089" s="416">
        <f t="shared" si="301"/>
        <v>8</v>
      </c>
      <c r="AH1089" s="372">
        <f t="shared" si="302"/>
        <v>1</v>
      </c>
      <c r="AI1089" s="373">
        <f t="shared" si="303"/>
        <v>675</v>
      </c>
      <c r="AJ1089" s="418">
        <f>VLOOKUP(D1089,'Standard Cycle time'!C:D,2,0)</f>
        <v>5.25</v>
      </c>
      <c r="AK1089" s="418">
        <f t="shared" si="304"/>
        <v>5.333333333333333</v>
      </c>
      <c r="AL1089" s="374">
        <f t="shared" si="305"/>
        <v>0.984375</v>
      </c>
      <c r="AM1089" s="372">
        <f t="shared" si="306"/>
        <v>0.97858455882352946</v>
      </c>
      <c r="AN1089" s="799">
        <v>0.97809008379888274</v>
      </c>
      <c r="AO1089" s="448"/>
      <c r="AP1089" s="440">
        <v>0</v>
      </c>
      <c r="AQ1089" s="440">
        <v>0</v>
      </c>
      <c r="AR1089" s="440">
        <v>0</v>
      </c>
      <c r="AS1089" s="440">
        <v>0</v>
      </c>
      <c r="AT1089" s="440">
        <v>0</v>
      </c>
      <c r="AU1089" s="440">
        <v>0</v>
      </c>
      <c r="AV1089" s="440">
        <v>0</v>
      </c>
      <c r="AW1089" s="440">
        <v>0</v>
      </c>
      <c r="AX1089" s="440">
        <v>0</v>
      </c>
      <c r="AY1089" s="440">
        <v>0</v>
      </c>
      <c r="AZ1089" s="440">
        <v>0</v>
      </c>
      <c r="BA1089" s="440">
        <v>0</v>
      </c>
      <c r="BB1089" s="440">
        <v>0</v>
      </c>
      <c r="BC1089" s="440">
        <v>0</v>
      </c>
      <c r="BD1089" s="440">
        <v>0</v>
      </c>
      <c r="BE1089" s="440">
        <v>0</v>
      </c>
      <c r="BF1089" s="440">
        <v>0</v>
      </c>
      <c r="BG1089" s="440">
        <v>0</v>
      </c>
      <c r="BH1089" s="440">
        <v>0</v>
      </c>
      <c r="BI1089" s="440">
        <v>0</v>
      </c>
      <c r="BJ1089" s="440">
        <v>0</v>
      </c>
      <c r="BK1089" s="440">
        <v>0</v>
      </c>
      <c r="BL1089" s="440">
        <v>0</v>
      </c>
      <c r="BM1089" s="440">
        <v>0</v>
      </c>
      <c r="BN1089" s="440">
        <v>0</v>
      </c>
      <c r="BO1089" s="440">
        <v>0</v>
      </c>
      <c r="BP1089" s="440">
        <v>0</v>
      </c>
      <c r="BQ1089" s="440">
        <v>0</v>
      </c>
      <c r="BR1089" s="415">
        <v>0</v>
      </c>
      <c r="BS1089" s="415">
        <v>0</v>
      </c>
      <c r="BT1089" s="935"/>
      <c r="BU1089" s="935"/>
      <c r="BV1089" s="935"/>
      <c r="BW1089" s="935"/>
      <c r="BX1089" s="935"/>
      <c r="BY1089" s="935"/>
      <c r="BZ1089" s="935"/>
      <c r="CA1089" s="935"/>
      <c r="CB1089" s="935"/>
      <c r="CC1089" s="935"/>
      <c r="CD1089" s="935"/>
      <c r="CE1089" s="935"/>
      <c r="CF1089" s="935"/>
      <c r="CG1089" s="935"/>
      <c r="CH1089" s="935"/>
      <c r="CI1089" s="935"/>
      <c r="CJ1089" s="935"/>
      <c r="CK1089" s="935"/>
      <c r="CL1089" s="935"/>
      <c r="CM1089" s="935"/>
      <c r="CN1089" s="935"/>
      <c r="CO1089" s="935"/>
      <c r="CP1089" s="935"/>
      <c r="CQ1089" s="935"/>
      <c r="CR1089" s="935"/>
      <c r="CS1089" s="935"/>
      <c r="CT1089" s="935"/>
      <c r="CU1089" s="935"/>
      <c r="CV1089" s="935"/>
    </row>
    <row r="1090" spans="1:100" s="441" customFormat="1">
      <c r="A1090" s="375">
        <f t="shared" si="292"/>
        <v>10</v>
      </c>
      <c r="B1090" s="862">
        <v>44498</v>
      </c>
      <c r="C1090" s="493" t="s">
        <v>1980</v>
      </c>
      <c r="D1090" s="376" t="str">
        <f>IFERROR(VLOOKUP(E:E,'Item Data Support Sheet'!A:O,7,0),"")</f>
        <v>BOTTLE PRINTED</v>
      </c>
      <c r="E1090" s="447" t="s">
        <v>64</v>
      </c>
      <c r="F1090" s="500"/>
      <c r="G1090" s="497"/>
      <c r="H1090" s="602" t="str">
        <f>IFERROR(VLOOKUP(E:E,'Item Data Support Sheet'!A:O,2,0),"")</f>
        <v>KPP 240 ML BOTTLE PRINTED</v>
      </c>
      <c r="I1090" s="501" t="s">
        <v>3853</v>
      </c>
      <c r="J1090" s="501" t="s">
        <v>2813</v>
      </c>
      <c r="K1090" s="499">
        <v>8</v>
      </c>
      <c r="L1090" s="499">
        <v>5120</v>
      </c>
      <c r="M1090" s="366">
        <v>640</v>
      </c>
      <c r="N1090" s="367">
        <f t="shared" si="291"/>
        <v>3605</v>
      </c>
      <c r="O1090" s="61">
        <v>3564</v>
      </c>
      <c r="P1090" s="368">
        <v>0</v>
      </c>
      <c r="Q1090" s="368">
        <v>0</v>
      </c>
      <c r="R1090" s="494">
        <v>49</v>
      </c>
      <c r="S1090" s="493">
        <v>0</v>
      </c>
      <c r="T1090" s="494">
        <v>41</v>
      </c>
      <c r="U1090" s="493">
        <v>0</v>
      </c>
      <c r="V1090" s="502">
        <v>4.5</v>
      </c>
      <c r="W1090" s="453">
        <f t="shared" si="293"/>
        <v>792</v>
      </c>
      <c r="X1090" s="748">
        <f t="shared" si="294"/>
        <v>0.69609374999999996</v>
      </c>
      <c r="Y1090" s="451" t="str">
        <f>IFERROR(VLOOKUP(E:E,'Item Data Support Sheet'!A:J,6,0),0)</f>
        <v>FO003</v>
      </c>
      <c r="Z1090" s="428">
        <f>IFERROR(VLOOKUP(E:E,'Item Data Support Sheet'!A:O,4,0),0)</f>
        <v>0</v>
      </c>
      <c r="AA1090" s="428">
        <f t="shared" si="295"/>
        <v>0</v>
      </c>
      <c r="AB1090" s="429" t="str">
        <f t="shared" si="296"/>
        <v xml:space="preserve"> </v>
      </c>
      <c r="AC1090" s="424">
        <f t="shared" si="297"/>
        <v>1.1373092926490984E-2</v>
      </c>
      <c r="AD1090" s="371">
        <f t="shared" si="298"/>
        <v>0</v>
      </c>
      <c r="AE1090" s="748">
        <f t="shared" si="299"/>
        <v>0.98862690707350898</v>
      </c>
      <c r="AF1090" s="417">
        <f t="shared" si="300"/>
        <v>1</v>
      </c>
      <c r="AG1090" s="416">
        <f t="shared" si="301"/>
        <v>7</v>
      </c>
      <c r="AH1090" s="372">
        <f t="shared" si="302"/>
        <v>0.875</v>
      </c>
      <c r="AI1090" s="373">
        <f t="shared" si="303"/>
        <v>445.5</v>
      </c>
      <c r="AJ1090" s="418">
        <f>VLOOKUP(D1090,'Standard Cycle time'!C:D,2,0)</f>
        <v>32.4</v>
      </c>
      <c r="AK1090" s="418">
        <f t="shared" si="304"/>
        <v>31.818181818181817</v>
      </c>
      <c r="AL1090" s="374">
        <f t="shared" si="305"/>
        <v>1.0182857142857142</v>
      </c>
      <c r="AM1090" s="372">
        <f t="shared" si="306"/>
        <v>0.88086657420249648</v>
      </c>
      <c r="AN1090" s="799">
        <v>0.8842847426470587</v>
      </c>
      <c r="AO1090" s="448" t="s">
        <v>3854</v>
      </c>
      <c r="AP1090" s="440">
        <v>0</v>
      </c>
      <c r="AQ1090" s="440">
        <v>0</v>
      </c>
      <c r="AR1090" s="440">
        <v>0</v>
      </c>
      <c r="AS1090" s="440">
        <v>0</v>
      </c>
      <c r="AT1090" s="440">
        <v>0</v>
      </c>
      <c r="AU1090" s="440">
        <v>0</v>
      </c>
      <c r="AV1090" s="440">
        <v>60</v>
      </c>
      <c r="AW1090" s="440">
        <v>0</v>
      </c>
      <c r="AX1090" s="440">
        <v>0</v>
      </c>
      <c r="AY1090" s="440">
        <v>0</v>
      </c>
      <c r="AZ1090" s="440">
        <v>0</v>
      </c>
      <c r="BA1090" s="440">
        <v>0</v>
      </c>
      <c r="BB1090" s="440">
        <v>0</v>
      </c>
      <c r="BC1090" s="440">
        <v>0</v>
      </c>
      <c r="BD1090" s="440">
        <v>0</v>
      </c>
      <c r="BE1090" s="440">
        <v>0</v>
      </c>
      <c r="BF1090" s="440">
        <v>0</v>
      </c>
      <c r="BG1090" s="440">
        <v>0</v>
      </c>
      <c r="BH1090" s="440">
        <v>0</v>
      </c>
      <c r="BI1090" s="440">
        <v>0</v>
      </c>
      <c r="BJ1090" s="440">
        <v>0</v>
      </c>
      <c r="BK1090" s="440">
        <v>0</v>
      </c>
      <c r="BL1090" s="440">
        <v>0</v>
      </c>
      <c r="BM1090" s="440">
        <v>0</v>
      </c>
      <c r="BN1090" s="440">
        <v>0</v>
      </c>
      <c r="BO1090" s="440">
        <v>0</v>
      </c>
      <c r="BP1090" s="440">
        <v>0</v>
      </c>
      <c r="BQ1090" s="440">
        <v>0</v>
      </c>
      <c r="BR1090" s="415">
        <v>1</v>
      </c>
      <c r="BS1090" s="415">
        <v>1</v>
      </c>
      <c r="BT1090" s="935"/>
      <c r="BU1090" s="935"/>
      <c r="BV1090" s="935"/>
      <c r="BW1090" s="935"/>
      <c r="BX1090" s="935"/>
      <c r="BY1090" s="935"/>
      <c r="BZ1090" s="935"/>
      <c r="CA1090" s="935"/>
      <c r="CB1090" s="935"/>
      <c r="CC1090" s="935"/>
      <c r="CD1090" s="935"/>
      <c r="CE1090" s="935"/>
      <c r="CF1090" s="935"/>
      <c r="CG1090" s="935"/>
      <c r="CH1090" s="935"/>
      <c r="CI1090" s="935"/>
      <c r="CJ1090" s="935"/>
      <c r="CK1090" s="935"/>
      <c r="CL1090" s="935"/>
      <c r="CM1090" s="935"/>
      <c r="CN1090" s="935"/>
      <c r="CO1090" s="935"/>
      <c r="CP1090" s="935"/>
      <c r="CQ1090" s="935"/>
      <c r="CR1090" s="935"/>
      <c r="CS1090" s="935"/>
      <c r="CT1090" s="935"/>
      <c r="CU1090" s="935"/>
      <c r="CV1090" s="935"/>
    </row>
    <row r="1091" spans="1:100" s="441" customFormat="1">
      <c r="A1091" s="375">
        <f t="shared" si="292"/>
        <v>10</v>
      </c>
      <c r="B1091" s="862">
        <v>44498</v>
      </c>
      <c r="C1091" s="493" t="s">
        <v>2000</v>
      </c>
      <c r="D1091" s="376" t="str">
        <f>IFERROR(VLOOKUP(E:E,'Item Data Support Sheet'!A:O,7,0),"")</f>
        <v>NIPPLE WRAP PRINTED</v>
      </c>
      <c r="E1091" s="447" t="s">
        <v>109</v>
      </c>
      <c r="F1091" s="500"/>
      <c r="G1091" s="497" t="s">
        <v>1693</v>
      </c>
      <c r="H1091" s="602" t="str">
        <f>IFERROR(VLOOKUP(E:E,'Item Data Support Sheet'!A:O,2,0),"")</f>
        <v>NIPPLE S TYPE M SIZE WITH PRINTED WRAP</v>
      </c>
      <c r="I1091" s="501" t="s">
        <v>3727</v>
      </c>
      <c r="J1091" s="501" t="s">
        <v>2811</v>
      </c>
      <c r="K1091" s="499">
        <v>4</v>
      </c>
      <c r="L1091" s="499">
        <v>8886</v>
      </c>
      <c r="M1091" s="366">
        <v>2221.5</v>
      </c>
      <c r="N1091" s="367">
        <f t="shared" si="291"/>
        <v>8277</v>
      </c>
      <c r="O1091" s="61">
        <v>8270</v>
      </c>
      <c r="P1091" s="368">
        <v>0</v>
      </c>
      <c r="Q1091" s="368">
        <v>0</v>
      </c>
      <c r="R1091" s="494">
        <v>0</v>
      </c>
      <c r="S1091" s="493">
        <v>0</v>
      </c>
      <c r="T1091" s="494">
        <v>7</v>
      </c>
      <c r="U1091" s="493">
        <v>0</v>
      </c>
      <c r="V1091" s="502">
        <v>2</v>
      </c>
      <c r="W1091" s="453">
        <f t="shared" si="293"/>
        <v>4135</v>
      </c>
      <c r="X1091" s="748">
        <f t="shared" si="294"/>
        <v>0.93067747017780778</v>
      </c>
      <c r="Y1091" s="451" t="str">
        <f>IFERROR(VLOOKUP(E:E,'Item Data Support Sheet'!A:J,6,0),0)</f>
        <v>FO020</v>
      </c>
      <c r="Z1091" s="428">
        <f>IFERROR(VLOOKUP(E:E,'Item Data Support Sheet'!A:O,4,0),0)</f>
        <v>0</v>
      </c>
      <c r="AA1091" s="428">
        <f t="shared" si="295"/>
        <v>0</v>
      </c>
      <c r="AB1091" s="429" t="str">
        <f t="shared" si="296"/>
        <v xml:space="preserve"> </v>
      </c>
      <c r="AC1091" s="424">
        <f t="shared" si="297"/>
        <v>8.4571704723933794E-4</v>
      </c>
      <c r="AD1091" s="371">
        <f t="shared" si="298"/>
        <v>0</v>
      </c>
      <c r="AE1091" s="748">
        <f t="shared" si="299"/>
        <v>0.99915428295276065</v>
      </c>
      <c r="AF1091" s="417">
        <f t="shared" si="300"/>
        <v>0.83333333333333337</v>
      </c>
      <c r="AG1091" s="416">
        <f t="shared" si="301"/>
        <v>3.1666666666666665</v>
      </c>
      <c r="AH1091" s="372">
        <f t="shared" si="302"/>
        <v>0.79166666666666663</v>
      </c>
      <c r="AI1091" s="373">
        <f t="shared" si="303"/>
        <v>2067.5</v>
      </c>
      <c r="AJ1091" s="418">
        <f>VLOOKUP(D1091,'Standard Cycle time'!C:D,2,0)</f>
        <v>2.5</v>
      </c>
      <c r="AK1091" s="418">
        <f t="shared" si="304"/>
        <v>2.7569528415961306</v>
      </c>
      <c r="AL1091" s="374">
        <f t="shared" si="305"/>
        <v>0.9067982456140351</v>
      </c>
      <c r="AM1091" s="372">
        <f t="shared" si="306"/>
        <v>0.71727481944612248</v>
      </c>
      <c r="AN1091" s="799">
        <v>0.71648799892125137</v>
      </c>
      <c r="AO1091" s="448"/>
      <c r="AP1091" s="440">
        <v>50</v>
      </c>
      <c r="AQ1091" s="440">
        <v>0</v>
      </c>
      <c r="AR1091" s="440">
        <v>0</v>
      </c>
      <c r="AS1091" s="440">
        <v>0</v>
      </c>
      <c r="AT1091" s="440">
        <v>0</v>
      </c>
      <c r="AU1091" s="440">
        <v>0</v>
      </c>
      <c r="AV1091" s="440">
        <v>0</v>
      </c>
      <c r="AW1091" s="440">
        <v>0</v>
      </c>
      <c r="AX1091" s="440">
        <v>0</v>
      </c>
      <c r="AY1091" s="440">
        <v>0</v>
      </c>
      <c r="AZ1091" s="440">
        <v>0</v>
      </c>
      <c r="BA1091" s="440">
        <v>0</v>
      </c>
      <c r="BB1091" s="440">
        <v>0</v>
      </c>
      <c r="BC1091" s="440">
        <v>0</v>
      </c>
      <c r="BD1091" s="440">
        <v>0</v>
      </c>
      <c r="BE1091" s="440">
        <v>0</v>
      </c>
      <c r="BF1091" s="440">
        <v>0</v>
      </c>
      <c r="BG1091" s="440">
        <v>0</v>
      </c>
      <c r="BH1091" s="440">
        <v>0</v>
      </c>
      <c r="BI1091" s="440">
        <v>0</v>
      </c>
      <c r="BJ1091" s="440">
        <v>0</v>
      </c>
      <c r="BK1091" s="440">
        <v>0</v>
      </c>
      <c r="BL1091" s="440">
        <v>0</v>
      </c>
      <c r="BM1091" s="440">
        <v>0</v>
      </c>
      <c r="BN1091" s="440">
        <v>0</v>
      </c>
      <c r="BO1091" s="440">
        <v>0</v>
      </c>
      <c r="BP1091" s="440">
        <v>0</v>
      </c>
      <c r="BQ1091" s="440">
        <v>0</v>
      </c>
      <c r="BR1091" s="415">
        <v>0.83333333333333337</v>
      </c>
      <c r="BS1091" s="415">
        <v>0.83333333333333337</v>
      </c>
      <c r="BT1091" s="935"/>
      <c r="BU1091" s="935"/>
      <c r="BV1091" s="935"/>
      <c r="BW1091" s="935"/>
      <c r="BX1091" s="935"/>
      <c r="BY1091" s="935"/>
      <c r="BZ1091" s="935"/>
      <c r="CA1091" s="935"/>
      <c r="CB1091" s="935"/>
      <c r="CC1091" s="935"/>
      <c r="CD1091" s="935"/>
      <c r="CE1091" s="935"/>
      <c r="CF1091" s="935"/>
      <c r="CG1091" s="935"/>
      <c r="CH1091" s="935"/>
      <c r="CI1091" s="935"/>
      <c r="CJ1091" s="935"/>
      <c r="CK1091" s="935"/>
      <c r="CL1091" s="935"/>
      <c r="CM1091" s="935"/>
      <c r="CN1091" s="935"/>
      <c r="CO1091" s="935"/>
      <c r="CP1091" s="935"/>
      <c r="CQ1091" s="935"/>
      <c r="CR1091" s="935"/>
      <c r="CS1091" s="935"/>
      <c r="CT1091" s="935"/>
      <c r="CU1091" s="935"/>
      <c r="CV1091" s="935"/>
    </row>
    <row r="1092" spans="1:100" s="441" customFormat="1">
      <c r="A1092" s="375">
        <f t="shared" si="292"/>
        <v>10</v>
      </c>
      <c r="B1092" s="862">
        <v>44498</v>
      </c>
      <c r="C1092" s="493" t="s">
        <v>2000</v>
      </c>
      <c r="D1092" s="376" t="str">
        <f>IFERROR(VLOOKUP(E:E,'Item Data Support Sheet'!A:O,7,0),"")</f>
        <v>NIPPLE WRAP PRINTED</v>
      </c>
      <c r="E1092" s="447" t="s">
        <v>108</v>
      </c>
      <c r="F1092" s="500"/>
      <c r="G1092" s="497" t="s">
        <v>1693</v>
      </c>
      <c r="H1092" s="602" t="str">
        <f>IFERROR(VLOOKUP(E:E,'Item Data Support Sheet'!A:O,2,0),"")</f>
        <v>NIPPLE S TYPE S SIZE WITH PRINTED WRAP</v>
      </c>
      <c r="I1092" s="501" t="s">
        <v>3841</v>
      </c>
      <c r="J1092" s="501" t="s">
        <v>2811</v>
      </c>
      <c r="K1092" s="499">
        <v>4</v>
      </c>
      <c r="L1092" s="499">
        <v>8886</v>
      </c>
      <c r="M1092" s="366">
        <v>2221.5</v>
      </c>
      <c r="N1092" s="367">
        <f t="shared" ref="N1092:N1155" si="307">+O1092+Q1092+T1092+U1092</f>
        <v>9163</v>
      </c>
      <c r="O1092" s="61">
        <v>9163</v>
      </c>
      <c r="P1092" s="368">
        <v>0</v>
      </c>
      <c r="Q1092" s="368">
        <v>0</v>
      </c>
      <c r="R1092" s="494">
        <v>0</v>
      </c>
      <c r="S1092" s="493">
        <v>0</v>
      </c>
      <c r="T1092" s="494">
        <v>0</v>
      </c>
      <c r="U1092" s="493">
        <v>0</v>
      </c>
      <c r="V1092" s="502">
        <v>2</v>
      </c>
      <c r="W1092" s="453">
        <f t="shared" si="293"/>
        <v>4581.5</v>
      </c>
      <c r="X1092" s="748">
        <f t="shared" si="294"/>
        <v>1.0311726311051093</v>
      </c>
      <c r="Y1092" s="451" t="str">
        <f>IFERROR(VLOOKUP(E:E,'Item Data Support Sheet'!A:J,6,0),0)</f>
        <v>FO108</v>
      </c>
      <c r="Z1092" s="428">
        <f>IFERROR(VLOOKUP(E:E,'Item Data Support Sheet'!A:O,4,0),0)</f>
        <v>0</v>
      </c>
      <c r="AA1092" s="428">
        <f t="shared" si="295"/>
        <v>0</v>
      </c>
      <c r="AB1092" s="429" t="str">
        <f t="shared" si="296"/>
        <v xml:space="preserve"> </v>
      </c>
      <c r="AC1092" s="424">
        <f t="shared" si="297"/>
        <v>0</v>
      </c>
      <c r="AD1092" s="371">
        <f t="shared" si="298"/>
        <v>0</v>
      </c>
      <c r="AE1092" s="748">
        <f t="shared" si="299"/>
        <v>1</v>
      </c>
      <c r="AF1092" s="417">
        <f t="shared" si="300"/>
        <v>0</v>
      </c>
      <c r="AG1092" s="416">
        <f t="shared" si="301"/>
        <v>4</v>
      </c>
      <c r="AH1092" s="372">
        <f t="shared" si="302"/>
        <v>1</v>
      </c>
      <c r="AI1092" s="373">
        <f t="shared" si="303"/>
        <v>2290.75</v>
      </c>
      <c r="AJ1092" s="418">
        <f>VLOOKUP(D1092,'Standard Cycle time'!C:D,2,0)</f>
        <v>2.5</v>
      </c>
      <c r="AK1092" s="418">
        <f t="shared" si="304"/>
        <v>3.1430754119829749</v>
      </c>
      <c r="AL1092" s="374">
        <f t="shared" si="305"/>
        <v>0.7953993055555556</v>
      </c>
      <c r="AM1092" s="372">
        <f t="shared" si="306"/>
        <v>0.7953993055555556</v>
      </c>
      <c r="AN1092" s="799">
        <v>0.7953993055555556</v>
      </c>
      <c r="AO1092" s="448"/>
      <c r="AP1092" s="440">
        <v>0</v>
      </c>
      <c r="AQ1092" s="440">
        <v>0</v>
      </c>
      <c r="AR1092" s="440">
        <v>0</v>
      </c>
      <c r="AS1092" s="440">
        <v>0</v>
      </c>
      <c r="AT1092" s="440">
        <v>0</v>
      </c>
      <c r="AU1092" s="440">
        <v>0</v>
      </c>
      <c r="AV1092" s="440">
        <v>0</v>
      </c>
      <c r="AW1092" s="440">
        <v>0</v>
      </c>
      <c r="AX1092" s="440">
        <v>0</v>
      </c>
      <c r="AY1092" s="440">
        <v>0</v>
      </c>
      <c r="AZ1092" s="440">
        <v>0</v>
      </c>
      <c r="BA1092" s="440">
        <v>0</v>
      </c>
      <c r="BB1092" s="440">
        <v>0</v>
      </c>
      <c r="BC1092" s="440">
        <v>0</v>
      </c>
      <c r="BD1092" s="440">
        <v>0</v>
      </c>
      <c r="BE1092" s="440">
        <v>0</v>
      </c>
      <c r="BF1092" s="440">
        <v>0</v>
      </c>
      <c r="BG1092" s="440">
        <v>0</v>
      </c>
      <c r="BH1092" s="440">
        <v>0</v>
      </c>
      <c r="BI1092" s="440">
        <v>0</v>
      </c>
      <c r="BJ1092" s="440">
        <v>0</v>
      </c>
      <c r="BK1092" s="440">
        <v>0</v>
      </c>
      <c r="BL1092" s="440">
        <v>0</v>
      </c>
      <c r="BM1092" s="440">
        <v>0</v>
      </c>
      <c r="BN1092" s="440">
        <v>0</v>
      </c>
      <c r="BO1092" s="440">
        <v>0</v>
      </c>
      <c r="BP1092" s="440">
        <v>0</v>
      </c>
      <c r="BQ1092" s="440">
        <v>0</v>
      </c>
      <c r="BR1092" s="415">
        <v>0</v>
      </c>
      <c r="BS1092" s="415">
        <v>0</v>
      </c>
      <c r="BT1092" s="935"/>
      <c r="BU1092" s="935"/>
      <c r="BV1092" s="935"/>
      <c r="BW1092" s="935"/>
      <c r="BX1092" s="935"/>
      <c r="BY1092" s="935"/>
      <c r="BZ1092" s="935"/>
      <c r="CA1092" s="935"/>
      <c r="CB1092" s="935"/>
      <c r="CC1092" s="935"/>
      <c r="CD1092" s="935"/>
      <c r="CE1092" s="935"/>
      <c r="CF1092" s="935"/>
      <c r="CG1092" s="935"/>
      <c r="CH1092" s="935"/>
      <c r="CI1092" s="935"/>
      <c r="CJ1092" s="935"/>
      <c r="CK1092" s="935"/>
      <c r="CL1092" s="935"/>
      <c r="CM1092" s="935"/>
      <c r="CN1092" s="935"/>
      <c r="CO1092" s="935"/>
      <c r="CP1092" s="935"/>
      <c r="CQ1092" s="935"/>
      <c r="CR1092" s="935"/>
      <c r="CS1092" s="935"/>
      <c r="CT1092" s="935"/>
      <c r="CU1092" s="935"/>
      <c r="CV1092" s="935"/>
    </row>
    <row r="1093" spans="1:100" s="441" customFormat="1">
      <c r="A1093" s="375">
        <f t="shared" ref="A1093:A1156" si="308">MONTH(B1093)</f>
        <v>10</v>
      </c>
      <c r="B1093" s="862">
        <v>44498</v>
      </c>
      <c r="C1093" s="493" t="s">
        <v>2000</v>
      </c>
      <c r="D1093" s="376" t="str">
        <f>IFERROR(VLOOKUP(E:E,'Item Data Support Sheet'!A:O,7,0),"")</f>
        <v>NIPPLE PUNCH INSPECTED</v>
      </c>
      <c r="E1093" s="447" t="s">
        <v>1818</v>
      </c>
      <c r="F1093" s="500"/>
      <c r="G1093" s="497"/>
      <c r="H1093" s="602" t="str">
        <f>IFERROR(VLOOKUP(E:E,'Item Data Support Sheet'!A:O,2,0),"")</f>
        <v>NIPPLE S TYPE S SIZE PUNCHED INSPECTED</v>
      </c>
      <c r="I1093" s="501" t="s">
        <v>3841</v>
      </c>
      <c r="J1093" s="501" t="s">
        <v>2811</v>
      </c>
      <c r="K1093" s="499">
        <v>8</v>
      </c>
      <c r="L1093" s="499">
        <v>14000</v>
      </c>
      <c r="M1093" s="366">
        <v>1750</v>
      </c>
      <c r="N1093" s="367">
        <f t="shared" si="307"/>
        <v>14200</v>
      </c>
      <c r="O1093" s="61">
        <v>14102</v>
      </c>
      <c r="P1093" s="368">
        <v>0</v>
      </c>
      <c r="Q1093" s="368">
        <v>0</v>
      </c>
      <c r="R1093" s="494">
        <v>0</v>
      </c>
      <c r="S1093" s="493">
        <v>0</v>
      </c>
      <c r="T1093" s="494">
        <v>98</v>
      </c>
      <c r="U1093" s="493">
        <v>0</v>
      </c>
      <c r="V1093" s="502">
        <v>1</v>
      </c>
      <c r="W1093" s="453">
        <f t="shared" ref="W1093:W1156" si="309">IFERROR(O1093/V1093,0)</f>
        <v>14102</v>
      </c>
      <c r="X1093" s="748">
        <f t="shared" ref="X1093:X1156" si="310">O1093/L1093</f>
        <v>1.0072857142857143</v>
      </c>
      <c r="Y1093" s="451" t="str">
        <f>IFERROR(VLOOKUP(E:E,'Item Data Support Sheet'!A:J,6,0),0)</f>
        <v>FO104</v>
      </c>
      <c r="Z1093" s="428">
        <f>IFERROR(VLOOKUP(E:E,'Item Data Support Sheet'!A:O,4,0),0)</f>
        <v>0</v>
      </c>
      <c r="AA1093" s="428">
        <f t="shared" ref="AA1093:AA1156" si="311">IFERROR(((N1093)*(Z1093/1000))+P1093,0)</f>
        <v>0</v>
      </c>
      <c r="AB1093" s="429" t="str">
        <f t="shared" ref="AB1093:AB1156" si="312">IFERROR((O1093*(Z1093/1000)/(AA1093))," ")</f>
        <v xml:space="preserve"> </v>
      </c>
      <c r="AC1093" s="424">
        <f t="shared" ref="AC1093:AC1156" si="313">IFERROR((T1093)/((T1093)+O1093),0)</f>
        <v>6.9014084507042252E-3</v>
      </c>
      <c r="AD1093" s="371">
        <f t="shared" ref="AD1093:AD1156" si="314">IFERROR(Q1093/(Q1093+N1093),0)</f>
        <v>0</v>
      </c>
      <c r="AE1093" s="748">
        <f t="shared" ref="AE1093:AE1156" si="315">(N1093-T1093)/N1093</f>
        <v>0.99309859154929581</v>
      </c>
      <c r="AF1093" s="417">
        <f t="shared" ref="AF1093:AF1156" si="316">BR1093</f>
        <v>0.83333333333333337</v>
      </c>
      <c r="AG1093" s="416">
        <f t="shared" ref="AG1093:AG1156" si="317">K1093-AF1093</f>
        <v>7.166666666666667</v>
      </c>
      <c r="AH1093" s="372">
        <f t="shared" ref="AH1093:AH1156" si="318">IFERROR(AG1093/K1093," ")</f>
        <v>0.89583333333333337</v>
      </c>
      <c r="AI1093" s="373">
        <f t="shared" ref="AI1093:AI1156" si="319">IFERROR(O1093/K1093,0)</f>
        <v>1762.75</v>
      </c>
      <c r="AJ1093" s="418">
        <f>VLOOKUP(D1093,'Standard Cycle time'!C:D,2,0)</f>
        <v>4</v>
      </c>
      <c r="AK1093" s="418">
        <f t="shared" ref="AK1093:AK1156" si="320">AG1093*V1093*3600/O1093</f>
        <v>1.8295277265636081</v>
      </c>
      <c r="AL1093" s="374">
        <f t="shared" ref="AL1093:AL1156" si="321">AJ1093/AK1093</f>
        <v>2.1863565891472869</v>
      </c>
      <c r="AM1093" s="372">
        <f t="shared" ref="AM1093:AM1156" si="322">AE1093*AL1093*AH1093</f>
        <v>1.9450939358372461</v>
      </c>
      <c r="AN1093" s="799">
        <v>1.9376633986928107</v>
      </c>
      <c r="AO1093" s="448"/>
      <c r="AP1093" s="440">
        <v>50</v>
      </c>
      <c r="AQ1093" s="440">
        <v>0</v>
      </c>
      <c r="AR1093" s="440">
        <v>0</v>
      </c>
      <c r="AS1093" s="440">
        <v>0</v>
      </c>
      <c r="AT1093" s="440">
        <v>0</v>
      </c>
      <c r="AU1093" s="440">
        <v>0</v>
      </c>
      <c r="AV1093" s="440">
        <v>0</v>
      </c>
      <c r="AW1093" s="440">
        <v>0</v>
      </c>
      <c r="AX1093" s="440">
        <v>0</v>
      </c>
      <c r="AY1093" s="440">
        <v>0</v>
      </c>
      <c r="AZ1093" s="440">
        <v>0</v>
      </c>
      <c r="BA1093" s="440">
        <v>0</v>
      </c>
      <c r="BB1093" s="440">
        <v>0</v>
      </c>
      <c r="BC1093" s="440">
        <v>0</v>
      </c>
      <c r="BD1093" s="440">
        <v>0</v>
      </c>
      <c r="BE1093" s="440">
        <v>0</v>
      </c>
      <c r="BF1093" s="440">
        <v>0</v>
      </c>
      <c r="BG1093" s="440">
        <v>0</v>
      </c>
      <c r="BH1093" s="440">
        <v>0</v>
      </c>
      <c r="BI1093" s="440">
        <v>0</v>
      </c>
      <c r="BJ1093" s="440">
        <v>0</v>
      </c>
      <c r="BK1093" s="440">
        <v>0</v>
      </c>
      <c r="BL1093" s="440">
        <v>0</v>
      </c>
      <c r="BM1093" s="440">
        <v>0</v>
      </c>
      <c r="BN1093" s="440">
        <v>0</v>
      </c>
      <c r="BO1093" s="440">
        <v>0</v>
      </c>
      <c r="BP1093" s="440">
        <v>0</v>
      </c>
      <c r="BQ1093" s="440">
        <v>0</v>
      </c>
      <c r="BR1093" s="415">
        <v>0.83333333333333337</v>
      </c>
      <c r="BS1093" s="415">
        <v>0.83333333333333337</v>
      </c>
      <c r="BT1093" s="935"/>
      <c r="BU1093" s="935"/>
      <c r="BV1093" s="935"/>
      <c r="BW1093" s="935"/>
      <c r="BX1093" s="935"/>
      <c r="BY1093" s="935"/>
      <c r="BZ1093" s="935"/>
      <c r="CA1093" s="935"/>
      <c r="CB1093" s="935"/>
      <c r="CC1093" s="935"/>
      <c r="CD1093" s="935"/>
      <c r="CE1093" s="935"/>
      <c r="CF1093" s="935"/>
      <c r="CG1093" s="935"/>
      <c r="CH1093" s="935"/>
      <c r="CI1093" s="935"/>
      <c r="CJ1093" s="935"/>
      <c r="CK1093" s="935"/>
      <c r="CL1093" s="935"/>
      <c r="CM1093" s="935"/>
      <c r="CN1093" s="935"/>
      <c r="CO1093" s="935"/>
      <c r="CP1093" s="935"/>
      <c r="CQ1093" s="935"/>
      <c r="CR1093" s="935"/>
      <c r="CS1093" s="935"/>
      <c r="CT1093" s="935"/>
      <c r="CU1093" s="935"/>
      <c r="CV1093" s="935"/>
    </row>
    <row r="1094" spans="1:100" s="441" customFormat="1">
      <c r="A1094" s="375">
        <f t="shared" si="308"/>
        <v>10</v>
      </c>
      <c r="B1094" s="862">
        <v>44498</v>
      </c>
      <c r="C1094" s="493" t="s">
        <v>2001</v>
      </c>
      <c r="D1094" s="376" t="str">
        <f>IFERROR(VLOOKUP(E:E,'Item Data Support Sheet'!A:O,7,0),"")</f>
        <v>NIPPLE PUNCH</v>
      </c>
      <c r="E1094" s="447" t="s">
        <v>80</v>
      </c>
      <c r="F1094" s="500"/>
      <c r="G1094" s="497" t="s">
        <v>1692</v>
      </c>
      <c r="H1094" s="602" t="str">
        <f>IFERROR(VLOOKUP(E:E,'Item Data Support Sheet'!A:O,2,0),"")</f>
        <v>NIPPLE S TYPE S SIZE PUNCHED</v>
      </c>
      <c r="I1094" s="501" t="s">
        <v>3855</v>
      </c>
      <c r="J1094" s="501" t="s">
        <v>2811</v>
      </c>
      <c r="K1094" s="499">
        <v>8</v>
      </c>
      <c r="L1094" s="499">
        <v>7000</v>
      </c>
      <c r="M1094" s="366">
        <v>875</v>
      </c>
      <c r="N1094" s="367">
        <f t="shared" si="307"/>
        <v>7000</v>
      </c>
      <c r="O1094" s="61">
        <v>7000</v>
      </c>
      <c r="P1094" s="368">
        <v>0</v>
      </c>
      <c r="Q1094" s="368">
        <v>0</v>
      </c>
      <c r="R1094" s="494">
        <v>0</v>
      </c>
      <c r="S1094" s="493">
        <v>0</v>
      </c>
      <c r="T1094" s="494">
        <v>0</v>
      </c>
      <c r="U1094" s="493">
        <v>0</v>
      </c>
      <c r="V1094" s="502">
        <v>1</v>
      </c>
      <c r="W1094" s="453">
        <f t="shared" si="309"/>
        <v>7000</v>
      </c>
      <c r="X1094" s="748">
        <f t="shared" si="310"/>
        <v>1</v>
      </c>
      <c r="Y1094" s="451" t="str">
        <f>IFERROR(VLOOKUP(E:E,'Item Data Support Sheet'!A:J,6,0),0)</f>
        <v>FO015</v>
      </c>
      <c r="Z1094" s="428">
        <f>IFERROR(VLOOKUP(E:E,'Item Data Support Sheet'!A:O,4,0),0)</f>
        <v>0</v>
      </c>
      <c r="AA1094" s="428">
        <f t="shared" si="311"/>
        <v>0</v>
      </c>
      <c r="AB1094" s="429" t="str">
        <f t="shared" si="312"/>
        <v xml:space="preserve"> </v>
      </c>
      <c r="AC1094" s="424">
        <f t="shared" si="313"/>
        <v>0</v>
      </c>
      <c r="AD1094" s="371">
        <f t="shared" si="314"/>
        <v>0</v>
      </c>
      <c r="AE1094" s="748">
        <f t="shared" si="315"/>
        <v>1</v>
      </c>
      <c r="AF1094" s="417">
        <f t="shared" si="316"/>
        <v>0.66666666666666663</v>
      </c>
      <c r="AG1094" s="416">
        <f t="shared" si="317"/>
        <v>7.333333333333333</v>
      </c>
      <c r="AH1094" s="372">
        <f t="shared" si="318"/>
        <v>0.91666666666666663</v>
      </c>
      <c r="AI1094" s="373">
        <f t="shared" si="319"/>
        <v>875</v>
      </c>
      <c r="AJ1094" s="418">
        <f>VLOOKUP(D1094,'Standard Cycle time'!C:D,2,0)</f>
        <v>3.5</v>
      </c>
      <c r="AK1094" s="418">
        <f t="shared" si="320"/>
        <v>3.7714285714285714</v>
      </c>
      <c r="AL1094" s="374">
        <f t="shared" si="321"/>
        <v>0.92803030303030309</v>
      </c>
      <c r="AM1094" s="372">
        <f t="shared" si="322"/>
        <v>0.85069444444444442</v>
      </c>
      <c r="AN1094" s="799">
        <v>0.85069444444444442</v>
      </c>
      <c r="AO1094" s="448"/>
      <c r="AP1094" s="440">
        <v>40</v>
      </c>
      <c r="AQ1094" s="440">
        <v>0</v>
      </c>
      <c r="AR1094" s="440">
        <v>0</v>
      </c>
      <c r="AS1094" s="440">
        <v>0</v>
      </c>
      <c r="AT1094" s="440">
        <v>0</v>
      </c>
      <c r="AU1094" s="440">
        <v>0</v>
      </c>
      <c r="AV1094" s="440">
        <v>0</v>
      </c>
      <c r="AW1094" s="440">
        <v>0</v>
      </c>
      <c r="AX1094" s="440">
        <v>0</v>
      </c>
      <c r="AY1094" s="440">
        <v>0</v>
      </c>
      <c r="AZ1094" s="440">
        <v>0</v>
      </c>
      <c r="BA1094" s="440">
        <v>0</v>
      </c>
      <c r="BB1094" s="440">
        <v>0</v>
      </c>
      <c r="BC1094" s="440">
        <v>0</v>
      </c>
      <c r="BD1094" s="440">
        <v>0</v>
      </c>
      <c r="BE1094" s="440">
        <v>0</v>
      </c>
      <c r="BF1094" s="440">
        <v>0</v>
      </c>
      <c r="BG1094" s="440">
        <v>0</v>
      </c>
      <c r="BH1094" s="440">
        <v>0</v>
      </c>
      <c r="BI1094" s="440">
        <v>0</v>
      </c>
      <c r="BJ1094" s="440">
        <v>0</v>
      </c>
      <c r="BK1094" s="440">
        <v>0</v>
      </c>
      <c r="BL1094" s="440">
        <v>0</v>
      </c>
      <c r="BM1094" s="440">
        <v>0</v>
      </c>
      <c r="BN1094" s="440">
        <v>0</v>
      </c>
      <c r="BO1094" s="440">
        <v>0</v>
      </c>
      <c r="BP1094" s="440">
        <v>0</v>
      </c>
      <c r="BQ1094" s="440">
        <v>0</v>
      </c>
      <c r="BR1094" s="415">
        <v>0.66666666666666663</v>
      </c>
      <c r="BS1094" s="415">
        <v>0.66666666666666663</v>
      </c>
      <c r="BT1094" s="935"/>
      <c r="BU1094" s="935"/>
      <c r="BV1094" s="935"/>
      <c r="BW1094" s="935"/>
      <c r="BX1094" s="935"/>
      <c r="BY1094" s="935"/>
      <c r="BZ1094" s="935"/>
      <c r="CA1094" s="935"/>
      <c r="CB1094" s="935"/>
      <c r="CC1094" s="935"/>
      <c r="CD1094" s="935"/>
      <c r="CE1094" s="935"/>
      <c r="CF1094" s="935"/>
      <c r="CG1094" s="935"/>
      <c r="CH1094" s="935"/>
      <c r="CI1094" s="935"/>
      <c r="CJ1094" s="935"/>
      <c r="CK1094" s="935"/>
      <c r="CL1094" s="935"/>
      <c r="CM1094" s="935"/>
      <c r="CN1094" s="935"/>
      <c r="CO1094" s="935"/>
      <c r="CP1094" s="935"/>
      <c r="CQ1094" s="935"/>
      <c r="CR1094" s="935"/>
      <c r="CS1094" s="935"/>
      <c r="CT1094" s="935"/>
      <c r="CU1094" s="935"/>
      <c r="CV1094" s="935"/>
    </row>
    <row r="1095" spans="1:100" s="441" customFormat="1">
      <c r="A1095" s="375">
        <f t="shared" si="308"/>
        <v>10</v>
      </c>
      <c r="B1095" s="862">
        <v>44498</v>
      </c>
      <c r="C1095" s="493" t="s">
        <v>2001</v>
      </c>
      <c r="D1095" s="376" t="str">
        <f>IFERROR(VLOOKUP(E:E,'Item Data Support Sheet'!A:O,7,0),"")</f>
        <v>NIPPLE LASER MARKING</v>
      </c>
      <c r="E1095" s="447" t="s">
        <v>1814</v>
      </c>
      <c r="F1095" s="500"/>
      <c r="G1095" s="497" t="s">
        <v>1812</v>
      </c>
      <c r="H1095" s="602" t="str">
        <f>IFERROR(VLOOKUP(E:E,'Item Data Support Sheet'!A:O,2,0),"")</f>
        <v>NIPPLE S TYPE S SIZE PUNCHED LASER MARKED</v>
      </c>
      <c r="I1095" s="501" t="s">
        <v>3856</v>
      </c>
      <c r="J1095" s="501" t="s">
        <v>2811</v>
      </c>
      <c r="K1095" s="499">
        <v>8</v>
      </c>
      <c r="L1095" s="499">
        <v>7000</v>
      </c>
      <c r="M1095" s="366">
        <v>875</v>
      </c>
      <c r="N1095" s="367">
        <f t="shared" si="307"/>
        <v>7000</v>
      </c>
      <c r="O1095" s="61">
        <v>7000</v>
      </c>
      <c r="P1095" s="368">
        <v>0</v>
      </c>
      <c r="Q1095" s="368">
        <v>0</v>
      </c>
      <c r="R1095" s="494">
        <v>0</v>
      </c>
      <c r="S1095" s="493">
        <v>0</v>
      </c>
      <c r="T1095" s="494">
        <v>0</v>
      </c>
      <c r="U1095" s="493">
        <v>0</v>
      </c>
      <c r="V1095" s="502">
        <v>1</v>
      </c>
      <c r="W1095" s="453">
        <f t="shared" si="309"/>
        <v>7000</v>
      </c>
      <c r="X1095" s="748">
        <f t="shared" si="310"/>
        <v>1</v>
      </c>
      <c r="Y1095" s="451" t="str">
        <f>IFERROR(VLOOKUP(E:E,'Item Data Support Sheet'!A:J,6,0),0)</f>
        <v>FO019</v>
      </c>
      <c r="Z1095" s="428">
        <f>IFERROR(VLOOKUP(E:E,'Item Data Support Sheet'!A:O,4,0),0)</f>
        <v>0</v>
      </c>
      <c r="AA1095" s="428">
        <f t="shared" si="311"/>
        <v>0</v>
      </c>
      <c r="AB1095" s="429" t="str">
        <f t="shared" si="312"/>
        <v xml:space="preserve"> </v>
      </c>
      <c r="AC1095" s="424">
        <f t="shared" si="313"/>
        <v>0</v>
      </c>
      <c r="AD1095" s="371">
        <f t="shared" si="314"/>
        <v>0</v>
      </c>
      <c r="AE1095" s="748">
        <f t="shared" si="315"/>
        <v>1</v>
      </c>
      <c r="AF1095" s="417">
        <f t="shared" si="316"/>
        <v>0.66666666666666663</v>
      </c>
      <c r="AG1095" s="416">
        <f t="shared" si="317"/>
        <v>7.333333333333333</v>
      </c>
      <c r="AH1095" s="372">
        <f t="shared" si="318"/>
        <v>0.91666666666666663</v>
      </c>
      <c r="AI1095" s="373">
        <f t="shared" si="319"/>
        <v>875</v>
      </c>
      <c r="AJ1095" s="418">
        <f>VLOOKUP(D1095,'Standard Cycle time'!C:D,2,0)</f>
        <v>3.5</v>
      </c>
      <c r="AK1095" s="418">
        <f t="shared" si="320"/>
        <v>3.7714285714285714</v>
      </c>
      <c r="AL1095" s="374">
        <f t="shared" si="321"/>
        <v>0.92803030303030309</v>
      </c>
      <c r="AM1095" s="372">
        <f t="shared" si="322"/>
        <v>0.85069444444444442</v>
      </c>
      <c r="AN1095" s="799">
        <v>0.85069444444444442</v>
      </c>
      <c r="AO1095" s="448"/>
      <c r="AP1095" s="440">
        <v>40</v>
      </c>
      <c r="AQ1095" s="440">
        <v>0</v>
      </c>
      <c r="AR1095" s="440">
        <v>0</v>
      </c>
      <c r="AS1095" s="440">
        <v>0</v>
      </c>
      <c r="AT1095" s="440">
        <v>0</v>
      </c>
      <c r="AU1095" s="440">
        <v>0</v>
      </c>
      <c r="AV1095" s="440">
        <v>0</v>
      </c>
      <c r="AW1095" s="440">
        <v>0</v>
      </c>
      <c r="AX1095" s="440">
        <v>0</v>
      </c>
      <c r="AY1095" s="440">
        <v>0</v>
      </c>
      <c r="AZ1095" s="440">
        <v>0</v>
      </c>
      <c r="BA1095" s="440">
        <v>0</v>
      </c>
      <c r="BB1095" s="440">
        <v>0</v>
      </c>
      <c r="BC1095" s="440">
        <v>0</v>
      </c>
      <c r="BD1095" s="440">
        <v>0</v>
      </c>
      <c r="BE1095" s="440">
        <v>0</v>
      </c>
      <c r="BF1095" s="440">
        <v>0</v>
      </c>
      <c r="BG1095" s="440">
        <v>0</v>
      </c>
      <c r="BH1095" s="440">
        <v>0</v>
      </c>
      <c r="BI1095" s="440">
        <v>0</v>
      </c>
      <c r="BJ1095" s="440">
        <v>0</v>
      </c>
      <c r="BK1095" s="440">
        <v>0</v>
      </c>
      <c r="BL1095" s="440">
        <v>0</v>
      </c>
      <c r="BM1095" s="440">
        <v>0</v>
      </c>
      <c r="BN1095" s="440">
        <v>0</v>
      </c>
      <c r="BO1095" s="440">
        <v>0</v>
      </c>
      <c r="BP1095" s="440">
        <v>0</v>
      </c>
      <c r="BQ1095" s="440">
        <v>0</v>
      </c>
      <c r="BR1095" s="415">
        <v>0.66666666666666663</v>
      </c>
      <c r="BS1095" s="415">
        <v>0.66666666666666663</v>
      </c>
      <c r="BT1095" s="935"/>
      <c r="BU1095" s="935"/>
      <c r="BV1095" s="935"/>
      <c r="BW1095" s="935"/>
      <c r="BX1095" s="935"/>
      <c r="BY1095" s="935"/>
      <c r="BZ1095" s="935"/>
      <c r="CA1095" s="935"/>
      <c r="CB1095" s="935"/>
      <c r="CC1095" s="935"/>
      <c r="CD1095" s="935"/>
      <c r="CE1095" s="935"/>
      <c r="CF1095" s="935"/>
      <c r="CG1095" s="935"/>
      <c r="CH1095" s="935"/>
      <c r="CI1095" s="935"/>
      <c r="CJ1095" s="935"/>
      <c r="CK1095" s="935"/>
      <c r="CL1095" s="935"/>
      <c r="CM1095" s="935"/>
      <c r="CN1095" s="935"/>
      <c r="CO1095" s="935"/>
      <c r="CP1095" s="935"/>
      <c r="CQ1095" s="935"/>
      <c r="CR1095" s="935"/>
      <c r="CS1095" s="935"/>
      <c r="CT1095" s="935"/>
      <c r="CU1095" s="935"/>
      <c r="CV1095" s="935"/>
    </row>
    <row r="1096" spans="1:100" s="441" customFormat="1">
      <c r="A1096" s="375">
        <f t="shared" si="308"/>
        <v>10</v>
      </c>
      <c r="B1096" s="862">
        <v>44498</v>
      </c>
      <c r="C1096" s="493" t="s">
        <v>2001</v>
      </c>
      <c r="D1096" s="376" t="str">
        <f>IFERROR(VLOOKUP(E:E,'Item Data Support Sheet'!A:O,7,0),"")</f>
        <v>NIPPLE MOLDED</v>
      </c>
      <c r="E1096" s="447" t="s">
        <v>72</v>
      </c>
      <c r="F1096" s="500" t="s">
        <v>1678</v>
      </c>
      <c r="G1096" s="497" t="s">
        <v>1691</v>
      </c>
      <c r="H1096" s="602" t="str">
        <f>IFERROR(VLOOKUP(E:E,'Item Data Support Sheet'!A:O,2,0),"")</f>
        <v>NIPPLE S TYPE S SIZE INJECTION</v>
      </c>
      <c r="I1096" s="501" t="s">
        <v>3857</v>
      </c>
      <c r="J1096" s="501" t="s">
        <v>2811</v>
      </c>
      <c r="K1096" s="499">
        <v>8</v>
      </c>
      <c r="L1096" s="499">
        <v>4815</v>
      </c>
      <c r="M1096" s="366">
        <v>601.875</v>
      </c>
      <c r="N1096" s="367">
        <f t="shared" si="307"/>
        <v>5290</v>
      </c>
      <c r="O1096" s="61">
        <v>5200</v>
      </c>
      <c r="P1096" s="368">
        <v>0</v>
      </c>
      <c r="Q1096" s="368">
        <v>30</v>
      </c>
      <c r="R1096" s="494">
        <v>0</v>
      </c>
      <c r="S1096" s="493">
        <v>0</v>
      </c>
      <c r="T1096" s="494">
        <v>60</v>
      </c>
      <c r="U1096" s="493">
        <v>0</v>
      </c>
      <c r="V1096" s="502">
        <v>1</v>
      </c>
      <c r="W1096" s="453">
        <f t="shared" si="309"/>
        <v>5200</v>
      </c>
      <c r="X1096" s="748">
        <f t="shared" si="310"/>
        <v>1.0799584631360333</v>
      </c>
      <c r="Y1096" s="451" t="str">
        <f>IFERROR(VLOOKUP(E:E,'Item Data Support Sheet'!A:J,6,0),0)</f>
        <v>Silicon</v>
      </c>
      <c r="Z1096" s="428">
        <f>IFERROR(VLOOKUP(E:E,'Item Data Support Sheet'!A:O,4,0),0)</f>
        <v>6.8</v>
      </c>
      <c r="AA1096" s="428">
        <f t="shared" si="311"/>
        <v>35.972000000000001</v>
      </c>
      <c r="AB1096" s="429">
        <f t="shared" si="312"/>
        <v>0.98298676748582225</v>
      </c>
      <c r="AC1096" s="424">
        <f t="shared" si="313"/>
        <v>1.1406844106463879E-2</v>
      </c>
      <c r="AD1096" s="371">
        <f t="shared" si="314"/>
        <v>5.6390977443609019E-3</v>
      </c>
      <c r="AE1096" s="748">
        <f t="shared" si="315"/>
        <v>0.98865784499054821</v>
      </c>
      <c r="AF1096" s="417">
        <f t="shared" si="316"/>
        <v>0</v>
      </c>
      <c r="AG1096" s="416">
        <f t="shared" si="317"/>
        <v>8</v>
      </c>
      <c r="AH1096" s="372">
        <f t="shared" si="318"/>
        <v>1</v>
      </c>
      <c r="AI1096" s="373">
        <f t="shared" si="319"/>
        <v>650</v>
      </c>
      <c r="AJ1096" s="418">
        <f>VLOOKUP(D1096,'Standard Cycle time'!C:D,2,0)</f>
        <v>5.25</v>
      </c>
      <c r="AK1096" s="418">
        <f t="shared" si="320"/>
        <v>5.5384615384615383</v>
      </c>
      <c r="AL1096" s="374">
        <f t="shared" si="321"/>
        <v>0.94791666666666674</v>
      </c>
      <c r="AM1096" s="372">
        <f t="shared" si="322"/>
        <v>0.93716524889729058</v>
      </c>
      <c r="AN1096" s="799">
        <v>0.9397916666666668</v>
      </c>
      <c r="AO1096" s="448"/>
      <c r="AP1096" s="440">
        <v>0</v>
      </c>
      <c r="AQ1096" s="440">
        <v>0</v>
      </c>
      <c r="AR1096" s="440">
        <v>0</v>
      </c>
      <c r="AS1096" s="440">
        <v>0</v>
      </c>
      <c r="AT1096" s="440">
        <v>0</v>
      </c>
      <c r="AU1096" s="440">
        <v>0</v>
      </c>
      <c r="AV1096" s="440">
        <v>0</v>
      </c>
      <c r="AW1096" s="440">
        <v>0</v>
      </c>
      <c r="AX1096" s="440">
        <v>0</v>
      </c>
      <c r="AY1096" s="440">
        <v>0</v>
      </c>
      <c r="AZ1096" s="440">
        <v>0</v>
      </c>
      <c r="BA1096" s="440">
        <v>0</v>
      </c>
      <c r="BB1096" s="440">
        <v>0</v>
      </c>
      <c r="BC1096" s="440">
        <v>0</v>
      </c>
      <c r="BD1096" s="440">
        <v>0</v>
      </c>
      <c r="BE1096" s="440">
        <v>0</v>
      </c>
      <c r="BF1096" s="440">
        <v>0</v>
      </c>
      <c r="BG1096" s="440">
        <v>0</v>
      </c>
      <c r="BH1096" s="440">
        <v>0</v>
      </c>
      <c r="BI1096" s="440">
        <v>0</v>
      </c>
      <c r="BJ1096" s="440">
        <v>0</v>
      </c>
      <c r="BK1096" s="440">
        <v>0</v>
      </c>
      <c r="BL1096" s="440">
        <v>0</v>
      </c>
      <c r="BM1096" s="440">
        <v>0</v>
      </c>
      <c r="BN1096" s="440">
        <v>0</v>
      </c>
      <c r="BO1096" s="440">
        <v>0</v>
      </c>
      <c r="BP1096" s="440">
        <v>0</v>
      </c>
      <c r="BQ1096" s="440">
        <v>0</v>
      </c>
      <c r="BR1096" s="415">
        <v>0</v>
      </c>
      <c r="BS1096" s="415">
        <v>0</v>
      </c>
      <c r="BT1096" s="935"/>
      <c r="BU1096" s="935"/>
      <c r="BV1096" s="935"/>
      <c r="BW1096" s="935"/>
      <c r="BX1096" s="935"/>
      <c r="BY1096" s="935"/>
      <c r="BZ1096" s="935"/>
      <c r="CA1096" s="935"/>
      <c r="CB1096" s="935"/>
      <c r="CC1096" s="935"/>
      <c r="CD1096" s="935"/>
      <c r="CE1096" s="935"/>
      <c r="CF1096" s="935"/>
      <c r="CG1096" s="935"/>
      <c r="CH1096" s="935"/>
      <c r="CI1096" s="935"/>
      <c r="CJ1096" s="935"/>
      <c r="CK1096" s="935"/>
      <c r="CL1096" s="935"/>
      <c r="CM1096" s="935"/>
      <c r="CN1096" s="935"/>
      <c r="CO1096" s="935"/>
      <c r="CP1096" s="935"/>
      <c r="CQ1096" s="935"/>
      <c r="CR1096" s="935"/>
      <c r="CS1096" s="935"/>
      <c r="CT1096" s="935"/>
      <c r="CU1096" s="935"/>
      <c r="CV1096" s="935"/>
    </row>
    <row r="1097" spans="1:100" s="441" customFormat="1">
      <c r="A1097" s="375">
        <f t="shared" si="308"/>
        <v>10</v>
      </c>
      <c r="B1097" s="862">
        <v>44498</v>
      </c>
      <c r="C1097" s="493" t="s">
        <v>2001</v>
      </c>
      <c r="D1097" s="376" t="str">
        <f>IFERROR(VLOOKUP(E:E,'Item Data Support Sheet'!A:O,7,0),"")</f>
        <v>HOOD MOLDED</v>
      </c>
      <c r="E1097" s="447" t="s">
        <v>1987</v>
      </c>
      <c r="F1097" s="500"/>
      <c r="G1097" s="497" t="s">
        <v>2729</v>
      </c>
      <c r="H1097" s="602" t="str">
        <f>IFERROR(VLOOKUP(E:E,'Item Data Support Sheet'!A:O,2,0),"")</f>
        <v>HOOD S TYPE MOLDED</v>
      </c>
      <c r="I1097" s="501" t="s">
        <v>3858</v>
      </c>
      <c r="J1097" s="501" t="s">
        <v>2811</v>
      </c>
      <c r="K1097" s="499">
        <v>8</v>
      </c>
      <c r="L1097" s="499">
        <v>4137</v>
      </c>
      <c r="M1097" s="366">
        <v>517.125</v>
      </c>
      <c r="N1097" s="367">
        <f t="shared" si="307"/>
        <v>4748</v>
      </c>
      <c r="O1097" s="61">
        <v>4700</v>
      </c>
      <c r="P1097" s="368">
        <v>0</v>
      </c>
      <c r="Q1097" s="368">
        <v>40</v>
      </c>
      <c r="R1097" s="494">
        <v>0</v>
      </c>
      <c r="S1097" s="493">
        <v>0</v>
      </c>
      <c r="T1097" s="494">
        <v>8</v>
      </c>
      <c r="U1097" s="493">
        <v>0</v>
      </c>
      <c r="V1097" s="502">
        <v>1</v>
      </c>
      <c r="W1097" s="453">
        <f t="shared" si="309"/>
        <v>4700</v>
      </c>
      <c r="X1097" s="748">
        <f t="shared" si="310"/>
        <v>1.1360889533478367</v>
      </c>
      <c r="Y1097" s="451" t="str">
        <f>IFERROR(VLOOKUP(E:E,'Item Data Support Sheet'!A:J,6,0),0)</f>
        <v>HMC</v>
      </c>
      <c r="Z1097" s="428">
        <f>IFERROR(VLOOKUP(E:E,'Item Data Support Sheet'!A:O,4,0),0)</f>
        <v>8.6</v>
      </c>
      <c r="AA1097" s="428">
        <f t="shared" si="311"/>
        <v>40.832799999999999</v>
      </c>
      <c r="AB1097" s="429">
        <f t="shared" si="312"/>
        <v>0.9898904802021905</v>
      </c>
      <c r="AC1097" s="424">
        <f t="shared" si="313"/>
        <v>1.6992353440951572E-3</v>
      </c>
      <c r="AD1097" s="371">
        <f t="shared" si="314"/>
        <v>8.3542188805346695E-3</v>
      </c>
      <c r="AE1097" s="748">
        <f t="shared" si="315"/>
        <v>0.9983150800336984</v>
      </c>
      <c r="AF1097" s="417">
        <f t="shared" si="316"/>
        <v>0.33333333333333331</v>
      </c>
      <c r="AG1097" s="416">
        <f t="shared" si="317"/>
        <v>7.666666666666667</v>
      </c>
      <c r="AH1097" s="372">
        <f t="shared" si="318"/>
        <v>0.95833333333333337</v>
      </c>
      <c r="AI1097" s="373">
        <f t="shared" si="319"/>
        <v>587.5</v>
      </c>
      <c r="AJ1097" s="418">
        <f>VLOOKUP(D1097,'Standard Cycle time'!C:D,2,0)</f>
        <v>6</v>
      </c>
      <c r="AK1097" s="418">
        <f t="shared" si="320"/>
        <v>5.8723404255319149</v>
      </c>
      <c r="AL1097" s="374">
        <f t="shared" si="321"/>
        <v>1.0217391304347827</v>
      </c>
      <c r="AM1097" s="372">
        <f t="shared" si="322"/>
        <v>0.9775168491996632</v>
      </c>
      <c r="AN1097" s="799">
        <v>0.97768588531821066</v>
      </c>
      <c r="AO1097" s="448"/>
      <c r="AP1097" s="440">
        <v>0</v>
      </c>
      <c r="AQ1097" s="440">
        <v>0</v>
      </c>
      <c r="AR1097" s="440">
        <v>0</v>
      </c>
      <c r="AS1097" s="440">
        <v>0</v>
      </c>
      <c r="AT1097" s="440">
        <v>0</v>
      </c>
      <c r="AU1097" s="440">
        <v>0</v>
      </c>
      <c r="AV1097" s="440">
        <v>0</v>
      </c>
      <c r="AW1097" s="440">
        <v>0</v>
      </c>
      <c r="AX1097" s="440">
        <v>0</v>
      </c>
      <c r="AY1097" s="440">
        <v>0</v>
      </c>
      <c r="AZ1097" s="440">
        <v>20</v>
      </c>
      <c r="BA1097" s="440">
        <v>0</v>
      </c>
      <c r="BB1097" s="440">
        <v>0</v>
      </c>
      <c r="BC1097" s="440">
        <v>0</v>
      </c>
      <c r="BD1097" s="440">
        <v>0</v>
      </c>
      <c r="BE1097" s="440">
        <v>0</v>
      </c>
      <c r="BF1097" s="440">
        <v>0</v>
      </c>
      <c r="BG1097" s="440">
        <v>0</v>
      </c>
      <c r="BH1097" s="440">
        <v>0</v>
      </c>
      <c r="BI1097" s="440">
        <v>0</v>
      </c>
      <c r="BJ1097" s="440">
        <v>0</v>
      </c>
      <c r="BK1097" s="440">
        <v>0</v>
      </c>
      <c r="BL1097" s="440">
        <v>0</v>
      </c>
      <c r="BM1097" s="440">
        <v>0</v>
      </c>
      <c r="BN1097" s="440">
        <v>0</v>
      </c>
      <c r="BO1097" s="440">
        <v>0</v>
      </c>
      <c r="BP1097" s="440">
        <v>0</v>
      </c>
      <c r="BQ1097" s="440">
        <v>0</v>
      </c>
      <c r="BR1097" s="415">
        <v>0.33333333333333331</v>
      </c>
      <c r="BS1097" s="415">
        <v>0.33333333333333331</v>
      </c>
      <c r="BT1097" s="935"/>
      <c r="BU1097" s="935"/>
      <c r="BV1097" s="935"/>
      <c r="BW1097" s="935"/>
      <c r="BX1097" s="935"/>
      <c r="BY1097" s="935"/>
      <c r="BZ1097" s="935"/>
      <c r="CA1097" s="935"/>
      <c r="CB1097" s="935"/>
      <c r="CC1097" s="935"/>
      <c r="CD1097" s="935"/>
      <c r="CE1097" s="935"/>
      <c r="CF1097" s="935"/>
      <c r="CG1097" s="935"/>
      <c r="CH1097" s="935"/>
      <c r="CI1097" s="935"/>
      <c r="CJ1097" s="935"/>
      <c r="CK1097" s="935"/>
      <c r="CL1097" s="935"/>
      <c r="CM1097" s="935"/>
      <c r="CN1097" s="935"/>
      <c r="CO1097" s="935"/>
      <c r="CP1097" s="935"/>
      <c r="CQ1097" s="935"/>
      <c r="CR1097" s="935"/>
      <c r="CS1097" s="935"/>
      <c r="CT1097" s="935"/>
      <c r="CU1097" s="935"/>
      <c r="CV1097" s="935"/>
    </row>
    <row r="1098" spans="1:100" s="441" customFormat="1">
      <c r="A1098" s="375">
        <f t="shared" si="308"/>
        <v>10</v>
      </c>
      <c r="B1098" s="862">
        <v>44498</v>
      </c>
      <c r="C1098" s="493" t="s">
        <v>2001</v>
      </c>
      <c r="D1098" s="376" t="str">
        <f>IFERROR(VLOOKUP(E:E,'Item Data Support Sheet'!A:O,7,0),"")</f>
        <v>BOTTLE PRINTED</v>
      </c>
      <c r="E1098" s="447" t="s">
        <v>64</v>
      </c>
      <c r="F1098" s="500"/>
      <c r="G1098" s="497"/>
      <c r="H1098" s="602" t="str">
        <f>IFERROR(VLOOKUP(E:E,'Item Data Support Sheet'!A:O,2,0),"")</f>
        <v>KPP 240 ML BOTTLE PRINTED</v>
      </c>
      <c r="I1098" s="501" t="s">
        <v>3859</v>
      </c>
      <c r="J1098" s="501" t="s">
        <v>2811</v>
      </c>
      <c r="K1098" s="499">
        <v>8</v>
      </c>
      <c r="L1098" s="499">
        <v>5100</v>
      </c>
      <c r="M1098" s="366">
        <v>637.5</v>
      </c>
      <c r="N1098" s="367">
        <f t="shared" si="307"/>
        <v>5367</v>
      </c>
      <c r="O1098" s="61">
        <v>5292</v>
      </c>
      <c r="P1098" s="368">
        <v>0</v>
      </c>
      <c r="Q1098" s="368">
        <v>0</v>
      </c>
      <c r="R1098" s="494">
        <v>52</v>
      </c>
      <c r="S1098" s="493">
        <v>0</v>
      </c>
      <c r="T1098" s="494">
        <v>75</v>
      </c>
      <c r="U1098" s="493">
        <v>0</v>
      </c>
      <c r="V1098" s="502">
        <v>5</v>
      </c>
      <c r="W1098" s="453">
        <f t="shared" si="309"/>
        <v>1058.4000000000001</v>
      </c>
      <c r="X1098" s="748">
        <f t="shared" si="310"/>
        <v>1.0376470588235294</v>
      </c>
      <c r="Y1098" s="451" t="str">
        <f>IFERROR(VLOOKUP(E:E,'Item Data Support Sheet'!A:J,6,0),0)</f>
        <v>FO003</v>
      </c>
      <c r="Z1098" s="428">
        <f>IFERROR(VLOOKUP(E:E,'Item Data Support Sheet'!A:O,4,0),0)</f>
        <v>0</v>
      </c>
      <c r="AA1098" s="428">
        <f t="shared" si="311"/>
        <v>0</v>
      </c>
      <c r="AB1098" s="429" t="str">
        <f t="shared" si="312"/>
        <v xml:space="preserve"> </v>
      </c>
      <c r="AC1098" s="424">
        <f t="shared" si="313"/>
        <v>1.3974287311347122E-2</v>
      </c>
      <c r="AD1098" s="371">
        <f t="shared" si="314"/>
        <v>0</v>
      </c>
      <c r="AE1098" s="748">
        <f t="shared" si="315"/>
        <v>0.98602571268865291</v>
      </c>
      <c r="AF1098" s="417">
        <f t="shared" si="316"/>
        <v>0.66666666666666663</v>
      </c>
      <c r="AG1098" s="416">
        <f t="shared" si="317"/>
        <v>7.333333333333333</v>
      </c>
      <c r="AH1098" s="372">
        <f t="shared" si="318"/>
        <v>0.91666666666666663</v>
      </c>
      <c r="AI1098" s="373">
        <f t="shared" si="319"/>
        <v>661.5</v>
      </c>
      <c r="AJ1098" s="418">
        <f>VLOOKUP(D1098,'Standard Cycle time'!C:D,2,0)</f>
        <v>32.4</v>
      </c>
      <c r="AK1098" s="418">
        <f t="shared" si="320"/>
        <v>24.943310657596371</v>
      </c>
      <c r="AL1098" s="374">
        <f t="shared" si="321"/>
        <v>1.2989454545454546</v>
      </c>
      <c r="AM1098" s="372">
        <f t="shared" si="322"/>
        <v>1.1740608160983792</v>
      </c>
      <c r="AN1098" s="799">
        <v>1.1718915543386688</v>
      </c>
      <c r="AO1098" s="448"/>
      <c r="AP1098" s="440">
        <v>40</v>
      </c>
      <c r="AQ1098" s="440">
        <v>0</v>
      </c>
      <c r="AR1098" s="440">
        <v>0</v>
      </c>
      <c r="AS1098" s="440">
        <v>0</v>
      </c>
      <c r="AT1098" s="440">
        <v>0</v>
      </c>
      <c r="AU1098" s="440">
        <v>0</v>
      </c>
      <c r="AV1098" s="440">
        <v>0</v>
      </c>
      <c r="AW1098" s="440">
        <v>0</v>
      </c>
      <c r="AX1098" s="440">
        <v>0</v>
      </c>
      <c r="AY1098" s="440">
        <v>0</v>
      </c>
      <c r="AZ1098" s="440">
        <v>0</v>
      </c>
      <c r="BA1098" s="440">
        <v>0</v>
      </c>
      <c r="BB1098" s="440">
        <v>0</v>
      </c>
      <c r="BC1098" s="440">
        <v>0</v>
      </c>
      <c r="BD1098" s="440">
        <v>0</v>
      </c>
      <c r="BE1098" s="440">
        <v>0</v>
      </c>
      <c r="BF1098" s="440">
        <v>0</v>
      </c>
      <c r="BG1098" s="440">
        <v>0</v>
      </c>
      <c r="BH1098" s="440">
        <v>0</v>
      </c>
      <c r="BI1098" s="440">
        <v>0</v>
      </c>
      <c r="BJ1098" s="440">
        <v>0</v>
      </c>
      <c r="BK1098" s="440">
        <v>0</v>
      </c>
      <c r="BL1098" s="440">
        <v>0</v>
      </c>
      <c r="BM1098" s="440">
        <v>0</v>
      </c>
      <c r="BN1098" s="440">
        <v>0</v>
      </c>
      <c r="BO1098" s="440">
        <v>0</v>
      </c>
      <c r="BP1098" s="440">
        <v>0</v>
      </c>
      <c r="BQ1098" s="440">
        <v>0</v>
      </c>
      <c r="BR1098" s="415">
        <v>0.66666666666666663</v>
      </c>
      <c r="BS1098" s="415">
        <v>0.66666666666666663</v>
      </c>
      <c r="BT1098" s="935"/>
      <c r="BU1098" s="935"/>
      <c r="BV1098" s="935"/>
      <c r="BW1098" s="935"/>
      <c r="BX1098" s="935"/>
      <c r="BY1098" s="935"/>
      <c r="BZ1098" s="935"/>
      <c r="CA1098" s="935"/>
      <c r="CB1098" s="935"/>
      <c r="CC1098" s="935"/>
      <c r="CD1098" s="935"/>
      <c r="CE1098" s="935"/>
      <c r="CF1098" s="935"/>
      <c r="CG1098" s="935"/>
      <c r="CH1098" s="935"/>
      <c r="CI1098" s="935"/>
      <c r="CJ1098" s="935"/>
      <c r="CK1098" s="935"/>
      <c r="CL1098" s="935"/>
      <c r="CM1098" s="935"/>
      <c r="CN1098" s="935"/>
      <c r="CO1098" s="935"/>
      <c r="CP1098" s="935"/>
      <c r="CQ1098" s="935"/>
      <c r="CR1098" s="935"/>
      <c r="CS1098" s="935"/>
      <c r="CT1098" s="935"/>
      <c r="CU1098" s="935"/>
      <c r="CV1098" s="935"/>
    </row>
    <row r="1099" spans="1:100" s="441" customFormat="1">
      <c r="A1099" s="375">
        <f t="shared" si="308"/>
        <v>10</v>
      </c>
      <c r="B1099" s="862">
        <v>44498</v>
      </c>
      <c r="C1099" s="493" t="s">
        <v>2053</v>
      </c>
      <c r="D1099" s="376" t="str">
        <f>IFERROR(VLOOKUP(E:E,'Item Data Support Sheet'!A:O,7,0),"")</f>
        <v>BOTTLE MOLDED</v>
      </c>
      <c r="E1099" s="447" t="s">
        <v>115</v>
      </c>
      <c r="F1099" s="500" t="s">
        <v>1681</v>
      </c>
      <c r="G1099" s="497" t="s">
        <v>1888</v>
      </c>
      <c r="H1099" s="602" t="str">
        <f>IFERROR(VLOOKUP(E:E,'Item Data Support Sheet'!A:O,2,0),"")</f>
        <v>KPP BOTTLE 240 ML MOULDED-WMG3B</v>
      </c>
      <c r="I1099" s="501" t="s">
        <v>3860</v>
      </c>
      <c r="J1099" s="501" t="s">
        <v>2808</v>
      </c>
      <c r="K1099" s="499">
        <v>8</v>
      </c>
      <c r="L1099" s="499">
        <v>2503</v>
      </c>
      <c r="M1099" s="366">
        <v>312.875</v>
      </c>
      <c r="N1099" s="367">
        <f t="shared" si="307"/>
        <v>1730</v>
      </c>
      <c r="O1099" s="61">
        <v>1620</v>
      </c>
      <c r="P1099" s="368">
        <v>0.32</v>
      </c>
      <c r="Q1099" s="368">
        <v>58</v>
      </c>
      <c r="R1099" s="494">
        <v>0</v>
      </c>
      <c r="S1099" s="493">
        <v>0</v>
      </c>
      <c r="T1099" s="494">
        <v>44</v>
      </c>
      <c r="U1099" s="493">
        <v>8</v>
      </c>
      <c r="V1099" s="502">
        <v>1</v>
      </c>
      <c r="W1099" s="453">
        <f t="shared" si="309"/>
        <v>1620</v>
      </c>
      <c r="X1099" s="748">
        <f t="shared" si="310"/>
        <v>0.6472233320015981</v>
      </c>
      <c r="Y1099" s="451" t="str">
        <f>IFERROR(VLOOKUP(E:E,'Item Data Support Sheet'!A:J,6,0),0)</f>
        <v>WMG3B</v>
      </c>
      <c r="Z1099" s="428">
        <f>IFERROR(VLOOKUP(E:E,'Item Data Support Sheet'!A:O,4,0),0)</f>
        <v>33.1</v>
      </c>
      <c r="AA1099" s="428">
        <f t="shared" si="311"/>
        <v>57.583000000000006</v>
      </c>
      <c r="AB1099" s="429">
        <f t="shared" si="312"/>
        <v>0.93121233697445427</v>
      </c>
      <c r="AC1099" s="424">
        <f t="shared" si="313"/>
        <v>2.6442307692307692E-2</v>
      </c>
      <c r="AD1099" s="371">
        <f t="shared" si="314"/>
        <v>3.2438478747203577E-2</v>
      </c>
      <c r="AE1099" s="748">
        <f t="shared" si="315"/>
        <v>0.97456647398843932</v>
      </c>
      <c r="AF1099" s="417">
        <f t="shared" si="316"/>
        <v>4</v>
      </c>
      <c r="AG1099" s="416">
        <f t="shared" si="317"/>
        <v>4</v>
      </c>
      <c r="AH1099" s="372">
        <f t="shared" si="318"/>
        <v>0.5</v>
      </c>
      <c r="AI1099" s="373">
        <f t="shared" si="319"/>
        <v>202.5</v>
      </c>
      <c r="AJ1099" s="418">
        <f>VLOOKUP(D1099,'Standard Cycle time'!C:D,2,0)</f>
        <v>9</v>
      </c>
      <c r="AK1099" s="418">
        <f t="shared" si="320"/>
        <v>8.8888888888888893</v>
      </c>
      <c r="AL1099" s="374">
        <f t="shared" si="321"/>
        <v>1.0125</v>
      </c>
      <c r="AM1099" s="372">
        <f t="shared" si="322"/>
        <v>0.49337427745664736</v>
      </c>
      <c r="AN1099" s="799">
        <v>0.50209963666852986</v>
      </c>
      <c r="AO1099" s="448" t="s">
        <v>3861</v>
      </c>
      <c r="AP1099" s="440">
        <v>0</v>
      </c>
      <c r="AQ1099" s="440">
        <v>0</v>
      </c>
      <c r="AR1099" s="440">
        <v>50</v>
      </c>
      <c r="AS1099" s="440">
        <v>0</v>
      </c>
      <c r="AT1099" s="440">
        <v>0</v>
      </c>
      <c r="AU1099" s="440">
        <v>0</v>
      </c>
      <c r="AV1099" s="440">
        <v>70</v>
      </c>
      <c r="AW1099" s="440">
        <v>30</v>
      </c>
      <c r="AX1099" s="440">
        <v>0</v>
      </c>
      <c r="AY1099" s="440">
        <v>0</v>
      </c>
      <c r="AZ1099" s="440">
        <v>0</v>
      </c>
      <c r="BA1099" s="440">
        <v>0</v>
      </c>
      <c r="BB1099" s="440">
        <v>0</v>
      </c>
      <c r="BC1099" s="440">
        <v>0</v>
      </c>
      <c r="BD1099" s="440">
        <v>0</v>
      </c>
      <c r="BE1099" s="440">
        <v>0</v>
      </c>
      <c r="BF1099" s="440">
        <v>0</v>
      </c>
      <c r="BG1099" s="440">
        <v>0</v>
      </c>
      <c r="BH1099" s="440">
        <v>0</v>
      </c>
      <c r="BI1099" s="440">
        <v>0</v>
      </c>
      <c r="BJ1099" s="440">
        <v>0</v>
      </c>
      <c r="BK1099" s="440">
        <v>90</v>
      </c>
      <c r="BL1099" s="440">
        <v>0</v>
      </c>
      <c r="BM1099" s="440">
        <v>0</v>
      </c>
      <c r="BN1099" s="440">
        <v>0</v>
      </c>
      <c r="BO1099" s="440">
        <v>0</v>
      </c>
      <c r="BP1099" s="440">
        <v>0</v>
      </c>
      <c r="BQ1099" s="440">
        <v>0</v>
      </c>
      <c r="BR1099" s="415">
        <v>4</v>
      </c>
      <c r="BS1099" s="415">
        <v>4</v>
      </c>
      <c r="BT1099" s="935"/>
      <c r="BU1099" s="935"/>
      <c r="BV1099" s="935"/>
      <c r="BW1099" s="935"/>
      <c r="BX1099" s="935"/>
      <c r="BY1099" s="935"/>
      <c r="BZ1099" s="935"/>
      <c r="CA1099" s="935"/>
      <c r="CB1099" s="935"/>
      <c r="CC1099" s="935"/>
      <c r="CD1099" s="935"/>
      <c r="CE1099" s="935"/>
      <c r="CF1099" s="935"/>
      <c r="CG1099" s="935"/>
      <c r="CH1099" s="935"/>
      <c r="CI1099" s="935"/>
      <c r="CJ1099" s="935"/>
      <c r="CK1099" s="935"/>
      <c r="CL1099" s="935"/>
      <c r="CM1099" s="935"/>
      <c r="CN1099" s="935"/>
      <c r="CO1099" s="935"/>
      <c r="CP1099" s="935"/>
      <c r="CQ1099" s="935"/>
      <c r="CR1099" s="935"/>
      <c r="CS1099" s="935"/>
      <c r="CT1099" s="935"/>
      <c r="CU1099" s="935"/>
      <c r="CV1099" s="935"/>
    </row>
    <row r="1100" spans="1:100" s="441" customFormat="1">
      <c r="A1100" s="375">
        <f t="shared" si="308"/>
        <v>10</v>
      </c>
      <c r="B1100" s="862">
        <v>44498</v>
      </c>
      <c r="C1100" s="493" t="s">
        <v>2053</v>
      </c>
      <c r="D1100" s="376" t="str">
        <f>IFERROR(VLOOKUP(E:E,'Item Data Support Sheet'!A:O,7,0),"")</f>
        <v>HOOD MOLDED</v>
      </c>
      <c r="E1100" s="447" t="s">
        <v>1987</v>
      </c>
      <c r="F1100" s="500"/>
      <c r="G1100" s="497" t="s">
        <v>2729</v>
      </c>
      <c r="H1100" s="602" t="str">
        <f>IFERROR(VLOOKUP(E:E,'Item Data Support Sheet'!A:O,2,0),"")</f>
        <v>HOOD S TYPE MOLDED</v>
      </c>
      <c r="I1100" s="501" t="s">
        <v>3862</v>
      </c>
      <c r="J1100" s="501" t="s">
        <v>2808</v>
      </c>
      <c r="K1100" s="499">
        <v>8</v>
      </c>
      <c r="L1100" s="499">
        <v>4137</v>
      </c>
      <c r="M1100" s="366">
        <v>517.125</v>
      </c>
      <c r="N1100" s="367">
        <f t="shared" si="307"/>
        <v>5118</v>
      </c>
      <c r="O1100" s="61">
        <v>5100</v>
      </c>
      <c r="P1100" s="368">
        <v>0</v>
      </c>
      <c r="Q1100" s="368">
        <v>0</v>
      </c>
      <c r="R1100" s="494">
        <v>0</v>
      </c>
      <c r="S1100" s="493">
        <v>0</v>
      </c>
      <c r="T1100" s="494">
        <v>10</v>
      </c>
      <c r="U1100" s="493">
        <v>8</v>
      </c>
      <c r="V1100" s="502">
        <v>1</v>
      </c>
      <c r="W1100" s="453">
        <f t="shared" si="309"/>
        <v>5100</v>
      </c>
      <c r="X1100" s="748">
        <f t="shared" si="310"/>
        <v>1.2327773749093547</v>
      </c>
      <c r="Y1100" s="451" t="str">
        <f>IFERROR(VLOOKUP(E:E,'Item Data Support Sheet'!A:J,6,0),0)</f>
        <v>HMC</v>
      </c>
      <c r="Z1100" s="428">
        <f>IFERROR(VLOOKUP(E:E,'Item Data Support Sheet'!A:O,4,0),0)</f>
        <v>8.6</v>
      </c>
      <c r="AA1100" s="428">
        <f t="shared" si="311"/>
        <v>44.014800000000001</v>
      </c>
      <c r="AB1100" s="429">
        <f t="shared" si="312"/>
        <v>0.99648300117233291</v>
      </c>
      <c r="AC1100" s="424">
        <f t="shared" si="313"/>
        <v>1.9569471624266144E-3</v>
      </c>
      <c r="AD1100" s="371">
        <f t="shared" si="314"/>
        <v>0</v>
      </c>
      <c r="AE1100" s="748">
        <f t="shared" si="315"/>
        <v>0.99804611176240721</v>
      </c>
      <c r="AF1100" s="417">
        <f t="shared" si="316"/>
        <v>0</v>
      </c>
      <c r="AG1100" s="416">
        <f t="shared" si="317"/>
        <v>8</v>
      </c>
      <c r="AH1100" s="372">
        <f t="shared" si="318"/>
        <v>1</v>
      </c>
      <c r="AI1100" s="373">
        <f t="shared" si="319"/>
        <v>637.5</v>
      </c>
      <c r="AJ1100" s="418">
        <f>VLOOKUP(D1100,'Standard Cycle time'!C:D,2,0)</f>
        <v>6</v>
      </c>
      <c r="AK1100" s="418">
        <f t="shared" si="320"/>
        <v>5.6470588235294121</v>
      </c>
      <c r="AL1100" s="374">
        <f t="shared" si="321"/>
        <v>1.0625</v>
      </c>
      <c r="AM1100" s="372">
        <f t="shared" si="322"/>
        <v>1.0604239937475577</v>
      </c>
      <c r="AN1100" s="799">
        <v>1.0563583815028901</v>
      </c>
      <c r="AO1100" s="448"/>
      <c r="AP1100" s="440">
        <v>0</v>
      </c>
      <c r="AQ1100" s="440">
        <v>0</v>
      </c>
      <c r="AR1100" s="440">
        <v>0</v>
      </c>
      <c r="AS1100" s="440">
        <v>0</v>
      </c>
      <c r="AT1100" s="440">
        <v>0</v>
      </c>
      <c r="AU1100" s="440">
        <v>0</v>
      </c>
      <c r="AV1100" s="440">
        <v>0</v>
      </c>
      <c r="AW1100" s="440">
        <v>0</v>
      </c>
      <c r="AX1100" s="440">
        <v>0</v>
      </c>
      <c r="AY1100" s="440">
        <v>0</v>
      </c>
      <c r="AZ1100" s="440">
        <v>0</v>
      </c>
      <c r="BA1100" s="440">
        <v>0</v>
      </c>
      <c r="BB1100" s="440">
        <v>0</v>
      </c>
      <c r="BC1100" s="440">
        <v>0</v>
      </c>
      <c r="BD1100" s="440">
        <v>0</v>
      </c>
      <c r="BE1100" s="440">
        <v>0</v>
      </c>
      <c r="BF1100" s="440">
        <v>0</v>
      </c>
      <c r="BG1100" s="440">
        <v>0</v>
      </c>
      <c r="BH1100" s="440">
        <v>0</v>
      </c>
      <c r="BI1100" s="440">
        <v>0</v>
      </c>
      <c r="BJ1100" s="440">
        <v>0</v>
      </c>
      <c r="BK1100" s="440">
        <v>0</v>
      </c>
      <c r="BL1100" s="440">
        <v>0</v>
      </c>
      <c r="BM1100" s="440">
        <v>0</v>
      </c>
      <c r="BN1100" s="440">
        <v>0</v>
      </c>
      <c r="BO1100" s="440">
        <v>0</v>
      </c>
      <c r="BP1100" s="440">
        <v>0</v>
      </c>
      <c r="BQ1100" s="440">
        <v>0</v>
      </c>
      <c r="BR1100" s="415">
        <v>0</v>
      </c>
      <c r="BS1100" s="415">
        <v>0</v>
      </c>
      <c r="BT1100" s="935"/>
      <c r="BU1100" s="935"/>
      <c r="BV1100" s="935"/>
      <c r="BW1100" s="935"/>
      <c r="BX1100" s="935"/>
      <c r="BY1100" s="935"/>
      <c r="BZ1100" s="935"/>
      <c r="CA1100" s="935"/>
      <c r="CB1100" s="935"/>
      <c r="CC1100" s="935"/>
      <c r="CD1100" s="935"/>
      <c r="CE1100" s="935"/>
      <c r="CF1100" s="935"/>
      <c r="CG1100" s="935"/>
      <c r="CH1100" s="935"/>
      <c r="CI1100" s="935"/>
      <c r="CJ1100" s="935"/>
      <c r="CK1100" s="935"/>
      <c r="CL1100" s="935"/>
      <c r="CM1100" s="935"/>
      <c r="CN1100" s="935"/>
      <c r="CO1100" s="935"/>
      <c r="CP1100" s="935"/>
      <c r="CQ1100" s="935"/>
      <c r="CR1100" s="935"/>
      <c r="CS1100" s="935"/>
      <c r="CT1100" s="935"/>
      <c r="CU1100" s="935"/>
      <c r="CV1100" s="935"/>
    </row>
    <row r="1101" spans="1:100" s="441" customFormat="1">
      <c r="A1101" s="375">
        <f t="shared" si="308"/>
        <v>10</v>
      </c>
      <c r="B1101" s="862">
        <v>44498</v>
      </c>
      <c r="C1101" s="493" t="s">
        <v>2053</v>
      </c>
      <c r="D1101" s="376" t="str">
        <f>IFERROR(VLOOKUP(E:E,'Item Data Support Sheet'!A:O,7,0),"")</f>
        <v>NIPPLE MOLDED</v>
      </c>
      <c r="E1101" s="447" t="s">
        <v>72</v>
      </c>
      <c r="F1101" s="500" t="s">
        <v>1678</v>
      </c>
      <c r="G1101" s="497" t="s">
        <v>1691</v>
      </c>
      <c r="H1101" s="602" t="str">
        <f>IFERROR(VLOOKUP(E:E,'Item Data Support Sheet'!A:O,2,0),"")</f>
        <v>NIPPLE S TYPE S SIZE INJECTION</v>
      </c>
      <c r="I1101" s="501" t="s">
        <v>3863</v>
      </c>
      <c r="J1101" s="501" t="s">
        <v>2808</v>
      </c>
      <c r="K1101" s="499">
        <v>8</v>
      </c>
      <c r="L1101" s="499">
        <v>4815</v>
      </c>
      <c r="M1101" s="366">
        <v>601.875</v>
      </c>
      <c r="N1101" s="367">
        <f t="shared" si="307"/>
        <v>5463</v>
      </c>
      <c r="O1101" s="61">
        <v>5400</v>
      </c>
      <c r="P1101" s="368">
        <v>0</v>
      </c>
      <c r="Q1101" s="368">
        <v>0</v>
      </c>
      <c r="R1101" s="494">
        <v>0</v>
      </c>
      <c r="S1101" s="493">
        <v>0</v>
      </c>
      <c r="T1101" s="494">
        <v>55</v>
      </c>
      <c r="U1101" s="493">
        <v>8</v>
      </c>
      <c r="V1101" s="502">
        <v>1</v>
      </c>
      <c r="W1101" s="453">
        <f t="shared" si="309"/>
        <v>5400</v>
      </c>
      <c r="X1101" s="748">
        <f t="shared" si="310"/>
        <v>1.1214953271028036</v>
      </c>
      <c r="Y1101" s="451" t="str">
        <f>IFERROR(VLOOKUP(E:E,'Item Data Support Sheet'!A:J,6,0),0)</f>
        <v>Silicon</v>
      </c>
      <c r="Z1101" s="428">
        <f>IFERROR(VLOOKUP(E:E,'Item Data Support Sheet'!A:O,4,0),0)</f>
        <v>6.8</v>
      </c>
      <c r="AA1101" s="428">
        <f t="shared" si="311"/>
        <v>37.148399999999995</v>
      </c>
      <c r="AB1101" s="429">
        <f t="shared" si="312"/>
        <v>0.98846787479406928</v>
      </c>
      <c r="AC1101" s="424">
        <f t="shared" si="313"/>
        <v>1.0082493125572869E-2</v>
      </c>
      <c r="AD1101" s="371">
        <f t="shared" si="314"/>
        <v>0</v>
      </c>
      <c r="AE1101" s="748">
        <f t="shared" si="315"/>
        <v>0.98993227164561592</v>
      </c>
      <c r="AF1101" s="417">
        <f t="shared" si="316"/>
        <v>0</v>
      </c>
      <c r="AG1101" s="416">
        <f t="shared" si="317"/>
        <v>8</v>
      </c>
      <c r="AH1101" s="372">
        <f t="shared" si="318"/>
        <v>1</v>
      </c>
      <c r="AI1101" s="373">
        <f t="shared" si="319"/>
        <v>675</v>
      </c>
      <c r="AJ1101" s="418">
        <f>VLOOKUP(D1101,'Standard Cycle time'!C:D,2,0)</f>
        <v>5.25</v>
      </c>
      <c r="AK1101" s="418">
        <f t="shared" si="320"/>
        <v>5.333333333333333</v>
      </c>
      <c r="AL1101" s="374">
        <f t="shared" si="321"/>
        <v>0.984375</v>
      </c>
      <c r="AM1101" s="372">
        <f t="shared" si="322"/>
        <v>0.97446457990115321</v>
      </c>
      <c r="AN1101" s="799">
        <v>0.9737965269636577</v>
      </c>
      <c r="AO1101" s="448"/>
      <c r="AP1101" s="440">
        <v>0</v>
      </c>
      <c r="AQ1101" s="440">
        <v>0</v>
      </c>
      <c r="AR1101" s="440">
        <v>0</v>
      </c>
      <c r="AS1101" s="440">
        <v>0</v>
      </c>
      <c r="AT1101" s="440">
        <v>0</v>
      </c>
      <c r="AU1101" s="440">
        <v>0</v>
      </c>
      <c r="AV1101" s="440">
        <v>0</v>
      </c>
      <c r="AW1101" s="440">
        <v>0</v>
      </c>
      <c r="AX1101" s="440">
        <v>0</v>
      </c>
      <c r="AY1101" s="440">
        <v>0</v>
      </c>
      <c r="AZ1101" s="440">
        <v>0</v>
      </c>
      <c r="BA1101" s="440">
        <v>0</v>
      </c>
      <c r="BB1101" s="440">
        <v>0</v>
      </c>
      <c r="BC1101" s="440">
        <v>0</v>
      </c>
      <c r="BD1101" s="440">
        <v>0</v>
      </c>
      <c r="BE1101" s="440">
        <v>0</v>
      </c>
      <c r="BF1101" s="440">
        <v>0</v>
      </c>
      <c r="BG1101" s="440">
        <v>0</v>
      </c>
      <c r="BH1101" s="440">
        <v>0</v>
      </c>
      <c r="BI1101" s="440">
        <v>0</v>
      </c>
      <c r="BJ1101" s="440">
        <v>0</v>
      </c>
      <c r="BK1101" s="440">
        <v>0</v>
      </c>
      <c r="BL1101" s="440">
        <v>0</v>
      </c>
      <c r="BM1101" s="440">
        <v>0</v>
      </c>
      <c r="BN1101" s="440">
        <v>0</v>
      </c>
      <c r="BO1101" s="440">
        <v>0</v>
      </c>
      <c r="BP1101" s="440">
        <v>0</v>
      </c>
      <c r="BQ1101" s="440">
        <v>0</v>
      </c>
      <c r="BR1101" s="415">
        <v>0</v>
      </c>
      <c r="BS1101" s="415">
        <v>0</v>
      </c>
      <c r="BT1101" s="935"/>
      <c r="BU1101" s="935"/>
      <c r="BV1101" s="935"/>
      <c r="BW1101" s="935"/>
      <c r="BX1101" s="935"/>
      <c r="BY1101" s="935"/>
      <c r="BZ1101" s="935"/>
      <c r="CA1101" s="935"/>
      <c r="CB1101" s="935"/>
      <c r="CC1101" s="935"/>
      <c r="CD1101" s="935"/>
      <c r="CE1101" s="935"/>
      <c r="CF1101" s="935"/>
      <c r="CG1101" s="935"/>
      <c r="CH1101" s="935"/>
      <c r="CI1101" s="935"/>
      <c r="CJ1101" s="935"/>
      <c r="CK1101" s="935"/>
      <c r="CL1101" s="935"/>
      <c r="CM1101" s="935"/>
      <c r="CN1101" s="935"/>
      <c r="CO1101" s="935"/>
      <c r="CP1101" s="935"/>
      <c r="CQ1101" s="935"/>
      <c r="CR1101" s="935"/>
      <c r="CS1101" s="935"/>
      <c r="CT1101" s="935"/>
      <c r="CU1101" s="935"/>
      <c r="CV1101" s="935"/>
    </row>
    <row r="1102" spans="1:100" s="441" customFormat="1">
      <c r="A1102" s="375">
        <f t="shared" si="308"/>
        <v>10</v>
      </c>
      <c r="B1102" s="862">
        <v>44499</v>
      </c>
      <c r="C1102" s="493" t="s">
        <v>1980</v>
      </c>
      <c r="D1102" s="376" t="str">
        <f>IFERROR(VLOOKUP(E:E,'Item Data Support Sheet'!A:O,7,0),"")</f>
        <v>BOTTLE MOLDED</v>
      </c>
      <c r="E1102" s="447" t="s">
        <v>115</v>
      </c>
      <c r="F1102" s="500" t="s">
        <v>1681</v>
      </c>
      <c r="G1102" s="497" t="s">
        <v>1888</v>
      </c>
      <c r="H1102" s="602" t="str">
        <f>IFERROR(VLOOKUP(E:E,'Item Data Support Sheet'!A:O,2,0),"")</f>
        <v>KPP BOTTLE 240 ML MOULDED-WMG3B</v>
      </c>
      <c r="I1102" s="501" t="s">
        <v>3864</v>
      </c>
      <c r="J1102" s="501" t="s">
        <v>2809</v>
      </c>
      <c r="K1102" s="499">
        <v>8</v>
      </c>
      <c r="L1102" s="499">
        <v>2574</v>
      </c>
      <c r="M1102" s="366">
        <v>321.75</v>
      </c>
      <c r="N1102" s="367">
        <f t="shared" si="307"/>
        <v>3166</v>
      </c>
      <c r="O1102" s="61">
        <v>3024</v>
      </c>
      <c r="P1102" s="368">
        <v>0</v>
      </c>
      <c r="Q1102" s="368">
        <v>52</v>
      </c>
      <c r="R1102" s="494">
        <v>0</v>
      </c>
      <c r="S1102" s="493">
        <v>0</v>
      </c>
      <c r="T1102" s="494">
        <v>82</v>
      </c>
      <c r="U1102" s="493">
        <v>8</v>
      </c>
      <c r="V1102" s="502">
        <v>1</v>
      </c>
      <c r="W1102" s="453">
        <f t="shared" si="309"/>
        <v>3024</v>
      </c>
      <c r="X1102" s="748">
        <f t="shared" si="310"/>
        <v>1.1748251748251748</v>
      </c>
      <c r="Y1102" s="451" t="str">
        <f>IFERROR(VLOOKUP(E:E,'Item Data Support Sheet'!A:J,6,0),0)</f>
        <v>WMG3B</v>
      </c>
      <c r="Z1102" s="428">
        <f>IFERROR(VLOOKUP(E:E,'Item Data Support Sheet'!A:O,4,0),0)</f>
        <v>33.1</v>
      </c>
      <c r="AA1102" s="428">
        <f t="shared" si="311"/>
        <v>104.79460000000002</v>
      </c>
      <c r="AB1102" s="429">
        <f t="shared" si="312"/>
        <v>0.95514845230574852</v>
      </c>
      <c r="AC1102" s="424">
        <f t="shared" si="313"/>
        <v>2.6400515132002575E-2</v>
      </c>
      <c r="AD1102" s="371">
        <f t="shared" si="314"/>
        <v>1.6159105034182723E-2</v>
      </c>
      <c r="AE1102" s="748">
        <f t="shared" si="315"/>
        <v>0.97409981048641814</v>
      </c>
      <c r="AF1102" s="417">
        <f t="shared" si="316"/>
        <v>0</v>
      </c>
      <c r="AG1102" s="416">
        <f t="shared" si="317"/>
        <v>8</v>
      </c>
      <c r="AH1102" s="372">
        <f t="shared" si="318"/>
        <v>1</v>
      </c>
      <c r="AI1102" s="373">
        <f t="shared" si="319"/>
        <v>378</v>
      </c>
      <c r="AJ1102" s="418">
        <f>VLOOKUP(D1102,'Standard Cycle time'!C:D,2,0)</f>
        <v>9</v>
      </c>
      <c r="AK1102" s="418">
        <f t="shared" si="320"/>
        <v>9.5238095238095237</v>
      </c>
      <c r="AL1102" s="374">
        <f t="shared" si="321"/>
        <v>0.94500000000000006</v>
      </c>
      <c r="AM1102" s="372">
        <f t="shared" si="322"/>
        <v>0.92052432090966518</v>
      </c>
      <c r="AN1102" s="799">
        <v>0.93081548599670516</v>
      </c>
      <c r="AO1102" s="448"/>
      <c r="AP1102" s="440">
        <v>0</v>
      </c>
      <c r="AQ1102" s="440">
        <v>0</v>
      </c>
      <c r="AR1102" s="440">
        <v>0</v>
      </c>
      <c r="AS1102" s="440">
        <v>0</v>
      </c>
      <c r="AT1102" s="440">
        <v>0</v>
      </c>
      <c r="AU1102" s="440">
        <v>0</v>
      </c>
      <c r="AV1102" s="440">
        <v>0</v>
      </c>
      <c r="AW1102" s="440">
        <v>0</v>
      </c>
      <c r="AX1102" s="440">
        <v>0</v>
      </c>
      <c r="AY1102" s="440">
        <v>0</v>
      </c>
      <c r="AZ1102" s="440">
        <v>0</v>
      </c>
      <c r="BA1102" s="440">
        <v>0</v>
      </c>
      <c r="BB1102" s="440">
        <v>0</v>
      </c>
      <c r="BC1102" s="440">
        <v>0</v>
      </c>
      <c r="BD1102" s="440">
        <v>0</v>
      </c>
      <c r="BE1102" s="440">
        <v>0</v>
      </c>
      <c r="BF1102" s="440">
        <v>0</v>
      </c>
      <c r="BG1102" s="440">
        <v>0</v>
      </c>
      <c r="BH1102" s="440">
        <v>0</v>
      </c>
      <c r="BI1102" s="440">
        <v>0</v>
      </c>
      <c r="BJ1102" s="440">
        <v>0</v>
      </c>
      <c r="BK1102" s="440">
        <v>0</v>
      </c>
      <c r="BL1102" s="440">
        <v>0</v>
      </c>
      <c r="BM1102" s="440">
        <v>0</v>
      </c>
      <c r="BN1102" s="440">
        <v>0</v>
      </c>
      <c r="BO1102" s="440">
        <v>0</v>
      </c>
      <c r="BP1102" s="440">
        <v>0</v>
      </c>
      <c r="BQ1102" s="440">
        <v>0</v>
      </c>
      <c r="BR1102" s="415">
        <v>0</v>
      </c>
      <c r="BS1102" s="415">
        <v>0</v>
      </c>
      <c r="BT1102" s="935"/>
      <c r="BU1102" s="935"/>
      <c r="BV1102" s="935"/>
      <c r="BW1102" s="935"/>
      <c r="BX1102" s="935"/>
      <c r="BY1102" s="935"/>
      <c r="BZ1102" s="935"/>
      <c r="CA1102" s="935"/>
      <c r="CB1102" s="935"/>
      <c r="CC1102" s="935"/>
      <c r="CD1102" s="935"/>
      <c r="CE1102" s="935"/>
      <c r="CF1102" s="935"/>
      <c r="CG1102" s="935"/>
      <c r="CH1102" s="935"/>
      <c r="CI1102" s="935"/>
      <c r="CJ1102" s="935"/>
      <c r="CK1102" s="935"/>
      <c r="CL1102" s="935"/>
      <c r="CM1102" s="935"/>
      <c r="CN1102" s="935"/>
      <c r="CO1102" s="935"/>
      <c r="CP1102" s="935"/>
      <c r="CQ1102" s="935"/>
      <c r="CR1102" s="935"/>
      <c r="CS1102" s="935"/>
      <c r="CT1102" s="935"/>
      <c r="CU1102" s="935"/>
      <c r="CV1102" s="935"/>
    </row>
    <row r="1103" spans="1:100" s="441" customFormat="1">
      <c r="A1103" s="375">
        <f t="shared" si="308"/>
        <v>10</v>
      </c>
      <c r="B1103" s="862">
        <v>44499</v>
      </c>
      <c r="C1103" s="493" t="s">
        <v>1980</v>
      </c>
      <c r="D1103" s="376" t="str">
        <f>IFERROR(VLOOKUP(E:E,'Item Data Support Sheet'!A:O,7,0),"")</f>
        <v>NIPPLE MOLDED</v>
      </c>
      <c r="E1103" s="447" t="s">
        <v>72</v>
      </c>
      <c r="F1103" s="500" t="s">
        <v>1678</v>
      </c>
      <c r="G1103" s="497" t="s">
        <v>1691</v>
      </c>
      <c r="H1103" s="602" t="str">
        <f>IFERROR(VLOOKUP(E:E,'Item Data Support Sheet'!A:O,2,0),"")</f>
        <v>NIPPLE S TYPE S SIZE INJECTION</v>
      </c>
      <c r="I1103" s="501" t="s">
        <v>3865</v>
      </c>
      <c r="J1103" s="501" t="s">
        <v>2809</v>
      </c>
      <c r="K1103" s="499">
        <v>8</v>
      </c>
      <c r="L1103" s="499">
        <v>4815</v>
      </c>
      <c r="M1103" s="366">
        <v>601.875</v>
      </c>
      <c r="N1103" s="367">
        <f t="shared" si="307"/>
        <v>5557</v>
      </c>
      <c r="O1103" s="61">
        <v>5500</v>
      </c>
      <c r="P1103" s="368">
        <v>0</v>
      </c>
      <c r="Q1103" s="368">
        <v>0</v>
      </c>
      <c r="R1103" s="494">
        <v>0</v>
      </c>
      <c r="S1103" s="493">
        <v>0</v>
      </c>
      <c r="T1103" s="494">
        <v>49</v>
      </c>
      <c r="U1103" s="493">
        <v>8</v>
      </c>
      <c r="V1103" s="502">
        <v>1</v>
      </c>
      <c r="W1103" s="453">
        <f t="shared" si="309"/>
        <v>5500</v>
      </c>
      <c r="X1103" s="748">
        <f t="shared" si="310"/>
        <v>1.142263759086189</v>
      </c>
      <c r="Y1103" s="451" t="str">
        <f>IFERROR(VLOOKUP(E:E,'Item Data Support Sheet'!A:J,6,0),0)</f>
        <v>Silicon</v>
      </c>
      <c r="Z1103" s="428">
        <f>IFERROR(VLOOKUP(E:E,'Item Data Support Sheet'!A:O,4,0),0)</f>
        <v>6.8</v>
      </c>
      <c r="AA1103" s="428">
        <f t="shared" si="311"/>
        <v>37.787599999999998</v>
      </c>
      <c r="AB1103" s="429">
        <f t="shared" si="312"/>
        <v>0.98974266690660428</v>
      </c>
      <c r="AC1103" s="424">
        <f t="shared" si="313"/>
        <v>8.8304198954766624E-3</v>
      </c>
      <c r="AD1103" s="371">
        <f t="shared" si="314"/>
        <v>0</v>
      </c>
      <c r="AE1103" s="748">
        <f t="shared" si="315"/>
        <v>0.99118229260392299</v>
      </c>
      <c r="AF1103" s="417">
        <f t="shared" si="316"/>
        <v>0</v>
      </c>
      <c r="AG1103" s="416">
        <f t="shared" si="317"/>
        <v>8</v>
      </c>
      <c r="AH1103" s="372">
        <f t="shared" si="318"/>
        <v>1</v>
      </c>
      <c r="AI1103" s="373">
        <f t="shared" si="319"/>
        <v>687.5</v>
      </c>
      <c r="AJ1103" s="418">
        <f>VLOOKUP(D1103,'Standard Cycle time'!C:D,2,0)</f>
        <v>5.25</v>
      </c>
      <c r="AK1103" s="418">
        <f t="shared" si="320"/>
        <v>5.2363636363636363</v>
      </c>
      <c r="AL1103" s="374">
        <f t="shared" si="321"/>
        <v>1.0026041666666667</v>
      </c>
      <c r="AM1103" s="372">
        <f t="shared" si="322"/>
        <v>0.99376349649091245</v>
      </c>
      <c r="AN1103" s="799">
        <v>0.98708691961465578</v>
      </c>
      <c r="AO1103" s="448"/>
      <c r="AP1103" s="440">
        <v>0</v>
      </c>
      <c r="AQ1103" s="440">
        <v>0</v>
      </c>
      <c r="AR1103" s="440">
        <v>0</v>
      </c>
      <c r="AS1103" s="440">
        <v>0</v>
      </c>
      <c r="AT1103" s="440">
        <v>0</v>
      </c>
      <c r="AU1103" s="440">
        <v>0</v>
      </c>
      <c r="AV1103" s="440">
        <v>0</v>
      </c>
      <c r="AW1103" s="440">
        <v>0</v>
      </c>
      <c r="AX1103" s="440">
        <v>0</v>
      </c>
      <c r="AY1103" s="440">
        <v>0</v>
      </c>
      <c r="AZ1103" s="440">
        <v>0</v>
      </c>
      <c r="BA1103" s="440">
        <v>0</v>
      </c>
      <c r="BB1103" s="440">
        <v>0</v>
      </c>
      <c r="BC1103" s="440">
        <v>0</v>
      </c>
      <c r="BD1103" s="440">
        <v>0</v>
      </c>
      <c r="BE1103" s="440">
        <v>0</v>
      </c>
      <c r="BF1103" s="440">
        <v>0</v>
      </c>
      <c r="BG1103" s="440">
        <v>0</v>
      </c>
      <c r="BH1103" s="440">
        <v>0</v>
      </c>
      <c r="BI1103" s="440">
        <v>0</v>
      </c>
      <c r="BJ1103" s="440">
        <v>0</v>
      </c>
      <c r="BK1103" s="440">
        <v>0</v>
      </c>
      <c r="BL1103" s="440">
        <v>0</v>
      </c>
      <c r="BM1103" s="440">
        <v>0</v>
      </c>
      <c r="BN1103" s="440">
        <v>0</v>
      </c>
      <c r="BO1103" s="440">
        <v>0</v>
      </c>
      <c r="BP1103" s="440">
        <v>0</v>
      </c>
      <c r="BQ1103" s="440">
        <v>0</v>
      </c>
      <c r="BR1103" s="415">
        <v>0</v>
      </c>
      <c r="BS1103" s="415">
        <v>0</v>
      </c>
      <c r="BT1103" s="935"/>
      <c r="BU1103" s="935"/>
      <c r="BV1103" s="935"/>
      <c r="BW1103" s="935"/>
      <c r="BX1103" s="935"/>
      <c r="BY1103" s="935"/>
      <c r="BZ1103" s="935"/>
      <c r="CA1103" s="935"/>
      <c r="CB1103" s="935"/>
      <c r="CC1103" s="935"/>
      <c r="CD1103" s="935"/>
      <c r="CE1103" s="935"/>
      <c r="CF1103" s="935"/>
      <c r="CG1103" s="935"/>
      <c r="CH1103" s="935"/>
      <c r="CI1103" s="935"/>
      <c r="CJ1103" s="935"/>
      <c r="CK1103" s="935"/>
      <c r="CL1103" s="935"/>
      <c r="CM1103" s="935"/>
      <c r="CN1103" s="935"/>
      <c r="CO1103" s="935"/>
      <c r="CP1103" s="935"/>
      <c r="CQ1103" s="935"/>
      <c r="CR1103" s="935"/>
      <c r="CS1103" s="935"/>
      <c r="CT1103" s="935"/>
      <c r="CU1103" s="935"/>
      <c r="CV1103" s="935"/>
    </row>
    <row r="1104" spans="1:100" s="441" customFormat="1">
      <c r="A1104" s="375">
        <f t="shared" si="308"/>
        <v>10</v>
      </c>
      <c r="B1104" s="862">
        <v>44499</v>
      </c>
      <c r="C1104" s="493" t="s">
        <v>1980</v>
      </c>
      <c r="D1104" s="376" t="str">
        <f>IFERROR(VLOOKUP(E:E,'Item Data Support Sheet'!A:O,7,0),"")</f>
        <v>HOOD MOLDED</v>
      </c>
      <c r="E1104" s="447" t="s">
        <v>1987</v>
      </c>
      <c r="F1104" s="500"/>
      <c r="G1104" s="497" t="s">
        <v>2729</v>
      </c>
      <c r="H1104" s="602" t="str">
        <f>IFERROR(VLOOKUP(E:E,'Item Data Support Sheet'!A:O,2,0),"")</f>
        <v>HOOD S TYPE MOLDED</v>
      </c>
      <c r="I1104" s="501" t="s">
        <v>3866</v>
      </c>
      <c r="J1104" s="501" t="s">
        <v>2809</v>
      </c>
      <c r="K1104" s="499">
        <v>8</v>
      </c>
      <c r="L1104" s="499">
        <v>4137</v>
      </c>
      <c r="M1104" s="366">
        <v>517.125</v>
      </c>
      <c r="N1104" s="367">
        <f t="shared" si="307"/>
        <v>5012</v>
      </c>
      <c r="O1104" s="61">
        <v>5000</v>
      </c>
      <c r="P1104" s="368">
        <v>0</v>
      </c>
      <c r="Q1104" s="368">
        <v>0</v>
      </c>
      <c r="R1104" s="494">
        <v>0</v>
      </c>
      <c r="S1104" s="493">
        <v>0</v>
      </c>
      <c r="T1104" s="494">
        <v>4</v>
      </c>
      <c r="U1104" s="493">
        <v>8</v>
      </c>
      <c r="V1104" s="502">
        <v>1</v>
      </c>
      <c r="W1104" s="453">
        <f t="shared" si="309"/>
        <v>5000</v>
      </c>
      <c r="X1104" s="748">
        <f t="shared" si="310"/>
        <v>1.2086052695189751</v>
      </c>
      <c r="Y1104" s="451" t="str">
        <f>IFERROR(VLOOKUP(E:E,'Item Data Support Sheet'!A:J,6,0),0)</f>
        <v>HMC</v>
      </c>
      <c r="Z1104" s="428">
        <f>IFERROR(VLOOKUP(E:E,'Item Data Support Sheet'!A:O,4,0),0)</f>
        <v>8.6</v>
      </c>
      <c r="AA1104" s="428">
        <f t="shared" si="311"/>
        <v>43.103200000000001</v>
      </c>
      <c r="AB1104" s="429">
        <f t="shared" si="312"/>
        <v>0.99760574620909814</v>
      </c>
      <c r="AC1104" s="424">
        <f t="shared" si="313"/>
        <v>7.993605115907274E-4</v>
      </c>
      <c r="AD1104" s="371">
        <f t="shared" si="314"/>
        <v>0</v>
      </c>
      <c r="AE1104" s="748">
        <f t="shared" si="315"/>
        <v>0.99920191540303271</v>
      </c>
      <c r="AF1104" s="417">
        <f t="shared" si="316"/>
        <v>0</v>
      </c>
      <c r="AG1104" s="416">
        <f t="shared" si="317"/>
        <v>8</v>
      </c>
      <c r="AH1104" s="372">
        <f t="shared" si="318"/>
        <v>1</v>
      </c>
      <c r="AI1104" s="373">
        <f t="shared" si="319"/>
        <v>625</v>
      </c>
      <c r="AJ1104" s="418">
        <f>VLOOKUP(D1104,'Standard Cycle time'!C:D,2,0)</f>
        <v>6</v>
      </c>
      <c r="AK1104" s="418">
        <f t="shared" si="320"/>
        <v>5.76</v>
      </c>
      <c r="AL1104" s="374">
        <f t="shared" si="321"/>
        <v>1.0416666666666667</v>
      </c>
      <c r="AM1104" s="372">
        <f t="shared" si="322"/>
        <v>1.0408353285448257</v>
      </c>
      <c r="AN1104" s="799">
        <v>1.0409168616159801</v>
      </c>
      <c r="AO1104" s="448"/>
      <c r="AP1104" s="440">
        <v>0</v>
      </c>
      <c r="AQ1104" s="440">
        <v>0</v>
      </c>
      <c r="AR1104" s="440">
        <v>0</v>
      </c>
      <c r="AS1104" s="440">
        <v>0</v>
      </c>
      <c r="AT1104" s="440">
        <v>0</v>
      </c>
      <c r="AU1104" s="440">
        <v>0</v>
      </c>
      <c r="AV1104" s="440">
        <v>0</v>
      </c>
      <c r="AW1104" s="440">
        <v>0</v>
      </c>
      <c r="AX1104" s="440">
        <v>0</v>
      </c>
      <c r="AY1104" s="440">
        <v>0</v>
      </c>
      <c r="AZ1104" s="440">
        <v>0</v>
      </c>
      <c r="BA1104" s="440">
        <v>0</v>
      </c>
      <c r="BB1104" s="440">
        <v>0</v>
      </c>
      <c r="BC1104" s="440">
        <v>0</v>
      </c>
      <c r="BD1104" s="440">
        <v>0</v>
      </c>
      <c r="BE1104" s="440">
        <v>0</v>
      </c>
      <c r="BF1104" s="440">
        <v>0</v>
      </c>
      <c r="BG1104" s="440">
        <v>0</v>
      </c>
      <c r="BH1104" s="440">
        <v>0</v>
      </c>
      <c r="BI1104" s="440">
        <v>0</v>
      </c>
      <c r="BJ1104" s="440">
        <v>0</v>
      </c>
      <c r="BK1104" s="440">
        <v>0</v>
      </c>
      <c r="BL1104" s="440">
        <v>0</v>
      </c>
      <c r="BM1104" s="440">
        <v>0</v>
      </c>
      <c r="BN1104" s="440">
        <v>0</v>
      </c>
      <c r="BO1104" s="440">
        <v>0</v>
      </c>
      <c r="BP1104" s="440">
        <v>0</v>
      </c>
      <c r="BQ1104" s="440">
        <v>0</v>
      </c>
      <c r="BR1104" s="415">
        <v>0</v>
      </c>
      <c r="BS1104" s="415">
        <v>0</v>
      </c>
      <c r="BT1104" s="935"/>
      <c r="BU1104" s="935"/>
      <c r="BV1104" s="935"/>
      <c r="BW1104" s="935"/>
      <c r="BX1104" s="935"/>
      <c r="BY1104" s="935"/>
      <c r="BZ1104" s="935"/>
      <c r="CA1104" s="935"/>
      <c r="CB1104" s="935"/>
      <c r="CC1104" s="935"/>
      <c r="CD1104" s="935"/>
      <c r="CE1104" s="935"/>
      <c r="CF1104" s="935"/>
      <c r="CG1104" s="935"/>
      <c r="CH1104" s="935"/>
      <c r="CI1104" s="935"/>
      <c r="CJ1104" s="935"/>
      <c r="CK1104" s="935"/>
      <c r="CL1104" s="935"/>
      <c r="CM1104" s="935"/>
      <c r="CN1104" s="935"/>
      <c r="CO1104" s="935"/>
      <c r="CP1104" s="935"/>
      <c r="CQ1104" s="935"/>
      <c r="CR1104" s="935"/>
      <c r="CS1104" s="935"/>
      <c r="CT1104" s="935"/>
      <c r="CU1104" s="935"/>
      <c r="CV1104" s="935"/>
    </row>
    <row r="1105" spans="1:104" s="441" customFormat="1">
      <c r="A1105" s="375">
        <f t="shared" si="308"/>
        <v>10</v>
      </c>
      <c r="B1105" s="862">
        <v>44499</v>
      </c>
      <c r="C1105" s="493" t="s">
        <v>1980</v>
      </c>
      <c r="D1105" s="376" t="str">
        <f>IFERROR(VLOOKUP(E:E,'Item Data Support Sheet'!A:O,7,0),"")</f>
        <v>NIPPLE PUNCH</v>
      </c>
      <c r="E1105" s="447" t="s">
        <v>80</v>
      </c>
      <c r="F1105" s="500"/>
      <c r="G1105" s="497" t="s">
        <v>1692</v>
      </c>
      <c r="H1105" s="602" t="str">
        <f>IFERROR(VLOOKUP(E:E,'Item Data Support Sheet'!A:O,2,0),"")</f>
        <v>NIPPLE S TYPE S SIZE PUNCHED</v>
      </c>
      <c r="I1105" s="501" t="s">
        <v>3867</v>
      </c>
      <c r="J1105" s="501" t="s">
        <v>2811</v>
      </c>
      <c r="K1105" s="499">
        <v>8</v>
      </c>
      <c r="L1105" s="499">
        <v>7000</v>
      </c>
      <c r="M1105" s="366">
        <v>875</v>
      </c>
      <c r="N1105" s="367">
        <f t="shared" si="307"/>
        <v>7000</v>
      </c>
      <c r="O1105" s="61">
        <v>7000</v>
      </c>
      <c r="P1105" s="368">
        <v>0</v>
      </c>
      <c r="Q1105" s="368">
        <v>0</v>
      </c>
      <c r="R1105" s="494">
        <v>0</v>
      </c>
      <c r="S1105" s="493">
        <v>0</v>
      </c>
      <c r="T1105" s="494">
        <v>0</v>
      </c>
      <c r="U1105" s="493">
        <v>0</v>
      </c>
      <c r="V1105" s="502">
        <v>1</v>
      </c>
      <c r="W1105" s="453">
        <f t="shared" si="309"/>
        <v>7000</v>
      </c>
      <c r="X1105" s="748">
        <f t="shared" si="310"/>
        <v>1</v>
      </c>
      <c r="Y1105" s="451" t="str">
        <f>IFERROR(VLOOKUP(E:E,'Item Data Support Sheet'!A:J,6,0),0)</f>
        <v>FO015</v>
      </c>
      <c r="Z1105" s="428">
        <f>IFERROR(VLOOKUP(E:E,'Item Data Support Sheet'!A:O,4,0),0)</f>
        <v>0</v>
      </c>
      <c r="AA1105" s="428">
        <f t="shared" si="311"/>
        <v>0</v>
      </c>
      <c r="AB1105" s="429" t="str">
        <f t="shared" si="312"/>
        <v xml:space="preserve"> </v>
      </c>
      <c r="AC1105" s="424">
        <f t="shared" si="313"/>
        <v>0</v>
      </c>
      <c r="AD1105" s="371">
        <f t="shared" si="314"/>
        <v>0</v>
      </c>
      <c r="AE1105" s="748">
        <f t="shared" si="315"/>
        <v>1</v>
      </c>
      <c r="AF1105" s="417">
        <f t="shared" si="316"/>
        <v>0.66666666666666663</v>
      </c>
      <c r="AG1105" s="416">
        <f t="shared" si="317"/>
        <v>7.333333333333333</v>
      </c>
      <c r="AH1105" s="372">
        <f t="shared" si="318"/>
        <v>0.91666666666666663</v>
      </c>
      <c r="AI1105" s="373">
        <f t="shared" si="319"/>
        <v>875</v>
      </c>
      <c r="AJ1105" s="418">
        <f>VLOOKUP(D1105,'Standard Cycle time'!C:D,2,0)</f>
        <v>3.5</v>
      </c>
      <c r="AK1105" s="418">
        <f t="shared" si="320"/>
        <v>3.7714285714285714</v>
      </c>
      <c r="AL1105" s="374">
        <f t="shared" si="321"/>
        <v>0.92803030303030309</v>
      </c>
      <c r="AM1105" s="372">
        <f t="shared" si="322"/>
        <v>0.85069444444444442</v>
      </c>
      <c r="AN1105" s="799">
        <v>0.85069444444444442</v>
      </c>
      <c r="AO1105" s="448"/>
      <c r="AP1105" s="440">
        <v>40</v>
      </c>
      <c r="AQ1105" s="440">
        <v>0</v>
      </c>
      <c r="AR1105" s="440">
        <v>0</v>
      </c>
      <c r="AS1105" s="440">
        <v>0</v>
      </c>
      <c r="AT1105" s="440">
        <v>0</v>
      </c>
      <c r="AU1105" s="440">
        <v>0</v>
      </c>
      <c r="AV1105" s="440">
        <v>0</v>
      </c>
      <c r="AW1105" s="440">
        <v>0</v>
      </c>
      <c r="AX1105" s="440">
        <v>0</v>
      </c>
      <c r="AY1105" s="440">
        <v>0</v>
      </c>
      <c r="AZ1105" s="440">
        <v>0</v>
      </c>
      <c r="BA1105" s="440">
        <v>0</v>
      </c>
      <c r="BB1105" s="440">
        <v>0</v>
      </c>
      <c r="BC1105" s="440">
        <v>0</v>
      </c>
      <c r="BD1105" s="440">
        <v>0</v>
      </c>
      <c r="BE1105" s="440">
        <v>0</v>
      </c>
      <c r="BF1105" s="440">
        <v>0</v>
      </c>
      <c r="BG1105" s="440">
        <v>0</v>
      </c>
      <c r="BH1105" s="440">
        <v>0</v>
      </c>
      <c r="BI1105" s="440">
        <v>0</v>
      </c>
      <c r="BJ1105" s="440">
        <v>0</v>
      </c>
      <c r="BK1105" s="440">
        <v>0</v>
      </c>
      <c r="BL1105" s="440">
        <v>0</v>
      </c>
      <c r="BM1105" s="440">
        <v>0</v>
      </c>
      <c r="BN1105" s="440">
        <v>0</v>
      </c>
      <c r="BO1105" s="440">
        <v>0</v>
      </c>
      <c r="BP1105" s="440">
        <v>0</v>
      </c>
      <c r="BQ1105" s="440">
        <v>0</v>
      </c>
      <c r="BR1105" s="415">
        <v>0.66666666666666663</v>
      </c>
      <c r="BS1105" s="415">
        <v>0.66666666666666663</v>
      </c>
      <c r="BT1105" s="935"/>
      <c r="BU1105" s="935"/>
      <c r="BV1105" s="935"/>
      <c r="BW1105" s="935"/>
      <c r="BX1105" s="935"/>
      <c r="BY1105" s="935"/>
      <c r="BZ1105" s="935"/>
      <c r="CA1105" s="935"/>
      <c r="CB1105" s="935"/>
      <c r="CC1105" s="935"/>
      <c r="CD1105" s="935"/>
      <c r="CE1105" s="935"/>
      <c r="CF1105" s="935"/>
      <c r="CG1105" s="935"/>
      <c r="CH1105" s="935"/>
      <c r="CI1105" s="935"/>
      <c r="CJ1105" s="935"/>
      <c r="CK1105" s="935"/>
      <c r="CL1105" s="935"/>
      <c r="CM1105" s="935"/>
      <c r="CN1105" s="935"/>
      <c r="CO1105" s="935"/>
      <c r="CP1105" s="935"/>
      <c r="CQ1105" s="935"/>
      <c r="CR1105" s="935"/>
      <c r="CS1105" s="935"/>
      <c r="CT1105" s="935"/>
      <c r="CU1105" s="935"/>
      <c r="CV1105" s="935"/>
    </row>
    <row r="1106" spans="1:104" s="441" customFormat="1">
      <c r="A1106" s="375">
        <f t="shared" si="308"/>
        <v>10</v>
      </c>
      <c r="B1106" s="862">
        <v>44499</v>
      </c>
      <c r="C1106" s="493" t="s">
        <v>1980</v>
      </c>
      <c r="D1106" s="376" t="str">
        <f>IFERROR(VLOOKUP(E:E,'Item Data Support Sheet'!A:O,7,0),"")</f>
        <v>NIPPLE LASER MARKING</v>
      </c>
      <c r="E1106" s="447" t="s">
        <v>1814</v>
      </c>
      <c r="F1106" s="500"/>
      <c r="G1106" s="497" t="s">
        <v>1812</v>
      </c>
      <c r="H1106" s="602" t="str">
        <f>IFERROR(VLOOKUP(E:E,'Item Data Support Sheet'!A:O,2,0),"")</f>
        <v>NIPPLE S TYPE S SIZE PUNCHED LASER MARKED</v>
      </c>
      <c r="I1106" s="501" t="s">
        <v>3727</v>
      </c>
      <c r="J1106" s="501" t="s">
        <v>2811</v>
      </c>
      <c r="K1106" s="499">
        <v>8</v>
      </c>
      <c r="L1106" s="499">
        <v>7000</v>
      </c>
      <c r="M1106" s="366">
        <v>875</v>
      </c>
      <c r="N1106" s="367">
        <f t="shared" si="307"/>
        <v>6600</v>
      </c>
      <c r="O1106" s="61">
        <v>6600</v>
      </c>
      <c r="P1106" s="368">
        <v>0</v>
      </c>
      <c r="Q1106" s="368">
        <v>0</v>
      </c>
      <c r="R1106" s="494">
        <v>0</v>
      </c>
      <c r="S1106" s="493">
        <v>0</v>
      </c>
      <c r="T1106" s="494">
        <v>0</v>
      </c>
      <c r="U1106" s="493">
        <v>0</v>
      </c>
      <c r="V1106" s="502">
        <v>1</v>
      </c>
      <c r="W1106" s="453">
        <f t="shared" si="309"/>
        <v>6600</v>
      </c>
      <c r="X1106" s="748">
        <f t="shared" si="310"/>
        <v>0.94285714285714284</v>
      </c>
      <c r="Y1106" s="451" t="str">
        <f>IFERROR(VLOOKUP(E:E,'Item Data Support Sheet'!A:J,6,0),0)</f>
        <v>FO019</v>
      </c>
      <c r="Z1106" s="428">
        <f>IFERROR(VLOOKUP(E:E,'Item Data Support Sheet'!A:O,4,0),0)</f>
        <v>0</v>
      </c>
      <c r="AA1106" s="428">
        <f t="shared" si="311"/>
        <v>0</v>
      </c>
      <c r="AB1106" s="429" t="str">
        <f t="shared" si="312"/>
        <v xml:space="preserve"> </v>
      </c>
      <c r="AC1106" s="424">
        <f t="shared" si="313"/>
        <v>0</v>
      </c>
      <c r="AD1106" s="371">
        <f t="shared" si="314"/>
        <v>0</v>
      </c>
      <c r="AE1106" s="748">
        <f t="shared" si="315"/>
        <v>1</v>
      </c>
      <c r="AF1106" s="417">
        <f t="shared" si="316"/>
        <v>0.66666666666666663</v>
      </c>
      <c r="AG1106" s="416">
        <f t="shared" si="317"/>
        <v>7.333333333333333</v>
      </c>
      <c r="AH1106" s="372">
        <f t="shared" si="318"/>
        <v>0.91666666666666663</v>
      </c>
      <c r="AI1106" s="373">
        <f t="shared" si="319"/>
        <v>825</v>
      </c>
      <c r="AJ1106" s="418">
        <f>VLOOKUP(D1106,'Standard Cycle time'!C:D,2,0)</f>
        <v>3.5</v>
      </c>
      <c r="AK1106" s="418">
        <f t="shared" si="320"/>
        <v>4</v>
      </c>
      <c r="AL1106" s="374">
        <f t="shared" si="321"/>
        <v>0.875</v>
      </c>
      <c r="AM1106" s="372">
        <f t="shared" si="322"/>
        <v>0.80208333333333326</v>
      </c>
      <c r="AN1106" s="799">
        <v>0.80208333333333326</v>
      </c>
      <c r="AO1106" s="448" t="s">
        <v>3868</v>
      </c>
      <c r="AP1106" s="440">
        <v>40</v>
      </c>
      <c r="AQ1106" s="440">
        <v>0</v>
      </c>
      <c r="AR1106" s="440">
        <v>0</v>
      </c>
      <c r="AS1106" s="440">
        <v>0</v>
      </c>
      <c r="AT1106" s="440">
        <v>0</v>
      </c>
      <c r="AU1106" s="440">
        <v>0</v>
      </c>
      <c r="AV1106" s="440">
        <v>0</v>
      </c>
      <c r="AW1106" s="440">
        <v>0</v>
      </c>
      <c r="AX1106" s="440">
        <v>0</v>
      </c>
      <c r="AY1106" s="440">
        <v>0</v>
      </c>
      <c r="AZ1106" s="440">
        <v>0</v>
      </c>
      <c r="BA1106" s="440">
        <v>0</v>
      </c>
      <c r="BB1106" s="440">
        <v>0</v>
      </c>
      <c r="BC1106" s="440">
        <v>0</v>
      </c>
      <c r="BD1106" s="440">
        <v>0</v>
      </c>
      <c r="BE1106" s="440">
        <v>0</v>
      </c>
      <c r="BF1106" s="440">
        <v>0</v>
      </c>
      <c r="BG1106" s="440">
        <v>0</v>
      </c>
      <c r="BH1106" s="440">
        <v>0</v>
      </c>
      <c r="BI1106" s="440">
        <v>0</v>
      </c>
      <c r="BJ1106" s="440">
        <v>0</v>
      </c>
      <c r="BK1106" s="440">
        <v>0</v>
      </c>
      <c r="BL1106" s="440">
        <v>0</v>
      </c>
      <c r="BM1106" s="440">
        <v>0</v>
      </c>
      <c r="BN1106" s="440">
        <v>0</v>
      </c>
      <c r="BO1106" s="440">
        <v>0</v>
      </c>
      <c r="BP1106" s="440">
        <v>0</v>
      </c>
      <c r="BQ1106" s="440">
        <v>0</v>
      </c>
      <c r="BR1106" s="415">
        <v>0.66666666666666663</v>
      </c>
      <c r="BS1106" s="415">
        <v>0.66666666666666663</v>
      </c>
      <c r="BT1106" s="935"/>
      <c r="BU1106" s="935"/>
      <c r="BV1106" s="935"/>
      <c r="BW1106" s="935"/>
      <c r="BX1106" s="935"/>
      <c r="BY1106" s="935"/>
      <c r="BZ1106" s="935"/>
      <c r="CA1106" s="935"/>
      <c r="CB1106" s="935"/>
      <c r="CC1106" s="935"/>
      <c r="CD1106" s="935"/>
      <c r="CE1106" s="935"/>
      <c r="CF1106" s="935"/>
      <c r="CG1106" s="935"/>
      <c r="CH1106" s="935"/>
      <c r="CI1106" s="935"/>
      <c r="CJ1106" s="935"/>
      <c r="CK1106" s="935"/>
      <c r="CL1106" s="935"/>
      <c r="CM1106" s="935"/>
      <c r="CN1106" s="935"/>
      <c r="CO1106" s="935"/>
      <c r="CP1106" s="935"/>
      <c r="CQ1106" s="935"/>
      <c r="CR1106" s="935"/>
      <c r="CS1106" s="935"/>
      <c r="CT1106" s="935"/>
      <c r="CU1106" s="935"/>
      <c r="CV1106" s="935"/>
      <c r="CZ1106" s="441">
        <v>0</v>
      </c>
    </row>
    <row r="1107" spans="1:104" s="441" customFormat="1">
      <c r="A1107" s="375">
        <f t="shared" si="308"/>
        <v>10</v>
      </c>
      <c r="B1107" s="862">
        <v>44499</v>
      </c>
      <c r="C1107" s="493" t="s">
        <v>1980</v>
      </c>
      <c r="D1107" s="376" t="str">
        <f>IFERROR(VLOOKUP(E:E,'Item Data Support Sheet'!A:O,7,0),"")</f>
        <v>BOTTLE PRINTED</v>
      </c>
      <c r="E1107" s="447" t="s">
        <v>64</v>
      </c>
      <c r="F1107" s="500"/>
      <c r="G1107" s="497"/>
      <c r="H1107" s="602" t="str">
        <f>IFERROR(VLOOKUP(E:E,'Item Data Support Sheet'!A:O,2,0),"")</f>
        <v>KPP 240 ML BOTTLE PRINTED</v>
      </c>
      <c r="I1107" s="501" t="s">
        <v>3869</v>
      </c>
      <c r="J1107" s="501" t="s">
        <v>2811</v>
      </c>
      <c r="K1107" s="499">
        <v>8</v>
      </c>
      <c r="L1107" s="499">
        <v>5100</v>
      </c>
      <c r="M1107" s="366">
        <v>637.5</v>
      </c>
      <c r="N1107" s="367">
        <f t="shared" si="307"/>
        <v>4367</v>
      </c>
      <c r="O1107" s="61">
        <v>4320</v>
      </c>
      <c r="P1107" s="368">
        <v>0</v>
      </c>
      <c r="Q1107" s="368">
        <v>0</v>
      </c>
      <c r="R1107" s="494">
        <v>46</v>
      </c>
      <c r="S1107" s="493">
        <v>0</v>
      </c>
      <c r="T1107" s="494">
        <v>47</v>
      </c>
      <c r="U1107" s="493">
        <v>0</v>
      </c>
      <c r="V1107" s="502">
        <v>5</v>
      </c>
      <c r="W1107" s="453">
        <f t="shared" si="309"/>
        <v>864</v>
      </c>
      <c r="X1107" s="748">
        <f t="shared" si="310"/>
        <v>0.84705882352941175</v>
      </c>
      <c r="Y1107" s="451" t="str">
        <f>IFERROR(VLOOKUP(E:E,'Item Data Support Sheet'!A:J,6,0),0)</f>
        <v>FO003</v>
      </c>
      <c r="Z1107" s="428">
        <f>IFERROR(VLOOKUP(E:E,'Item Data Support Sheet'!A:O,4,0),0)</f>
        <v>0</v>
      </c>
      <c r="AA1107" s="428">
        <f t="shared" si="311"/>
        <v>0</v>
      </c>
      <c r="AB1107" s="429" t="str">
        <f t="shared" si="312"/>
        <v xml:space="preserve"> </v>
      </c>
      <c r="AC1107" s="424">
        <f t="shared" si="313"/>
        <v>1.0762537210899932E-2</v>
      </c>
      <c r="AD1107" s="371">
        <f t="shared" si="314"/>
        <v>0</v>
      </c>
      <c r="AE1107" s="748">
        <f t="shared" si="315"/>
        <v>0.98923746278910007</v>
      </c>
      <c r="AF1107" s="417">
        <f t="shared" si="316"/>
        <v>2</v>
      </c>
      <c r="AG1107" s="416">
        <f t="shared" si="317"/>
        <v>6</v>
      </c>
      <c r="AH1107" s="372">
        <f t="shared" si="318"/>
        <v>0.75</v>
      </c>
      <c r="AI1107" s="373">
        <f t="shared" si="319"/>
        <v>540</v>
      </c>
      <c r="AJ1107" s="418">
        <f>VLOOKUP(D1107,'Standard Cycle time'!C:D,2,0)</f>
        <v>32.4</v>
      </c>
      <c r="AK1107" s="418">
        <f t="shared" si="320"/>
        <v>25</v>
      </c>
      <c r="AL1107" s="374">
        <f t="shared" si="321"/>
        <v>1.296</v>
      </c>
      <c r="AM1107" s="372">
        <f t="shared" si="322"/>
        <v>0.96153881383100526</v>
      </c>
      <c r="AN1107" s="799">
        <v>0.96507818181818195</v>
      </c>
      <c r="AO1107" s="448" t="s">
        <v>3870</v>
      </c>
      <c r="AP1107" s="440">
        <v>40</v>
      </c>
      <c r="AQ1107" s="440">
        <v>0</v>
      </c>
      <c r="AR1107" s="440">
        <v>0</v>
      </c>
      <c r="AS1107" s="440">
        <v>0</v>
      </c>
      <c r="AT1107" s="440">
        <v>80</v>
      </c>
      <c r="AU1107" s="440">
        <v>0</v>
      </c>
      <c r="AV1107" s="440">
        <v>0</v>
      </c>
      <c r="AW1107" s="440">
        <v>0</v>
      </c>
      <c r="AX1107" s="440">
        <v>0</v>
      </c>
      <c r="AY1107" s="440">
        <v>0</v>
      </c>
      <c r="AZ1107" s="440">
        <v>0</v>
      </c>
      <c r="BA1107" s="440">
        <v>0</v>
      </c>
      <c r="BB1107" s="440">
        <v>0</v>
      </c>
      <c r="BC1107" s="440">
        <v>0</v>
      </c>
      <c r="BD1107" s="440">
        <v>0</v>
      </c>
      <c r="BE1107" s="440">
        <v>0</v>
      </c>
      <c r="BF1107" s="440">
        <v>0</v>
      </c>
      <c r="BG1107" s="440">
        <v>0</v>
      </c>
      <c r="BH1107" s="440">
        <v>0</v>
      </c>
      <c r="BI1107" s="440">
        <v>0</v>
      </c>
      <c r="BJ1107" s="440">
        <v>0</v>
      </c>
      <c r="BK1107" s="440">
        <v>0</v>
      </c>
      <c r="BL1107" s="440">
        <v>0</v>
      </c>
      <c r="BM1107" s="440">
        <v>0</v>
      </c>
      <c r="BN1107" s="440">
        <v>0</v>
      </c>
      <c r="BO1107" s="440">
        <v>0</v>
      </c>
      <c r="BP1107" s="440">
        <v>0</v>
      </c>
      <c r="BQ1107" s="440">
        <v>0</v>
      </c>
      <c r="BR1107" s="415">
        <v>2</v>
      </c>
      <c r="BS1107" s="415">
        <v>2</v>
      </c>
      <c r="BT1107" s="935"/>
      <c r="BU1107" s="935"/>
      <c r="BV1107" s="935"/>
      <c r="BW1107" s="935"/>
      <c r="BX1107" s="935"/>
      <c r="BY1107" s="935"/>
      <c r="BZ1107" s="935"/>
      <c r="CA1107" s="935"/>
      <c r="CB1107" s="935"/>
      <c r="CC1107" s="935"/>
      <c r="CD1107" s="935"/>
      <c r="CE1107" s="935"/>
      <c r="CF1107" s="935"/>
      <c r="CG1107" s="935"/>
      <c r="CH1107" s="935"/>
      <c r="CI1107" s="935"/>
      <c r="CJ1107" s="935"/>
      <c r="CK1107" s="935"/>
      <c r="CL1107" s="935"/>
      <c r="CM1107" s="935"/>
      <c r="CN1107" s="935"/>
      <c r="CO1107" s="935"/>
      <c r="CP1107" s="935"/>
      <c r="CQ1107" s="935"/>
      <c r="CR1107" s="935"/>
      <c r="CS1107" s="935"/>
      <c r="CT1107" s="935"/>
      <c r="CU1107" s="935"/>
      <c r="CV1107" s="935"/>
    </row>
    <row r="1108" spans="1:104" s="441" customFormat="1">
      <c r="A1108" s="375">
        <f t="shared" si="308"/>
        <v>10</v>
      </c>
      <c r="B1108" s="862">
        <v>44499</v>
      </c>
      <c r="C1108" s="493" t="s">
        <v>2000</v>
      </c>
      <c r="D1108" s="376" t="str">
        <f>IFERROR(VLOOKUP(E:E,'Item Data Support Sheet'!A:O,7,0),"")</f>
        <v>NIPPLE PUNCH INSPECTED</v>
      </c>
      <c r="E1108" s="447" t="s">
        <v>1818</v>
      </c>
      <c r="F1108" s="500"/>
      <c r="G1108" s="497"/>
      <c r="H1108" s="602" t="str">
        <f>IFERROR(VLOOKUP(E:E,'Item Data Support Sheet'!A:O,2,0),"")</f>
        <v>NIPPLE S TYPE S SIZE PUNCHED INSPECTED</v>
      </c>
      <c r="I1108" s="501" t="s">
        <v>3856</v>
      </c>
      <c r="J1108" s="501" t="s">
        <v>2811</v>
      </c>
      <c r="K1108" s="499">
        <v>8</v>
      </c>
      <c r="L1108" s="499">
        <v>14000</v>
      </c>
      <c r="M1108" s="366">
        <v>1750</v>
      </c>
      <c r="N1108" s="367">
        <f t="shared" si="307"/>
        <v>14000</v>
      </c>
      <c r="O1108" s="61">
        <v>13918</v>
      </c>
      <c r="P1108" s="368">
        <v>0</v>
      </c>
      <c r="Q1108" s="368">
        <v>0</v>
      </c>
      <c r="R1108" s="494">
        <v>0</v>
      </c>
      <c r="S1108" s="493">
        <v>0</v>
      </c>
      <c r="T1108" s="494">
        <v>82</v>
      </c>
      <c r="U1108" s="493">
        <v>0</v>
      </c>
      <c r="V1108" s="502">
        <v>2</v>
      </c>
      <c r="W1108" s="453">
        <f t="shared" si="309"/>
        <v>6959</v>
      </c>
      <c r="X1108" s="748">
        <f t="shared" si="310"/>
        <v>0.99414285714285711</v>
      </c>
      <c r="Y1108" s="451" t="str">
        <f>IFERROR(VLOOKUP(E:E,'Item Data Support Sheet'!A:J,6,0),0)</f>
        <v>FO104</v>
      </c>
      <c r="Z1108" s="428">
        <f>IFERROR(VLOOKUP(E:E,'Item Data Support Sheet'!A:O,4,0),0)</f>
        <v>0</v>
      </c>
      <c r="AA1108" s="428">
        <f t="shared" si="311"/>
        <v>0</v>
      </c>
      <c r="AB1108" s="429" t="str">
        <f t="shared" si="312"/>
        <v xml:space="preserve"> </v>
      </c>
      <c r="AC1108" s="424">
        <f t="shared" si="313"/>
        <v>5.8571428571428568E-3</v>
      </c>
      <c r="AD1108" s="371">
        <f t="shared" si="314"/>
        <v>0</v>
      </c>
      <c r="AE1108" s="748">
        <f t="shared" si="315"/>
        <v>0.99414285714285711</v>
      </c>
      <c r="AF1108" s="417">
        <f t="shared" si="316"/>
        <v>0</v>
      </c>
      <c r="AG1108" s="416">
        <f t="shared" si="317"/>
        <v>8</v>
      </c>
      <c r="AH1108" s="372">
        <f t="shared" si="318"/>
        <v>1</v>
      </c>
      <c r="AI1108" s="373">
        <f t="shared" si="319"/>
        <v>1739.75</v>
      </c>
      <c r="AJ1108" s="418">
        <f>VLOOKUP(D1108,'Standard Cycle time'!C:D,2,0)</f>
        <v>4</v>
      </c>
      <c r="AK1108" s="418">
        <f t="shared" si="320"/>
        <v>4.1385256502371028</v>
      </c>
      <c r="AL1108" s="374">
        <f t="shared" si="321"/>
        <v>0.96652777777777787</v>
      </c>
      <c r="AM1108" s="372">
        <f t="shared" si="322"/>
        <v>0.96086668650793661</v>
      </c>
      <c r="AN1108" s="799">
        <v>0.94837909955983013</v>
      </c>
      <c r="AO1108" s="448"/>
      <c r="AP1108" s="440">
        <v>0</v>
      </c>
      <c r="AQ1108" s="440">
        <v>0</v>
      </c>
      <c r="AR1108" s="440">
        <v>0</v>
      </c>
      <c r="AS1108" s="440">
        <v>0</v>
      </c>
      <c r="AT1108" s="440">
        <v>0</v>
      </c>
      <c r="AU1108" s="440">
        <v>0</v>
      </c>
      <c r="AV1108" s="440">
        <v>0</v>
      </c>
      <c r="AW1108" s="440">
        <v>0</v>
      </c>
      <c r="AX1108" s="440">
        <v>0</v>
      </c>
      <c r="AY1108" s="440">
        <v>0</v>
      </c>
      <c r="AZ1108" s="440">
        <v>0</v>
      </c>
      <c r="BA1108" s="440">
        <v>0</v>
      </c>
      <c r="BB1108" s="440">
        <v>0</v>
      </c>
      <c r="BC1108" s="440">
        <v>0</v>
      </c>
      <c r="BD1108" s="440">
        <v>0</v>
      </c>
      <c r="BE1108" s="440">
        <v>0</v>
      </c>
      <c r="BF1108" s="440">
        <v>0</v>
      </c>
      <c r="BG1108" s="440">
        <v>0</v>
      </c>
      <c r="BH1108" s="440">
        <v>0</v>
      </c>
      <c r="BI1108" s="440">
        <v>0</v>
      </c>
      <c r="BJ1108" s="440">
        <v>0</v>
      </c>
      <c r="BK1108" s="440">
        <v>0</v>
      </c>
      <c r="BL1108" s="440">
        <v>0</v>
      </c>
      <c r="BM1108" s="440">
        <v>0</v>
      </c>
      <c r="BN1108" s="440">
        <v>0</v>
      </c>
      <c r="BO1108" s="440">
        <v>0</v>
      </c>
      <c r="BP1108" s="440">
        <v>0</v>
      </c>
      <c r="BQ1108" s="440">
        <v>0</v>
      </c>
      <c r="BR1108" s="415">
        <v>0</v>
      </c>
      <c r="BS1108" s="415">
        <v>0</v>
      </c>
      <c r="BT1108" s="935"/>
      <c r="BU1108" s="935"/>
      <c r="BV1108" s="935"/>
      <c r="BW1108" s="935"/>
      <c r="BX1108" s="935"/>
      <c r="BY1108" s="935"/>
      <c r="BZ1108" s="935"/>
      <c r="CA1108" s="935"/>
      <c r="CB1108" s="935"/>
      <c r="CC1108" s="935"/>
      <c r="CD1108" s="935"/>
      <c r="CE1108" s="935"/>
      <c r="CF1108" s="935"/>
      <c r="CG1108" s="935"/>
      <c r="CH1108" s="935"/>
      <c r="CI1108" s="935"/>
      <c r="CJ1108" s="935"/>
      <c r="CK1108" s="935"/>
      <c r="CL1108" s="935"/>
      <c r="CM1108" s="935"/>
      <c r="CN1108" s="935"/>
      <c r="CO1108" s="935"/>
      <c r="CP1108" s="935"/>
      <c r="CQ1108" s="935"/>
      <c r="CR1108" s="935"/>
      <c r="CS1108" s="935"/>
      <c r="CT1108" s="935"/>
      <c r="CU1108" s="935"/>
      <c r="CV1108" s="935"/>
    </row>
    <row r="1109" spans="1:104" s="441" customFormat="1">
      <c r="A1109" s="375">
        <f t="shared" si="308"/>
        <v>10</v>
      </c>
      <c r="B1109" s="862">
        <v>44499</v>
      </c>
      <c r="C1109" s="493" t="s">
        <v>2001</v>
      </c>
      <c r="D1109" s="376" t="str">
        <f>IFERROR(VLOOKUP(E:E,'Item Data Support Sheet'!A:O,7,0),"")</f>
        <v>NIPPLE PUNCH</v>
      </c>
      <c r="E1109" s="447" t="s">
        <v>80</v>
      </c>
      <c r="F1109" s="500"/>
      <c r="G1109" s="497" t="s">
        <v>1692</v>
      </c>
      <c r="H1109" s="602" t="str">
        <f>IFERROR(VLOOKUP(E:E,'Item Data Support Sheet'!A:O,2,0),"")</f>
        <v>NIPPLE S TYPE S SIZE PUNCHED</v>
      </c>
      <c r="I1109" s="501" t="s">
        <v>3871</v>
      </c>
      <c r="J1109" s="501" t="s">
        <v>2811</v>
      </c>
      <c r="K1109" s="499">
        <v>8</v>
      </c>
      <c r="L1109" s="499">
        <v>7000</v>
      </c>
      <c r="M1109" s="366">
        <v>875</v>
      </c>
      <c r="N1109" s="367">
        <f t="shared" si="307"/>
        <v>7000</v>
      </c>
      <c r="O1109" s="61">
        <v>7000</v>
      </c>
      <c r="P1109" s="368">
        <v>0</v>
      </c>
      <c r="Q1109" s="368">
        <v>0</v>
      </c>
      <c r="R1109" s="494">
        <v>0</v>
      </c>
      <c r="S1109" s="493">
        <v>0</v>
      </c>
      <c r="T1109" s="494">
        <v>0</v>
      </c>
      <c r="U1109" s="493">
        <v>0</v>
      </c>
      <c r="V1109" s="502">
        <v>1</v>
      </c>
      <c r="W1109" s="453">
        <f t="shared" si="309"/>
        <v>7000</v>
      </c>
      <c r="X1109" s="748">
        <f t="shared" si="310"/>
        <v>1</v>
      </c>
      <c r="Y1109" s="451" t="str">
        <f>IFERROR(VLOOKUP(E:E,'Item Data Support Sheet'!A:J,6,0),0)</f>
        <v>FO015</v>
      </c>
      <c r="Z1109" s="428">
        <f>IFERROR(VLOOKUP(E:E,'Item Data Support Sheet'!A:O,4,0),0)</f>
        <v>0</v>
      </c>
      <c r="AA1109" s="428">
        <f t="shared" si="311"/>
        <v>0</v>
      </c>
      <c r="AB1109" s="429" t="str">
        <f t="shared" si="312"/>
        <v xml:space="preserve"> </v>
      </c>
      <c r="AC1109" s="424">
        <f t="shared" si="313"/>
        <v>0</v>
      </c>
      <c r="AD1109" s="371">
        <f t="shared" si="314"/>
        <v>0</v>
      </c>
      <c r="AE1109" s="748">
        <f t="shared" si="315"/>
        <v>1</v>
      </c>
      <c r="AF1109" s="417">
        <f t="shared" si="316"/>
        <v>0.66666666666666663</v>
      </c>
      <c r="AG1109" s="416">
        <f t="shared" si="317"/>
        <v>7.333333333333333</v>
      </c>
      <c r="AH1109" s="372">
        <f t="shared" si="318"/>
        <v>0.91666666666666663</v>
      </c>
      <c r="AI1109" s="373">
        <f t="shared" si="319"/>
        <v>875</v>
      </c>
      <c r="AJ1109" s="418">
        <f>VLOOKUP(D1109,'Standard Cycle time'!C:D,2,0)</f>
        <v>3.5</v>
      </c>
      <c r="AK1109" s="418">
        <f t="shared" si="320"/>
        <v>3.7714285714285714</v>
      </c>
      <c r="AL1109" s="374">
        <f t="shared" si="321"/>
        <v>0.92803030303030309</v>
      </c>
      <c r="AM1109" s="372">
        <f t="shared" si="322"/>
        <v>0.85069444444444442</v>
      </c>
      <c r="AN1109" s="799">
        <v>0.85069444444444442</v>
      </c>
      <c r="AO1109" s="448"/>
      <c r="AP1109" s="440">
        <v>40</v>
      </c>
      <c r="AQ1109" s="440">
        <v>0</v>
      </c>
      <c r="AR1109" s="440">
        <v>0</v>
      </c>
      <c r="AS1109" s="440">
        <v>0</v>
      </c>
      <c r="AT1109" s="440">
        <v>0</v>
      </c>
      <c r="AU1109" s="440">
        <v>0</v>
      </c>
      <c r="AV1109" s="440">
        <v>0</v>
      </c>
      <c r="AW1109" s="440">
        <v>0</v>
      </c>
      <c r="AX1109" s="440">
        <v>0</v>
      </c>
      <c r="AY1109" s="440">
        <v>0</v>
      </c>
      <c r="AZ1109" s="440">
        <v>0</v>
      </c>
      <c r="BA1109" s="440">
        <v>0</v>
      </c>
      <c r="BB1109" s="440">
        <v>0</v>
      </c>
      <c r="BC1109" s="440">
        <v>0</v>
      </c>
      <c r="BD1109" s="440">
        <v>0</v>
      </c>
      <c r="BE1109" s="440">
        <v>0</v>
      </c>
      <c r="BF1109" s="440">
        <v>0</v>
      </c>
      <c r="BG1109" s="440">
        <v>0</v>
      </c>
      <c r="BH1109" s="440">
        <v>0</v>
      </c>
      <c r="BI1109" s="440">
        <v>0</v>
      </c>
      <c r="BJ1109" s="440">
        <v>0</v>
      </c>
      <c r="BK1109" s="440">
        <v>0</v>
      </c>
      <c r="BL1109" s="440">
        <v>0</v>
      </c>
      <c r="BM1109" s="440">
        <v>0</v>
      </c>
      <c r="BN1109" s="440">
        <v>0</v>
      </c>
      <c r="BO1109" s="440">
        <v>0</v>
      </c>
      <c r="BP1109" s="440">
        <v>0</v>
      </c>
      <c r="BQ1109" s="440">
        <v>0</v>
      </c>
      <c r="BR1109" s="415">
        <v>0.66666666666666663</v>
      </c>
      <c r="BS1109" s="415">
        <v>0.66666666666666663</v>
      </c>
      <c r="BT1109" s="935"/>
      <c r="BU1109" s="935"/>
      <c r="BV1109" s="935"/>
      <c r="BW1109" s="935"/>
      <c r="BX1109" s="935"/>
      <c r="BY1109" s="935"/>
      <c r="BZ1109" s="935"/>
      <c r="CA1109" s="935"/>
      <c r="CB1109" s="935"/>
      <c r="CC1109" s="935"/>
      <c r="CD1109" s="935"/>
      <c r="CE1109" s="935"/>
      <c r="CF1109" s="935"/>
      <c r="CG1109" s="935"/>
      <c r="CH1109" s="935"/>
      <c r="CI1109" s="935"/>
      <c r="CJ1109" s="935"/>
      <c r="CK1109" s="935"/>
      <c r="CL1109" s="935"/>
      <c r="CM1109" s="935"/>
      <c r="CN1109" s="935"/>
      <c r="CO1109" s="935"/>
      <c r="CP1109" s="935"/>
      <c r="CQ1109" s="935"/>
      <c r="CR1109" s="935"/>
      <c r="CS1109" s="935"/>
      <c r="CT1109" s="935"/>
      <c r="CU1109" s="935"/>
      <c r="CV1109" s="935"/>
    </row>
    <row r="1110" spans="1:104" s="441" customFormat="1">
      <c r="A1110" s="375">
        <f t="shared" si="308"/>
        <v>10</v>
      </c>
      <c r="B1110" s="862">
        <v>44499</v>
      </c>
      <c r="C1110" s="493" t="s">
        <v>2001</v>
      </c>
      <c r="D1110" s="376" t="str">
        <f>IFERROR(VLOOKUP(E:E,'Item Data Support Sheet'!A:O,7,0),"")</f>
        <v>NIPPLE LASER MARKING</v>
      </c>
      <c r="E1110" s="447" t="s">
        <v>1814</v>
      </c>
      <c r="F1110" s="500"/>
      <c r="G1110" s="497" t="s">
        <v>1812</v>
      </c>
      <c r="H1110" s="602" t="str">
        <f>IFERROR(VLOOKUP(E:E,'Item Data Support Sheet'!A:O,2,0),"")</f>
        <v>NIPPLE S TYPE S SIZE PUNCHED LASER MARKED</v>
      </c>
      <c r="I1110" s="501" t="s">
        <v>3872</v>
      </c>
      <c r="J1110" s="501" t="s">
        <v>2811</v>
      </c>
      <c r="K1110" s="499">
        <v>8</v>
      </c>
      <c r="L1110" s="499">
        <v>7000</v>
      </c>
      <c r="M1110" s="366">
        <v>875</v>
      </c>
      <c r="N1110" s="367">
        <f t="shared" si="307"/>
        <v>7400</v>
      </c>
      <c r="O1110" s="61">
        <v>7400</v>
      </c>
      <c r="P1110" s="368">
        <v>0</v>
      </c>
      <c r="Q1110" s="368">
        <v>0</v>
      </c>
      <c r="R1110" s="494">
        <v>0</v>
      </c>
      <c r="S1110" s="493">
        <v>0</v>
      </c>
      <c r="T1110" s="494">
        <v>0</v>
      </c>
      <c r="U1110" s="493">
        <v>0</v>
      </c>
      <c r="V1110" s="502">
        <v>1</v>
      </c>
      <c r="W1110" s="453">
        <f t="shared" si="309"/>
        <v>7400</v>
      </c>
      <c r="X1110" s="748">
        <f t="shared" si="310"/>
        <v>1.0571428571428572</v>
      </c>
      <c r="Y1110" s="451" t="str">
        <f>IFERROR(VLOOKUP(E:E,'Item Data Support Sheet'!A:J,6,0),0)</f>
        <v>FO019</v>
      </c>
      <c r="Z1110" s="428">
        <f>IFERROR(VLOOKUP(E:E,'Item Data Support Sheet'!A:O,4,0),0)</f>
        <v>0</v>
      </c>
      <c r="AA1110" s="428">
        <f t="shared" si="311"/>
        <v>0</v>
      </c>
      <c r="AB1110" s="429" t="str">
        <f t="shared" si="312"/>
        <v xml:space="preserve"> </v>
      </c>
      <c r="AC1110" s="424">
        <f t="shared" si="313"/>
        <v>0</v>
      </c>
      <c r="AD1110" s="371">
        <f t="shared" si="314"/>
        <v>0</v>
      </c>
      <c r="AE1110" s="748">
        <f t="shared" si="315"/>
        <v>1</v>
      </c>
      <c r="AF1110" s="417">
        <f t="shared" si="316"/>
        <v>0.66666666666666663</v>
      </c>
      <c r="AG1110" s="416">
        <f t="shared" si="317"/>
        <v>7.333333333333333</v>
      </c>
      <c r="AH1110" s="372">
        <f t="shared" si="318"/>
        <v>0.91666666666666663</v>
      </c>
      <c r="AI1110" s="373">
        <f t="shared" si="319"/>
        <v>925</v>
      </c>
      <c r="AJ1110" s="418">
        <f>VLOOKUP(D1110,'Standard Cycle time'!C:D,2,0)</f>
        <v>3.5</v>
      </c>
      <c r="AK1110" s="418">
        <f t="shared" si="320"/>
        <v>3.5675675675675675</v>
      </c>
      <c r="AL1110" s="374">
        <f t="shared" si="321"/>
        <v>0.98106060606060608</v>
      </c>
      <c r="AM1110" s="372">
        <f t="shared" si="322"/>
        <v>0.89930555555555558</v>
      </c>
      <c r="AN1110" s="799">
        <v>0.89930555555555558</v>
      </c>
      <c r="AO1110" s="448"/>
      <c r="AP1110" s="440">
        <v>40</v>
      </c>
      <c r="AQ1110" s="440">
        <v>0</v>
      </c>
      <c r="AR1110" s="440">
        <v>0</v>
      </c>
      <c r="AS1110" s="440">
        <v>0</v>
      </c>
      <c r="AT1110" s="440">
        <v>0</v>
      </c>
      <c r="AU1110" s="440">
        <v>0</v>
      </c>
      <c r="AV1110" s="440">
        <v>0</v>
      </c>
      <c r="AW1110" s="440">
        <v>0</v>
      </c>
      <c r="AX1110" s="440">
        <v>0</v>
      </c>
      <c r="AY1110" s="440">
        <v>0</v>
      </c>
      <c r="AZ1110" s="440">
        <v>0</v>
      </c>
      <c r="BA1110" s="440">
        <v>0</v>
      </c>
      <c r="BB1110" s="440">
        <v>0</v>
      </c>
      <c r="BC1110" s="440">
        <v>0</v>
      </c>
      <c r="BD1110" s="440">
        <v>0</v>
      </c>
      <c r="BE1110" s="440">
        <v>0</v>
      </c>
      <c r="BF1110" s="440">
        <v>0</v>
      </c>
      <c r="BG1110" s="440">
        <v>0</v>
      </c>
      <c r="BH1110" s="440">
        <v>0</v>
      </c>
      <c r="BI1110" s="440">
        <v>0</v>
      </c>
      <c r="BJ1110" s="440">
        <v>0</v>
      </c>
      <c r="BK1110" s="440">
        <v>0</v>
      </c>
      <c r="BL1110" s="440">
        <v>0</v>
      </c>
      <c r="BM1110" s="440">
        <v>0</v>
      </c>
      <c r="BN1110" s="440">
        <v>0</v>
      </c>
      <c r="BO1110" s="440">
        <v>0</v>
      </c>
      <c r="BP1110" s="440">
        <v>0</v>
      </c>
      <c r="BQ1110" s="440">
        <v>0</v>
      </c>
      <c r="BR1110" s="415">
        <v>0.66666666666666663</v>
      </c>
      <c r="BS1110" s="415">
        <v>0.66666666666666663</v>
      </c>
      <c r="BT1110" s="935"/>
      <c r="BU1110" s="935"/>
      <c r="BV1110" s="935"/>
      <c r="BW1110" s="935"/>
      <c r="BX1110" s="935"/>
      <c r="BY1110" s="935"/>
      <c r="BZ1110" s="935"/>
      <c r="CA1110" s="935"/>
      <c r="CB1110" s="935"/>
      <c r="CC1110" s="935"/>
      <c r="CD1110" s="935"/>
      <c r="CE1110" s="935"/>
      <c r="CF1110" s="935"/>
      <c r="CG1110" s="935"/>
      <c r="CH1110" s="935"/>
      <c r="CI1110" s="935"/>
      <c r="CJ1110" s="935"/>
      <c r="CK1110" s="935"/>
      <c r="CL1110" s="935"/>
      <c r="CM1110" s="935"/>
      <c r="CN1110" s="935"/>
      <c r="CO1110" s="935"/>
      <c r="CP1110" s="935"/>
      <c r="CQ1110" s="935"/>
      <c r="CR1110" s="935"/>
      <c r="CS1110" s="935"/>
      <c r="CT1110" s="935"/>
      <c r="CU1110" s="935"/>
      <c r="CV1110" s="935"/>
    </row>
    <row r="1111" spans="1:104" s="441" customFormat="1">
      <c r="A1111" s="375">
        <f t="shared" si="308"/>
        <v>10</v>
      </c>
      <c r="B1111" s="862">
        <v>44499</v>
      </c>
      <c r="C1111" s="493" t="s">
        <v>2001</v>
      </c>
      <c r="D1111" s="376" t="str">
        <f>IFERROR(VLOOKUP(E:E,'Item Data Support Sheet'!A:O,7,0),"")</f>
        <v>BOTTLE MOLDED</v>
      </c>
      <c r="E1111" s="447" t="s">
        <v>115</v>
      </c>
      <c r="F1111" s="500" t="s">
        <v>1681</v>
      </c>
      <c r="G1111" s="497" t="s">
        <v>1888</v>
      </c>
      <c r="H1111" s="602" t="str">
        <f>IFERROR(VLOOKUP(E:E,'Item Data Support Sheet'!A:O,2,0),"")</f>
        <v>KPP BOTTLE 240 ML MOULDED-WMG3B</v>
      </c>
      <c r="I1111" s="501" t="s">
        <v>3873</v>
      </c>
      <c r="J1111" s="501" t="s">
        <v>2811</v>
      </c>
      <c r="K1111" s="499">
        <v>8</v>
      </c>
      <c r="L1111" s="499">
        <v>2503</v>
      </c>
      <c r="M1111" s="366">
        <v>312.875</v>
      </c>
      <c r="N1111" s="367">
        <f t="shared" si="307"/>
        <v>1516</v>
      </c>
      <c r="O1111" s="61">
        <v>1404</v>
      </c>
      <c r="P1111" s="368">
        <v>0</v>
      </c>
      <c r="Q1111" s="368">
        <v>50</v>
      </c>
      <c r="R1111" s="494">
        <v>0</v>
      </c>
      <c r="S1111" s="493">
        <v>0</v>
      </c>
      <c r="T1111" s="494">
        <v>62</v>
      </c>
      <c r="U1111" s="493">
        <v>0</v>
      </c>
      <c r="V1111" s="502">
        <v>1</v>
      </c>
      <c r="W1111" s="453">
        <f t="shared" si="309"/>
        <v>1404</v>
      </c>
      <c r="X1111" s="748">
        <f t="shared" si="310"/>
        <v>0.56092688773471833</v>
      </c>
      <c r="Y1111" s="451" t="str">
        <f>IFERROR(VLOOKUP(E:E,'Item Data Support Sheet'!A:J,6,0),0)</f>
        <v>WMG3B</v>
      </c>
      <c r="Z1111" s="428">
        <f>IFERROR(VLOOKUP(E:E,'Item Data Support Sheet'!A:O,4,0),0)</f>
        <v>33.1</v>
      </c>
      <c r="AA1111" s="428">
        <f t="shared" si="311"/>
        <v>50.179600000000008</v>
      </c>
      <c r="AB1111" s="429">
        <f t="shared" si="312"/>
        <v>0.92612137203166223</v>
      </c>
      <c r="AC1111" s="424">
        <f t="shared" si="313"/>
        <v>4.229195088676671E-2</v>
      </c>
      <c r="AD1111" s="371">
        <f t="shared" si="314"/>
        <v>3.1928480204342274E-2</v>
      </c>
      <c r="AE1111" s="748">
        <f t="shared" si="315"/>
        <v>0.95910290237467022</v>
      </c>
      <c r="AF1111" s="417">
        <f t="shared" si="316"/>
        <v>4</v>
      </c>
      <c r="AG1111" s="416">
        <f t="shared" si="317"/>
        <v>4</v>
      </c>
      <c r="AH1111" s="372">
        <f t="shared" si="318"/>
        <v>0.5</v>
      </c>
      <c r="AI1111" s="373">
        <f t="shared" si="319"/>
        <v>175.5</v>
      </c>
      <c r="AJ1111" s="418">
        <f>VLOOKUP(D1111,'Standard Cycle time'!C:D,2,0)</f>
        <v>9</v>
      </c>
      <c r="AK1111" s="418">
        <f t="shared" si="320"/>
        <v>10.256410256410257</v>
      </c>
      <c r="AL1111" s="374">
        <f t="shared" si="321"/>
        <v>0.87749999999999995</v>
      </c>
      <c r="AM1111" s="372">
        <f t="shared" si="322"/>
        <v>0.42080639841688655</v>
      </c>
      <c r="AN1111" s="799">
        <v>0.43507398648648643</v>
      </c>
      <c r="AO1111" s="448"/>
      <c r="AP1111" s="440">
        <v>0</v>
      </c>
      <c r="AQ1111" s="440">
        <v>0</v>
      </c>
      <c r="AR1111" s="440">
        <v>0</v>
      </c>
      <c r="AS1111" s="440">
        <v>0</v>
      </c>
      <c r="AT1111" s="440">
        <v>0</v>
      </c>
      <c r="AU1111" s="440">
        <v>0</v>
      </c>
      <c r="AV1111" s="440">
        <v>0</v>
      </c>
      <c r="AW1111" s="440">
        <v>240</v>
      </c>
      <c r="AX1111" s="440">
        <v>0</v>
      </c>
      <c r="AY1111" s="440">
        <v>0</v>
      </c>
      <c r="AZ1111" s="440">
        <v>0</v>
      </c>
      <c r="BA1111" s="440">
        <v>0</v>
      </c>
      <c r="BB1111" s="440">
        <v>0</v>
      </c>
      <c r="BC1111" s="440">
        <v>0</v>
      </c>
      <c r="BD1111" s="440">
        <v>0</v>
      </c>
      <c r="BE1111" s="440">
        <v>0</v>
      </c>
      <c r="BF1111" s="440">
        <v>0</v>
      </c>
      <c r="BG1111" s="440">
        <v>0</v>
      </c>
      <c r="BH1111" s="440">
        <v>0</v>
      </c>
      <c r="BI1111" s="440">
        <v>0</v>
      </c>
      <c r="BJ1111" s="440">
        <v>0</v>
      </c>
      <c r="BK1111" s="440">
        <v>0</v>
      </c>
      <c r="BL1111" s="440">
        <v>0</v>
      </c>
      <c r="BM1111" s="440">
        <v>0</v>
      </c>
      <c r="BN1111" s="440">
        <v>0</v>
      </c>
      <c r="BO1111" s="440">
        <v>0</v>
      </c>
      <c r="BP1111" s="440">
        <v>0</v>
      </c>
      <c r="BQ1111" s="440">
        <v>0</v>
      </c>
      <c r="BR1111" s="415">
        <v>4</v>
      </c>
      <c r="BS1111" s="415">
        <v>4</v>
      </c>
      <c r="BT1111" s="935"/>
      <c r="BU1111" s="935"/>
      <c r="BV1111" s="935"/>
      <c r="BW1111" s="935"/>
      <c r="BX1111" s="935"/>
      <c r="BY1111" s="935"/>
      <c r="BZ1111" s="935"/>
      <c r="CA1111" s="935"/>
      <c r="CB1111" s="935"/>
      <c r="CC1111" s="935"/>
      <c r="CD1111" s="935"/>
      <c r="CE1111" s="935"/>
      <c r="CF1111" s="935"/>
      <c r="CG1111" s="935"/>
      <c r="CH1111" s="935"/>
      <c r="CI1111" s="935"/>
      <c r="CJ1111" s="935"/>
      <c r="CK1111" s="935"/>
      <c r="CL1111" s="935"/>
      <c r="CM1111" s="935"/>
      <c r="CN1111" s="935"/>
      <c r="CO1111" s="935"/>
      <c r="CP1111" s="935"/>
      <c r="CQ1111" s="935"/>
      <c r="CR1111" s="935"/>
      <c r="CS1111" s="935"/>
      <c r="CT1111" s="935"/>
      <c r="CU1111" s="935"/>
      <c r="CV1111" s="935"/>
    </row>
    <row r="1112" spans="1:104" s="441" customFormat="1">
      <c r="A1112" s="375">
        <f t="shared" si="308"/>
        <v>10</v>
      </c>
      <c r="B1112" s="862">
        <v>44499</v>
      </c>
      <c r="C1112" s="493" t="s">
        <v>2001</v>
      </c>
      <c r="D1112" s="376" t="str">
        <f>IFERROR(VLOOKUP(E:E,'Item Data Support Sheet'!A:O,7,0),"")</f>
        <v>NIPPLE MOLDED</v>
      </c>
      <c r="E1112" s="447" t="s">
        <v>72</v>
      </c>
      <c r="F1112" s="500" t="s">
        <v>1678</v>
      </c>
      <c r="G1112" s="497" t="s">
        <v>1691</v>
      </c>
      <c r="H1112" s="602" t="str">
        <f>IFERROR(VLOOKUP(E:E,'Item Data Support Sheet'!A:O,2,0),"")</f>
        <v>NIPPLE S TYPE S SIZE INJECTION</v>
      </c>
      <c r="I1112" s="501" t="s">
        <v>3874</v>
      </c>
      <c r="J1112" s="501" t="s">
        <v>2811</v>
      </c>
      <c r="K1112" s="499">
        <v>8</v>
      </c>
      <c r="L1112" s="499">
        <v>4815</v>
      </c>
      <c r="M1112" s="366">
        <v>601.875</v>
      </c>
      <c r="N1112" s="367">
        <f t="shared" si="307"/>
        <v>4900</v>
      </c>
      <c r="O1112" s="61">
        <v>4800</v>
      </c>
      <c r="P1112" s="368">
        <v>0</v>
      </c>
      <c r="Q1112" s="368">
        <v>60</v>
      </c>
      <c r="R1112" s="494">
        <v>0</v>
      </c>
      <c r="S1112" s="493">
        <v>0</v>
      </c>
      <c r="T1112" s="494">
        <v>40</v>
      </c>
      <c r="U1112" s="493">
        <v>0</v>
      </c>
      <c r="V1112" s="502">
        <v>1</v>
      </c>
      <c r="W1112" s="453">
        <f t="shared" si="309"/>
        <v>4800</v>
      </c>
      <c r="X1112" s="748">
        <f t="shared" si="310"/>
        <v>0.99688473520249221</v>
      </c>
      <c r="Y1112" s="451" t="str">
        <f>IFERROR(VLOOKUP(E:E,'Item Data Support Sheet'!A:J,6,0),0)</f>
        <v>Silicon</v>
      </c>
      <c r="Z1112" s="428">
        <f>IFERROR(VLOOKUP(E:E,'Item Data Support Sheet'!A:O,4,0),0)</f>
        <v>6.8</v>
      </c>
      <c r="AA1112" s="428">
        <f t="shared" si="311"/>
        <v>33.32</v>
      </c>
      <c r="AB1112" s="429">
        <f t="shared" si="312"/>
        <v>0.97959183673469385</v>
      </c>
      <c r="AC1112" s="424">
        <f t="shared" si="313"/>
        <v>8.2644628099173556E-3</v>
      </c>
      <c r="AD1112" s="371">
        <f t="shared" si="314"/>
        <v>1.2096774193548387E-2</v>
      </c>
      <c r="AE1112" s="748">
        <f t="shared" si="315"/>
        <v>0.99183673469387756</v>
      </c>
      <c r="AF1112" s="417">
        <f t="shared" si="316"/>
        <v>0</v>
      </c>
      <c r="AG1112" s="416">
        <f t="shared" si="317"/>
        <v>8</v>
      </c>
      <c r="AH1112" s="372">
        <f t="shared" si="318"/>
        <v>1</v>
      </c>
      <c r="AI1112" s="373">
        <f t="shared" si="319"/>
        <v>600</v>
      </c>
      <c r="AJ1112" s="418">
        <f>VLOOKUP(D1112,'Standard Cycle time'!C:D,2,0)</f>
        <v>5.25</v>
      </c>
      <c r="AK1112" s="418">
        <f t="shared" si="320"/>
        <v>6</v>
      </c>
      <c r="AL1112" s="374">
        <f t="shared" si="321"/>
        <v>0.875</v>
      </c>
      <c r="AM1112" s="372">
        <f t="shared" si="322"/>
        <v>0.86785714285714288</v>
      </c>
      <c r="AN1112" s="799">
        <v>0.85191292875989444</v>
      </c>
      <c r="AO1112" s="448"/>
      <c r="AP1112" s="440">
        <v>0</v>
      </c>
      <c r="AQ1112" s="440">
        <v>0</v>
      </c>
      <c r="AR1112" s="440">
        <v>0</v>
      </c>
      <c r="AS1112" s="440">
        <v>0</v>
      </c>
      <c r="AT1112" s="440">
        <v>0</v>
      </c>
      <c r="AU1112" s="440">
        <v>0</v>
      </c>
      <c r="AV1112" s="440">
        <v>0</v>
      </c>
      <c r="AW1112" s="440">
        <v>0</v>
      </c>
      <c r="AX1112" s="440">
        <v>0</v>
      </c>
      <c r="AY1112" s="440">
        <v>0</v>
      </c>
      <c r="AZ1112" s="440">
        <v>0</v>
      </c>
      <c r="BA1112" s="440">
        <v>0</v>
      </c>
      <c r="BB1112" s="440">
        <v>0</v>
      </c>
      <c r="BC1112" s="440">
        <v>0</v>
      </c>
      <c r="BD1112" s="440">
        <v>0</v>
      </c>
      <c r="BE1112" s="440">
        <v>0</v>
      </c>
      <c r="BF1112" s="440">
        <v>0</v>
      </c>
      <c r="BG1112" s="440">
        <v>0</v>
      </c>
      <c r="BH1112" s="440">
        <v>0</v>
      </c>
      <c r="BI1112" s="440">
        <v>0</v>
      </c>
      <c r="BJ1112" s="440">
        <v>0</v>
      </c>
      <c r="BK1112" s="440">
        <v>0</v>
      </c>
      <c r="BL1112" s="440">
        <v>0</v>
      </c>
      <c r="BM1112" s="440">
        <v>0</v>
      </c>
      <c r="BN1112" s="440">
        <v>0</v>
      </c>
      <c r="BO1112" s="440">
        <v>0</v>
      </c>
      <c r="BP1112" s="440">
        <v>0</v>
      </c>
      <c r="BQ1112" s="440">
        <v>0</v>
      </c>
      <c r="BR1112" s="415">
        <v>0</v>
      </c>
      <c r="BS1112" s="415">
        <v>0</v>
      </c>
      <c r="BT1112" s="935"/>
      <c r="BU1112" s="935"/>
      <c r="BV1112" s="935"/>
      <c r="BW1112" s="935"/>
      <c r="BX1112" s="935"/>
      <c r="BY1112" s="935"/>
      <c r="BZ1112" s="935"/>
      <c r="CA1112" s="935"/>
      <c r="CB1112" s="935"/>
      <c r="CC1112" s="935"/>
      <c r="CD1112" s="935"/>
      <c r="CE1112" s="935"/>
      <c r="CF1112" s="935"/>
      <c r="CG1112" s="935"/>
      <c r="CH1112" s="935"/>
      <c r="CI1112" s="935"/>
      <c r="CJ1112" s="935"/>
      <c r="CK1112" s="935"/>
      <c r="CL1112" s="935"/>
      <c r="CM1112" s="935"/>
      <c r="CN1112" s="935"/>
      <c r="CO1112" s="935"/>
      <c r="CP1112" s="935"/>
      <c r="CQ1112" s="935"/>
      <c r="CR1112" s="935"/>
      <c r="CS1112" s="935"/>
      <c r="CT1112" s="935"/>
      <c r="CU1112" s="935"/>
      <c r="CV1112" s="935"/>
    </row>
    <row r="1113" spans="1:104" s="441" customFormat="1">
      <c r="A1113" s="375">
        <f t="shared" si="308"/>
        <v>10</v>
      </c>
      <c r="B1113" s="862">
        <v>44499</v>
      </c>
      <c r="C1113" s="493" t="s">
        <v>2001</v>
      </c>
      <c r="D1113" s="376" t="str">
        <f>IFERROR(VLOOKUP(E:E,'Item Data Support Sheet'!A:O,7,0),"")</f>
        <v>HOOD MOLDED</v>
      </c>
      <c r="E1113" s="447" t="s">
        <v>1987</v>
      </c>
      <c r="F1113" s="500"/>
      <c r="G1113" s="497" t="s">
        <v>2729</v>
      </c>
      <c r="H1113" s="602" t="str">
        <f>IFERROR(VLOOKUP(E:E,'Item Data Support Sheet'!A:O,2,0),"")</f>
        <v>HOOD S TYPE MOLDED</v>
      </c>
      <c r="I1113" s="501" t="s">
        <v>3875</v>
      </c>
      <c r="J1113" s="501" t="s">
        <v>2811</v>
      </c>
      <c r="K1113" s="499">
        <v>8</v>
      </c>
      <c r="L1113" s="499">
        <v>4137</v>
      </c>
      <c r="M1113" s="366">
        <v>517.125</v>
      </c>
      <c r="N1113" s="367">
        <f t="shared" si="307"/>
        <v>4808</v>
      </c>
      <c r="O1113" s="61">
        <v>4800</v>
      </c>
      <c r="P1113" s="368">
        <v>0</v>
      </c>
      <c r="Q1113" s="368">
        <v>0</v>
      </c>
      <c r="R1113" s="494">
        <v>0</v>
      </c>
      <c r="S1113" s="493">
        <v>0</v>
      </c>
      <c r="T1113" s="494">
        <v>8</v>
      </c>
      <c r="U1113" s="493">
        <v>0</v>
      </c>
      <c r="V1113" s="502">
        <v>1</v>
      </c>
      <c r="W1113" s="453">
        <f t="shared" si="309"/>
        <v>4800</v>
      </c>
      <c r="X1113" s="748">
        <f t="shared" si="310"/>
        <v>1.1602610587382161</v>
      </c>
      <c r="Y1113" s="451" t="str">
        <f>IFERROR(VLOOKUP(E:E,'Item Data Support Sheet'!A:J,6,0),0)</f>
        <v>HMC</v>
      </c>
      <c r="Z1113" s="428">
        <f>IFERROR(VLOOKUP(E:E,'Item Data Support Sheet'!A:O,4,0),0)</f>
        <v>8.6</v>
      </c>
      <c r="AA1113" s="428">
        <f t="shared" si="311"/>
        <v>41.348799999999997</v>
      </c>
      <c r="AB1113" s="429">
        <f t="shared" si="312"/>
        <v>0.9983361064891848</v>
      </c>
      <c r="AC1113" s="424">
        <f t="shared" si="313"/>
        <v>1.6638935108153079E-3</v>
      </c>
      <c r="AD1113" s="371">
        <f t="shared" si="314"/>
        <v>0</v>
      </c>
      <c r="AE1113" s="748">
        <f t="shared" si="315"/>
        <v>0.99833610648918469</v>
      </c>
      <c r="AF1113" s="417">
        <f t="shared" si="316"/>
        <v>0</v>
      </c>
      <c r="AG1113" s="416">
        <f t="shared" si="317"/>
        <v>8</v>
      </c>
      <c r="AH1113" s="372">
        <f t="shared" si="318"/>
        <v>1</v>
      </c>
      <c r="AI1113" s="373">
        <f t="shared" si="319"/>
        <v>600</v>
      </c>
      <c r="AJ1113" s="418">
        <f>VLOOKUP(D1113,'Standard Cycle time'!C:D,2,0)</f>
        <v>6</v>
      </c>
      <c r="AK1113" s="418">
        <f t="shared" si="320"/>
        <v>6</v>
      </c>
      <c r="AL1113" s="374">
        <f t="shared" si="321"/>
        <v>1</v>
      </c>
      <c r="AM1113" s="372">
        <f t="shared" si="322"/>
        <v>0.99833610648918469</v>
      </c>
      <c r="AN1113" s="799">
        <v>0.99836734693877549</v>
      </c>
      <c r="AO1113" s="448"/>
      <c r="AP1113" s="440">
        <v>0</v>
      </c>
      <c r="AQ1113" s="440">
        <v>0</v>
      </c>
      <c r="AR1113" s="440">
        <v>0</v>
      </c>
      <c r="AS1113" s="440">
        <v>0</v>
      </c>
      <c r="AT1113" s="440">
        <v>0</v>
      </c>
      <c r="AU1113" s="440">
        <v>0</v>
      </c>
      <c r="AV1113" s="440">
        <v>0</v>
      </c>
      <c r="AW1113" s="440">
        <v>0</v>
      </c>
      <c r="AX1113" s="440">
        <v>0</v>
      </c>
      <c r="AY1113" s="440">
        <v>0</v>
      </c>
      <c r="AZ1113" s="440">
        <v>0</v>
      </c>
      <c r="BA1113" s="440">
        <v>0</v>
      </c>
      <c r="BB1113" s="440">
        <v>0</v>
      </c>
      <c r="BC1113" s="440">
        <v>0</v>
      </c>
      <c r="BD1113" s="440">
        <v>0</v>
      </c>
      <c r="BE1113" s="440">
        <v>0</v>
      </c>
      <c r="BF1113" s="440">
        <v>0</v>
      </c>
      <c r="BG1113" s="440">
        <v>0</v>
      </c>
      <c r="BH1113" s="440">
        <v>0</v>
      </c>
      <c r="BI1113" s="440">
        <v>0</v>
      </c>
      <c r="BJ1113" s="440">
        <v>0</v>
      </c>
      <c r="BK1113" s="440">
        <v>0</v>
      </c>
      <c r="BL1113" s="440">
        <v>0</v>
      </c>
      <c r="BM1113" s="440">
        <v>0</v>
      </c>
      <c r="BN1113" s="440">
        <v>0</v>
      </c>
      <c r="BO1113" s="440">
        <v>0</v>
      </c>
      <c r="BP1113" s="440">
        <v>0</v>
      </c>
      <c r="BQ1113" s="440">
        <v>0</v>
      </c>
      <c r="BR1113" s="415">
        <v>0</v>
      </c>
      <c r="BS1113" s="415">
        <v>0</v>
      </c>
      <c r="BT1113" s="935"/>
      <c r="BU1113" s="935"/>
      <c r="BV1113" s="935"/>
      <c r="BW1113" s="935"/>
      <c r="BX1113" s="935"/>
      <c r="BY1113" s="935"/>
      <c r="BZ1113" s="935"/>
      <c r="CA1113" s="935"/>
      <c r="CB1113" s="935"/>
      <c r="CC1113" s="935"/>
      <c r="CD1113" s="935"/>
      <c r="CE1113" s="935"/>
      <c r="CF1113" s="935"/>
      <c r="CG1113" s="935"/>
      <c r="CH1113" s="935"/>
      <c r="CI1113" s="935"/>
      <c r="CJ1113" s="935"/>
      <c r="CK1113" s="935"/>
      <c r="CL1113" s="935"/>
      <c r="CM1113" s="935"/>
      <c r="CN1113" s="935"/>
      <c r="CO1113" s="935"/>
      <c r="CP1113" s="935"/>
      <c r="CQ1113" s="935"/>
      <c r="CR1113" s="935"/>
      <c r="CS1113" s="935"/>
      <c r="CT1113" s="935"/>
      <c r="CU1113" s="935"/>
      <c r="CV1113" s="935"/>
    </row>
    <row r="1114" spans="1:104" s="441" customFormat="1">
      <c r="A1114" s="375">
        <f t="shared" si="308"/>
        <v>10</v>
      </c>
      <c r="B1114" s="862">
        <v>44499</v>
      </c>
      <c r="C1114" s="493" t="s">
        <v>2001</v>
      </c>
      <c r="D1114" s="376" t="str">
        <f>IFERROR(VLOOKUP(E:E,'Item Data Support Sheet'!A:O,7,0),"")</f>
        <v>BOTTLE PRINTED</v>
      </c>
      <c r="E1114" s="447" t="s">
        <v>64</v>
      </c>
      <c r="F1114" s="500"/>
      <c r="G1114" s="497"/>
      <c r="H1114" s="602" t="str">
        <f>IFERROR(VLOOKUP(E:E,'Item Data Support Sheet'!A:O,2,0),"")</f>
        <v>KPP 240 ML BOTTLE PRINTED</v>
      </c>
      <c r="I1114" s="501" t="s">
        <v>3876</v>
      </c>
      <c r="J1114" s="501" t="s">
        <v>2811</v>
      </c>
      <c r="K1114" s="499">
        <v>8</v>
      </c>
      <c r="L1114" s="499">
        <v>5100</v>
      </c>
      <c r="M1114" s="366">
        <v>637.5</v>
      </c>
      <c r="N1114" s="367">
        <f t="shared" si="307"/>
        <v>4956</v>
      </c>
      <c r="O1114" s="61">
        <v>4915</v>
      </c>
      <c r="P1114" s="368">
        <v>0</v>
      </c>
      <c r="Q1114" s="368">
        <v>0</v>
      </c>
      <c r="R1114" s="494">
        <v>49</v>
      </c>
      <c r="S1114" s="493">
        <v>0</v>
      </c>
      <c r="T1114" s="494">
        <v>41</v>
      </c>
      <c r="U1114" s="493">
        <v>0</v>
      </c>
      <c r="V1114" s="502">
        <v>5</v>
      </c>
      <c r="W1114" s="453">
        <f t="shared" si="309"/>
        <v>983</v>
      </c>
      <c r="X1114" s="748">
        <f t="shared" si="310"/>
        <v>0.96372549019607845</v>
      </c>
      <c r="Y1114" s="451" t="str">
        <f>IFERROR(VLOOKUP(E:E,'Item Data Support Sheet'!A:J,6,0),0)</f>
        <v>FO003</v>
      </c>
      <c r="Z1114" s="428">
        <f>IFERROR(VLOOKUP(E:E,'Item Data Support Sheet'!A:O,4,0),0)</f>
        <v>0</v>
      </c>
      <c r="AA1114" s="428">
        <f t="shared" si="311"/>
        <v>0</v>
      </c>
      <c r="AB1114" s="429" t="str">
        <f t="shared" si="312"/>
        <v xml:space="preserve"> </v>
      </c>
      <c r="AC1114" s="424">
        <f t="shared" si="313"/>
        <v>8.2728006456820012E-3</v>
      </c>
      <c r="AD1114" s="371">
        <f t="shared" si="314"/>
        <v>0</v>
      </c>
      <c r="AE1114" s="748">
        <f t="shared" si="315"/>
        <v>0.99172719935431797</v>
      </c>
      <c r="AF1114" s="417">
        <f t="shared" si="316"/>
        <v>0</v>
      </c>
      <c r="AG1114" s="416">
        <f t="shared" si="317"/>
        <v>8</v>
      </c>
      <c r="AH1114" s="372">
        <f t="shared" si="318"/>
        <v>1</v>
      </c>
      <c r="AI1114" s="373">
        <f t="shared" si="319"/>
        <v>614.375</v>
      </c>
      <c r="AJ1114" s="418">
        <f>VLOOKUP(D1114,'Standard Cycle time'!C:D,2,0)</f>
        <v>32.4</v>
      </c>
      <c r="AK1114" s="418">
        <f t="shared" si="320"/>
        <v>29.298067141403866</v>
      </c>
      <c r="AL1114" s="374">
        <f t="shared" si="321"/>
        <v>1.1058749999999999</v>
      </c>
      <c r="AM1114" s="372">
        <f t="shared" si="322"/>
        <v>1.0967263165859564</v>
      </c>
      <c r="AN1114" s="799">
        <v>1.0967263165859564</v>
      </c>
      <c r="AO1114" s="448"/>
      <c r="AP1114" s="440">
        <v>0</v>
      </c>
      <c r="AQ1114" s="440">
        <v>0</v>
      </c>
      <c r="AR1114" s="440">
        <v>0</v>
      </c>
      <c r="AS1114" s="440">
        <v>0</v>
      </c>
      <c r="AT1114" s="440">
        <v>0</v>
      </c>
      <c r="AU1114" s="440">
        <v>0</v>
      </c>
      <c r="AV1114" s="440">
        <v>0</v>
      </c>
      <c r="AW1114" s="440">
        <v>0</v>
      </c>
      <c r="AX1114" s="440">
        <v>0</v>
      </c>
      <c r="AY1114" s="440">
        <v>0</v>
      </c>
      <c r="AZ1114" s="440">
        <v>0</v>
      </c>
      <c r="BA1114" s="440">
        <v>0</v>
      </c>
      <c r="BB1114" s="440">
        <v>0</v>
      </c>
      <c r="BC1114" s="440">
        <v>0</v>
      </c>
      <c r="BD1114" s="440">
        <v>0</v>
      </c>
      <c r="BE1114" s="440">
        <v>0</v>
      </c>
      <c r="BF1114" s="440">
        <v>0</v>
      </c>
      <c r="BG1114" s="440">
        <v>0</v>
      </c>
      <c r="BH1114" s="440">
        <v>0</v>
      </c>
      <c r="BI1114" s="440">
        <v>0</v>
      </c>
      <c r="BJ1114" s="440">
        <v>0</v>
      </c>
      <c r="BK1114" s="440">
        <v>0</v>
      </c>
      <c r="BL1114" s="440">
        <v>0</v>
      </c>
      <c r="BM1114" s="440">
        <v>0</v>
      </c>
      <c r="BN1114" s="440">
        <v>0</v>
      </c>
      <c r="BO1114" s="440">
        <v>0</v>
      </c>
      <c r="BP1114" s="440">
        <v>0</v>
      </c>
      <c r="BQ1114" s="440">
        <v>0</v>
      </c>
      <c r="BR1114" s="415">
        <v>0</v>
      </c>
      <c r="BS1114" s="415">
        <v>0</v>
      </c>
      <c r="BT1114" s="935"/>
      <c r="BU1114" s="935"/>
      <c r="BV1114" s="935"/>
      <c r="BW1114" s="935"/>
      <c r="BX1114" s="935"/>
      <c r="BY1114" s="935"/>
      <c r="BZ1114" s="935"/>
      <c r="CA1114" s="935"/>
      <c r="CB1114" s="935"/>
      <c r="CC1114" s="935"/>
      <c r="CD1114" s="935"/>
      <c r="CE1114" s="935"/>
      <c r="CF1114" s="935"/>
      <c r="CG1114" s="935"/>
      <c r="CH1114" s="935"/>
      <c r="CI1114" s="935"/>
      <c r="CJ1114" s="935"/>
      <c r="CK1114" s="935"/>
      <c r="CL1114" s="935"/>
      <c r="CM1114" s="935"/>
      <c r="CN1114" s="935"/>
      <c r="CO1114" s="935"/>
      <c r="CP1114" s="935"/>
      <c r="CQ1114" s="935"/>
      <c r="CR1114" s="935"/>
      <c r="CS1114" s="935"/>
      <c r="CT1114" s="935"/>
      <c r="CU1114" s="935"/>
      <c r="CV1114" s="935"/>
    </row>
    <row r="1115" spans="1:104" s="441" customFormat="1">
      <c r="A1115" s="375">
        <f t="shared" si="308"/>
        <v>10</v>
      </c>
      <c r="B1115" s="862">
        <v>44499</v>
      </c>
      <c r="C1115" s="493" t="s">
        <v>2053</v>
      </c>
      <c r="D1115" s="376" t="str">
        <f>IFERROR(VLOOKUP(E:E,'Item Data Support Sheet'!A:O,7,0),"")</f>
        <v>BOTTLE MOLDED</v>
      </c>
      <c r="E1115" s="447" t="s">
        <v>115</v>
      </c>
      <c r="F1115" s="500" t="s">
        <v>1681</v>
      </c>
      <c r="G1115" s="497" t="s">
        <v>1888</v>
      </c>
      <c r="H1115" s="602" t="str">
        <f>IFERROR(VLOOKUP(E:E,'Item Data Support Sheet'!A:O,2,0),"")</f>
        <v>KPP BOTTLE 240 ML MOULDED-WMG3B</v>
      </c>
      <c r="I1115" s="501" t="s">
        <v>3860</v>
      </c>
      <c r="J1115" s="501" t="s">
        <v>2808</v>
      </c>
      <c r="K1115" s="499">
        <v>8</v>
      </c>
      <c r="L1115" s="499">
        <v>2503</v>
      </c>
      <c r="M1115" s="366">
        <v>312.875</v>
      </c>
      <c r="N1115" s="367">
        <f t="shared" si="307"/>
        <v>2828</v>
      </c>
      <c r="O1115" s="61">
        <v>2700</v>
      </c>
      <c r="P1115" s="368">
        <v>0.32</v>
      </c>
      <c r="Q1115" s="368">
        <v>62</v>
      </c>
      <c r="R1115" s="494">
        <v>0</v>
      </c>
      <c r="S1115" s="493">
        <v>0</v>
      </c>
      <c r="T1115" s="494">
        <v>58</v>
      </c>
      <c r="U1115" s="493">
        <v>8</v>
      </c>
      <c r="V1115" s="502">
        <v>1</v>
      </c>
      <c r="W1115" s="453">
        <f t="shared" si="309"/>
        <v>2700</v>
      </c>
      <c r="X1115" s="748">
        <f t="shared" si="310"/>
        <v>1.0787055533359968</v>
      </c>
      <c r="Y1115" s="451" t="str">
        <f>IFERROR(VLOOKUP(E:E,'Item Data Support Sheet'!A:J,6,0),0)</f>
        <v>WMG3B</v>
      </c>
      <c r="Z1115" s="428">
        <f>IFERROR(VLOOKUP(E:E,'Item Data Support Sheet'!A:O,4,0),0)</f>
        <v>33.1</v>
      </c>
      <c r="AA1115" s="428">
        <f t="shared" si="311"/>
        <v>93.9268</v>
      </c>
      <c r="AB1115" s="429">
        <f t="shared" si="312"/>
        <v>0.95148562497604539</v>
      </c>
      <c r="AC1115" s="424">
        <f t="shared" si="313"/>
        <v>2.1029731689630168E-2</v>
      </c>
      <c r="AD1115" s="371">
        <f t="shared" si="314"/>
        <v>2.1453287197231833E-2</v>
      </c>
      <c r="AE1115" s="748">
        <f t="shared" si="315"/>
        <v>0.9794908062234795</v>
      </c>
      <c r="AF1115" s="417">
        <f t="shared" si="316"/>
        <v>0.5</v>
      </c>
      <c r="AG1115" s="416">
        <f t="shared" si="317"/>
        <v>7.5</v>
      </c>
      <c r="AH1115" s="372">
        <f t="shared" si="318"/>
        <v>0.9375</v>
      </c>
      <c r="AI1115" s="373">
        <f t="shared" si="319"/>
        <v>337.5</v>
      </c>
      <c r="AJ1115" s="418">
        <f>VLOOKUP(D1115,'Standard Cycle time'!C:D,2,0)</f>
        <v>9</v>
      </c>
      <c r="AK1115" s="418">
        <f t="shared" si="320"/>
        <v>10</v>
      </c>
      <c r="AL1115" s="374">
        <f t="shared" si="321"/>
        <v>0.9</v>
      </c>
      <c r="AM1115" s="372">
        <f t="shared" si="322"/>
        <v>0.82644536775106081</v>
      </c>
      <c r="AN1115" s="799">
        <v>0.82644536775106081</v>
      </c>
      <c r="AO1115" s="448" t="s">
        <v>3877</v>
      </c>
      <c r="AP1115" s="440">
        <v>0</v>
      </c>
      <c r="AQ1115" s="440">
        <v>0</v>
      </c>
      <c r="AR1115" s="440">
        <v>0</v>
      </c>
      <c r="AS1115" s="440">
        <v>0</v>
      </c>
      <c r="AT1115" s="440">
        <v>0</v>
      </c>
      <c r="AU1115" s="440">
        <v>0</v>
      </c>
      <c r="AV1115" s="440">
        <v>0</v>
      </c>
      <c r="AW1115" s="440">
        <v>0</v>
      </c>
      <c r="AX1115" s="440">
        <v>0</v>
      </c>
      <c r="AY1115" s="440">
        <v>0</v>
      </c>
      <c r="AZ1115" s="440">
        <v>0</v>
      </c>
      <c r="BA1115" s="440">
        <v>0</v>
      </c>
      <c r="BB1115" s="440">
        <v>30</v>
      </c>
      <c r="BC1115" s="440">
        <v>0</v>
      </c>
      <c r="BD1115" s="440">
        <v>0</v>
      </c>
      <c r="BE1115" s="440">
        <v>0</v>
      </c>
      <c r="BF1115" s="440">
        <v>0</v>
      </c>
      <c r="BG1115" s="440">
        <v>0</v>
      </c>
      <c r="BH1115" s="440">
        <v>0</v>
      </c>
      <c r="BI1115" s="440">
        <v>0</v>
      </c>
      <c r="BJ1115" s="440">
        <v>0</v>
      </c>
      <c r="BK1115" s="440">
        <v>0</v>
      </c>
      <c r="BL1115" s="440">
        <v>0</v>
      </c>
      <c r="BM1115" s="440">
        <v>0</v>
      </c>
      <c r="BN1115" s="440">
        <v>0</v>
      </c>
      <c r="BO1115" s="440">
        <v>0</v>
      </c>
      <c r="BP1115" s="440">
        <v>0</v>
      </c>
      <c r="BQ1115" s="440">
        <v>0</v>
      </c>
      <c r="BR1115" s="415">
        <v>0.5</v>
      </c>
      <c r="BS1115" s="415">
        <v>0.5</v>
      </c>
      <c r="BT1115" s="935"/>
      <c r="BU1115" s="935"/>
      <c r="BV1115" s="935"/>
      <c r="BW1115" s="935"/>
      <c r="BX1115" s="935"/>
      <c r="BY1115" s="935"/>
      <c r="BZ1115" s="935"/>
      <c r="CA1115" s="935"/>
      <c r="CB1115" s="935"/>
      <c r="CC1115" s="935"/>
      <c r="CD1115" s="935"/>
      <c r="CE1115" s="935"/>
      <c r="CF1115" s="935"/>
      <c r="CG1115" s="935"/>
      <c r="CH1115" s="935"/>
      <c r="CI1115" s="935"/>
      <c r="CJ1115" s="935"/>
      <c r="CK1115" s="935"/>
      <c r="CL1115" s="935"/>
      <c r="CM1115" s="935"/>
      <c r="CN1115" s="935"/>
      <c r="CO1115" s="935"/>
      <c r="CP1115" s="935"/>
      <c r="CQ1115" s="935"/>
      <c r="CR1115" s="935"/>
      <c r="CS1115" s="935"/>
      <c r="CT1115" s="935"/>
      <c r="CU1115" s="935"/>
      <c r="CV1115" s="935"/>
    </row>
    <row r="1116" spans="1:104" s="441" customFormat="1">
      <c r="A1116" s="375">
        <f t="shared" si="308"/>
        <v>10</v>
      </c>
      <c r="B1116" s="862">
        <v>44499</v>
      </c>
      <c r="C1116" s="493" t="s">
        <v>2053</v>
      </c>
      <c r="D1116" s="376" t="str">
        <f>IFERROR(VLOOKUP(E:E,'Item Data Support Sheet'!A:O,7,0),"")</f>
        <v>HOOD MOLDED</v>
      </c>
      <c r="E1116" s="447" t="s">
        <v>1987</v>
      </c>
      <c r="F1116" s="500"/>
      <c r="G1116" s="497" t="s">
        <v>2729</v>
      </c>
      <c r="H1116" s="602" t="str">
        <f>IFERROR(VLOOKUP(E:E,'Item Data Support Sheet'!A:O,2,0),"")</f>
        <v>HOOD S TYPE MOLDED</v>
      </c>
      <c r="I1116" s="501" t="s">
        <v>3862</v>
      </c>
      <c r="J1116" s="501" t="s">
        <v>2808</v>
      </c>
      <c r="K1116" s="499">
        <v>8</v>
      </c>
      <c r="L1116" s="499">
        <v>4137</v>
      </c>
      <c r="M1116" s="366">
        <v>517.125</v>
      </c>
      <c r="N1116" s="367">
        <f t="shared" si="307"/>
        <v>4713</v>
      </c>
      <c r="O1116" s="61">
        <v>4700</v>
      </c>
      <c r="P1116" s="368">
        <v>0.1</v>
      </c>
      <c r="Q1116" s="368">
        <v>0</v>
      </c>
      <c r="R1116" s="494">
        <v>0</v>
      </c>
      <c r="S1116" s="493">
        <v>0</v>
      </c>
      <c r="T1116" s="494">
        <v>5</v>
      </c>
      <c r="U1116" s="493">
        <v>8</v>
      </c>
      <c r="V1116" s="502">
        <v>1</v>
      </c>
      <c r="W1116" s="453">
        <f t="shared" si="309"/>
        <v>4700</v>
      </c>
      <c r="X1116" s="748">
        <f t="shared" si="310"/>
        <v>1.1360889533478367</v>
      </c>
      <c r="Y1116" s="451" t="str">
        <f>IFERROR(VLOOKUP(E:E,'Item Data Support Sheet'!A:J,6,0),0)</f>
        <v>HMC</v>
      </c>
      <c r="Z1116" s="428">
        <f>IFERROR(VLOOKUP(E:E,'Item Data Support Sheet'!A:O,4,0),0)</f>
        <v>8.6</v>
      </c>
      <c r="AA1116" s="428">
        <f t="shared" si="311"/>
        <v>40.631799999999998</v>
      </c>
      <c r="AB1116" s="429">
        <f t="shared" si="312"/>
        <v>0.99478733405854536</v>
      </c>
      <c r="AC1116" s="424">
        <f t="shared" si="313"/>
        <v>1.0626992561105207E-3</v>
      </c>
      <c r="AD1116" s="371">
        <f t="shared" si="314"/>
        <v>0</v>
      </c>
      <c r="AE1116" s="748">
        <f t="shared" si="315"/>
        <v>0.99893910460428603</v>
      </c>
      <c r="AF1116" s="417">
        <f t="shared" si="316"/>
        <v>0.5</v>
      </c>
      <c r="AG1116" s="416">
        <f t="shared" si="317"/>
        <v>7.5</v>
      </c>
      <c r="AH1116" s="372">
        <f t="shared" si="318"/>
        <v>0.9375</v>
      </c>
      <c r="AI1116" s="373">
        <f t="shared" si="319"/>
        <v>587.5</v>
      </c>
      <c r="AJ1116" s="418">
        <f>VLOOKUP(D1116,'Standard Cycle time'!C:D,2,0)</f>
        <v>6</v>
      </c>
      <c r="AK1116" s="418">
        <f t="shared" si="320"/>
        <v>5.7446808510638299</v>
      </c>
      <c r="AL1116" s="374">
        <f t="shared" si="321"/>
        <v>1.0444444444444445</v>
      </c>
      <c r="AM1116" s="372">
        <f t="shared" si="322"/>
        <v>0.97812787325836337</v>
      </c>
      <c r="AN1116" s="799">
        <v>0.97812787325836337</v>
      </c>
      <c r="AO1116" s="448" t="s">
        <v>3877</v>
      </c>
      <c r="AP1116" s="440">
        <v>0</v>
      </c>
      <c r="AQ1116" s="440">
        <v>0</v>
      </c>
      <c r="AR1116" s="440">
        <v>0</v>
      </c>
      <c r="AS1116" s="440">
        <v>0</v>
      </c>
      <c r="AT1116" s="440">
        <v>0</v>
      </c>
      <c r="AU1116" s="440">
        <v>0</v>
      </c>
      <c r="AV1116" s="440">
        <v>0</v>
      </c>
      <c r="AW1116" s="440">
        <v>0</v>
      </c>
      <c r="AX1116" s="440">
        <v>0</v>
      </c>
      <c r="AY1116" s="440">
        <v>0</v>
      </c>
      <c r="AZ1116" s="440">
        <v>0</v>
      </c>
      <c r="BA1116" s="440">
        <v>0</v>
      </c>
      <c r="BB1116" s="440">
        <v>30</v>
      </c>
      <c r="BC1116" s="440">
        <v>0</v>
      </c>
      <c r="BD1116" s="440">
        <v>0</v>
      </c>
      <c r="BE1116" s="440">
        <v>0</v>
      </c>
      <c r="BF1116" s="440">
        <v>0</v>
      </c>
      <c r="BG1116" s="440">
        <v>0</v>
      </c>
      <c r="BH1116" s="440">
        <v>0</v>
      </c>
      <c r="BI1116" s="440">
        <v>0</v>
      </c>
      <c r="BJ1116" s="440">
        <v>0</v>
      </c>
      <c r="BK1116" s="440">
        <v>0</v>
      </c>
      <c r="BL1116" s="440">
        <v>0</v>
      </c>
      <c r="BM1116" s="440">
        <v>0</v>
      </c>
      <c r="BN1116" s="440">
        <v>0</v>
      </c>
      <c r="BO1116" s="440">
        <v>0</v>
      </c>
      <c r="BP1116" s="440">
        <v>0</v>
      </c>
      <c r="BQ1116" s="440">
        <v>0</v>
      </c>
      <c r="BR1116" s="415">
        <v>0.5</v>
      </c>
      <c r="BS1116" s="415">
        <v>0.5</v>
      </c>
      <c r="BT1116" s="935"/>
      <c r="BU1116" s="935"/>
      <c r="BV1116" s="935"/>
      <c r="BW1116" s="935"/>
      <c r="BX1116" s="935"/>
      <c r="BY1116" s="935"/>
      <c r="BZ1116" s="935"/>
      <c r="CA1116" s="935"/>
      <c r="CB1116" s="935"/>
      <c r="CC1116" s="935"/>
      <c r="CD1116" s="935"/>
      <c r="CE1116" s="935"/>
      <c r="CF1116" s="935"/>
      <c r="CG1116" s="935"/>
      <c r="CH1116" s="935"/>
      <c r="CI1116" s="935"/>
      <c r="CJ1116" s="935"/>
      <c r="CK1116" s="935"/>
      <c r="CL1116" s="935"/>
      <c r="CM1116" s="935"/>
      <c r="CN1116" s="935"/>
      <c r="CO1116" s="935"/>
      <c r="CP1116" s="935"/>
      <c r="CQ1116" s="935"/>
      <c r="CR1116" s="935"/>
      <c r="CS1116" s="935"/>
      <c r="CT1116" s="935"/>
      <c r="CU1116" s="935"/>
      <c r="CV1116" s="935"/>
    </row>
    <row r="1117" spans="1:104" s="441" customFormat="1">
      <c r="A1117" s="375">
        <f t="shared" si="308"/>
        <v>10</v>
      </c>
      <c r="B1117" s="862">
        <v>44499</v>
      </c>
      <c r="C1117" s="493" t="s">
        <v>2053</v>
      </c>
      <c r="D1117" s="376" t="str">
        <f>IFERROR(VLOOKUP(E:E,'Item Data Support Sheet'!A:O,7,0),"")</f>
        <v>NIPPLE MOLDED</v>
      </c>
      <c r="E1117" s="447" t="s">
        <v>72</v>
      </c>
      <c r="F1117" s="500" t="s">
        <v>1678</v>
      </c>
      <c r="G1117" s="497" t="s">
        <v>1691</v>
      </c>
      <c r="H1117" s="602" t="str">
        <f>IFERROR(VLOOKUP(E:E,'Item Data Support Sheet'!A:O,2,0),"")</f>
        <v>NIPPLE S TYPE S SIZE INJECTION</v>
      </c>
      <c r="I1117" s="501" t="s">
        <v>3863</v>
      </c>
      <c r="J1117" s="501" t="s">
        <v>2808</v>
      </c>
      <c r="K1117" s="499">
        <v>8</v>
      </c>
      <c r="L1117" s="499">
        <v>4815</v>
      </c>
      <c r="M1117" s="366">
        <v>601.875</v>
      </c>
      <c r="N1117" s="367">
        <f t="shared" si="307"/>
        <v>4785</v>
      </c>
      <c r="O1117" s="61">
        <v>4730</v>
      </c>
      <c r="P1117" s="368">
        <v>0.6</v>
      </c>
      <c r="Q1117" s="368">
        <v>0</v>
      </c>
      <c r="R1117" s="494">
        <v>0</v>
      </c>
      <c r="S1117" s="493">
        <v>0</v>
      </c>
      <c r="T1117" s="494">
        <v>47</v>
      </c>
      <c r="U1117" s="493">
        <v>8</v>
      </c>
      <c r="V1117" s="502">
        <v>1</v>
      </c>
      <c r="W1117" s="453">
        <f t="shared" si="309"/>
        <v>4730</v>
      </c>
      <c r="X1117" s="748">
        <f t="shared" si="310"/>
        <v>0.98234683281412249</v>
      </c>
      <c r="Y1117" s="451" t="str">
        <f>IFERROR(VLOOKUP(E:E,'Item Data Support Sheet'!A:J,6,0),0)</f>
        <v>Silicon</v>
      </c>
      <c r="Z1117" s="428">
        <f>IFERROR(VLOOKUP(E:E,'Item Data Support Sheet'!A:O,4,0),0)</f>
        <v>6.8</v>
      </c>
      <c r="AA1117" s="428">
        <f t="shared" si="311"/>
        <v>33.137999999999998</v>
      </c>
      <c r="AB1117" s="429">
        <f t="shared" si="312"/>
        <v>0.97060776148228634</v>
      </c>
      <c r="AC1117" s="424">
        <f t="shared" si="313"/>
        <v>9.8388109692275488E-3</v>
      </c>
      <c r="AD1117" s="371">
        <f t="shared" si="314"/>
        <v>0</v>
      </c>
      <c r="AE1117" s="748">
        <f t="shared" si="315"/>
        <v>0.99017763845350049</v>
      </c>
      <c r="AF1117" s="417">
        <f t="shared" si="316"/>
        <v>0.5</v>
      </c>
      <c r="AG1117" s="416">
        <f t="shared" si="317"/>
        <v>7.5</v>
      </c>
      <c r="AH1117" s="372">
        <f t="shared" si="318"/>
        <v>0.9375</v>
      </c>
      <c r="AI1117" s="373">
        <f t="shared" si="319"/>
        <v>591.25</v>
      </c>
      <c r="AJ1117" s="418">
        <f>VLOOKUP(D1117,'Standard Cycle time'!C:D,2,0)</f>
        <v>5.25</v>
      </c>
      <c r="AK1117" s="418">
        <f t="shared" si="320"/>
        <v>5.7082452431289639</v>
      </c>
      <c r="AL1117" s="374">
        <f t="shared" si="321"/>
        <v>0.91972222222222222</v>
      </c>
      <c r="AM1117" s="372">
        <f t="shared" si="322"/>
        <v>0.85377035440613025</v>
      </c>
      <c r="AN1117" s="799">
        <v>0.85377035440613025</v>
      </c>
      <c r="AO1117" s="448" t="s">
        <v>3877</v>
      </c>
      <c r="AP1117" s="440">
        <v>0</v>
      </c>
      <c r="AQ1117" s="440">
        <v>0</v>
      </c>
      <c r="AR1117" s="440">
        <v>0</v>
      </c>
      <c r="AS1117" s="440">
        <v>0</v>
      </c>
      <c r="AT1117" s="440">
        <v>0</v>
      </c>
      <c r="AU1117" s="440">
        <v>0</v>
      </c>
      <c r="AV1117" s="440">
        <v>0</v>
      </c>
      <c r="AW1117" s="440">
        <v>0</v>
      </c>
      <c r="AX1117" s="440">
        <v>0</v>
      </c>
      <c r="AY1117" s="440">
        <v>0</v>
      </c>
      <c r="AZ1117" s="440">
        <v>0</v>
      </c>
      <c r="BA1117" s="440">
        <v>0</v>
      </c>
      <c r="BB1117" s="440">
        <v>30</v>
      </c>
      <c r="BC1117" s="440">
        <v>0</v>
      </c>
      <c r="BD1117" s="440">
        <v>0</v>
      </c>
      <c r="BE1117" s="440">
        <v>0</v>
      </c>
      <c r="BF1117" s="440">
        <v>0</v>
      </c>
      <c r="BG1117" s="440">
        <v>0</v>
      </c>
      <c r="BH1117" s="440">
        <v>0</v>
      </c>
      <c r="BI1117" s="440">
        <v>0</v>
      </c>
      <c r="BJ1117" s="440">
        <v>0</v>
      </c>
      <c r="BK1117" s="440">
        <v>0</v>
      </c>
      <c r="BL1117" s="440">
        <v>0</v>
      </c>
      <c r="BM1117" s="440">
        <v>0</v>
      </c>
      <c r="BN1117" s="440">
        <v>0</v>
      </c>
      <c r="BO1117" s="440">
        <v>0</v>
      </c>
      <c r="BP1117" s="440">
        <v>0</v>
      </c>
      <c r="BQ1117" s="440">
        <v>0</v>
      </c>
      <c r="BR1117" s="415">
        <v>0.5</v>
      </c>
      <c r="BS1117" s="415">
        <v>0.5</v>
      </c>
      <c r="BT1117" s="935"/>
      <c r="BU1117" s="935"/>
      <c r="BV1117" s="935"/>
      <c r="BW1117" s="935"/>
      <c r="BX1117" s="935"/>
      <c r="BY1117" s="935"/>
      <c r="BZ1117" s="935"/>
      <c r="CA1117" s="935"/>
      <c r="CB1117" s="935"/>
      <c r="CC1117" s="935"/>
      <c r="CD1117" s="935"/>
      <c r="CE1117" s="935"/>
      <c r="CF1117" s="935"/>
      <c r="CG1117" s="935"/>
      <c r="CH1117" s="935"/>
      <c r="CI1117" s="935"/>
      <c r="CJ1117" s="935"/>
      <c r="CK1117" s="935"/>
      <c r="CL1117" s="935"/>
      <c r="CM1117" s="935"/>
      <c r="CN1117" s="935"/>
      <c r="CO1117" s="935"/>
      <c r="CP1117" s="935"/>
      <c r="CQ1117" s="935"/>
      <c r="CR1117" s="935"/>
      <c r="CS1117" s="935"/>
      <c r="CT1117" s="935"/>
      <c r="CU1117" s="935"/>
      <c r="CV1117" s="935"/>
    </row>
    <row r="1118" spans="1:104" s="441" customFormat="1">
      <c r="A1118" s="375">
        <f t="shared" si="308"/>
        <v>11</v>
      </c>
      <c r="B1118" s="862">
        <v>44501</v>
      </c>
      <c r="C1118" s="493" t="s">
        <v>1980</v>
      </c>
      <c r="D1118" s="376" t="str">
        <f>IFERROR(VLOOKUP(E:E,'Item Data Support Sheet'!A:O,7,0),"")</f>
        <v>HOOD MOLDED</v>
      </c>
      <c r="E1118" s="447" t="s">
        <v>1987</v>
      </c>
      <c r="F1118" s="500"/>
      <c r="G1118" s="497" t="s">
        <v>2729</v>
      </c>
      <c r="H1118" s="602" t="str">
        <f>IFERROR(VLOOKUP(E:E,'Item Data Support Sheet'!A:O,2,0),"")</f>
        <v>HOOD S TYPE MOLDED</v>
      </c>
      <c r="I1118" s="501" t="s">
        <v>3878</v>
      </c>
      <c r="J1118" s="501" t="s">
        <v>2808</v>
      </c>
      <c r="K1118" s="499">
        <v>8</v>
      </c>
      <c r="L1118" s="499">
        <v>4137</v>
      </c>
      <c r="M1118" s="366">
        <v>517.125</v>
      </c>
      <c r="N1118" s="367">
        <f t="shared" si="307"/>
        <v>4058</v>
      </c>
      <c r="O1118" s="61">
        <v>4000</v>
      </c>
      <c r="P1118" s="368">
        <v>0.1</v>
      </c>
      <c r="Q1118" s="368">
        <v>30</v>
      </c>
      <c r="R1118" s="494">
        <v>0</v>
      </c>
      <c r="S1118" s="493">
        <v>0</v>
      </c>
      <c r="T1118" s="494">
        <v>20</v>
      </c>
      <c r="U1118" s="493">
        <v>8</v>
      </c>
      <c r="V1118" s="502">
        <v>1</v>
      </c>
      <c r="W1118" s="453">
        <f t="shared" si="309"/>
        <v>4000</v>
      </c>
      <c r="X1118" s="748">
        <f t="shared" si="310"/>
        <v>0.96688421561518012</v>
      </c>
      <c r="Y1118" s="451" t="str">
        <f>IFERROR(VLOOKUP(E:E,'Item Data Support Sheet'!A:J,6,0),0)</f>
        <v>HMC</v>
      </c>
      <c r="Z1118" s="428">
        <f>IFERROR(VLOOKUP(E:E,'Item Data Support Sheet'!A:O,4,0),0)</f>
        <v>8.6</v>
      </c>
      <c r="AA1118" s="428">
        <f t="shared" si="311"/>
        <v>34.998800000000003</v>
      </c>
      <c r="AB1118" s="429">
        <f t="shared" si="312"/>
        <v>0.9828908419717246</v>
      </c>
      <c r="AC1118" s="424">
        <f t="shared" si="313"/>
        <v>4.9751243781094526E-3</v>
      </c>
      <c r="AD1118" s="371">
        <f t="shared" si="314"/>
        <v>7.3385518590998039E-3</v>
      </c>
      <c r="AE1118" s="748">
        <f t="shared" si="315"/>
        <v>0.99507146377525879</v>
      </c>
      <c r="AF1118" s="417">
        <f t="shared" si="316"/>
        <v>0.5</v>
      </c>
      <c r="AG1118" s="416">
        <f t="shared" si="317"/>
        <v>7.5</v>
      </c>
      <c r="AH1118" s="372">
        <f t="shared" si="318"/>
        <v>0.9375</v>
      </c>
      <c r="AI1118" s="373">
        <f t="shared" si="319"/>
        <v>500</v>
      </c>
      <c r="AJ1118" s="418">
        <f>VLOOKUP(D1118,'Standard Cycle time'!C:D,2,0)</f>
        <v>6</v>
      </c>
      <c r="AK1118" s="418">
        <f t="shared" si="320"/>
        <v>6.75</v>
      </c>
      <c r="AL1118" s="374">
        <f t="shared" si="321"/>
        <v>0.88888888888888884</v>
      </c>
      <c r="AM1118" s="372">
        <f t="shared" si="322"/>
        <v>0.8292262198127156</v>
      </c>
      <c r="AN1118" s="799">
        <v>0.8292262198127156</v>
      </c>
      <c r="AO1118" s="448" t="s">
        <v>3879</v>
      </c>
      <c r="AP1118" s="440">
        <v>0</v>
      </c>
      <c r="AQ1118" s="440">
        <v>0</v>
      </c>
      <c r="AR1118" s="440">
        <v>0</v>
      </c>
      <c r="AS1118" s="440">
        <v>0</v>
      </c>
      <c r="AT1118" s="440">
        <v>0</v>
      </c>
      <c r="AU1118" s="440">
        <v>0</v>
      </c>
      <c r="AV1118" s="440">
        <v>0</v>
      </c>
      <c r="AW1118" s="440">
        <v>0</v>
      </c>
      <c r="AX1118" s="440">
        <v>0</v>
      </c>
      <c r="AY1118" s="440">
        <v>0</v>
      </c>
      <c r="AZ1118" s="440">
        <v>0</v>
      </c>
      <c r="BA1118" s="440">
        <v>0</v>
      </c>
      <c r="BB1118" s="440">
        <v>30</v>
      </c>
      <c r="BC1118" s="440">
        <v>0</v>
      </c>
      <c r="BD1118" s="440">
        <v>0</v>
      </c>
      <c r="BE1118" s="440">
        <v>0</v>
      </c>
      <c r="BF1118" s="440">
        <v>0</v>
      </c>
      <c r="BG1118" s="440">
        <v>0</v>
      </c>
      <c r="BH1118" s="440">
        <v>0</v>
      </c>
      <c r="BI1118" s="440">
        <v>0</v>
      </c>
      <c r="BJ1118" s="440">
        <v>0</v>
      </c>
      <c r="BK1118" s="440">
        <v>0</v>
      </c>
      <c r="BL1118" s="440">
        <v>0</v>
      </c>
      <c r="BM1118" s="440">
        <v>0</v>
      </c>
      <c r="BN1118" s="440">
        <v>0</v>
      </c>
      <c r="BO1118" s="440">
        <v>0</v>
      </c>
      <c r="BP1118" s="440">
        <v>0</v>
      </c>
      <c r="BQ1118" s="440">
        <v>0</v>
      </c>
      <c r="BR1118" s="415">
        <v>0.5</v>
      </c>
      <c r="BS1118" s="415">
        <v>0.5</v>
      </c>
      <c r="BT1118" s="935"/>
      <c r="BU1118" s="935"/>
      <c r="BV1118" s="935"/>
      <c r="BW1118" s="935"/>
      <c r="BX1118" s="935"/>
      <c r="BY1118" s="935"/>
      <c r="BZ1118" s="935"/>
      <c r="CA1118" s="935"/>
      <c r="CB1118" s="935"/>
      <c r="CC1118" s="935"/>
      <c r="CD1118" s="935"/>
      <c r="CE1118" s="935"/>
      <c r="CF1118" s="935"/>
      <c r="CG1118" s="935"/>
      <c r="CH1118" s="935"/>
      <c r="CI1118" s="935"/>
      <c r="CJ1118" s="935"/>
      <c r="CK1118" s="935"/>
      <c r="CL1118" s="935"/>
      <c r="CM1118" s="935"/>
      <c r="CN1118" s="935"/>
      <c r="CO1118" s="935"/>
      <c r="CP1118" s="935"/>
      <c r="CQ1118" s="935"/>
      <c r="CR1118" s="935"/>
      <c r="CS1118" s="935"/>
      <c r="CT1118" s="935"/>
      <c r="CU1118" s="935"/>
      <c r="CV1118" s="935"/>
      <c r="CX1118" s="441" t="s">
        <v>2808</v>
      </c>
      <c r="CY1118" s="441" t="s">
        <v>2004</v>
      </c>
    </row>
    <row r="1119" spans="1:104" s="441" customFormat="1">
      <c r="A1119" s="375">
        <f t="shared" si="308"/>
        <v>11</v>
      </c>
      <c r="B1119" s="862">
        <v>44501</v>
      </c>
      <c r="C1119" s="493" t="s">
        <v>1980</v>
      </c>
      <c r="D1119" s="376" t="str">
        <f>IFERROR(VLOOKUP(E:E,'Item Data Support Sheet'!A:O,7,0),"")</f>
        <v>BOTTLE MOLDED</v>
      </c>
      <c r="E1119" s="447" t="s">
        <v>115</v>
      </c>
      <c r="F1119" s="500" t="s">
        <v>1681</v>
      </c>
      <c r="G1119" s="497" t="s">
        <v>1888</v>
      </c>
      <c r="H1119" s="602" t="str">
        <f>IFERROR(VLOOKUP(E:E,'Item Data Support Sheet'!A:O,2,0),"")</f>
        <v>KPP BOTTLE 240 ML MOULDED-WMG3B</v>
      </c>
      <c r="I1119" s="501" t="s">
        <v>3880</v>
      </c>
      <c r="J1119" s="501" t="s">
        <v>2808</v>
      </c>
      <c r="K1119" s="499">
        <v>8</v>
      </c>
      <c r="L1119" s="499">
        <v>2503</v>
      </c>
      <c r="M1119" s="366">
        <v>312.875</v>
      </c>
      <c r="N1119" s="367">
        <f t="shared" si="307"/>
        <v>2511</v>
      </c>
      <c r="O1119" s="61">
        <v>2376</v>
      </c>
      <c r="P1119" s="368">
        <v>0.12</v>
      </c>
      <c r="Q1119" s="368">
        <v>67</v>
      </c>
      <c r="R1119" s="494">
        <v>0</v>
      </c>
      <c r="S1119" s="493">
        <v>0</v>
      </c>
      <c r="T1119" s="494">
        <v>52</v>
      </c>
      <c r="U1119" s="493">
        <v>16</v>
      </c>
      <c r="V1119" s="502">
        <v>1</v>
      </c>
      <c r="W1119" s="453">
        <f t="shared" si="309"/>
        <v>2376</v>
      </c>
      <c r="X1119" s="748">
        <f t="shared" si="310"/>
        <v>0.94926088693567723</v>
      </c>
      <c r="Y1119" s="451" t="str">
        <f>IFERROR(VLOOKUP(E:E,'Item Data Support Sheet'!A:J,6,0),0)</f>
        <v>WMG3B</v>
      </c>
      <c r="Z1119" s="428">
        <f>IFERROR(VLOOKUP(E:E,'Item Data Support Sheet'!A:O,4,0),0)</f>
        <v>33.1</v>
      </c>
      <c r="AA1119" s="428">
        <f t="shared" si="311"/>
        <v>83.234100000000012</v>
      </c>
      <c r="AB1119" s="429">
        <f t="shared" si="312"/>
        <v>0.94487235399914227</v>
      </c>
      <c r="AC1119" s="424">
        <f t="shared" si="313"/>
        <v>2.1416803953871501E-2</v>
      </c>
      <c r="AD1119" s="371">
        <f t="shared" si="314"/>
        <v>2.5989138867339022E-2</v>
      </c>
      <c r="AE1119" s="748">
        <f t="shared" si="315"/>
        <v>0.97929111907606536</v>
      </c>
      <c r="AF1119" s="417">
        <f t="shared" si="316"/>
        <v>2.1666666666666665</v>
      </c>
      <c r="AG1119" s="416">
        <f t="shared" si="317"/>
        <v>5.8333333333333339</v>
      </c>
      <c r="AH1119" s="372">
        <f t="shared" si="318"/>
        <v>0.72916666666666674</v>
      </c>
      <c r="AI1119" s="373">
        <f t="shared" si="319"/>
        <v>297</v>
      </c>
      <c r="AJ1119" s="418">
        <f>VLOOKUP(D1119,'Standard Cycle time'!C:D,2,0)</f>
        <v>9</v>
      </c>
      <c r="AK1119" s="418">
        <f t="shared" si="320"/>
        <v>8.8383838383838391</v>
      </c>
      <c r="AL1119" s="374">
        <f t="shared" si="321"/>
        <v>1.0182857142857142</v>
      </c>
      <c r="AM1119" s="372">
        <f t="shared" si="322"/>
        <v>0.72712365591397854</v>
      </c>
      <c r="AN1119" s="799">
        <v>0.72712365591397854</v>
      </c>
      <c r="AO1119" s="448" t="s">
        <v>3881</v>
      </c>
      <c r="AP1119" s="440">
        <v>0</v>
      </c>
      <c r="AQ1119" s="440">
        <v>0</v>
      </c>
      <c r="AR1119" s="440">
        <v>70</v>
      </c>
      <c r="AS1119" s="440">
        <v>0</v>
      </c>
      <c r="AT1119" s="440">
        <v>0</v>
      </c>
      <c r="AU1119" s="440">
        <v>0</v>
      </c>
      <c r="AV1119" s="440">
        <v>30</v>
      </c>
      <c r="AW1119" s="440">
        <v>0</v>
      </c>
      <c r="AX1119" s="440">
        <v>0</v>
      </c>
      <c r="AY1119" s="440">
        <v>0</v>
      </c>
      <c r="AZ1119" s="440">
        <v>0</v>
      </c>
      <c r="BA1119" s="440">
        <v>0</v>
      </c>
      <c r="BB1119" s="440">
        <v>30</v>
      </c>
      <c r="BC1119" s="440">
        <v>0</v>
      </c>
      <c r="BD1119" s="440">
        <v>0</v>
      </c>
      <c r="BE1119" s="440">
        <v>0</v>
      </c>
      <c r="BF1119" s="440">
        <v>0</v>
      </c>
      <c r="BG1119" s="440">
        <v>0</v>
      </c>
      <c r="BH1119" s="440">
        <v>0</v>
      </c>
      <c r="BI1119" s="440">
        <v>0</v>
      </c>
      <c r="BJ1119" s="440">
        <v>0</v>
      </c>
      <c r="BK1119" s="440">
        <v>0</v>
      </c>
      <c r="BL1119" s="440">
        <v>0</v>
      </c>
      <c r="BM1119" s="440">
        <v>0</v>
      </c>
      <c r="BN1119" s="440">
        <v>0</v>
      </c>
      <c r="BO1119" s="440">
        <v>0</v>
      </c>
      <c r="BP1119" s="440">
        <v>0</v>
      </c>
      <c r="BQ1119" s="440">
        <v>0</v>
      </c>
      <c r="BR1119" s="415">
        <v>2.1666666666666665</v>
      </c>
      <c r="BS1119" s="415">
        <v>2.1666666666666665</v>
      </c>
      <c r="BT1119" s="935"/>
      <c r="BU1119" s="935"/>
      <c r="BV1119" s="935"/>
      <c r="BW1119" s="935"/>
      <c r="BX1119" s="935"/>
      <c r="BY1119" s="935"/>
      <c r="BZ1119" s="935"/>
      <c r="CA1119" s="935"/>
      <c r="CB1119" s="935"/>
      <c r="CC1119" s="935"/>
      <c r="CD1119" s="935"/>
      <c r="CE1119" s="935"/>
      <c r="CF1119" s="935"/>
      <c r="CG1119" s="935"/>
      <c r="CH1119" s="935"/>
      <c r="CI1119" s="935"/>
      <c r="CJ1119" s="935"/>
      <c r="CK1119" s="935"/>
      <c r="CL1119" s="935"/>
      <c r="CM1119" s="935"/>
      <c r="CN1119" s="935"/>
      <c r="CO1119" s="935"/>
      <c r="CP1119" s="935"/>
      <c r="CQ1119" s="935"/>
      <c r="CR1119" s="935"/>
      <c r="CS1119" s="935"/>
      <c r="CT1119" s="935"/>
      <c r="CU1119" s="935"/>
      <c r="CV1119" s="935"/>
      <c r="CX1119" s="441" t="s">
        <v>2826</v>
      </c>
      <c r="CY1119" s="441" t="s">
        <v>3473</v>
      </c>
    </row>
    <row r="1120" spans="1:104" s="441" customFormat="1">
      <c r="A1120" s="375">
        <f t="shared" si="308"/>
        <v>11</v>
      </c>
      <c r="B1120" s="862">
        <v>44501</v>
      </c>
      <c r="C1120" s="493" t="s">
        <v>1980</v>
      </c>
      <c r="D1120" s="376" t="str">
        <f>IFERROR(VLOOKUP(E:E,'Item Data Support Sheet'!A:O,7,0),"")</f>
        <v>NIPPLE MOLDED</v>
      </c>
      <c r="E1120" s="447" t="s">
        <v>72</v>
      </c>
      <c r="F1120" s="500" t="s">
        <v>1678</v>
      </c>
      <c r="G1120" s="497" t="s">
        <v>1691</v>
      </c>
      <c r="H1120" s="602" t="str">
        <f>IFERROR(VLOOKUP(E:E,'Item Data Support Sheet'!A:O,2,0),"")</f>
        <v>NIPPLE S TYPE S SIZE INJECTION</v>
      </c>
      <c r="I1120" s="501" t="s">
        <v>3882</v>
      </c>
      <c r="J1120" s="501" t="s">
        <v>2808</v>
      </c>
      <c r="K1120" s="499">
        <v>8</v>
      </c>
      <c r="L1120" s="499">
        <v>4815</v>
      </c>
      <c r="M1120" s="366">
        <v>601.875</v>
      </c>
      <c r="N1120" s="367">
        <f t="shared" si="307"/>
        <v>4665</v>
      </c>
      <c r="O1120" s="61">
        <v>4500</v>
      </c>
      <c r="P1120" s="368">
        <v>6.9970000000000008</v>
      </c>
      <c r="Q1120" s="368">
        <v>94</v>
      </c>
      <c r="R1120" s="494">
        <v>0</v>
      </c>
      <c r="S1120" s="493">
        <v>0</v>
      </c>
      <c r="T1120" s="494">
        <v>55</v>
      </c>
      <c r="U1120" s="493">
        <v>16</v>
      </c>
      <c r="V1120" s="502">
        <v>1</v>
      </c>
      <c r="W1120" s="453">
        <f t="shared" si="309"/>
        <v>4500</v>
      </c>
      <c r="X1120" s="748">
        <f t="shared" si="310"/>
        <v>0.93457943925233644</v>
      </c>
      <c r="Y1120" s="451" t="str">
        <f>IFERROR(VLOOKUP(E:E,'Item Data Support Sheet'!A:J,6,0),0)</f>
        <v>Silicon</v>
      </c>
      <c r="Z1120" s="428">
        <f>IFERROR(VLOOKUP(E:E,'Item Data Support Sheet'!A:O,4,0),0)</f>
        <v>6.8</v>
      </c>
      <c r="AA1120" s="428">
        <f t="shared" si="311"/>
        <v>38.719000000000001</v>
      </c>
      <c r="AB1120" s="429">
        <f t="shared" si="312"/>
        <v>0.79030966708850947</v>
      </c>
      <c r="AC1120" s="424">
        <f t="shared" si="313"/>
        <v>1.2074643249176729E-2</v>
      </c>
      <c r="AD1120" s="371">
        <f t="shared" si="314"/>
        <v>1.9752048749737339E-2</v>
      </c>
      <c r="AE1120" s="748">
        <f t="shared" si="315"/>
        <v>0.98821007502679525</v>
      </c>
      <c r="AF1120" s="417">
        <f t="shared" si="316"/>
        <v>1.6666666666666667</v>
      </c>
      <c r="AG1120" s="416">
        <f t="shared" si="317"/>
        <v>6.333333333333333</v>
      </c>
      <c r="AH1120" s="372">
        <f t="shared" si="318"/>
        <v>0.79166666666666663</v>
      </c>
      <c r="AI1120" s="373">
        <f t="shared" si="319"/>
        <v>562.5</v>
      </c>
      <c r="AJ1120" s="418">
        <f>VLOOKUP(D1120,'Standard Cycle time'!C:D,2,0)</f>
        <v>5.25</v>
      </c>
      <c r="AK1120" s="418">
        <f t="shared" si="320"/>
        <v>5.0666666666666664</v>
      </c>
      <c r="AL1120" s="374">
        <f t="shared" si="321"/>
        <v>1.0361842105263159</v>
      </c>
      <c r="AM1120" s="372">
        <f t="shared" si="322"/>
        <v>0.810641077170418</v>
      </c>
      <c r="AN1120" s="799">
        <v>0.810641077170418</v>
      </c>
      <c r="AO1120" s="448" t="s">
        <v>3883</v>
      </c>
      <c r="AP1120" s="440">
        <v>0</v>
      </c>
      <c r="AQ1120" s="440">
        <v>0</v>
      </c>
      <c r="AR1120" s="440">
        <v>0</v>
      </c>
      <c r="AS1120" s="440">
        <v>0</v>
      </c>
      <c r="AT1120" s="440">
        <v>0</v>
      </c>
      <c r="AU1120" s="440">
        <v>30</v>
      </c>
      <c r="AV1120" s="440">
        <v>0</v>
      </c>
      <c r="AW1120" s="440">
        <v>0</v>
      </c>
      <c r="AX1120" s="440">
        <v>0</v>
      </c>
      <c r="AY1120" s="440">
        <v>0</v>
      </c>
      <c r="AZ1120" s="440">
        <v>0</v>
      </c>
      <c r="BA1120" s="440">
        <v>0</v>
      </c>
      <c r="BB1120" s="440">
        <v>70</v>
      </c>
      <c r="BC1120" s="440">
        <v>0</v>
      </c>
      <c r="BD1120" s="440">
        <v>0</v>
      </c>
      <c r="BE1120" s="440">
        <v>0</v>
      </c>
      <c r="BF1120" s="440">
        <v>0</v>
      </c>
      <c r="BG1120" s="440">
        <v>0</v>
      </c>
      <c r="BH1120" s="440">
        <v>0</v>
      </c>
      <c r="BI1120" s="440">
        <v>0</v>
      </c>
      <c r="BJ1120" s="440">
        <v>0</v>
      </c>
      <c r="BK1120" s="440">
        <v>0</v>
      </c>
      <c r="BL1120" s="440">
        <v>0</v>
      </c>
      <c r="BM1120" s="440">
        <v>0</v>
      </c>
      <c r="BN1120" s="440">
        <v>0</v>
      </c>
      <c r="BO1120" s="440">
        <v>0</v>
      </c>
      <c r="BP1120" s="440">
        <v>0</v>
      </c>
      <c r="BQ1120" s="440">
        <v>0</v>
      </c>
      <c r="BR1120" s="415">
        <v>1.6666666666666667</v>
      </c>
      <c r="BS1120" s="415">
        <v>1.6666666666666667</v>
      </c>
      <c r="BT1120" s="935"/>
      <c r="BU1120" s="935"/>
      <c r="BV1120" s="935"/>
      <c r="BW1120" s="935"/>
      <c r="BX1120" s="935"/>
      <c r="BY1120" s="935"/>
      <c r="BZ1120" s="935"/>
      <c r="CA1120" s="935"/>
      <c r="CB1120" s="935"/>
      <c r="CC1120" s="935"/>
      <c r="CD1120" s="935"/>
      <c r="CE1120" s="935"/>
      <c r="CF1120" s="935"/>
      <c r="CG1120" s="935"/>
      <c r="CH1120" s="935"/>
      <c r="CI1120" s="935"/>
      <c r="CJ1120" s="935"/>
      <c r="CK1120" s="935"/>
      <c r="CL1120" s="935"/>
      <c r="CM1120" s="935"/>
      <c r="CN1120" s="935"/>
      <c r="CO1120" s="935"/>
      <c r="CP1120" s="935"/>
      <c r="CQ1120" s="935"/>
      <c r="CR1120" s="935"/>
      <c r="CS1120" s="935"/>
      <c r="CT1120" s="935"/>
      <c r="CU1120" s="935"/>
      <c r="CV1120" s="935"/>
      <c r="CX1120" s="441" t="s">
        <v>2811</v>
      </c>
      <c r="CY1120" s="441" t="s">
        <v>2003</v>
      </c>
      <c r="CZ1120" s="441">
        <v>38.719000000000001</v>
      </c>
    </row>
    <row r="1121" spans="1:104" s="441" customFormat="1">
      <c r="A1121" s="375">
        <f t="shared" si="308"/>
        <v>11</v>
      </c>
      <c r="B1121" s="862">
        <v>44501</v>
      </c>
      <c r="C1121" s="493" t="s">
        <v>1980</v>
      </c>
      <c r="D1121" s="376" t="str">
        <f>IFERROR(VLOOKUP(E:E,'Item Data Support Sheet'!A:O,7,0),"")</f>
        <v>NIPPLE PUNCH</v>
      </c>
      <c r="E1121" s="447" t="s">
        <v>80</v>
      </c>
      <c r="F1121" s="500"/>
      <c r="G1121" s="497" t="s">
        <v>1692</v>
      </c>
      <c r="H1121" s="602" t="str">
        <f>IFERROR(VLOOKUP(E:E,'Item Data Support Sheet'!A:O,2,0),"")</f>
        <v>NIPPLE S TYPE S SIZE PUNCHED</v>
      </c>
      <c r="I1121" s="501" t="s">
        <v>3884</v>
      </c>
      <c r="J1121" s="501" t="s">
        <v>2808</v>
      </c>
      <c r="K1121" s="499">
        <v>8</v>
      </c>
      <c r="L1121" s="499">
        <v>7000</v>
      </c>
      <c r="M1121" s="366">
        <v>875</v>
      </c>
      <c r="N1121" s="367">
        <f t="shared" si="307"/>
        <v>7300</v>
      </c>
      <c r="O1121" s="61">
        <v>7300</v>
      </c>
      <c r="P1121" s="368">
        <v>0</v>
      </c>
      <c r="Q1121" s="368">
        <v>0</v>
      </c>
      <c r="R1121" s="494">
        <v>0</v>
      </c>
      <c r="S1121" s="493">
        <v>0</v>
      </c>
      <c r="T1121" s="494">
        <v>0</v>
      </c>
      <c r="U1121" s="493">
        <v>0</v>
      </c>
      <c r="V1121" s="502">
        <v>1</v>
      </c>
      <c r="W1121" s="453">
        <f t="shared" si="309"/>
        <v>7300</v>
      </c>
      <c r="X1121" s="748">
        <f t="shared" si="310"/>
        <v>1.0428571428571429</v>
      </c>
      <c r="Y1121" s="451" t="str">
        <f>IFERROR(VLOOKUP(E:E,'Item Data Support Sheet'!A:J,6,0),0)</f>
        <v>FO015</v>
      </c>
      <c r="Z1121" s="428">
        <f>IFERROR(VLOOKUP(E:E,'Item Data Support Sheet'!A:O,4,0),0)</f>
        <v>0</v>
      </c>
      <c r="AA1121" s="428">
        <f t="shared" si="311"/>
        <v>0</v>
      </c>
      <c r="AB1121" s="429" t="str">
        <f t="shared" si="312"/>
        <v xml:space="preserve"> </v>
      </c>
      <c r="AC1121" s="424">
        <f t="shared" si="313"/>
        <v>0</v>
      </c>
      <c r="AD1121" s="371">
        <f t="shared" si="314"/>
        <v>0</v>
      </c>
      <c r="AE1121" s="748">
        <f t="shared" si="315"/>
        <v>1</v>
      </c>
      <c r="AF1121" s="417">
        <f t="shared" si="316"/>
        <v>0</v>
      </c>
      <c r="AG1121" s="416">
        <f t="shared" si="317"/>
        <v>8</v>
      </c>
      <c r="AH1121" s="372">
        <f t="shared" si="318"/>
        <v>1</v>
      </c>
      <c r="AI1121" s="373">
        <f t="shared" si="319"/>
        <v>912.5</v>
      </c>
      <c r="AJ1121" s="418">
        <f>VLOOKUP(D1121,'Standard Cycle time'!C:D,2,0)</f>
        <v>3.5</v>
      </c>
      <c r="AK1121" s="418">
        <f t="shared" si="320"/>
        <v>3.9452054794520546</v>
      </c>
      <c r="AL1121" s="374">
        <f t="shared" si="321"/>
        <v>0.88715277777777779</v>
      </c>
      <c r="AM1121" s="372">
        <f t="shared" si="322"/>
        <v>0.88715277777777779</v>
      </c>
      <c r="AN1121" s="799">
        <v>0.88715277777777779</v>
      </c>
      <c r="AO1121" s="448" t="s">
        <v>3879</v>
      </c>
      <c r="AP1121" s="440">
        <v>0</v>
      </c>
      <c r="AQ1121" s="440">
        <v>0</v>
      </c>
      <c r="AR1121" s="440">
        <v>0</v>
      </c>
      <c r="AS1121" s="440">
        <v>0</v>
      </c>
      <c r="AT1121" s="440">
        <v>0</v>
      </c>
      <c r="AU1121" s="440">
        <v>0</v>
      </c>
      <c r="AV1121" s="440">
        <v>0</v>
      </c>
      <c r="AW1121" s="440">
        <v>0</v>
      </c>
      <c r="AX1121" s="440">
        <v>0</v>
      </c>
      <c r="AY1121" s="440">
        <v>0</v>
      </c>
      <c r="AZ1121" s="440">
        <v>0</v>
      </c>
      <c r="BA1121" s="440">
        <v>0</v>
      </c>
      <c r="BB1121" s="440">
        <v>0</v>
      </c>
      <c r="BC1121" s="440">
        <v>0</v>
      </c>
      <c r="BD1121" s="440">
        <v>0</v>
      </c>
      <c r="BE1121" s="440">
        <v>0</v>
      </c>
      <c r="BF1121" s="440">
        <v>0</v>
      </c>
      <c r="BG1121" s="440">
        <v>0</v>
      </c>
      <c r="BH1121" s="440">
        <v>0</v>
      </c>
      <c r="BI1121" s="440">
        <v>0</v>
      </c>
      <c r="BJ1121" s="440">
        <v>0</v>
      </c>
      <c r="BK1121" s="440">
        <v>0</v>
      </c>
      <c r="BL1121" s="440">
        <v>0</v>
      </c>
      <c r="BM1121" s="440">
        <v>0</v>
      </c>
      <c r="BN1121" s="440">
        <v>0</v>
      </c>
      <c r="BO1121" s="440">
        <v>0</v>
      </c>
      <c r="BP1121" s="440">
        <v>0</v>
      </c>
      <c r="BQ1121" s="440">
        <v>0</v>
      </c>
      <c r="BR1121" s="415">
        <v>0</v>
      </c>
      <c r="BS1121" s="415">
        <v>0</v>
      </c>
      <c r="BT1121" s="935"/>
      <c r="BU1121" s="935"/>
      <c r="BV1121" s="935"/>
      <c r="BW1121" s="935"/>
      <c r="BX1121" s="935"/>
      <c r="BY1121" s="935"/>
      <c r="BZ1121" s="935"/>
      <c r="CA1121" s="935"/>
      <c r="CB1121" s="935"/>
      <c r="CC1121" s="935"/>
      <c r="CD1121" s="935"/>
      <c r="CE1121" s="935"/>
      <c r="CF1121" s="935"/>
      <c r="CG1121" s="935"/>
      <c r="CH1121" s="935"/>
      <c r="CI1121" s="935"/>
      <c r="CJ1121" s="935"/>
      <c r="CK1121" s="935"/>
      <c r="CL1121" s="935"/>
      <c r="CM1121" s="935"/>
      <c r="CN1121" s="935"/>
      <c r="CO1121" s="935"/>
      <c r="CP1121" s="935"/>
      <c r="CQ1121" s="935"/>
      <c r="CR1121" s="935"/>
      <c r="CS1121" s="935"/>
      <c r="CT1121" s="935"/>
      <c r="CU1121" s="935"/>
      <c r="CV1121" s="935"/>
      <c r="CX1121" s="441" t="s">
        <v>2809</v>
      </c>
      <c r="CY1121" s="441" t="s">
        <v>2292</v>
      </c>
    </row>
    <row r="1122" spans="1:104" s="441" customFormat="1">
      <c r="A1122" s="375">
        <f t="shared" si="308"/>
        <v>11</v>
      </c>
      <c r="B1122" s="862">
        <v>44501</v>
      </c>
      <c r="C1122" s="493" t="s">
        <v>1980</v>
      </c>
      <c r="D1122" s="376" t="str">
        <f>IFERROR(VLOOKUP(E:E,'Item Data Support Sheet'!A:O,7,0),"")</f>
        <v>NIPPLE LASER MARKING</v>
      </c>
      <c r="E1122" s="447" t="s">
        <v>1814</v>
      </c>
      <c r="F1122" s="500"/>
      <c r="G1122" s="497" t="s">
        <v>1812</v>
      </c>
      <c r="H1122" s="602" t="str">
        <f>IFERROR(VLOOKUP(E:E,'Item Data Support Sheet'!A:O,2,0),"")</f>
        <v>NIPPLE S TYPE S SIZE PUNCHED LASER MARKED</v>
      </c>
      <c r="I1122" s="501" t="s">
        <v>3885</v>
      </c>
      <c r="J1122" s="501" t="s">
        <v>2808</v>
      </c>
      <c r="K1122" s="499">
        <v>8</v>
      </c>
      <c r="L1122" s="499">
        <v>7000</v>
      </c>
      <c r="M1122" s="366">
        <v>875</v>
      </c>
      <c r="N1122" s="367">
        <f t="shared" si="307"/>
        <v>7300</v>
      </c>
      <c r="O1122" s="61">
        <v>7300</v>
      </c>
      <c r="P1122" s="368">
        <v>0</v>
      </c>
      <c r="Q1122" s="368">
        <v>0</v>
      </c>
      <c r="R1122" s="494">
        <v>0</v>
      </c>
      <c r="S1122" s="493">
        <v>0</v>
      </c>
      <c r="T1122" s="494">
        <v>0</v>
      </c>
      <c r="U1122" s="493">
        <v>0</v>
      </c>
      <c r="V1122" s="502">
        <v>1</v>
      </c>
      <c r="W1122" s="453">
        <f t="shared" si="309"/>
        <v>7300</v>
      </c>
      <c r="X1122" s="748">
        <f t="shared" si="310"/>
        <v>1.0428571428571429</v>
      </c>
      <c r="Y1122" s="451" t="str">
        <f>IFERROR(VLOOKUP(E:E,'Item Data Support Sheet'!A:J,6,0),0)</f>
        <v>FO019</v>
      </c>
      <c r="Z1122" s="428">
        <f>IFERROR(VLOOKUP(E:E,'Item Data Support Sheet'!A:O,4,0),0)</f>
        <v>0</v>
      </c>
      <c r="AA1122" s="428">
        <f t="shared" si="311"/>
        <v>0</v>
      </c>
      <c r="AB1122" s="429" t="str">
        <f t="shared" si="312"/>
        <v xml:space="preserve"> </v>
      </c>
      <c r="AC1122" s="424">
        <f t="shared" si="313"/>
        <v>0</v>
      </c>
      <c r="AD1122" s="371">
        <f t="shared" si="314"/>
        <v>0</v>
      </c>
      <c r="AE1122" s="748">
        <f t="shared" si="315"/>
        <v>1</v>
      </c>
      <c r="AF1122" s="417">
        <f t="shared" si="316"/>
        <v>0</v>
      </c>
      <c r="AG1122" s="416">
        <f t="shared" si="317"/>
        <v>8</v>
      </c>
      <c r="AH1122" s="372">
        <f t="shared" si="318"/>
        <v>1</v>
      </c>
      <c r="AI1122" s="373">
        <f t="shared" si="319"/>
        <v>912.5</v>
      </c>
      <c r="AJ1122" s="418">
        <f>VLOOKUP(D1122,'Standard Cycle time'!C:D,2,0)</f>
        <v>3.5</v>
      </c>
      <c r="AK1122" s="418">
        <f t="shared" si="320"/>
        <v>3.9452054794520546</v>
      </c>
      <c r="AL1122" s="374">
        <f t="shared" si="321"/>
        <v>0.88715277777777779</v>
      </c>
      <c r="AM1122" s="372">
        <f t="shared" si="322"/>
        <v>0.88715277777777779</v>
      </c>
      <c r="AN1122" s="799">
        <v>0.88715277777777779</v>
      </c>
      <c r="AO1122" s="448" t="s">
        <v>3879</v>
      </c>
      <c r="AP1122" s="440">
        <v>0</v>
      </c>
      <c r="AQ1122" s="440">
        <v>0</v>
      </c>
      <c r="AR1122" s="440">
        <v>0</v>
      </c>
      <c r="AS1122" s="440">
        <v>0</v>
      </c>
      <c r="AT1122" s="440">
        <v>0</v>
      </c>
      <c r="AU1122" s="440">
        <v>0</v>
      </c>
      <c r="AV1122" s="440">
        <v>0</v>
      </c>
      <c r="AW1122" s="440">
        <v>0</v>
      </c>
      <c r="AX1122" s="440">
        <v>0</v>
      </c>
      <c r="AY1122" s="440">
        <v>0</v>
      </c>
      <c r="AZ1122" s="440">
        <v>0</v>
      </c>
      <c r="BA1122" s="440">
        <v>0</v>
      </c>
      <c r="BB1122" s="440">
        <v>0</v>
      </c>
      <c r="BC1122" s="440">
        <v>0</v>
      </c>
      <c r="BD1122" s="440">
        <v>0</v>
      </c>
      <c r="BE1122" s="440">
        <v>0</v>
      </c>
      <c r="BF1122" s="440">
        <v>0</v>
      </c>
      <c r="BG1122" s="440">
        <v>0</v>
      </c>
      <c r="BH1122" s="440">
        <v>0</v>
      </c>
      <c r="BI1122" s="440">
        <v>0</v>
      </c>
      <c r="BJ1122" s="440">
        <v>0</v>
      </c>
      <c r="BK1122" s="440">
        <v>0</v>
      </c>
      <c r="BL1122" s="440">
        <v>0</v>
      </c>
      <c r="BM1122" s="440">
        <v>0</v>
      </c>
      <c r="BN1122" s="440">
        <v>0</v>
      </c>
      <c r="BO1122" s="440">
        <v>0</v>
      </c>
      <c r="BP1122" s="440">
        <v>0</v>
      </c>
      <c r="BQ1122" s="440">
        <v>0</v>
      </c>
      <c r="BR1122" s="415">
        <v>0</v>
      </c>
      <c r="BS1122" s="415">
        <v>0</v>
      </c>
      <c r="BT1122" s="935"/>
      <c r="BU1122" s="935"/>
      <c r="BV1122" s="935"/>
      <c r="BW1122" s="935"/>
      <c r="BX1122" s="935"/>
      <c r="BY1122" s="935"/>
      <c r="BZ1122" s="935"/>
      <c r="CA1122" s="935"/>
      <c r="CB1122" s="935"/>
      <c r="CC1122" s="935"/>
      <c r="CD1122" s="935"/>
      <c r="CE1122" s="935"/>
      <c r="CF1122" s="935"/>
      <c r="CG1122" s="935"/>
      <c r="CH1122" s="935"/>
      <c r="CI1122" s="935"/>
      <c r="CJ1122" s="935"/>
      <c r="CK1122" s="935"/>
      <c r="CL1122" s="935"/>
      <c r="CM1122" s="935"/>
      <c r="CN1122" s="935"/>
      <c r="CO1122" s="935"/>
      <c r="CP1122" s="935"/>
      <c r="CQ1122" s="935"/>
      <c r="CR1122" s="935"/>
      <c r="CS1122" s="935"/>
      <c r="CT1122" s="935"/>
      <c r="CU1122" s="935"/>
      <c r="CV1122" s="935"/>
      <c r="CX1122" s="441" t="s">
        <v>2813</v>
      </c>
      <c r="CY1122" s="441" t="s">
        <v>3481</v>
      </c>
    </row>
    <row r="1123" spans="1:104" s="441" customFormat="1">
      <c r="A1123" s="375">
        <f t="shared" si="308"/>
        <v>11</v>
      </c>
      <c r="B1123" s="862">
        <v>44501</v>
      </c>
      <c r="C1123" s="493" t="s">
        <v>2000</v>
      </c>
      <c r="D1123" s="376" t="str">
        <f>IFERROR(VLOOKUP(E:E,'Item Data Support Sheet'!A:O,7,0),"")</f>
        <v>NIPPLE PUNCH INSPECTED</v>
      </c>
      <c r="E1123" s="447" t="s">
        <v>1818</v>
      </c>
      <c r="F1123" s="500"/>
      <c r="G1123" s="497"/>
      <c r="H1123" s="602" t="str">
        <f>IFERROR(VLOOKUP(E:E,'Item Data Support Sheet'!A:O,2,0),"")</f>
        <v>NIPPLE S TYPE S SIZE PUNCHED INSPECTED</v>
      </c>
      <c r="I1123" s="501" t="s">
        <v>3886</v>
      </c>
      <c r="J1123" s="501" t="s">
        <v>2811</v>
      </c>
      <c r="K1123" s="499">
        <v>8</v>
      </c>
      <c r="L1123" s="499">
        <v>14000</v>
      </c>
      <c r="M1123" s="366">
        <v>1750</v>
      </c>
      <c r="N1123" s="367">
        <f t="shared" si="307"/>
        <v>14300</v>
      </c>
      <c r="O1123" s="61">
        <v>14230</v>
      </c>
      <c r="P1123" s="368">
        <v>0</v>
      </c>
      <c r="Q1123" s="368">
        <v>0</v>
      </c>
      <c r="R1123" s="494">
        <v>0</v>
      </c>
      <c r="S1123" s="493">
        <v>0</v>
      </c>
      <c r="T1123" s="494">
        <v>70</v>
      </c>
      <c r="U1123" s="493">
        <v>0</v>
      </c>
      <c r="V1123" s="502">
        <v>1</v>
      </c>
      <c r="W1123" s="453">
        <f t="shared" si="309"/>
        <v>14230</v>
      </c>
      <c r="X1123" s="748">
        <f t="shared" si="310"/>
        <v>1.0164285714285715</v>
      </c>
      <c r="Y1123" s="451" t="str">
        <f>IFERROR(VLOOKUP(E:E,'Item Data Support Sheet'!A:J,6,0),0)</f>
        <v>FO104</v>
      </c>
      <c r="Z1123" s="428">
        <f>IFERROR(VLOOKUP(E:E,'Item Data Support Sheet'!A:O,4,0),0)</f>
        <v>0</v>
      </c>
      <c r="AA1123" s="428">
        <f t="shared" si="311"/>
        <v>0</v>
      </c>
      <c r="AB1123" s="429" t="str">
        <f t="shared" si="312"/>
        <v xml:space="preserve"> </v>
      </c>
      <c r="AC1123" s="424">
        <f t="shared" si="313"/>
        <v>4.8951048951048955E-3</v>
      </c>
      <c r="AD1123" s="371">
        <f t="shared" si="314"/>
        <v>0</v>
      </c>
      <c r="AE1123" s="748">
        <f t="shared" si="315"/>
        <v>0.99510489510489508</v>
      </c>
      <c r="AF1123" s="417">
        <f t="shared" si="316"/>
        <v>0.83333333333333337</v>
      </c>
      <c r="AG1123" s="416">
        <f t="shared" si="317"/>
        <v>7.166666666666667</v>
      </c>
      <c r="AH1123" s="372">
        <f t="shared" si="318"/>
        <v>0.89583333333333337</v>
      </c>
      <c r="AI1123" s="373">
        <f t="shared" si="319"/>
        <v>1778.75</v>
      </c>
      <c r="AJ1123" s="418">
        <f>VLOOKUP(D1123,'Standard Cycle time'!C:D,2,0)</f>
        <v>4</v>
      </c>
      <c r="AK1123" s="418">
        <f t="shared" si="320"/>
        <v>1.8130709768095572</v>
      </c>
      <c r="AL1123" s="374">
        <f t="shared" si="321"/>
        <v>2.2062015503875969</v>
      </c>
      <c r="AM1123" s="372">
        <f t="shared" si="322"/>
        <v>1.966714257964258</v>
      </c>
      <c r="AN1123" s="799">
        <v>1.966714257964258</v>
      </c>
      <c r="AO1123" s="448"/>
      <c r="AP1123" s="440">
        <v>50</v>
      </c>
      <c r="AQ1123" s="440">
        <v>0</v>
      </c>
      <c r="AR1123" s="440">
        <v>0</v>
      </c>
      <c r="AS1123" s="440">
        <v>0</v>
      </c>
      <c r="AT1123" s="440">
        <v>0</v>
      </c>
      <c r="AU1123" s="440">
        <v>0</v>
      </c>
      <c r="AV1123" s="440">
        <v>0</v>
      </c>
      <c r="AW1123" s="440">
        <v>0</v>
      </c>
      <c r="AX1123" s="440">
        <v>0</v>
      </c>
      <c r="AY1123" s="440">
        <v>0</v>
      </c>
      <c r="AZ1123" s="440">
        <v>0</v>
      </c>
      <c r="BA1123" s="440">
        <v>0</v>
      </c>
      <c r="BB1123" s="440">
        <v>0</v>
      </c>
      <c r="BC1123" s="440">
        <v>0</v>
      </c>
      <c r="BD1123" s="440">
        <v>0</v>
      </c>
      <c r="BE1123" s="440">
        <v>0</v>
      </c>
      <c r="BF1123" s="440">
        <v>0</v>
      </c>
      <c r="BG1123" s="440">
        <v>0</v>
      </c>
      <c r="BH1123" s="440">
        <v>0</v>
      </c>
      <c r="BI1123" s="440">
        <v>0</v>
      </c>
      <c r="BJ1123" s="440">
        <v>0</v>
      </c>
      <c r="BK1123" s="440">
        <v>0</v>
      </c>
      <c r="BL1123" s="440">
        <v>0</v>
      </c>
      <c r="BM1123" s="440">
        <v>0</v>
      </c>
      <c r="BN1123" s="440">
        <v>0</v>
      </c>
      <c r="BO1123" s="440">
        <v>0</v>
      </c>
      <c r="BP1123" s="440">
        <v>0</v>
      </c>
      <c r="BQ1123" s="440">
        <v>0</v>
      </c>
      <c r="BR1123" s="415">
        <v>0.83333333333333337</v>
      </c>
      <c r="BS1123" s="415">
        <v>0.83333333333333337</v>
      </c>
      <c r="BT1123" s="935"/>
      <c r="BU1123" s="935"/>
      <c r="BV1123" s="935"/>
      <c r="BW1123" s="935"/>
      <c r="BX1123" s="935"/>
      <c r="BY1123" s="935"/>
      <c r="BZ1123" s="935"/>
      <c r="CA1123" s="935"/>
      <c r="CB1123" s="935"/>
      <c r="CC1123" s="935"/>
      <c r="CD1123" s="935"/>
      <c r="CE1123" s="935"/>
      <c r="CF1123" s="935"/>
      <c r="CG1123" s="935"/>
      <c r="CH1123" s="935"/>
      <c r="CI1123" s="935"/>
      <c r="CJ1123" s="935"/>
      <c r="CK1123" s="935"/>
      <c r="CL1123" s="935"/>
      <c r="CM1123" s="935"/>
      <c r="CN1123" s="935"/>
      <c r="CO1123" s="935"/>
      <c r="CP1123" s="935"/>
      <c r="CQ1123" s="935"/>
      <c r="CR1123" s="935"/>
      <c r="CS1123" s="935"/>
      <c r="CT1123" s="935"/>
      <c r="CU1123" s="935"/>
      <c r="CV1123" s="935"/>
      <c r="CX1123" s="441" t="s">
        <v>2812</v>
      </c>
      <c r="CY1123" s="441" t="s">
        <v>3470</v>
      </c>
    </row>
    <row r="1124" spans="1:104" s="441" customFormat="1">
      <c r="A1124" s="375">
        <f t="shared" si="308"/>
        <v>11</v>
      </c>
      <c r="B1124" s="862">
        <v>44501</v>
      </c>
      <c r="C1124" s="493" t="s">
        <v>2001</v>
      </c>
      <c r="D1124" s="376" t="str">
        <f>IFERROR(VLOOKUP(E:E,'Item Data Support Sheet'!A:O,7,0),"")</f>
        <v>NIPPLE PUNCH</v>
      </c>
      <c r="E1124" s="447" t="s">
        <v>80</v>
      </c>
      <c r="F1124" s="500"/>
      <c r="G1124" s="497" t="s">
        <v>1692</v>
      </c>
      <c r="H1124" s="602" t="str">
        <f>IFERROR(VLOOKUP(E:E,'Item Data Support Sheet'!A:O,2,0),"")</f>
        <v>NIPPLE S TYPE S SIZE PUNCHED</v>
      </c>
      <c r="I1124" s="501" t="s">
        <v>3887</v>
      </c>
      <c r="J1124" s="501" t="s">
        <v>2811</v>
      </c>
      <c r="K1124" s="499">
        <v>8</v>
      </c>
      <c r="L1124" s="499">
        <v>7000</v>
      </c>
      <c r="M1124" s="366">
        <v>875</v>
      </c>
      <c r="N1124" s="367">
        <f t="shared" si="307"/>
        <v>7230</v>
      </c>
      <c r="O1124" s="61">
        <v>7230</v>
      </c>
      <c r="P1124" s="368">
        <v>0</v>
      </c>
      <c r="Q1124" s="368">
        <v>0</v>
      </c>
      <c r="R1124" s="494">
        <v>0</v>
      </c>
      <c r="S1124" s="493">
        <v>0</v>
      </c>
      <c r="T1124" s="494">
        <v>0</v>
      </c>
      <c r="U1124" s="493">
        <v>0</v>
      </c>
      <c r="V1124" s="502">
        <v>1</v>
      </c>
      <c r="W1124" s="453">
        <f t="shared" si="309"/>
        <v>7230</v>
      </c>
      <c r="X1124" s="748">
        <f t="shared" si="310"/>
        <v>1.0328571428571429</v>
      </c>
      <c r="Y1124" s="451" t="str">
        <f>IFERROR(VLOOKUP(E:E,'Item Data Support Sheet'!A:J,6,0),0)</f>
        <v>FO015</v>
      </c>
      <c r="Z1124" s="428">
        <f>IFERROR(VLOOKUP(E:E,'Item Data Support Sheet'!A:O,4,0),0)</f>
        <v>0</v>
      </c>
      <c r="AA1124" s="428">
        <f t="shared" si="311"/>
        <v>0</v>
      </c>
      <c r="AB1124" s="429" t="str">
        <f t="shared" si="312"/>
        <v xml:space="preserve"> </v>
      </c>
      <c r="AC1124" s="424">
        <f t="shared" si="313"/>
        <v>0</v>
      </c>
      <c r="AD1124" s="371">
        <f t="shared" si="314"/>
        <v>0</v>
      </c>
      <c r="AE1124" s="748">
        <f t="shared" si="315"/>
        <v>1</v>
      </c>
      <c r="AF1124" s="417">
        <f t="shared" si="316"/>
        <v>0.66666666666666663</v>
      </c>
      <c r="AG1124" s="416">
        <f t="shared" si="317"/>
        <v>7.333333333333333</v>
      </c>
      <c r="AH1124" s="372">
        <f t="shared" si="318"/>
        <v>0.91666666666666663</v>
      </c>
      <c r="AI1124" s="373">
        <f t="shared" si="319"/>
        <v>903.75</v>
      </c>
      <c r="AJ1124" s="418">
        <f>VLOOKUP(D1124,'Standard Cycle time'!C:D,2,0)</f>
        <v>3.5</v>
      </c>
      <c r="AK1124" s="418">
        <f t="shared" si="320"/>
        <v>3.6514522821576763</v>
      </c>
      <c r="AL1124" s="374">
        <f t="shared" si="321"/>
        <v>0.95852272727272725</v>
      </c>
      <c r="AM1124" s="372">
        <f t="shared" si="322"/>
        <v>0.87864583333333324</v>
      </c>
      <c r="AN1124" s="799">
        <v>0.87864583333333324</v>
      </c>
      <c r="AO1124" s="448"/>
      <c r="AP1124" s="440">
        <v>40</v>
      </c>
      <c r="AQ1124" s="440">
        <v>0</v>
      </c>
      <c r="AR1124" s="440">
        <v>0</v>
      </c>
      <c r="AS1124" s="440">
        <v>0</v>
      </c>
      <c r="AT1124" s="440">
        <v>0</v>
      </c>
      <c r="AU1124" s="440">
        <v>0</v>
      </c>
      <c r="AV1124" s="440">
        <v>0</v>
      </c>
      <c r="AW1124" s="440">
        <v>0</v>
      </c>
      <c r="AX1124" s="440">
        <v>0</v>
      </c>
      <c r="AY1124" s="440">
        <v>0</v>
      </c>
      <c r="AZ1124" s="440">
        <v>0</v>
      </c>
      <c r="BA1124" s="440">
        <v>0</v>
      </c>
      <c r="BB1124" s="440">
        <v>0</v>
      </c>
      <c r="BC1124" s="440">
        <v>0</v>
      </c>
      <c r="BD1124" s="440">
        <v>0</v>
      </c>
      <c r="BE1124" s="440">
        <v>0</v>
      </c>
      <c r="BF1124" s="440">
        <v>0</v>
      </c>
      <c r="BG1124" s="440">
        <v>0</v>
      </c>
      <c r="BH1124" s="440">
        <v>0</v>
      </c>
      <c r="BI1124" s="440">
        <v>0</v>
      </c>
      <c r="BJ1124" s="440">
        <v>0</v>
      </c>
      <c r="BK1124" s="440">
        <v>0</v>
      </c>
      <c r="BL1124" s="440">
        <v>0</v>
      </c>
      <c r="BM1124" s="440">
        <v>0</v>
      </c>
      <c r="BN1124" s="440">
        <v>0</v>
      </c>
      <c r="BO1124" s="440">
        <v>0</v>
      </c>
      <c r="BP1124" s="440">
        <v>0</v>
      </c>
      <c r="BQ1124" s="440">
        <v>0</v>
      </c>
      <c r="BR1124" s="415">
        <v>0.66666666666666663</v>
      </c>
      <c r="BS1124" s="415">
        <v>0.66666666666666663</v>
      </c>
      <c r="BT1124" s="935"/>
      <c r="BU1124" s="935"/>
      <c r="BV1124" s="935"/>
      <c r="BW1124" s="935"/>
      <c r="BX1124" s="935"/>
      <c r="BY1124" s="935"/>
      <c r="BZ1124" s="935"/>
      <c r="CA1124" s="935"/>
      <c r="CB1124" s="935"/>
      <c r="CC1124" s="935"/>
      <c r="CD1124" s="935"/>
      <c r="CE1124" s="935"/>
      <c r="CF1124" s="935"/>
      <c r="CG1124" s="935"/>
      <c r="CH1124" s="935"/>
      <c r="CI1124" s="935"/>
      <c r="CJ1124" s="935"/>
      <c r="CK1124" s="935"/>
      <c r="CL1124" s="935"/>
      <c r="CM1124" s="935"/>
      <c r="CN1124" s="935"/>
      <c r="CO1124" s="935"/>
      <c r="CP1124" s="935"/>
      <c r="CQ1124" s="935"/>
      <c r="CR1124" s="935"/>
      <c r="CS1124" s="935"/>
      <c r="CT1124" s="935"/>
      <c r="CU1124" s="935"/>
      <c r="CV1124" s="935"/>
      <c r="CY1124" s="441" t="s">
        <v>3486</v>
      </c>
    </row>
    <row r="1125" spans="1:104" s="441" customFormat="1">
      <c r="A1125" s="375">
        <f t="shared" si="308"/>
        <v>11</v>
      </c>
      <c r="B1125" s="862">
        <v>44501</v>
      </c>
      <c r="C1125" s="493" t="s">
        <v>2001</v>
      </c>
      <c r="D1125" s="376" t="str">
        <f>IFERROR(VLOOKUP(E:E,'Item Data Support Sheet'!A:O,7,0),"")</f>
        <v>NIPPLE LASER MARKING</v>
      </c>
      <c r="E1125" s="447" t="s">
        <v>1814</v>
      </c>
      <c r="F1125" s="500"/>
      <c r="G1125" s="497" t="s">
        <v>1812</v>
      </c>
      <c r="H1125" s="602" t="str">
        <f>IFERROR(VLOOKUP(E:E,'Item Data Support Sheet'!A:O,2,0),"")</f>
        <v>NIPPLE S TYPE S SIZE PUNCHED LASER MARKED</v>
      </c>
      <c r="I1125" s="501" t="s">
        <v>3888</v>
      </c>
      <c r="J1125" s="501" t="s">
        <v>2811</v>
      </c>
      <c r="K1125" s="499">
        <v>8</v>
      </c>
      <c r="L1125" s="499">
        <v>7000</v>
      </c>
      <c r="M1125" s="366">
        <v>875</v>
      </c>
      <c r="N1125" s="367">
        <f t="shared" si="307"/>
        <v>6730</v>
      </c>
      <c r="O1125" s="61">
        <v>6730</v>
      </c>
      <c r="P1125" s="368">
        <v>0</v>
      </c>
      <c r="Q1125" s="368">
        <v>0</v>
      </c>
      <c r="R1125" s="494">
        <v>0</v>
      </c>
      <c r="S1125" s="493">
        <v>0</v>
      </c>
      <c r="T1125" s="494">
        <v>0</v>
      </c>
      <c r="U1125" s="493">
        <v>0</v>
      </c>
      <c r="V1125" s="502">
        <v>1</v>
      </c>
      <c r="W1125" s="453">
        <f t="shared" si="309"/>
        <v>6730</v>
      </c>
      <c r="X1125" s="748">
        <f t="shared" si="310"/>
        <v>0.96142857142857141</v>
      </c>
      <c r="Y1125" s="451" t="str">
        <f>IFERROR(VLOOKUP(E:E,'Item Data Support Sheet'!A:J,6,0),0)</f>
        <v>FO019</v>
      </c>
      <c r="Z1125" s="428">
        <f>IFERROR(VLOOKUP(E:E,'Item Data Support Sheet'!A:O,4,0),0)</f>
        <v>0</v>
      </c>
      <c r="AA1125" s="428">
        <f t="shared" si="311"/>
        <v>0</v>
      </c>
      <c r="AB1125" s="429" t="str">
        <f t="shared" si="312"/>
        <v xml:space="preserve"> </v>
      </c>
      <c r="AC1125" s="424">
        <f t="shared" si="313"/>
        <v>0</v>
      </c>
      <c r="AD1125" s="371">
        <f t="shared" si="314"/>
        <v>0</v>
      </c>
      <c r="AE1125" s="748">
        <f t="shared" si="315"/>
        <v>1</v>
      </c>
      <c r="AF1125" s="417">
        <f t="shared" si="316"/>
        <v>0.66666666666666663</v>
      </c>
      <c r="AG1125" s="416">
        <f t="shared" si="317"/>
        <v>7.333333333333333</v>
      </c>
      <c r="AH1125" s="372">
        <f t="shared" si="318"/>
        <v>0.91666666666666663</v>
      </c>
      <c r="AI1125" s="373">
        <f t="shared" si="319"/>
        <v>841.25</v>
      </c>
      <c r="AJ1125" s="418">
        <f>VLOOKUP(D1125,'Standard Cycle time'!C:D,2,0)</f>
        <v>3.5</v>
      </c>
      <c r="AK1125" s="418">
        <f t="shared" si="320"/>
        <v>3.9227340267459136</v>
      </c>
      <c r="AL1125" s="374">
        <f t="shared" si="321"/>
        <v>0.89223484848484858</v>
      </c>
      <c r="AM1125" s="372">
        <f t="shared" si="322"/>
        <v>0.81788194444444451</v>
      </c>
      <c r="AN1125" s="799">
        <v>0.81788194444444451</v>
      </c>
      <c r="AO1125" s="448"/>
      <c r="AP1125" s="440">
        <v>40</v>
      </c>
      <c r="AQ1125" s="440">
        <v>0</v>
      </c>
      <c r="AR1125" s="440">
        <v>0</v>
      </c>
      <c r="AS1125" s="440">
        <v>0</v>
      </c>
      <c r="AT1125" s="440">
        <v>0</v>
      </c>
      <c r="AU1125" s="440">
        <v>0</v>
      </c>
      <c r="AV1125" s="440">
        <v>0</v>
      </c>
      <c r="AW1125" s="440">
        <v>0</v>
      </c>
      <c r="AX1125" s="440">
        <v>0</v>
      </c>
      <c r="AY1125" s="440">
        <v>0</v>
      </c>
      <c r="AZ1125" s="440">
        <v>0</v>
      </c>
      <c r="BA1125" s="440">
        <v>0</v>
      </c>
      <c r="BB1125" s="440">
        <v>0</v>
      </c>
      <c r="BC1125" s="440">
        <v>0</v>
      </c>
      <c r="BD1125" s="440">
        <v>0</v>
      </c>
      <c r="BE1125" s="440">
        <v>0</v>
      </c>
      <c r="BF1125" s="440">
        <v>0</v>
      </c>
      <c r="BG1125" s="440">
        <v>0</v>
      </c>
      <c r="BH1125" s="440">
        <v>0</v>
      </c>
      <c r="BI1125" s="440">
        <v>0</v>
      </c>
      <c r="BJ1125" s="440">
        <v>0</v>
      </c>
      <c r="BK1125" s="440">
        <v>0</v>
      </c>
      <c r="BL1125" s="440">
        <v>0</v>
      </c>
      <c r="BM1125" s="440">
        <v>0</v>
      </c>
      <c r="BN1125" s="440">
        <v>0</v>
      </c>
      <c r="BO1125" s="440">
        <v>0</v>
      </c>
      <c r="BP1125" s="440">
        <v>0</v>
      </c>
      <c r="BQ1125" s="440">
        <v>0</v>
      </c>
      <c r="BR1125" s="415">
        <v>0.66666666666666663</v>
      </c>
      <c r="BS1125" s="415">
        <v>0.66666666666666663</v>
      </c>
      <c r="BT1125" s="935"/>
      <c r="BU1125" s="935"/>
      <c r="BV1125" s="935"/>
      <c r="BW1125" s="935"/>
      <c r="BX1125" s="935"/>
      <c r="BY1125" s="935"/>
      <c r="BZ1125" s="935"/>
      <c r="CA1125" s="935"/>
      <c r="CB1125" s="935"/>
      <c r="CC1125" s="935"/>
      <c r="CD1125" s="935"/>
      <c r="CE1125" s="935"/>
      <c r="CF1125" s="935"/>
      <c r="CG1125" s="935"/>
      <c r="CH1125" s="935"/>
      <c r="CI1125" s="935"/>
      <c r="CJ1125" s="935"/>
      <c r="CK1125" s="935"/>
      <c r="CL1125" s="935"/>
      <c r="CM1125" s="935"/>
      <c r="CN1125" s="935"/>
      <c r="CO1125" s="935"/>
      <c r="CP1125" s="935"/>
      <c r="CQ1125" s="935"/>
      <c r="CR1125" s="935"/>
      <c r="CS1125" s="935"/>
      <c r="CT1125" s="935"/>
      <c r="CU1125" s="935"/>
      <c r="CV1125" s="935"/>
      <c r="CY1125" s="441" t="s">
        <v>3484</v>
      </c>
    </row>
    <row r="1126" spans="1:104" s="441" customFormat="1">
      <c r="A1126" s="375">
        <f t="shared" si="308"/>
        <v>11</v>
      </c>
      <c r="B1126" s="862">
        <v>44501</v>
      </c>
      <c r="C1126" s="493" t="s">
        <v>2001</v>
      </c>
      <c r="D1126" s="376" t="str">
        <f>IFERROR(VLOOKUP(E:E,'Item Data Support Sheet'!A:O,7,0),"")</f>
        <v>HOOD MOLDED</v>
      </c>
      <c r="E1126" s="447" t="s">
        <v>1987</v>
      </c>
      <c r="F1126" s="500"/>
      <c r="G1126" s="497" t="s">
        <v>2729</v>
      </c>
      <c r="H1126" s="602" t="str">
        <f>IFERROR(VLOOKUP(E:E,'Item Data Support Sheet'!A:O,2,0),"")</f>
        <v>HOOD S TYPE MOLDED</v>
      </c>
      <c r="I1126" s="501" t="s">
        <v>3889</v>
      </c>
      <c r="J1126" s="501" t="s">
        <v>2811</v>
      </c>
      <c r="K1126" s="499">
        <v>8</v>
      </c>
      <c r="L1126" s="499">
        <v>4137</v>
      </c>
      <c r="M1126" s="366">
        <v>517.125</v>
      </c>
      <c r="N1126" s="367">
        <f t="shared" si="307"/>
        <v>5038</v>
      </c>
      <c r="O1126" s="61">
        <v>5000</v>
      </c>
      <c r="P1126" s="368">
        <v>0</v>
      </c>
      <c r="Q1126" s="368">
        <v>30</v>
      </c>
      <c r="R1126" s="494">
        <v>0</v>
      </c>
      <c r="S1126" s="493">
        <v>0</v>
      </c>
      <c r="T1126" s="494">
        <v>8</v>
      </c>
      <c r="U1126" s="493">
        <v>0</v>
      </c>
      <c r="V1126" s="502">
        <v>1</v>
      </c>
      <c r="W1126" s="453">
        <f t="shared" si="309"/>
        <v>5000</v>
      </c>
      <c r="X1126" s="748">
        <f t="shared" si="310"/>
        <v>1.2086052695189751</v>
      </c>
      <c r="Y1126" s="451" t="str">
        <f>IFERROR(VLOOKUP(E:E,'Item Data Support Sheet'!A:J,6,0),0)</f>
        <v>HMC</v>
      </c>
      <c r="Z1126" s="428">
        <f>IFERROR(VLOOKUP(E:E,'Item Data Support Sheet'!A:O,4,0),0)</f>
        <v>8.6</v>
      </c>
      <c r="AA1126" s="428">
        <f t="shared" si="311"/>
        <v>43.326799999999999</v>
      </c>
      <c r="AB1126" s="429">
        <f t="shared" si="312"/>
        <v>0.99245732433505363</v>
      </c>
      <c r="AC1126" s="424">
        <f t="shared" si="313"/>
        <v>1.5974440894568689E-3</v>
      </c>
      <c r="AD1126" s="371">
        <f t="shared" si="314"/>
        <v>5.9194948697711127E-3</v>
      </c>
      <c r="AE1126" s="748">
        <f t="shared" si="315"/>
        <v>0.99841206828106388</v>
      </c>
      <c r="AF1126" s="417">
        <f t="shared" si="316"/>
        <v>0</v>
      </c>
      <c r="AG1126" s="416">
        <f t="shared" si="317"/>
        <v>8</v>
      </c>
      <c r="AH1126" s="372">
        <f t="shared" si="318"/>
        <v>1</v>
      </c>
      <c r="AI1126" s="373">
        <f t="shared" si="319"/>
        <v>625</v>
      </c>
      <c r="AJ1126" s="418">
        <f>VLOOKUP(D1126,'Standard Cycle time'!C:D,2,0)</f>
        <v>6</v>
      </c>
      <c r="AK1126" s="418">
        <f t="shared" si="320"/>
        <v>5.76</v>
      </c>
      <c r="AL1126" s="374">
        <f t="shared" si="321"/>
        <v>1.0416666666666667</v>
      </c>
      <c r="AM1126" s="372">
        <f t="shared" si="322"/>
        <v>1.0400125711261083</v>
      </c>
      <c r="AN1126" s="799">
        <v>1.0400125711261083</v>
      </c>
      <c r="AO1126" s="448"/>
      <c r="AP1126" s="440">
        <v>0</v>
      </c>
      <c r="AQ1126" s="440">
        <v>0</v>
      </c>
      <c r="AR1126" s="440">
        <v>0</v>
      </c>
      <c r="AS1126" s="440">
        <v>0</v>
      </c>
      <c r="AT1126" s="440">
        <v>0</v>
      </c>
      <c r="AU1126" s="440">
        <v>0</v>
      </c>
      <c r="AV1126" s="440">
        <v>0</v>
      </c>
      <c r="AW1126" s="440">
        <v>0</v>
      </c>
      <c r="AX1126" s="440">
        <v>0</v>
      </c>
      <c r="AY1126" s="440">
        <v>0</v>
      </c>
      <c r="AZ1126" s="440">
        <v>0</v>
      </c>
      <c r="BA1126" s="440">
        <v>0</v>
      </c>
      <c r="BB1126" s="440">
        <v>0</v>
      </c>
      <c r="BC1126" s="440">
        <v>0</v>
      </c>
      <c r="BD1126" s="440">
        <v>0</v>
      </c>
      <c r="BE1126" s="440">
        <v>0</v>
      </c>
      <c r="BF1126" s="440">
        <v>0</v>
      </c>
      <c r="BG1126" s="440">
        <v>0</v>
      </c>
      <c r="BH1126" s="440">
        <v>0</v>
      </c>
      <c r="BI1126" s="440">
        <v>0</v>
      </c>
      <c r="BJ1126" s="440">
        <v>0</v>
      </c>
      <c r="BK1126" s="440">
        <v>0</v>
      </c>
      <c r="BL1126" s="440">
        <v>0</v>
      </c>
      <c r="BM1126" s="440">
        <v>0</v>
      </c>
      <c r="BN1126" s="440">
        <v>0</v>
      </c>
      <c r="BO1126" s="440">
        <v>0</v>
      </c>
      <c r="BP1126" s="440">
        <v>0</v>
      </c>
      <c r="BQ1126" s="440">
        <v>0</v>
      </c>
      <c r="BR1126" s="415">
        <v>0</v>
      </c>
      <c r="BS1126" s="415">
        <v>0</v>
      </c>
      <c r="BT1126" s="935"/>
      <c r="BU1126" s="935"/>
      <c r="BV1126" s="935"/>
      <c r="BW1126" s="935"/>
      <c r="BX1126" s="935"/>
      <c r="BY1126" s="935"/>
      <c r="BZ1126" s="935"/>
      <c r="CA1126" s="935"/>
      <c r="CB1126" s="935"/>
      <c r="CC1126" s="935"/>
      <c r="CD1126" s="935"/>
      <c r="CE1126" s="935"/>
      <c r="CF1126" s="935"/>
      <c r="CG1126" s="935"/>
      <c r="CH1126" s="935"/>
      <c r="CI1126" s="935"/>
      <c r="CJ1126" s="935"/>
      <c r="CK1126" s="935"/>
      <c r="CL1126" s="935"/>
      <c r="CM1126" s="935"/>
      <c r="CN1126" s="935"/>
      <c r="CO1126" s="935"/>
      <c r="CP1126" s="935"/>
      <c r="CQ1126" s="935"/>
      <c r="CR1126" s="935"/>
      <c r="CS1126" s="935"/>
      <c r="CT1126" s="935"/>
      <c r="CU1126" s="935"/>
      <c r="CV1126" s="935"/>
      <c r="CY1126" s="441" t="s">
        <v>3490</v>
      </c>
      <c r="CZ1126" s="441">
        <v>43.326799999999999</v>
      </c>
    </row>
    <row r="1127" spans="1:104" s="441" customFormat="1">
      <c r="A1127" s="375">
        <f t="shared" si="308"/>
        <v>11</v>
      </c>
      <c r="B1127" s="862">
        <v>44501</v>
      </c>
      <c r="C1127" s="493" t="s">
        <v>2001</v>
      </c>
      <c r="D1127" s="376" t="str">
        <f>IFERROR(VLOOKUP(E:E,'Item Data Support Sheet'!A:O,7,0),"")</f>
        <v>BOTTLE MOLDED</v>
      </c>
      <c r="E1127" s="447" t="s">
        <v>115</v>
      </c>
      <c r="F1127" s="500" t="s">
        <v>1681</v>
      </c>
      <c r="G1127" s="497" t="s">
        <v>1888</v>
      </c>
      <c r="H1127" s="602" t="str">
        <f>IFERROR(VLOOKUP(E:E,'Item Data Support Sheet'!A:O,2,0),"")</f>
        <v>KPP BOTTLE 240 ML MOULDED-WMG3B</v>
      </c>
      <c r="I1127" s="501" t="s">
        <v>3890</v>
      </c>
      <c r="J1127" s="501" t="s">
        <v>2811</v>
      </c>
      <c r="K1127" s="499">
        <v>8</v>
      </c>
      <c r="L1127" s="499">
        <v>2574</v>
      </c>
      <c r="M1127" s="366">
        <v>321.75</v>
      </c>
      <c r="N1127" s="367">
        <f t="shared" si="307"/>
        <v>2915</v>
      </c>
      <c r="O1127" s="61">
        <v>2808</v>
      </c>
      <c r="P1127" s="368">
        <v>0</v>
      </c>
      <c r="Q1127" s="368">
        <v>52</v>
      </c>
      <c r="R1127" s="494">
        <v>0</v>
      </c>
      <c r="S1127" s="493">
        <v>0</v>
      </c>
      <c r="T1127" s="494">
        <v>55</v>
      </c>
      <c r="U1127" s="493">
        <v>0</v>
      </c>
      <c r="V1127" s="502">
        <v>1</v>
      </c>
      <c r="W1127" s="453">
        <f t="shared" si="309"/>
        <v>2808</v>
      </c>
      <c r="X1127" s="748">
        <f t="shared" si="310"/>
        <v>1.0909090909090908</v>
      </c>
      <c r="Y1127" s="451" t="str">
        <f>IFERROR(VLOOKUP(E:E,'Item Data Support Sheet'!A:J,6,0),0)</f>
        <v>WMG3B</v>
      </c>
      <c r="Z1127" s="428">
        <f>IFERROR(VLOOKUP(E:E,'Item Data Support Sheet'!A:O,4,0),0)</f>
        <v>33.1</v>
      </c>
      <c r="AA1127" s="428">
        <f t="shared" si="311"/>
        <v>96.486500000000007</v>
      </c>
      <c r="AB1127" s="429">
        <f t="shared" si="312"/>
        <v>0.96329331046312183</v>
      </c>
      <c r="AC1127" s="424">
        <f t="shared" si="313"/>
        <v>1.9210618232623121E-2</v>
      </c>
      <c r="AD1127" s="371">
        <f t="shared" si="314"/>
        <v>1.7526120660599932E-2</v>
      </c>
      <c r="AE1127" s="748">
        <f t="shared" si="315"/>
        <v>0.98113207547169812</v>
      </c>
      <c r="AF1127" s="417">
        <f t="shared" si="316"/>
        <v>0</v>
      </c>
      <c r="AG1127" s="416">
        <f t="shared" si="317"/>
        <v>8</v>
      </c>
      <c r="AH1127" s="372">
        <f t="shared" si="318"/>
        <v>1</v>
      </c>
      <c r="AI1127" s="373">
        <f t="shared" si="319"/>
        <v>351</v>
      </c>
      <c r="AJ1127" s="418">
        <f>VLOOKUP(D1127,'Standard Cycle time'!C:D,2,0)</f>
        <v>9</v>
      </c>
      <c r="AK1127" s="418">
        <f t="shared" si="320"/>
        <v>10.256410256410257</v>
      </c>
      <c r="AL1127" s="374">
        <f t="shared" si="321"/>
        <v>0.87749999999999995</v>
      </c>
      <c r="AM1127" s="372">
        <f t="shared" si="322"/>
        <v>0.86094339622641503</v>
      </c>
      <c r="AN1127" s="799">
        <v>0.86094339622641503</v>
      </c>
      <c r="AO1127" s="448"/>
      <c r="AP1127" s="440">
        <v>0</v>
      </c>
      <c r="AQ1127" s="440">
        <v>0</v>
      </c>
      <c r="AR1127" s="440">
        <v>0</v>
      </c>
      <c r="AS1127" s="440">
        <v>0</v>
      </c>
      <c r="AT1127" s="440">
        <v>0</v>
      </c>
      <c r="AU1127" s="440">
        <v>0</v>
      </c>
      <c r="AV1127" s="440">
        <v>0</v>
      </c>
      <c r="AW1127" s="440">
        <v>0</v>
      </c>
      <c r="AX1127" s="440">
        <v>0</v>
      </c>
      <c r="AY1127" s="440">
        <v>0</v>
      </c>
      <c r="AZ1127" s="440">
        <v>0</v>
      </c>
      <c r="BA1127" s="440">
        <v>0</v>
      </c>
      <c r="BB1127" s="440">
        <v>0</v>
      </c>
      <c r="BC1127" s="440">
        <v>0</v>
      </c>
      <c r="BD1127" s="440">
        <v>0</v>
      </c>
      <c r="BE1127" s="440">
        <v>0</v>
      </c>
      <c r="BF1127" s="440">
        <v>0</v>
      </c>
      <c r="BG1127" s="440">
        <v>0</v>
      </c>
      <c r="BH1127" s="440">
        <v>0</v>
      </c>
      <c r="BI1127" s="440">
        <v>0</v>
      </c>
      <c r="BJ1127" s="440">
        <v>0</v>
      </c>
      <c r="BK1127" s="440">
        <v>0</v>
      </c>
      <c r="BL1127" s="440">
        <v>0</v>
      </c>
      <c r="BM1127" s="440">
        <v>0</v>
      </c>
      <c r="BN1127" s="440">
        <v>0</v>
      </c>
      <c r="BO1127" s="440">
        <v>0</v>
      </c>
      <c r="BP1127" s="440">
        <v>0</v>
      </c>
      <c r="BQ1127" s="440">
        <v>0</v>
      </c>
      <c r="BR1127" s="415">
        <v>0</v>
      </c>
      <c r="BS1127" s="415">
        <v>0</v>
      </c>
      <c r="BT1127" s="935"/>
      <c r="BU1127" s="935"/>
      <c r="BV1127" s="935"/>
      <c r="BW1127" s="935"/>
      <c r="BX1127" s="935"/>
      <c r="BY1127" s="935"/>
      <c r="BZ1127" s="935"/>
      <c r="CA1127" s="935"/>
      <c r="CB1127" s="935"/>
      <c r="CC1127" s="935"/>
      <c r="CD1127" s="935"/>
      <c r="CE1127" s="935"/>
      <c r="CF1127" s="935"/>
      <c r="CG1127" s="935"/>
      <c r="CH1127" s="935"/>
      <c r="CI1127" s="935"/>
      <c r="CJ1127" s="935"/>
      <c r="CK1127" s="935"/>
      <c r="CL1127" s="935"/>
      <c r="CM1127" s="935"/>
      <c r="CN1127" s="935"/>
      <c r="CO1127" s="935"/>
      <c r="CP1127" s="935"/>
      <c r="CQ1127" s="935"/>
      <c r="CR1127" s="935"/>
      <c r="CS1127" s="935"/>
      <c r="CT1127" s="935"/>
      <c r="CU1127" s="935"/>
      <c r="CV1127" s="935"/>
      <c r="CY1127" s="441" t="s">
        <v>2611</v>
      </c>
    </row>
    <row r="1128" spans="1:104" s="441" customFormat="1">
      <c r="A1128" s="375">
        <f t="shared" si="308"/>
        <v>11</v>
      </c>
      <c r="B1128" s="862">
        <v>44501</v>
      </c>
      <c r="C1128" s="493" t="s">
        <v>2001</v>
      </c>
      <c r="D1128" s="376" t="str">
        <f>IFERROR(VLOOKUP(E:E,'Item Data Support Sheet'!A:O,7,0),"")</f>
        <v>NIPPLE MOLDED</v>
      </c>
      <c r="E1128" s="447" t="s">
        <v>72</v>
      </c>
      <c r="F1128" s="500" t="s">
        <v>1678</v>
      </c>
      <c r="G1128" s="497" t="s">
        <v>1691</v>
      </c>
      <c r="H1128" s="602" t="str">
        <f>IFERROR(VLOOKUP(E:E,'Item Data Support Sheet'!A:O,2,0),"")</f>
        <v>NIPPLE S TYPE S SIZE INJECTION</v>
      </c>
      <c r="I1128" s="501" t="s">
        <v>3891</v>
      </c>
      <c r="J1128" s="501" t="s">
        <v>2811</v>
      </c>
      <c r="K1128" s="499">
        <v>8</v>
      </c>
      <c r="L1128" s="499">
        <v>4815</v>
      </c>
      <c r="M1128" s="366">
        <v>601.875</v>
      </c>
      <c r="N1128" s="367">
        <f t="shared" si="307"/>
        <v>5140</v>
      </c>
      <c r="O1128" s="61">
        <v>5070</v>
      </c>
      <c r="P1128" s="368">
        <v>0</v>
      </c>
      <c r="Q1128" s="368">
        <v>30</v>
      </c>
      <c r="R1128" s="494">
        <v>0</v>
      </c>
      <c r="S1128" s="493">
        <v>0</v>
      </c>
      <c r="T1128" s="494">
        <v>40</v>
      </c>
      <c r="U1128" s="493">
        <v>0</v>
      </c>
      <c r="V1128" s="502">
        <v>1</v>
      </c>
      <c r="W1128" s="453">
        <f t="shared" si="309"/>
        <v>5070</v>
      </c>
      <c r="X1128" s="748">
        <f t="shared" si="310"/>
        <v>1.0529595015576323</v>
      </c>
      <c r="Y1128" s="451" t="str">
        <f>IFERROR(VLOOKUP(E:E,'Item Data Support Sheet'!A:J,6,0),0)</f>
        <v>Silicon</v>
      </c>
      <c r="Z1128" s="428">
        <f>IFERROR(VLOOKUP(E:E,'Item Data Support Sheet'!A:O,4,0),0)</f>
        <v>6.8</v>
      </c>
      <c r="AA1128" s="428">
        <f t="shared" si="311"/>
        <v>34.951999999999998</v>
      </c>
      <c r="AB1128" s="429">
        <f t="shared" si="312"/>
        <v>0.98638132295719849</v>
      </c>
      <c r="AC1128" s="424">
        <f t="shared" si="313"/>
        <v>7.8277886497064575E-3</v>
      </c>
      <c r="AD1128" s="371">
        <f t="shared" si="314"/>
        <v>5.8027079303675051E-3</v>
      </c>
      <c r="AE1128" s="748">
        <f t="shared" si="315"/>
        <v>0.99221789883268485</v>
      </c>
      <c r="AF1128" s="417">
        <f t="shared" si="316"/>
        <v>0</v>
      </c>
      <c r="AG1128" s="416">
        <f t="shared" si="317"/>
        <v>8</v>
      </c>
      <c r="AH1128" s="372">
        <f t="shared" si="318"/>
        <v>1</v>
      </c>
      <c r="AI1128" s="373">
        <f t="shared" si="319"/>
        <v>633.75</v>
      </c>
      <c r="AJ1128" s="418">
        <f>VLOOKUP(D1128,'Standard Cycle time'!C:D,2,0)</f>
        <v>5.25</v>
      </c>
      <c r="AK1128" s="418">
        <f t="shared" si="320"/>
        <v>5.6804733727810648</v>
      </c>
      <c r="AL1128" s="374">
        <f t="shared" si="321"/>
        <v>0.92421875000000009</v>
      </c>
      <c r="AM1128" s="372">
        <f t="shared" si="322"/>
        <v>0.91702638618677057</v>
      </c>
      <c r="AN1128" s="799">
        <v>0.91702638618677057</v>
      </c>
      <c r="AO1128" s="448"/>
      <c r="AP1128" s="440">
        <v>0</v>
      </c>
      <c r="AQ1128" s="440">
        <v>0</v>
      </c>
      <c r="AR1128" s="440">
        <v>0</v>
      </c>
      <c r="AS1128" s="440">
        <v>0</v>
      </c>
      <c r="AT1128" s="440">
        <v>0</v>
      </c>
      <c r="AU1128" s="440">
        <v>0</v>
      </c>
      <c r="AV1128" s="440">
        <v>0</v>
      </c>
      <c r="AW1128" s="440">
        <v>0</v>
      </c>
      <c r="AX1128" s="440">
        <v>0</v>
      </c>
      <c r="AY1128" s="440">
        <v>0</v>
      </c>
      <c r="AZ1128" s="440">
        <v>0</v>
      </c>
      <c r="BA1128" s="440">
        <v>0</v>
      </c>
      <c r="BB1128" s="440">
        <v>0</v>
      </c>
      <c r="BC1128" s="440">
        <v>0</v>
      </c>
      <c r="BD1128" s="440">
        <v>0</v>
      </c>
      <c r="BE1128" s="440">
        <v>0</v>
      </c>
      <c r="BF1128" s="440">
        <v>0</v>
      </c>
      <c r="BG1128" s="440">
        <v>0</v>
      </c>
      <c r="BH1128" s="440">
        <v>0</v>
      </c>
      <c r="BI1128" s="440">
        <v>0</v>
      </c>
      <c r="BJ1128" s="440">
        <v>0</v>
      </c>
      <c r="BK1128" s="440">
        <v>0</v>
      </c>
      <c r="BL1128" s="440">
        <v>0</v>
      </c>
      <c r="BM1128" s="440">
        <v>0</v>
      </c>
      <c r="BN1128" s="440">
        <v>0</v>
      </c>
      <c r="BO1128" s="440">
        <v>0</v>
      </c>
      <c r="BP1128" s="440">
        <v>0</v>
      </c>
      <c r="BQ1128" s="440">
        <v>0</v>
      </c>
      <c r="BR1128" s="415">
        <v>0</v>
      </c>
      <c r="BS1128" s="415">
        <v>0</v>
      </c>
      <c r="BT1128" s="935"/>
      <c r="BU1128" s="935"/>
      <c r="BV1128" s="935"/>
      <c r="BW1128" s="935"/>
      <c r="BX1128" s="935"/>
      <c r="BY1128" s="935"/>
      <c r="BZ1128" s="935"/>
      <c r="CA1128" s="935"/>
      <c r="CB1128" s="935"/>
      <c r="CC1128" s="935"/>
      <c r="CD1128" s="935"/>
      <c r="CE1128" s="935"/>
      <c r="CF1128" s="935"/>
      <c r="CG1128" s="935"/>
      <c r="CH1128" s="935"/>
      <c r="CI1128" s="935"/>
      <c r="CJ1128" s="935"/>
      <c r="CK1128" s="935"/>
      <c r="CL1128" s="935"/>
      <c r="CM1128" s="935"/>
      <c r="CN1128" s="935"/>
      <c r="CO1128" s="935"/>
      <c r="CP1128" s="935"/>
      <c r="CQ1128" s="935"/>
      <c r="CR1128" s="935"/>
      <c r="CS1128" s="935"/>
      <c r="CT1128" s="935"/>
      <c r="CU1128" s="935"/>
      <c r="CV1128" s="935"/>
      <c r="CY1128" s="441" t="s">
        <v>3493</v>
      </c>
    </row>
    <row r="1129" spans="1:104" s="441" customFormat="1">
      <c r="A1129" s="375">
        <f t="shared" si="308"/>
        <v>11</v>
      </c>
      <c r="B1129" s="862">
        <v>44501</v>
      </c>
      <c r="C1129" s="493" t="s">
        <v>2001</v>
      </c>
      <c r="D1129" s="376" t="str">
        <f>IFERROR(VLOOKUP(E:E,'Item Data Support Sheet'!A:O,7,0),"")</f>
        <v>BOTTLE PRINTED</v>
      </c>
      <c r="E1129" s="447" t="s">
        <v>64</v>
      </c>
      <c r="F1129" s="500"/>
      <c r="G1129" s="497"/>
      <c r="H1129" s="602" t="str">
        <f>IFERROR(VLOOKUP(E:E,'Item Data Support Sheet'!A:O,2,0),"")</f>
        <v>KPP 240 ML BOTTLE PRINTED</v>
      </c>
      <c r="I1129" s="501" t="s">
        <v>3892</v>
      </c>
      <c r="J1129" s="501" t="s">
        <v>2811</v>
      </c>
      <c r="K1129" s="499">
        <v>4</v>
      </c>
      <c r="L1129" s="499">
        <v>2550</v>
      </c>
      <c r="M1129" s="366">
        <v>637.5</v>
      </c>
      <c r="N1129" s="367">
        <f t="shared" si="307"/>
        <v>2066</v>
      </c>
      <c r="O1129" s="61">
        <v>2052</v>
      </c>
      <c r="P1129" s="368">
        <v>0</v>
      </c>
      <c r="Q1129" s="368">
        <v>0</v>
      </c>
      <c r="R1129" s="494">
        <v>27</v>
      </c>
      <c r="S1129" s="493">
        <v>0</v>
      </c>
      <c r="T1129" s="494">
        <v>14</v>
      </c>
      <c r="U1129" s="493">
        <v>0</v>
      </c>
      <c r="V1129" s="502">
        <v>5</v>
      </c>
      <c r="W1129" s="453">
        <f t="shared" si="309"/>
        <v>410.4</v>
      </c>
      <c r="X1129" s="748">
        <f t="shared" si="310"/>
        <v>0.80470588235294116</v>
      </c>
      <c r="Y1129" s="451" t="str">
        <f>IFERROR(VLOOKUP(E:E,'Item Data Support Sheet'!A:J,6,0),0)</f>
        <v>FO003</v>
      </c>
      <c r="Z1129" s="428">
        <f>IFERROR(VLOOKUP(E:E,'Item Data Support Sheet'!A:O,4,0),0)</f>
        <v>0</v>
      </c>
      <c r="AA1129" s="428">
        <f t="shared" si="311"/>
        <v>0</v>
      </c>
      <c r="AB1129" s="429" t="str">
        <f t="shared" si="312"/>
        <v xml:space="preserve"> </v>
      </c>
      <c r="AC1129" s="424">
        <f t="shared" si="313"/>
        <v>6.7763794772507258E-3</v>
      </c>
      <c r="AD1129" s="371">
        <f t="shared" si="314"/>
        <v>0</v>
      </c>
      <c r="AE1129" s="748">
        <f t="shared" si="315"/>
        <v>0.99322362052274926</v>
      </c>
      <c r="AF1129" s="417">
        <f t="shared" si="316"/>
        <v>0.66666666666666663</v>
      </c>
      <c r="AG1129" s="416">
        <f t="shared" si="317"/>
        <v>3.3333333333333335</v>
      </c>
      <c r="AH1129" s="372">
        <f t="shared" si="318"/>
        <v>0.83333333333333337</v>
      </c>
      <c r="AI1129" s="373">
        <f t="shared" si="319"/>
        <v>513</v>
      </c>
      <c r="AJ1129" s="418">
        <f>VLOOKUP(D1129,'Standard Cycle time'!C:D,2,0)</f>
        <v>32.4</v>
      </c>
      <c r="AK1129" s="418">
        <f t="shared" si="320"/>
        <v>29.239766081871348</v>
      </c>
      <c r="AL1129" s="374">
        <f t="shared" si="321"/>
        <v>1.1080799999999997</v>
      </c>
      <c r="AM1129" s="372">
        <f t="shared" si="322"/>
        <v>0.91714269119070646</v>
      </c>
      <c r="AN1129" s="799">
        <v>0.91714269119070646</v>
      </c>
      <c r="AO1129" s="448" t="s">
        <v>3893</v>
      </c>
      <c r="AP1129" s="440">
        <v>40</v>
      </c>
      <c r="AQ1129" s="440">
        <v>0</v>
      </c>
      <c r="AR1129" s="440">
        <v>0</v>
      </c>
      <c r="AS1129" s="440">
        <v>0</v>
      </c>
      <c r="AT1129" s="440">
        <v>0</v>
      </c>
      <c r="AU1129" s="440">
        <v>0</v>
      </c>
      <c r="AV1129" s="440">
        <v>0</v>
      </c>
      <c r="AW1129" s="440">
        <v>0</v>
      </c>
      <c r="AX1129" s="440">
        <v>0</v>
      </c>
      <c r="AY1129" s="440">
        <v>0</v>
      </c>
      <c r="AZ1129" s="440">
        <v>0</v>
      </c>
      <c r="BA1129" s="440">
        <v>0</v>
      </c>
      <c r="BB1129" s="440">
        <v>0</v>
      </c>
      <c r="BC1129" s="440">
        <v>0</v>
      </c>
      <c r="BD1129" s="440">
        <v>0</v>
      </c>
      <c r="BE1129" s="440">
        <v>0</v>
      </c>
      <c r="BF1129" s="440">
        <v>0</v>
      </c>
      <c r="BG1129" s="440">
        <v>0</v>
      </c>
      <c r="BH1129" s="440">
        <v>0</v>
      </c>
      <c r="BI1129" s="440">
        <v>0</v>
      </c>
      <c r="BJ1129" s="440">
        <v>0</v>
      </c>
      <c r="BK1129" s="440">
        <v>0</v>
      </c>
      <c r="BL1129" s="440">
        <v>0</v>
      </c>
      <c r="BM1129" s="440">
        <v>0</v>
      </c>
      <c r="BN1129" s="440">
        <v>0</v>
      </c>
      <c r="BO1129" s="440">
        <v>0</v>
      </c>
      <c r="BP1129" s="440">
        <v>0</v>
      </c>
      <c r="BQ1129" s="440">
        <v>0</v>
      </c>
      <c r="BR1129" s="415">
        <v>0.66666666666666663</v>
      </c>
      <c r="BS1129" s="415">
        <v>0.66666666666666663</v>
      </c>
      <c r="BT1129" s="935"/>
      <c r="BU1129" s="935"/>
      <c r="BV1129" s="935"/>
      <c r="BW1129" s="935"/>
      <c r="BX1129" s="935"/>
      <c r="BY1129" s="935"/>
      <c r="BZ1129" s="935"/>
      <c r="CA1129" s="935"/>
      <c r="CB1129" s="935"/>
      <c r="CC1129" s="935"/>
      <c r="CD1129" s="935"/>
      <c r="CE1129" s="935"/>
      <c r="CF1129" s="935"/>
      <c r="CG1129" s="935"/>
      <c r="CH1129" s="935"/>
      <c r="CI1129" s="935"/>
      <c r="CJ1129" s="935"/>
      <c r="CK1129" s="935"/>
      <c r="CL1129" s="935"/>
      <c r="CM1129" s="935"/>
      <c r="CN1129" s="935"/>
      <c r="CO1129" s="935"/>
      <c r="CP1129" s="935"/>
      <c r="CQ1129" s="935"/>
      <c r="CR1129" s="935"/>
      <c r="CS1129" s="935"/>
      <c r="CT1129" s="935"/>
      <c r="CU1129" s="935"/>
      <c r="CV1129" s="935"/>
      <c r="CY1129" s="441" t="s">
        <v>2291</v>
      </c>
    </row>
    <row r="1130" spans="1:104" s="441" customFormat="1">
      <c r="A1130" s="375">
        <f t="shared" si="308"/>
        <v>11</v>
      </c>
      <c r="B1130" s="862">
        <v>44501</v>
      </c>
      <c r="C1130" s="493" t="s">
        <v>2053</v>
      </c>
      <c r="D1130" s="376" t="str">
        <f>IFERROR(VLOOKUP(E:E,'Item Data Support Sheet'!A:O,7,0),"")</f>
        <v>BOTTLE MOLDED</v>
      </c>
      <c r="E1130" s="447" t="s">
        <v>14</v>
      </c>
      <c r="F1130" s="500" t="s">
        <v>1681</v>
      </c>
      <c r="G1130" s="497" t="s">
        <v>1888</v>
      </c>
      <c r="H1130" s="602" t="str">
        <f>IFERROR(VLOOKUP(E:E,'Item Data Support Sheet'!A:O,2,0),"")</f>
        <v>KPP 240 ML BOTTLE MOLDED</v>
      </c>
      <c r="I1130" s="501" t="s">
        <v>3894</v>
      </c>
      <c r="J1130" s="501" t="s">
        <v>3895</v>
      </c>
      <c r="K1130" s="499">
        <v>8</v>
      </c>
      <c r="L1130" s="499">
        <v>2574</v>
      </c>
      <c r="M1130" s="366">
        <v>321.75</v>
      </c>
      <c r="N1130" s="367">
        <f t="shared" si="307"/>
        <v>1720</v>
      </c>
      <c r="O1130" s="61">
        <v>1620</v>
      </c>
      <c r="P1130" s="368">
        <v>1.5</v>
      </c>
      <c r="Q1130" s="368">
        <v>60</v>
      </c>
      <c r="R1130" s="494">
        <v>0</v>
      </c>
      <c r="S1130" s="493">
        <v>0</v>
      </c>
      <c r="T1130" s="494">
        <v>32</v>
      </c>
      <c r="U1130" s="493">
        <v>8</v>
      </c>
      <c r="V1130" s="502">
        <v>1</v>
      </c>
      <c r="W1130" s="453">
        <f t="shared" si="309"/>
        <v>1620</v>
      </c>
      <c r="X1130" s="748">
        <f t="shared" si="310"/>
        <v>0.62937062937062938</v>
      </c>
      <c r="Y1130" s="451" t="str">
        <f>IFERROR(VLOOKUP(E:E,'Item Data Support Sheet'!A:J,6,0),0)</f>
        <v>HMC</v>
      </c>
      <c r="Z1130" s="428">
        <f>IFERROR(VLOOKUP(E:E,'Item Data Support Sheet'!A:O,4,0),0)</f>
        <v>32.1</v>
      </c>
      <c r="AA1130" s="428">
        <f t="shared" si="311"/>
        <v>56.712000000000003</v>
      </c>
      <c r="AB1130" s="429">
        <f t="shared" si="312"/>
        <v>0.91694879390605166</v>
      </c>
      <c r="AC1130" s="424">
        <f t="shared" si="313"/>
        <v>1.9370460048426151E-2</v>
      </c>
      <c r="AD1130" s="371">
        <f t="shared" si="314"/>
        <v>3.3707865168539325E-2</v>
      </c>
      <c r="AE1130" s="748">
        <f t="shared" si="315"/>
        <v>0.98139534883720925</v>
      </c>
      <c r="AF1130" s="417">
        <f t="shared" si="316"/>
        <v>3.8333333333333335</v>
      </c>
      <c r="AG1130" s="416">
        <f t="shared" si="317"/>
        <v>4.1666666666666661</v>
      </c>
      <c r="AH1130" s="372">
        <f t="shared" si="318"/>
        <v>0.52083333333333326</v>
      </c>
      <c r="AI1130" s="373">
        <f t="shared" si="319"/>
        <v>202.5</v>
      </c>
      <c r="AJ1130" s="418">
        <f>VLOOKUP(D1130,'Standard Cycle time'!C:D,2,0)</f>
        <v>9</v>
      </c>
      <c r="AK1130" s="418">
        <f t="shared" si="320"/>
        <v>9.2592592592592577</v>
      </c>
      <c r="AL1130" s="374">
        <f t="shared" si="321"/>
        <v>0.9720000000000002</v>
      </c>
      <c r="AM1130" s="372">
        <f t="shared" si="322"/>
        <v>0.49683139534883725</v>
      </c>
      <c r="AN1130" s="799">
        <v>0.49683139534883725</v>
      </c>
      <c r="AO1130" s="448" t="s">
        <v>3896</v>
      </c>
      <c r="AP1130" s="440">
        <v>0</v>
      </c>
      <c r="AQ1130" s="440">
        <v>40</v>
      </c>
      <c r="AR1130" s="440">
        <v>120</v>
      </c>
      <c r="AS1130" s="440">
        <v>0</v>
      </c>
      <c r="AT1130" s="440">
        <v>0</v>
      </c>
      <c r="AU1130" s="440">
        <v>0</v>
      </c>
      <c r="AV1130" s="440">
        <v>30</v>
      </c>
      <c r="AW1130" s="440">
        <v>40</v>
      </c>
      <c r="AX1130" s="440">
        <v>0</v>
      </c>
      <c r="AY1130" s="440">
        <v>0</v>
      </c>
      <c r="AZ1130" s="440">
        <v>0</v>
      </c>
      <c r="BA1130" s="440">
        <v>0</v>
      </c>
      <c r="BB1130" s="440">
        <v>0</v>
      </c>
      <c r="BC1130" s="440">
        <v>0</v>
      </c>
      <c r="BD1130" s="440">
        <v>0</v>
      </c>
      <c r="BE1130" s="440">
        <v>0</v>
      </c>
      <c r="BF1130" s="440">
        <v>0</v>
      </c>
      <c r="BG1130" s="440">
        <v>0</v>
      </c>
      <c r="BH1130" s="440">
        <v>0</v>
      </c>
      <c r="BI1130" s="440">
        <v>0</v>
      </c>
      <c r="BJ1130" s="440">
        <v>0</v>
      </c>
      <c r="BK1130" s="440">
        <v>0</v>
      </c>
      <c r="BL1130" s="440">
        <v>0</v>
      </c>
      <c r="BM1130" s="440">
        <v>0</v>
      </c>
      <c r="BN1130" s="440">
        <v>0</v>
      </c>
      <c r="BO1130" s="440">
        <v>0</v>
      </c>
      <c r="BP1130" s="440">
        <v>0</v>
      </c>
      <c r="BQ1130" s="440">
        <v>0</v>
      </c>
      <c r="BR1130" s="415">
        <v>3.8333333333333335</v>
      </c>
      <c r="BS1130" s="415">
        <v>3.8333333333333335</v>
      </c>
      <c r="BT1130" s="935"/>
      <c r="BU1130" s="935"/>
      <c r="BV1130" s="935"/>
      <c r="BW1130" s="935"/>
      <c r="BX1130" s="935"/>
      <c r="BY1130" s="935"/>
      <c r="BZ1130" s="935"/>
      <c r="CA1130" s="935"/>
      <c r="CB1130" s="935"/>
      <c r="CC1130" s="935"/>
      <c r="CD1130" s="935"/>
      <c r="CE1130" s="935"/>
      <c r="CF1130" s="935"/>
      <c r="CG1130" s="935"/>
      <c r="CH1130" s="935"/>
      <c r="CI1130" s="935"/>
      <c r="CJ1130" s="935"/>
      <c r="CK1130" s="935"/>
      <c r="CL1130" s="935"/>
      <c r="CM1130" s="935"/>
      <c r="CN1130" s="935"/>
      <c r="CO1130" s="935"/>
      <c r="CP1130" s="935"/>
      <c r="CQ1130" s="935"/>
      <c r="CR1130" s="935"/>
      <c r="CS1130" s="935"/>
      <c r="CT1130" s="935"/>
      <c r="CU1130" s="935"/>
      <c r="CV1130" s="935"/>
      <c r="CY1130" s="441" t="s">
        <v>3496</v>
      </c>
    </row>
    <row r="1131" spans="1:104" s="441" customFormat="1">
      <c r="A1131" s="375">
        <f t="shared" si="308"/>
        <v>11</v>
      </c>
      <c r="B1131" s="862">
        <v>44501</v>
      </c>
      <c r="C1131" s="493" t="s">
        <v>2053</v>
      </c>
      <c r="D1131" s="376" t="str">
        <f>IFERROR(VLOOKUP(E:E,'Item Data Support Sheet'!A:O,7,0),"")</f>
        <v>NIPPLE MOLDED</v>
      </c>
      <c r="E1131" s="447" t="s">
        <v>72</v>
      </c>
      <c r="F1131" s="500" t="s">
        <v>1678</v>
      </c>
      <c r="G1131" s="497" t="s">
        <v>1691</v>
      </c>
      <c r="H1131" s="602" t="str">
        <f>IFERROR(VLOOKUP(E:E,'Item Data Support Sheet'!A:O,2,0),"")</f>
        <v>NIPPLE S TYPE S SIZE INJECTION</v>
      </c>
      <c r="I1131" s="501" t="s">
        <v>3897</v>
      </c>
      <c r="J1131" s="501" t="s">
        <v>3895</v>
      </c>
      <c r="K1131" s="499">
        <v>8</v>
      </c>
      <c r="L1131" s="499">
        <v>4815</v>
      </c>
      <c r="M1131" s="366">
        <v>601.875</v>
      </c>
      <c r="N1131" s="367">
        <f t="shared" si="307"/>
        <v>4402</v>
      </c>
      <c r="O1131" s="61">
        <v>4300</v>
      </c>
      <c r="P1131" s="368">
        <v>6.3800000000000008</v>
      </c>
      <c r="Q1131" s="368">
        <v>56</v>
      </c>
      <c r="R1131" s="494">
        <v>0</v>
      </c>
      <c r="S1131" s="493">
        <v>0</v>
      </c>
      <c r="T1131" s="494">
        <v>38</v>
      </c>
      <c r="U1131" s="493">
        <v>8</v>
      </c>
      <c r="V1131" s="502">
        <v>1</v>
      </c>
      <c r="W1131" s="453">
        <f t="shared" si="309"/>
        <v>4300</v>
      </c>
      <c r="X1131" s="748">
        <f t="shared" si="310"/>
        <v>0.89304257528556596</v>
      </c>
      <c r="Y1131" s="451" t="str">
        <f>IFERROR(VLOOKUP(E:E,'Item Data Support Sheet'!A:J,6,0),0)</f>
        <v>Silicon</v>
      </c>
      <c r="Z1131" s="428">
        <f>IFERROR(VLOOKUP(E:E,'Item Data Support Sheet'!A:O,4,0),0)</f>
        <v>6.8</v>
      </c>
      <c r="AA1131" s="428">
        <f t="shared" si="311"/>
        <v>36.313600000000001</v>
      </c>
      <c r="AB1131" s="429">
        <f t="shared" si="312"/>
        <v>0.80520796616143808</v>
      </c>
      <c r="AC1131" s="424">
        <f t="shared" si="313"/>
        <v>8.7597971415398802E-3</v>
      </c>
      <c r="AD1131" s="371">
        <f t="shared" si="314"/>
        <v>1.256168685509197E-2</v>
      </c>
      <c r="AE1131" s="748">
        <f t="shared" si="315"/>
        <v>0.99136756019990913</v>
      </c>
      <c r="AF1131" s="417">
        <f t="shared" si="316"/>
        <v>1</v>
      </c>
      <c r="AG1131" s="416">
        <f t="shared" si="317"/>
        <v>7</v>
      </c>
      <c r="AH1131" s="372">
        <f t="shared" si="318"/>
        <v>0.875</v>
      </c>
      <c r="AI1131" s="373">
        <f t="shared" si="319"/>
        <v>537.5</v>
      </c>
      <c r="AJ1131" s="418">
        <f>VLOOKUP(D1131,'Standard Cycle time'!C:D,2,0)</f>
        <v>5.25</v>
      </c>
      <c r="AK1131" s="418">
        <f t="shared" si="320"/>
        <v>5.8604651162790695</v>
      </c>
      <c r="AL1131" s="374">
        <f t="shared" si="321"/>
        <v>0.89583333333333337</v>
      </c>
      <c r="AM1131" s="372">
        <f t="shared" si="322"/>
        <v>0.77708759276086625</v>
      </c>
      <c r="AN1131" s="799">
        <v>0.77708759276086625</v>
      </c>
      <c r="AO1131" s="448" t="s">
        <v>3898</v>
      </c>
      <c r="AP1131" s="440">
        <v>0</v>
      </c>
      <c r="AQ1131" s="440">
        <v>0</v>
      </c>
      <c r="AR1131" s="440">
        <v>0</v>
      </c>
      <c r="AS1131" s="440">
        <v>0</v>
      </c>
      <c r="AT1131" s="440">
        <v>0</v>
      </c>
      <c r="AU1131" s="440">
        <v>30</v>
      </c>
      <c r="AV1131" s="440">
        <v>0</v>
      </c>
      <c r="AW1131" s="440">
        <v>0</v>
      </c>
      <c r="AX1131" s="440">
        <v>30</v>
      </c>
      <c r="AY1131" s="440">
        <v>0</v>
      </c>
      <c r="AZ1131" s="440">
        <v>0</v>
      </c>
      <c r="BA1131" s="440">
        <v>0</v>
      </c>
      <c r="BB1131" s="440">
        <v>0</v>
      </c>
      <c r="BC1131" s="440">
        <v>0</v>
      </c>
      <c r="BD1131" s="440">
        <v>0</v>
      </c>
      <c r="BE1131" s="440">
        <v>0</v>
      </c>
      <c r="BF1131" s="440">
        <v>0</v>
      </c>
      <c r="BG1131" s="440">
        <v>0</v>
      </c>
      <c r="BH1131" s="440">
        <v>0</v>
      </c>
      <c r="BI1131" s="440">
        <v>0</v>
      </c>
      <c r="BJ1131" s="440">
        <v>0</v>
      </c>
      <c r="BK1131" s="440">
        <v>0</v>
      </c>
      <c r="BL1131" s="440">
        <v>0</v>
      </c>
      <c r="BM1131" s="440">
        <v>0</v>
      </c>
      <c r="BN1131" s="440">
        <v>0</v>
      </c>
      <c r="BO1131" s="440">
        <v>0</v>
      </c>
      <c r="BP1131" s="440">
        <v>0</v>
      </c>
      <c r="BQ1131" s="440">
        <v>0</v>
      </c>
      <c r="BR1131" s="415">
        <v>1</v>
      </c>
      <c r="BS1131" s="415">
        <v>1</v>
      </c>
      <c r="BT1131" s="935"/>
      <c r="BU1131" s="935"/>
      <c r="BV1131" s="935"/>
      <c r="BW1131" s="935"/>
      <c r="BX1131" s="935"/>
      <c r="BY1131" s="935"/>
      <c r="BZ1131" s="935"/>
      <c r="CA1131" s="935"/>
      <c r="CB1131" s="935"/>
      <c r="CC1131" s="935"/>
      <c r="CD1131" s="935"/>
      <c r="CE1131" s="935"/>
      <c r="CF1131" s="935"/>
      <c r="CG1131" s="935"/>
      <c r="CH1131" s="935"/>
      <c r="CI1131" s="935"/>
      <c r="CJ1131" s="935"/>
      <c r="CK1131" s="935"/>
      <c r="CL1131" s="935"/>
      <c r="CM1131" s="935"/>
      <c r="CN1131" s="935"/>
      <c r="CO1131" s="935"/>
      <c r="CP1131" s="935"/>
      <c r="CQ1131" s="935"/>
      <c r="CR1131" s="935"/>
      <c r="CS1131" s="935"/>
      <c r="CT1131" s="935"/>
      <c r="CU1131" s="935"/>
      <c r="CV1131" s="935"/>
      <c r="CY1131" s="441" t="s">
        <v>3498</v>
      </c>
      <c r="CZ1131" s="441">
        <v>36.313600000000001</v>
      </c>
    </row>
    <row r="1132" spans="1:104" s="441" customFormat="1">
      <c r="A1132" s="375">
        <f t="shared" si="308"/>
        <v>11</v>
      </c>
      <c r="B1132" s="862">
        <v>44501</v>
      </c>
      <c r="C1132" s="493" t="s">
        <v>2053</v>
      </c>
      <c r="D1132" s="376" t="str">
        <f>IFERROR(VLOOKUP(E:E,'Item Data Support Sheet'!A:O,7,0),"")</f>
        <v>HOOD MOLDED</v>
      </c>
      <c r="E1132" s="447" t="s">
        <v>1987</v>
      </c>
      <c r="F1132" s="500"/>
      <c r="G1132" s="497" t="s">
        <v>2729</v>
      </c>
      <c r="H1132" s="602" t="str">
        <f>IFERROR(VLOOKUP(E:E,'Item Data Support Sheet'!A:O,2,0),"")</f>
        <v>HOOD S TYPE MOLDED</v>
      </c>
      <c r="I1132" s="501" t="s">
        <v>3899</v>
      </c>
      <c r="J1132" s="501" t="s">
        <v>3895</v>
      </c>
      <c r="K1132" s="499">
        <v>8</v>
      </c>
      <c r="L1132" s="499">
        <v>4137</v>
      </c>
      <c r="M1132" s="366">
        <v>517.125</v>
      </c>
      <c r="N1132" s="367">
        <f t="shared" si="307"/>
        <v>4819</v>
      </c>
      <c r="O1132" s="61">
        <v>4800</v>
      </c>
      <c r="P1132" s="368">
        <v>0</v>
      </c>
      <c r="Q1132" s="368">
        <v>0</v>
      </c>
      <c r="R1132" s="494">
        <v>0</v>
      </c>
      <c r="S1132" s="493">
        <v>0</v>
      </c>
      <c r="T1132" s="494">
        <v>11</v>
      </c>
      <c r="U1132" s="493">
        <v>8</v>
      </c>
      <c r="V1132" s="502">
        <v>1</v>
      </c>
      <c r="W1132" s="453">
        <f t="shared" si="309"/>
        <v>4800</v>
      </c>
      <c r="X1132" s="748">
        <f t="shared" si="310"/>
        <v>1.1602610587382161</v>
      </c>
      <c r="Y1132" s="451" t="str">
        <f>IFERROR(VLOOKUP(E:E,'Item Data Support Sheet'!A:J,6,0),0)</f>
        <v>HMC</v>
      </c>
      <c r="Z1132" s="428">
        <f>IFERROR(VLOOKUP(E:E,'Item Data Support Sheet'!A:O,4,0),0)</f>
        <v>8.6</v>
      </c>
      <c r="AA1132" s="428">
        <f t="shared" si="311"/>
        <v>41.443399999999997</v>
      </c>
      <c r="AB1132" s="429">
        <f t="shared" si="312"/>
        <v>0.99605727329321447</v>
      </c>
      <c r="AC1132" s="424">
        <f t="shared" si="313"/>
        <v>2.2864269382664726E-3</v>
      </c>
      <c r="AD1132" s="371">
        <f t="shared" si="314"/>
        <v>0</v>
      </c>
      <c r="AE1132" s="748">
        <f t="shared" si="315"/>
        <v>0.99771736874870309</v>
      </c>
      <c r="AF1132" s="417">
        <f t="shared" si="316"/>
        <v>0</v>
      </c>
      <c r="AG1132" s="416">
        <f t="shared" si="317"/>
        <v>8</v>
      </c>
      <c r="AH1132" s="372">
        <f t="shared" si="318"/>
        <v>1</v>
      </c>
      <c r="AI1132" s="373">
        <f t="shared" si="319"/>
        <v>600</v>
      </c>
      <c r="AJ1132" s="418">
        <f>VLOOKUP(D1132,'Standard Cycle time'!C:D,2,0)</f>
        <v>6</v>
      </c>
      <c r="AK1132" s="418">
        <f t="shared" si="320"/>
        <v>6</v>
      </c>
      <c r="AL1132" s="374">
        <f t="shared" si="321"/>
        <v>1</v>
      </c>
      <c r="AM1132" s="372">
        <f t="shared" si="322"/>
        <v>0.99771736874870309</v>
      </c>
      <c r="AN1132" s="799">
        <v>0.99771736874870309</v>
      </c>
      <c r="AO1132" s="448"/>
      <c r="AP1132" s="440">
        <v>0</v>
      </c>
      <c r="AQ1132" s="440">
        <v>0</v>
      </c>
      <c r="AR1132" s="440">
        <v>0</v>
      </c>
      <c r="AS1132" s="440">
        <v>0</v>
      </c>
      <c r="AT1132" s="440">
        <v>0</v>
      </c>
      <c r="AU1132" s="440">
        <v>0</v>
      </c>
      <c r="AV1132" s="440">
        <v>0</v>
      </c>
      <c r="AW1132" s="440">
        <v>0</v>
      </c>
      <c r="AX1132" s="440">
        <v>0</v>
      </c>
      <c r="AY1132" s="440">
        <v>0</v>
      </c>
      <c r="AZ1132" s="440">
        <v>0</v>
      </c>
      <c r="BA1132" s="440">
        <v>0</v>
      </c>
      <c r="BB1132" s="440">
        <v>0</v>
      </c>
      <c r="BC1132" s="440">
        <v>0</v>
      </c>
      <c r="BD1132" s="440">
        <v>0</v>
      </c>
      <c r="BE1132" s="440">
        <v>0</v>
      </c>
      <c r="BF1132" s="440">
        <v>0</v>
      </c>
      <c r="BG1132" s="440">
        <v>0</v>
      </c>
      <c r="BH1132" s="440">
        <v>0</v>
      </c>
      <c r="BI1132" s="440">
        <v>0</v>
      </c>
      <c r="BJ1132" s="440">
        <v>0</v>
      </c>
      <c r="BK1132" s="440">
        <v>0</v>
      </c>
      <c r="BL1132" s="440">
        <v>0</v>
      </c>
      <c r="BM1132" s="440">
        <v>0</v>
      </c>
      <c r="BN1132" s="440">
        <v>0</v>
      </c>
      <c r="BO1132" s="440">
        <v>0</v>
      </c>
      <c r="BP1132" s="440">
        <v>0</v>
      </c>
      <c r="BQ1132" s="440">
        <v>0</v>
      </c>
      <c r="BR1132" s="415">
        <v>0</v>
      </c>
      <c r="BS1132" s="415">
        <v>0</v>
      </c>
      <c r="BT1132" s="935"/>
      <c r="BU1132" s="935"/>
      <c r="BV1132" s="935"/>
      <c r="BW1132" s="935"/>
      <c r="BX1132" s="935"/>
      <c r="BY1132" s="935"/>
      <c r="BZ1132" s="935"/>
      <c r="CA1132" s="935"/>
      <c r="CB1132" s="935"/>
      <c r="CC1132" s="935"/>
      <c r="CD1132" s="935"/>
      <c r="CE1132" s="935"/>
      <c r="CF1132" s="935"/>
      <c r="CG1132" s="935"/>
      <c r="CH1132" s="935"/>
      <c r="CI1132" s="935"/>
      <c r="CJ1132" s="935"/>
      <c r="CK1132" s="935"/>
      <c r="CL1132" s="935"/>
      <c r="CM1132" s="935"/>
      <c r="CN1132" s="935"/>
      <c r="CO1132" s="935"/>
      <c r="CP1132" s="935"/>
      <c r="CQ1132" s="935"/>
      <c r="CR1132" s="935"/>
      <c r="CS1132" s="935"/>
      <c r="CT1132" s="935"/>
      <c r="CU1132" s="935"/>
      <c r="CV1132" s="935"/>
      <c r="CY1132" s="441" t="s">
        <v>3501</v>
      </c>
    </row>
    <row r="1133" spans="1:104" s="441" customFormat="1">
      <c r="A1133" s="375">
        <f t="shared" si="308"/>
        <v>11</v>
      </c>
      <c r="B1133" s="862">
        <v>44502</v>
      </c>
      <c r="C1133" s="493" t="s">
        <v>1980</v>
      </c>
      <c r="D1133" s="376" t="str">
        <f>IFERROR(VLOOKUP(E:E,'Item Data Support Sheet'!A:O,7,0),"")</f>
        <v>HOOD MOLDED</v>
      </c>
      <c r="E1133" s="447" t="s">
        <v>1987</v>
      </c>
      <c r="F1133" s="500"/>
      <c r="G1133" s="497" t="s">
        <v>2729</v>
      </c>
      <c r="H1133" s="602" t="str">
        <f>IFERROR(VLOOKUP(E:E,'Item Data Support Sheet'!A:O,2,0),"")</f>
        <v>HOOD S TYPE MOLDED</v>
      </c>
      <c r="I1133" s="501" t="s">
        <v>3900</v>
      </c>
      <c r="J1133" s="501" t="s">
        <v>2808</v>
      </c>
      <c r="K1133" s="499">
        <v>8</v>
      </c>
      <c r="L1133" s="499">
        <v>4137</v>
      </c>
      <c r="M1133" s="366">
        <v>517.125</v>
      </c>
      <c r="N1133" s="367">
        <f t="shared" si="307"/>
        <v>4816</v>
      </c>
      <c r="O1133" s="61">
        <v>4800</v>
      </c>
      <c r="P1133" s="368">
        <v>0</v>
      </c>
      <c r="Q1133" s="368">
        <v>0</v>
      </c>
      <c r="R1133" s="494">
        <v>0</v>
      </c>
      <c r="S1133" s="493">
        <v>0</v>
      </c>
      <c r="T1133" s="494">
        <v>8</v>
      </c>
      <c r="U1133" s="493">
        <v>8</v>
      </c>
      <c r="V1133" s="502">
        <v>1</v>
      </c>
      <c r="W1133" s="453">
        <f t="shared" si="309"/>
        <v>4800</v>
      </c>
      <c r="X1133" s="748">
        <f t="shared" si="310"/>
        <v>1.1602610587382161</v>
      </c>
      <c r="Y1133" s="451" t="str">
        <f>IFERROR(VLOOKUP(E:E,'Item Data Support Sheet'!A:J,6,0),0)</f>
        <v>HMC</v>
      </c>
      <c r="Z1133" s="428">
        <f>IFERROR(VLOOKUP(E:E,'Item Data Support Sheet'!A:O,4,0),0)</f>
        <v>8.6</v>
      </c>
      <c r="AA1133" s="428">
        <f t="shared" si="311"/>
        <v>41.4176</v>
      </c>
      <c r="AB1133" s="429">
        <f t="shared" si="312"/>
        <v>0.99667774086378735</v>
      </c>
      <c r="AC1133" s="424">
        <f t="shared" si="313"/>
        <v>1.6638935108153079E-3</v>
      </c>
      <c r="AD1133" s="371">
        <f t="shared" si="314"/>
        <v>0</v>
      </c>
      <c r="AE1133" s="748">
        <f t="shared" si="315"/>
        <v>0.99833887043189373</v>
      </c>
      <c r="AF1133" s="417">
        <f t="shared" si="316"/>
        <v>0</v>
      </c>
      <c r="AG1133" s="416">
        <f t="shared" si="317"/>
        <v>8</v>
      </c>
      <c r="AH1133" s="372">
        <f t="shared" si="318"/>
        <v>1</v>
      </c>
      <c r="AI1133" s="373">
        <f t="shared" si="319"/>
        <v>600</v>
      </c>
      <c r="AJ1133" s="418">
        <f>VLOOKUP(D1133,'Standard Cycle time'!C:D,2,0)</f>
        <v>6</v>
      </c>
      <c r="AK1133" s="418">
        <f t="shared" si="320"/>
        <v>6</v>
      </c>
      <c r="AL1133" s="374">
        <f t="shared" si="321"/>
        <v>1</v>
      </c>
      <c r="AM1133" s="372">
        <f t="shared" si="322"/>
        <v>0.99833887043189373</v>
      </c>
      <c r="AN1133" s="799">
        <v>0.99833887043189373</v>
      </c>
      <c r="AO1133" s="448"/>
      <c r="AP1133" s="440">
        <v>0</v>
      </c>
      <c r="AQ1133" s="440">
        <v>0</v>
      </c>
      <c r="AR1133" s="440">
        <v>0</v>
      </c>
      <c r="AS1133" s="440">
        <v>0</v>
      </c>
      <c r="AT1133" s="440">
        <v>0</v>
      </c>
      <c r="AU1133" s="440">
        <v>0</v>
      </c>
      <c r="AV1133" s="440">
        <v>0</v>
      </c>
      <c r="AW1133" s="440">
        <v>0</v>
      </c>
      <c r="AX1133" s="440">
        <v>0</v>
      </c>
      <c r="AY1133" s="440">
        <v>0</v>
      </c>
      <c r="AZ1133" s="440">
        <v>0</v>
      </c>
      <c r="BA1133" s="440">
        <v>0</v>
      </c>
      <c r="BB1133" s="440">
        <v>0</v>
      </c>
      <c r="BC1133" s="440">
        <v>0</v>
      </c>
      <c r="BD1133" s="440">
        <v>0</v>
      </c>
      <c r="BE1133" s="440">
        <v>0</v>
      </c>
      <c r="BF1133" s="440">
        <v>0</v>
      </c>
      <c r="BG1133" s="440">
        <v>0</v>
      </c>
      <c r="BH1133" s="440">
        <v>0</v>
      </c>
      <c r="BI1133" s="440">
        <v>0</v>
      </c>
      <c r="BJ1133" s="440">
        <v>0</v>
      </c>
      <c r="BK1133" s="440">
        <v>0</v>
      </c>
      <c r="BL1133" s="440">
        <v>0</v>
      </c>
      <c r="BM1133" s="440">
        <v>0</v>
      </c>
      <c r="BN1133" s="440">
        <v>0</v>
      </c>
      <c r="BO1133" s="440">
        <v>0</v>
      </c>
      <c r="BP1133" s="440">
        <v>0</v>
      </c>
      <c r="BQ1133" s="440">
        <v>0</v>
      </c>
      <c r="BR1133" s="415">
        <v>0</v>
      </c>
      <c r="BS1133" s="415">
        <v>0</v>
      </c>
      <c r="BT1133" s="935"/>
      <c r="BU1133" s="935"/>
      <c r="BV1133" s="935"/>
      <c r="BW1133" s="935"/>
      <c r="BX1133" s="935"/>
      <c r="BY1133" s="935"/>
      <c r="BZ1133" s="935"/>
      <c r="CA1133" s="935"/>
      <c r="CB1133" s="935"/>
      <c r="CC1133" s="935"/>
      <c r="CD1133" s="935"/>
      <c r="CE1133" s="935"/>
      <c r="CF1133" s="935"/>
      <c r="CG1133" s="935"/>
      <c r="CH1133" s="935"/>
      <c r="CI1133" s="935"/>
      <c r="CJ1133" s="935"/>
      <c r="CK1133" s="935"/>
      <c r="CL1133" s="935"/>
      <c r="CM1133" s="935"/>
      <c r="CN1133" s="935"/>
      <c r="CO1133" s="935"/>
      <c r="CP1133" s="935"/>
      <c r="CQ1133" s="935"/>
      <c r="CR1133" s="935"/>
      <c r="CS1133" s="935"/>
      <c r="CT1133" s="935"/>
      <c r="CU1133" s="935"/>
      <c r="CV1133" s="935"/>
      <c r="CY1133" s="441" t="s">
        <v>3477</v>
      </c>
      <c r="CZ1133" s="441">
        <v>41.4176</v>
      </c>
    </row>
    <row r="1134" spans="1:104" s="441" customFormat="1">
      <c r="A1134" s="375">
        <f t="shared" si="308"/>
        <v>11</v>
      </c>
      <c r="B1134" s="862">
        <v>44502</v>
      </c>
      <c r="C1134" s="493" t="s">
        <v>1980</v>
      </c>
      <c r="D1134" s="376" t="str">
        <f>IFERROR(VLOOKUP(E:E,'Item Data Support Sheet'!A:O,7,0),"")</f>
        <v>BOTTLE MOLDED</v>
      </c>
      <c r="E1134" s="447" t="s">
        <v>14</v>
      </c>
      <c r="F1134" s="500" t="s">
        <v>1681</v>
      </c>
      <c r="G1134" s="497" t="s">
        <v>1888</v>
      </c>
      <c r="H1134" s="602" t="str">
        <f>IFERROR(VLOOKUP(E:E,'Item Data Support Sheet'!A:O,2,0),"")</f>
        <v>KPP 240 ML BOTTLE MOLDED</v>
      </c>
      <c r="I1134" s="501" t="s">
        <v>3901</v>
      </c>
      <c r="J1134" s="501" t="s">
        <v>2808</v>
      </c>
      <c r="K1134" s="499">
        <v>8</v>
      </c>
      <c r="L1134" s="499">
        <v>2573</v>
      </c>
      <c r="M1134" s="366">
        <v>321.625</v>
      </c>
      <c r="N1134" s="367">
        <f t="shared" si="307"/>
        <v>3205</v>
      </c>
      <c r="O1134" s="61">
        <v>3132</v>
      </c>
      <c r="P1134" s="368">
        <v>0.32</v>
      </c>
      <c r="Q1134" s="368">
        <v>25</v>
      </c>
      <c r="R1134" s="494">
        <v>0</v>
      </c>
      <c r="S1134" s="493">
        <v>0</v>
      </c>
      <c r="T1134" s="494">
        <v>40</v>
      </c>
      <c r="U1134" s="493">
        <v>8</v>
      </c>
      <c r="V1134" s="502">
        <v>1</v>
      </c>
      <c r="W1134" s="453">
        <f t="shared" si="309"/>
        <v>3132</v>
      </c>
      <c r="X1134" s="748">
        <f t="shared" si="310"/>
        <v>1.2172561212592306</v>
      </c>
      <c r="Y1134" s="451" t="str">
        <f>IFERROR(VLOOKUP(E:E,'Item Data Support Sheet'!A:J,6,0),0)</f>
        <v>HMC</v>
      </c>
      <c r="Z1134" s="428">
        <f>IFERROR(VLOOKUP(E:E,'Item Data Support Sheet'!A:O,4,0),0)</f>
        <v>32.1</v>
      </c>
      <c r="AA1134" s="428">
        <f t="shared" si="311"/>
        <v>103.20050000000001</v>
      </c>
      <c r="AB1134" s="429">
        <f t="shared" si="312"/>
        <v>0.97419295449149967</v>
      </c>
      <c r="AC1134" s="424">
        <f t="shared" si="313"/>
        <v>1.2610340479192938E-2</v>
      </c>
      <c r="AD1134" s="371">
        <f t="shared" si="314"/>
        <v>7.7399380804953561E-3</v>
      </c>
      <c r="AE1134" s="748">
        <f t="shared" si="315"/>
        <v>0.98751950078003126</v>
      </c>
      <c r="AF1134" s="417">
        <f t="shared" si="316"/>
        <v>0</v>
      </c>
      <c r="AG1134" s="416">
        <f t="shared" si="317"/>
        <v>8</v>
      </c>
      <c r="AH1134" s="372">
        <f t="shared" si="318"/>
        <v>1</v>
      </c>
      <c r="AI1134" s="373">
        <f t="shared" si="319"/>
        <v>391.5</v>
      </c>
      <c r="AJ1134" s="418">
        <f>VLOOKUP(D1134,'Standard Cycle time'!C:D,2,0)</f>
        <v>9</v>
      </c>
      <c r="AK1134" s="418">
        <f t="shared" si="320"/>
        <v>9.1954022988505741</v>
      </c>
      <c r="AL1134" s="374">
        <f t="shared" si="321"/>
        <v>0.97875000000000001</v>
      </c>
      <c r="AM1134" s="372">
        <f t="shared" si="322"/>
        <v>0.96653471138845559</v>
      </c>
      <c r="AN1134" s="799">
        <v>0.96653471138845559</v>
      </c>
      <c r="AO1134" s="448"/>
      <c r="AP1134" s="440">
        <v>0</v>
      </c>
      <c r="AQ1134" s="440">
        <v>0</v>
      </c>
      <c r="AR1134" s="440">
        <v>0</v>
      </c>
      <c r="AS1134" s="440">
        <v>0</v>
      </c>
      <c r="AT1134" s="440">
        <v>0</v>
      </c>
      <c r="AU1134" s="440">
        <v>0</v>
      </c>
      <c r="AV1134" s="440">
        <v>0</v>
      </c>
      <c r="AW1134" s="440">
        <v>0</v>
      </c>
      <c r="AX1134" s="440">
        <v>0</v>
      </c>
      <c r="AY1134" s="440">
        <v>0</v>
      </c>
      <c r="AZ1134" s="440">
        <v>0</v>
      </c>
      <c r="BA1134" s="440">
        <v>0</v>
      </c>
      <c r="BB1134" s="440">
        <v>0</v>
      </c>
      <c r="BC1134" s="440">
        <v>0</v>
      </c>
      <c r="BD1134" s="440">
        <v>0</v>
      </c>
      <c r="BE1134" s="440">
        <v>0</v>
      </c>
      <c r="BF1134" s="440">
        <v>0</v>
      </c>
      <c r="BG1134" s="440">
        <v>0</v>
      </c>
      <c r="BH1134" s="440">
        <v>0</v>
      </c>
      <c r="BI1134" s="440">
        <v>0</v>
      </c>
      <c r="BJ1134" s="440">
        <v>0</v>
      </c>
      <c r="BK1134" s="440">
        <v>0</v>
      </c>
      <c r="BL1134" s="440">
        <v>0</v>
      </c>
      <c r="BM1134" s="440">
        <v>0</v>
      </c>
      <c r="BN1134" s="440">
        <v>0</v>
      </c>
      <c r="BO1134" s="440">
        <v>0</v>
      </c>
      <c r="BP1134" s="440">
        <v>0</v>
      </c>
      <c r="BQ1134" s="440">
        <v>0</v>
      </c>
      <c r="BR1134" s="415">
        <v>0</v>
      </c>
      <c r="BS1134" s="415">
        <v>0</v>
      </c>
      <c r="BT1134" s="935"/>
      <c r="BU1134" s="935"/>
      <c r="BV1134" s="935"/>
      <c r="BW1134" s="935"/>
      <c r="BX1134" s="935"/>
      <c r="BY1134" s="935"/>
      <c r="BZ1134" s="935"/>
      <c r="CA1134" s="935"/>
      <c r="CB1134" s="935"/>
      <c r="CC1134" s="935"/>
      <c r="CD1134" s="935"/>
      <c r="CE1134" s="935"/>
      <c r="CF1134" s="935"/>
      <c r="CG1134" s="935"/>
      <c r="CH1134" s="935"/>
      <c r="CI1134" s="935"/>
      <c r="CJ1134" s="935"/>
      <c r="CK1134" s="935"/>
      <c r="CL1134" s="935"/>
      <c r="CM1134" s="935"/>
      <c r="CN1134" s="935"/>
      <c r="CO1134" s="935"/>
      <c r="CP1134" s="935"/>
      <c r="CQ1134" s="935"/>
      <c r="CR1134" s="935"/>
      <c r="CS1134" s="935"/>
      <c r="CT1134" s="935"/>
      <c r="CU1134" s="935"/>
      <c r="CV1134" s="935"/>
      <c r="CY1134" s="441" t="s">
        <v>3505</v>
      </c>
    </row>
    <row r="1135" spans="1:104" s="441" customFormat="1">
      <c r="A1135" s="375">
        <f t="shared" si="308"/>
        <v>11</v>
      </c>
      <c r="B1135" s="862">
        <v>44502</v>
      </c>
      <c r="C1135" s="493" t="s">
        <v>1980</v>
      </c>
      <c r="D1135" s="376" t="str">
        <f>IFERROR(VLOOKUP(E:E,'Item Data Support Sheet'!A:O,7,0),"")</f>
        <v>NIPPLE MOLDED</v>
      </c>
      <c r="E1135" s="447" t="s">
        <v>72</v>
      </c>
      <c r="F1135" s="500" t="s">
        <v>1678</v>
      </c>
      <c r="G1135" s="497" t="s">
        <v>1691</v>
      </c>
      <c r="H1135" s="602" t="str">
        <f>IFERROR(VLOOKUP(E:E,'Item Data Support Sheet'!A:O,2,0),"")</f>
        <v>NIPPLE S TYPE S SIZE INJECTION</v>
      </c>
      <c r="I1135" s="501" t="s">
        <v>3902</v>
      </c>
      <c r="J1135" s="501" t="s">
        <v>2808</v>
      </c>
      <c r="K1135" s="499">
        <v>8</v>
      </c>
      <c r="L1135" s="499">
        <v>4815</v>
      </c>
      <c r="M1135" s="366">
        <v>601.875</v>
      </c>
      <c r="N1135" s="367">
        <f t="shared" si="307"/>
        <v>5458</v>
      </c>
      <c r="O1135" s="61">
        <v>5400</v>
      </c>
      <c r="P1135" s="368">
        <v>0</v>
      </c>
      <c r="Q1135" s="368">
        <v>0</v>
      </c>
      <c r="R1135" s="494">
        <v>0</v>
      </c>
      <c r="S1135" s="493">
        <v>0</v>
      </c>
      <c r="T1135" s="494">
        <v>42</v>
      </c>
      <c r="U1135" s="493">
        <v>16</v>
      </c>
      <c r="V1135" s="502">
        <v>1</v>
      </c>
      <c r="W1135" s="453">
        <f t="shared" si="309"/>
        <v>5400</v>
      </c>
      <c r="X1135" s="748">
        <f t="shared" si="310"/>
        <v>1.1214953271028036</v>
      </c>
      <c r="Y1135" s="451" t="str">
        <f>IFERROR(VLOOKUP(E:E,'Item Data Support Sheet'!A:J,6,0),0)</f>
        <v>Silicon</v>
      </c>
      <c r="Z1135" s="428">
        <f>IFERROR(VLOOKUP(E:E,'Item Data Support Sheet'!A:O,4,0),0)</f>
        <v>6.8</v>
      </c>
      <c r="AA1135" s="428">
        <f t="shared" si="311"/>
        <v>37.114399999999996</v>
      </c>
      <c r="AB1135" s="429">
        <f t="shared" si="312"/>
        <v>0.98937339684866255</v>
      </c>
      <c r="AC1135" s="424">
        <f t="shared" si="313"/>
        <v>7.717750826901874E-3</v>
      </c>
      <c r="AD1135" s="371">
        <f t="shared" si="314"/>
        <v>0</v>
      </c>
      <c r="AE1135" s="748">
        <f t="shared" si="315"/>
        <v>0.99230487358006592</v>
      </c>
      <c r="AF1135" s="417">
        <f t="shared" si="316"/>
        <v>0</v>
      </c>
      <c r="AG1135" s="416">
        <f t="shared" si="317"/>
        <v>8</v>
      </c>
      <c r="AH1135" s="372">
        <f t="shared" si="318"/>
        <v>1</v>
      </c>
      <c r="AI1135" s="373">
        <f t="shared" si="319"/>
        <v>675</v>
      </c>
      <c r="AJ1135" s="418">
        <f>VLOOKUP(D1135,'Standard Cycle time'!C:D,2,0)</f>
        <v>5.25</v>
      </c>
      <c r="AK1135" s="418">
        <f t="shared" si="320"/>
        <v>5.333333333333333</v>
      </c>
      <c r="AL1135" s="374">
        <f t="shared" si="321"/>
        <v>0.984375</v>
      </c>
      <c r="AM1135" s="372">
        <f t="shared" si="322"/>
        <v>0.97680010993037736</v>
      </c>
      <c r="AN1135" s="799">
        <v>0.97680010993037736</v>
      </c>
      <c r="AO1135" s="448"/>
      <c r="AP1135" s="440">
        <v>0</v>
      </c>
      <c r="AQ1135" s="440">
        <v>0</v>
      </c>
      <c r="AR1135" s="440">
        <v>0</v>
      </c>
      <c r="AS1135" s="440">
        <v>0</v>
      </c>
      <c r="AT1135" s="440">
        <v>0</v>
      </c>
      <c r="AU1135" s="440">
        <v>0</v>
      </c>
      <c r="AV1135" s="440">
        <v>0</v>
      </c>
      <c r="AW1135" s="440">
        <v>0</v>
      </c>
      <c r="AX1135" s="440">
        <v>0</v>
      </c>
      <c r="AY1135" s="440">
        <v>0</v>
      </c>
      <c r="AZ1135" s="440">
        <v>0</v>
      </c>
      <c r="BA1135" s="440">
        <v>0</v>
      </c>
      <c r="BB1135" s="440">
        <v>0</v>
      </c>
      <c r="BC1135" s="440">
        <v>0</v>
      </c>
      <c r="BD1135" s="440">
        <v>0</v>
      </c>
      <c r="BE1135" s="440">
        <v>0</v>
      </c>
      <c r="BF1135" s="440">
        <v>0</v>
      </c>
      <c r="BG1135" s="440">
        <v>0</v>
      </c>
      <c r="BH1135" s="440">
        <v>0</v>
      </c>
      <c r="BI1135" s="440">
        <v>0</v>
      </c>
      <c r="BJ1135" s="440">
        <v>0</v>
      </c>
      <c r="BK1135" s="440">
        <v>0</v>
      </c>
      <c r="BL1135" s="440">
        <v>0</v>
      </c>
      <c r="BM1135" s="440">
        <v>0</v>
      </c>
      <c r="BN1135" s="440">
        <v>0</v>
      </c>
      <c r="BO1135" s="440">
        <v>0</v>
      </c>
      <c r="BP1135" s="440">
        <v>0</v>
      </c>
      <c r="BQ1135" s="440">
        <v>0</v>
      </c>
      <c r="BR1135" s="415">
        <v>0</v>
      </c>
      <c r="BS1135" s="415">
        <v>0</v>
      </c>
      <c r="BT1135" s="935"/>
      <c r="BU1135" s="935"/>
      <c r="BV1135" s="935"/>
      <c r="BW1135" s="935"/>
      <c r="BX1135" s="935"/>
      <c r="BY1135" s="935"/>
      <c r="BZ1135" s="935"/>
      <c r="CA1135" s="935"/>
      <c r="CB1135" s="935"/>
      <c r="CC1135" s="935"/>
      <c r="CD1135" s="935"/>
      <c r="CE1135" s="935"/>
      <c r="CF1135" s="935"/>
      <c r="CG1135" s="935"/>
      <c r="CH1135" s="935"/>
      <c r="CI1135" s="935"/>
      <c r="CJ1135" s="935"/>
      <c r="CK1135" s="935"/>
      <c r="CL1135" s="935"/>
      <c r="CM1135" s="935"/>
      <c r="CN1135" s="935"/>
      <c r="CO1135" s="935"/>
      <c r="CP1135" s="935"/>
      <c r="CQ1135" s="935"/>
      <c r="CR1135" s="935"/>
      <c r="CS1135" s="935"/>
      <c r="CT1135" s="935"/>
      <c r="CU1135" s="935"/>
      <c r="CV1135" s="935"/>
      <c r="CY1135" s="441" t="s">
        <v>3507</v>
      </c>
    </row>
    <row r="1136" spans="1:104" s="441" customFormat="1">
      <c r="A1136" s="375">
        <f t="shared" si="308"/>
        <v>11</v>
      </c>
      <c r="B1136" s="862">
        <v>44502</v>
      </c>
      <c r="C1136" s="493" t="s">
        <v>1980</v>
      </c>
      <c r="D1136" s="376" t="str">
        <f>IFERROR(VLOOKUP(E:E,'Item Data Support Sheet'!A:O,7,0),"")</f>
        <v>NIPPLE PUNCH</v>
      </c>
      <c r="E1136" s="447" t="s">
        <v>80</v>
      </c>
      <c r="F1136" s="500"/>
      <c r="G1136" s="497" t="s">
        <v>1692</v>
      </c>
      <c r="H1136" s="602" t="str">
        <f>IFERROR(VLOOKUP(E:E,'Item Data Support Sheet'!A:O,2,0),"")</f>
        <v>NIPPLE S TYPE S SIZE PUNCHED</v>
      </c>
      <c r="I1136" s="501" t="s">
        <v>3903</v>
      </c>
      <c r="J1136" s="501" t="s">
        <v>2808</v>
      </c>
      <c r="K1136" s="499">
        <v>8</v>
      </c>
      <c r="L1136" s="499">
        <v>7000</v>
      </c>
      <c r="M1136" s="366">
        <v>875</v>
      </c>
      <c r="N1136" s="367">
        <f t="shared" si="307"/>
        <v>7070</v>
      </c>
      <c r="O1136" s="61">
        <v>7070</v>
      </c>
      <c r="P1136" s="368">
        <v>0</v>
      </c>
      <c r="Q1136" s="368">
        <v>0</v>
      </c>
      <c r="R1136" s="494">
        <v>0</v>
      </c>
      <c r="S1136" s="493">
        <v>0</v>
      </c>
      <c r="T1136" s="494">
        <v>0</v>
      </c>
      <c r="U1136" s="493">
        <v>0</v>
      </c>
      <c r="V1136" s="502">
        <v>1</v>
      </c>
      <c r="W1136" s="453">
        <f t="shared" si="309"/>
        <v>7070</v>
      </c>
      <c r="X1136" s="748">
        <f t="shared" si="310"/>
        <v>1.01</v>
      </c>
      <c r="Y1136" s="451" t="str">
        <f>IFERROR(VLOOKUP(E:E,'Item Data Support Sheet'!A:J,6,0),0)</f>
        <v>FO015</v>
      </c>
      <c r="Z1136" s="428">
        <f>IFERROR(VLOOKUP(E:E,'Item Data Support Sheet'!A:O,4,0),0)</f>
        <v>0</v>
      </c>
      <c r="AA1136" s="428">
        <f t="shared" si="311"/>
        <v>0</v>
      </c>
      <c r="AB1136" s="429" t="str">
        <f t="shared" si="312"/>
        <v xml:space="preserve"> </v>
      </c>
      <c r="AC1136" s="424">
        <f t="shared" si="313"/>
        <v>0</v>
      </c>
      <c r="AD1136" s="371">
        <f t="shared" si="314"/>
        <v>0</v>
      </c>
      <c r="AE1136" s="748">
        <f t="shared" si="315"/>
        <v>1</v>
      </c>
      <c r="AF1136" s="417">
        <f t="shared" si="316"/>
        <v>0</v>
      </c>
      <c r="AG1136" s="416">
        <f t="shared" si="317"/>
        <v>8</v>
      </c>
      <c r="AH1136" s="372">
        <f t="shared" si="318"/>
        <v>1</v>
      </c>
      <c r="AI1136" s="373">
        <f t="shared" si="319"/>
        <v>883.75</v>
      </c>
      <c r="AJ1136" s="418">
        <f>VLOOKUP(D1136,'Standard Cycle time'!C:D,2,0)</f>
        <v>3.5</v>
      </c>
      <c r="AK1136" s="418">
        <f t="shared" si="320"/>
        <v>4.0735502121640739</v>
      </c>
      <c r="AL1136" s="374">
        <f t="shared" si="321"/>
        <v>0.85920138888888886</v>
      </c>
      <c r="AM1136" s="372">
        <f t="shared" si="322"/>
        <v>0.85920138888888886</v>
      </c>
      <c r="AN1136" s="799">
        <v>0.85920138888888886</v>
      </c>
      <c r="AO1136" s="448"/>
      <c r="AP1136" s="440">
        <v>0</v>
      </c>
      <c r="AQ1136" s="440">
        <v>0</v>
      </c>
      <c r="AR1136" s="440">
        <v>0</v>
      </c>
      <c r="AS1136" s="440">
        <v>0</v>
      </c>
      <c r="AT1136" s="440">
        <v>0</v>
      </c>
      <c r="AU1136" s="440">
        <v>0</v>
      </c>
      <c r="AV1136" s="440">
        <v>0</v>
      </c>
      <c r="AW1136" s="440">
        <v>0</v>
      </c>
      <c r="AX1136" s="440">
        <v>0</v>
      </c>
      <c r="AY1136" s="440">
        <v>0</v>
      </c>
      <c r="AZ1136" s="440">
        <v>0</v>
      </c>
      <c r="BA1136" s="440">
        <v>0</v>
      </c>
      <c r="BB1136" s="440">
        <v>0</v>
      </c>
      <c r="BC1136" s="440">
        <v>0</v>
      </c>
      <c r="BD1136" s="440">
        <v>0</v>
      </c>
      <c r="BE1136" s="440">
        <v>0</v>
      </c>
      <c r="BF1136" s="440">
        <v>0</v>
      </c>
      <c r="BG1136" s="440">
        <v>0</v>
      </c>
      <c r="BH1136" s="440">
        <v>0</v>
      </c>
      <c r="BI1136" s="440">
        <v>0</v>
      </c>
      <c r="BJ1136" s="440">
        <v>0</v>
      </c>
      <c r="BK1136" s="440">
        <v>0</v>
      </c>
      <c r="BL1136" s="440">
        <v>0</v>
      </c>
      <c r="BM1136" s="440">
        <v>0</v>
      </c>
      <c r="BN1136" s="440">
        <v>0</v>
      </c>
      <c r="BO1136" s="440">
        <v>0</v>
      </c>
      <c r="BP1136" s="440">
        <v>0</v>
      </c>
      <c r="BQ1136" s="440">
        <v>0</v>
      </c>
      <c r="BR1136" s="415">
        <v>0</v>
      </c>
      <c r="BS1136" s="415">
        <v>0</v>
      </c>
      <c r="BT1136" s="935"/>
      <c r="BU1136" s="935"/>
      <c r="BV1136" s="935"/>
      <c r="BW1136" s="935"/>
      <c r="BX1136" s="935"/>
      <c r="BY1136" s="935"/>
      <c r="BZ1136" s="935"/>
      <c r="CA1136" s="935"/>
      <c r="CB1136" s="935"/>
      <c r="CC1136" s="935"/>
      <c r="CD1136" s="935"/>
      <c r="CE1136" s="935"/>
      <c r="CF1136" s="935"/>
      <c r="CG1136" s="935"/>
      <c r="CH1136" s="935"/>
      <c r="CI1136" s="935"/>
      <c r="CJ1136" s="935"/>
      <c r="CK1136" s="935"/>
      <c r="CL1136" s="935"/>
      <c r="CM1136" s="935"/>
      <c r="CN1136" s="935"/>
      <c r="CO1136" s="935"/>
      <c r="CP1136" s="935"/>
      <c r="CQ1136" s="935"/>
      <c r="CR1136" s="935"/>
      <c r="CS1136" s="935"/>
      <c r="CT1136" s="935"/>
      <c r="CU1136" s="935"/>
      <c r="CV1136" s="935"/>
      <c r="CY1136" s="441" t="s">
        <v>3509</v>
      </c>
    </row>
    <row r="1137" spans="1:104" s="441" customFormat="1">
      <c r="A1137" s="375">
        <f t="shared" si="308"/>
        <v>11</v>
      </c>
      <c r="B1137" s="862">
        <v>44502</v>
      </c>
      <c r="C1137" s="493" t="s">
        <v>1980</v>
      </c>
      <c r="D1137" s="376" t="str">
        <f>IFERROR(VLOOKUP(E:E,'Item Data Support Sheet'!A:O,7,0),"")</f>
        <v>NIPPLE LASER MARKING</v>
      </c>
      <c r="E1137" s="447" t="s">
        <v>1814</v>
      </c>
      <c r="F1137" s="500"/>
      <c r="G1137" s="497" t="s">
        <v>1812</v>
      </c>
      <c r="H1137" s="602" t="str">
        <f>IFERROR(VLOOKUP(E:E,'Item Data Support Sheet'!A:O,2,0),"")</f>
        <v>NIPPLE S TYPE S SIZE PUNCHED LASER MARKED</v>
      </c>
      <c r="I1137" s="501" t="s">
        <v>3904</v>
      </c>
      <c r="J1137" s="501" t="s">
        <v>2808</v>
      </c>
      <c r="K1137" s="499">
        <v>8</v>
      </c>
      <c r="L1137" s="499">
        <v>7000</v>
      </c>
      <c r="M1137" s="366">
        <v>875</v>
      </c>
      <c r="N1137" s="367">
        <f t="shared" si="307"/>
        <v>6500</v>
      </c>
      <c r="O1137" s="61">
        <v>6500</v>
      </c>
      <c r="P1137" s="368">
        <v>0</v>
      </c>
      <c r="Q1137" s="368">
        <v>0</v>
      </c>
      <c r="R1137" s="494">
        <v>0</v>
      </c>
      <c r="S1137" s="493">
        <v>0</v>
      </c>
      <c r="T1137" s="494">
        <v>0</v>
      </c>
      <c r="U1137" s="493">
        <v>0</v>
      </c>
      <c r="V1137" s="502">
        <v>1</v>
      </c>
      <c r="W1137" s="453">
        <f t="shared" si="309"/>
        <v>6500</v>
      </c>
      <c r="X1137" s="748">
        <f t="shared" si="310"/>
        <v>0.9285714285714286</v>
      </c>
      <c r="Y1137" s="451" t="str">
        <f>IFERROR(VLOOKUP(E:E,'Item Data Support Sheet'!A:J,6,0),0)</f>
        <v>FO019</v>
      </c>
      <c r="Z1137" s="428">
        <f>IFERROR(VLOOKUP(E:E,'Item Data Support Sheet'!A:O,4,0),0)</f>
        <v>0</v>
      </c>
      <c r="AA1137" s="428">
        <f t="shared" si="311"/>
        <v>0</v>
      </c>
      <c r="AB1137" s="429" t="str">
        <f t="shared" si="312"/>
        <v xml:space="preserve"> </v>
      </c>
      <c r="AC1137" s="424">
        <f t="shared" si="313"/>
        <v>0</v>
      </c>
      <c r="AD1137" s="371">
        <f t="shared" si="314"/>
        <v>0</v>
      </c>
      <c r="AE1137" s="748">
        <f t="shared" si="315"/>
        <v>1</v>
      </c>
      <c r="AF1137" s="417">
        <f t="shared" si="316"/>
        <v>0</v>
      </c>
      <c r="AG1137" s="416">
        <f t="shared" si="317"/>
        <v>8</v>
      </c>
      <c r="AH1137" s="372">
        <f t="shared" si="318"/>
        <v>1</v>
      </c>
      <c r="AI1137" s="373">
        <f t="shared" si="319"/>
        <v>812.5</v>
      </c>
      <c r="AJ1137" s="418">
        <f>VLOOKUP(D1137,'Standard Cycle time'!C:D,2,0)</f>
        <v>3.5</v>
      </c>
      <c r="AK1137" s="418">
        <f t="shared" si="320"/>
        <v>4.430769230769231</v>
      </c>
      <c r="AL1137" s="374">
        <f t="shared" si="321"/>
        <v>0.78993055555555547</v>
      </c>
      <c r="AM1137" s="372">
        <f t="shared" si="322"/>
        <v>0.78993055555555547</v>
      </c>
      <c r="AN1137" s="799">
        <v>0.78993055555555547</v>
      </c>
      <c r="AO1137" s="448" t="s">
        <v>3905</v>
      </c>
      <c r="AP1137" s="440">
        <v>0</v>
      </c>
      <c r="AQ1137" s="440">
        <v>0</v>
      </c>
      <c r="AR1137" s="440">
        <v>0</v>
      </c>
      <c r="AS1137" s="440">
        <v>0</v>
      </c>
      <c r="AT1137" s="440">
        <v>0</v>
      </c>
      <c r="AU1137" s="440">
        <v>0</v>
      </c>
      <c r="AV1137" s="440">
        <v>0</v>
      </c>
      <c r="AW1137" s="440">
        <v>0</v>
      </c>
      <c r="AX1137" s="440">
        <v>0</v>
      </c>
      <c r="AY1137" s="440">
        <v>0</v>
      </c>
      <c r="AZ1137" s="440">
        <v>0</v>
      </c>
      <c r="BA1137" s="440">
        <v>0</v>
      </c>
      <c r="BB1137" s="440">
        <v>0</v>
      </c>
      <c r="BC1137" s="440">
        <v>0</v>
      </c>
      <c r="BD1137" s="440">
        <v>0</v>
      </c>
      <c r="BE1137" s="440">
        <v>0</v>
      </c>
      <c r="BF1137" s="440">
        <v>0</v>
      </c>
      <c r="BG1137" s="440">
        <v>0</v>
      </c>
      <c r="BH1137" s="440">
        <v>0</v>
      </c>
      <c r="BI1137" s="440">
        <v>0</v>
      </c>
      <c r="BJ1137" s="440">
        <v>0</v>
      </c>
      <c r="BK1137" s="440">
        <v>0</v>
      </c>
      <c r="BL1137" s="440">
        <v>0</v>
      </c>
      <c r="BM1137" s="440">
        <v>0</v>
      </c>
      <c r="BN1137" s="440">
        <v>0</v>
      </c>
      <c r="BO1137" s="440">
        <v>0</v>
      </c>
      <c r="BP1137" s="440">
        <v>0</v>
      </c>
      <c r="BQ1137" s="440">
        <v>0</v>
      </c>
      <c r="BR1137" s="415">
        <v>0</v>
      </c>
      <c r="BS1137" s="415">
        <v>0</v>
      </c>
      <c r="BT1137" s="935"/>
      <c r="BU1137" s="935"/>
      <c r="BV1137" s="935"/>
      <c r="BW1137" s="935"/>
      <c r="BX1137" s="935"/>
      <c r="BY1137" s="935"/>
      <c r="BZ1137" s="935"/>
      <c r="CA1137" s="935"/>
      <c r="CB1137" s="935"/>
      <c r="CC1137" s="935"/>
      <c r="CD1137" s="935"/>
      <c r="CE1137" s="935"/>
      <c r="CF1137" s="935"/>
      <c r="CG1137" s="935"/>
      <c r="CH1137" s="935"/>
      <c r="CI1137" s="935"/>
      <c r="CJ1137" s="935"/>
      <c r="CK1137" s="935"/>
      <c r="CL1137" s="935"/>
      <c r="CM1137" s="935"/>
      <c r="CN1137" s="935"/>
      <c r="CO1137" s="935"/>
      <c r="CP1137" s="935"/>
      <c r="CQ1137" s="935"/>
      <c r="CR1137" s="935"/>
      <c r="CS1137" s="935"/>
      <c r="CT1137" s="935"/>
      <c r="CU1137" s="935"/>
      <c r="CV1137" s="935"/>
      <c r="CY1137" s="441" t="s">
        <v>1948</v>
      </c>
    </row>
    <row r="1138" spans="1:104" s="441" customFormat="1">
      <c r="A1138" s="375">
        <f t="shared" si="308"/>
        <v>11</v>
      </c>
      <c r="B1138" s="862">
        <v>44502</v>
      </c>
      <c r="C1138" s="493" t="s">
        <v>2000</v>
      </c>
      <c r="D1138" s="376" t="str">
        <f>IFERROR(VLOOKUP(E:E,'Item Data Support Sheet'!A:O,7,0),"")</f>
        <v>NIPPLE PUNCH INSPECTED</v>
      </c>
      <c r="E1138" s="447" t="s">
        <v>1818</v>
      </c>
      <c r="F1138" s="500"/>
      <c r="G1138" s="497"/>
      <c r="H1138" s="602" t="str">
        <f>IFERROR(VLOOKUP(E:E,'Item Data Support Sheet'!A:O,2,0),"")</f>
        <v>NIPPLE S TYPE S SIZE PUNCHED INSPECTED</v>
      </c>
      <c r="I1138" s="501" t="s">
        <v>3906</v>
      </c>
      <c r="J1138" s="501" t="s">
        <v>2811</v>
      </c>
      <c r="K1138" s="499">
        <v>8</v>
      </c>
      <c r="L1138" s="499">
        <v>14000</v>
      </c>
      <c r="M1138" s="366">
        <v>1750</v>
      </c>
      <c r="N1138" s="367">
        <f t="shared" si="307"/>
        <v>12230</v>
      </c>
      <c r="O1138" s="61">
        <v>12188</v>
      </c>
      <c r="P1138" s="368">
        <v>0</v>
      </c>
      <c r="Q1138" s="368">
        <v>0</v>
      </c>
      <c r="R1138" s="494">
        <v>0</v>
      </c>
      <c r="S1138" s="493">
        <v>0</v>
      </c>
      <c r="T1138" s="494">
        <v>42</v>
      </c>
      <c r="U1138" s="493">
        <v>0</v>
      </c>
      <c r="V1138" s="502">
        <v>2</v>
      </c>
      <c r="W1138" s="453">
        <f t="shared" si="309"/>
        <v>6094</v>
      </c>
      <c r="X1138" s="748">
        <f t="shared" si="310"/>
        <v>0.87057142857142855</v>
      </c>
      <c r="Y1138" s="451" t="str">
        <f>IFERROR(VLOOKUP(E:E,'Item Data Support Sheet'!A:J,6,0),0)</f>
        <v>FO104</v>
      </c>
      <c r="Z1138" s="428">
        <f>IFERROR(VLOOKUP(E:E,'Item Data Support Sheet'!A:O,4,0),0)</f>
        <v>0</v>
      </c>
      <c r="AA1138" s="428">
        <f t="shared" si="311"/>
        <v>0</v>
      </c>
      <c r="AB1138" s="429" t="str">
        <f t="shared" si="312"/>
        <v xml:space="preserve"> </v>
      </c>
      <c r="AC1138" s="424">
        <f t="shared" si="313"/>
        <v>3.4341782502044153E-3</v>
      </c>
      <c r="AD1138" s="371">
        <f t="shared" si="314"/>
        <v>0</v>
      </c>
      <c r="AE1138" s="748">
        <f t="shared" si="315"/>
        <v>0.99656582174979558</v>
      </c>
      <c r="AF1138" s="417">
        <f t="shared" si="316"/>
        <v>0.83333333333333337</v>
      </c>
      <c r="AG1138" s="416">
        <f t="shared" si="317"/>
        <v>7.166666666666667</v>
      </c>
      <c r="AH1138" s="372">
        <f t="shared" si="318"/>
        <v>0.89583333333333337</v>
      </c>
      <c r="AI1138" s="373">
        <f t="shared" si="319"/>
        <v>1523.5</v>
      </c>
      <c r="AJ1138" s="418">
        <f>VLOOKUP(D1138,'Standard Cycle time'!C:D,2,0)</f>
        <v>4</v>
      </c>
      <c r="AK1138" s="418">
        <f t="shared" si="320"/>
        <v>4.2336724647193957</v>
      </c>
      <c r="AL1138" s="374">
        <f t="shared" si="321"/>
        <v>0.94480620155038764</v>
      </c>
      <c r="AM1138" s="372">
        <f t="shared" si="322"/>
        <v>0.84348223857545213</v>
      </c>
      <c r="AN1138" s="799">
        <v>0.84348223857545213</v>
      </c>
      <c r="AO1138" s="448"/>
      <c r="AP1138" s="440">
        <v>50</v>
      </c>
      <c r="AQ1138" s="440">
        <v>0</v>
      </c>
      <c r="AR1138" s="440">
        <v>0</v>
      </c>
      <c r="AS1138" s="440">
        <v>0</v>
      </c>
      <c r="AT1138" s="440">
        <v>0</v>
      </c>
      <c r="AU1138" s="440">
        <v>0</v>
      </c>
      <c r="AV1138" s="440">
        <v>0</v>
      </c>
      <c r="AW1138" s="440">
        <v>0</v>
      </c>
      <c r="AX1138" s="440">
        <v>0</v>
      </c>
      <c r="AY1138" s="440">
        <v>0</v>
      </c>
      <c r="AZ1138" s="440">
        <v>0</v>
      </c>
      <c r="BA1138" s="440">
        <v>0</v>
      </c>
      <c r="BB1138" s="440">
        <v>0</v>
      </c>
      <c r="BC1138" s="440">
        <v>0</v>
      </c>
      <c r="BD1138" s="440">
        <v>0</v>
      </c>
      <c r="BE1138" s="440">
        <v>0</v>
      </c>
      <c r="BF1138" s="440">
        <v>0</v>
      </c>
      <c r="BG1138" s="440">
        <v>0</v>
      </c>
      <c r="BH1138" s="440">
        <v>0</v>
      </c>
      <c r="BI1138" s="440">
        <v>0</v>
      </c>
      <c r="BJ1138" s="440">
        <v>0</v>
      </c>
      <c r="BK1138" s="440">
        <v>0</v>
      </c>
      <c r="BL1138" s="440">
        <v>0</v>
      </c>
      <c r="BM1138" s="440">
        <v>0</v>
      </c>
      <c r="BN1138" s="440">
        <v>0</v>
      </c>
      <c r="BO1138" s="440">
        <v>0</v>
      </c>
      <c r="BP1138" s="440">
        <v>0</v>
      </c>
      <c r="BQ1138" s="440">
        <v>0</v>
      </c>
      <c r="BR1138" s="415">
        <v>0.83333333333333337</v>
      </c>
      <c r="BS1138" s="415">
        <v>0.83333333333333337</v>
      </c>
      <c r="BT1138" s="935"/>
      <c r="BU1138" s="935"/>
      <c r="BV1138" s="935"/>
      <c r="BW1138" s="935"/>
      <c r="BX1138" s="935"/>
      <c r="BY1138" s="935"/>
      <c r="BZ1138" s="935"/>
      <c r="CA1138" s="935"/>
      <c r="CB1138" s="935"/>
      <c r="CC1138" s="935"/>
      <c r="CD1138" s="935"/>
      <c r="CE1138" s="935"/>
      <c r="CF1138" s="935"/>
      <c r="CG1138" s="935"/>
      <c r="CH1138" s="935"/>
      <c r="CI1138" s="935"/>
      <c r="CJ1138" s="935"/>
      <c r="CK1138" s="935"/>
      <c r="CL1138" s="935"/>
      <c r="CM1138" s="935"/>
      <c r="CN1138" s="935"/>
      <c r="CO1138" s="935"/>
      <c r="CP1138" s="935"/>
      <c r="CQ1138" s="935"/>
      <c r="CR1138" s="935"/>
      <c r="CS1138" s="935"/>
      <c r="CT1138" s="935"/>
      <c r="CU1138" s="935"/>
      <c r="CV1138" s="935"/>
      <c r="CY1138" s="441" t="s">
        <v>3513</v>
      </c>
    </row>
    <row r="1139" spans="1:104" s="441" customFormat="1">
      <c r="A1139" s="375">
        <f t="shared" si="308"/>
        <v>11</v>
      </c>
      <c r="B1139" s="862">
        <v>44502</v>
      </c>
      <c r="C1139" s="493" t="s">
        <v>2001</v>
      </c>
      <c r="D1139" s="376" t="str">
        <f>IFERROR(VLOOKUP(E:E,'Item Data Support Sheet'!A:O,7,0),"")</f>
        <v>NIPPLE PUNCH</v>
      </c>
      <c r="E1139" s="447" t="s">
        <v>80</v>
      </c>
      <c r="F1139" s="500"/>
      <c r="G1139" s="497" t="s">
        <v>1692</v>
      </c>
      <c r="H1139" s="602" t="str">
        <f>IFERROR(VLOOKUP(E:E,'Item Data Support Sheet'!A:O,2,0),"")</f>
        <v>NIPPLE S TYPE S SIZE PUNCHED</v>
      </c>
      <c r="I1139" s="501" t="s">
        <v>3907</v>
      </c>
      <c r="J1139" s="501" t="s">
        <v>2811</v>
      </c>
      <c r="K1139" s="499">
        <v>8</v>
      </c>
      <c r="L1139" s="499">
        <v>7000</v>
      </c>
      <c r="M1139" s="366">
        <v>875</v>
      </c>
      <c r="N1139" s="367">
        <f t="shared" si="307"/>
        <v>7300</v>
      </c>
      <c r="O1139" s="61">
        <v>7300</v>
      </c>
      <c r="P1139" s="368">
        <v>0</v>
      </c>
      <c r="Q1139" s="368">
        <v>0</v>
      </c>
      <c r="R1139" s="494">
        <v>0</v>
      </c>
      <c r="S1139" s="493">
        <v>0</v>
      </c>
      <c r="T1139" s="494">
        <v>0</v>
      </c>
      <c r="U1139" s="493">
        <v>0</v>
      </c>
      <c r="V1139" s="502">
        <v>1</v>
      </c>
      <c r="W1139" s="453">
        <f t="shared" si="309"/>
        <v>7300</v>
      </c>
      <c r="X1139" s="748">
        <f t="shared" si="310"/>
        <v>1.0428571428571429</v>
      </c>
      <c r="Y1139" s="451" t="str">
        <f>IFERROR(VLOOKUP(E:E,'Item Data Support Sheet'!A:J,6,0),0)</f>
        <v>FO015</v>
      </c>
      <c r="Z1139" s="428">
        <f>IFERROR(VLOOKUP(E:E,'Item Data Support Sheet'!A:O,4,0),0)</f>
        <v>0</v>
      </c>
      <c r="AA1139" s="428">
        <f t="shared" si="311"/>
        <v>0</v>
      </c>
      <c r="AB1139" s="429" t="str">
        <f t="shared" si="312"/>
        <v xml:space="preserve"> </v>
      </c>
      <c r="AC1139" s="424">
        <f t="shared" si="313"/>
        <v>0</v>
      </c>
      <c r="AD1139" s="371">
        <f t="shared" si="314"/>
        <v>0</v>
      </c>
      <c r="AE1139" s="748">
        <f t="shared" si="315"/>
        <v>1</v>
      </c>
      <c r="AF1139" s="417">
        <f t="shared" si="316"/>
        <v>0.66666666666666663</v>
      </c>
      <c r="AG1139" s="416">
        <f t="shared" si="317"/>
        <v>7.333333333333333</v>
      </c>
      <c r="AH1139" s="372">
        <f t="shared" si="318"/>
        <v>0.91666666666666663</v>
      </c>
      <c r="AI1139" s="373">
        <f t="shared" si="319"/>
        <v>912.5</v>
      </c>
      <c r="AJ1139" s="418">
        <f>VLOOKUP(D1139,'Standard Cycle time'!C:D,2,0)</f>
        <v>3.5</v>
      </c>
      <c r="AK1139" s="418">
        <f t="shared" si="320"/>
        <v>3.6164383561643834</v>
      </c>
      <c r="AL1139" s="374">
        <f t="shared" si="321"/>
        <v>0.96780303030303039</v>
      </c>
      <c r="AM1139" s="372">
        <f t="shared" si="322"/>
        <v>0.88715277777777779</v>
      </c>
      <c r="AN1139" s="799">
        <v>0.88715277777777779</v>
      </c>
      <c r="AO1139" s="448"/>
      <c r="AP1139" s="440">
        <v>40</v>
      </c>
      <c r="AQ1139" s="440">
        <v>0</v>
      </c>
      <c r="AR1139" s="440">
        <v>0</v>
      </c>
      <c r="AS1139" s="440">
        <v>0</v>
      </c>
      <c r="AT1139" s="440">
        <v>0</v>
      </c>
      <c r="AU1139" s="440">
        <v>0</v>
      </c>
      <c r="AV1139" s="440">
        <v>0</v>
      </c>
      <c r="AW1139" s="440">
        <v>0</v>
      </c>
      <c r="AX1139" s="440">
        <v>0</v>
      </c>
      <c r="AY1139" s="440">
        <v>0</v>
      </c>
      <c r="AZ1139" s="440">
        <v>0</v>
      </c>
      <c r="BA1139" s="440">
        <v>0</v>
      </c>
      <c r="BB1139" s="440">
        <v>0</v>
      </c>
      <c r="BC1139" s="440">
        <v>0</v>
      </c>
      <c r="BD1139" s="440">
        <v>0</v>
      </c>
      <c r="BE1139" s="440">
        <v>0</v>
      </c>
      <c r="BF1139" s="440">
        <v>0</v>
      </c>
      <c r="BG1139" s="440">
        <v>0</v>
      </c>
      <c r="BH1139" s="440">
        <v>0</v>
      </c>
      <c r="BI1139" s="440">
        <v>0</v>
      </c>
      <c r="BJ1139" s="440">
        <v>0</v>
      </c>
      <c r="BK1139" s="440">
        <v>0</v>
      </c>
      <c r="BL1139" s="440">
        <v>0</v>
      </c>
      <c r="BM1139" s="440">
        <v>0</v>
      </c>
      <c r="BN1139" s="440">
        <v>0</v>
      </c>
      <c r="BO1139" s="440">
        <v>0</v>
      </c>
      <c r="BP1139" s="440">
        <v>0</v>
      </c>
      <c r="BQ1139" s="440">
        <v>0</v>
      </c>
      <c r="BR1139" s="415">
        <v>0.66666666666666663</v>
      </c>
      <c r="BS1139" s="415">
        <v>0.66666666666666663</v>
      </c>
      <c r="BT1139" s="935"/>
      <c r="BU1139" s="935"/>
      <c r="BV1139" s="935"/>
      <c r="BW1139" s="935"/>
      <c r="BX1139" s="935"/>
      <c r="BY1139" s="935"/>
      <c r="BZ1139" s="935"/>
      <c r="CA1139" s="935"/>
      <c r="CB1139" s="935"/>
      <c r="CC1139" s="935"/>
      <c r="CD1139" s="935"/>
      <c r="CE1139" s="935"/>
      <c r="CF1139" s="935"/>
      <c r="CG1139" s="935"/>
      <c r="CH1139" s="935"/>
      <c r="CI1139" s="935"/>
      <c r="CJ1139" s="935"/>
      <c r="CK1139" s="935"/>
      <c r="CL1139" s="935"/>
      <c r="CM1139" s="935"/>
      <c r="CN1139" s="935"/>
      <c r="CO1139" s="935"/>
      <c r="CP1139" s="935"/>
      <c r="CQ1139" s="935"/>
      <c r="CR1139" s="935"/>
      <c r="CS1139" s="935"/>
      <c r="CT1139" s="935"/>
      <c r="CU1139" s="935"/>
      <c r="CV1139" s="935"/>
      <c r="CY1139" s="441" t="s">
        <v>3515</v>
      </c>
    </row>
    <row r="1140" spans="1:104" s="441" customFormat="1">
      <c r="A1140" s="375">
        <f t="shared" si="308"/>
        <v>11</v>
      </c>
      <c r="B1140" s="862">
        <v>44502</v>
      </c>
      <c r="C1140" s="493" t="s">
        <v>2001</v>
      </c>
      <c r="D1140" s="376" t="str">
        <f>IFERROR(VLOOKUP(E:E,'Item Data Support Sheet'!A:O,7,0),"")</f>
        <v>NIPPLE LASER MARKING</v>
      </c>
      <c r="E1140" s="447" t="s">
        <v>1814</v>
      </c>
      <c r="F1140" s="500"/>
      <c r="G1140" s="497" t="s">
        <v>1812</v>
      </c>
      <c r="H1140" s="602" t="str">
        <f>IFERROR(VLOOKUP(E:E,'Item Data Support Sheet'!A:O,2,0),"")</f>
        <v>NIPPLE S TYPE S SIZE PUNCHED LASER MARKED</v>
      </c>
      <c r="I1140" s="501" t="s">
        <v>3908</v>
      </c>
      <c r="J1140" s="501" t="s">
        <v>2811</v>
      </c>
      <c r="K1140" s="499">
        <v>8</v>
      </c>
      <c r="L1140" s="499">
        <v>7000</v>
      </c>
      <c r="M1140" s="366">
        <v>875</v>
      </c>
      <c r="N1140" s="367">
        <f t="shared" si="307"/>
        <v>7370</v>
      </c>
      <c r="O1140" s="61">
        <v>7370</v>
      </c>
      <c r="P1140" s="368">
        <v>0</v>
      </c>
      <c r="Q1140" s="368">
        <v>0</v>
      </c>
      <c r="R1140" s="494">
        <v>0</v>
      </c>
      <c r="S1140" s="493">
        <v>0</v>
      </c>
      <c r="T1140" s="494">
        <v>0</v>
      </c>
      <c r="U1140" s="493">
        <v>0</v>
      </c>
      <c r="V1140" s="502">
        <v>1</v>
      </c>
      <c r="W1140" s="453">
        <f t="shared" si="309"/>
        <v>7370</v>
      </c>
      <c r="X1140" s="748">
        <f t="shared" si="310"/>
        <v>1.0528571428571429</v>
      </c>
      <c r="Y1140" s="451" t="str">
        <f>IFERROR(VLOOKUP(E:E,'Item Data Support Sheet'!A:J,6,0),0)</f>
        <v>FO019</v>
      </c>
      <c r="Z1140" s="428">
        <f>IFERROR(VLOOKUP(E:E,'Item Data Support Sheet'!A:O,4,0),0)</f>
        <v>0</v>
      </c>
      <c r="AA1140" s="428">
        <f t="shared" si="311"/>
        <v>0</v>
      </c>
      <c r="AB1140" s="429" t="str">
        <f t="shared" si="312"/>
        <v xml:space="preserve"> </v>
      </c>
      <c r="AC1140" s="424">
        <f t="shared" si="313"/>
        <v>0</v>
      </c>
      <c r="AD1140" s="371">
        <f t="shared" si="314"/>
        <v>0</v>
      </c>
      <c r="AE1140" s="748">
        <f t="shared" si="315"/>
        <v>1</v>
      </c>
      <c r="AF1140" s="417">
        <f t="shared" si="316"/>
        <v>0.66666666666666663</v>
      </c>
      <c r="AG1140" s="416">
        <f t="shared" si="317"/>
        <v>7.333333333333333</v>
      </c>
      <c r="AH1140" s="372">
        <f t="shared" si="318"/>
        <v>0.91666666666666663</v>
      </c>
      <c r="AI1140" s="373">
        <f t="shared" si="319"/>
        <v>921.25</v>
      </c>
      <c r="AJ1140" s="418">
        <f>VLOOKUP(D1140,'Standard Cycle time'!C:D,2,0)</f>
        <v>3.5</v>
      </c>
      <c r="AK1140" s="418">
        <f t="shared" si="320"/>
        <v>3.5820895522388061</v>
      </c>
      <c r="AL1140" s="374">
        <f t="shared" si="321"/>
        <v>0.9770833333333333</v>
      </c>
      <c r="AM1140" s="372">
        <f t="shared" si="322"/>
        <v>0.89565972222222212</v>
      </c>
      <c r="AN1140" s="799">
        <v>0.89565972222222212</v>
      </c>
      <c r="AO1140" s="448"/>
      <c r="AP1140" s="440">
        <v>40</v>
      </c>
      <c r="AQ1140" s="440">
        <v>0</v>
      </c>
      <c r="AR1140" s="440">
        <v>0</v>
      </c>
      <c r="AS1140" s="440">
        <v>0</v>
      </c>
      <c r="AT1140" s="440">
        <v>0</v>
      </c>
      <c r="AU1140" s="440">
        <v>0</v>
      </c>
      <c r="AV1140" s="440">
        <v>0</v>
      </c>
      <c r="AW1140" s="440">
        <v>0</v>
      </c>
      <c r="AX1140" s="440">
        <v>0</v>
      </c>
      <c r="AY1140" s="440">
        <v>0</v>
      </c>
      <c r="AZ1140" s="440">
        <v>0</v>
      </c>
      <c r="BA1140" s="440">
        <v>0</v>
      </c>
      <c r="BB1140" s="440">
        <v>0</v>
      </c>
      <c r="BC1140" s="440">
        <v>0</v>
      </c>
      <c r="BD1140" s="440">
        <v>0</v>
      </c>
      <c r="BE1140" s="440">
        <v>0</v>
      </c>
      <c r="BF1140" s="440">
        <v>0</v>
      </c>
      <c r="BG1140" s="440">
        <v>0</v>
      </c>
      <c r="BH1140" s="440">
        <v>0</v>
      </c>
      <c r="BI1140" s="440">
        <v>0</v>
      </c>
      <c r="BJ1140" s="440">
        <v>0</v>
      </c>
      <c r="BK1140" s="440">
        <v>0</v>
      </c>
      <c r="BL1140" s="440">
        <v>0</v>
      </c>
      <c r="BM1140" s="440">
        <v>0</v>
      </c>
      <c r="BN1140" s="440">
        <v>0</v>
      </c>
      <c r="BO1140" s="440">
        <v>0</v>
      </c>
      <c r="BP1140" s="440">
        <v>0</v>
      </c>
      <c r="BQ1140" s="440">
        <v>0</v>
      </c>
      <c r="BR1140" s="415">
        <v>0.66666666666666663</v>
      </c>
      <c r="BS1140" s="415">
        <v>0.66666666666666663</v>
      </c>
      <c r="BT1140" s="935"/>
      <c r="BU1140" s="935"/>
      <c r="BV1140" s="935"/>
      <c r="BW1140" s="935"/>
      <c r="BX1140" s="935"/>
      <c r="BY1140" s="935"/>
      <c r="BZ1140" s="935"/>
      <c r="CA1140" s="935"/>
      <c r="CB1140" s="935"/>
      <c r="CC1140" s="935"/>
      <c r="CD1140" s="935"/>
      <c r="CE1140" s="935"/>
      <c r="CF1140" s="935"/>
      <c r="CG1140" s="935"/>
      <c r="CH1140" s="935"/>
      <c r="CI1140" s="935"/>
      <c r="CJ1140" s="935"/>
      <c r="CK1140" s="935"/>
      <c r="CL1140" s="935"/>
      <c r="CM1140" s="935"/>
      <c r="CN1140" s="935"/>
      <c r="CO1140" s="935"/>
      <c r="CP1140" s="935"/>
      <c r="CQ1140" s="935"/>
      <c r="CR1140" s="935"/>
      <c r="CS1140" s="935"/>
      <c r="CT1140" s="935"/>
      <c r="CU1140" s="935"/>
      <c r="CV1140" s="935"/>
      <c r="CY1140" s="441" t="s">
        <v>3517</v>
      </c>
    </row>
    <row r="1141" spans="1:104" s="441" customFormat="1">
      <c r="A1141" s="375">
        <f t="shared" si="308"/>
        <v>11</v>
      </c>
      <c r="B1141" s="862">
        <v>44502</v>
      </c>
      <c r="C1141" s="493" t="s">
        <v>2001</v>
      </c>
      <c r="D1141" s="376" t="str">
        <f>IFERROR(VLOOKUP(E:E,'Item Data Support Sheet'!A:O,7,0),"")</f>
        <v>HOOD MOLDED</v>
      </c>
      <c r="E1141" s="447" t="s">
        <v>1987</v>
      </c>
      <c r="F1141" s="500"/>
      <c r="G1141" s="497" t="s">
        <v>2729</v>
      </c>
      <c r="H1141" s="602" t="str">
        <f>IFERROR(VLOOKUP(E:E,'Item Data Support Sheet'!A:O,2,0),"")</f>
        <v>HOOD S TYPE MOLDED</v>
      </c>
      <c r="I1141" s="501" t="s">
        <v>3909</v>
      </c>
      <c r="J1141" s="501" t="s">
        <v>2811</v>
      </c>
      <c r="K1141" s="499">
        <v>8</v>
      </c>
      <c r="L1141" s="499">
        <v>4137</v>
      </c>
      <c r="M1141" s="366">
        <v>517.125</v>
      </c>
      <c r="N1141" s="367">
        <f t="shared" si="307"/>
        <v>4740</v>
      </c>
      <c r="O1141" s="61">
        <v>4700</v>
      </c>
      <c r="P1141" s="368">
        <v>0</v>
      </c>
      <c r="Q1141" s="368">
        <v>32</v>
      </c>
      <c r="R1141" s="494">
        <v>0</v>
      </c>
      <c r="S1141" s="493">
        <v>0</v>
      </c>
      <c r="T1141" s="494">
        <v>8</v>
      </c>
      <c r="U1141" s="493">
        <v>0</v>
      </c>
      <c r="V1141" s="502">
        <v>1</v>
      </c>
      <c r="W1141" s="453">
        <f t="shared" si="309"/>
        <v>4700</v>
      </c>
      <c r="X1141" s="748">
        <f t="shared" si="310"/>
        <v>1.1360889533478367</v>
      </c>
      <c r="Y1141" s="451" t="str">
        <f>IFERROR(VLOOKUP(E:E,'Item Data Support Sheet'!A:J,6,0),0)</f>
        <v>HMC</v>
      </c>
      <c r="Z1141" s="428">
        <f>IFERROR(VLOOKUP(E:E,'Item Data Support Sheet'!A:O,4,0),0)</f>
        <v>8.6</v>
      </c>
      <c r="AA1141" s="428">
        <f t="shared" si="311"/>
        <v>40.764000000000003</v>
      </c>
      <c r="AB1141" s="429">
        <f t="shared" si="312"/>
        <v>0.99156118143459915</v>
      </c>
      <c r="AC1141" s="424">
        <f t="shared" si="313"/>
        <v>1.6992353440951572E-3</v>
      </c>
      <c r="AD1141" s="371">
        <f t="shared" si="314"/>
        <v>6.7057837384744343E-3</v>
      </c>
      <c r="AE1141" s="748">
        <f t="shared" si="315"/>
        <v>0.99831223628691979</v>
      </c>
      <c r="AF1141" s="417">
        <f t="shared" si="316"/>
        <v>0</v>
      </c>
      <c r="AG1141" s="416">
        <f t="shared" si="317"/>
        <v>8</v>
      </c>
      <c r="AH1141" s="372">
        <f t="shared" si="318"/>
        <v>1</v>
      </c>
      <c r="AI1141" s="373">
        <f t="shared" si="319"/>
        <v>587.5</v>
      </c>
      <c r="AJ1141" s="418">
        <f>VLOOKUP(D1141,'Standard Cycle time'!C:D,2,0)</f>
        <v>6</v>
      </c>
      <c r="AK1141" s="418">
        <f t="shared" si="320"/>
        <v>6.1276595744680851</v>
      </c>
      <c r="AL1141" s="374">
        <f t="shared" si="321"/>
        <v>0.97916666666666663</v>
      </c>
      <c r="AM1141" s="372">
        <f t="shared" si="322"/>
        <v>0.97751406469760893</v>
      </c>
      <c r="AN1141" s="799">
        <v>0.97751406469760893</v>
      </c>
      <c r="AO1141" s="448"/>
      <c r="AP1141" s="440">
        <v>0</v>
      </c>
      <c r="AQ1141" s="440">
        <v>0</v>
      </c>
      <c r="AR1141" s="440">
        <v>0</v>
      </c>
      <c r="AS1141" s="440">
        <v>0</v>
      </c>
      <c r="AT1141" s="440">
        <v>0</v>
      </c>
      <c r="AU1141" s="440">
        <v>0</v>
      </c>
      <c r="AV1141" s="440">
        <v>0</v>
      </c>
      <c r="AW1141" s="440">
        <v>0</v>
      </c>
      <c r="AX1141" s="440">
        <v>0</v>
      </c>
      <c r="AY1141" s="440">
        <v>0</v>
      </c>
      <c r="AZ1141" s="440">
        <v>0</v>
      </c>
      <c r="BA1141" s="440">
        <v>0</v>
      </c>
      <c r="BB1141" s="440">
        <v>0</v>
      </c>
      <c r="BC1141" s="440">
        <v>0</v>
      </c>
      <c r="BD1141" s="440">
        <v>0</v>
      </c>
      <c r="BE1141" s="440">
        <v>0</v>
      </c>
      <c r="BF1141" s="440">
        <v>0</v>
      </c>
      <c r="BG1141" s="440">
        <v>0</v>
      </c>
      <c r="BH1141" s="440">
        <v>0</v>
      </c>
      <c r="BI1141" s="440">
        <v>0</v>
      </c>
      <c r="BJ1141" s="440">
        <v>0</v>
      </c>
      <c r="BK1141" s="440">
        <v>0</v>
      </c>
      <c r="BL1141" s="440">
        <v>0</v>
      </c>
      <c r="BM1141" s="440">
        <v>0</v>
      </c>
      <c r="BN1141" s="440">
        <v>0</v>
      </c>
      <c r="BO1141" s="440">
        <v>0</v>
      </c>
      <c r="BP1141" s="440">
        <v>0</v>
      </c>
      <c r="BQ1141" s="440">
        <v>0</v>
      </c>
      <c r="BR1141" s="415">
        <v>0</v>
      </c>
      <c r="BS1141" s="415">
        <v>0</v>
      </c>
      <c r="BT1141" s="935"/>
      <c r="BU1141" s="935"/>
      <c r="BV1141" s="935"/>
      <c r="BW1141" s="935"/>
      <c r="BX1141" s="935"/>
      <c r="BY1141" s="935"/>
      <c r="BZ1141" s="935"/>
      <c r="CA1141" s="935"/>
      <c r="CB1141" s="935"/>
      <c r="CC1141" s="935"/>
      <c r="CD1141" s="935"/>
      <c r="CE1141" s="935"/>
      <c r="CF1141" s="935"/>
      <c r="CG1141" s="935"/>
      <c r="CH1141" s="935"/>
      <c r="CI1141" s="935"/>
      <c r="CJ1141" s="935"/>
      <c r="CK1141" s="935"/>
      <c r="CL1141" s="935"/>
      <c r="CM1141" s="935"/>
      <c r="CN1141" s="935"/>
      <c r="CO1141" s="935"/>
      <c r="CP1141" s="935"/>
      <c r="CQ1141" s="935"/>
      <c r="CR1141" s="935"/>
      <c r="CS1141" s="935"/>
      <c r="CT1141" s="935"/>
      <c r="CU1141" s="935"/>
      <c r="CV1141" s="935"/>
      <c r="CY1141" s="441" t="s">
        <v>3519</v>
      </c>
    </row>
    <row r="1142" spans="1:104" s="441" customFormat="1">
      <c r="A1142" s="375">
        <f t="shared" si="308"/>
        <v>11</v>
      </c>
      <c r="B1142" s="862">
        <v>44502</v>
      </c>
      <c r="C1142" s="493" t="s">
        <v>2001</v>
      </c>
      <c r="D1142" s="376" t="str">
        <f>IFERROR(VLOOKUP(E:E,'Item Data Support Sheet'!A:O,7,0),"")</f>
        <v>BOTTLE MOLDED</v>
      </c>
      <c r="E1142" s="447" t="s">
        <v>14</v>
      </c>
      <c r="F1142" s="500" t="s">
        <v>1681</v>
      </c>
      <c r="G1142" s="497" t="s">
        <v>1888</v>
      </c>
      <c r="H1142" s="602" t="str">
        <f>IFERROR(VLOOKUP(E:E,'Item Data Support Sheet'!A:O,2,0),"")</f>
        <v>KPP 240 ML BOTTLE MOLDED</v>
      </c>
      <c r="I1142" s="501" t="s">
        <v>3910</v>
      </c>
      <c r="J1142" s="501" t="s">
        <v>2811</v>
      </c>
      <c r="K1142" s="499">
        <v>8</v>
      </c>
      <c r="L1142" s="499">
        <v>2574</v>
      </c>
      <c r="M1142" s="366">
        <v>321.75</v>
      </c>
      <c r="N1142" s="367">
        <f t="shared" si="307"/>
        <v>3100</v>
      </c>
      <c r="O1142" s="61">
        <v>3024</v>
      </c>
      <c r="P1142" s="368">
        <v>0</v>
      </c>
      <c r="Q1142" s="368">
        <v>36</v>
      </c>
      <c r="R1142" s="494">
        <v>0</v>
      </c>
      <c r="S1142" s="493">
        <v>0</v>
      </c>
      <c r="T1142" s="494">
        <v>40</v>
      </c>
      <c r="U1142" s="493">
        <v>0</v>
      </c>
      <c r="V1142" s="502">
        <v>1</v>
      </c>
      <c r="W1142" s="453">
        <f t="shared" si="309"/>
        <v>3024</v>
      </c>
      <c r="X1142" s="748">
        <f t="shared" si="310"/>
        <v>1.1748251748251748</v>
      </c>
      <c r="Y1142" s="451" t="str">
        <f>IFERROR(VLOOKUP(E:E,'Item Data Support Sheet'!A:J,6,0),0)</f>
        <v>HMC</v>
      </c>
      <c r="Z1142" s="428">
        <f>IFERROR(VLOOKUP(E:E,'Item Data Support Sheet'!A:O,4,0),0)</f>
        <v>32.1</v>
      </c>
      <c r="AA1142" s="428">
        <f t="shared" si="311"/>
        <v>99.51</v>
      </c>
      <c r="AB1142" s="429">
        <f t="shared" si="312"/>
        <v>0.97548387096774192</v>
      </c>
      <c r="AC1142" s="424">
        <f t="shared" si="313"/>
        <v>1.3054830287206266E-2</v>
      </c>
      <c r="AD1142" s="371">
        <f t="shared" si="314"/>
        <v>1.1479591836734694E-2</v>
      </c>
      <c r="AE1142" s="748">
        <f t="shared" si="315"/>
        <v>0.98709677419354835</v>
      </c>
      <c r="AF1142" s="417">
        <f t="shared" si="316"/>
        <v>0</v>
      </c>
      <c r="AG1142" s="416">
        <f t="shared" si="317"/>
        <v>8</v>
      </c>
      <c r="AH1142" s="372">
        <f t="shared" si="318"/>
        <v>1</v>
      </c>
      <c r="AI1142" s="373">
        <f t="shared" si="319"/>
        <v>378</v>
      </c>
      <c r="AJ1142" s="418">
        <f>VLOOKUP(D1142,'Standard Cycle time'!C:D,2,0)</f>
        <v>9</v>
      </c>
      <c r="AK1142" s="418">
        <f t="shared" si="320"/>
        <v>9.5238095238095237</v>
      </c>
      <c r="AL1142" s="374">
        <f t="shared" si="321"/>
        <v>0.94500000000000006</v>
      </c>
      <c r="AM1142" s="372">
        <f t="shared" si="322"/>
        <v>0.93280645161290321</v>
      </c>
      <c r="AN1142" s="799">
        <v>0.93280645161290321</v>
      </c>
      <c r="AO1142" s="448"/>
      <c r="AP1142" s="440">
        <v>0</v>
      </c>
      <c r="AQ1142" s="440">
        <v>0</v>
      </c>
      <c r="AR1142" s="440">
        <v>0</v>
      </c>
      <c r="AS1142" s="440">
        <v>0</v>
      </c>
      <c r="AT1142" s="440">
        <v>0</v>
      </c>
      <c r="AU1142" s="440">
        <v>0</v>
      </c>
      <c r="AV1142" s="440">
        <v>0</v>
      </c>
      <c r="AW1142" s="440">
        <v>0</v>
      </c>
      <c r="AX1142" s="440">
        <v>0</v>
      </c>
      <c r="AY1142" s="440">
        <v>0</v>
      </c>
      <c r="AZ1142" s="440">
        <v>0</v>
      </c>
      <c r="BA1142" s="440">
        <v>0</v>
      </c>
      <c r="BB1142" s="440">
        <v>0</v>
      </c>
      <c r="BC1142" s="440">
        <v>0</v>
      </c>
      <c r="BD1142" s="440">
        <v>0</v>
      </c>
      <c r="BE1142" s="440">
        <v>0</v>
      </c>
      <c r="BF1142" s="440">
        <v>0</v>
      </c>
      <c r="BG1142" s="440">
        <v>0</v>
      </c>
      <c r="BH1142" s="440">
        <v>0</v>
      </c>
      <c r="BI1142" s="440">
        <v>0</v>
      </c>
      <c r="BJ1142" s="440">
        <v>0</v>
      </c>
      <c r="BK1142" s="440">
        <v>0</v>
      </c>
      <c r="BL1142" s="440">
        <v>0</v>
      </c>
      <c r="BM1142" s="440">
        <v>0</v>
      </c>
      <c r="BN1142" s="440">
        <v>0</v>
      </c>
      <c r="BO1142" s="440">
        <v>0</v>
      </c>
      <c r="BP1142" s="440">
        <v>0</v>
      </c>
      <c r="BQ1142" s="440">
        <v>0</v>
      </c>
      <c r="BR1142" s="415">
        <v>0</v>
      </c>
      <c r="BS1142" s="415">
        <v>0</v>
      </c>
      <c r="BT1142" s="935"/>
      <c r="BU1142" s="935"/>
      <c r="BV1142" s="935"/>
      <c r="BW1142" s="935"/>
      <c r="BX1142" s="935"/>
      <c r="BY1142" s="935"/>
      <c r="BZ1142" s="935"/>
      <c r="CA1142" s="935"/>
      <c r="CB1142" s="935"/>
      <c r="CC1142" s="935"/>
      <c r="CD1142" s="935"/>
      <c r="CE1142" s="935"/>
      <c r="CF1142" s="935"/>
      <c r="CG1142" s="935"/>
      <c r="CH1142" s="935"/>
      <c r="CI1142" s="935"/>
      <c r="CJ1142" s="935"/>
      <c r="CK1142" s="935"/>
      <c r="CL1142" s="935"/>
      <c r="CM1142" s="935"/>
      <c r="CN1142" s="935"/>
      <c r="CO1142" s="935"/>
      <c r="CP1142" s="935"/>
      <c r="CQ1142" s="935"/>
      <c r="CR1142" s="935"/>
      <c r="CS1142" s="935"/>
      <c r="CT1142" s="935"/>
      <c r="CU1142" s="935"/>
      <c r="CV1142" s="935"/>
      <c r="CY1142" s="441" t="s">
        <v>3521</v>
      </c>
    </row>
    <row r="1143" spans="1:104" s="441" customFormat="1">
      <c r="A1143" s="375">
        <f t="shared" si="308"/>
        <v>11</v>
      </c>
      <c r="B1143" s="862">
        <v>44502</v>
      </c>
      <c r="C1143" s="493" t="s">
        <v>2001</v>
      </c>
      <c r="D1143" s="376" t="str">
        <f>IFERROR(VLOOKUP(E:E,'Item Data Support Sheet'!A:O,7,0),"")</f>
        <v>NIPPLE MOLDED</v>
      </c>
      <c r="E1143" s="447" t="s">
        <v>72</v>
      </c>
      <c r="F1143" s="500" t="s">
        <v>1678</v>
      </c>
      <c r="G1143" s="497" t="s">
        <v>1691</v>
      </c>
      <c r="H1143" s="602" t="str">
        <f>IFERROR(VLOOKUP(E:E,'Item Data Support Sheet'!A:O,2,0),"")</f>
        <v>NIPPLE S TYPE S SIZE INJECTION</v>
      </c>
      <c r="I1143" s="501" t="s">
        <v>3911</v>
      </c>
      <c r="J1143" s="501" t="s">
        <v>2811</v>
      </c>
      <c r="K1143" s="499">
        <v>8</v>
      </c>
      <c r="L1143" s="499">
        <v>4815</v>
      </c>
      <c r="M1143" s="366">
        <v>601.875</v>
      </c>
      <c r="N1143" s="367">
        <f t="shared" si="307"/>
        <v>5552</v>
      </c>
      <c r="O1143" s="61">
        <v>5500</v>
      </c>
      <c r="P1143" s="368">
        <v>0</v>
      </c>
      <c r="Q1143" s="368">
        <v>0</v>
      </c>
      <c r="R1143" s="494">
        <v>0</v>
      </c>
      <c r="S1143" s="493">
        <v>0</v>
      </c>
      <c r="T1143" s="494">
        <v>52</v>
      </c>
      <c r="U1143" s="493">
        <v>0</v>
      </c>
      <c r="V1143" s="502">
        <v>1</v>
      </c>
      <c r="W1143" s="453">
        <f t="shared" si="309"/>
        <v>5500</v>
      </c>
      <c r="X1143" s="748">
        <f t="shared" si="310"/>
        <v>1.142263759086189</v>
      </c>
      <c r="Y1143" s="451" t="str">
        <f>IFERROR(VLOOKUP(E:E,'Item Data Support Sheet'!A:J,6,0),0)</f>
        <v>Silicon</v>
      </c>
      <c r="Z1143" s="428">
        <f>IFERROR(VLOOKUP(E:E,'Item Data Support Sheet'!A:O,4,0),0)</f>
        <v>6.8</v>
      </c>
      <c r="AA1143" s="428">
        <f t="shared" si="311"/>
        <v>37.753599999999999</v>
      </c>
      <c r="AB1143" s="429">
        <f t="shared" si="312"/>
        <v>0.99063400576368876</v>
      </c>
      <c r="AC1143" s="424">
        <f t="shared" si="313"/>
        <v>9.3659942363112387E-3</v>
      </c>
      <c r="AD1143" s="371">
        <f t="shared" si="314"/>
        <v>0</v>
      </c>
      <c r="AE1143" s="748">
        <f t="shared" si="315"/>
        <v>0.99063400576368876</v>
      </c>
      <c r="AF1143" s="417">
        <f t="shared" si="316"/>
        <v>0</v>
      </c>
      <c r="AG1143" s="416">
        <f t="shared" si="317"/>
        <v>8</v>
      </c>
      <c r="AH1143" s="372">
        <f t="shared" si="318"/>
        <v>1</v>
      </c>
      <c r="AI1143" s="373">
        <f t="shared" si="319"/>
        <v>687.5</v>
      </c>
      <c r="AJ1143" s="418">
        <f>VLOOKUP(D1143,'Standard Cycle time'!C:D,2,0)</f>
        <v>5.25</v>
      </c>
      <c r="AK1143" s="418">
        <f t="shared" si="320"/>
        <v>5.2363636363636363</v>
      </c>
      <c r="AL1143" s="374">
        <f t="shared" si="321"/>
        <v>1.0026041666666667</v>
      </c>
      <c r="AM1143" s="372">
        <f t="shared" si="322"/>
        <v>0.99321378182036513</v>
      </c>
      <c r="AN1143" s="799">
        <v>0.99321378182036513</v>
      </c>
      <c r="AO1143" s="448"/>
      <c r="AP1143" s="440">
        <v>0</v>
      </c>
      <c r="AQ1143" s="440">
        <v>0</v>
      </c>
      <c r="AR1143" s="440">
        <v>0</v>
      </c>
      <c r="AS1143" s="440">
        <v>0</v>
      </c>
      <c r="AT1143" s="440">
        <v>0</v>
      </c>
      <c r="AU1143" s="440">
        <v>0</v>
      </c>
      <c r="AV1143" s="440">
        <v>0</v>
      </c>
      <c r="AW1143" s="440">
        <v>0</v>
      </c>
      <c r="AX1143" s="440">
        <v>0</v>
      </c>
      <c r="AY1143" s="440">
        <v>0</v>
      </c>
      <c r="AZ1143" s="440">
        <v>0</v>
      </c>
      <c r="BA1143" s="440">
        <v>0</v>
      </c>
      <c r="BB1143" s="440">
        <v>0</v>
      </c>
      <c r="BC1143" s="440">
        <v>0</v>
      </c>
      <c r="BD1143" s="440">
        <v>0</v>
      </c>
      <c r="BE1143" s="440">
        <v>0</v>
      </c>
      <c r="BF1143" s="440">
        <v>0</v>
      </c>
      <c r="BG1143" s="440">
        <v>0</v>
      </c>
      <c r="BH1143" s="440">
        <v>0</v>
      </c>
      <c r="BI1143" s="440">
        <v>0</v>
      </c>
      <c r="BJ1143" s="440">
        <v>0</v>
      </c>
      <c r="BK1143" s="440">
        <v>0</v>
      </c>
      <c r="BL1143" s="440">
        <v>0</v>
      </c>
      <c r="BM1143" s="440">
        <v>0</v>
      </c>
      <c r="BN1143" s="440">
        <v>0</v>
      </c>
      <c r="BO1143" s="440">
        <v>0</v>
      </c>
      <c r="BP1143" s="440">
        <v>0</v>
      </c>
      <c r="BQ1143" s="440">
        <v>0</v>
      </c>
      <c r="BR1143" s="415">
        <v>0</v>
      </c>
      <c r="BS1143" s="415">
        <v>0</v>
      </c>
      <c r="BT1143" s="935"/>
      <c r="BU1143" s="935"/>
      <c r="BV1143" s="935"/>
      <c r="BW1143" s="935"/>
      <c r="BX1143" s="935"/>
      <c r="BY1143" s="935"/>
      <c r="BZ1143" s="935"/>
      <c r="CA1143" s="935"/>
      <c r="CB1143" s="935"/>
      <c r="CC1143" s="935"/>
      <c r="CD1143" s="935"/>
      <c r="CE1143" s="935"/>
      <c r="CF1143" s="935"/>
      <c r="CG1143" s="935"/>
      <c r="CH1143" s="935"/>
      <c r="CI1143" s="935"/>
      <c r="CJ1143" s="935"/>
      <c r="CK1143" s="935"/>
      <c r="CL1143" s="935"/>
      <c r="CM1143" s="935"/>
      <c r="CN1143" s="935"/>
      <c r="CO1143" s="935"/>
      <c r="CP1143" s="935"/>
      <c r="CQ1143" s="935"/>
      <c r="CR1143" s="935"/>
      <c r="CS1143" s="935"/>
      <c r="CT1143" s="935"/>
      <c r="CU1143" s="935"/>
      <c r="CV1143" s="935"/>
      <c r="CY1143" s="441" t="s">
        <v>3523</v>
      </c>
    </row>
    <row r="1144" spans="1:104" s="441" customFormat="1">
      <c r="A1144" s="375">
        <f t="shared" si="308"/>
        <v>11</v>
      </c>
      <c r="B1144" s="862">
        <v>44502</v>
      </c>
      <c r="C1144" s="493" t="s">
        <v>1980</v>
      </c>
      <c r="D1144" s="376" t="str">
        <f>IFERROR(VLOOKUP(E:E,'Item Data Support Sheet'!A:O,7,0),"")</f>
        <v>BOTTLE PRINTED</v>
      </c>
      <c r="E1144" s="447" t="s">
        <v>64</v>
      </c>
      <c r="F1144" s="500"/>
      <c r="G1144" s="497"/>
      <c r="H1144" s="602" t="str">
        <f>IFERROR(VLOOKUP(E:E,'Item Data Support Sheet'!A:O,2,0),"")</f>
        <v>KPP 240 ML BOTTLE PRINTED</v>
      </c>
      <c r="I1144" s="501" t="s">
        <v>3912</v>
      </c>
      <c r="J1144" s="501" t="s">
        <v>2811</v>
      </c>
      <c r="K1144" s="499">
        <v>3</v>
      </c>
      <c r="L1144" s="499">
        <v>1800</v>
      </c>
      <c r="M1144" s="366">
        <v>600</v>
      </c>
      <c r="N1144" s="367">
        <f t="shared" si="307"/>
        <v>1507</v>
      </c>
      <c r="O1144" s="61">
        <v>1477</v>
      </c>
      <c r="P1144" s="368">
        <v>0</v>
      </c>
      <c r="Q1144" s="368">
        <v>0</v>
      </c>
      <c r="R1144" s="494">
        <v>17</v>
      </c>
      <c r="S1144" s="493">
        <v>0</v>
      </c>
      <c r="T1144" s="494">
        <v>30</v>
      </c>
      <c r="U1144" s="493">
        <v>0</v>
      </c>
      <c r="V1144" s="502">
        <v>5</v>
      </c>
      <c r="W1144" s="453">
        <f t="shared" si="309"/>
        <v>295.39999999999998</v>
      </c>
      <c r="X1144" s="748">
        <f t="shared" si="310"/>
        <v>0.82055555555555559</v>
      </c>
      <c r="Y1144" s="451" t="str">
        <f>IFERROR(VLOOKUP(E:E,'Item Data Support Sheet'!A:J,6,0),0)</f>
        <v>FO003</v>
      </c>
      <c r="Z1144" s="428">
        <f>IFERROR(VLOOKUP(E:E,'Item Data Support Sheet'!A:O,4,0),0)</f>
        <v>0</v>
      </c>
      <c r="AA1144" s="428">
        <f t="shared" si="311"/>
        <v>0</v>
      </c>
      <c r="AB1144" s="429" t="str">
        <f t="shared" si="312"/>
        <v xml:space="preserve"> </v>
      </c>
      <c r="AC1144" s="424">
        <f t="shared" si="313"/>
        <v>1.9907100199071003E-2</v>
      </c>
      <c r="AD1144" s="371">
        <f t="shared" si="314"/>
        <v>0</v>
      </c>
      <c r="AE1144" s="748">
        <f t="shared" si="315"/>
        <v>0.98009289980092895</v>
      </c>
      <c r="AF1144" s="417">
        <f t="shared" si="316"/>
        <v>0.66666666666666663</v>
      </c>
      <c r="AG1144" s="416">
        <f t="shared" si="317"/>
        <v>2.3333333333333335</v>
      </c>
      <c r="AH1144" s="372">
        <f t="shared" si="318"/>
        <v>0.77777777777777779</v>
      </c>
      <c r="AI1144" s="373">
        <f t="shared" si="319"/>
        <v>492.33333333333331</v>
      </c>
      <c r="AJ1144" s="418">
        <f>VLOOKUP(D1144,'Standard Cycle time'!C:D,2,0)</f>
        <v>32.4</v>
      </c>
      <c r="AK1144" s="418">
        <f t="shared" si="320"/>
        <v>28.436018957345976</v>
      </c>
      <c r="AL1144" s="374">
        <f t="shared" si="321"/>
        <v>1.1393999999999997</v>
      </c>
      <c r="AM1144" s="372">
        <f t="shared" si="322"/>
        <v>0.86855832780358311</v>
      </c>
      <c r="AN1144" s="799">
        <v>0.86855832780358311</v>
      </c>
      <c r="AO1144" s="448"/>
      <c r="AP1144" s="440">
        <v>40</v>
      </c>
      <c r="AQ1144" s="440">
        <v>0</v>
      </c>
      <c r="AR1144" s="440">
        <v>0</v>
      </c>
      <c r="AS1144" s="440">
        <v>0</v>
      </c>
      <c r="AT1144" s="440">
        <v>0</v>
      </c>
      <c r="AU1144" s="440">
        <v>0</v>
      </c>
      <c r="AV1144" s="440">
        <v>0</v>
      </c>
      <c r="AW1144" s="440">
        <v>0</v>
      </c>
      <c r="AX1144" s="440">
        <v>0</v>
      </c>
      <c r="AY1144" s="440">
        <v>0</v>
      </c>
      <c r="AZ1144" s="440">
        <v>0</v>
      </c>
      <c r="BA1144" s="440">
        <v>0</v>
      </c>
      <c r="BB1144" s="440">
        <v>0</v>
      </c>
      <c r="BC1144" s="440">
        <v>0</v>
      </c>
      <c r="BD1144" s="440">
        <v>0</v>
      </c>
      <c r="BE1144" s="440">
        <v>0</v>
      </c>
      <c r="BF1144" s="440">
        <v>0</v>
      </c>
      <c r="BG1144" s="440">
        <v>0</v>
      </c>
      <c r="BH1144" s="440">
        <v>0</v>
      </c>
      <c r="BI1144" s="440">
        <v>0</v>
      </c>
      <c r="BJ1144" s="440">
        <v>0</v>
      </c>
      <c r="BK1144" s="440">
        <v>0</v>
      </c>
      <c r="BL1144" s="440">
        <v>0</v>
      </c>
      <c r="BM1144" s="440">
        <v>0</v>
      </c>
      <c r="BN1144" s="440">
        <v>0</v>
      </c>
      <c r="BO1144" s="440">
        <v>0</v>
      </c>
      <c r="BP1144" s="440">
        <v>0</v>
      </c>
      <c r="BQ1144" s="440">
        <v>0</v>
      </c>
      <c r="BR1144" s="415">
        <v>0.66666666666666663</v>
      </c>
      <c r="BS1144" s="415">
        <v>0.66666666666666663</v>
      </c>
      <c r="BT1144" s="935"/>
      <c r="BU1144" s="935"/>
      <c r="BV1144" s="935"/>
      <c r="BW1144" s="935"/>
      <c r="BX1144" s="935"/>
      <c r="BY1144" s="935"/>
      <c r="BZ1144" s="935"/>
      <c r="CA1144" s="935"/>
      <c r="CB1144" s="935"/>
      <c r="CC1144" s="935"/>
      <c r="CD1144" s="935"/>
      <c r="CE1144" s="935"/>
      <c r="CF1144" s="935"/>
      <c r="CG1144" s="935"/>
      <c r="CH1144" s="935"/>
      <c r="CI1144" s="935"/>
      <c r="CJ1144" s="935"/>
      <c r="CK1144" s="935"/>
      <c r="CL1144" s="935"/>
      <c r="CM1144" s="935"/>
      <c r="CN1144" s="935"/>
      <c r="CO1144" s="935"/>
      <c r="CP1144" s="935"/>
      <c r="CQ1144" s="935"/>
      <c r="CR1144" s="935"/>
      <c r="CS1144" s="935"/>
      <c r="CT1144" s="935"/>
      <c r="CU1144" s="935"/>
      <c r="CV1144" s="935"/>
      <c r="CY1144" s="441" t="s">
        <v>3913</v>
      </c>
    </row>
    <row r="1145" spans="1:104" s="441" customFormat="1">
      <c r="A1145" s="375">
        <f t="shared" si="308"/>
        <v>11</v>
      </c>
      <c r="B1145" s="862">
        <v>44502</v>
      </c>
      <c r="C1145" s="493" t="s">
        <v>1980</v>
      </c>
      <c r="D1145" s="376" t="str">
        <f>IFERROR(VLOOKUP(E:E,'Item Data Support Sheet'!A:O,7,0),"")</f>
        <v>BOTTLE PRINTED</v>
      </c>
      <c r="E1145" s="447" t="s">
        <v>116</v>
      </c>
      <c r="F1145" s="500"/>
      <c r="G1145" s="497"/>
      <c r="H1145" s="602" t="str">
        <f>IFERROR(VLOOKUP(E:E,'Item Data Support Sheet'!A:O,2,0),"")</f>
        <v>KPP BOTTLE 240 ML PRINTED-WMG3B</v>
      </c>
      <c r="I1145" s="501" t="s">
        <v>3914</v>
      </c>
      <c r="J1145" s="501" t="s">
        <v>2811</v>
      </c>
      <c r="K1145" s="499">
        <v>3</v>
      </c>
      <c r="L1145" s="499">
        <v>1800</v>
      </c>
      <c r="M1145" s="366">
        <v>600</v>
      </c>
      <c r="N1145" s="367">
        <f t="shared" si="307"/>
        <v>1644</v>
      </c>
      <c r="O1145" s="61">
        <v>1620</v>
      </c>
      <c r="P1145" s="368">
        <v>0</v>
      </c>
      <c r="Q1145" s="368">
        <v>0</v>
      </c>
      <c r="R1145" s="494">
        <v>21</v>
      </c>
      <c r="S1145" s="493">
        <v>0</v>
      </c>
      <c r="T1145" s="494">
        <v>24</v>
      </c>
      <c r="U1145" s="493">
        <v>0</v>
      </c>
      <c r="V1145" s="502">
        <v>5</v>
      </c>
      <c r="W1145" s="453">
        <f t="shared" si="309"/>
        <v>324</v>
      </c>
      <c r="X1145" s="748">
        <f t="shared" si="310"/>
        <v>0.9</v>
      </c>
      <c r="Y1145" s="451" t="str">
        <f>IFERROR(VLOOKUP(E:E,'Item Data Support Sheet'!A:J,6,0),0)</f>
        <v>FO044</v>
      </c>
      <c r="Z1145" s="428">
        <f>IFERROR(VLOOKUP(E:E,'Item Data Support Sheet'!A:O,4,0),0)</f>
        <v>0</v>
      </c>
      <c r="AA1145" s="428">
        <f t="shared" si="311"/>
        <v>0</v>
      </c>
      <c r="AB1145" s="429" t="str">
        <f t="shared" si="312"/>
        <v xml:space="preserve"> </v>
      </c>
      <c r="AC1145" s="424">
        <f t="shared" si="313"/>
        <v>1.4598540145985401E-2</v>
      </c>
      <c r="AD1145" s="371">
        <f t="shared" si="314"/>
        <v>0</v>
      </c>
      <c r="AE1145" s="748">
        <f t="shared" si="315"/>
        <v>0.98540145985401462</v>
      </c>
      <c r="AF1145" s="417">
        <f t="shared" si="316"/>
        <v>0</v>
      </c>
      <c r="AG1145" s="416">
        <f t="shared" si="317"/>
        <v>3</v>
      </c>
      <c r="AH1145" s="372">
        <f t="shared" si="318"/>
        <v>1</v>
      </c>
      <c r="AI1145" s="373">
        <f t="shared" si="319"/>
        <v>540</v>
      </c>
      <c r="AJ1145" s="418">
        <f>VLOOKUP(D1145,'Standard Cycle time'!C:D,2,0)</f>
        <v>32.4</v>
      </c>
      <c r="AK1145" s="418">
        <f t="shared" si="320"/>
        <v>33.333333333333336</v>
      </c>
      <c r="AL1145" s="374">
        <f t="shared" si="321"/>
        <v>0.97199999999999986</v>
      </c>
      <c r="AM1145" s="372">
        <f t="shared" si="322"/>
        <v>0.95781021897810203</v>
      </c>
      <c r="AN1145" s="799">
        <v>0.95781021897810203</v>
      </c>
      <c r="AO1145" s="448" t="s">
        <v>3915</v>
      </c>
      <c r="AP1145" s="440">
        <v>0</v>
      </c>
      <c r="AQ1145" s="440">
        <v>0</v>
      </c>
      <c r="AR1145" s="440">
        <v>0</v>
      </c>
      <c r="AS1145" s="440">
        <v>0</v>
      </c>
      <c r="AT1145" s="440">
        <v>0</v>
      </c>
      <c r="AU1145" s="440">
        <v>0</v>
      </c>
      <c r="AV1145" s="440">
        <v>0</v>
      </c>
      <c r="AW1145" s="440">
        <v>0</v>
      </c>
      <c r="AX1145" s="440">
        <v>0</v>
      </c>
      <c r="AY1145" s="440">
        <v>0</v>
      </c>
      <c r="AZ1145" s="440">
        <v>0</v>
      </c>
      <c r="BA1145" s="440">
        <v>0</v>
      </c>
      <c r="BB1145" s="440">
        <v>0</v>
      </c>
      <c r="BC1145" s="440">
        <v>0</v>
      </c>
      <c r="BD1145" s="440">
        <v>0</v>
      </c>
      <c r="BE1145" s="440">
        <v>0</v>
      </c>
      <c r="BF1145" s="440">
        <v>0</v>
      </c>
      <c r="BG1145" s="440">
        <v>0</v>
      </c>
      <c r="BH1145" s="440">
        <v>0</v>
      </c>
      <c r="BI1145" s="440">
        <v>0</v>
      </c>
      <c r="BJ1145" s="440">
        <v>0</v>
      </c>
      <c r="BK1145" s="440">
        <v>0</v>
      </c>
      <c r="BL1145" s="440">
        <v>0</v>
      </c>
      <c r="BM1145" s="440">
        <v>0</v>
      </c>
      <c r="BN1145" s="440">
        <v>0</v>
      </c>
      <c r="BO1145" s="440">
        <v>0</v>
      </c>
      <c r="BP1145" s="440">
        <v>0</v>
      </c>
      <c r="BQ1145" s="440">
        <v>0</v>
      </c>
      <c r="BR1145" s="415">
        <v>0</v>
      </c>
      <c r="BS1145" s="415">
        <v>0</v>
      </c>
      <c r="BT1145" s="935"/>
      <c r="BU1145" s="935"/>
      <c r="BV1145" s="935"/>
      <c r="BW1145" s="935"/>
      <c r="BX1145" s="935"/>
      <c r="BY1145" s="935"/>
      <c r="BZ1145" s="935"/>
      <c r="CA1145" s="935"/>
      <c r="CB1145" s="935"/>
      <c r="CC1145" s="935"/>
      <c r="CD1145" s="935"/>
      <c r="CE1145" s="935"/>
      <c r="CF1145" s="935"/>
      <c r="CG1145" s="935"/>
      <c r="CH1145" s="935"/>
      <c r="CI1145" s="935"/>
      <c r="CJ1145" s="935"/>
      <c r="CK1145" s="935"/>
      <c r="CL1145" s="935"/>
      <c r="CM1145" s="935"/>
      <c r="CN1145" s="935"/>
      <c r="CO1145" s="935"/>
      <c r="CP1145" s="935"/>
      <c r="CQ1145" s="935"/>
      <c r="CR1145" s="935"/>
      <c r="CS1145" s="935"/>
      <c r="CT1145" s="935"/>
      <c r="CU1145" s="935"/>
      <c r="CV1145" s="935"/>
      <c r="CY1145" s="441" t="s">
        <v>3916</v>
      </c>
      <c r="CZ1145" s="441">
        <v>0</v>
      </c>
    </row>
    <row r="1146" spans="1:104" s="441" customFormat="1">
      <c r="A1146" s="375">
        <f t="shared" si="308"/>
        <v>11</v>
      </c>
      <c r="B1146" s="862">
        <v>44502</v>
      </c>
      <c r="C1146" s="493" t="s">
        <v>2001</v>
      </c>
      <c r="D1146" s="376" t="str">
        <f>IFERROR(VLOOKUP(E:E,'Item Data Support Sheet'!A:O,7,0),"")</f>
        <v>BOTTLE PRINTED</v>
      </c>
      <c r="E1146" s="447" t="s">
        <v>116</v>
      </c>
      <c r="F1146" s="500"/>
      <c r="G1146" s="497"/>
      <c r="H1146" s="602" t="str">
        <f>IFERROR(VLOOKUP(E:E,'Item Data Support Sheet'!A:O,2,0),"")</f>
        <v>KPP BOTTLE 240 ML PRINTED-WMG3B</v>
      </c>
      <c r="I1146" s="501" t="s">
        <v>3914</v>
      </c>
      <c r="J1146" s="501" t="s">
        <v>2811</v>
      </c>
      <c r="K1146" s="499">
        <v>8</v>
      </c>
      <c r="L1146" s="499">
        <v>5100</v>
      </c>
      <c r="M1146" s="366">
        <v>637.5</v>
      </c>
      <c r="N1146" s="367">
        <f t="shared" si="307"/>
        <v>3843</v>
      </c>
      <c r="O1146" s="61">
        <v>3780</v>
      </c>
      <c r="P1146" s="368">
        <v>0</v>
      </c>
      <c r="Q1146" s="368">
        <v>0</v>
      </c>
      <c r="R1146" s="494">
        <v>27</v>
      </c>
      <c r="S1146" s="493">
        <v>0</v>
      </c>
      <c r="T1146" s="494">
        <v>63</v>
      </c>
      <c r="U1146" s="493">
        <v>0</v>
      </c>
      <c r="V1146" s="502">
        <v>5</v>
      </c>
      <c r="W1146" s="453">
        <f t="shared" si="309"/>
        <v>756</v>
      </c>
      <c r="X1146" s="748">
        <f t="shared" si="310"/>
        <v>0.74117647058823533</v>
      </c>
      <c r="Y1146" s="451" t="str">
        <f>IFERROR(VLOOKUP(E:E,'Item Data Support Sheet'!A:J,6,0),0)</f>
        <v>FO044</v>
      </c>
      <c r="Z1146" s="428">
        <f>IFERROR(VLOOKUP(E:E,'Item Data Support Sheet'!A:O,4,0),0)</f>
        <v>0</v>
      </c>
      <c r="AA1146" s="428">
        <f t="shared" si="311"/>
        <v>0</v>
      </c>
      <c r="AB1146" s="429" t="str">
        <f t="shared" si="312"/>
        <v xml:space="preserve"> </v>
      </c>
      <c r="AC1146" s="424">
        <f t="shared" si="313"/>
        <v>1.6393442622950821E-2</v>
      </c>
      <c r="AD1146" s="371">
        <f t="shared" si="314"/>
        <v>0</v>
      </c>
      <c r="AE1146" s="748">
        <f t="shared" si="315"/>
        <v>0.98360655737704916</v>
      </c>
      <c r="AF1146" s="417">
        <f t="shared" si="316"/>
        <v>0.66666666666666663</v>
      </c>
      <c r="AG1146" s="416">
        <f t="shared" si="317"/>
        <v>7.333333333333333</v>
      </c>
      <c r="AH1146" s="372">
        <f t="shared" si="318"/>
        <v>0.91666666666666663</v>
      </c>
      <c r="AI1146" s="373">
        <f t="shared" si="319"/>
        <v>472.5</v>
      </c>
      <c r="AJ1146" s="418">
        <f>VLOOKUP(D1146,'Standard Cycle time'!C:D,2,0)</f>
        <v>32.4</v>
      </c>
      <c r="AK1146" s="418">
        <f t="shared" si="320"/>
        <v>34.920634920634917</v>
      </c>
      <c r="AL1146" s="374">
        <f t="shared" si="321"/>
        <v>0.92781818181818188</v>
      </c>
      <c r="AM1146" s="372">
        <f t="shared" si="322"/>
        <v>0.83655737704918032</v>
      </c>
      <c r="AN1146" s="799">
        <v>0.83655737704918032</v>
      </c>
      <c r="AO1146" s="448"/>
      <c r="AP1146" s="440">
        <v>40</v>
      </c>
      <c r="AQ1146" s="440">
        <v>0</v>
      </c>
      <c r="AR1146" s="440">
        <v>0</v>
      </c>
      <c r="AS1146" s="440">
        <v>0</v>
      </c>
      <c r="AT1146" s="440">
        <v>0</v>
      </c>
      <c r="AU1146" s="440">
        <v>0</v>
      </c>
      <c r="AV1146" s="440">
        <v>0</v>
      </c>
      <c r="AW1146" s="440">
        <v>0</v>
      </c>
      <c r="AX1146" s="440">
        <v>0</v>
      </c>
      <c r="AY1146" s="440">
        <v>0</v>
      </c>
      <c r="AZ1146" s="440">
        <v>0</v>
      </c>
      <c r="BA1146" s="440">
        <v>0</v>
      </c>
      <c r="BB1146" s="440">
        <v>0</v>
      </c>
      <c r="BC1146" s="440">
        <v>0</v>
      </c>
      <c r="BD1146" s="440">
        <v>0</v>
      </c>
      <c r="BE1146" s="440">
        <v>0</v>
      </c>
      <c r="BF1146" s="440">
        <v>0</v>
      </c>
      <c r="BG1146" s="440">
        <v>0</v>
      </c>
      <c r="BH1146" s="440">
        <v>0</v>
      </c>
      <c r="BI1146" s="440">
        <v>0</v>
      </c>
      <c r="BJ1146" s="440">
        <v>0</v>
      </c>
      <c r="BK1146" s="440">
        <v>0</v>
      </c>
      <c r="BL1146" s="440">
        <v>0</v>
      </c>
      <c r="BM1146" s="440">
        <v>0</v>
      </c>
      <c r="BN1146" s="440">
        <v>0</v>
      </c>
      <c r="BO1146" s="440">
        <v>0</v>
      </c>
      <c r="BP1146" s="440">
        <v>0</v>
      </c>
      <c r="BQ1146" s="440">
        <v>0</v>
      </c>
      <c r="BR1146" s="415">
        <v>0.66666666666666663</v>
      </c>
      <c r="BS1146" s="415">
        <v>0.66666666666666663</v>
      </c>
      <c r="BT1146" s="935"/>
      <c r="BU1146" s="935"/>
      <c r="BV1146" s="935"/>
      <c r="BW1146" s="935"/>
      <c r="BX1146" s="935"/>
      <c r="BY1146" s="935"/>
      <c r="BZ1146" s="935"/>
      <c r="CA1146" s="935"/>
      <c r="CB1146" s="935"/>
      <c r="CC1146" s="935"/>
      <c r="CD1146" s="935"/>
      <c r="CE1146" s="935"/>
      <c r="CF1146" s="935"/>
      <c r="CG1146" s="935"/>
      <c r="CH1146" s="935"/>
      <c r="CI1146" s="935"/>
      <c r="CJ1146" s="935"/>
      <c r="CK1146" s="935"/>
      <c r="CL1146" s="935"/>
      <c r="CM1146" s="935"/>
      <c r="CN1146" s="935"/>
      <c r="CO1146" s="935"/>
      <c r="CP1146" s="935"/>
      <c r="CQ1146" s="935"/>
      <c r="CR1146" s="935"/>
      <c r="CS1146" s="935"/>
      <c r="CT1146" s="935"/>
      <c r="CU1146" s="935"/>
      <c r="CV1146" s="935"/>
    </row>
    <row r="1147" spans="1:104" s="441" customFormat="1">
      <c r="A1147" s="375">
        <f t="shared" si="308"/>
        <v>11</v>
      </c>
      <c r="B1147" s="862">
        <v>44502</v>
      </c>
      <c r="C1147" s="493" t="s">
        <v>2053</v>
      </c>
      <c r="D1147" s="376" t="str">
        <f>IFERROR(VLOOKUP(E:E,'Item Data Support Sheet'!A:O,7,0),"")</f>
        <v>BOTTLE MOLDED</v>
      </c>
      <c r="E1147" s="447" t="s">
        <v>14</v>
      </c>
      <c r="F1147" s="500" t="s">
        <v>1681</v>
      </c>
      <c r="G1147" s="497" t="s">
        <v>1888</v>
      </c>
      <c r="H1147" s="602" t="str">
        <f>IFERROR(VLOOKUP(E:E,'Item Data Support Sheet'!A:O,2,0),"")</f>
        <v>KPP 240 ML BOTTLE MOLDED</v>
      </c>
      <c r="I1147" s="501" t="s">
        <v>3917</v>
      </c>
      <c r="J1147" s="501" t="s">
        <v>3895</v>
      </c>
      <c r="K1147" s="499">
        <v>8</v>
      </c>
      <c r="L1147" s="499">
        <v>2574</v>
      </c>
      <c r="M1147" s="366">
        <v>321.75</v>
      </c>
      <c r="N1147" s="367">
        <f t="shared" si="307"/>
        <v>2793</v>
      </c>
      <c r="O1147" s="61">
        <v>2700</v>
      </c>
      <c r="P1147" s="368">
        <v>0.2</v>
      </c>
      <c r="Q1147" s="368">
        <v>37</v>
      </c>
      <c r="R1147" s="494">
        <v>0</v>
      </c>
      <c r="S1147" s="493">
        <v>0</v>
      </c>
      <c r="T1147" s="494">
        <v>48</v>
      </c>
      <c r="U1147" s="493">
        <v>8</v>
      </c>
      <c r="V1147" s="502">
        <v>1</v>
      </c>
      <c r="W1147" s="453">
        <f t="shared" si="309"/>
        <v>2700</v>
      </c>
      <c r="X1147" s="748">
        <f t="shared" si="310"/>
        <v>1.048951048951049</v>
      </c>
      <c r="Y1147" s="451" t="str">
        <f>IFERROR(VLOOKUP(E:E,'Item Data Support Sheet'!A:J,6,0),0)</f>
        <v>HMC</v>
      </c>
      <c r="Z1147" s="428">
        <f>IFERROR(VLOOKUP(E:E,'Item Data Support Sheet'!A:O,4,0),0)</f>
        <v>32.1</v>
      </c>
      <c r="AA1147" s="428">
        <f t="shared" si="311"/>
        <v>89.855300000000014</v>
      </c>
      <c r="AB1147" s="429">
        <f t="shared" si="312"/>
        <v>0.96455078331495192</v>
      </c>
      <c r="AC1147" s="424">
        <f t="shared" si="313"/>
        <v>1.7467248908296942E-2</v>
      </c>
      <c r="AD1147" s="371">
        <f t="shared" si="314"/>
        <v>1.3074204946996466E-2</v>
      </c>
      <c r="AE1147" s="748">
        <f t="shared" si="315"/>
        <v>0.98281417830290008</v>
      </c>
      <c r="AF1147" s="417">
        <f t="shared" si="316"/>
        <v>0</v>
      </c>
      <c r="AG1147" s="416">
        <f t="shared" si="317"/>
        <v>8</v>
      </c>
      <c r="AH1147" s="372">
        <f t="shared" si="318"/>
        <v>1</v>
      </c>
      <c r="AI1147" s="373">
        <f t="shared" si="319"/>
        <v>337.5</v>
      </c>
      <c r="AJ1147" s="418">
        <f>VLOOKUP(D1147,'Standard Cycle time'!C:D,2,0)</f>
        <v>9</v>
      </c>
      <c r="AK1147" s="418">
        <f t="shared" si="320"/>
        <v>10.666666666666666</v>
      </c>
      <c r="AL1147" s="374">
        <f t="shared" si="321"/>
        <v>0.84375</v>
      </c>
      <c r="AM1147" s="372">
        <f t="shared" si="322"/>
        <v>0.82924946294307189</v>
      </c>
      <c r="AN1147" s="799">
        <v>0.82924946294307189</v>
      </c>
      <c r="AO1147" s="448"/>
      <c r="AP1147" s="440">
        <v>0</v>
      </c>
      <c r="AQ1147" s="440">
        <v>0</v>
      </c>
      <c r="AR1147" s="440">
        <v>0</v>
      </c>
      <c r="AS1147" s="440">
        <v>0</v>
      </c>
      <c r="AT1147" s="440">
        <v>0</v>
      </c>
      <c r="AU1147" s="440">
        <v>0</v>
      </c>
      <c r="AV1147" s="440">
        <v>0</v>
      </c>
      <c r="AW1147" s="440">
        <v>0</v>
      </c>
      <c r="AX1147" s="440">
        <v>0</v>
      </c>
      <c r="AY1147" s="440">
        <v>0</v>
      </c>
      <c r="AZ1147" s="440">
        <v>0</v>
      </c>
      <c r="BA1147" s="440">
        <v>0</v>
      </c>
      <c r="BB1147" s="440">
        <v>0</v>
      </c>
      <c r="BC1147" s="440">
        <v>0</v>
      </c>
      <c r="BD1147" s="440">
        <v>0</v>
      </c>
      <c r="BE1147" s="440">
        <v>0</v>
      </c>
      <c r="BF1147" s="440">
        <v>0</v>
      </c>
      <c r="BG1147" s="440">
        <v>0</v>
      </c>
      <c r="BH1147" s="440">
        <v>0</v>
      </c>
      <c r="BI1147" s="440">
        <v>0</v>
      </c>
      <c r="BJ1147" s="440">
        <v>0</v>
      </c>
      <c r="BK1147" s="440">
        <v>0</v>
      </c>
      <c r="BL1147" s="440">
        <v>0</v>
      </c>
      <c r="BM1147" s="440">
        <v>0</v>
      </c>
      <c r="BN1147" s="440">
        <v>0</v>
      </c>
      <c r="BO1147" s="440">
        <v>0</v>
      </c>
      <c r="BP1147" s="440">
        <v>0</v>
      </c>
      <c r="BQ1147" s="440">
        <v>0</v>
      </c>
      <c r="BR1147" s="415">
        <v>0</v>
      </c>
      <c r="BS1147" s="415">
        <v>0</v>
      </c>
      <c r="BT1147" s="935"/>
      <c r="BU1147" s="935"/>
      <c r="BV1147" s="935"/>
      <c r="BW1147" s="935"/>
      <c r="BX1147" s="935"/>
      <c r="BY1147" s="935"/>
      <c r="BZ1147" s="935"/>
      <c r="CA1147" s="935"/>
      <c r="CB1147" s="935"/>
      <c r="CC1147" s="935"/>
      <c r="CD1147" s="935"/>
      <c r="CE1147" s="935"/>
      <c r="CF1147" s="935"/>
      <c r="CG1147" s="935"/>
      <c r="CH1147" s="935"/>
      <c r="CI1147" s="935"/>
      <c r="CJ1147" s="935"/>
      <c r="CK1147" s="935"/>
      <c r="CL1147" s="935"/>
      <c r="CM1147" s="935"/>
      <c r="CN1147" s="935"/>
      <c r="CO1147" s="935"/>
      <c r="CP1147" s="935"/>
      <c r="CQ1147" s="935"/>
      <c r="CR1147" s="935"/>
      <c r="CS1147" s="935"/>
      <c r="CT1147" s="935"/>
      <c r="CU1147" s="935"/>
      <c r="CV1147" s="935"/>
    </row>
    <row r="1148" spans="1:104" s="441" customFormat="1">
      <c r="A1148" s="375">
        <f t="shared" si="308"/>
        <v>11</v>
      </c>
      <c r="B1148" s="862">
        <v>44502</v>
      </c>
      <c r="C1148" s="493" t="s">
        <v>2053</v>
      </c>
      <c r="D1148" s="376" t="str">
        <f>IFERROR(VLOOKUP(E:E,'Item Data Support Sheet'!A:O,7,0),"")</f>
        <v>HOOD MOLDED</v>
      </c>
      <c r="E1148" s="447" t="s">
        <v>1987</v>
      </c>
      <c r="F1148" s="500"/>
      <c r="G1148" s="497" t="s">
        <v>2729</v>
      </c>
      <c r="H1148" s="602" t="str">
        <f>IFERROR(VLOOKUP(E:E,'Item Data Support Sheet'!A:O,2,0),"")</f>
        <v>HOOD S TYPE MOLDED</v>
      </c>
      <c r="I1148" s="501" t="s">
        <v>3918</v>
      </c>
      <c r="J1148" s="501" t="s">
        <v>3895</v>
      </c>
      <c r="K1148" s="499">
        <v>8</v>
      </c>
      <c r="L1148" s="499">
        <v>4137</v>
      </c>
      <c r="M1148" s="366">
        <v>517.125</v>
      </c>
      <c r="N1148" s="367">
        <f t="shared" si="307"/>
        <v>4516</v>
      </c>
      <c r="O1148" s="61">
        <v>4500</v>
      </c>
      <c r="P1148" s="368">
        <v>0</v>
      </c>
      <c r="Q1148" s="368">
        <v>0</v>
      </c>
      <c r="R1148" s="494">
        <v>0</v>
      </c>
      <c r="S1148" s="493">
        <v>0</v>
      </c>
      <c r="T1148" s="494">
        <v>8</v>
      </c>
      <c r="U1148" s="493">
        <v>8</v>
      </c>
      <c r="V1148" s="502">
        <v>1</v>
      </c>
      <c r="W1148" s="453">
        <f t="shared" si="309"/>
        <v>4500</v>
      </c>
      <c r="X1148" s="748">
        <f t="shared" si="310"/>
        <v>1.0877447425670776</v>
      </c>
      <c r="Y1148" s="451" t="str">
        <f>IFERROR(VLOOKUP(E:E,'Item Data Support Sheet'!A:J,6,0),0)</f>
        <v>HMC</v>
      </c>
      <c r="Z1148" s="428">
        <f>IFERROR(VLOOKUP(E:E,'Item Data Support Sheet'!A:O,4,0),0)</f>
        <v>8.6</v>
      </c>
      <c r="AA1148" s="428">
        <f t="shared" si="311"/>
        <v>38.837600000000002</v>
      </c>
      <c r="AB1148" s="429">
        <f t="shared" si="312"/>
        <v>0.9964570416297609</v>
      </c>
      <c r="AC1148" s="424">
        <f t="shared" si="313"/>
        <v>1.7746228926353151E-3</v>
      </c>
      <c r="AD1148" s="371">
        <f t="shared" si="314"/>
        <v>0</v>
      </c>
      <c r="AE1148" s="748">
        <f t="shared" si="315"/>
        <v>0.99822852081488045</v>
      </c>
      <c r="AF1148" s="417">
        <f t="shared" si="316"/>
        <v>0</v>
      </c>
      <c r="AG1148" s="416">
        <f t="shared" si="317"/>
        <v>8</v>
      </c>
      <c r="AH1148" s="372">
        <f t="shared" si="318"/>
        <v>1</v>
      </c>
      <c r="AI1148" s="373">
        <f t="shared" si="319"/>
        <v>562.5</v>
      </c>
      <c r="AJ1148" s="418">
        <f>VLOOKUP(D1148,'Standard Cycle time'!C:D,2,0)</f>
        <v>6</v>
      </c>
      <c r="AK1148" s="418">
        <f t="shared" si="320"/>
        <v>6.4</v>
      </c>
      <c r="AL1148" s="374">
        <f t="shared" si="321"/>
        <v>0.9375</v>
      </c>
      <c r="AM1148" s="372">
        <f t="shared" si="322"/>
        <v>0.93583923826395043</v>
      </c>
      <c r="AN1148" s="799">
        <v>0.93583923826395043</v>
      </c>
      <c r="AO1148" s="448"/>
      <c r="AP1148" s="440">
        <v>0</v>
      </c>
      <c r="AQ1148" s="440">
        <v>0</v>
      </c>
      <c r="AR1148" s="440">
        <v>0</v>
      </c>
      <c r="AS1148" s="440">
        <v>0</v>
      </c>
      <c r="AT1148" s="440">
        <v>0</v>
      </c>
      <c r="AU1148" s="440">
        <v>0</v>
      </c>
      <c r="AV1148" s="440">
        <v>0</v>
      </c>
      <c r="AW1148" s="440">
        <v>0</v>
      </c>
      <c r="AX1148" s="440">
        <v>0</v>
      </c>
      <c r="AY1148" s="440">
        <v>0</v>
      </c>
      <c r="AZ1148" s="440">
        <v>0</v>
      </c>
      <c r="BA1148" s="440">
        <v>0</v>
      </c>
      <c r="BB1148" s="440">
        <v>0</v>
      </c>
      <c r="BC1148" s="440">
        <v>0</v>
      </c>
      <c r="BD1148" s="440">
        <v>0</v>
      </c>
      <c r="BE1148" s="440">
        <v>0</v>
      </c>
      <c r="BF1148" s="440">
        <v>0</v>
      </c>
      <c r="BG1148" s="440">
        <v>0</v>
      </c>
      <c r="BH1148" s="440">
        <v>0</v>
      </c>
      <c r="BI1148" s="440">
        <v>0</v>
      </c>
      <c r="BJ1148" s="440">
        <v>0</v>
      </c>
      <c r="BK1148" s="440">
        <v>0</v>
      </c>
      <c r="BL1148" s="440">
        <v>0</v>
      </c>
      <c r="BM1148" s="440">
        <v>0</v>
      </c>
      <c r="BN1148" s="440">
        <v>0</v>
      </c>
      <c r="BO1148" s="440">
        <v>0</v>
      </c>
      <c r="BP1148" s="440">
        <v>0</v>
      </c>
      <c r="BQ1148" s="440">
        <v>0</v>
      </c>
      <c r="BR1148" s="415">
        <v>0</v>
      </c>
      <c r="BS1148" s="415">
        <v>0</v>
      </c>
      <c r="BT1148" s="935"/>
      <c r="BU1148" s="935"/>
      <c r="BV1148" s="935"/>
      <c r="BW1148" s="935"/>
      <c r="BX1148" s="935"/>
      <c r="BY1148" s="935"/>
      <c r="BZ1148" s="935"/>
      <c r="CA1148" s="935"/>
      <c r="CB1148" s="935"/>
      <c r="CC1148" s="935"/>
      <c r="CD1148" s="935"/>
      <c r="CE1148" s="935"/>
      <c r="CF1148" s="935"/>
      <c r="CG1148" s="935"/>
      <c r="CH1148" s="935"/>
      <c r="CI1148" s="935"/>
      <c r="CJ1148" s="935"/>
      <c r="CK1148" s="935"/>
      <c r="CL1148" s="935"/>
      <c r="CM1148" s="935"/>
      <c r="CN1148" s="935"/>
      <c r="CO1148" s="935"/>
      <c r="CP1148" s="935"/>
      <c r="CQ1148" s="935"/>
      <c r="CR1148" s="935"/>
      <c r="CS1148" s="935"/>
      <c r="CT1148" s="935"/>
      <c r="CU1148" s="935"/>
      <c r="CV1148" s="935"/>
    </row>
    <row r="1149" spans="1:104" s="441" customFormat="1">
      <c r="A1149" s="375">
        <f t="shared" si="308"/>
        <v>11</v>
      </c>
      <c r="B1149" s="862">
        <v>44502</v>
      </c>
      <c r="C1149" s="493" t="s">
        <v>2053</v>
      </c>
      <c r="D1149" s="376" t="str">
        <f>IFERROR(VLOOKUP(E:E,'Item Data Support Sheet'!A:O,7,0),"")</f>
        <v>NIPPLE MOLDED</v>
      </c>
      <c r="E1149" s="447" t="s">
        <v>72</v>
      </c>
      <c r="F1149" s="500" t="s">
        <v>1678</v>
      </c>
      <c r="G1149" s="497" t="s">
        <v>1691</v>
      </c>
      <c r="H1149" s="602" t="str">
        <f>IFERROR(VLOOKUP(E:E,'Item Data Support Sheet'!A:O,2,0),"")</f>
        <v>NIPPLE S TYPE S SIZE INJECTION</v>
      </c>
      <c r="I1149" s="501" t="s">
        <v>3919</v>
      </c>
      <c r="J1149" s="501" t="s">
        <v>3895</v>
      </c>
      <c r="K1149" s="499">
        <v>8</v>
      </c>
      <c r="L1149" s="499">
        <v>4815</v>
      </c>
      <c r="M1149" s="366">
        <v>601.875</v>
      </c>
      <c r="N1149" s="367">
        <f t="shared" si="307"/>
        <v>4350</v>
      </c>
      <c r="O1149" s="61">
        <v>4310</v>
      </c>
      <c r="P1149" s="368">
        <v>0</v>
      </c>
      <c r="Q1149" s="368">
        <v>0</v>
      </c>
      <c r="R1149" s="494">
        <v>0</v>
      </c>
      <c r="S1149" s="493">
        <v>0</v>
      </c>
      <c r="T1149" s="494">
        <v>32</v>
      </c>
      <c r="U1149" s="493">
        <v>8</v>
      </c>
      <c r="V1149" s="502">
        <v>1</v>
      </c>
      <c r="W1149" s="453">
        <f t="shared" si="309"/>
        <v>4310</v>
      </c>
      <c r="X1149" s="748">
        <f t="shared" si="310"/>
        <v>0.89511941848390442</v>
      </c>
      <c r="Y1149" s="451" t="str">
        <f>IFERROR(VLOOKUP(E:E,'Item Data Support Sheet'!A:J,6,0),0)</f>
        <v>Silicon</v>
      </c>
      <c r="Z1149" s="428">
        <f>IFERROR(VLOOKUP(E:E,'Item Data Support Sheet'!A:O,4,0),0)</f>
        <v>6.8</v>
      </c>
      <c r="AA1149" s="428">
        <f t="shared" si="311"/>
        <v>29.58</v>
      </c>
      <c r="AB1149" s="429">
        <f t="shared" si="312"/>
        <v>0.99080459770114948</v>
      </c>
      <c r="AC1149" s="424">
        <f t="shared" si="313"/>
        <v>7.3698756333486874E-3</v>
      </c>
      <c r="AD1149" s="371">
        <f t="shared" si="314"/>
        <v>0</v>
      </c>
      <c r="AE1149" s="748">
        <f t="shared" si="315"/>
        <v>0.99264367816091958</v>
      </c>
      <c r="AF1149" s="417">
        <f t="shared" si="316"/>
        <v>1.5</v>
      </c>
      <c r="AG1149" s="416">
        <f t="shared" si="317"/>
        <v>6.5</v>
      </c>
      <c r="AH1149" s="372">
        <f t="shared" si="318"/>
        <v>0.8125</v>
      </c>
      <c r="AI1149" s="373">
        <f t="shared" si="319"/>
        <v>538.75</v>
      </c>
      <c r="AJ1149" s="418">
        <f>VLOOKUP(D1149,'Standard Cycle time'!C:D,2,0)</f>
        <v>5.25</v>
      </c>
      <c r="AK1149" s="418">
        <f t="shared" si="320"/>
        <v>5.4292343387470998</v>
      </c>
      <c r="AL1149" s="374">
        <f t="shared" si="321"/>
        <v>0.96698717948717949</v>
      </c>
      <c r="AM1149" s="372">
        <f t="shared" si="322"/>
        <v>0.77989738984674339</v>
      </c>
      <c r="AN1149" s="799">
        <v>0.77989738984674339</v>
      </c>
      <c r="AO1149" s="448" t="s">
        <v>3920</v>
      </c>
      <c r="AP1149" s="440">
        <v>0</v>
      </c>
      <c r="AQ1149" s="440">
        <v>0</v>
      </c>
      <c r="AR1149" s="440">
        <v>0</v>
      </c>
      <c r="AS1149" s="440">
        <v>0</v>
      </c>
      <c r="AT1149" s="440">
        <v>0</v>
      </c>
      <c r="AU1149" s="440">
        <v>0</v>
      </c>
      <c r="AV1149" s="440">
        <v>0</v>
      </c>
      <c r="AW1149" s="440">
        <v>0</v>
      </c>
      <c r="AX1149" s="440">
        <v>0</v>
      </c>
      <c r="AY1149" s="440">
        <v>0</v>
      </c>
      <c r="AZ1149" s="440">
        <v>0</v>
      </c>
      <c r="BA1149" s="440">
        <v>0</v>
      </c>
      <c r="BB1149" s="440">
        <v>90</v>
      </c>
      <c r="BC1149" s="440">
        <v>0</v>
      </c>
      <c r="BD1149" s="440">
        <v>0</v>
      </c>
      <c r="BE1149" s="440">
        <v>0</v>
      </c>
      <c r="BF1149" s="440">
        <v>0</v>
      </c>
      <c r="BG1149" s="440">
        <v>0</v>
      </c>
      <c r="BH1149" s="440">
        <v>0</v>
      </c>
      <c r="BI1149" s="440">
        <v>0</v>
      </c>
      <c r="BJ1149" s="440">
        <v>0</v>
      </c>
      <c r="BK1149" s="440">
        <v>0</v>
      </c>
      <c r="BL1149" s="440">
        <v>0</v>
      </c>
      <c r="BM1149" s="440">
        <v>0</v>
      </c>
      <c r="BN1149" s="440">
        <v>0</v>
      </c>
      <c r="BO1149" s="440">
        <v>0</v>
      </c>
      <c r="BP1149" s="440">
        <v>0</v>
      </c>
      <c r="BQ1149" s="440">
        <v>0</v>
      </c>
      <c r="BR1149" s="415">
        <v>1.5</v>
      </c>
      <c r="BS1149" s="415">
        <v>1.5</v>
      </c>
      <c r="BT1149" s="935"/>
      <c r="BU1149" s="935"/>
      <c r="BV1149" s="935"/>
      <c r="BW1149" s="935"/>
      <c r="BX1149" s="935"/>
      <c r="BY1149" s="935"/>
      <c r="BZ1149" s="935"/>
      <c r="CA1149" s="935"/>
      <c r="CB1149" s="935"/>
      <c r="CC1149" s="935"/>
      <c r="CD1149" s="935"/>
      <c r="CE1149" s="935"/>
      <c r="CF1149" s="935"/>
      <c r="CG1149" s="935"/>
      <c r="CH1149" s="935"/>
      <c r="CI1149" s="935"/>
      <c r="CJ1149" s="935"/>
      <c r="CK1149" s="935"/>
      <c r="CL1149" s="935"/>
      <c r="CM1149" s="935"/>
      <c r="CN1149" s="935"/>
      <c r="CO1149" s="935"/>
      <c r="CP1149" s="935"/>
      <c r="CQ1149" s="935"/>
      <c r="CR1149" s="935"/>
      <c r="CS1149" s="935"/>
      <c r="CT1149" s="935"/>
      <c r="CU1149" s="935"/>
      <c r="CV1149" s="935"/>
    </row>
    <row r="1150" spans="1:104" s="441" customFormat="1">
      <c r="A1150" s="375">
        <f t="shared" si="308"/>
        <v>11</v>
      </c>
      <c r="B1150" s="862">
        <v>44509</v>
      </c>
      <c r="C1150" s="493" t="s">
        <v>1980</v>
      </c>
      <c r="D1150" s="376" t="str">
        <f>IFERROR(VLOOKUP(E:E,'Item Data Support Sheet'!A:O,7,0),"")</f>
        <v>NIPPLE MOLDED</v>
      </c>
      <c r="E1150" s="447" t="s">
        <v>74</v>
      </c>
      <c r="F1150" s="500" t="s">
        <v>1677</v>
      </c>
      <c r="G1150" s="497" t="s">
        <v>1690</v>
      </c>
      <c r="H1150" s="602" t="str">
        <f>IFERROR(VLOOKUP(E:E,'Item Data Support Sheet'!A:O,2,0),"")</f>
        <v>NIPPLE S TYPE L SIZE INJECTION</v>
      </c>
      <c r="I1150" s="501" t="s">
        <v>3921</v>
      </c>
      <c r="J1150" s="501" t="s">
        <v>3895</v>
      </c>
      <c r="K1150" s="499">
        <v>2.8</v>
      </c>
      <c r="L1150" s="499">
        <v>1200</v>
      </c>
      <c r="M1150" s="366">
        <v>428.57142857142861</v>
      </c>
      <c r="N1150" s="367">
        <f t="shared" si="307"/>
        <v>770</v>
      </c>
      <c r="O1150" s="61">
        <v>770</v>
      </c>
      <c r="P1150" s="368">
        <v>0</v>
      </c>
      <c r="Q1150" s="368">
        <v>0</v>
      </c>
      <c r="R1150" s="494">
        <v>0</v>
      </c>
      <c r="S1150" s="493">
        <v>0</v>
      </c>
      <c r="T1150" s="494">
        <v>0</v>
      </c>
      <c r="U1150" s="493">
        <v>0</v>
      </c>
      <c r="V1150" s="502">
        <v>1</v>
      </c>
      <c r="W1150" s="453">
        <f t="shared" si="309"/>
        <v>770</v>
      </c>
      <c r="X1150" s="748">
        <f t="shared" si="310"/>
        <v>0.64166666666666672</v>
      </c>
      <c r="Y1150" s="451" t="str">
        <f>IFERROR(VLOOKUP(E:E,'Item Data Support Sheet'!A:J,6,0),0)</f>
        <v>Silicon</v>
      </c>
      <c r="Z1150" s="428">
        <f>IFERROR(VLOOKUP(E:E,'Item Data Support Sheet'!A:O,4,0),0)</f>
        <v>6.8</v>
      </c>
      <c r="AA1150" s="428">
        <f t="shared" si="311"/>
        <v>5.2359999999999998</v>
      </c>
      <c r="AB1150" s="429">
        <f t="shared" si="312"/>
        <v>1</v>
      </c>
      <c r="AC1150" s="424">
        <f t="shared" si="313"/>
        <v>0</v>
      </c>
      <c r="AD1150" s="371">
        <f t="shared" si="314"/>
        <v>0</v>
      </c>
      <c r="AE1150" s="748">
        <f t="shared" si="315"/>
        <v>1</v>
      </c>
      <c r="AF1150" s="417">
        <f t="shared" si="316"/>
        <v>1.5</v>
      </c>
      <c r="AG1150" s="416">
        <f t="shared" si="317"/>
        <v>1.2999999999999998</v>
      </c>
      <c r="AH1150" s="372">
        <f t="shared" si="318"/>
        <v>0.46428571428571425</v>
      </c>
      <c r="AI1150" s="373">
        <f t="shared" si="319"/>
        <v>275</v>
      </c>
      <c r="AJ1150" s="418">
        <f>VLOOKUP(D1150,'Standard Cycle time'!C:D,2,0)</f>
        <v>5.25</v>
      </c>
      <c r="AK1150" s="418">
        <f t="shared" si="320"/>
        <v>6.0779220779220768</v>
      </c>
      <c r="AL1150" s="374">
        <f t="shared" si="321"/>
        <v>0.86378205128205143</v>
      </c>
      <c r="AM1150" s="372">
        <f t="shared" si="322"/>
        <v>0.40104166666666669</v>
      </c>
      <c r="AN1150" s="799">
        <v>0.40104166666666669</v>
      </c>
      <c r="AO1150" s="448"/>
      <c r="AP1150" s="440">
        <v>0</v>
      </c>
      <c r="AQ1150" s="440">
        <v>0</v>
      </c>
      <c r="AR1150" s="440">
        <v>0</v>
      </c>
      <c r="AS1150" s="440">
        <v>0</v>
      </c>
      <c r="AT1150" s="440">
        <v>0</v>
      </c>
      <c r="AU1150" s="440">
        <v>0</v>
      </c>
      <c r="AV1150" s="440">
        <v>0</v>
      </c>
      <c r="AW1150" s="440">
        <v>0</v>
      </c>
      <c r="AX1150" s="440">
        <v>0</v>
      </c>
      <c r="AY1150" s="440">
        <v>0</v>
      </c>
      <c r="AZ1150" s="440">
        <v>0</v>
      </c>
      <c r="BA1150" s="440">
        <v>0</v>
      </c>
      <c r="BB1150" s="440">
        <v>90</v>
      </c>
      <c r="BC1150" s="440">
        <v>0</v>
      </c>
      <c r="BD1150" s="440">
        <v>0</v>
      </c>
      <c r="BE1150" s="440">
        <v>0</v>
      </c>
      <c r="BF1150" s="440">
        <v>0</v>
      </c>
      <c r="BG1150" s="440">
        <v>0</v>
      </c>
      <c r="BH1150" s="440">
        <v>0</v>
      </c>
      <c r="BI1150" s="440">
        <v>0</v>
      </c>
      <c r="BJ1150" s="440">
        <v>0</v>
      </c>
      <c r="BK1150" s="440">
        <v>0</v>
      </c>
      <c r="BL1150" s="440">
        <v>0</v>
      </c>
      <c r="BM1150" s="440">
        <v>0</v>
      </c>
      <c r="BN1150" s="440">
        <v>0</v>
      </c>
      <c r="BO1150" s="440">
        <v>0</v>
      </c>
      <c r="BP1150" s="440">
        <v>0</v>
      </c>
      <c r="BQ1150" s="440">
        <v>0</v>
      </c>
      <c r="BR1150" s="415">
        <v>1.5</v>
      </c>
      <c r="BS1150" s="415">
        <v>1.5</v>
      </c>
      <c r="BT1150" s="935"/>
      <c r="BU1150" s="935"/>
      <c r="BV1150" s="935"/>
      <c r="BW1150" s="935"/>
      <c r="BX1150" s="935"/>
      <c r="BY1150" s="935"/>
      <c r="BZ1150" s="935"/>
      <c r="CA1150" s="935"/>
      <c r="CB1150" s="935"/>
      <c r="CC1150" s="935"/>
      <c r="CD1150" s="935"/>
      <c r="CE1150" s="935"/>
      <c r="CF1150" s="935"/>
      <c r="CG1150" s="935"/>
      <c r="CH1150" s="935"/>
      <c r="CI1150" s="935"/>
      <c r="CJ1150" s="935"/>
      <c r="CK1150" s="935"/>
      <c r="CL1150" s="935"/>
      <c r="CM1150" s="935"/>
      <c r="CN1150" s="935"/>
      <c r="CO1150" s="935"/>
      <c r="CP1150" s="935"/>
      <c r="CQ1150" s="935"/>
      <c r="CR1150" s="935"/>
      <c r="CS1150" s="935"/>
      <c r="CT1150" s="935"/>
      <c r="CU1150" s="935"/>
      <c r="CV1150" s="935"/>
    </row>
    <row r="1151" spans="1:104" s="441" customFormat="1">
      <c r="A1151" s="375">
        <f t="shared" si="308"/>
        <v>11</v>
      </c>
      <c r="B1151" s="862">
        <v>44509</v>
      </c>
      <c r="C1151" s="493" t="s">
        <v>1980</v>
      </c>
      <c r="D1151" s="376" t="str">
        <f>IFERROR(VLOOKUP(E:E,'Item Data Support Sheet'!A:O,7,0),"")</f>
        <v>HOOD MOLDED</v>
      </c>
      <c r="E1151" s="447" t="s">
        <v>1987</v>
      </c>
      <c r="F1151" s="500"/>
      <c r="G1151" s="497" t="s">
        <v>2729</v>
      </c>
      <c r="H1151" s="602" t="str">
        <f>IFERROR(VLOOKUP(E:E,'Item Data Support Sheet'!A:O,2,0),"")</f>
        <v>HOOD S TYPE MOLDED</v>
      </c>
      <c r="I1151" s="501" t="s">
        <v>3922</v>
      </c>
      <c r="J1151" s="501" t="s">
        <v>2808</v>
      </c>
      <c r="K1151" s="499">
        <v>8</v>
      </c>
      <c r="L1151" s="499">
        <v>3800</v>
      </c>
      <c r="M1151" s="366">
        <v>475</v>
      </c>
      <c r="N1151" s="367">
        <f t="shared" si="307"/>
        <v>4356</v>
      </c>
      <c r="O1151" s="61">
        <v>4300</v>
      </c>
      <c r="P1151" s="368">
        <v>0</v>
      </c>
      <c r="Q1151" s="368">
        <v>40</v>
      </c>
      <c r="R1151" s="494">
        <v>0</v>
      </c>
      <c r="S1151" s="493">
        <v>0</v>
      </c>
      <c r="T1151" s="494">
        <v>8</v>
      </c>
      <c r="U1151" s="493">
        <v>8</v>
      </c>
      <c r="V1151" s="502">
        <v>1</v>
      </c>
      <c r="W1151" s="453">
        <f t="shared" si="309"/>
        <v>4300</v>
      </c>
      <c r="X1151" s="748">
        <f t="shared" si="310"/>
        <v>1.131578947368421</v>
      </c>
      <c r="Y1151" s="451" t="str">
        <f>IFERROR(VLOOKUP(E:E,'Item Data Support Sheet'!A:J,6,0),0)</f>
        <v>HMC</v>
      </c>
      <c r="Z1151" s="428">
        <f>IFERROR(VLOOKUP(E:E,'Item Data Support Sheet'!A:O,4,0),0)</f>
        <v>8.6</v>
      </c>
      <c r="AA1151" s="428">
        <f t="shared" si="311"/>
        <v>37.461599999999997</v>
      </c>
      <c r="AB1151" s="429">
        <f t="shared" si="312"/>
        <v>0.9871441689623508</v>
      </c>
      <c r="AC1151" s="424">
        <f t="shared" si="313"/>
        <v>1.8570102135561746E-3</v>
      </c>
      <c r="AD1151" s="371">
        <f t="shared" si="314"/>
        <v>9.0991810737033659E-3</v>
      </c>
      <c r="AE1151" s="748">
        <f t="shared" si="315"/>
        <v>0.99816345270890727</v>
      </c>
      <c r="AF1151" s="417">
        <f t="shared" si="316"/>
        <v>0</v>
      </c>
      <c r="AG1151" s="416">
        <f t="shared" si="317"/>
        <v>8</v>
      </c>
      <c r="AH1151" s="372">
        <f t="shared" si="318"/>
        <v>1</v>
      </c>
      <c r="AI1151" s="373">
        <f t="shared" si="319"/>
        <v>537.5</v>
      </c>
      <c r="AJ1151" s="418">
        <f>VLOOKUP(D1151,'Standard Cycle time'!C:D,2,0)</f>
        <v>6</v>
      </c>
      <c r="AK1151" s="418">
        <f t="shared" si="320"/>
        <v>6.6976744186046515</v>
      </c>
      <c r="AL1151" s="374">
        <f t="shared" si="321"/>
        <v>0.89583333333333326</v>
      </c>
      <c r="AM1151" s="372">
        <f t="shared" si="322"/>
        <v>0.8941880930517293</v>
      </c>
      <c r="AN1151" s="799">
        <v>0.8941880930517293</v>
      </c>
      <c r="AO1151" s="448" t="s">
        <v>3923</v>
      </c>
      <c r="AP1151" s="440">
        <v>0</v>
      </c>
      <c r="AQ1151" s="440">
        <v>0</v>
      </c>
      <c r="AR1151" s="440">
        <v>0</v>
      </c>
      <c r="AS1151" s="440">
        <v>0</v>
      </c>
      <c r="AT1151" s="440">
        <v>0</v>
      </c>
      <c r="AU1151" s="440">
        <v>0</v>
      </c>
      <c r="AV1151" s="440">
        <v>0</v>
      </c>
      <c r="AW1151" s="440">
        <v>0</v>
      </c>
      <c r="AX1151" s="440">
        <v>0</v>
      </c>
      <c r="AY1151" s="440">
        <v>0</v>
      </c>
      <c r="AZ1151" s="440">
        <v>0</v>
      </c>
      <c r="BA1151" s="440">
        <v>0</v>
      </c>
      <c r="BB1151" s="440">
        <v>0</v>
      </c>
      <c r="BC1151" s="440">
        <v>0</v>
      </c>
      <c r="BD1151" s="440">
        <v>0</v>
      </c>
      <c r="BE1151" s="440">
        <v>0</v>
      </c>
      <c r="BF1151" s="440">
        <v>0</v>
      </c>
      <c r="BG1151" s="440">
        <v>0</v>
      </c>
      <c r="BH1151" s="440">
        <v>0</v>
      </c>
      <c r="BI1151" s="440">
        <v>0</v>
      </c>
      <c r="BJ1151" s="440">
        <v>0</v>
      </c>
      <c r="BK1151" s="440">
        <v>0</v>
      </c>
      <c r="BL1151" s="440">
        <v>0</v>
      </c>
      <c r="BM1151" s="440">
        <v>0</v>
      </c>
      <c r="BN1151" s="440">
        <v>0</v>
      </c>
      <c r="BO1151" s="440">
        <v>0</v>
      </c>
      <c r="BP1151" s="440">
        <v>0</v>
      </c>
      <c r="BQ1151" s="440">
        <v>0</v>
      </c>
      <c r="BR1151" s="415">
        <v>0</v>
      </c>
      <c r="BS1151" s="415">
        <v>0</v>
      </c>
      <c r="BT1151" s="935"/>
      <c r="BU1151" s="935"/>
      <c r="BV1151" s="935"/>
      <c r="BW1151" s="935"/>
      <c r="BX1151" s="935"/>
      <c r="BY1151" s="935"/>
      <c r="BZ1151" s="935"/>
      <c r="CA1151" s="935"/>
      <c r="CB1151" s="935"/>
      <c r="CC1151" s="935"/>
      <c r="CD1151" s="935"/>
      <c r="CE1151" s="935"/>
      <c r="CF1151" s="935"/>
      <c r="CG1151" s="935"/>
      <c r="CH1151" s="935"/>
      <c r="CI1151" s="935"/>
      <c r="CJ1151" s="935"/>
      <c r="CK1151" s="935"/>
      <c r="CL1151" s="935"/>
      <c r="CM1151" s="935"/>
      <c r="CN1151" s="935"/>
      <c r="CO1151" s="935"/>
      <c r="CP1151" s="935"/>
      <c r="CQ1151" s="935"/>
      <c r="CR1151" s="935"/>
      <c r="CS1151" s="935"/>
      <c r="CT1151" s="935"/>
      <c r="CU1151" s="935"/>
      <c r="CV1151" s="935"/>
    </row>
    <row r="1152" spans="1:104" s="441" customFormat="1">
      <c r="A1152" s="375">
        <f t="shared" si="308"/>
        <v>11</v>
      </c>
      <c r="B1152" s="862">
        <v>44509</v>
      </c>
      <c r="C1152" s="493" t="s">
        <v>1980</v>
      </c>
      <c r="D1152" s="376" t="str">
        <f>IFERROR(VLOOKUP(E:E,'Item Data Support Sheet'!A:O,7,0),"")</f>
        <v>BOTTLE MOLDED</v>
      </c>
      <c r="E1152" s="447" t="s">
        <v>14</v>
      </c>
      <c r="F1152" s="500" t="s">
        <v>1681</v>
      </c>
      <c r="G1152" s="497" t="s">
        <v>1888</v>
      </c>
      <c r="H1152" s="602" t="str">
        <f>IFERROR(VLOOKUP(E:E,'Item Data Support Sheet'!A:O,2,0),"")</f>
        <v>KPP 240 ML BOTTLE MOLDED</v>
      </c>
      <c r="I1152" s="501" t="s">
        <v>3924</v>
      </c>
      <c r="J1152" s="501" t="s">
        <v>2808</v>
      </c>
      <c r="K1152" s="499">
        <v>8</v>
      </c>
      <c r="L1152" s="499">
        <v>2000</v>
      </c>
      <c r="M1152" s="366">
        <v>250</v>
      </c>
      <c r="N1152" s="367">
        <f t="shared" si="307"/>
        <v>2010</v>
      </c>
      <c r="O1152" s="61">
        <v>1944</v>
      </c>
      <c r="P1152" s="368">
        <v>0.2</v>
      </c>
      <c r="Q1152" s="368">
        <v>32</v>
      </c>
      <c r="R1152" s="494">
        <v>0</v>
      </c>
      <c r="S1152" s="493">
        <v>0</v>
      </c>
      <c r="T1152" s="494">
        <v>26</v>
      </c>
      <c r="U1152" s="493">
        <v>8</v>
      </c>
      <c r="V1152" s="502">
        <v>1</v>
      </c>
      <c r="W1152" s="453">
        <f t="shared" si="309"/>
        <v>1944</v>
      </c>
      <c r="X1152" s="748">
        <f t="shared" si="310"/>
        <v>0.97199999999999998</v>
      </c>
      <c r="Y1152" s="451" t="str">
        <f>IFERROR(VLOOKUP(E:E,'Item Data Support Sheet'!A:J,6,0),0)</f>
        <v>HMC</v>
      </c>
      <c r="Z1152" s="428">
        <f>IFERROR(VLOOKUP(E:E,'Item Data Support Sheet'!A:O,4,0),0)</f>
        <v>32.1</v>
      </c>
      <c r="AA1152" s="428">
        <f t="shared" si="311"/>
        <v>64.721000000000004</v>
      </c>
      <c r="AB1152" s="429">
        <f t="shared" si="312"/>
        <v>0.96417546082415295</v>
      </c>
      <c r="AC1152" s="424">
        <f t="shared" si="313"/>
        <v>1.3197969543147208E-2</v>
      </c>
      <c r="AD1152" s="371">
        <f t="shared" si="314"/>
        <v>1.5670910871694418E-2</v>
      </c>
      <c r="AE1152" s="748">
        <f t="shared" si="315"/>
        <v>0.98706467661691544</v>
      </c>
      <c r="AF1152" s="417">
        <f t="shared" si="316"/>
        <v>2.1666666666666665</v>
      </c>
      <c r="AG1152" s="416">
        <f t="shared" si="317"/>
        <v>5.8333333333333339</v>
      </c>
      <c r="AH1152" s="372">
        <f t="shared" si="318"/>
        <v>0.72916666666666674</v>
      </c>
      <c r="AI1152" s="373">
        <f t="shared" si="319"/>
        <v>243</v>
      </c>
      <c r="AJ1152" s="418">
        <f>VLOOKUP(D1152,'Standard Cycle time'!C:D,2,0)</f>
        <v>9</v>
      </c>
      <c r="AK1152" s="418">
        <f t="shared" si="320"/>
        <v>10.802469135802472</v>
      </c>
      <c r="AL1152" s="374">
        <f t="shared" si="321"/>
        <v>0.83314285714285696</v>
      </c>
      <c r="AM1152" s="372">
        <f t="shared" si="322"/>
        <v>0.599641791044776</v>
      </c>
      <c r="AN1152" s="799">
        <v>0.599641791044776</v>
      </c>
      <c r="AO1152" s="448" t="s">
        <v>3925</v>
      </c>
      <c r="AP1152" s="440">
        <v>0</v>
      </c>
      <c r="AQ1152" s="440">
        <v>0</v>
      </c>
      <c r="AR1152" s="440">
        <v>70</v>
      </c>
      <c r="AS1152" s="440">
        <v>0</v>
      </c>
      <c r="AT1152" s="440">
        <v>0</v>
      </c>
      <c r="AU1152" s="440">
        <v>0</v>
      </c>
      <c r="AV1152" s="440">
        <v>0</v>
      </c>
      <c r="AW1152" s="440">
        <v>30</v>
      </c>
      <c r="AX1152" s="440">
        <v>0</v>
      </c>
      <c r="AY1152" s="440">
        <v>0</v>
      </c>
      <c r="AZ1152" s="440">
        <v>0</v>
      </c>
      <c r="BA1152" s="440">
        <v>0</v>
      </c>
      <c r="BB1152" s="440">
        <v>30</v>
      </c>
      <c r="BC1152" s="440">
        <v>0</v>
      </c>
      <c r="BD1152" s="440">
        <v>0</v>
      </c>
      <c r="BE1152" s="440">
        <v>0</v>
      </c>
      <c r="BF1152" s="440">
        <v>0</v>
      </c>
      <c r="BG1152" s="440">
        <v>0</v>
      </c>
      <c r="BH1152" s="440">
        <v>0</v>
      </c>
      <c r="BI1152" s="440">
        <v>0</v>
      </c>
      <c r="BJ1152" s="440">
        <v>0</v>
      </c>
      <c r="BK1152" s="440">
        <v>0</v>
      </c>
      <c r="BL1152" s="440">
        <v>0</v>
      </c>
      <c r="BM1152" s="440">
        <v>0</v>
      </c>
      <c r="BN1152" s="440">
        <v>0</v>
      </c>
      <c r="BO1152" s="440">
        <v>0</v>
      </c>
      <c r="BP1152" s="440">
        <v>0</v>
      </c>
      <c r="BQ1152" s="440">
        <v>0</v>
      </c>
      <c r="BR1152" s="415">
        <v>2.1666666666666665</v>
      </c>
      <c r="BS1152" s="415">
        <v>2.1666666666666665</v>
      </c>
      <c r="BT1152" s="935"/>
      <c r="BU1152" s="935"/>
      <c r="BV1152" s="935"/>
      <c r="BW1152" s="935"/>
      <c r="BX1152" s="935"/>
      <c r="BY1152" s="935"/>
      <c r="BZ1152" s="935"/>
      <c r="CA1152" s="935"/>
      <c r="CB1152" s="935"/>
      <c r="CC1152" s="935"/>
      <c r="CD1152" s="935"/>
      <c r="CE1152" s="935"/>
      <c r="CF1152" s="935"/>
      <c r="CG1152" s="935"/>
      <c r="CH1152" s="935"/>
      <c r="CI1152" s="935"/>
      <c r="CJ1152" s="935"/>
      <c r="CK1152" s="935"/>
      <c r="CL1152" s="935"/>
      <c r="CM1152" s="935"/>
      <c r="CN1152" s="935"/>
      <c r="CO1152" s="935"/>
      <c r="CP1152" s="935"/>
      <c r="CQ1152" s="935"/>
      <c r="CR1152" s="935"/>
      <c r="CS1152" s="935"/>
      <c r="CT1152" s="935"/>
      <c r="CU1152" s="935"/>
      <c r="CV1152" s="935"/>
    </row>
    <row r="1153" spans="1:104" s="441" customFormat="1">
      <c r="A1153" s="375">
        <f t="shared" si="308"/>
        <v>11</v>
      </c>
      <c r="B1153" s="862">
        <v>44509</v>
      </c>
      <c r="C1153" s="493" t="s">
        <v>1980</v>
      </c>
      <c r="D1153" s="376" t="str">
        <f>IFERROR(VLOOKUP(E:E,'Item Data Support Sheet'!A:O,7,0),"")</f>
        <v>NIPPLE PUNCH</v>
      </c>
      <c r="E1153" s="447" t="s">
        <v>80</v>
      </c>
      <c r="F1153" s="500"/>
      <c r="G1153" s="497" t="s">
        <v>1692</v>
      </c>
      <c r="H1153" s="602" t="str">
        <f>IFERROR(VLOOKUP(E:E,'Item Data Support Sheet'!A:O,2,0),"")</f>
        <v>NIPPLE S TYPE S SIZE PUNCHED</v>
      </c>
      <c r="I1153" s="501" t="s">
        <v>3926</v>
      </c>
      <c r="J1153" s="501" t="s">
        <v>2808</v>
      </c>
      <c r="K1153" s="499">
        <v>8</v>
      </c>
      <c r="L1153" s="499">
        <v>7000</v>
      </c>
      <c r="M1153" s="366">
        <v>875</v>
      </c>
      <c r="N1153" s="367">
        <f t="shared" si="307"/>
        <v>6900</v>
      </c>
      <c r="O1153" s="61">
        <v>6900</v>
      </c>
      <c r="P1153" s="368">
        <v>0</v>
      </c>
      <c r="Q1153" s="368">
        <v>0</v>
      </c>
      <c r="R1153" s="494">
        <v>0</v>
      </c>
      <c r="S1153" s="493">
        <v>0</v>
      </c>
      <c r="T1153" s="494">
        <v>0</v>
      </c>
      <c r="U1153" s="493">
        <v>0</v>
      </c>
      <c r="V1153" s="502">
        <v>1</v>
      </c>
      <c r="W1153" s="453">
        <f t="shared" si="309"/>
        <v>6900</v>
      </c>
      <c r="X1153" s="748">
        <f t="shared" si="310"/>
        <v>0.98571428571428577</v>
      </c>
      <c r="Y1153" s="451" t="str">
        <f>IFERROR(VLOOKUP(E:E,'Item Data Support Sheet'!A:J,6,0),0)</f>
        <v>FO015</v>
      </c>
      <c r="Z1153" s="428">
        <f>IFERROR(VLOOKUP(E:E,'Item Data Support Sheet'!A:O,4,0),0)</f>
        <v>0</v>
      </c>
      <c r="AA1153" s="428">
        <f t="shared" si="311"/>
        <v>0</v>
      </c>
      <c r="AB1153" s="429" t="str">
        <f t="shared" si="312"/>
        <v xml:space="preserve"> </v>
      </c>
      <c r="AC1153" s="424">
        <f t="shared" si="313"/>
        <v>0</v>
      </c>
      <c r="AD1153" s="371">
        <f t="shared" si="314"/>
        <v>0</v>
      </c>
      <c r="AE1153" s="748">
        <f t="shared" si="315"/>
        <v>1</v>
      </c>
      <c r="AF1153" s="417">
        <f t="shared" si="316"/>
        <v>1</v>
      </c>
      <c r="AG1153" s="416">
        <f t="shared" si="317"/>
        <v>7</v>
      </c>
      <c r="AH1153" s="372">
        <f t="shared" si="318"/>
        <v>0.875</v>
      </c>
      <c r="AI1153" s="373">
        <f t="shared" si="319"/>
        <v>862.5</v>
      </c>
      <c r="AJ1153" s="418">
        <f>VLOOKUP(D1153,'Standard Cycle time'!C:D,2,0)</f>
        <v>3.5</v>
      </c>
      <c r="AK1153" s="418">
        <f t="shared" si="320"/>
        <v>3.652173913043478</v>
      </c>
      <c r="AL1153" s="374">
        <f t="shared" si="321"/>
        <v>0.95833333333333337</v>
      </c>
      <c r="AM1153" s="372">
        <f t="shared" si="322"/>
        <v>0.83854166666666674</v>
      </c>
      <c r="AN1153" s="799">
        <v>0.83854166666666674</v>
      </c>
      <c r="AO1153" s="448" t="s">
        <v>3923</v>
      </c>
      <c r="AP1153" s="440">
        <v>0</v>
      </c>
      <c r="AQ1153" s="440">
        <v>0</v>
      </c>
      <c r="AR1153" s="440">
        <v>0</v>
      </c>
      <c r="AS1153" s="440">
        <v>0</v>
      </c>
      <c r="AT1153" s="440">
        <v>0</v>
      </c>
      <c r="AU1153" s="440">
        <v>0</v>
      </c>
      <c r="AV1153" s="440">
        <v>0</v>
      </c>
      <c r="AW1153" s="440">
        <v>0</v>
      </c>
      <c r="AX1153" s="440">
        <v>0</v>
      </c>
      <c r="AY1153" s="440">
        <v>0</v>
      </c>
      <c r="AZ1153" s="440">
        <v>30</v>
      </c>
      <c r="BA1153" s="440">
        <v>0</v>
      </c>
      <c r="BB1153" s="440">
        <v>0</v>
      </c>
      <c r="BC1153" s="440">
        <v>0</v>
      </c>
      <c r="BD1153" s="440">
        <v>0</v>
      </c>
      <c r="BE1153" s="440">
        <v>0</v>
      </c>
      <c r="BF1153" s="440">
        <v>0</v>
      </c>
      <c r="BG1153" s="440">
        <v>0</v>
      </c>
      <c r="BH1153" s="440">
        <v>0</v>
      </c>
      <c r="BI1153" s="440">
        <v>0</v>
      </c>
      <c r="BJ1153" s="440">
        <v>0</v>
      </c>
      <c r="BK1153" s="440">
        <v>0</v>
      </c>
      <c r="BL1153" s="440">
        <v>0</v>
      </c>
      <c r="BM1153" s="440">
        <v>0</v>
      </c>
      <c r="BN1153" s="440">
        <v>0</v>
      </c>
      <c r="BO1153" s="440">
        <v>0</v>
      </c>
      <c r="BP1153" s="440">
        <v>0</v>
      </c>
      <c r="BQ1153" s="440">
        <v>30</v>
      </c>
      <c r="BR1153" s="415">
        <v>1</v>
      </c>
      <c r="BS1153" s="415">
        <v>1</v>
      </c>
      <c r="BT1153" s="935"/>
      <c r="BU1153" s="935"/>
      <c r="BV1153" s="935"/>
      <c r="BW1153" s="935"/>
      <c r="BX1153" s="935"/>
      <c r="BY1153" s="935"/>
      <c r="BZ1153" s="935"/>
      <c r="CA1153" s="935"/>
      <c r="CB1153" s="935"/>
      <c r="CC1153" s="935"/>
      <c r="CD1153" s="935"/>
      <c r="CE1153" s="935"/>
      <c r="CF1153" s="935"/>
      <c r="CG1153" s="935"/>
      <c r="CH1153" s="935"/>
      <c r="CI1153" s="935"/>
      <c r="CJ1153" s="935"/>
      <c r="CK1153" s="935"/>
      <c r="CL1153" s="935"/>
      <c r="CM1153" s="935"/>
      <c r="CN1153" s="935"/>
      <c r="CO1153" s="935"/>
      <c r="CP1153" s="935"/>
      <c r="CQ1153" s="935"/>
      <c r="CR1153" s="935"/>
      <c r="CS1153" s="935"/>
      <c r="CT1153" s="935"/>
      <c r="CU1153" s="935"/>
      <c r="CV1153" s="935"/>
    </row>
    <row r="1154" spans="1:104" s="441" customFormat="1">
      <c r="A1154" s="375">
        <f t="shared" si="308"/>
        <v>11</v>
      </c>
      <c r="B1154" s="862">
        <v>44509</v>
      </c>
      <c r="C1154" s="493" t="s">
        <v>1980</v>
      </c>
      <c r="D1154" s="376" t="str">
        <f>IFERROR(VLOOKUP(E:E,'Item Data Support Sheet'!A:O,7,0),"")</f>
        <v>NIPPLE LASER MARKING</v>
      </c>
      <c r="E1154" s="447" t="s">
        <v>1814</v>
      </c>
      <c r="F1154" s="500"/>
      <c r="G1154" s="497" t="s">
        <v>1812</v>
      </c>
      <c r="H1154" s="602" t="str">
        <f>IFERROR(VLOOKUP(E:E,'Item Data Support Sheet'!A:O,2,0),"")</f>
        <v>NIPPLE S TYPE S SIZE PUNCHED LASER MARKED</v>
      </c>
      <c r="I1154" s="501" t="s">
        <v>3927</v>
      </c>
      <c r="J1154" s="501" t="s">
        <v>2808</v>
      </c>
      <c r="K1154" s="499">
        <v>8</v>
      </c>
      <c r="L1154" s="499">
        <v>7000</v>
      </c>
      <c r="M1154" s="366">
        <v>875</v>
      </c>
      <c r="N1154" s="367">
        <f t="shared" si="307"/>
        <v>6900</v>
      </c>
      <c r="O1154" s="61">
        <v>6900</v>
      </c>
      <c r="P1154" s="368">
        <v>0</v>
      </c>
      <c r="Q1154" s="368">
        <v>0</v>
      </c>
      <c r="R1154" s="494">
        <v>0</v>
      </c>
      <c r="S1154" s="493">
        <v>0</v>
      </c>
      <c r="T1154" s="494">
        <v>0</v>
      </c>
      <c r="U1154" s="493">
        <v>0</v>
      </c>
      <c r="V1154" s="502">
        <v>1</v>
      </c>
      <c r="W1154" s="453">
        <f t="shared" si="309"/>
        <v>6900</v>
      </c>
      <c r="X1154" s="748">
        <f t="shared" si="310"/>
        <v>0.98571428571428577</v>
      </c>
      <c r="Y1154" s="451" t="str">
        <f>IFERROR(VLOOKUP(E:E,'Item Data Support Sheet'!A:J,6,0),0)</f>
        <v>FO019</v>
      </c>
      <c r="Z1154" s="428">
        <f>IFERROR(VLOOKUP(E:E,'Item Data Support Sheet'!A:O,4,0),0)</f>
        <v>0</v>
      </c>
      <c r="AA1154" s="428">
        <f t="shared" si="311"/>
        <v>0</v>
      </c>
      <c r="AB1154" s="429" t="str">
        <f t="shared" si="312"/>
        <v xml:space="preserve"> </v>
      </c>
      <c r="AC1154" s="424">
        <f t="shared" si="313"/>
        <v>0</v>
      </c>
      <c r="AD1154" s="371">
        <f t="shared" si="314"/>
        <v>0</v>
      </c>
      <c r="AE1154" s="748">
        <f t="shared" si="315"/>
        <v>1</v>
      </c>
      <c r="AF1154" s="417">
        <f t="shared" si="316"/>
        <v>0.5</v>
      </c>
      <c r="AG1154" s="416">
        <f t="shared" si="317"/>
        <v>7.5</v>
      </c>
      <c r="AH1154" s="372">
        <f t="shared" si="318"/>
        <v>0.9375</v>
      </c>
      <c r="AI1154" s="373">
        <f t="shared" si="319"/>
        <v>862.5</v>
      </c>
      <c r="AJ1154" s="418">
        <f>VLOOKUP(D1154,'Standard Cycle time'!C:D,2,0)</f>
        <v>3.5</v>
      </c>
      <c r="AK1154" s="418">
        <f t="shared" si="320"/>
        <v>3.9130434782608696</v>
      </c>
      <c r="AL1154" s="374">
        <f t="shared" si="321"/>
        <v>0.89444444444444449</v>
      </c>
      <c r="AM1154" s="372">
        <f t="shared" si="322"/>
        <v>0.83854166666666674</v>
      </c>
      <c r="AN1154" s="799">
        <v>0.83854166666666674</v>
      </c>
      <c r="AO1154" s="448" t="s">
        <v>3923</v>
      </c>
      <c r="AP1154" s="440">
        <v>0</v>
      </c>
      <c r="AQ1154" s="440">
        <v>0</v>
      </c>
      <c r="AR1154" s="440">
        <v>0</v>
      </c>
      <c r="AS1154" s="440">
        <v>0</v>
      </c>
      <c r="AT1154" s="440">
        <v>0</v>
      </c>
      <c r="AU1154" s="440">
        <v>0</v>
      </c>
      <c r="AV1154" s="440">
        <v>0</v>
      </c>
      <c r="AW1154" s="440">
        <v>0</v>
      </c>
      <c r="AX1154" s="440">
        <v>0</v>
      </c>
      <c r="AY1154" s="440">
        <v>0</v>
      </c>
      <c r="AZ1154" s="440">
        <v>30</v>
      </c>
      <c r="BA1154" s="440">
        <v>0</v>
      </c>
      <c r="BB1154" s="440">
        <v>0</v>
      </c>
      <c r="BC1154" s="440">
        <v>0</v>
      </c>
      <c r="BD1154" s="440">
        <v>0</v>
      </c>
      <c r="BE1154" s="440">
        <v>0</v>
      </c>
      <c r="BF1154" s="440">
        <v>0</v>
      </c>
      <c r="BG1154" s="440">
        <v>0</v>
      </c>
      <c r="BH1154" s="440">
        <v>0</v>
      </c>
      <c r="BI1154" s="440">
        <v>0</v>
      </c>
      <c r="BJ1154" s="440">
        <v>0</v>
      </c>
      <c r="BK1154" s="440">
        <v>0</v>
      </c>
      <c r="BL1154" s="440">
        <v>0</v>
      </c>
      <c r="BM1154" s="440">
        <v>0</v>
      </c>
      <c r="BN1154" s="440">
        <v>0</v>
      </c>
      <c r="BO1154" s="440">
        <v>0</v>
      </c>
      <c r="BP1154" s="440">
        <v>0</v>
      </c>
      <c r="BQ1154" s="440">
        <v>0</v>
      </c>
      <c r="BR1154" s="415">
        <v>0.5</v>
      </c>
      <c r="BS1154" s="415">
        <v>0.5</v>
      </c>
      <c r="BT1154" s="935"/>
      <c r="BU1154" s="935"/>
      <c r="BV1154" s="935"/>
      <c r="BW1154" s="935"/>
      <c r="BX1154" s="935"/>
      <c r="BY1154" s="935"/>
      <c r="BZ1154" s="935"/>
      <c r="CA1154" s="935"/>
      <c r="CB1154" s="935"/>
      <c r="CC1154" s="935"/>
      <c r="CD1154" s="935"/>
      <c r="CE1154" s="935"/>
      <c r="CF1154" s="935"/>
      <c r="CG1154" s="935"/>
      <c r="CH1154" s="935"/>
      <c r="CI1154" s="935"/>
      <c r="CJ1154" s="935"/>
      <c r="CK1154" s="935"/>
      <c r="CL1154" s="935"/>
      <c r="CM1154" s="935"/>
      <c r="CN1154" s="935"/>
      <c r="CO1154" s="935"/>
      <c r="CP1154" s="935"/>
      <c r="CQ1154" s="935"/>
      <c r="CR1154" s="935"/>
      <c r="CS1154" s="935"/>
      <c r="CT1154" s="935"/>
      <c r="CU1154" s="935"/>
      <c r="CV1154" s="935"/>
      <c r="CZ1154" s="441">
        <v>0</v>
      </c>
    </row>
    <row r="1155" spans="1:104" s="441" customFormat="1">
      <c r="A1155" s="375">
        <f t="shared" si="308"/>
        <v>11</v>
      </c>
      <c r="B1155" s="862">
        <v>44509</v>
      </c>
      <c r="C1155" s="493" t="s">
        <v>1980</v>
      </c>
      <c r="D1155" s="376" t="str">
        <f>IFERROR(VLOOKUP(E:E,'Item Data Support Sheet'!A:O,7,0),"")</f>
        <v>BOTTLE PRINTED</v>
      </c>
      <c r="E1155" s="447" t="s">
        <v>116</v>
      </c>
      <c r="F1155" s="500"/>
      <c r="G1155" s="497"/>
      <c r="H1155" s="602" t="str">
        <f>IFERROR(VLOOKUP(E:E,'Item Data Support Sheet'!A:O,2,0),"")</f>
        <v>KPP BOTTLE 240 ML PRINTED-WMG3B</v>
      </c>
      <c r="I1155" s="501" t="s">
        <v>3928</v>
      </c>
      <c r="J1155" s="501" t="s">
        <v>3929</v>
      </c>
      <c r="K1155" s="499">
        <v>8</v>
      </c>
      <c r="L1155" s="499">
        <v>5120</v>
      </c>
      <c r="M1155" s="366">
        <v>640</v>
      </c>
      <c r="N1155" s="367">
        <f t="shared" si="307"/>
        <v>4169</v>
      </c>
      <c r="O1155" s="61">
        <v>4104</v>
      </c>
      <c r="P1155" s="368">
        <v>0</v>
      </c>
      <c r="Q1155" s="368">
        <v>0</v>
      </c>
      <c r="R1155" s="494">
        <v>0</v>
      </c>
      <c r="S1155" s="493">
        <v>0</v>
      </c>
      <c r="T1155" s="494">
        <v>65</v>
      </c>
      <c r="U1155" s="493">
        <v>0</v>
      </c>
      <c r="V1155" s="502">
        <v>4.5</v>
      </c>
      <c r="W1155" s="453">
        <f t="shared" si="309"/>
        <v>912</v>
      </c>
      <c r="X1155" s="748">
        <f t="shared" si="310"/>
        <v>0.80156249999999996</v>
      </c>
      <c r="Y1155" s="451" t="str">
        <f>IFERROR(VLOOKUP(E:E,'Item Data Support Sheet'!A:J,6,0),0)</f>
        <v>FO044</v>
      </c>
      <c r="Z1155" s="428">
        <f>IFERROR(VLOOKUP(E:E,'Item Data Support Sheet'!A:O,4,0),0)</f>
        <v>0</v>
      </c>
      <c r="AA1155" s="428">
        <f t="shared" si="311"/>
        <v>0</v>
      </c>
      <c r="AB1155" s="429" t="str">
        <f t="shared" si="312"/>
        <v xml:space="preserve"> </v>
      </c>
      <c r="AC1155" s="424">
        <f t="shared" si="313"/>
        <v>1.5591268889421923E-2</v>
      </c>
      <c r="AD1155" s="371">
        <f t="shared" si="314"/>
        <v>0</v>
      </c>
      <c r="AE1155" s="748">
        <f t="shared" si="315"/>
        <v>0.98440873111057803</v>
      </c>
      <c r="AF1155" s="417">
        <f t="shared" si="316"/>
        <v>0</v>
      </c>
      <c r="AG1155" s="416">
        <f t="shared" si="317"/>
        <v>8</v>
      </c>
      <c r="AH1155" s="372">
        <f t="shared" si="318"/>
        <v>1</v>
      </c>
      <c r="AI1155" s="373">
        <f t="shared" si="319"/>
        <v>513</v>
      </c>
      <c r="AJ1155" s="418">
        <f>VLOOKUP(D1155,'Standard Cycle time'!C:D,2,0)</f>
        <v>32.4</v>
      </c>
      <c r="AK1155" s="418">
        <f t="shared" si="320"/>
        <v>31.578947368421051</v>
      </c>
      <c r="AL1155" s="374">
        <f t="shared" si="321"/>
        <v>1.026</v>
      </c>
      <c r="AM1155" s="372">
        <f t="shared" si="322"/>
        <v>1.0100033581194532</v>
      </c>
      <c r="AN1155" s="799">
        <v>1.0100033581194532</v>
      </c>
      <c r="AO1155" s="448" t="s">
        <v>3583</v>
      </c>
      <c r="AP1155" s="440">
        <v>0</v>
      </c>
      <c r="AQ1155" s="440">
        <v>0</v>
      </c>
      <c r="AR1155" s="440">
        <v>0</v>
      </c>
      <c r="AS1155" s="440">
        <v>0</v>
      </c>
      <c r="AT1155" s="440">
        <v>0</v>
      </c>
      <c r="AU1155" s="440">
        <v>0</v>
      </c>
      <c r="AV1155" s="440">
        <v>0</v>
      </c>
      <c r="AW1155" s="440">
        <v>0</v>
      </c>
      <c r="AX1155" s="440">
        <v>0</v>
      </c>
      <c r="AY1155" s="440">
        <v>0</v>
      </c>
      <c r="AZ1155" s="440">
        <v>0</v>
      </c>
      <c r="BA1155" s="440">
        <v>0</v>
      </c>
      <c r="BB1155" s="440">
        <v>0</v>
      </c>
      <c r="BC1155" s="440">
        <v>0</v>
      </c>
      <c r="BD1155" s="440">
        <v>0</v>
      </c>
      <c r="BE1155" s="440">
        <v>0</v>
      </c>
      <c r="BF1155" s="440">
        <v>0</v>
      </c>
      <c r="BG1155" s="440">
        <v>0</v>
      </c>
      <c r="BH1155" s="440">
        <v>0</v>
      </c>
      <c r="BI1155" s="440">
        <v>0</v>
      </c>
      <c r="BJ1155" s="440">
        <v>0</v>
      </c>
      <c r="BK1155" s="440">
        <v>0</v>
      </c>
      <c r="BL1155" s="440">
        <v>0</v>
      </c>
      <c r="BM1155" s="440">
        <v>0</v>
      </c>
      <c r="BN1155" s="440">
        <v>0</v>
      </c>
      <c r="BO1155" s="440">
        <v>0</v>
      </c>
      <c r="BP1155" s="440">
        <v>0</v>
      </c>
      <c r="BQ1155" s="440">
        <v>0</v>
      </c>
      <c r="BR1155" s="415">
        <v>0</v>
      </c>
      <c r="BS1155" s="415">
        <v>0</v>
      </c>
      <c r="BT1155" s="935"/>
      <c r="BU1155" s="935"/>
      <c r="BV1155" s="935"/>
      <c r="BW1155" s="935"/>
      <c r="BX1155" s="935"/>
      <c r="BY1155" s="935"/>
      <c r="BZ1155" s="935"/>
      <c r="CA1155" s="935"/>
      <c r="CB1155" s="935"/>
      <c r="CC1155" s="935"/>
      <c r="CD1155" s="935"/>
      <c r="CE1155" s="935"/>
      <c r="CF1155" s="935"/>
      <c r="CG1155" s="935"/>
      <c r="CH1155" s="935"/>
      <c r="CI1155" s="935"/>
      <c r="CJ1155" s="935"/>
      <c r="CK1155" s="935"/>
      <c r="CL1155" s="935"/>
      <c r="CM1155" s="935"/>
      <c r="CN1155" s="935"/>
      <c r="CO1155" s="935"/>
      <c r="CP1155" s="935"/>
      <c r="CQ1155" s="935"/>
      <c r="CR1155" s="935"/>
      <c r="CS1155" s="935"/>
      <c r="CT1155" s="935"/>
      <c r="CU1155" s="935"/>
      <c r="CV1155" s="935"/>
      <c r="CZ1155" s="441">
        <v>0</v>
      </c>
    </row>
    <row r="1156" spans="1:104" s="441" customFormat="1">
      <c r="A1156" s="375">
        <f t="shared" si="308"/>
        <v>11</v>
      </c>
      <c r="B1156" s="862">
        <v>44509</v>
      </c>
      <c r="C1156" s="493" t="s">
        <v>2000</v>
      </c>
      <c r="D1156" s="376" t="str">
        <f>IFERROR(VLOOKUP(E:E,'Item Data Support Sheet'!A:O,7,0),"")</f>
        <v>NIPPLE PUNCH INSPECTED</v>
      </c>
      <c r="E1156" s="447" t="s">
        <v>1818</v>
      </c>
      <c r="F1156" s="500"/>
      <c r="G1156" s="497"/>
      <c r="H1156" s="602" t="str">
        <f>IFERROR(VLOOKUP(E:E,'Item Data Support Sheet'!A:O,2,0),"")</f>
        <v>NIPPLE S TYPE S SIZE PUNCHED INSPECTED</v>
      </c>
      <c r="I1156" s="501" t="s">
        <v>3930</v>
      </c>
      <c r="J1156" s="501" t="s">
        <v>2812</v>
      </c>
      <c r="K1156" s="499">
        <v>8</v>
      </c>
      <c r="L1156" s="499">
        <v>9000</v>
      </c>
      <c r="M1156" s="366">
        <v>1125</v>
      </c>
      <c r="N1156" s="367">
        <f t="shared" ref="N1156:N1219" si="323">+O1156+Q1156+T1156+U1156</f>
        <v>14270</v>
      </c>
      <c r="O1156" s="61">
        <v>14247</v>
      </c>
      <c r="P1156" s="368">
        <v>0</v>
      </c>
      <c r="Q1156" s="368">
        <v>0</v>
      </c>
      <c r="R1156" s="494">
        <v>0</v>
      </c>
      <c r="S1156" s="493">
        <v>0</v>
      </c>
      <c r="T1156" s="494">
        <v>23</v>
      </c>
      <c r="U1156" s="493">
        <v>0</v>
      </c>
      <c r="V1156" s="502">
        <v>2</v>
      </c>
      <c r="W1156" s="453">
        <f t="shared" si="309"/>
        <v>7123.5</v>
      </c>
      <c r="X1156" s="748">
        <f t="shared" si="310"/>
        <v>1.583</v>
      </c>
      <c r="Y1156" s="451" t="str">
        <f>IFERROR(VLOOKUP(E:E,'Item Data Support Sheet'!A:J,6,0),0)</f>
        <v>FO104</v>
      </c>
      <c r="Z1156" s="428">
        <f>IFERROR(VLOOKUP(E:E,'Item Data Support Sheet'!A:O,4,0),0)</f>
        <v>0</v>
      </c>
      <c r="AA1156" s="428">
        <f t="shared" si="311"/>
        <v>0</v>
      </c>
      <c r="AB1156" s="429" t="str">
        <f t="shared" si="312"/>
        <v xml:space="preserve"> </v>
      </c>
      <c r="AC1156" s="424">
        <f t="shared" si="313"/>
        <v>1.6117729502452699E-3</v>
      </c>
      <c r="AD1156" s="371">
        <f t="shared" si="314"/>
        <v>0</v>
      </c>
      <c r="AE1156" s="748">
        <f t="shared" si="315"/>
        <v>0.99838822704975472</v>
      </c>
      <c r="AF1156" s="417">
        <f t="shared" si="316"/>
        <v>0</v>
      </c>
      <c r="AG1156" s="416">
        <f t="shared" si="317"/>
        <v>8</v>
      </c>
      <c r="AH1156" s="372">
        <f t="shared" si="318"/>
        <v>1</v>
      </c>
      <c r="AI1156" s="373">
        <f t="shared" si="319"/>
        <v>1780.875</v>
      </c>
      <c r="AJ1156" s="418">
        <f>VLOOKUP(D1156,'Standard Cycle time'!C:D,2,0)</f>
        <v>4</v>
      </c>
      <c r="AK1156" s="418">
        <f t="shared" si="320"/>
        <v>4.042956411876184</v>
      </c>
      <c r="AL1156" s="374">
        <f t="shared" si="321"/>
        <v>0.98937500000000012</v>
      </c>
      <c r="AM1156" s="372">
        <f t="shared" si="322"/>
        <v>0.98778035213735116</v>
      </c>
      <c r="AN1156" s="799">
        <v>0.98778035213735116</v>
      </c>
      <c r="AO1156" s="448" t="s">
        <v>2914</v>
      </c>
      <c r="AP1156" s="440">
        <v>0</v>
      </c>
      <c r="AQ1156" s="440">
        <v>0</v>
      </c>
      <c r="AR1156" s="440">
        <v>0</v>
      </c>
      <c r="AS1156" s="440">
        <v>0</v>
      </c>
      <c r="AT1156" s="440">
        <v>0</v>
      </c>
      <c r="AU1156" s="440">
        <v>0</v>
      </c>
      <c r="AV1156" s="440">
        <v>0</v>
      </c>
      <c r="AW1156" s="440">
        <v>0</v>
      </c>
      <c r="AX1156" s="440">
        <v>0</v>
      </c>
      <c r="AY1156" s="440">
        <v>0</v>
      </c>
      <c r="AZ1156" s="440">
        <v>0</v>
      </c>
      <c r="BA1156" s="440">
        <v>0</v>
      </c>
      <c r="BB1156" s="440">
        <v>0</v>
      </c>
      <c r="BC1156" s="440">
        <v>0</v>
      </c>
      <c r="BD1156" s="440">
        <v>0</v>
      </c>
      <c r="BE1156" s="440">
        <v>0</v>
      </c>
      <c r="BF1156" s="440">
        <v>0</v>
      </c>
      <c r="BG1156" s="440">
        <v>0</v>
      </c>
      <c r="BH1156" s="440">
        <v>0</v>
      </c>
      <c r="BI1156" s="440">
        <v>0</v>
      </c>
      <c r="BJ1156" s="440">
        <v>0</v>
      </c>
      <c r="BK1156" s="440">
        <v>0</v>
      </c>
      <c r="BL1156" s="440">
        <v>0</v>
      </c>
      <c r="BM1156" s="440">
        <v>0</v>
      </c>
      <c r="BN1156" s="440">
        <v>0</v>
      </c>
      <c r="BO1156" s="440">
        <v>0</v>
      </c>
      <c r="BP1156" s="440">
        <v>0</v>
      </c>
      <c r="BQ1156" s="440">
        <v>0</v>
      </c>
      <c r="BR1156" s="415">
        <v>0</v>
      </c>
      <c r="BS1156" s="415">
        <v>0</v>
      </c>
      <c r="BT1156" s="935"/>
      <c r="BU1156" s="935"/>
      <c r="BV1156" s="935"/>
      <c r="BW1156" s="935"/>
      <c r="BX1156" s="935"/>
      <c r="BY1156" s="935"/>
      <c r="BZ1156" s="935"/>
      <c r="CA1156" s="935"/>
      <c r="CB1156" s="935"/>
      <c r="CC1156" s="935"/>
      <c r="CD1156" s="935"/>
      <c r="CE1156" s="935"/>
      <c r="CF1156" s="935"/>
      <c r="CG1156" s="935"/>
      <c r="CH1156" s="935"/>
      <c r="CI1156" s="935"/>
      <c r="CJ1156" s="935"/>
      <c r="CK1156" s="935"/>
      <c r="CL1156" s="935"/>
      <c r="CM1156" s="935"/>
      <c r="CN1156" s="935"/>
      <c r="CO1156" s="935"/>
      <c r="CP1156" s="935"/>
      <c r="CQ1156" s="935"/>
      <c r="CR1156" s="935"/>
      <c r="CS1156" s="935"/>
      <c r="CT1156" s="935"/>
      <c r="CU1156" s="935"/>
      <c r="CV1156" s="935"/>
    </row>
    <row r="1157" spans="1:104" s="441" customFormat="1">
      <c r="A1157" s="375">
        <f t="shared" ref="A1157:A1220" si="324">MONTH(B1157)</f>
        <v>11</v>
      </c>
      <c r="B1157" s="862">
        <v>44509</v>
      </c>
      <c r="C1157" s="493" t="s">
        <v>2001</v>
      </c>
      <c r="D1157" s="376" t="str">
        <f>IFERROR(VLOOKUP(E:E,'Item Data Support Sheet'!A:O,7,0),"")</f>
        <v>NIPPLE PUNCH</v>
      </c>
      <c r="E1157" s="447" t="s">
        <v>80</v>
      </c>
      <c r="F1157" s="500"/>
      <c r="G1157" s="497"/>
      <c r="H1157" s="602" t="str">
        <f>IFERROR(VLOOKUP(E:E,'Item Data Support Sheet'!A:O,2,0),"")</f>
        <v>NIPPLE S TYPE S SIZE PUNCHED</v>
      </c>
      <c r="I1157" s="501" t="s">
        <v>3931</v>
      </c>
      <c r="J1157" s="501" t="s">
        <v>2812</v>
      </c>
      <c r="K1157" s="499">
        <v>8</v>
      </c>
      <c r="L1157" s="499">
        <v>4000</v>
      </c>
      <c r="M1157" s="366">
        <v>500</v>
      </c>
      <c r="N1157" s="367">
        <f t="shared" si="323"/>
        <v>5000</v>
      </c>
      <c r="O1157" s="61">
        <v>5000</v>
      </c>
      <c r="P1157" s="368">
        <v>0</v>
      </c>
      <c r="Q1157" s="368">
        <v>0</v>
      </c>
      <c r="R1157" s="494">
        <v>0</v>
      </c>
      <c r="S1157" s="493">
        <v>0</v>
      </c>
      <c r="T1157" s="494">
        <v>0</v>
      </c>
      <c r="U1157" s="493">
        <v>0</v>
      </c>
      <c r="V1157" s="502">
        <v>1</v>
      </c>
      <c r="W1157" s="453">
        <f t="shared" ref="W1157:W1220" si="325">IFERROR(O1157/V1157,0)</f>
        <v>5000</v>
      </c>
      <c r="X1157" s="748">
        <f t="shared" ref="X1157:X1220" si="326">O1157/L1157</f>
        <v>1.25</v>
      </c>
      <c r="Y1157" s="451" t="str">
        <f>IFERROR(VLOOKUP(E:E,'Item Data Support Sheet'!A:J,6,0),0)</f>
        <v>FO015</v>
      </c>
      <c r="Z1157" s="428">
        <f>IFERROR(VLOOKUP(E:E,'Item Data Support Sheet'!A:O,4,0),0)</f>
        <v>0</v>
      </c>
      <c r="AA1157" s="428">
        <f t="shared" ref="AA1157:AA1220" si="327">IFERROR(((N1157)*(Z1157/1000))+P1157,0)</f>
        <v>0</v>
      </c>
      <c r="AB1157" s="429" t="str">
        <f t="shared" ref="AB1157:AB1220" si="328">IFERROR((O1157*(Z1157/1000)/(AA1157))," ")</f>
        <v xml:space="preserve"> </v>
      </c>
      <c r="AC1157" s="424">
        <f t="shared" ref="AC1157:AC1220" si="329">IFERROR((T1157)/((T1157)+O1157),0)</f>
        <v>0</v>
      </c>
      <c r="AD1157" s="371">
        <f t="shared" ref="AD1157:AD1220" si="330">IFERROR(Q1157/(Q1157+N1157),0)</f>
        <v>0</v>
      </c>
      <c r="AE1157" s="748">
        <f t="shared" ref="AE1157:AE1220" si="331">(N1157-T1157)/N1157</f>
        <v>1</v>
      </c>
      <c r="AF1157" s="417">
        <f t="shared" ref="AF1157:AF1220" si="332">BR1157</f>
        <v>0</v>
      </c>
      <c r="AG1157" s="416">
        <f t="shared" ref="AG1157:AG1220" si="333">K1157-AF1157</f>
        <v>8</v>
      </c>
      <c r="AH1157" s="372">
        <f t="shared" ref="AH1157:AH1220" si="334">IFERROR(AG1157/K1157," ")</f>
        <v>1</v>
      </c>
      <c r="AI1157" s="373">
        <f t="shared" ref="AI1157:AI1220" si="335">IFERROR(O1157/K1157,0)</f>
        <v>625</v>
      </c>
      <c r="AJ1157" s="418">
        <f>VLOOKUP(D1157,'Standard Cycle time'!C:D,2,0)</f>
        <v>3.5</v>
      </c>
      <c r="AK1157" s="418">
        <f t="shared" ref="AK1157:AK1220" si="336">AG1157*V1157*3600/O1157</f>
        <v>5.76</v>
      </c>
      <c r="AL1157" s="374">
        <f t="shared" ref="AL1157:AL1220" si="337">AJ1157/AK1157</f>
        <v>0.60763888888888895</v>
      </c>
      <c r="AM1157" s="372">
        <f t="shared" ref="AM1157:AM1220" si="338">AE1157*AL1157*AH1157</f>
        <v>0.60763888888888895</v>
      </c>
      <c r="AN1157" s="799">
        <v>0.60763888888888895</v>
      </c>
      <c r="AO1157" s="448" t="s">
        <v>2914</v>
      </c>
      <c r="AP1157" s="440">
        <v>0</v>
      </c>
      <c r="AQ1157" s="440">
        <v>0</v>
      </c>
      <c r="AR1157" s="440">
        <v>0</v>
      </c>
      <c r="AS1157" s="440">
        <v>0</v>
      </c>
      <c r="AT1157" s="440">
        <v>0</v>
      </c>
      <c r="AU1157" s="440">
        <v>0</v>
      </c>
      <c r="AV1157" s="440">
        <v>0</v>
      </c>
      <c r="AW1157" s="440">
        <v>0</v>
      </c>
      <c r="AX1157" s="440">
        <v>0</v>
      </c>
      <c r="AY1157" s="440">
        <v>0</v>
      </c>
      <c r="AZ1157" s="440">
        <v>0</v>
      </c>
      <c r="BA1157" s="440">
        <v>0</v>
      </c>
      <c r="BB1157" s="440">
        <v>0</v>
      </c>
      <c r="BC1157" s="440">
        <v>0</v>
      </c>
      <c r="BD1157" s="440">
        <v>0</v>
      </c>
      <c r="BE1157" s="440">
        <v>0</v>
      </c>
      <c r="BF1157" s="440">
        <v>0</v>
      </c>
      <c r="BG1157" s="440">
        <v>0</v>
      </c>
      <c r="BH1157" s="440">
        <v>0</v>
      </c>
      <c r="BI1157" s="440">
        <v>0</v>
      </c>
      <c r="BJ1157" s="440">
        <v>0</v>
      </c>
      <c r="BK1157" s="440">
        <v>0</v>
      </c>
      <c r="BL1157" s="440">
        <v>0</v>
      </c>
      <c r="BM1157" s="440">
        <v>0</v>
      </c>
      <c r="BN1157" s="440">
        <v>0</v>
      </c>
      <c r="BO1157" s="440">
        <v>0</v>
      </c>
      <c r="BP1157" s="440">
        <v>0</v>
      </c>
      <c r="BQ1157" s="440">
        <v>0</v>
      </c>
      <c r="BR1157" s="415">
        <v>0</v>
      </c>
      <c r="BS1157" s="415">
        <v>0</v>
      </c>
      <c r="BT1157" s="935"/>
      <c r="BU1157" s="935"/>
      <c r="BV1157" s="935"/>
      <c r="BW1157" s="935"/>
      <c r="BX1157" s="935"/>
      <c r="BY1157" s="935"/>
      <c r="BZ1157" s="935"/>
      <c r="CA1157" s="935"/>
      <c r="CB1157" s="935"/>
      <c r="CC1157" s="935"/>
      <c r="CD1157" s="935"/>
      <c r="CE1157" s="935"/>
      <c r="CF1157" s="935"/>
      <c r="CG1157" s="935"/>
      <c r="CH1157" s="935"/>
      <c r="CI1157" s="935"/>
      <c r="CJ1157" s="935"/>
      <c r="CK1157" s="935"/>
      <c r="CL1157" s="935"/>
      <c r="CM1157" s="935"/>
      <c r="CN1157" s="935"/>
      <c r="CO1157" s="935"/>
      <c r="CP1157" s="935"/>
      <c r="CQ1157" s="935"/>
      <c r="CR1157" s="935"/>
      <c r="CS1157" s="935"/>
      <c r="CT1157" s="935"/>
      <c r="CU1157" s="935"/>
      <c r="CV1157" s="935"/>
    </row>
    <row r="1158" spans="1:104" s="441" customFormat="1">
      <c r="A1158" s="375">
        <f t="shared" si="324"/>
        <v>11</v>
      </c>
      <c r="B1158" s="862">
        <v>44509</v>
      </c>
      <c r="C1158" s="493" t="s">
        <v>2001</v>
      </c>
      <c r="D1158" s="376" t="str">
        <f>IFERROR(VLOOKUP(E:E,'Item Data Support Sheet'!A:O,7,0),"")</f>
        <v>NIPPLE LASER MARKING</v>
      </c>
      <c r="E1158" s="447" t="s">
        <v>1814</v>
      </c>
      <c r="F1158" s="500"/>
      <c r="G1158" s="497"/>
      <c r="H1158" s="602" t="str">
        <f>IFERROR(VLOOKUP(E:E,'Item Data Support Sheet'!A:O,2,0),"")</f>
        <v>NIPPLE S TYPE S SIZE PUNCHED LASER MARKED</v>
      </c>
      <c r="I1158" s="501" t="s">
        <v>3927</v>
      </c>
      <c r="J1158" s="501" t="s">
        <v>2812</v>
      </c>
      <c r="K1158" s="499">
        <v>8</v>
      </c>
      <c r="L1158" s="499">
        <v>4000</v>
      </c>
      <c r="M1158" s="366">
        <v>500</v>
      </c>
      <c r="N1158" s="367">
        <f t="shared" si="323"/>
        <v>4000</v>
      </c>
      <c r="O1158" s="61">
        <v>4000</v>
      </c>
      <c r="P1158" s="368">
        <v>0</v>
      </c>
      <c r="Q1158" s="368">
        <v>0</v>
      </c>
      <c r="R1158" s="494">
        <v>0</v>
      </c>
      <c r="S1158" s="493">
        <v>0</v>
      </c>
      <c r="T1158" s="494">
        <v>0</v>
      </c>
      <c r="U1158" s="493">
        <v>0</v>
      </c>
      <c r="V1158" s="502">
        <v>1</v>
      </c>
      <c r="W1158" s="453">
        <f t="shared" si="325"/>
        <v>4000</v>
      </c>
      <c r="X1158" s="748">
        <f t="shared" si="326"/>
        <v>1</v>
      </c>
      <c r="Y1158" s="451" t="str">
        <f>IFERROR(VLOOKUP(E:E,'Item Data Support Sheet'!A:J,6,0),0)</f>
        <v>FO019</v>
      </c>
      <c r="Z1158" s="428">
        <f>IFERROR(VLOOKUP(E:E,'Item Data Support Sheet'!A:O,4,0),0)</f>
        <v>0</v>
      </c>
      <c r="AA1158" s="428">
        <f t="shared" si="327"/>
        <v>0</v>
      </c>
      <c r="AB1158" s="429" t="str">
        <f t="shared" si="328"/>
        <v xml:space="preserve"> </v>
      </c>
      <c r="AC1158" s="424">
        <f t="shared" si="329"/>
        <v>0</v>
      </c>
      <c r="AD1158" s="371">
        <f t="shared" si="330"/>
        <v>0</v>
      </c>
      <c r="AE1158" s="748">
        <f t="shared" si="331"/>
        <v>1</v>
      </c>
      <c r="AF1158" s="417">
        <f t="shared" si="332"/>
        <v>0</v>
      </c>
      <c r="AG1158" s="416">
        <f t="shared" si="333"/>
        <v>8</v>
      </c>
      <c r="AH1158" s="372">
        <f t="shared" si="334"/>
        <v>1</v>
      </c>
      <c r="AI1158" s="373">
        <f t="shared" si="335"/>
        <v>500</v>
      </c>
      <c r="AJ1158" s="418">
        <f>VLOOKUP(D1158,'Standard Cycle time'!C:D,2,0)</f>
        <v>3.5</v>
      </c>
      <c r="AK1158" s="418">
        <f t="shared" si="336"/>
        <v>7.2</v>
      </c>
      <c r="AL1158" s="374">
        <f t="shared" si="337"/>
        <v>0.4861111111111111</v>
      </c>
      <c r="AM1158" s="372">
        <f t="shared" si="338"/>
        <v>0.4861111111111111</v>
      </c>
      <c r="AN1158" s="799">
        <v>0.4861111111111111</v>
      </c>
      <c r="AO1158" s="448" t="s">
        <v>2914</v>
      </c>
      <c r="AP1158" s="440">
        <v>0</v>
      </c>
      <c r="AQ1158" s="440">
        <v>0</v>
      </c>
      <c r="AR1158" s="440">
        <v>0</v>
      </c>
      <c r="AS1158" s="440">
        <v>0</v>
      </c>
      <c r="AT1158" s="440">
        <v>0</v>
      </c>
      <c r="AU1158" s="440">
        <v>0</v>
      </c>
      <c r="AV1158" s="440">
        <v>0</v>
      </c>
      <c r="AW1158" s="440">
        <v>0</v>
      </c>
      <c r="AX1158" s="440">
        <v>0</v>
      </c>
      <c r="AY1158" s="440">
        <v>0</v>
      </c>
      <c r="AZ1158" s="440">
        <v>0</v>
      </c>
      <c r="BA1158" s="440">
        <v>0</v>
      </c>
      <c r="BB1158" s="440">
        <v>0</v>
      </c>
      <c r="BC1158" s="440">
        <v>0</v>
      </c>
      <c r="BD1158" s="440">
        <v>0</v>
      </c>
      <c r="BE1158" s="440">
        <v>0</v>
      </c>
      <c r="BF1158" s="440">
        <v>0</v>
      </c>
      <c r="BG1158" s="440">
        <v>0</v>
      </c>
      <c r="BH1158" s="440">
        <v>0</v>
      </c>
      <c r="BI1158" s="440">
        <v>0</v>
      </c>
      <c r="BJ1158" s="440">
        <v>0</v>
      </c>
      <c r="BK1158" s="440">
        <v>0</v>
      </c>
      <c r="BL1158" s="440">
        <v>0</v>
      </c>
      <c r="BM1158" s="440">
        <v>0</v>
      </c>
      <c r="BN1158" s="440">
        <v>0</v>
      </c>
      <c r="BO1158" s="440">
        <v>0</v>
      </c>
      <c r="BP1158" s="440">
        <v>0</v>
      </c>
      <c r="BQ1158" s="440">
        <v>0</v>
      </c>
      <c r="BR1158" s="415">
        <v>0</v>
      </c>
      <c r="BS1158" s="415">
        <v>0</v>
      </c>
      <c r="BT1158" s="935"/>
      <c r="BU1158" s="935"/>
      <c r="BV1158" s="935"/>
      <c r="BW1158" s="935"/>
      <c r="BX1158" s="935"/>
      <c r="BY1158" s="935"/>
      <c r="BZ1158" s="935"/>
      <c r="CA1158" s="935"/>
      <c r="CB1158" s="935"/>
      <c r="CC1158" s="935"/>
      <c r="CD1158" s="935"/>
      <c r="CE1158" s="935"/>
      <c r="CF1158" s="935"/>
      <c r="CG1158" s="935"/>
      <c r="CH1158" s="935"/>
      <c r="CI1158" s="935"/>
      <c r="CJ1158" s="935"/>
      <c r="CK1158" s="935"/>
      <c r="CL1158" s="935"/>
      <c r="CM1158" s="935"/>
      <c r="CN1158" s="935"/>
      <c r="CO1158" s="935"/>
      <c r="CP1158" s="935"/>
      <c r="CQ1158" s="935"/>
      <c r="CR1158" s="935"/>
      <c r="CS1158" s="935"/>
      <c r="CT1158" s="935"/>
      <c r="CU1158" s="935"/>
      <c r="CV1158" s="935"/>
    </row>
    <row r="1159" spans="1:104" s="441" customFormat="1">
      <c r="A1159" s="375">
        <f t="shared" si="324"/>
        <v>11</v>
      </c>
      <c r="B1159" s="862">
        <v>44509</v>
      </c>
      <c r="C1159" s="493" t="s">
        <v>2001</v>
      </c>
      <c r="D1159" s="376" t="str">
        <f>IFERROR(VLOOKUP(E:E,'Item Data Support Sheet'!A:O,7,0),"")</f>
        <v>HOOD MOLDED</v>
      </c>
      <c r="E1159" s="447" t="s">
        <v>1987</v>
      </c>
      <c r="F1159" s="500"/>
      <c r="G1159" s="497"/>
      <c r="H1159" s="602" t="str">
        <f>IFERROR(VLOOKUP(E:E,'Item Data Support Sheet'!A:O,2,0),"")</f>
        <v>HOOD S TYPE MOLDED</v>
      </c>
      <c r="I1159" s="501" t="s">
        <v>3932</v>
      </c>
      <c r="J1159" s="501" t="s">
        <v>2812</v>
      </c>
      <c r="K1159" s="499">
        <v>8</v>
      </c>
      <c r="L1159" s="499">
        <v>4137</v>
      </c>
      <c r="M1159" s="366">
        <v>517.125</v>
      </c>
      <c r="N1159" s="367">
        <f t="shared" si="323"/>
        <v>5004</v>
      </c>
      <c r="O1159" s="61">
        <v>5000</v>
      </c>
      <c r="P1159" s="368">
        <v>0</v>
      </c>
      <c r="Q1159" s="368">
        <v>0</v>
      </c>
      <c r="R1159" s="494">
        <v>0</v>
      </c>
      <c r="S1159" s="493">
        <v>0</v>
      </c>
      <c r="T1159" s="494">
        <v>4</v>
      </c>
      <c r="U1159" s="493">
        <v>0</v>
      </c>
      <c r="V1159" s="502">
        <v>1</v>
      </c>
      <c r="W1159" s="453">
        <f t="shared" si="325"/>
        <v>5000</v>
      </c>
      <c r="X1159" s="748">
        <f t="shared" si="326"/>
        <v>1.2086052695189751</v>
      </c>
      <c r="Y1159" s="451" t="str">
        <f>IFERROR(VLOOKUP(E:E,'Item Data Support Sheet'!A:J,6,0),0)</f>
        <v>HMC</v>
      </c>
      <c r="Z1159" s="428">
        <f>IFERROR(VLOOKUP(E:E,'Item Data Support Sheet'!A:O,4,0),0)</f>
        <v>8.6</v>
      </c>
      <c r="AA1159" s="428">
        <f t="shared" si="327"/>
        <v>43.034399999999998</v>
      </c>
      <c r="AB1159" s="429">
        <f t="shared" si="328"/>
        <v>0.99920063948840931</v>
      </c>
      <c r="AC1159" s="424">
        <f t="shared" si="329"/>
        <v>7.993605115907274E-4</v>
      </c>
      <c r="AD1159" s="371">
        <f t="shared" si="330"/>
        <v>0</v>
      </c>
      <c r="AE1159" s="748">
        <f t="shared" si="331"/>
        <v>0.99920063948840931</v>
      </c>
      <c r="AF1159" s="417">
        <f t="shared" si="332"/>
        <v>0</v>
      </c>
      <c r="AG1159" s="416">
        <f t="shared" si="333"/>
        <v>8</v>
      </c>
      <c r="AH1159" s="372">
        <f t="shared" si="334"/>
        <v>1</v>
      </c>
      <c r="AI1159" s="373">
        <f t="shared" si="335"/>
        <v>625</v>
      </c>
      <c r="AJ1159" s="418">
        <f>VLOOKUP(D1159,'Standard Cycle time'!C:D,2,0)</f>
        <v>6</v>
      </c>
      <c r="AK1159" s="418">
        <f t="shared" si="336"/>
        <v>5.76</v>
      </c>
      <c r="AL1159" s="374">
        <f t="shared" si="337"/>
        <v>1.0416666666666667</v>
      </c>
      <c r="AM1159" s="372">
        <f t="shared" si="338"/>
        <v>1.0408339994670932</v>
      </c>
      <c r="AN1159" s="799">
        <v>1.0408339994670932</v>
      </c>
      <c r="AO1159" s="448" t="s">
        <v>2914</v>
      </c>
      <c r="AP1159" s="440">
        <v>0</v>
      </c>
      <c r="AQ1159" s="440">
        <v>0</v>
      </c>
      <c r="AR1159" s="440">
        <v>0</v>
      </c>
      <c r="AS1159" s="440">
        <v>0</v>
      </c>
      <c r="AT1159" s="440">
        <v>0</v>
      </c>
      <c r="AU1159" s="440">
        <v>0</v>
      </c>
      <c r="AV1159" s="440">
        <v>0</v>
      </c>
      <c r="AW1159" s="440">
        <v>0</v>
      </c>
      <c r="AX1159" s="440">
        <v>0</v>
      </c>
      <c r="AY1159" s="440">
        <v>0</v>
      </c>
      <c r="AZ1159" s="440">
        <v>0</v>
      </c>
      <c r="BA1159" s="440">
        <v>0</v>
      </c>
      <c r="BB1159" s="440">
        <v>0</v>
      </c>
      <c r="BC1159" s="440">
        <v>0</v>
      </c>
      <c r="BD1159" s="440">
        <v>0</v>
      </c>
      <c r="BE1159" s="440">
        <v>0</v>
      </c>
      <c r="BF1159" s="440">
        <v>0</v>
      </c>
      <c r="BG1159" s="440">
        <v>0</v>
      </c>
      <c r="BH1159" s="440">
        <v>0</v>
      </c>
      <c r="BI1159" s="440">
        <v>0</v>
      </c>
      <c r="BJ1159" s="440">
        <v>0</v>
      </c>
      <c r="BK1159" s="440">
        <v>0</v>
      </c>
      <c r="BL1159" s="440">
        <v>0</v>
      </c>
      <c r="BM1159" s="440">
        <v>0</v>
      </c>
      <c r="BN1159" s="440">
        <v>0</v>
      </c>
      <c r="BO1159" s="440">
        <v>0</v>
      </c>
      <c r="BP1159" s="440">
        <v>0</v>
      </c>
      <c r="BQ1159" s="440">
        <v>0</v>
      </c>
      <c r="BR1159" s="415">
        <v>0</v>
      </c>
      <c r="BS1159" s="415">
        <v>0</v>
      </c>
      <c r="BT1159" s="935"/>
      <c r="BU1159" s="935"/>
      <c r="BV1159" s="935"/>
      <c r="BW1159" s="935"/>
      <c r="BX1159" s="935"/>
      <c r="BY1159" s="935"/>
      <c r="BZ1159" s="935"/>
      <c r="CA1159" s="935"/>
      <c r="CB1159" s="935"/>
      <c r="CC1159" s="935"/>
      <c r="CD1159" s="935"/>
      <c r="CE1159" s="935"/>
      <c r="CF1159" s="935"/>
      <c r="CG1159" s="935"/>
      <c r="CH1159" s="935"/>
      <c r="CI1159" s="935"/>
      <c r="CJ1159" s="935"/>
      <c r="CK1159" s="935"/>
      <c r="CL1159" s="935"/>
      <c r="CM1159" s="935"/>
      <c r="CN1159" s="935"/>
      <c r="CO1159" s="935"/>
      <c r="CP1159" s="935"/>
      <c r="CQ1159" s="935"/>
      <c r="CR1159" s="935"/>
      <c r="CS1159" s="935"/>
      <c r="CT1159" s="935"/>
      <c r="CU1159" s="935"/>
      <c r="CV1159" s="935"/>
    </row>
    <row r="1160" spans="1:104" s="441" customFormat="1">
      <c r="A1160" s="375">
        <f t="shared" si="324"/>
        <v>11</v>
      </c>
      <c r="B1160" s="862">
        <v>44509</v>
      </c>
      <c r="C1160" s="493" t="s">
        <v>2001</v>
      </c>
      <c r="D1160" s="376" t="str">
        <f>IFERROR(VLOOKUP(E:E,'Item Data Support Sheet'!A:O,7,0),"")</f>
        <v>BOTTLE PRINTED</v>
      </c>
      <c r="E1160" s="447" t="s">
        <v>116</v>
      </c>
      <c r="F1160" s="500"/>
      <c r="G1160" s="497" t="s">
        <v>1698</v>
      </c>
      <c r="H1160" s="602" t="str">
        <f>IFERROR(VLOOKUP(E:E,'Item Data Support Sheet'!A:O,2,0),"")</f>
        <v>KPP BOTTLE 240 ML PRINTED-WMG3B</v>
      </c>
      <c r="I1160" s="501" t="s">
        <v>3933</v>
      </c>
      <c r="J1160" s="501" t="s">
        <v>2812</v>
      </c>
      <c r="K1160" s="499">
        <v>8</v>
      </c>
      <c r="L1160" s="499">
        <v>5134</v>
      </c>
      <c r="M1160" s="366">
        <v>641.75</v>
      </c>
      <c r="N1160" s="367">
        <f t="shared" si="323"/>
        <v>3870</v>
      </c>
      <c r="O1160" s="61">
        <v>3769</v>
      </c>
      <c r="P1160" s="368">
        <v>0</v>
      </c>
      <c r="Q1160" s="368">
        <v>0</v>
      </c>
      <c r="R1160" s="494">
        <v>44</v>
      </c>
      <c r="S1160" s="493">
        <v>0</v>
      </c>
      <c r="T1160" s="494">
        <v>101</v>
      </c>
      <c r="U1160" s="493">
        <v>0</v>
      </c>
      <c r="V1160" s="502">
        <v>4</v>
      </c>
      <c r="W1160" s="453">
        <f t="shared" si="325"/>
        <v>942.25</v>
      </c>
      <c r="X1160" s="748">
        <f t="shared" si="326"/>
        <v>0.73412543825477206</v>
      </c>
      <c r="Y1160" s="451" t="str">
        <f>IFERROR(VLOOKUP(E:E,'Item Data Support Sheet'!A:J,6,0),0)</f>
        <v>FO044</v>
      </c>
      <c r="Z1160" s="428">
        <f>IFERROR(VLOOKUP(E:E,'Item Data Support Sheet'!A:O,4,0),0)</f>
        <v>0</v>
      </c>
      <c r="AA1160" s="428">
        <f t="shared" si="327"/>
        <v>0</v>
      </c>
      <c r="AB1160" s="429" t="str">
        <f t="shared" si="328"/>
        <v xml:space="preserve"> </v>
      </c>
      <c r="AC1160" s="424">
        <f t="shared" si="329"/>
        <v>2.6098191214470285E-2</v>
      </c>
      <c r="AD1160" s="371">
        <f t="shared" si="330"/>
        <v>0</v>
      </c>
      <c r="AE1160" s="748">
        <f t="shared" si="331"/>
        <v>0.97390180878552968</v>
      </c>
      <c r="AF1160" s="417">
        <f t="shared" si="332"/>
        <v>0</v>
      </c>
      <c r="AG1160" s="416">
        <f t="shared" si="333"/>
        <v>8</v>
      </c>
      <c r="AH1160" s="372">
        <f t="shared" si="334"/>
        <v>1</v>
      </c>
      <c r="AI1160" s="373">
        <f t="shared" si="335"/>
        <v>471.125</v>
      </c>
      <c r="AJ1160" s="418">
        <f>VLOOKUP(D1160,'Standard Cycle time'!C:D,2,0)</f>
        <v>32.4</v>
      </c>
      <c r="AK1160" s="418">
        <f t="shared" si="336"/>
        <v>30.565136641018839</v>
      </c>
      <c r="AL1160" s="374">
        <f t="shared" si="337"/>
        <v>1.06003125</v>
      </c>
      <c r="AM1160" s="372">
        <f t="shared" si="338"/>
        <v>1.0323663517441859</v>
      </c>
      <c r="AN1160" s="799">
        <v>1.0323663517441859</v>
      </c>
      <c r="AO1160" s="448"/>
      <c r="AP1160" s="440"/>
      <c r="AQ1160" s="440"/>
      <c r="AR1160" s="440"/>
      <c r="AS1160" s="440"/>
      <c r="AT1160" s="440"/>
      <c r="AU1160" s="440"/>
      <c r="AV1160" s="440"/>
      <c r="AW1160" s="440"/>
      <c r="AX1160" s="440"/>
      <c r="AY1160" s="440"/>
      <c r="AZ1160" s="440"/>
      <c r="BA1160" s="440"/>
      <c r="BB1160" s="440"/>
      <c r="BC1160" s="440"/>
      <c r="BD1160" s="440"/>
      <c r="BE1160" s="440"/>
      <c r="BF1160" s="440"/>
      <c r="BG1160" s="440"/>
      <c r="BH1160" s="440"/>
      <c r="BI1160" s="440"/>
      <c r="BJ1160" s="440"/>
      <c r="BK1160" s="440"/>
      <c r="BL1160" s="440"/>
      <c r="BM1160" s="440"/>
      <c r="BN1160" s="440"/>
      <c r="BO1160" s="440"/>
      <c r="BP1160" s="440"/>
      <c r="BQ1160" s="440"/>
      <c r="BR1160" s="415"/>
      <c r="BS1160" s="415"/>
      <c r="BT1160" s="935"/>
      <c r="BU1160" s="935"/>
      <c r="BV1160" s="935"/>
      <c r="BW1160" s="935"/>
      <c r="BX1160" s="935"/>
      <c r="BY1160" s="935"/>
      <c r="BZ1160" s="935"/>
      <c r="CA1160" s="935"/>
      <c r="CB1160" s="935"/>
      <c r="CC1160" s="935"/>
      <c r="CD1160" s="935"/>
      <c r="CE1160" s="935"/>
      <c r="CF1160" s="935"/>
      <c r="CG1160" s="935"/>
      <c r="CH1160" s="935"/>
      <c r="CI1160" s="935"/>
      <c r="CJ1160" s="935"/>
      <c r="CK1160" s="935"/>
      <c r="CL1160" s="935"/>
      <c r="CM1160" s="935"/>
      <c r="CN1160" s="935"/>
      <c r="CO1160" s="935"/>
      <c r="CP1160" s="935"/>
      <c r="CQ1160" s="935"/>
      <c r="CR1160" s="935"/>
      <c r="CS1160" s="935"/>
      <c r="CT1160" s="935"/>
      <c r="CU1160" s="935"/>
      <c r="CV1160" s="935"/>
    </row>
    <row r="1161" spans="1:104" s="441" customFormat="1">
      <c r="A1161" s="375">
        <f t="shared" si="324"/>
        <v>11</v>
      </c>
      <c r="B1161" s="862">
        <v>44509</v>
      </c>
      <c r="C1161" s="493" t="s">
        <v>2001</v>
      </c>
      <c r="D1161" s="376" t="str">
        <f>IFERROR(VLOOKUP(E:E,'Item Data Support Sheet'!A:O,7,0),"")</f>
        <v>BOTTLE MOLDED</v>
      </c>
      <c r="E1161" s="447" t="s">
        <v>14</v>
      </c>
      <c r="F1161" s="500" t="s">
        <v>1681</v>
      </c>
      <c r="G1161" s="497" t="s">
        <v>1888</v>
      </c>
      <c r="H1161" s="602" t="str">
        <f>IFERROR(VLOOKUP(E:E,'Item Data Support Sheet'!A:O,2,0),"")</f>
        <v>KPP 240 ML BOTTLE MOLDED</v>
      </c>
      <c r="I1161" s="501" t="s">
        <v>3934</v>
      </c>
      <c r="J1161" s="501" t="s">
        <v>2812</v>
      </c>
      <c r="K1161" s="499">
        <v>8</v>
      </c>
      <c r="L1161" s="499">
        <v>2574</v>
      </c>
      <c r="M1161" s="366">
        <v>321.75</v>
      </c>
      <c r="N1161" s="367">
        <f t="shared" si="323"/>
        <v>3231</v>
      </c>
      <c r="O1161" s="61">
        <v>3132</v>
      </c>
      <c r="P1161" s="368">
        <v>0</v>
      </c>
      <c r="Q1161" s="368">
        <v>24</v>
      </c>
      <c r="R1161" s="494">
        <v>0</v>
      </c>
      <c r="S1161" s="493">
        <v>0</v>
      </c>
      <c r="T1161" s="494">
        <v>75</v>
      </c>
      <c r="U1161" s="493">
        <v>0</v>
      </c>
      <c r="V1161" s="502">
        <v>1</v>
      </c>
      <c r="W1161" s="453">
        <f t="shared" si="325"/>
        <v>3132</v>
      </c>
      <c r="X1161" s="748">
        <f t="shared" si="326"/>
        <v>1.2167832167832169</v>
      </c>
      <c r="Y1161" s="451" t="str">
        <f>IFERROR(VLOOKUP(E:E,'Item Data Support Sheet'!A:J,6,0),0)</f>
        <v>HMC</v>
      </c>
      <c r="Z1161" s="428">
        <f>IFERROR(VLOOKUP(E:E,'Item Data Support Sheet'!A:O,4,0),0)</f>
        <v>32.1</v>
      </c>
      <c r="AA1161" s="428">
        <f t="shared" si="327"/>
        <v>103.71510000000001</v>
      </c>
      <c r="AB1161" s="429">
        <f t="shared" si="328"/>
        <v>0.96935933147632314</v>
      </c>
      <c r="AC1161" s="424">
        <f t="shared" si="329"/>
        <v>2.3386342376052385E-2</v>
      </c>
      <c r="AD1161" s="371">
        <f t="shared" si="330"/>
        <v>7.3732718894009217E-3</v>
      </c>
      <c r="AE1161" s="748">
        <f t="shared" si="331"/>
        <v>0.9767873723305478</v>
      </c>
      <c r="AF1161" s="417">
        <f t="shared" si="332"/>
        <v>0</v>
      </c>
      <c r="AG1161" s="416">
        <f t="shared" si="333"/>
        <v>8</v>
      </c>
      <c r="AH1161" s="372">
        <f t="shared" si="334"/>
        <v>1</v>
      </c>
      <c r="AI1161" s="373">
        <f t="shared" si="335"/>
        <v>391.5</v>
      </c>
      <c r="AJ1161" s="418">
        <f>VLOOKUP(D1161,'Standard Cycle time'!C:D,2,0)</f>
        <v>9</v>
      </c>
      <c r="AK1161" s="418">
        <f t="shared" si="336"/>
        <v>9.1954022988505741</v>
      </c>
      <c r="AL1161" s="374">
        <f t="shared" si="337"/>
        <v>0.97875000000000001</v>
      </c>
      <c r="AM1161" s="372">
        <f t="shared" si="338"/>
        <v>0.95603064066852361</v>
      </c>
      <c r="AN1161" s="799">
        <v>0.95603064066852361</v>
      </c>
      <c r="AO1161" s="448" t="s">
        <v>2914</v>
      </c>
      <c r="AP1161" s="440">
        <v>0</v>
      </c>
      <c r="AQ1161" s="440">
        <v>0</v>
      </c>
      <c r="AR1161" s="440">
        <v>0</v>
      </c>
      <c r="AS1161" s="440">
        <v>0</v>
      </c>
      <c r="AT1161" s="440">
        <v>0</v>
      </c>
      <c r="AU1161" s="440">
        <v>0</v>
      </c>
      <c r="AV1161" s="440">
        <v>0</v>
      </c>
      <c r="AW1161" s="440">
        <v>0</v>
      </c>
      <c r="AX1161" s="440">
        <v>0</v>
      </c>
      <c r="AY1161" s="440">
        <v>0</v>
      </c>
      <c r="AZ1161" s="440">
        <v>0</v>
      </c>
      <c r="BA1161" s="440">
        <v>0</v>
      </c>
      <c r="BB1161" s="440">
        <v>0</v>
      </c>
      <c r="BC1161" s="440">
        <v>0</v>
      </c>
      <c r="BD1161" s="440">
        <v>0</v>
      </c>
      <c r="BE1161" s="440">
        <v>0</v>
      </c>
      <c r="BF1161" s="440">
        <v>0</v>
      </c>
      <c r="BG1161" s="440">
        <v>0</v>
      </c>
      <c r="BH1161" s="440">
        <v>0</v>
      </c>
      <c r="BI1161" s="440">
        <v>0</v>
      </c>
      <c r="BJ1161" s="440">
        <v>0</v>
      </c>
      <c r="BK1161" s="440">
        <v>0</v>
      </c>
      <c r="BL1161" s="440">
        <v>0</v>
      </c>
      <c r="BM1161" s="440">
        <v>0</v>
      </c>
      <c r="BN1161" s="440">
        <v>0</v>
      </c>
      <c r="BO1161" s="440">
        <v>0</v>
      </c>
      <c r="BP1161" s="440">
        <v>0</v>
      </c>
      <c r="BQ1161" s="440">
        <v>0</v>
      </c>
      <c r="BR1161" s="415">
        <v>0</v>
      </c>
      <c r="BS1161" s="415">
        <v>0</v>
      </c>
      <c r="BT1161" s="935"/>
      <c r="BU1161" s="935"/>
      <c r="BV1161" s="935"/>
      <c r="BW1161" s="935"/>
      <c r="BX1161" s="935"/>
      <c r="BY1161" s="935"/>
      <c r="BZ1161" s="935"/>
      <c r="CA1161" s="935"/>
      <c r="CB1161" s="935"/>
      <c r="CC1161" s="935"/>
      <c r="CD1161" s="935"/>
      <c r="CE1161" s="935"/>
      <c r="CF1161" s="935"/>
      <c r="CG1161" s="935"/>
      <c r="CH1161" s="935"/>
      <c r="CI1161" s="935"/>
      <c r="CJ1161" s="935"/>
      <c r="CK1161" s="935"/>
      <c r="CL1161" s="935"/>
      <c r="CM1161" s="935"/>
      <c r="CN1161" s="935"/>
      <c r="CO1161" s="935"/>
      <c r="CP1161" s="935"/>
      <c r="CQ1161" s="935"/>
      <c r="CR1161" s="935"/>
      <c r="CS1161" s="935"/>
      <c r="CT1161" s="935"/>
      <c r="CU1161" s="935"/>
      <c r="CV1161" s="935"/>
    </row>
    <row r="1162" spans="1:104" s="441" customFormat="1">
      <c r="A1162" s="375">
        <f t="shared" si="324"/>
        <v>11</v>
      </c>
      <c r="B1162" s="862">
        <v>44509</v>
      </c>
      <c r="C1162" s="493" t="s">
        <v>2053</v>
      </c>
      <c r="D1162" s="376" t="str">
        <f>IFERROR(VLOOKUP(E:E,'Item Data Support Sheet'!A:O,7,0),"")</f>
        <v>HOOD MOLDED</v>
      </c>
      <c r="E1162" s="447" t="s">
        <v>1987</v>
      </c>
      <c r="F1162" s="500"/>
      <c r="G1162" s="497" t="s">
        <v>2729</v>
      </c>
      <c r="H1162" s="602" t="str">
        <f>IFERROR(VLOOKUP(E:E,'Item Data Support Sheet'!A:O,2,0),"")</f>
        <v>HOOD S TYPE MOLDED</v>
      </c>
      <c r="I1162" s="501" t="s">
        <v>3935</v>
      </c>
      <c r="J1162" s="501" t="s">
        <v>3895</v>
      </c>
      <c r="K1162" s="499">
        <v>8</v>
      </c>
      <c r="L1162" s="499">
        <v>4137</v>
      </c>
      <c r="M1162" s="366">
        <v>517.125</v>
      </c>
      <c r="N1162" s="367">
        <f t="shared" si="323"/>
        <v>4614</v>
      </c>
      <c r="O1162" s="61">
        <v>4600</v>
      </c>
      <c r="P1162" s="368">
        <v>0</v>
      </c>
      <c r="Q1162" s="368">
        <v>0</v>
      </c>
      <c r="R1162" s="494">
        <v>0</v>
      </c>
      <c r="S1162" s="493">
        <v>0</v>
      </c>
      <c r="T1162" s="494">
        <v>6</v>
      </c>
      <c r="U1162" s="493">
        <v>8</v>
      </c>
      <c r="V1162" s="502">
        <v>1</v>
      </c>
      <c r="W1162" s="453">
        <f t="shared" si="325"/>
        <v>4600</v>
      </c>
      <c r="X1162" s="748">
        <f t="shared" si="326"/>
        <v>1.111916847957457</v>
      </c>
      <c r="Y1162" s="451" t="str">
        <f>IFERROR(VLOOKUP(E:E,'Item Data Support Sheet'!A:J,6,0),0)</f>
        <v>HMC</v>
      </c>
      <c r="Z1162" s="428">
        <f>IFERROR(VLOOKUP(E:E,'Item Data Support Sheet'!A:O,4,0),0)</f>
        <v>8.6</v>
      </c>
      <c r="AA1162" s="428">
        <f t="shared" si="327"/>
        <v>39.680399999999999</v>
      </c>
      <c r="AB1162" s="429">
        <f t="shared" si="328"/>
        <v>0.99696575639358487</v>
      </c>
      <c r="AC1162" s="424">
        <f t="shared" si="329"/>
        <v>1.3026487190620929E-3</v>
      </c>
      <c r="AD1162" s="371">
        <f t="shared" si="330"/>
        <v>0</v>
      </c>
      <c r="AE1162" s="748">
        <f t="shared" si="331"/>
        <v>0.99869960988296491</v>
      </c>
      <c r="AF1162" s="417">
        <f t="shared" si="332"/>
        <v>0</v>
      </c>
      <c r="AG1162" s="416">
        <f t="shared" si="333"/>
        <v>8</v>
      </c>
      <c r="AH1162" s="372">
        <f t="shared" si="334"/>
        <v>1</v>
      </c>
      <c r="AI1162" s="373">
        <f t="shared" si="335"/>
        <v>575</v>
      </c>
      <c r="AJ1162" s="418">
        <f>VLOOKUP(D1162,'Standard Cycle time'!C:D,2,0)</f>
        <v>6</v>
      </c>
      <c r="AK1162" s="418">
        <f t="shared" si="336"/>
        <v>6.2608695652173916</v>
      </c>
      <c r="AL1162" s="374">
        <f t="shared" si="337"/>
        <v>0.95833333333333326</v>
      </c>
      <c r="AM1162" s="372">
        <f t="shared" si="338"/>
        <v>0.9570871261378413</v>
      </c>
      <c r="AN1162" s="799">
        <v>0.9570871261378413</v>
      </c>
      <c r="AO1162" s="448"/>
      <c r="AP1162" s="440">
        <v>0</v>
      </c>
      <c r="AQ1162" s="440">
        <v>0</v>
      </c>
      <c r="AR1162" s="440">
        <v>0</v>
      </c>
      <c r="AS1162" s="440">
        <v>0</v>
      </c>
      <c r="AT1162" s="440">
        <v>0</v>
      </c>
      <c r="AU1162" s="440">
        <v>0</v>
      </c>
      <c r="AV1162" s="440">
        <v>0</v>
      </c>
      <c r="AW1162" s="440">
        <v>0</v>
      </c>
      <c r="AX1162" s="440">
        <v>0</v>
      </c>
      <c r="AY1162" s="440">
        <v>0</v>
      </c>
      <c r="AZ1162" s="440">
        <v>0</v>
      </c>
      <c r="BA1162" s="440">
        <v>0</v>
      </c>
      <c r="BB1162" s="440">
        <v>0</v>
      </c>
      <c r="BC1162" s="440">
        <v>0</v>
      </c>
      <c r="BD1162" s="440">
        <v>0</v>
      </c>
      <c r="BE1162" s="440">
        <v>0</v>
      </c>
      <c r="BF1162" s="440">
        <v>0</v>
      </c>
      <c r="BG1162" s="440">
        <v>0</v>
      </c>
      <c r="BH1162" s="440">
        <v>0</v>
      </c>
      <c r="BI1162" s="440">
        <v>0</v>
      </c>
      <c r="BJ1162" s="440">
        <v>0</v>
      </c>
      <c r="BK1162" s="440">
        <v>0</v>
      </c>
      <c r="BL1162" s="440">
        <v>0</v>
      </c>
      <c r="BM1162" s="440">
        <v>0</v>
      </c>
      <c r="BN1162" s="440">
        <v>0</v>
      </c>
      <c r="BO1162" s="440">
        <v>0</v>
      </c>
      <c r="BP1162" s="440">
        <v>0</v>
      </c>
      <c r="BQ1162" s="440">
        <v>0</v>
      </c>
      <c r="BR1162" s="415">
        <v>0</v>
      </c>
      <c r="BS1162" s="415">
        <v>0</v>
      </c>
      <c r="BT1162" s="935"/>
      <c r="BU1162" s="935"/>
      <c r="BV1162" s="935"/>
      <c r="BW1162" s="935"/>
      <c r="BX1162" s="935"/>
      <c r="BY1162" s="935"/>
      <c r="BZ1162" s="935"/>
      <c r="CA1162" s="935"/>
      <c r="CB1162" s="935"/>
      <c r="CC1162" s="935"/>
      <c r="CD1162" s="935"/>
      <c r="CE1162" s="935"/>
      <c r="CF1162" s="935"/>
      <c r="CG1162" s="935"/>
      <c r="CH1162" s="935"/>
      <c r="CI1162" s="935"/>
      <c r="CJ1162" s="935"/>
      <c r="CK1162" s="935"/>
      <c r="CL1162" s="935"/>
      <c r="CM1162" s="935"/>
      <c r="CN1162" s="935"/>
      <c r="CO1162" s="935"/>
      <c r="CP1162" s="935"/>
      <c r="CQ1162" s="935"/>
      <c r="CR1162" s="935"/>
      <c r="CS1162" s="935"/>
      <c r="CT1162" s="935"/>
      <c r="CU1162" s="935"/>
      <c r="CV1162" s="935"/>
    </row>
    <row r="1163" spans="1:104" s="441" customFormat="1">
      <c r="A1163" s="375">
        <f t="shared" si="324"/>
        <v>11</v>
      </c>
      <c r="B1163" s="862">
        <v>44509</v>
      </c>
      <c r="C1163" s="493" t="s">
        <v>2053</v>
      </c>
      <c r="D1163" s="376" t="str">
        <f>IFERROR(VLOOKUP(E:E,'Item Data Support Sheet'!A:O,7,0),"")</f>
        <v>BOTTLE MOLDED</v>
      </c>
      <c r="E1163" s="447" t="s">
        <v>14</v>
      </c>
      <c r="F1163" s="500" t="s">
        <v>1681</v>
      </c>
      <c r="G1163" s="497" t="s">
        <v>1888</v>
      </c>
      <c r="H1163" s="602" t="str">
        <f>IFERROR(VLOOKUP(E:E,'Item Data Support Sheet'!A:O,2,0),"")</f>
        <v>KPP 240 ML BOTTLE MOLDED</v>
      </c>
      <c r="I1163" s="501" t="s">
        <v>3936</v>
      </c>
      <c r="J1163" s="501" t="s">
        <v>3895</v>
      </c>
      <c r="K1163" s="499">
        <v>8</v>
      </c>
      <c r="L1163" s="499">
        <v>2574</v>
      </c>
      <c r="M1163" s="366">
        <v>321.75</v>
      </c>
      <c r="N1163" s="367">
        <f t="shared" si="323"/>
        <v>3358</v>
      </c>
      <c r="O1163" s="61">
        <v>3240</v>
      </c>
      <c r="P1163" s="368">
        <v>0.2</v>
      </c>
      <c r="Q1163" s="368">
        <v>45</v>
      </c>
      <c r="R1163" s="494">
        <v>0</v>
      </c>
      <c r="S1163" s="493">
        <v>0</v>
      </c>
      <c r="T1163" s="494">
        <v>65</v>
      </c>
      <c r="U1163" s="493">
        <v>8</v>
      </c>
      <c r="V1163" s="502">
        <v>1</v>
      </c>
      <c r="W1163" s="453">
        <f t="shared" si="325"/>
        <v>3240</v>
      </c>
      <c r="X1163" s="748">
        <f t="shared" si="326"/>
        <v>1.2587412587412588</v>
      </c>
      <c r="Y1163" s="451" t="str">
        <f>IFERROR(VLOOKUP(E:E,'Item Data Support Sheet'!A:J,6,0),0)</f>
        <v>HMC</v>
      </c>
      <c r="Z1163" s="428">
        <f>IFERROR(VLOOKUP(E:E,'Item Data Support Sheet'!A:O,4,0),0)</f>
        <v>32.1</v>
      </c>
      <c r="AA1163" s="428">
        <f t="shared" si="327"/>
        <v>107.99180000000001</v>
      </c>
      <c r="AB1163" s="429">
        <f t="shared" si="328"/>
        <v>0.9630731222185388</v>
      </c>
      <c r="AC1163" s="424">
        <f t="shared" si="329"/>
        <v>1.9667170953101363E-2</v>
      </c>
      <c r="AD1163" s="371">
        <f t="shared" si="330"/>
        <v>1.3223626212165737E-2</v>
      </c>
      <c r="AE1163" s="748">
        <f t="shared" si="331"/>
        <v>0.98064324002382375</v>
      </c>
      <c r="AF1163" s="417">
        <f t="shared" si="332"/>
        <v>0</v>
      </c>
      <c r="AG1163" s="416">
        <f t="shared" si="333"/>
        <v>8</v>
      </c>
      <c r="AH1163" s="372">
        <f t="shared" si="334"/>
        <v>1</v>
      </c>
      <c r="AI1163" s="373">
        <f t="shared" si="335"/>
        <v>405</v>
      </c>
      <c r="AJ1163" s="418">
        <f>VLOOKUP(D1163,'Standard Cycle time'!C:D,2,0)</f>
        <v>9</v>
      </c>
      <c r="AK1163" s="418">
        <f t="shared" si="336"/>
        <v>8.8888888888888893</v>
      </c>
      <c r="AL1163" s="374">
        <f t="shared" si="337"/>
        <v>1.0125</v>
      </c>
      <c r="AM1163" s="372">
        <f t="shared" si="338"/>
        <v>0.99290128052412152</v>
      </c>
      <c r="AN1163" s="799">
        <v>0.99290128052412152</v>
      </c>
      <c r="AO1163" s="448"/>
      <c r="AP1163" s="440">
        <v>0</v>
      </c>
      <c r="AQ1163" s="440">
        <v>0</v>
      </c>
      <c r="AR1163" s="440">
        <v>0</v>
      </c>
      <c r="AS1163" s="440">
        <v>0</v>
      </c>
      <c r="AT1163" s="440">
        <v>0</v>
      </c>
      <c r="AU1163" s="440">
        <v>0</v>
      </c>
      <c r="AV1163" s="440">
        <v>0</v>
      </c>
      <c r="AW1163" s="440">
        <v>0</v>
      </c>
      <c r="AX1163" s="440">
        <v>0</v>
      </c>
      <c r="AY1163" s="440">
        <v>0</v>
      </c>
      <c r="AZ1163" s="440">
        <v>0</v>
      </c>
      <c r="BA1163" s="440">
        <v>0</v>
      </c>
      <c r="BB1163" s="440">
        <v>0</v>
      </c>
      <c r="BC1163" s="440">
        <v>0</v>
      </c>
      <c r="BD1163" s="440">
        <v>0</v>
      </c>
      <c r="BE1163" s="440">
        <v>0</v>
      </c>
      <c r="BF1163" s="440">
        <v>0</v>
      </c>
      <c r="BG1163" s="440">
        <v>0</v>
      </c>
      <c r="BH1163" s="440">
        <v>0</v>
      </c>
      <c r="BI1163" s="440">
        <v>0</v>
      </c>
      <c r="BJ1163" s="440">
        <v>0</v>
      </c>
      <c r="BK1163" s="440">
        <v>0</v>
      </c>
      <c r="BL1163" s="440">
        <v>0</v>
      </c>
      <c r="BM1163" s="440">
        <v>0</v>
      </c>
      <c r="BN1163" s="440">
        <v>0</v>
      </c>
      <c r="BO1163" s="440">
        <v>0</v>
      </c>
      <c r="BP1163" s="440">
        <v>0</v>
      </c>
      <c r="BQ1163" s="440">
        <v>0</v>
      </c>
      <c r="BR1163" s="415">
        <v>0</v>
      </c>
      <c r="BS1163" s="415">
        <v>0</v>
      </c>
      <c r="BT1163" s="935"/>
      <c r="BU1163" s="935"/>
      <c r="BV1163" s="935"/>
      <c r="BW1163" s="935"/>
      <c r="BX1163" s="935"/>
      <c r="BY1163" s="935"/>
      <c r="BZ1163" s="935"/>
      <c r="CA1163" s="935"/>
      <c r="CB1163" s="935"/>
      <c r="CC1163" s="935"/>
      <c r="CD1163" s="935"/>
      <c r="CE1163" s="935"/>
      <c r="CF1163" s="935"/>
      <c r="CG1163" s="935"/>
      <c r="CH1163" s="935"/>
      <c r="CI1163" s="935"/>
      <c r="CJ1163" s="935"/>
      <c r="CK1163" s="935"/>
      <c r="CL1163" s="935"/>
      <c r="CM1163" s="935"/>
      <c r="CN1163" s="935"/>
      <c r="CO1163" s="935"/>
      <c r="CP1163" s="935"/>
      <c r="CQ1163" s="935"/>
      <c r="CR1163" s="935"/>
      <c r="CS1163" s="935"/>
      <c r="CT1163" s="935"/>
      <c r="CU1163" s="935"/>
      <c r="CV1163" s="935"/>
    </row>
    <row r="1164" spans="1:104" s="441" customFormat="1">
      <c r="A1164" s="375">
        <f t="shared" si="324"/>
        <v>11</v>
      </c>
      <c r="B1164" s="862">
        <v>44510</v>
      </c>
      <c r="C1164" s="493" t="s">
        <v>1980</v>
      </c>
      <c r="D1164" s="376" t="str">
        <f>IFERROR(VLOOKUP(E:E,'Item Data Support Sheet'!A:O,7,0),"")</f>
        <v>HOOD MOLDED</v>
      </c>
      <c r="E1164" s="447" t="s">
        <v>1987</v>
      </c>
      <c r="F1164" s="500"/>
      <c r="G1164" s="497" t="s">
        <v>2729</v>
      </c>
      <c r="H1164" s="602" t="str">
        <f>IFERROR(VLOOKUP(E:E,'Item Data Support Sheet'!A:O,2,0),"")</f>
        <v>HOOD S TYPE MOLDED</v>
      </c>
      <c r="I1164" s="501" t="s">
        <v>3937</v>
      </c>
      <c r="J1164" s="501" t="s">
        <v>2808</v>
      </c>
      <c r="K1164" s="499">
        <v>8</v>
      </c>
      <c r="L1164" s="499">
        <v>4137</v>
      </c>
      <c r="M1164" s="366">
        <v>517.125</v>
      </c>
      <c r="N1164" s="367">
        <f t="shared" si="323"/>
        <v>5013</v>
      </c>
      <c r="O1164" s="61">
        <v>5000</v>
      </c>
      <c r="P1164" s="368">
        <v>0</v>
      </c>
      <c r="Q1164" s="368">
        <v>0</v>
      </c>
      <c r="R1164" s="494">
        <v>0</v>
      </c>
      <c r="S1164" s="493">
        <v>0</v>
      </c>
      <c r="T1164" s="494">
        <v>5</v>
      </c>
      <c r="U1164" s="493">
        <v>8</v>
      </c>
      <c r="V1164" s="502">
        <v>1</v>
      </c>
      <c r="W1164" s="453">
        <f t="shared" si="325"/>
        <v>5000</v>
      </c>
      <c r="X1164" s="748">
        <f t="shared" si="326"/>
        <v>1.2086052695189751</v>
      </c>
      <c r="Y1164" s="451" t="str">
        <f>IFERROR(VLOOKUP(E:E,'Item Data Support Sheet'!A:J,6,0),0)</f>
        <v>HMC</v>
      </c>
      <c r="Z1164" s="428">
        <f>IFERROR(VLOOKUP(E:E,'Item Data Support Sheet'!A:O,4,0),0)</f>
        <v>8.6</v>
      </c>
      <c r="AA1164" s="428">
        <f t="shared" si="327"/>
        <v>43.111800000000002</v>
      </c>
      <c r="AB1164" s="429">
        <f t="shared" si="328"/>
        <v>0.99740674246957906</v>
      </c>
      <c r="AC1164" s="424">
        <f t="shared" si="329"/>
        <v>9.99000999000999E-4</v>
      </c>
      <c r="AD1164" s="371">
        <f t="shared" si="330"/>
        <v>0</v>
      </c>
      <c r="AE1164" s="748">
        <f t="shared" si="331"/>
        <v>0.99900259325753038</v>
      </c>
      <c r="AF1164" s="417">
        <f t="shared" si="332"/>
        <v>0</v>
      </c>
      <c r="AG1164" s="416">
        <f t="shared" si="333"/>
        <v>8</v>
      </c>
      <c r="AH1164" s="372">
        <f t="shared" si="334"/>
        <v>1</v>
      </c>
      <c r="AI1164" s="373">
        <f t="shared" si="335"/>
        <v>625</v>
      </c>
      <c r="AJ1164" s="418">
        <f>VLOOKUP(D1164,'Standard Cycle time'!C:D,2,0)</f>
        <v>6</v>
      </c>
      <c r="AK1164" s="418">
        <f t="shared" si="336"/>
        <v>5.76</v>
      </c>
      <c r="AL1164" s="374">
        <f t="shared" si="337"/>
        <v>1.0416666666666667</v>
      </c>
      <c r="AM1164" s="372">
        <f t="shared" si="338"/>
        <v>1.0406277013099277</v>
      </c>
      <c r="AN1164" s="799">
        <v>1.0406277013099277</v>
      </c>
      <c r="AO1164" s="448"/>
      <c r="AP1164" s="440">
        <v>0</v>
      </c>
      <c r="AQ1164" s="440">
        <v>0</v>
      </c>
      <c r="AR1164" s="440">
        <v>0</v>
      </c>
      <c r="AS1164" s="440">
        <v>0</v>
      </c>
      <c r="AT1164" s="440">
        <v>0</v>
      </c>
      <c r="AU1164" s="440">
        <v>0</v>
      </c>
      <c r="AV1164" s="440">
        <v>0</v>
      </c>
      <c r="AW1164" s="440">
        <v>0</v>
      </c>
      <c r="AX1164" s="440">
        <v>0</v>
      </c>
      <c r="AY1164" s="440">
        <v>0</v>
      </c>
      <c r="AZ1164" s="440">
        <v>0</v>
      </c>
      <c r="BA1164" s="440">
        <v>0</v>
      </c>
      <c r="BB1164" s="440">
        <v>0</v>
      </c>
      <c r="BC1164" s="440">
        <v>0</v>
      </c>
      <c r="BD1164" s="440">
        <v>0</v>
      </c>
      <c r="BE1164" s="440">
        <v>0</v>
      </c>
      <c r="BF1164" s="440">
        <v>0</v>
      </c>
      <c r="BG1164" s="440">
        <v>0</v>
      </c>
      <c r="BH1164" s="440">
        <v>0</v>
      </c>
      <c r="BI1164" s="440">
        <v>0</v>
      </c>
      <c r="BJ1164" s="440">
        <v>0</v>
      </c>
      <c r="BK1164" s="440">
        <v>0</v>
      </c>
      <c r="BL1164" s="440">
        <v>0</v>
      </c>
      <c r="BM1164" s="440">
        <v>0</v>
      </c>
      <c r="BN1164" s="440">
        <v>0</v>
      </c>
      <c r="BO1164" s="440">
        <v>0</v>
      </c>
      <c r="BP1164" s="440">
        <v>0</v>
      </c>
      <c r="BQ1164" s="440">
        <v>0</v>
      </c>
      <c r="BR1164" s="415">
        <v>0</v>
      </c>
      <c r="BS1164" s="415">
        <v>0</v>
      </c>
      <c r="BT1164" s="935"/>
      <c r="BU1164" s="935"/>
      <c r="BV1164" s="935"/>
      <c r="BW1164" s="935"/>
      <c r="BX1164" s="935"/>
      <c r="BY1164" s="935"/>
      <c r="BZ1164" s="935"/>
      <c r="CA1164" s="935"/>
      <c r="CB1164" s="935"/>
      <c r="CC1164" s="935"/>
      <c r="CD1164" s="935"/>
      <c r="CE1164" s="935"/>
      <c r="CF1164" s="935"/>
      <c r="CG1164" s="935"/>
      <c r="CH1164" s="935"/>
      <c r="CI1164" s="935"/>
      <c r="CJ1164" s="935"/>
      <c r="CK1164" s="935"/>
      <c r="CL1164" s="935"/>
      <c r="CM1164" s="935"/>
      <c r="CN1164" s="935"/>
      <c r="CO1164" s="935"/>
      <c r="CP1164" s="935"/>
      <c r="CQ1164" s="935"/>
      <c r="CR1164" s="935"/>
      <c r="CS1164" s="935"/>
      <c r="CT1164" s="935"/>
      <c r="CU1164" s="935"/>
      <c r="CV1164" s="935"/>
    </row>
    <row r="1165" spans="1:104" s="441" customFormat="1">
      <c r="A1165" s="375">
        <f t="shared" si="324"/>
        <v>11</v>
      </c>
      <c r="B1165" s="862">
        <v>44510</v>
      </c>
      <c r="C1165" s="493" t="s">
        <v>1980</v>
      </c>
      <c r="D1165" s="376" t="str">
        <f>IFERROR(VLOOKUP(E:E,'Item Data Support Sheet'!A:O,7,0),"")</f>
        <v>BOTTLE MOLDED</v>
      </c>
      <c r="E1165" s="447" t="s">
        <v>14</v>
      </c>
      <c r="F1165" s="500" t="s">
        <v>1681</v>
      </c>
      <c r="G1165" s="497" t="s">
        <v>1888</v>
      </c>
      <c r="H1165" s="602" t="str">
        <f>IFERROR(VLOOKUP(E:E,'Item Data Support Sheet'!A:O,2,0),"")</f>
        <v>KPP 240 ML BOTTLE MOLDED</v>
      </c>
      <c r="I1165" s="501" t="s">
        <v>3938</v>
      </c>
      <c r="J1165" s="501" t="s">
        <v>2808</v>
      </c>
      <c r="K1165" s="499">
        <v>8</v>
      </c>
      <c r="L1165" s="499">
        <v>2574</v>
      </c>
      <c r="M1165" s="366">
        <v>321.75</v>
      </c>
      <c r="N1165" s="367">
        <f t="shared" si="323"/>
        <v>3214</v>
      </c>
      <c r="O1165" s="61">
        <v>3132</v>
      </c>
      <c r="P1165" s="368">
        <v>0.1</v>
      </c>
      <c r="Q1165" s="368">
        <v>34</v>
      </c>
      <c r="R1165" s="494">
        <v>0</v>
      </c>
      <c r="S1165" s="493">
        <v>0</v>
      </c>
      <c r="T1165" s="494">
        <v>40</v>
      </c>
      <c r="U1165" s="493">
        <v>8</v>
      </c>
      <c r="V1165" s="502">
        <v>1</v>
      </c>
      <c r="W1165" s="453">
        <f t="shared" si="325"/>
        <v>3132</v>
      </c>
      <c r="X1165" s="748">
        <f t="shared" si="326"/>
        <v>1.2167832167832169</v>
      </c>
      <c r="Y1165" s="451" t="str">
        <f>IFERROR(VLOOKUP(E:E,'Item Data Support Sheet'!A:J,6,0),0)</f>
        <v>HMC</v>
      </c>
      <c r="Z1165" s="428">
        <f>IFERROR(VLOOKUP(E:E,'Item Data Support Sheet'!A:O,4,0),0)</f>
        <v>32.1</v>
      </c>
      <c r="AA1165" s="428">
        <f t="shared" si="327"/>
        <v>103.2694</v>
      </c>
      <c r="AB1165" s="429">
        <f t="shared" si="328"/>
        <v>0.97354298562788211</v>
      </c>
      <c r="AC1165" s="424">
        <f t="shared" si="329"/>
        <v>1.2610340479192938E-2</v>
      </c>
      <c r="AD1165" s="371">
        <f t="shared" si="330"/>
        <v>1.0467980295566502E-2</v>
      </c>
      <c r="AE1165" s="748">
        <f t="shared" si="331"/>
        <v>0.98755444928438085</v>
      </c>
      <c r="AF1165" s="417">
        <f t="shared" si="332"/>
        <v>0</v>
      </c>
      <c r="AG1165" s="416">
        <f t="shared" si="333"/>
        <v>8</v>
      </c>
      <c r="AH1165" s="372">
        <f t="shared" si="334"/>
        <v>1</v>
      </c>
      <c r="AI1165" s="373">
        <f t="shared" si="335"/>
        <v>391.5</v>
      </c>
      <c r="AJ1165" s="418">
        <f>VLOOKUP(D1165,'Standard Cycle time'!C:D,2,0)</f>
        <v>9</v>
      </c>
      <c r="AK1165" s="418">
        <f t="shared" si="336"/>
        <v>9.1954022988505741</v>
      </c>
      <c r="AL1165" s="374">
        <f t="shared" si="337"/>
        <v>0.97875000000000001</v>
      </c>
      <c r="AM1165" s="372">
        <f t="shared" si="338"/>
        <v>0.96656891723708782</v>
      </c>
      <c r="AN1165" s="799">
        <v>0.96656891723708782</v>
      </c>
      <c r="AO1165" s="448"/>
      <c r="AP1165" s="440">
        <v>0</v>
      </c>
      <c r="AQ1165" s="440">
        <v>0</v>
      </c>
      <c r="AR1165" s="440">
        <v>0</v>
      </c>
      <c r="AS1165" s="440">
        <v>0</v>
      </c>
      <c r="AT1165" s="440">
        <v>0</v>
      </c>
      <c r="AU1165" s="440">
        <v>0</v>
      </c>
      <c r="AV1165" s="440">
        <v>0</v>
      </c>
      <c r="AW1165" s="440">
        <v>0</v>
      </c>
      <c r="AX1165" s="440">
        <v>0</v>
      </c>
      <c r="AY1165" s="440">
        <v>0</v>
      </c>
      <c r="AZ1165" s="440">
        <v>0</v>
      </c>
      <c r="BA1165" s="440">
        <v>0</v>
      </c>
      <c r="BB1165" s="440">
        <v>0</v>
      </c>
      <c r="BC1165" s="440">
        <v>0</v>
      </c>
      <c r="BD1165" s="440">
        <v>0</v>
      </c>
      <c r="BE1165" s="440">
        <v>0</v>
      </c>
      <c r="BF1165" s="440">
        <v>0</v>
      </c>
      <c r="BG1165" s="440">
        <v>0</v>
      </c>
      <c r="BH1165" s="440">
        <v>0</v>
      </c>
      <c r="BI1165" s="440">
        <v>0</v>
      </c>
      <c r="BJ1165" s="440">
        <v>0</v>
      </c>
      <c r="BK1165" s="440">
        <v>0</v>
      </c>
      <c r="BL1165" s="440">
        <v>0</v>
      </c>
      <c r="BM1165" s="440">
        <v>0</v>
      </c>
      <c r="BN1165" s="440">
        <v>0</v>
      </c>
      <c r="BO1165" s="440">
        <v>0</v>
      </c>
      <c r="BP1165" s="440">
        <v>0</v>
      </c>
      <c r="BQ1165" s="440">
        <v>0</v>
      </c>
      <c r="BR1165" s="415">
        <v>0</v>
      </c>
      <c r="BS1165" s="415">
        <v>0</v>
      </c>
      <c r="BT1165" s="935"/>
      <c r="BU1165" s="935"/>
      <c r="BV1165" s="935"/>
      <c r="BW1165" s="935"/>
      <c r="BX1165" s="935"/>
      <c r="BY1165" s="935"/>
      <c r="BZ1165" s="935"/>
      <c r="CA1165" s="935"/>
      <c r="CB1165" s="935"/>
      <c r="CC1165" s="935"/>
      <c r="CD1165" s="935"/>
      <c r="CE1165" s="935"/>
      <c r="CF1165" s="935"/>
      <c r="CG1165" s="935"/>
      <c r="CH1165" s="935"/>
      <c r="CI1165" s="935"/>
      <c r="CJ1165" s="935"/>
      <c r="CK1165" s="935"/>
      <c r="CL1165" s="935"/>
      <c r="CM1165" s="935"/>
      <c r="CN1165" s="935"/>
      <c r="CO1165" s="935"/>
      <c r="CP1165" s="935"/>
      <c r="CQ1165" s="935"/>
      <c r="CR1165" s="935"/>
      <c r="CS1165" s="935"/>
      <c r="CT1165" s="935"/>
      <c r="CU1165" s="935"/>
      <c r="CV1165" s="935"/>
    </row>
    <row r="1166" spans="1:104" s="441" customFormat="1">
      <c r="A1166" s="375">
        <f t="shared" si="324"/>
        <v>11</v>
      </c>
      <c r="B1166" s="862">
        <v>44510</v>
      </c>
      <c r="C1166" s="493" t="s">
        <v>1980</v>
      </c>
      <c r="D1166" s="376" t="str">
        <f>IFERROR(VLOOKUP(E:E,'Item Data Support Sheet'!A:O,7,0),"")</f>
        <v>NIPPLE PUNCH</v>
      </c>
      <c r="E1166" s="447" t="s">
        <v>80</v>
      </c>
      <c r="F1166" s="500"/>
      <c r="G1166" s="497" t="s">
        <v>1692</v>
      </c>
      <c r="H1166" s="602" t="str">
        <f>IFERROR(VLOOKUP(E:E,'Item Data Support Sheet'!A:O,2,0),"")</f>
        <v>NIPPLE S TYPE S SIZE PUNCHED</v>
      </c>
      <c r="I1166" s="501" t="s">
        <v>3939</v>
      </c>
      <c r="J1166" s="501" t="s">
        <v>2808</v>
      </c>
      <c r="K1166" s="499">
        <v>8</v>
      </c>
      <c r="L1166" s="499">
        <v>7000</v>
      </c>
      <c r="M1166" s="366">
        <v>875</v>
      </c>
      <c r="N1166" s="367">
        <f t="shared" si="323"/>
        <v>1310</v>
      </c>
      <c r="O1166" s="61">
        <v>1310</v>
      </c>
      <c r="P1166" s="368">
        <v>0</v>
      </c>
      <c r="Q1166" s="368">
        <v>0</v>
      </c>
      <c r="R1166" s="494">
        <v>0</v>
      </c>
      <c r="S1166" s="493">
        <v>0</v>
      </c>
      <c r="T1166" s="494">
        <v>0</v>
      </c>
      <c r="U1166" s="493">
        <v>0</v>
      </c>
      <c r="V1166" s="502">
        <v>1</v>
      </c>
      <c r="W1166" s="453">
        <f t="shared" si="325"/>
        <v>1310</v>
      </c>
      <c r="X1166" s="748">
        <f t="shared" si="326"/>
        <v>0.18714285714285714</v>
      </c>
      <c r="Y1166" s="451" t="str">
        <f>IFERROR(VLOOKUP(E:E,'Item Data Support Sheet'!A:J,6,0),0)</f>
        <v>FO015</v>
      </c>
      <c r="Z1166" s="428">
        <f>IFERROR(VLOOKUP(E:E,'Item Data Support Sheet'!A:O,4,0),0)</f>
        <v>0</v>
      </c>
      <c r="AA1166" s="428">
        <f t="shared" si="327"/>
        <v>0</v>
      </c>
      <c r="AB1166" s="429" t="str">
        <f t="shared" si="328"/>
        <v xml:space="preserve"> </v>
      </c>
      <c r="AC1166" s="424">
        <f t="shared" si="329"/>
        <v>0</v>
      </c>
      <c r="AD1166" s="371">
        <f t="shared" si="330"/>
        <v>0</v>
      </c>
      <c r="AE1166" s="748">
        <f t="shared" si="331"/>
        <v>1</v>
      </c>
      <c r="AF1166" s="417">
        <f t="shared" si="332"/>
        <v>6.666666666666667</v>
      </c>
      <c r="AG1166" s="416">
        <f t="shared" si="333"/>
        <v>1.333333333333333</v>
      </c>
      <c r="AH1166" s="372">
        <f t="shared" si="334"/>
        <v>0.16666666666666663</v>
      </c>
      <c r="AI1166" s="373">
        <f t="shared" si="335"/>
        <v>163.75</v>
      </c>
      <c r="AJ1166" s="418">
        <f>VLOOKUP(D1166,'Standard Cycle time'!C:D,2,0)</f>
        <v>3.5</v>
      </c>
      <c r="AK1166" s="418">
        <f t="shared" si="336"/>
        <v>3.6641221374045796</v>
      </c>
      <c r="AL1166" s="374">
        <f t="shared" si="337"/>
        <v>0.95520833333333344</v>
      </c>
      <c r="AM1166" s="372">
        <f t="shared" si="338"/>
        <v>0.15920138888888888</v>
      </c>
      <c r="AN1166" s="799">
        <v>0.15920138888888888</v>
      </c>
      <c r="AO1166" s="448" t="s">
        <v>2746</v>
      </c>
      <c r="AP1166" s="440">
        <v>30</v>
      </c>
      <c r="AQ1166" s="440">
        <v>0</v>
      </c>
      <c r="AR1166" s="440">
        <v>0</v>
      </c>
      <c r="AS1166" s="440">
        <v>0</v>
      </c>
      <c r="AT1166" s="440">
        <v>340</v>
      </c>
      <c r="AU1166" s="440">
        <v>0</v>
      </c>
      <c r="AV1166" s="440">
        <v>0</v>
      </c>
      <c r="AW1166" s="440">
        <v>0</v>
      </c>
      <c r="AX1166" s="440">
        <v>0</v>
      </c>
      <c r="AY1166" s="440">
        <v>0</v>
      </c>
      <c r="AZ1166" s="440">
        <v>0</v>
      </c>
      <c r="BA1166" s="440">
        <v>0</v>
      </c>
      <c r="BB1166" s="440">
        <v>0</v>
      </c>
      <c r="BC1166" s="440">
        <v>0</v>
      </c>
      <c r="BD1166" s="440">
        <v>0</v>
      </c>
      <c r="BE1166" s="440">
        <v>0</v>
      </c>
      <c r="BF1166" s="440">
        <v>0</v>
      </c>
      <c r="BG1166" s="440">
        <v>0</v>
      </c>
      <c r="BH1166" s="440">
        <v>0</v>
      </c>
      <c r="BI1166" s="440">
        <v>0</v>
      </c>
      <c r="BJ1166" s="440">
        <v>0</v>
      </c>
      <c r="BK1166" s="440">
        <v>0</v>
      </c>
      <c r="BL1166" s="440">
        <v>0</v>
      </c>
      <c r="BM1166" s="440">
        <v>0</v>
      </c>
      <c r="BN1166" s="440">
        <v>0</v>
      </c>
      <c r="BO1166" s="440">
        <v>0</v>
      </c>
      <c r="BP1166" s="440">
        <v>0</v>
      </c>
      <c r="BQ1166" s="440">
        <v>30</v>
      </c>
      <c r="BR1166" s="415">
        <v>6.666666666666667</v>
      </c>
      <c r="BS1166" s="415">
        <v>6.666666666666667</v>
      </c>
      <c r="BT1166" s="935"/>
      <c r="BU1166" s="935"/>
      <c r="BV1166" s="935"/>
      <c r="BW1166" s="935"/>
      <c r="BX1166" s="935"/>
      <c r="BY1166" s="935"/>
      <c r="BZ1166" s="935"/>
      <c r="CA1166" s="935"/>
      <c r="CB1166" s="935"/>
      <c r="CC1166" s="935"/>
      <c r="CD1166" s="935"/>
      <c r="CE1166" s="935"/>
      <c r="CF1166" s="935"/>
      <c r="CG1166" s="935"/>
      <c r="CH1166" s="935"/>
      <c r="CI1166" s="935"/>
      <c r="CJ1166" s="935"/>
      <c r="CK1166" s="935"/>
      <c r="CL1166" s="935"/>
      <c r="CM1166" s="935"/>
      <c r="CN1166" s="935"/>
      <c r="CO1166" s="935"/>
      <c r="CP1166" s="935"/>
      <c r="CQ1166" s="935"/>
      <c r="CR1166" s="935"/>
      <c r="CS1166" s="935"/>
      <c r="CT1166" s="935"/>
      <c r="CU1166" s="935"/>
      <c r="CV1166" s="935"/>
    </row>
    <row r="1167" spans="1:104" s="441" customFormat="1">
      <c r="A1167" s="375">
        <f t="shared" si="324"/>
        <v>11</v>
      </c>
      <c r="B1167" s="862">
        <v>44510</v>
      </c>
      <c r="C1167" s="493" t="s">
        <v>1980</v>
      </c>
      <c r="D1167" s="376" t="str">
        <f>IFERROR(VLOOKUP(E:E,'Item Data Support Sheet'!A:O,7,0),"")</f>
        <v>NIPPLE LASER MARKING</v>
      </c>
      <c r="E1167" s="447" t="s">
        <v>1814</v>
      </c>
      <c r="F1167" s="500"/>
      <c r="G1167" s="497" t="s">
        <v>1812</v>
      </c>
      <c r="H1167" s="602" t="str">
        <f>IFERROR(VLOOKUP(E:E,'Item Data Support Sheet'!A:O,2,0),"")</f>
        <v>NIPPLE S TYPE S SIZE PUNCHED LASER MARKED</v>
      </c>
      <c r="I1167" s="501" t="s">
        <v>3940</v>
      </c>
      <c r="J1167" s="501" t="s">
        <v>2808</v>
      </c>
      <c r="K1167" s="499">
        <v>8</v>
      </c>
      <c r="L1167" s="499">
        <v>7000</v>
      </c>
      <c r="M1167" s="366">
        <v>875</v>
      </c>
      <c r="N1167" s="367">
        <f t="shared" si="323"/>
        <v>5310</v>
      </c>
      <c r="O1167" s="61">
        <v>5310</v>
      </c>
      <c r="P1167" s="368">
        <v>0</v>
      </c>
      <c r="Q1167" s="368">
        <v>0</v>
      </c>
      <c r="R1167" s="494">
        <v>0</v>
      </c>
      <c r="S1167" s="493">
        <v>0</v>
      </c>
      <c r="T1167" s="494">
        <v>0</v>
      </c>
      <c r="U1167" s="493">
        <v>0</v>
      </c>
      <c r="V1167" s="502">
        <v>1</v>
      </c>
      <c r="W1167" s="453">
        <f t="shared" si="325"/>
        <v>5310</v>
      </c>
      <c r="X1167" s="748">
        <f t="shared" si="326"/>
        <v>0.75857142857142856</v>
      </c>
      <c r="Y1167" s="451" t="str">
        <f>IFERROR(VLOOKUP(E:E,'Item Data Support Sheet'!A:J,6,0),0)</f>
        <v>FO019</v>
      </c>
      <c r="Z1167" s="428">
        <f>IFERROR(VLOOKUP(E:E,'Item Data Support Sheet'!A:O,4,0),0)</f>
        <v>0</v>
      </c>
      <c r="AA1167" s="428">
        <f t="shared" si="327"/>
        <v>0</v>
      </c>
      <c r="AB1167" s="429" t="str">
        <f t="shared" si="328"/>
        <v xml:space="preserve"> </v>
      </c>
      <c r="AC1167" s="424">
        <f t="shared" si="329"/>
        <v>0</v>
      </c>
      <c r="AD1167" s="371">
        <f t="shared" si="330"/>
        <v>0</v>
      </c>
      <c r="AE1167" s="748">
        <f t="shared" si="331"/>
        <v>1</v>
      </c>
      <c r="AF1167" s="417">
        <f t="shared" si="332"/>
        <v>2</v>
      </c>
      <c r="AG1167" s="416">
        <f t="shared" si="333"/>
        <v>6</v>
      </c>
      <c r="AH1167" s="372">
        <f t="shared" si="334"/>
        <v>0.75</v>
      </c>
      <c r="AI1167" s="373">
        <f t="shared" si="335"/>
        <v>663.75</v>
      </c>
      <c r="AJ1167" s="418">
        <f>VLOOKUP(D1167,'Standard Cycle time'!C:D,2,0)</f>
        <v>3.5</v>
      </c>
      <c r="AK1167" s="418">
        <f t="shared" si="336"/>
        <v>4.0677966101694913</v>
      </c>
      <c r="AL1167" s="374">
        <f t="shared" si="337"/>
        <v>0.86041666666666672</v>
      </c>
      <c r="AM1167" s="372">
        <f t="shared" si="338"/>
        <v>0.64531250000000007</v>
      </c>
      <c r="AN1167" s="799">
        <v>0.64531250000000007</v>
      </c>
      <c r="AO1167" s="448" t="s">
        <v>2746</v>
      </c>
      <c r="AP1167" s="440">
        <v>30</v>
      </c>
      <c r="AQ1167" s="440">
        <v>0</v>
      </c>
      <c r="AR1167" s="440">
        <v>0</v>
      </c>
      <c r="AS1167" s="440">
        <v>0</v>
      </c>
      <c r="AT1167" s="440">
        <v>90</v>
      </c>
      <c r="AU1167" s="440">
        <v>0</v>
      </c>
      <c r="AV1167" s="440">
        <v>0</v>
      </c>
      <c r="AW1167" s="440">
        <v>0</v>
      </c>
      <c r="AX1167" s="440">
        <v>0</v>
      </c>
      <c r="AY1167" s="440">
        <v>0</v>
      </c>
      <c r="AZ1167" s="440">
        <v>0</v>
      </c>
      <c r="BA1167" s="440">
        <v>0</v>
      </c>
      <c r="BB1167" s="440">
        <v>0</v>
      </c>
      <c r="BC1167" s="440">
        <v>0</v>
      </c>
      <c r="BD1167" s="440">
        <v>0</v>
      </c>
      <c r="BE1167" s="440">
        <v>0</v>
      </c>
      <c r="BF1167" s="440">
        <v>0</v>
      </c>
      <c r="BG1167" s="440">
        <v>0</v>
      </c>
      <c r="BH1167" s="440">
        <v>0</v>
      </c>
      <c r="BI1167" s="440">
        <v>0</v>
      </c>
      <c r="BJ1167" s="440">
        <v>0</v>
      </c>
      <c r="BK1167" s="440">
        <v>0</v>
      </c>
      <c r="BL1167" s="440">
        <v>0</v>
      </c>
      <c r="BM1167" s="440">
        <v>0</v>
      </c>
      <c r="BN1167" s="440">
        <v>0</v>
      </c>
      <c r="BO1167" s="440">
        <v>0</v>
      </c>
      <c r="BP1167" s="440">
        <v>0</v>
      </c>
      <c r="BQ1167" s="440">
        <v>0</v>
      </c>
      <c r="BR1167" s="415">
        <v>2</v>
      </c>
      <c r="BS1167" s="415">
        <v>2</v>
      </c>
      <c r="BT1167" s="935"/>
      <c r="BU1167" s="935"/>
      <c r="BV1167" s="935"/>
      <c r="BW1167" s="935"/>
      <c r="BX1167" s="935"/>
      <c r="BY1167" s="935"/>
      <c r="BZ1167" s="935"/>
      <c r="CA1167" s="935"/>
      <c r="CB1167" s="935"/>
      <c r="CC1167" s="935"/>
      <c r="CD1167" s="935"/>
      <c r="CE1167" s="935"/>
      <c r="CF1167" s="935"/>
      <c r="CG1167" s="935"/>
      <c r="CH1167" s="935"/>
      <c r="CI1167" s="935"/>
      <c r="CJ1167" s="935"/>
      <c r="CK1167" s="935"/>
      <c r="CL1167" s="935"/>
      <c r="CM1167" s="935"/>
      <c r="CN1167" s="935"/>
      <c r="CO1167" s="935"/>
      <c r="CP1167" s="935"/>
      <c r="CQ1167" s="935"/>
      <c r="CR1167" s="935"/>
      <c r="CS1167" s="935"/>
      <c r="CT1167" s="935"/>
      <c r="CU1167" s="935"/>
      <c r="CV1167" s="935"/>
    </row>
    <row r="1168" spans="1:104" s="441" customFormat="1">
      <c r="A1168" s="375">
        <f t="shared" si="324"/>
        <v>11</v>
      </c>
      <c r="B1168" s="862">
        <v>44510</v>
      </c>
      <c r="C1168" s="493" t="s">
        <v>1980</v>
      </c>
      <c r="D1168" s="376" t="str">
        <f>IFERROR(VLOOKUP(E:E,'Item Data Support Sheet'!A:O,7,0),"")</f>
        <v>BOTTLE PRINTED</v>
      </c>
      <c r="E1168" s="447" t="s">
        <v>187</v>
      </c>
      <c r="F1168" s="500"/>
      <c r="G1168" s="497"/>
      <c r="H1168" s="602" t="str">
        <f>IFERROR(VLOOKUP(E:E,'Item Data Support Sheet'!A:O,2,0),"")</f>
        <v>KPP 240 BOTTLE PRINTED (WMG3B) W/O OZ &amp; W/BIS LOGO</v>
      </c>
      <c r="I1168" s="501" t="s">
        <v>3941</v>
      </c>
      <c r="J1168" s="501" t="s">
        <v>3942</v>
      </c>
      <c r="K1168" s="499">
        <v>8</v>
      </c>
      <c r="L1168" s="499">
        <v>5120</v>
      </c>
      <c r="M1168" s="366">
        <v>640</v>
      </c>
      <c r="N1168" s="367">
        <f t="shared" si="323"/>
        <v>1596</v>
      </c>
      <c r="O1168" s="61">
        <v>1566</v>
      </c>
      <c r="P1168" s="368">
        <v>0</v>
      </c>
      <c r="Q1168" s="368">
        <v>0</v>
      </c>
      <c r="R1168" s="494">
        <v>19</v>
      </c>
      <c r="S1168" s="493">
        <v>0</v>
      </c>
      <c r="T1168" s="494">
        <v>30</v>
      </c>
      <c r="U1168" s="493">
        <v>0</v>
      </c>
      <c r="V1168" s="502">
        <v>4.5</v>
      </c>
      <c r="W1168" s="453">
        <f t="shared" si="325"/>
        <v>348</v>
      </c>
      <c r="X1168" s="748">
        <f t="shared" si="326"/>
        <v>0.30585937499999999</v>
      </c>
      <c r="Y1168" s="451" t="str">
        <f>IFERROR(VLOOKUP(E:E,'Item Data Support Sheet'!A:J,6,0),0)</f>
        <v>FO044</v>
      </c>
      <c r="Z1168" s="428">
        <f>IFERROR(VLOOKUP(E:E,'Item Data Support Sheet'!A:O,4,0),0)</f>
        <v>0</v>
      </c>
      <c r="AA1168" s="428">
        <f t="shared" si="327"/>
        <v>0</v>
      </c>
      <c r="AB1168" s="429" t="str">
        <f t="shared" si="328"/>
        <v xml:space="preserve"> </v>
      </c>
      <c r="AC1168" s="424">
        <f t="shared" si="329"/>
        <v>1.8796992481203006E-2</v>
      </c>
      <c r="AD1168" s="371">
        <f t="shared" si="330"/>
        <v>0</v>
      </c>
      <c r="AE1168" s="748">
        <f t="shared" si="331"/>
        <v>0.98120300751879697</v>
      </c>
      <c r="AF1168" s="417">
        <f t="shared" si="332"/>
        <v>4.666666666666667</v>
      </c>
      <c r="AG1168" s="416">
        <f t="shared" si="333"/>
        <v>3.333333333333333</v>
      </c>
      <c r="AH1168" s="372">
        <f t="shared" si="334"/>
        <v>0.41666666666666663</v>
      </c>
      <c r="AI1168" s="373">
        <f t="shared" si="335"/>
        <v>195.75</v>
      </c>
      <c r="AJ1168" s="418">
        <f>VLOOKUP(D1168,'Standard Cycle time'!C:D,2,0)</f>
        <v>32.4</v>
      </c>
      <c r="AK1168" s="418">
        <f t="shared" si="336"/>
        <v>34.482758620689651</v>
      </c>
      <c r="AL1168" s="374">
        <f t="shared" si="337"/>
        <v>0.9396000000000001</v>
      </c>
      <c r="AM1168" s="372">
        <f t="shared" si="338"/>
        <v>0.38414097744360903</v>
      </c>
      <c r="AN1168" s="799">
        <v>0.38414097744360903</v>
      </c>
      <c r="AO1168" s="448" t="s">
        <v>3943</v>
      </c>
      <c r="AP1168" s="440">
        <v>40</v>
      </c>
      <c r="AQ1168" s="440">
        <v>60</v>
      </c>
      <c r="AR1168" s="440">
        <v>0</v>
      </c>
      <c r="AS1168" s="440">
        <v>0</v>
      </c>
      <c r="AT1168" s="440">
        <v>0</v>
      </c>
      <c r="AU1168" s="440">
        <v>0</v>
      </c>
      <c r="AV1168" s="440">
        <v>180</v>
      </c>
      <c r="AW1168" s="440">
        <v>0</v>
      </c>
      <c r="AX1168" s="440">
        <v>0</v>
      </c>
      <c r="AY1168" s="440">
        <v>0</v>
      </c>
      <c r="AZ1168" s="440">
        <v>0</v>
      </c>
      <c r="BA1168" s="440">
        <v>0</v>
      </c>
      <c r="BB1168" s="440">
        <v>0</v>
      </c>
      <c r="BC1168" s="440">
        <v>0</v>
      </c>
      <c r="BD1168" s="440">
        <v>0</v>
      </c>
      <c r="BE1168" s="440">
        <v>0</v>
      </c>
      <c r="BF1168" s="440">
        <v>0</v>
      </c>
      <c r="BG1168" s="440">
        <v>0</v>
      </c>
      <c r="BH1168" s="440">
        <v>0</v>
      </c>
      <c r="BI1168" s="440">
        <v>0</v>
      </c>
      <c r="BJ1168" s="440">
        <v>0</v>
      </c>
      <c r="BK1168" s="440">
        <v>0</v>
      </c>
      <c r="BL1168" s="440">
        <v>0</v>
      </c>
      <c r="BM1168" s="440">
        <v>0</v>
      </c>
      <c r="BN1168" s="440">
        <v>0</v>
      </c>
      <c r="BO1168" s="440">
        <v>0</v>
      </c>
      <c r="BP1168" s="440">
        <v>0</v>
      </c>
      <c r="BQ1168" s="440">
        <v>0</v>
      </c>
      <c r="BR1168" s="415">
        <v>4.666666666666667</v>
      </c>
      <c r="BS1168" s="415">
        <v>4.666666666666667</v>
      </c>
      <c r="BT1168" s="935"/>
      <c r="BU1168" s="935"/>
      <c r="BV1168" s="935"/>
      <c r="BW1168" s="935"/>
      <c r="BX1168" s="935"/>
      <c r="BY1168" s="935"/>
      <c r="BZ1168" s="935"/>
      <c r="CA1168" s="935"/>
      <c r="CB1168" s="935"/>
      <c r="CC1168" s="935"/>
      <c r="CD1168" s="935"/>
      <c r="CE1168" s="935"/>
      <c r="CF1168" s="935"/>
      <c r="CG1168" s="935"/>
      <c r="CH1168" s="935"/>
      <c r="CI1168" s="935"/>
      <c r="CJ1168" s="935"/>
      <c r="CK1168" s="935"/>
      <c r="CL1168" s="935"/>
      <c r="CM1168" s="935"/>
      <c r="CN1168" s="935"/>
      <c r="CO1168" s="935"/>
      <c r="CP1168" s="935"/>
      <c r="CQ1168" s="935"/>
      <c r="CR1168" s="935"/>
      <c r="CS1168" s="935"/>
      <c r="CT1168" s="935"/>
      <c r="CU1168" s="935"/>
      <c r="CV1168" s="935"/>
    </row>
    <row r="1169" spans="1:100" s="441" customFormat="1">
      <c r="A1169" s="375">
        <f t="shared" si="324"/>
        <v>11</v>
      </c>
      <c r="B1169" s="862">
        <v>44510</v>
      </c>
      <c r="C1169" s="493" t="s">
        <v>2000</v>
      </c>
      <c r="D1169" s="376" t="str">
        <f>IFERROR(VLOOKUP(E:E,'Item Data Support Sheet'!A:O,7,0),"")</f>
        <v>NIPPLE PUNCH INSPECTED</v>
      </c>
      <c r="E1169" s="447" t="s">
        <v>1818</v>
      </c>
      <c r="F1169" s="500"/>
      <c r="G1169" s="497"/>
      <c r="H1169" s="602" t="str">
        <f>IFERROR(VLOOKUP(E:E,'Item Data Support Sheet'!A:O,2,0),"")</f>
        <v>NIPPLE S TYPE S SIZE PUNCHED INSPECTED</v>
      </c>
      <c r="I1169" s="501" t="s">
        <v>3931</v>
      </c>
      <c r="J1169" s="501" t="s">
        <v>3944</v>
      </c>
      <c r="K1169" s="499">
        <v>8</v>
      </c>
      <c r="L1169" s="499">
        <v>7000</v>
      </c>
      <c r="M1169" s="366">
        <v>875</v>
      </c>
      <c r="N1169" s="367">
        <f t="shared" si="323"/>
        <v>7310</v>
      </c>
      <c r="O1169" s="61">
        <v>7276</v>
      </c>
      <c r="P1169" s="368">
        <v>0</v>
      </c>
      <c r="Q1169" s="368">
        <v>0</v>
      </c>
      <c r="R1169" s="494">
        <v>0</v>
      </c>
      <c r="S1169" s="493">
        <v>0</v>
      </c>
      <c r="T1169" s="494">
        <v>34</v>
      </c>
      <c r="U1169" s="493">
        <v>0</v>
      </c>
      <c r="V1169" s="502">
        <v>1</v>
      </c>
      <c r="W1169" s="453">
        <f t="shared" si="325"/>
        <v>7276</v>
      </c>
      <c r="X1169" s="748">
        <f t="shared" si="326"/>
        <v>1.0394285714285714</v>
      </c>
      <c r="Y1169" s="451" t="str">
        <f>IFERROR(VLOOKUP(E:E,'Item Data Support Sheet'!A:J,6,0),0)</f>
        <v>FO104</v>
      </c>
      <c r="Z1169" s="428">
        <f>IFERROR(VLOOKUP(E:E,'Item Data Support Sheet'!A:O,4,0),0)</f>
        <v>0</v>
      </c>
      <c r="AA1169" s="428">
        <f t="shared" si="327"/>
        <v>0</v>
      </c>
      <c r="AB1169" s="429" t="str">
        <f t="shared" si="328"/>
        <v xml:space="preserve"> </v>
      </c>
      <c r="AC1169" s="424">
        <f t="shared" si="329"/>
        <v>4.6511627906976744E-3</v>
      </c>
      <c r="AD1169" s="371">
        <f t="shared" si="330"/>
        <v>0</v>
      </c>
      <c r="AE1169" s="748">
        <f t="shared" si="331"/>
        <v>0.99534883720930234</v>
      </c>
      <c r="AF1169" s="417">
        <f t="shared" si="332"/>
        <v>0</v>
      </c>
      <c r="AG1169" s="416">
        <f t="shared" si="333"/>
        <v>8</v>
      </c>
      <c r="AH1169" s="372">
        <f t="shared" si="334"/>
        <v>1</v>
      </c>
      <c r="AI1169" s="373">
        <f t="shared" si="335"/>
        <v>909.5</v>
      </c>
      <c r="AJ1169" s="418">
        <f>VLOOKUP(D1169,'Standard Cycle time'!C:D,2,0)</f>
        <v>4</v>
      </c>
      <c r="AK1169" s="418">
        <f t="shared" si="336"/>
        <v>3.9582188015393074</v>
      </c>
      <c r="AL1169" s="374">
        <f t="shared" si="337"/>
        <v>1.0105555555555554</v>
      </c>
      <c r="AM1169" s="372">
        <f t="shared" si="338"/>
        <v>1.0058552971576227</v>
      </c>
      <c r="AN1169" s="799">
        <v>1.0058552971576227</v>
      </c>
      <c r="AO1169" s="448"/>
      <c r="AP1169" s="440"/>
      <c r="AQ1169" s="440"/>
      <c r="AR1169" s="440"/>
      <c r="AS1169" s="440"/>
      <c r="AT1169" s="440"/>
      <c r="AU1169" s="440"/>
      <c r="AV1169" s="440"/>
      <c r="AW1169" s="440"/>
      <c r="AX1169" s="440"/>
      <c r="AY1169" s="440"/>
      <c r="AZ1169" s="440"/>
      <c r="BA1169" s="440"/>
      <c r="BB1169" s="440"/>
      <c r="BC1169" s="440"/>
      <c r="BD1169" s="440"/>
      <c r="BE1169" s="440"/>
      <c r="BF1169" s="440"/>
      <c r="BG1169" s="440"/>
      <c r="BH1169" s="440"/>
      <c r="BI1169" s="440"/>
      <c r="BJ1169" s="440"/>
      <c r="BK1169" s="440"/>
      <c r="BL1169" s="440"/>
      <c r="BM1169" s="440"/>
      <c r="BN1169" s="440"/>
      <c r="BO1169" s="440"/>
      <c r="BP1169" s="440"/>
      <c r="BQ1169" s="440"/>
      <c r="BR1169" s="415"/>
      <c r="BS1169" s="415"/>
      <c r="BT1169" s="935"/>
      <c r="BU1169" s="935"/>
      <c r="BV1169" s="935"/>
      <c r="BW1169" s="935"/>
      <c r="BX1169" s="935"/>
      <c r="BY1169" s="935"/>
      <c r="BZ1169" s="935"/>
      <c r="CA1169" s="935"/>
      <c r="CB1169" s="935"/>
      <c r="CC1169" s="935"/>
      <c r="CD1169" s="935"/>
      <c r="CE1169" s="935"/>
      <c r="CF1169" s="935"/>
      <c r="CG1169" s="935"/>
      <c r="CH1169" s="935"/>
      <c r="CI1169" s="935"/>
      <c r="CJ1169" s="935"/>
      <c r="CK1169" s="935"/>
      <c r="CL1169" s="935"/>
      <c r="CM1169" s="935"/>
      <c r="CN1169" s="935"/>
      <c r="CO1169" s="935"/>
      <c r="CP1169" s="935"/>
      <c r="CQ1169" s="935"/>
      <c r="CR1169" s="935"/>
      <c r="CS1169" s="935"/>
      <c r="CT1169" s="935"/>
      <c r="CU1169" s="935"/>
      <c r="CV1169" s="935"/>
    </row>
    <row r="1170" spans="1:100" s="441" customFormat="1">
      <c r="A1170" s="375">
        <f t="shared" si="324"/>
        <v>11</v>
      </c>
      <c r="B1170" s="862">
        <v>44510</v>
      </c>
      <c r="C1170" s="493" t="s">
        <v>2001</v>
      </c>
      <c r="D1170" s="376" t="str">
        <f>IFERROR(VLOOKUP(E:E,'Item Data Support Sheet'!A:O,7,0),"")</f>
        <v>BOTTLE PRINTED</v>
      </c>
      <c r="E1170" s="447" t="s">
        <v>70</v>
      </c>
      <c r="F1170" s="500"/>
      <c r="G1170" s="497" t="s">
        <v>1698</v>
      </c>
      <c r="H1170" s="602" t="str">
        <f>IFERROR(VLOOKUP(E:E,'Item Data Support Sheet'!A:O,2,0),"")</f>
        <v>KPP 200 ML BOTTLE PRINTED</v>
      </c>
      <c r="I1170" s="501" t="s">
        <v>3945</v>
      </c>
      <c r="J1170" s="501" t="s">
        <v>3944</v>
      </c>
      <c r="K1170" s="499">
        <v>8</v>
      </c>
      <c r="L1170" s="499">
        <v>5100</v>
      </c>
      <c r="M1170" s="366">
        <v>637.5</v>
      </c>
      <c r="N1170" s="367">
        <f t="shared" si="323"/>
        <v>5767</v>
      </c>
      <c r="O1170" s="61">
        <v>5724</v>
      </c>
      <c r="P1170" s="368">
        <v>0</v>
      </c>
      <c r="Q1170" s="368">
        <v>0</v>
      </c>
      <c r="R1170" s="494">
        <v>61</v>
      </c>
      <c r="S1170" s="493">
        <v>0</v>
      </c>
      <c r="T1170" s="494">
        <v>43</v>
      </c>
      <c r="U1170" s="493">
        <v>0</v>
      </c>
      <c r="V1170" s="502">
        <v>5</v>
      </c>
      <c r="W1170" s="453">
        <f t="shared" si="325"/>
        <v>1144.8</v>
      </c>
      <c r="X1170" s="748">
        <f t="shared" si="326"/>
        <v>1.1223529411764706</v>
      </c>
      <c r="Y1170" s="451" t="str">
        <f>IFERROR(VLOOKUP(E:E,'Item Data Support Sheet'!A:J,6,0),0)</f>
        <v>FO002</v>
      </c>
      <c r="Z1170" s="428">
        <f>IFERROR(VLOOKUP(E:E,'Item Data Support Sheet'!A:O,4,0),0)</f>
        <v>0</v>
      </c>
      <c r="AA1170" s="428">
        <f t="shared" si="327"/>
        <v>0</v>
      </c>
      <c r="AB1170" s="429" t="str">
        <f t="shared" si="328"/>
        <v xml:space="preserve"> </v>
      </c>
      <c r="AC1170" s="424">
        <f t="shared" si="329"/>
        <v>7.4562164036760881E-3</v>
      </c>
      <c r="AD1170" s="371">
        <f t="shared" si="330"/>
        <v>0</v>
      </c>
      <c r="AE1170" s="748">
        <f t="shared" si="331"/>
        <v>0.99254378359632389</v>
      </c>
      <c r="AF1170" s="417">
        <f t="shared" si="332"/>
        <v>0</v>
      </c>
      <c r="AG1170" s="416">
        <f t="shared" si="333"/>
        <v>8</v>
      </c>
      <c r="AH1170" s="372">
        <f t="shared" si="334"/>
        <v>1</v>
      </c>
      <c r="AI1170" s="373">
        <f t="shared" si="335"/>
        <v>715.5</v>
      </c>
      <c r="AJ1170" s="418">
        <f>VLOOKUP(D1170,'Standard Cycle time'!C:D,2,0)</f>
        <v>32.4</v>
      </c>
      <c r="AK1170" s="418">
        <f t="shared" si="336"/>
        <v>25.157232704402517</v>
      </c>
      <c r="AL1170" s="374">
        <f t="shared" si="337"/>
        <v>1.2878999999999998</v>
      </c>
      <c r="AM1170" s="372">
        <f t="shared" si="338"/>
        <v>1.2782971388937054</v>
      </c>
      <c r="AN1170" s="799">
        <v>1.2782971388937054</v>
      </c>
      <c r="AO1170" s="448"/>
      <c r="AP1170" s="440">
        <v>40</v>
      </c>
      <c r="AQ1170" s="440"/>
      <c r="AR1170" s="440"/>
      <c r="AS1170" s="440"/>
      <c r="AT1170" s="440"/>
      <c r="AU1170" s="440"/>
      <c r="AV1170" s="440"/>
      <c r="AW1170" s="440"/>
      <c r="AX1170" s="440"/>
      <c r="AY1170" s="440"/>
      <c r="AZ1170" s="440"/>
      <c r="BA1170" s="440"/>
      <c r="BB1170" s="440"/>
      <c r="BC1170" s="440"/>
      <c r="BD1170" s="440"/>
      <c r="BE1170" s="440"/>
      <c r="BF1170" s="440"/>
      <c r="BG1170" s="440"/>
      <c r="BH1170" s="440"/>
      <c r="BI1170" s="440"/>
      <c r="BJ1170" s="440"/>
      <c r="BK1170" s="440"/>
      <c r="BL1170" s="440"/>
      <c r="BM1170" s="440"/>
      <c r="BN1170" s="440"/>
      <c r="BO1170" s="440"/>
      <c r="BP1170" s="440"/>
      <c r="BQ1170" s="440"/>
      <c r="BR1170" s="415"/>
      <c r="BS1170" s="415"/>
      <c r="BT1170" s="935"/>
      <c r="BU1170" s="935"/>
      <c r="BV1170" s="935"/>
      <c r="BW1170" s="935"/>
      <c r="BX1170" s="935"/>
      <c r="BY1170" s="935"/>
      <c r="BZ1170" s="935"/>
      <c r="CA1170" s="935"/>
      <c r="CB1170" s="935"/>
      <c r="CC1170" s="935"/>
      <c r="CD1170" s="935"/>
      <c r="CE1170" s="935"/>
      <c r="CF1170" s="935"/>
      <c r="CG1170" s="935"/>
      <c r="CH1170" s="935"/>
      <c r="CI1170" s="935"/>
      <c r="CJ1170" s="935"/>
      <c r="CK1170" s="935"/>
      <c r="CL1170" s="935"/>
      <c r="CM1170" s="935"/>
      <c r="CN1170" s="935"/>
      <c r="CO1170" s="935"/>
      <c r="CP1170" s="935"/>
      <c r="CQ1170" s="935"/>
      <c r="CR1170" s="935"/>
      <c r="CS1170" s="935"/>
      <c r="CT1170" s="935"/>
      <c r="CU1170" s="935"/>
      <c r="CV1170" s="935"/>
    </row>
    <row r="1171" spans="1:100" s="441" customFormat="1">
      <c r="A1171" s="375">
        <f t="shared" si="324"/>
        <v>11</v>
      </c>
      <c r="B1171" s="862">
        <v>44510</v>
      </c>
      <c r="C1171" s="493" t="s">
        <v>2001</v>
      </c>
      <c r="D1171" s="376" t="str">
        <f>IFERROR(VLOOKUP(E:E,'Item Data Support Sheet'!A:O,7,0),"")</f>
        <v>BOTTLE MOLDED</v>
      </c>
      <c r="E1171" s="447" t="s">
        <v>14</v>
      </c>
      <c r="F1171" s="500" t="s">
        <v>1681</v>
      </c>
      <c r="G1171" s="497" t="s">
        <v>1888</v>
      </c>
      <c r="H1171" s="602" t="str">
        <f>IFERROR(VLOOKUP(E:E,'Item Data Support Sheet'!A:O,2,0),"")</f>
        <v>KPP 240 ML BOTTLE MOLDED</v>
      </c>
      <c r="I1171" s="501" t="s">
        <v>3946</v>
      </c>
      <c r="J1171" s="501" t="s">
        <v>3944</v>
      </c>
      <c r="K1171" s="499">
        <v>8</v>
      </c>
      <c r="L1171" s="499">
        <v>2574</v>
      </c>
      <c r="M1171" s="366">
        <v>321.75</v>
      </c>
      <c r="N1171" s="367">
        <f t="shared" si="323"/>
        <v>3222</v>
      </c>
      <c r="O1171" s="61">
        <v>3132</v>
      </c>
      <c r="P1171" s="368">
        <v>0.25</v>
      </c>
      <c r="Q1171" s="368">
        <v>20</v>
      </c>
      <c r="R1171" s="494">
        <v>0</v>
      </c>
      <c r="S1171" s="493">
        <v>0</v>
      </c>
      <c r="T1171" s="494">
        <v>70</v>
      </c>
      <c r="U1171" s="493">
        <v>0</v>
      </c>
      <c r="V1171" s="502">
        <v>1</v>
      </c>
      <c r="W1171" s="453">
        <f t="shared" si="325"/>
        <v>3132</v>
      </c>
      <c r="X1171" s="748">
        <f t="shared" si="326"/>
        <v>1.2167832167832169</v>
      </c>
      <c r="Y1171" s="451" t="str">
        <f>IFERROR(VLOOKUP(E:E,'Item Data Support Sheet'!A:J,6,0),0)</f>
        <v>HMC</v>
      </c>
      <c r="Z1171" s="428">
        <f>IFERROR(VLOOKUP(E:E,'Item Data Support Sheet'!A:O,4,0),0)</f>
        <v>32.1</v>
      </c>
      <c r="AA1171" s="428">
        <f t="shared" si="327"/>
        <v>103.67620000000001</v>
      </c>
      <c r="AB1171" s="429">
        <f t="shared" si="328"/>
        <v>0.96972304154666167</v>
      </c>
      <c r="AC1171" s="424">
        <f t="shared" si="329"/>
        <v>2.1861336664584636E-2</v>
      </c>
      <c r="AD1171" s="371">
        <f t="shared" si="330"/>
        <v>6.1690314620604569E-3</v>
      </c>
      <c r="AE1171" s="748">
        <f t="shared" si="331"/>
        <v>0.97827436374922405</v>
      </c>
      <c r="AF1171" s="417">
        <f t="shared" si="332"/>
        <v>0</v>
      </c>
      <c r="AG1171" s="416">
        <f t="shared" si="333"/>
        <v>8</v>
      </c>
      <c r="AH1171" s="372">
        <f t="shared" si="334"/>
        <v>1</v>
      </c>
      <c r="AI1171" s="373">
        <f t="shared" si="335"/>
        <v>391.5</v>
      </c>
      <c r="AJ1171" s="418">
        <f>VLOOKUP(D1171,'Standard Cycle time'!C:D,2,0)</f>
        <v>9</v>
      </c>
      <c r="AK1171" s="418">
        <f t="shared" si="336"/>
        <v>9.1954022988505741</v>
      </c>
      <c r="AL1171" s="374">
        <f t="shared" si="337"/>
        <v>0.97875000000000001</v>
      </c>
      <c r="AM1171" s="372">
        <f t="shared" si="338"/>
        <v>0.95748603351955308</v>
      </c>
      <c r="AN1171" s="799">
        <v>0.95748603351955308</v>
      </c>
      <c r="AO1171" s="448"/>
      <c r="AP1171" s="440">
        <v>0</v>
      </c>
      <c r="AQ1171" s="440">
        <v>0</v>
      </c>
      <c r="AR1171" s="440">
        <v>0</v>
      </c>
      <c r="AS1171" s="440">
        <v>0</v>
      </c>
      <c r="AT1171" s="440">
        <v>0</v>
      </c>
      <c r="AU1171" s="440">
        <v>0</v>
      </c>
      <c r="AV1171" s="440">
        <v>0</v>
      </c>
      <c r="AW1171" s="440">
        <v>0</v>
      </c>
      <c r="AX1171" s="440">
        <v>0</v>
      </c>
      <c r="AY1171" s="440">
        <v>0</v>
      </c>
      <c r="AZ1171" s="440">
        <v>0</v>
      </c>
      <c r="BA1171" s="440">
        <v>0</v>
      </c>
      <c r="BB1171" s="440">
        <v>0</v>
      </c>
      <c r="BC1171" s="440">
        <v>0</v>
      </c>
      <c r="BD1171" s="440">
        <v>0</v>
      </c>
      <c r="BE1171" s="440">
        <v>0</v>
      </c>
      <c r="BF1171" s="440">
        <v>0</v>
      </c>
      <c r="BG1171" s="440">
        <v>0</v>
      </c>
      <c r="BH1171" s="440">
        <v>0</v>
      </c>
      <c r="BI1171" s="440">
        <v>0</v>
      </c>
      <c r="BJ1171" s="440">
        <v>0</v>
      </c>
      <c r="BK1171" s="440">
        <v>0</v>
      </c>
      <c r="BL1171" s="440">
        <v>0</v>
      </c>
      <c r="BM1171" s="440">
        <v>0</v>
      </c>
      <c r="BN1171" s="440">
        <v>0</v>
      </c>
      <c r="BO1171" s="440">
        <v>0</v>
      </c>
      <c r="BP1171" s="440">
        <v>0</v>
      </c>
      <c r="BQ1171" s="440">
        <v>0</v>
      </c>
      <c r="BR1171" s="415">
        <v>0</v>
      </c>
      <c r="BS1171" s="415">
        <v>0</v>
      </c>
      <c r="BT1171" s="935"/>
      <c r="BU1171" s="935"/>
      <c r="BV1171" s="935"/>
      <c r="BW1171" s="935"/>
      <c r="BX1171" s="935"/>
      <c r="BY1171" s="935"/>
      <c r="BZ1171" s="935"/>
      <c r="CA1171" s="935"/>
      <c r="CB1171" s="935"/>
      <c r="CC1171" s="935"/>
      <c r="CD1171" s="935"/>
      <c r="CE1171" s="935"/>
      <c r="CF1171" s="935"/>
      <c r="CG1171" s="935"/>
      <c r="CH1171" s="935"/>
      <c r="CI1171" s="935"/>
      <c r="CJ1171" s="935"/>
      <c r="CK1171" s="935"/>
      <c r="CL1171" s="935"/>
      <c r="CM1171" s="935"/>
      <c r="CN1171" s="935"/>
      <c r="CO1171" s="935"/>
      <c r="CP1171" s="935"/>
      <c r="CQ1171" s="935"/>
      <c r="CR1171" s="935"/>
      <c r="CS1171" s="935"/>
      <c r="CT1171" s="935"/>
      <c r="CU1171" s="935"/>
      <c r="CV1171" s="935"/>
    </row>
    <row r="1172" spans="1:100" s="441" customFormat="1">
      <c r="A1172" s="375">
        <f t="shared" si="324"/>
        <v>11</v>
      </c>
      <c r="B1172" s="862">
        <v>44510</v>
      </c>
      <c r="C1172" s="493" t="s">
        <v>2001</v>
      </c>
      <c r="D1172" s="376" t="str">
        <f>IFERROR(VLOOKUP(E:E,'Item Data Support Sheet'!A:O,7,0),"")</f>
        <v>HOOD MOLDED</v>
      </c>
      <c r="E1172" s="447" t="s">
        <v>1987</v>
      </c>
      <c r="F1172" s="500"/>
      <c r="G1172" s="497" t="s">
        <v>2729</v>
      </c>
      <c r="H1172" s="602" t="str">
        <f>IFERROR(VLOOKUP(E:E,'Item Data Support Sheet'!A:O,2,0),"")</f>
        <v>HOOD S TYPE MOLDED</v>
      </c>
      <c r="I1172" s="501" t="s">
        <v>3947</v>
      </c>
      <c r="J1172" s="501" t="s">
        <v>3944</v>
      </c>
      <c r="K1172" s="499">
        <v>8</v>
      </c>
      <c r="L1172" s="499">
        <v>4137</v>
      </c>
      <c r="M1172" s="366">
        <v>517.125</v>
      </c>
      <c r="N1172" s="367">
        <f t="shared" si="323"/>
        <v>5004</v>
      </c>
      <c r="O1172" s="61">
        <v>5000</v>
      </c>
      <c r="P1172" s="368">
        <v>0</v>
      </c>
      <c r="Q1172" s="368">
        <v>0</v>
      </c>
      <c r="R1172" s="494">
        <v>0</v>
      </c>
      <c r="S1172" s="493">
        <v>0</v>
      </c>
      <c r="T1172" s="494">
        <v>4</v>
      </c>
      <c r="U1172" s="493">
        <v>0</v>
      </c>
      <c r="V1172" s="502">
        <v>1</v>
      </c>
      <c r="W1172" s="453">
        <f t="shared" si="325"/>
        <v>5000</v>
      </c>
      <c r="X1172" s="748">
        <f t="shared" si="326"/>
        <v>1.2086052695189751</v>
      </c>
      <c r="Y1172" s="451" t="str">
        <f>IFERROR(VLOOKUP(E:E,'Item Data Support Sheet'!A:J,6,0),0)</f>
        <v>HMC</v>
      </c>
      <c r="Z1172" s="428">
        <f>IFERROR(VLOOKUP(E:E,'Item Data Support Sheet'!A:O,4,0),0)</f>
        <v>8.6</v>
      </c>
      <c r="AA1172" s="428">
        <f t="shared" si="327"/>
        <v>43.034399999999998</v>
      </c>
      <c r="AB1172" s="429">
        <f t="shared" si="328"/>
        <v>0.99920063948840931</v>
      </c>
      <c r="AC1172" s="424">
        <f t="shared" si="329"/>
        <v>7.993605115907274E-4</v>
      </c>
      <c r="AD1172" s="371">
        <f t="shared" si="330"/>
        <v>0</v>
      </c>
      <c r="AE1172" s="748">
        <f t="shared" si="331"/>
        <v>0.99920063948840931</v>
      </c>
      <c r="AF1172" s="417">
        <f t="shared" si="332"/>
        <v>0</v>
      </c>
      <c r="AG1172" s="416">
        <f t="shared" si="333"/>
        <v>8</v>
      </c>
      <c r="AH1172" s="372">
        <f t="shared" si="334"/>
        <v>1</v>
      </c>
      <c r="AI1172" s="373">
        <f t="shared" si="335"/>
        <v>625</v>
      </c>
      <c r="AJ1172" s="418">
        <f>VLOOKUP(D1172,'Standard Cycle time'!C:D,2,0)</f>
        <v>6</v>
      </c>
      <c r="AK1172" s="418">
        <f t="shared" si="336"/>
        <v>5.76</v>
      </c>
      <c r="AL1172" s="374">
        <f t="shared" si="337"/>
        <v>1.0416666666666667</v>
      </c>
      <c r="AM1172" s="372">
        <f t="shared" si="338"/>
        <v>1.0408339994670932</v>
      </c>
      <c r="AN1172" s="799">
        <v>1.0408339994670932</v>
      </c>
      <c r="AO1172" s="448"/>
      <c r="AP1172" s="440">
        <v>0</v>
      </c>
      <c r="AQ1172" s="440">
        <v>0</v>
      </c>
      <c r="AR1172" s="440">
        <v>0</v>
      </c>
      <c r="AS1172" s="440">
        <v>0</v>
      </c>
      <c r="AT1172" s="440">
        <v>0</v>
      </c>
      <c r="AU1172" s="440">
        <v>0</v>
      </c>
      <c r="AV1172" s="440">
        <v>0</v>
      </c>
      <c r="AW1172" s="440">
        <v>0</v>
      </c>
      <c r="AX1172" s="440">
        <v>0</v>
      </c>
      <c r="AY1172" s="440">
        <v>0</v>
      </c>
      <c r="AZ1172" s="440">
        <v>0</v>
      </c>
      <c r="BA1172" s="440">
        <v>0</v>
      </c>
      <c r="BB1172" s="440">
        <v>0</v>
      </c>
      <c r="BC1172" s="440">
        <v>0</v>
      </c>
      <c r="BD1172" s="440">
        <v>0</v>
      </c>
      <c r="BE1172" s="440">
        <v>0</v>
      </c>
      <c r="BF1172" s="440">
        <v>0</v>
      </c>
      <c r="BG1172" s="440">
        <v>0</v>
      </c>
      <c r="BH1172" s="440">
        <v>0</v>
      </c>
      <c r="BI1172" s="440">
        <v>0</v>
      </c>
      <c r="BJ1172" s="440">
        <v>0</v>
      </c>
      <c r="BK1172" s="440">
        <v>0</v>
      </c>
      <c r="BL1172" s="440">
        <v>0</v>
      </c>
      <c r="BM1172" s="440">
        <v>0</v>
      </c>
      <c r="BN1172" s="440">
        <v>0</v>
      </c>
      <c r="BO1172" s="440">
        <v>0</v>
      </c>
      <c r="BP1172" s="440">
        <v>0</v>
      </c>
      <c r="BQ1172" s="440">
        <v>0</v>
      </c>
      <c r="BR1172" s="415">
        <v>0</v>
      </c>
      <c r="BS1172" s="415">
        <v>0</v>
      </c>
      <c r="BT1172" s="935"/>
      <c r="BU1172" s="935"/>
      <c r="BV1172" s="935"/>
      <c r="BW1172" s="935"/>
      <c r="BX1172" s="935"/>
      <c r="BY1172" s="935"/>
      <c r="BZ1172" s="935"/>
      <c r="CA1172" s="935"/>
      <c r="CB1172" s="935"/>
      <c r="CC1172" s="935"/>
      <c r="CD1172" s="935"/>
      <c r="CE1172" s="935"/>
      <c r="CF1172" s="935"/>
      <c r="CG1172" s="935"/>
      <c r="CH1172" s="935"/>
      <c r="CI1172" s="935"/>
      <c r="CJ1172" s="935"/>
      <c r="CK1172" s="935"/>
      <c r="CL1172" s="935"/>
      <c r="CM1172" s="935"/>
      <c r="CN1172" s="935"/>
      <c r="CO1172" s="935"/>
      <c r="CP1172" s="935"/>
      <c r="CQ1172" s="935"/>
      <c r="CR1172" s="935"/>
      <c r="CS1172" s="935"/>
      <c r="CT1172" s="935"/>
      <c r="CU1172" s="935"/>
      <c r="CV1172" s="935"/>
    </row>
    <row r="1173" spans="1:100" s="441" customFormat="1">
      <c r="A1173" s="375">
        <f t="shared" si="324"/>
        <v>11</v>
      </c>
      <c r="B1173" s="862">
        <v>44510</v>
      </c>
      <c r="C1173" s="493" t="s">
        <v>2053</v>
      </c>
      <c r="D1173" s="376" t="str">
        <f>IFERROR(VLOOKUP(E:E,'Item Data Support Sheet'!A:O,7,0),"")</f>
        <v>NIPPLE MOLDED</v>
      </c>
      <c r="E1173" s="447" t="s">
        <v>75</v>
      </c>
      <c r="F1173" s="500" t="s">
        <v>1678</v>
      </c>
      <c r="G1173" s="497" t="s">
        <v>1691</v>
      </c>
      <c r="H1173" s="602" t="str">
        <f>IFERROR(VLOOKUP(E:E,'Item Data Support Sheet'!A:O,2,0),"")</f>
        <v>NIPPLE S TYPE Y SIZE INJECTION</v>
      </c>
      <c r="I1173" s="501" t="s">
        <v>3948</v>
      </c>
      <c r="J1173" s="501" t="s">
        <v>3895</v>
      </c>
      <c r="K1173" s="499">
        <v>8</v>
      </c>
      <c r="L1173" s="499">
        <v>4815</v>
      </c>
      <c r="M1173" s="366">
        <v>601.875</v>
      </c>
      <c r="N1173" s="367">
        <f t="shared" si="323"/>
        <v>6347</v>
      </c>
      <c r="O1173" s="61">
        <v>6000</v>
      </c>
      <c r="P1173" s="368">
        <v>0</v>
      </c>
      <c r="Q1173" s="368">
        <v>230</v>
      </c>
      <c r="R1173" s="494">
        <v>0</v>
      </c>
      <c r="S1173" s="493">
        <v>0</v>
      </c>
      <c r="T1173" s="494">
        <v>93</v>
      </c>
      <c r="U1173" s="493">
        <v>24</v>
      </c>
      <c r="V1173" s="502">
        <v>1</v>
      </c>
      <c r="W1173" s="453">
        <f t="shared" si="325"/>
        <v>6000</v>
      </c>
      <c r="X1173" s="748">
        <f t="shared" si="326"/>
        <v>1.2461059190031152</v>
      </c>
      <c r="Y1173" s="451" t="str">
        <f>IFERROR(VLOOKUP(E:E,'Item Data Support Sheet'!A:J,6,0),0)</f>
        <v>Silicon</v>
      </c>
      <c r="Z1173" s="428">
        <f>IFERROR(VLOOKUP(E:E,'Item Data Support Sheet'!A:O,4,0),0)</f>
        <v>6.8</v>
      </c>
      <c r="AA1173" s="428">
        <f t="shared" si="327"/>
        <v>43.159599999999998</v>
      </c>
      <c r="AB1173" s="429">
        <f t="shared" si="328"/>
        <v>0.94532850165432492</v>
      </c>
      <c r="AC1173" s="424">
        <f t="shared" si="329"/>
        <v>1.5263417035942885E-2</v>
      </c>
      <c r="AD1173" s="371">
        <f t="shared" si="330"/>
        <v>3.497035122396229E-2</v>
      </c>
      <c r="AE1173" s="748">
        <f t="shared" si="331"/>
        <v>0.98534740822435796</v>
      </c>
      <c r="AF1173" s="417">
        <f t="shared" si="332"/>
        <v>0</v>
      </c>
      <c r="AG1173" s="416">
        <f t="shared" si="333"/>
        <v>8</v>
      </c>
      <c r="AH1173" s="372">
        <f t="shared" si="334"/>
        <v>1</v>
      </c>
      <c r="AI1173" s="373">
        <f t="shared" si="335"/>
        <v>750</v>
      </c>
      <c r="AJ1173" s="418">
        <f>VLOOKUP(D1173,'Standard Cycle time'!C:D,2,0)</f>
        <v>5.25</v>
      </c>
      <c r="AK1173" s="418">
        <f t="shared" si="336"/>
        <v>4.8</v>
      </c>
      <c r="AL1173" s="374">
        <f t="shared" si="337"/>
        <v>1.09375</v>
      </c>
      <c r="AM1173" s="372">
        <f t="shared" si="338"/>
        <v>1.0777237277453915</v>
      </c>
      <c r="AN1173" s="799">
        <v>1.0777237277453915</v>
      </c>
      <c r="AO1173" s="448" t="s">
        <v>3949</v>
      </c>
      <c r="AP1173" s="440">
        <v>0</v>
      </c>
      <c r="AQ1173" s="440">
        <v>0</v>
      </c>
      <c r="AR1173" s="440">
        <v>0</v>
      </c>
      <c r="AS1173" s="440">
        <v>0</v>
      </c>
      <c r="AT1173" s="440">
        <v>0</v>
      </c>
      <c r="AU1173" s="440">
        <v>0</v>
      </c>
      <c r="AV1173" s="440"/>
      <c r="AW1173" s="440">
        <v>0</v>
      </c>
      <c r="AX1173" s="440">
        <v>0</v>
      </c>
      <c r="AY1173" s="440">
        <v>0</v>
      </c>
      <c r="AZ1173" s="440">
        <v>0</v>
      </c>
      <c r="BA1173" s="440">
        <v>0</v>
      </c>
      <c r="BB1173" s="440"/>
      <c r="BC1173" s="440">
        <v>0</v>
      </c>
      <c r="BD1173" s="440">
        <v>0</v>
      </c>
      <c r="BE1173" s="440">
        <v>0</v>
      </c>
      <c r="BF1173" s="440">
        <v>0</v>
      </c>
      <c r="BG1173" s="440">
        <v>0</v>
      </c>
      <c r="BH1173" s="440">
        <v>0</v>
      </c>
      <c r="BI1173" s="440">
        <v>0</v>
      </c>
      <c r="BJ1173" s="440">
        <v>0</v>
      </c>
      <c r="BK1173" s="440">
        <v>0</v>
      </c>
      <c r="BL1173" s="440">
        <v>0</v>
      </c>
      <c r="BM1173" s="440">
        <v>0</v>
      </c>
      <c r="BN1173" s="440">
        <v>0</v>
      </c>
      <c r="BO1173" s="440">
        <v>0</v>
      </c>
      <c r="BP1173" s="440">
        <v>0</v>
      </c>
      <c r="BQ1173" s="440">
        <v>0</v>
      </c>
      <c r="BR1173" s="415">
        <v>0</v>
      </c>
      <c r="BS1173" s="415">
        <v>0</v>
      </c>
      <c r="BT1173" s="935"/>
      <c r="BU1173" s="935"/>
      <c r="BV1173" s="935"/>
      <c r="BW1173" s="935"/>
      <c r="BX1173" s="935"/>
      <c r="BY1173" s="935"/>
      <c r="BZ1173" s="935"/>
      <c r="CA1173" s="935"/>
      <c r="CB1173" s="935"/>
      <c r="CC1173" s="935"/>
      <c r="CD1173" s="935"/>
      <c r="CE1173" s="935"/>
      <c r="CF1173" s="935"/>
      <c r="CG1173" s="935"/>
      <c r="CH1173" s="935"/>
      <c r="CI1173" s="935"/>
      <c r="CJ1173" s="935"/>
      <c r="CK1173" s="935"/>
      <c r="CL1173" s="935"/>
      <c r="CM1173" s="935"/>
      <c r="CN1173" s="935"/>
      <c r="CO1173" s="935"/>
      <c r="CP1173" s="935"/>
      <c r="CQ1173" s="935"/>
      <c r="CR1173" s="935"/>
      <c r="CS1173" s="935"/>
      <c r="CT1173" s="935"/>
      <c r="CU1173" s="935"/>
      <c r="CV1173" s="935"/>
    </row>
    <row r="1174" spans="1:100" s="441" customFormat="1">
      <c r="A1174" s="375">
        <f t="shared" si="324"/>
        <v>11</v>
      </c>
      <c r="B1174" s="862">
        <v>44510</v>
      </c>
      <c r="C1174" s="493" t="s">
        <v>2053</v>
      </c>
      <c r="D1174" s="376" t="str">
        <f>IFERROR(VLOOKUP(E:E,'Item Data Support Sheet'!A:O,7,0),"")</f>
        <v>HOOD MOLDED</v>
      </c>
      <c r="E1174" s="447" t="s">
        <v>1987</v>
      </c>
      <c r="F1174" s="500"/>
      <c r="G1174" s="497" t="s">
        <v>2729</v>
      </c>
      <c r="H1174" s="602" t="str">
        <f>IFERROR(VLOOKUP(E:E,'Item Data Support Sheet'!A:O,2,0),"")</f>
        <v>HOOD S TYPE MOLDED</v>
      </c>
      <c r="I1174" s="501" t="s">
        <v>3950</v>
      </c>
      <c r="J1174" s="501" t="s">
        <v>3895</v>
      </c>
      <c r="K1174" s="499">
        <v>8</v>
      </c>
      <c r="L1174" s="499">
        <v>4137</v>
      </c>
      <c r="M1174" s="366">
        <v>517.125</v>
      </c>
      <c r="N1174" s="367">
        <f t="shared" si="323"/>
        <v>5013</v>
      </c>
      <c r="O1174" s="61">
        <v>5000</v>
      </c>
      <c r="P1174" s="368">
        <v>0</v>
      </c>
      <c r="Q1174" s="368">
        <v>0</v>
      </c>
      <c r="R1174" s="494">
        <v>0</v>
      </c>
      <c r="S1174" s="493">
        <v>0</v>
      </c>
      <c r="T1174" s="494">
        <v>5</v>
      </c>
      <c r="U1174" s="493">
        <v>8</v>
      </c>
      <c r="V1174" s="502">
        <v>1</v>
      </c>
      <c r="W1174" s="453">
        <f t="shared" si="325"/>
        <v>5000</v>
      </c>
      <c r="X1174" s="748">
        <f t="shared" si="326"/>
        <v>1.2086052695189751</v>
      </c>
      <c r="Y1174" s="451" t="str">
        <f>IFERROR(VLOOKUP(E:E,'Item Data Support Sheet'!A:J,6,0),0)</f>
        <v>HMC</v>
      </c>
      <c r="Z1174" s="428">
        <f>IFERROR(VLOOKUP(E:E,'Item Data Support Sheet'!A:O,4,0),0)</f>
        <v>8.6</v>
      </c>
      <c r="AA1174" s="428">
        <f t="shared" si="327"/>
        <v>43.111800000000002</v>
      </c>
      <c r="AB1174" s="429">
        <f t="shared" si="328"/>
        <v>0.99740674246957906</v>
      </c>
      <c r="AC1174" s="424">
        <f t="shared" si="329"/>
        <v>9.99000999000999E-4</v>
      </c>
      <c r="AD1174" s="371">
        <f t="shared" si="330"/>
        <v>0</v>
      </c>
      <c r="AE1174" s="748">
        <f t="shared" si="331"/>
        <v>0.99900259325753038</v>
      </c>
      <c r="AF1174" s="417">
        <f t="shared" si="332"/>
        <v>0</v>
      </c>
      <c r="AG1174" s="416">
        <f t="shared" si="333"/>
        <v>8</v>
      </c>
      <c r="AH1174" s="372">
        <f t="shared" si="334"/>
        <v>1</v>
      </c>
      <c r="AI1174" s="373">
        <f t="shared" si="335"/>
        <v>625</v>
      </c>
      <c r="AJ1174" s="418">
        <f>VLOOKUP(D1174,'Standard Cycle time'!C:D,2,0)</f>
        <v>6</v>
      </c>
      <c r="AK1174" s="418">
        <f t="shared" si="336"/>
        <v>5.76</v>
      </c>
      <c r="AL1174" s="374">
        <f t="shared" si="337"/>
        <v>1.0416666666666667</v>
      </c>
      <c r="AM1174" s="372">
        <f t="shared" si="338"/>
        <v>1.0406277013099277</v>
      </c>
      <c r="AN1174" s="799">
        <v>1.0406277013099277</v>
      </c>
      <c r="AO1174" s="448"/>
      <c r="AP1174" s="440">
        <v>0</v>
      </c>
      <c r="AQ1174" s="440">
        <v>0</v>
      </c>
      <c r="AR1174" s="440">
        <v>0</v>
      </c>
      <c r="AS1174" s="440">
        <v>0</v>
      </c>
      <c r="AT1174" s="440">
        <v>0</v>
      </c>
      <c r="AU1174" s="440">
        <v>0</v>
      </c>
      <c r="AV1174" s="440">
        <v>0</v>
      </c>
      <c r="AW1174" s="440">
        <v>0</v>
      </c>
      <c r="AX1174" s="440">
        <v>0</v>
      </c>
      <c r="AY1174" s="440">
        <v>0</v>
      </c>
      <c r="AZ1174" s="440">
        <v>0</v>
      </c>
      <c r="BA1174" s="440">
        <v>0</v>
      </c>
      <c r="BB1174" s="440">
        <v>0</v>
      </c>
      <c r="BC1174" s="440">
        <v>0</v>
      </c>
      <c r="BD1174" s="440">
        <v>0</v>
      </c>
      <c r="BE1174" s="440">
        <v>0</v>
      </c>
      <c r="BF1174" s="440">
        <v>0</v>
      </c>
      <c r="BG1174" s="440">
        <v>0</v>
      </c>
      <c r="BH1174" s="440">
        <v>0</v>
      </c>
      <c r="BI1174" s="440">
        <v>0</v>
      </c>
      <c r="BJ1174" s="440">
        <v>0</v>
      </c>
      <c r="BK1174" s="440">
        <v>0</v>
      </c>
      <c r="BL1174" s="440">
        <v>0</v>
      </c>
      <c r="BM1174" s="440">
        <v>0</v>
      </c>
      <c r="BN1174" s="440">
        <v>0</v>
      </c>
      <c r="BO1174" s="440">
        <v>0</v>
      </c>
      <c r="BP1174" s="440">
        <v>0</v>
      </c>
      <c r="BQ1174" s="440">
        <v>0</v>
      </c>
      <c r="BR1174" s="415">
        <v>0</v>
      </c>
      <c r="BS1174" s="415">
        <v>0</v>
      </c>
      <c r="BT1174" s="935"/>
      <c r="BU1174" s="935"/>
      <c r="BV1174" s="935"/>
      <c r="BW1174" s="935"/>
      <c r="BX1174" s="935"/>
      <c r="BY1174" s="935"/>
      <c r="BZ1174" s="935"/>
      <c r="CA1174" s="935"/>
      <c r="CB1174" s="935"/>
      <c r="CC1174" s="935"/>
      <c r="CD1174" s="935"/>
      <c r="CE1174" s="935"/>
      <c r="CF1174" s="935"/>
      <c r="CG1174" s="935"/>
      <c r="CH1174" s="935"/>
      <c r="CI1174" s="935"/>
      <c r="CJ1174" s="935"/>
      <c r="CK1174" s="935"/>
      <c r="CL1174" s="935"/>
      <c r="CM1174" s="935"/>
      <c r="CN1174" s="935"/>
      <c r="CO1174" s="935"/>
      <c r="CP1174" s="935"/>
      <c r="CQ1174" s="935"/>
      <c r="CR1174" s="935"/>
      <c r="CS1174" s="935"/>
      <c r="CT1174" s="935"/>
      <c r="CU1174" s="935"/>
      <c r="CV1174" s="935"/>
    </row>
    <row r="1175" spans="1:100" s="441" customFormat="1">
      <c r="A1175" s="375">
        <f t="shared" si="324"/>
        <v>11</v>
      </c>
      <c r="B1175" s="862">
        <v>44510</v>
      </c>
      <c r="C1175" s="493" t="s">
        <v>2053</v>
      </c>
      <c r="D1175" s="376" t="str">
        <f>IFERROR(VLOOKUP(E:E,'Item Data Support Sheet'!A:O,7,0),"")</f>
        <v>BOTTLE MOLDED</v>
      </c>
      <c r="E1175" s="447" t="s">
        <v>14</v>
      </c>
      <c r="F1175" s="500" t="s">
        <v>1681</v>
      </c>
      <c r="G1175" s="497" t="s">
        <v>1888</v>
      </c>
      <c r="H1175" s="602" t="str">
        <f>IFERROR(VLOOKUP(E:E,'Item Data Support Sheet'!A:O,2,0),"")</f>
        <v>KPP 240 ML BOTTLE MOLDED</v>
      </c>
      <c r="I1175" s="501" t="s">
        <v>3951</v>
      </c>
      <c r="J1175" s="501" t="s">
        <v>3895</v>
      </c>
      <c r="K1175" s="499">
        <v>8</v>
      </c>
      <c r="L1175" s="499">
        <v>2574</v>
      </c>
      <c r="M1175" s="366">
        <v>321.75</v>
      </c>
      <c r="N1175" s="367">
        <f t="shared" si="323"/>
        <v>3335</v>
      </c>
      <c r="O1175" s="61">
        <v>3240</v>
      </c>
      <c r="P1175" s="368">
        <v>0.15</v>
      </c>
      <c r="Q1175" s="368">
        <v>23</v>
      </c>
      <c r="R1175" s="494">
        <v>0</v>
      </c>
      <c r="S1175" s="493">
        <v>0</v>
      </c>
      <c r="T1175" s="494">
        <v>64</v>
      </c>
      <c r="U1175" s="493">
        <v>8</v>
      </c>
      <c r="V1175" s="502">
        <v>1</v>
      </c>
      <c r="W1175" s="453">
        <f t="shared" si="325"/>
        <v>3240</v>
      </c>
      <c r="X1175" s="748">
        <f t="shared" si="326"/>
        <v>1.2587412587412588</v>
      </c>
      <c r="Y1175" s="451" t="str">
        <f>IFERROR(VLOOKUP(E:E,'Item Data Support Sheet'!A:J,6,0),0)</f>
        <v>HMC</v>
      </c>
      <c r="Z1175" s="428">
        <f>IFERROR(VLOOKUP(E:E,'Item Data Support Sheet'!A:O,4,0),0)</f>
        <v>32.1</v>
      </c>
      <c r="AA1175" s="428">
        <f t="shared" si="327"/>
        <v>107.20350000000002</v>
      </c>
      <c r="AB1175" s="429">
        <f t="shared" si="328"/>
        <v>0.97015489233094054</v>
      </c>
      <c r="AC1175" s="424">
        <f t="shared" si="329"/>
        <v>1.9370460048426151E-2</v>
      </c>
      <c r="AD1175" s="371">
        <f t="shared" si="330"/>
        <v>6.8493150684931503E-3</v>
      </c>
      <c r="AE1175" s="748">
        <f t="shared" si="331"/>
        <v>0.98080959520239885</v>
      </c>
      <c r="AF1175" s="417">
        <f t="shared" si="332"/>
        <v>0</v>
      </c>
      <c r="AG1175" s="416">
        <f t="shared" si="333"/>
        <v>8</v>
      </c>
      <c r="AH1175" s="372">
        <f t="shared" si="334"/>
        <v>1</v>
      </c>
      <c r="AI1175" s="373">
        <f t="shared" si="335"/>
        <v>405</v>
      </c>
      <c r="AJ1175" s="418">
        <f>VLOOKUP(D1175,'Standard Cycle time'!C:D,2,0)</f>
        <v>9</v>
      </c>
      <c r="AK1175" s="418">
        <f t="shared" si="336"/>
        <v>8.8888888888888893</v>
      </c>
      <c r="AL1175" s="374">
        <f t="shared" si="337"/>
        <v>1.0125</v>
      </c>
      <c r="AM1175" s="372">
        <f t="shared" si="338"/>
        <v>0.99306971514242881</v>
      </c>
      <c r="AN1175" s="799">
        <v>0.99306971514242881</v>
      </c>
      <c r="AO1175" s="448"/>
      <c r="AP1175" s="440">
        <v>0</v>
      </c>
      <c r="AQ1175" s="440">
        <v>0</v>
      </c>
      <c r="AR1175" s="440">
        <v>0</v>
      </c>
      <c r="AS1175" s="440">
        <v>0</v>
      </c>
      <c r="AT1175" s="440">
        <v>0</v>
      </c>
      <c r="AU1175" s="440">
        <v>0</v>
      </c>
      <c r="AV1175" s="440">
        <v>0</v>
      </c>
      <c r="AW1175" s="440">
        <v>0</v>
      </c>
      <c r="AX1175" s="440">
        <v>0</v>
      </c>
      <c r="AY1175" s="440">
        <v>0</v>
      </c>
      <c r="AZ1175" s="440">
        <v>0</v>
      </c>
      <c r="BA1175" s="440">
        <v>0</v>
      </c>
      <c r="BB1175" s="440">
        <v>0</v>
      </c>
      <c r="BC1175" s="440">
        <v>0</v>
      </c>
      <c r="BD1175" s="440">
        <v>0</v>
      </c>
      <c r="BE1175" s="440">
        <v>0</v>
      </c>
      <c r="BF1175" s="440">
        <v>0</v>
      </c>
      <c r="BG1175" s="440">
        <v>0</v>
      </c>
      <c r="BH1175" s="440">
        <v>0</v>
      </c>
      <c r="BI1175" s="440">
        <v>0</v>
      </c>
      <c r="BJ1175" s="440">
        <v>0</v>
      </c>
      <c r="BK1175" s="440">
        <v>0</v>
      </c>
      <c r="BL1175" s="440">
        <v>0</v>
      </c>
      <c r="BM1175" s="440">
        <v>0</v>
      </c>
      <c r="BN1175" s="440">
        <v>0</v>
      </c>
      <c r="BO1175" s="440">
        <v>0</v>
      </c>
      <c r="BP1175" s="440">
        <v>0</v>
      </c>
      <c r="BQ1175" s="440">
        <v>0</v>
      </c>
      <c r="BR1175" s="415">
        <v>0</v>
      </c>
      <c r="BS1175" s="415">
        <v>0</v>
      </c>
      <c r="BT1175" s="935"/>
      <c r="BU1175" s="935"/>
      <c r="BV1175" s="935"/>
      <c r="BW1175" s="935"/>
      <c r="BX1175" s="935"/>
      <c r="BY1175" s="935"/>
      <c r="BZ1175" s="935"/>
      <c r="CA1175" s="935"/>
      <c r="CB1175" s="935"/>
      <c r="CC1175" s="935"/>
      <c r="CD1175" s="935"/>
      <c r="CE1175" s="935"/>
      <c r="CF1175" s="935"/>
      <c r="CG1175" s="935"/>
      <c r="CH1175" s="935"/>
      <c r="CI1175" s="935"/>
      <c r="CJ1175" s="935"/>
      <c r="CK1175" s="935"/>
      <c r="CL1175" s="935"/>
      <c r="CM1175" s="935"/>
      <c r="CN1175" s="935"/>
      <c r="CO1175" s="935"/>
      <c r="CP1175" s="935"/>
      <c r="CQ1175" s="935"/>
      <c r="CR1175" s="935"/>
      <c r="CS1175" s="935"/>
      <c r="CT1175" s="935"/>
      <c r="CU1175" s="935"/>
      <c r="CV1175" s="935"/>
    </row>
    <row r="1176" spans="1:100" s="441" customFormat="1">
      <c r="A1176" s="375">
        <f t="shared" si="324"/>
        <v>11</v>
      </c>
      <c r="B1176" s="862">
        <v>44511</v>
      </c>
      <c r="C1176" s="493" t="s">
        <v>1980</v>
      </c>
      <c r="D1176" s="376" t="str">
        <f>IFERROR(VLOOKUP(E:E,'Item Data Support Sheet'!A:O,7,0),"")</f>
        <v>BOTTLE MOLDED</v>
      </c>
      <c r="E1176" s="447" t="s">
        <v>14</v>
      </c>
      <c r="F1176" s="500" t="s">
        <v>1681</v>
      </c>
      <c r="G1176" s="497" t="s">
        <v>1888</v>
      </c>
      <c r="H1176" s="602" t="str">
        <f>IFERROR(VLOOKUP(E:E,'Item Data Support Sheet'!A:O,2,0),"")</f>
        <v>KPP 240 ML BOTTLE MOLDED</v>
      </c>
      <c r="I1176" s="501" t="s">
        <v>3952</v>
      </c>
      <c r="J1176" s="501" t="s">
        <v>2812</v>
      </c>
      <c r="K1176" s="499">
        <v>8</v>
      </c>
      <c r="L1176" s="499">
        <v>2574</v>
      </c>
      <c r="M1176" s="366">
        <v>321.75</v>
      </c>
      <c r="N1176" s="367">
        <f t="shared" si="323"/>
        <v>3154</v>
      </c>
      <c r="O1176" s="61">
        <v>3024</v>
      </c>
      <c r="P1176" s="368">
        <v>0.2</v>
      </c>
      <c r="Q1176" s="368">
        <v>47</v>
      </c>
      <c r="R1176" s="494">
        <v>0</v>
      </c>
      <c r="S1176" s="493">
        <v>0</v>
      </c>
      <c r="T1176" s="494">
        <v>75</v>
      </c>
      <c r="U1176" s="493">
        <v>8</v>
      </c>
      <c r="V1176" s="502">
        <v>1</v>
      </c>
      <c r="W1176" s="453">
        <f t="shared" si="325"/>
        <v>3024</v>
      </c>
      <c r="X1176" s="748">
        <f t="shared" si="326"/>
        <v>1.1748251748251748</v>
      </c>
      <c r="Y1176" s="451" t="str">
        <f>IFERROR(VLOOKUP(E:E,'Item Data Support Sheet'!A:J,6,0),0)</f>
        <v>HMC</v>
      </c>
      <c r="Z1176" s="428">
        <f>IFERROR(VLOOKUP(E:E,'Item Data Support Sheet'!A:O,4,0),0)</f>
        <v>32.1</v>
      </c>
      <c r="AA1176" s="428">
        <f t="shared" si="327"/>
        <v>101.44340000000001</v>
      </c>
      <c r="AB1176" s="429">
        <f t="shared" si="328"/>
        <v>0.95689221772929534</v>
      </c>
      <c r="AC1176" s="424">
        <f t="shared" si="329"/>
        <v>2.420135527589545E-2</v>
      </c>
      <c r="AD1176" s="371">
        <f t="shared" si="330"/>
        <v>1.4682911590128085E-2</v>
      </c>
      <c r="AE1176" s="748">
        <f t="shared" si="331"/>
        <v>0.97622067216233355</v>
      </c>
      <c r="AF1176" s="417">
        <f t="shared" si="332"/>
        <v>0</v>
      </c>
      <c r="AG1176" s="416">
        <f t="shared" si="333"/>
        <v>8</v>
      </c>
      <c r="AH1176" s="372">
        <f t="shared" si="334"/>
        <v>1</v>
      </c>
      <c r="AI1176" s="373">
        <f t="shared" si="335"/>
        <v>378</v>
      </c>
      <c r="AJ1176" s="418">
        <f>VLOOKUP(D1176,'Standard Cycle time'!C:D,2,0)</f>
        <v>9</v>
      </c>
      <c r="AK1176" s="418">
        <f t="shared" si="336"/>
        <v>9.5238095238095237</v>
      </c>
      <c r="AL1176" s="374">
        <f t="shared" si="337"/>
        <v>0.94500000000000006</v>
      </c>
      <c r="AM1176" s="372">
        <f t="shared" si="338"/>
        <v>0.92252853519340527</v>
      </c>
      <c r="AN1176" s="799">
        <v>0.92252853519340527</v>
      </c>
      <c r="AO1176" s="448" t="s">
        <v>3953</v>
      </c>
      <c r="AP1176" s="440">
        <v>0</v>
      </c>
      <c r="AQ1176" s="440">
        <v>0</v>
      </c>
      <c r="AR1176" s="440">
        <v>0</v>
      </c>
      <c r="AS1176" s="440">
        <v>0</v>
      </c>
      <c r="AT1176" s="440">
        <v>0</v>
      </c>
      <c r="AU1176" s="440">
        <v>0</v>
      </c>
      <c r="AV1176" s="440">
        <v>0</v>
      </c>
      <c r="AW1176" s="440">
        <v>0</v>
      </c>
      <c r="AX1176" s="440">
        <v>0</v>
      </c>
      <c r="AY1176" s="440">
        <v>0</v>
      </c>
      <c r="AZ1176" s="440">
        <v>0</v>
      </c>
      <c r="BA1176" s="440">
        <v>0</v>
      </c>
      <c r="BB1176" s="440">
        <v>0</v>
      </c>
      <c r="BC1176" s="440">
        <v>0</v>
      </c>
      <c r="BD1176" s="440">
        <v>0</v>
      </c>
      <c r="BE1176" s="440">
        <v>0</v>
      </c>
      <c r="BF1176" s="440">
        <v>0</v>
      </c>
      <c r="BG1176" s="440">
        <v>0</v>
      </c>
      <c r="BH1176" s="440">
        <v>0</v>
      </c>
      <c r="BI1176" s="440">
        <v>0</v>
      </c>
      <c r="BJ1176" s="440">
        <v>0</v>
      </c>
      <c r="BK1176" s="440">
        <v>0</v>
      </c>
      <c r="BL1176" s="440">
        <v>0</v>
      </c>
      <c r="BM1176" s="440">
        <v>0</v>
      </c>
      <c r="BN1176" s="440">
        <v>0</v>
      </c>
      <c r="BO1176" s="440">
        <v>0</v>
      </c>
      <c r="BP1176" s="440">
        <v>0</v>
      </c>
      <c r="BQ1176" s="440">
        <v>0</v>
      </c>
      <c r="BR1176" s="415">
        <v>0</v>
      </c>
      <c r="BS1176" s="415">
        <v>0</v>
      </c>
      <c r="BT1176" s="935"/>
      <c r="BU1176" s="935"/>
      <c r="BV1176" s="935"/>
      <c r="BW1176" s="935"/>
      <c r="BX1176" s="935"/>
      <c r="BY1176" s="935"/>
      <c r="BZ1176" s="935"/>
      <c r="CA1176" s="935"/>
      <c r="CB1176" s="935"/>
      <c r="CC1176" s="935"/>
      <c r="CD1176" s="935"/>
      <c r="CE1176" s="935"/>
      <c r="CF1176" s="935"/>
      <c r="CG1176" s="935"/>
      <c r="CH1176" s="935"/>
      <c r="CI1176" s="935"/>
      <c r="CJ1176" s="935"/>
      <c r="CK1176" s="935"/>
      <c r="CL1176" s="935"/>
      <c r="CM1176" s="935"/>
      <c r="CN1176" s="935"/>
      <c r="CO1176" s="935"/>
      <c r="CP1176" s="935"/>
      <c r="CQ1176" s="935"/>
      <c r="CR1176" s="935"/>
      <c r="CS1176" s="935"/>
      <c r="CT1176" s="935"/>
      <c r="CU1176" s="935"/>
      <c r="CV1176" s="935"/>
    </row>
    <row r="1177" spans="1:100" s="441" customFormat="1">
      <c r="A1177" s="375">
        <f t="shared" si="324"/>
        <v>11</v>
      </c>
      <c r="B1177" s="862">
        <v>44511</v>
      </c>
      <c r="C1177" s="493" t="s">
        <v>1980</v>
      </c>
      <c r="D1177" s="376" t="str">
        <f>IFERROR(VLOOKUP(E:E,'Item Data Support Sheet'!A:O,7,0),"")</f>
        <v>NIPPLE MOLDED</v>
      </c>
      <c r="E1177" s="447" t="s">
        <v>75</v>
      </c>
      <c r="F1177" s="500" t="s">
        <v>1678</v>
      </c>
      <c r="G1177" s="497" t="s">
        <v>1691</v>
      </c>
      <c r="H1177" s="602" t="str">
        <f>IFERROR(VLOOKUP(E:E,'Item Data Support Sheet'!A:O,2,0),"")</f>
        <v>NIPPLE S TYPE Y SIZE INJECTION</v>
      </c>
      <c r="I1177" s="501" t="s">
        <v>3954</v>
      </c>
      <c r="J1177" s="501" t="s">
        <v>2812</v>
      </c>
      <c r="K1177" s="499">
        <v>8</v>
      </c>
      <c r="L1177" s="499">
        <v>4815</v>
      </c>
      <c r="M1177" s="366">
        <v>601.875</v>
      </c>
      <c r="N1177" s="367">
        <f t="shared" si="323"/>
        <v>3141</v>
      </c>
      <c r="O1177" s="61">
        <v>2630</v>
      </c>
      <c r="P1177" s="368">
        <v>0</v>
      </c>
      <c r="Q1177" s="368">
        <v>465</v>
      </c>
      <c r="R1177" s="494">
        <v>0</v>
      </c>
      <c r="S1177" s="493">
        <v>0</v>
      </c>
      <c r="T1177" s="494">
        <v>38</v>
      </c>
      <c r="U1177" s="493">
        <v>8</v>
      </c>
      <c r="V1177" s="502">
        <v>1</v>
      </c>
      <c r="W1177" s="453">
        <f t="shared" si="325"/>
        <v>2630</v>
      </c>
      <c r="X1177" s="748">
        <f t="shared" si="326"/>
        <v>0.54620976116303221</v>
      </c>
      <c r="Y1177" s="451" t="str">
        <f>IFERROR(VLOOKUP(E:E,'Item Data Support Sheet'!A:J,6,0),0)</f>
        <v>Silicon</v>
      </c>
      <c r="Z1177" s="428">
        <f>IFERROR(VLOOKUP(E:E,'Item Data Support Sheet'!A:O,4,0),0)</f>
        <v>6.8</v>
      </c>
      <c r="AA1177" s="428">
        <f t="shared" si="327"/>
        <v>21.358799999999999</v>
      </c>
      <c r="AB1177" s="429">
        <f t="shared" si="328"/>
        <v>0.83731295765679725</v>
      </c>
      <c r="AC1177" s="424">
        <f t="shared" si="329"/>
        <v>1.424287856071964E-2</v>
      </c>
      <c r="AD1177" s="371">
        <f t="shared" si="330"/>
        <v>0.12895174708818635</v>
      </c>
      <c r="AE1177" s="748">
        <f t="shared" si="331"/>
        <v>0.98790194205666981</v>
      </c>
      <c r="AF1177" s="417">
        <f t="shared" si="332"/>
        <v>3.5</v>
      </c>
      <c r="AG1177" s="416">
        <f t="shared" si="333"/>
        <v>4.5</v>
      </c>
      <c r="AH1177" s="372">
        <f t="shared" si="334"/>
        <v>0.5625</v>
      </c>
      <c r="AI1177" s="373">
        <f t="shared" si="335"/>
        <v>328.75</v>
      </c>
      <c r="AJ1177" s="418">
        <f>VLOOKUP(D1177,'Standard Cycle time'!C:D,2,0)</f>
        <v>5.25</v>
      </c>
      <c r="AK1177" s="418">
        <f t="shared" si="336"/>
        <v>6.1596958174904941</v>
      </c>
      <c r="AL1177" s="374">
        <f t="shared" si="337"/>
        <v>0.85231481481481486</v>
      </c>
      <c r="AM1177" s="372">
        <f t="shared" si="338"/>
        <v>0.4736269466995649</v>
      </c>
      <c r="AN1177" s="799">
        <v>0.4736269466995649</v>
      </c>
      <c r="AO1177" s="448" t="s">
        <v>3955</v>
      </c>
      <c r="AP1177" s="440">
        <v>0</v>
      </c>
      <c r="AQ1177" s="440">
        <v>0</v>
      </c>
      <c r="AR1177" s="440">
        <v>0</v>
      </c>
      <c r="AS1177" s="440">
        <v>0</v>
      </c>
      <c r="AT1177" s="440">
        <v>0</v>
      </c>
      <c r="AU1177" s="440">
        <v>30</v>
      </c>
      <c r="AV1177" s="440">
        <v>60</v>
      </c>
      <c r="AW1177" s="440">
        <v>0</v>
      </c>
      <c r="AX1177" s="440">
        <v>0</v>
      </c>
      <c r="AY1177" s="440">
        <v>0</v>
      </c>
      <c r="AZ1177" s="440">
        <v>0</v>
      </c>
      <c r="BA1177" s="440">
        <v>0</v>
      </c>
      <c r="BB1177" s="440">
        <v>0</v>
      </c>
      <c r="BC1177" s="440">
        <v>0</v>
      </c>
      <c r="BD1177" s="440">
        <v>0</v>
      </c>
      <c r="BE1177" s="440">
        <v>0</v>
      </c>
      <c r="BF1177" s="440">
        <v>0</v>
      </c>
      <c r="BG1177" s="440">
        <v>0</v>
      </c>
      <c r="BH1177" s="440">
        <v>0</v>
      </c>
      <c r="BI1177" s="440">
        <v>0</v>
      </c>
      <c r="BJ1177" s="440">
        <v>0</v>
      </c>
      <c r="BK1177" s="440">
        <v>120</v>
      </c>
      <c r="BL1177" s="440">
        <v>0</v>
      </c>
      <c r="BM1177" s="440">
        <v>0</v>
      </c>
      <c r="BN1177" s="440">
        <v>0</v>
      </c>
      <c r="BO1177" s="440">
        <v>0</v>
      </c>
      <c r="BP1177" s="440">
        <v>0</v>
      </c>
      <c r="BQ1177" s="440">
        <v>0</v>
      </c>
      <c r="BR1177" s="415">
        <v>3.5</v>
      </c>
      <c r="BS1177" s="415">
        <v>3.5</v>
      </c>
      <c r="BT1177" s="935"/>
      <c r="BU1177" s="935"/>
      <c r="BV1177" s="935"/>
      <c r="BW1177" s="935"/>
      <c r="BX1177" s="935"/>
      <c r="BY1177" s="935"/>
      <c r="BZ1177" s="935"/>
      <c r="CA1177" s="935"/>
      <c r="CB1177" s="935"/>
      <c r="CC1177" s="935"/>
      <c r="CD1177" s="935"/>
      <c r="CE1177" s="935"/>
      <c r="CF1177" s="935"/>
      <c r="CG1177" s="935"/>
      <c r="CH1177" s="935"/>
      <c r="CI1177" s="935"/>
      <c r="CJ1177" s="935"/>
      <c r="CK1177" s="935"/>
      <c r="CL1177" s="935"/>
      <c r="CM1177" s="935"/>
      <c r="CN1177" s="935"/>
      <c r="CO1177" s="935"/>
      <c r="CP1177" s="935"/>
      <c r="CQ1177" s="935"/>
      <c r="CR1177" s="935"/>
      <c r="CS1177" s="935"/>
      <c r="CT1177" s="935"/>
      <c r="CU1177" s="935"/>
      <c r="CV1177" s="935"/>
    </row>
    <row r="1178" spans="1:100" s="441" customFormat="1">
      <c r="A1178" s="375">
        <f t="shared" si="324"/>
        <v>11</v>
      </c>
      <c r="B1178" s="862">
        <v>44511</v>
      </c>
      <c r="C1178" s="493" t="s">
        <v>1980</v>
      </c>
      <c r="D1178" s="376" t="str">
        <f>IFERROR(VLOOKUP(E:E,'Item Data Support Sheet'!A:O,7,0),"")</f>
        <v>HOOD MOLDED</v>
      </c>
      <c r="E1178" s="447" t="s">
        <v>1987</v>
      </c>
      <c r="F1178" s="500"/>
      <c r="G1178" s="497" t="s">
        <v>2729</v>
      </c>
      <c r="H1178" s="602" t="str">
        <f>IFERROR(VLOOKUP(E:E,'Item Data Support Sheet'!A:O,2,0),"")</f>
        <v>HOOD S TYPE MOLDED</v>
      </c>
      <c r="I1178" s="501" t="s">
        <v>3956</v>
      </c>
      <c r="J1178" s="501" t="s">
        <v>2812</v>
      </c>
      <c r="K1178" s="499">
        <v>8</v>
      </c>
      <c r="L1178" s="499">
        <v>4137</v>
      </c>
      <c r="M1178" s="366">
        <v>517.125</v>
      </c>
      <c r="N1178" s="367">
        <f t="shared" si="323"/>
        <v>5008</v>
      </c>
      <c r="O1178" s="61">
        <v>5000</v>
      </c>
      <c r="P1178" s="368">
        <v>0</v>
      </c>
      <c r="Q1178" s="368">
        <v>0</v>
      </c>
      <c r="R1178" s="494">
        <v>0</v>
      </c>
      <c r="S1178" s="493">
        <v>0</v>
      </c>
      <c r="T1178" s="494">
        <v>4</v>
      </c>
      <c r="U1178" s="493">
        <v>4</v>
      </c>
      <c r="V1178" s="502">
        <v>1</v>
      </c>
      <c r="W1178" s="453">
        <f t="shared" si="325"/>
        <v>5000</v>
      </c>
      <c r="X1178" s="748">
        <f t="shared" si="326"/>
        <v>1.2086052695189751</v>
      </c>
      <c r="Y1178" s="451" t="str">
        <f>IFERROR(VLOOKUP(E:E,'Item Data Support Sheet'!A:J,6,0),0)</f>
        <v>HMC</v>
      </c>
      <c r="Z1178" s="428">
        <f>IFERROR(VLOOKUP(E:E,'Item Data Support Sheet'!A:O,4,0),0)</f>
        <v>8.6</v>
      </c>
      <c r="AA1178" s="428">
        <f t="shared" si="327"/>
        <v>43.068800000000003</v>
      </c>
      <c r="AB1178" s="429">
        <f t="shared" si="328"/>
        <v>0.99840255591054305</v>
      </c>
      <c r="AC1178" s="424">
        <f t="shared" si="329"/>
        <v>7.993605115907274E-4</v>
      </c>
      <c r="AD1178" s="371">
        <f t="shared" si="330"/>
        <v>0</v>
      </c>
      <c r="AE1178" s="748">
        <f t="shared" si="331"/>
        <v>0.99920127795527158</v>
      </c>
      <c r="AF1178" s="417">
        <f t="shared" si="332"/>
        <v>0</v>
      </c>
      <c r="AG1178" s="416">
        <f t="shared" si="333"/>
        <v>8</v>
      </c>
      <c r="AH1178" s="372">
        <f t="shared" si="334"/>
        <v>1</v>
      </c>
      <c r="AI1178" s="373">
        <f t="shared" si="335"/>
        <v>625</v>
      </c>
      <c r="AJ1178" s="418">
        <f>VLOOKUP(D1178,'Standard Cycle time'!C:D,2,0)</f>
        <v>6</v>
      </c>
      <c r="AK1178" s="418">
        <f t="shared" si="336"/>
        <v>5.76</v>
      </c>
      <c r="AL1178" s="374">
        <f t="shared" si="337"/>
        <v>1.0416666666666667</v>
      </c>
      <c r="AM1178" s="372">
        <f t="shared" si="338"/>
        <v>1.0408346645367412</v>
      </c>
      <c r="AN1178" s="799">
        <v>1.0408346645367412</v>
      </c>
      <c r="AO1178" s="448"/>
      <c r="AP1178" s="440">
        <v>0</v>
      </c>
      <c r="AQ1178" s="440">
        <v>0</v>
      </c>
      <c r="AR1178" s="440">
        <v>0</v>
      </c>
      <c r="AS1178" s="440">
        <v>0</v>
      </c>
      <c r="AT1178" s="440">
        <v>0</v>
      </c>
      <c r="AU1178" s="440">
        <v>0</v>
      </c>
      <c r="AV1178" s="440">
        <v>0</v>
      </c>
      <c r="AW1178" s="440">
        <v>0</v>
      </c>
      <c r="AX1178" s="440">
        <v>0</v>
      </c>
      <c r="AY1178" s="440">
        <v>0</v>
      </c>
      <c r="AZ1178" s="440">
        <v>0</v>
      </c>
      <c r="BA1178" s="440">
        <v>0</v>
      </c>
      <c r="BB1178" s="440">
        <v>0</v>
      </c>
      <c r="BC1178" s="440">
        <v>0</v>
      </c>
      <c r="BD1178" s="440">
        <v>0</v>
      </c>
      <c r="BE1178" s="440">
        <v>0</v>
      </c>
      <c r="BF1178" s="440">
        <v>0</v>
      </c>
      <c r="BG1178" s="440">
        <v>0</v>
      </c>
      <c r="BH1178" s="440">
        <v>0</v>
      </c>
      <c r="BI1178" s="440">
        <v>0</v>
      </c>
      <c r="BJ1178" s="440">
        <v>0</v>
      </c>
      <c r="BK1178" s="440">
        <v>0</v>
      </c>
      <c r="BL1178" s="440">
        <v>0</v>
      </c>
      <c r="BM1178" s="440">
        <v>0</v>
      </c>
      <c r="BN1178" s="440">
        <v>0</v>
      </c>
      <c r="BO1178" s="440">
        <v>0</v>
      </c>
      <c r="BP1178" s="440">
        <v>0</v>
      </c>
      <c r="BQ1178" s="440">
        <v>0</v>
      </c>
      <c r="BR1178" s="415">
        <v>0</v>
      </c>
      <c r="BS1178" s="415">
        <v>0</v>
      </c>
      <c r="BT1178" s="935"/>
      <c r="BU1178" s="935"/>
      <c r="BV1178" s="935"/>
      <c r="BW1178" s="935"/>
      <c r="BX1178" s="935"/>
      <c r="BY1178" s="935"/>
      <c r="BZ1178" s="935"/>
      <c r="CA1178" s="935"/>
      <c r="CB1178" s="935"/>
      <c r="CC1178" s="935"/>
      <c r="CD1178" s="935"/>
      <c r="CE1178" s="935"/>
      <c r="CF1178" s="935"/>
      <c r="CG1178" s="935"/>
      <c r="CH1178" s="935"/>
      <c r="CI1178" s="935"/>
      <c r="CJ1178" s="935"/>
      <c r="CK1178" s="935"/>
      <c r="CL1178" s="935"/>
      <c r="CM1178" s="935"/>
      <c r="CN1178" s="935"/>
      <c r="CO1178" s="935"/>
      <c r="CP1178" s="935"/>
      <c r="CQ1178" s="935"/>
      <c r="CR1178" s="935"/>
      <c r="CS1178" s="935"/>
      <c r="CT1178" s="935"/>
      <c r="CU1178" s="935"/>
      <c r="CV1178" s="935"/>
    </row>
    <row r="1179" spans="1:100" s="441" customFormat="1">
      <c r="A1179" s="375">
        <f t="shared" si="324"/>
        <v>11</v>
      </c>
      <c r="B1179" s="862">
        <v>44511</v>
      </c>
      <c r="C1179" s="493" t="s">
        <v>1980</v>
      </c>
      <c r="D1179" s="376" t="str">
        <f>IFERROR(VLOOKUP(E:E,'Item Data Support Sheet'!A:O,7,0),"")</f>
        <v>NIPPLE PUNCH</v>
      </c>
      <c r="E1179" s="447" t="s">
        <v>83</v>
      </c>
      <c r="F1179" s="500"/>
      <c r="G1179" s="497" t="s">
        <v>1692</v>
      </c>
      <c r="H1179" s="602" t="str">
        <f>IFERROR(VLOOKUP(E:E,'Item Data Support Sheet'!A:O,2,0),"")</f>
        <v>NIPPLE S TYPE Y SIZE PUNCHED</v>
      </c>
      <c r="I1179" s="501" t="s">
        <v>3957</v>
      </c>
      <c r="J1179" s="501" t="s">
        <v>2812</v>
      </c>
      <c r="K1179" s="499">
        <v>8</v>
      </c>
      <c r="L1179" s="499">
        <v>7000</v>
      </c>
      <c r="M1179" s="366">
        <v>875</v>
      </c>
      <c r="N1179" s="367">
        <f t="shared" si="323"/>
        <v>6000</v>
      </c>
      <c r="O1179" s="61">
        <v>6000</v>
      </c>
      <c r="P1179" s="368">
        <v>0</v>
      </c>
      <c r="Q1179" s="368">
        <v>0</v>
      </c>
      <c r="R1179" s="494">
        <v>0</v>
      </c>
      <c r="S1179" s="493">
        <v>0</v>
      </c>
      <c r="T1179" s="494">
        <v>0</v>
      </c>
      <c r="U1179" s="493">
        <v>0</v>
      </c>
      <c r="V1179" s="502">
        <v>1</v>
      </c>
      <c r="W1179" s="453">
        <f t="shared" si="325"/>
        <v>6000</v>
      </c>
      <c r="X1179" s="748">
        <f t="shared" si="326"/>
        <v>0.8571428571428571</v>
      </c>
      <c r="Y1179" s="451" t="str">
        <f>IFERROR(VLOOKUP(E:E,'Item Data Support Sheet'!A:J,6,0),0)</f>
        <v>FO018</v>
      </c>
      <c r="Z1179" s="428">
        <f>IFERROR(VLOOKUP(E:E,'Item Data Support Sheet'!A:O,4,0),0)</f>
        <v>0</v>
      </c>
      <c r="AA1179" s="428">
        <f t="shared" si="327"/>
        <v>0</v>
      </c>
      <c r="AB1179" s="429" t="str">
        <f t="shared" si="328"/>
        <v xml:space="preserve"> </v>
      </c>
      <c r="AC1179" s="424">
        <f t="shared" si="329"/>
        <v>0</v>
      </c>
      <c r="AD1179" s="371">
        <f t="shared" si="330"/>
        <v>0</v>
      </c>
      <c r="AE1179" s="748">
        <f t="shared" si="331"/>
        <v>1</v>
      </c>
      <c r="AF1179" s="417">
        <f t="shared" si="332"/>
        <v>1.6666666666666667</v>
      </c>
      <c r="AG1179" s="416">
        <f t="shared" si="333"/>
        <v>6.333333333333333</v>
      </c>
      <c r="AH1179" s="372">
        <f t="shared" si="334"/>
        <v>0.79166666666666663</v>
      </c>
      <c r="AI1179" s="373">
        <f t="shared" si="335"/>
        <v>750</v>
      </c>
      <c r="AJ1179" s="418">
        <f>VLOOKUP(D1179,'Standard Cycle time'!C:D,2,0)</f>
        <v>3.5</v>
      </c>
      <c r="AK1179" s="418">
        <f t="shared" si="336"/>
        <v>3.8</v>
      </c>
      <c r="AL1179" s="374">
        <f t="shared" si="337"/>
        <v>0.92105263157894746</v>
      </c>
      <c r="AM1179" s="372">
        <f t="shared" si="338"/>
        <v>0.72916666666666674</v>
      </c>
      <c r="AN1179" s="799">
        <v>0.72916666666666674</v>
      </c>
      <c r="AO1179" s="448" t="s">
        <v>3958</v>
      </c>
      <c r="AP1179" s="440">
        <v>40</v>
      </c>
      <c r="AQ1179" s="440">
        <v>30</v>
      </c>
      <c r="AR1179" s="440">
        <v>0</v>
      </c>
      <c r="AS1179" s="440">
        <v>0</v>
      </c>
      <c r="AT1179" s="440">
        <v>0</v>
      </c>
      <c r="AU1179" s="440">
        <v>0</v>
      </c>
      <c r="AV1179" s="440">
        <v>30</v>
      </c>
      <c r="AW1179" s="440">
        <v>0</v>
      </c>
      <c r="AX1179" s="440">
        <v>0</v>
      </c>
      <c r="AY1179" s="440">
        <v>0</v>
      </c>
      <c r="AZ1179" s="440">
        <v>0</v>
      </c>
      <c r="BA1179" s="440">
        <v>0</v>
      </c>
      <c r="BB1179" s="440">
        <v>0</v>
      </c>
      <c r="BC1179" s="440">
        <v>0</v>
      </c>
      <c r="BD1179" s="440">
        <v>0</v>
      </c>
      <c r="BE1179" s="440">
        <v>0</v>
      </c>
      <c r="BF1179" s="440">
        <v>0</v>
      </c>
      <c r="BG1179" s="440">
        <v>0</v>
      </c>
      <c r="BH1179" s="440">
        <v>0</v>
      </c>
      <c r="BI1179" s="440">
        <v>0</v>
      </c>
      <c r="BJ1179" s="440">
        <v>0</v>
      </c>
      <c r="BK1179" s="440">
        <v>0</v>
      </c>
      <c r="BL1179" s="440">
        <v>0</v>
      </c>
      <c r="BM1179" s="440">
        <v>0</v>
      </c>
      <c r="BN1179" s="440">
        <v>0</v>
      </c>
      <c r="BO1179" s="440">
        <v>0</v>
      </c>
      <c r="BP1179" s="440">
        <v>0</v>
      </c>
      <c r="BQ1179" s="440">
        <v>0</v>
      </c>
      <c r="BR1179" s="415">
        <v>1.6666666666666667</v>
      </c>
      <c r="BS1179" s="415">
        <v>1.6666666666666667</v>
      </c>
      <c r="BT1179" s="935"/>
      <c r="BU1179" s="935"/>
      <c r="BV1179" s="935"/>
      <c r="BW1179" s="935"/>
      <c r="BX1179" s="935"/>
      <c r="BY1179" s="935"/>
      <c r="BZ1179" s="935"/>
      <c r="CA1179" s="935"/>
      <c r="CB1179" s="935"/>
      <c r="CC1179" s="935"/>
      <c r="CD1179" s="935"/>
      <c r="CE1179" s="935"/>
      <c r="CF1179" s="935"/>
      <c r="CG1179" s="935"/>
      <c r="CH1179" s="935"/>
      <c r="CI1179" s="935"/>
      <c r="CJ1179" s="935"/>
      <c r="CK1179" s="935"/>
      <c r="CL1179" s="935"/>
      <c r="CM1179" s="935"/>
      <c r="CN1179" s="935"/>
      <c r="CO1179" s="935"/>
      <c r="CP1179" s="935"/>
      <c r="CQ1179" s="935"/>
      <c r="CR1179" s="935"/>
      <c r="CS1179" s="935"/>
      <c r="CT1179" s="935"/>
      <c r="CU1179" s="935"/>
      <c r="CV1179" s="935"/>
    </row>
    <row r="1180" spans="1:100" s="441" customFormat="1">
      <c r="A1180" s="375">
        <f t="shared" si="324"/>
        <v>11</v>
      </c>
      <c r="B1180" s="862">
        <v>44511</v>
      </c>
      <c r="C1180" s="493" t="s">
        <v>1980</v>
      </c>
      <c r="D1180" s="376" t="str">
        <f>IFERROR(VLOOKUP(E:E,'Item Data Support Sheet'!A:O,7,0),"")</f>
        <v>NIPPLE LASER MARKING</v>
      </c>
      <c r="E1180" s="447" t="s">
        <v>1817</v>
      </c>
      <c r="F1180" s="500"/>
      <c r="G1180" s="497" t="s">
        <v>1812</v>
      </c>
      <c r="H1180" s="602" t="str">
        <f>IFERROR(VLOOKUP(E:E,'Item Data Support Sheet'!A:O,2,0),"")</f>
        <v>NIPPLE S TYPE Y SIZE PUNCHED LASER MARKED</v>
      </c>
      <c r="I1180" s="501" t="s">
        <v>3959</v>
      </c>
      <c r="J1180" s="501" t="s">
        <v>2812</v>
      </c>
      <c r="K1180" s="499">
        <v>8</v>
      </c>
      <c r="L1180" s="499">
        <v>7000</v>
      </c>
      <c r="M1180" s="366">
        <v>875</v>
      </c>
      <c r="N1180" s="367">
        <f t="shared" si="323"/>
        <v>5000</v>
      </c>
      <c r="O1180" s="61">
        <v>5000</v>
      </c>
      <c r="P1180" s="368">
        <v>0</v>
      </c>
      <c r="Q1180" s="368">
        <v>0</v>
      </c>
      <c r="R1180" s="494">
        <v>0</v>
      </c>
      <c r="S1180" s="493">
        <v>0</v>
      </c>
      <c r="T1180" s="494">
        <v>0</v>
      </c>
      <c r="U1180" s="493">
        <v>0</v>
      </c>
      <c r="V1180" s="502">
        <v>1</v>
      </c>
      <c r="W1180" s="453">
        <f t="shared" si="325"/>
        <v>5000</v>
      </c>
      <c r="X1180" s="748">
        <f t="shared" si="326"/>
        <v>0.7142857142857143</v>
      </c>
      <c r="Y1180" s="451" t="str">
        <f>IFERROR(VLOOKUP(E:E,'Item Data Support Sheet'!A:J,6,0),0)</f>
        <v>FO022</v>
      </c>
      <c r="Z1180" s="428">
        <f>IFERROR(VLOOKUP(E:E,'Item Data Support Sheet'!A:O,4,0),0)</f>
        <v>0</v>
      </c>
      <c r="AA1180" s="428">
        <f t="shared" si="327"/>
        <v>0</v>
      </c>
      <c r="AB1180" s="429" t="str">
        <f t="shared" si="328"/>
        <v xml:space="preserve"> </v>
      </c>
      <c r="AC1180" s="424">
        <f t="shared" si="329"/>
        <v>0</v>
      </c>
      <c r="AD1180" s="371">
        <f t="shared" si="330"/>
        <v>0</v>
      </c>
      <c r="AE1180" s="748">
        <f t="shared" si="331"/>
        <v>1</v>
      </c>
      <c r="AF1180" s="417">
        <f t="shared" si="332"/>
        <v>0.66666666666666663</v>
      </c>
      <c r="AG1180" s="416">
        <f t="shared" si="333"/>
        <v>7.333333333333333</v>
      </c>
      <c r="AH1180" s="372">
        <f t="shared" si="334"/>
        <v>0.91666666666666663</v>
      </c>
      <c r="AI1180" s="373">
        <f t="shared" si="335"/>
        <v>625</v>
      </c>
      <c r="AJ1180" s="418">
        <f>VLOOKUP(D1180,'Standard Cycle time'!C:D,2,0)</f>
        <v>3.5</v>
      </c>
      <c r="AK1180" s="418">
        <f t="shared" si="336"/>
        <v>5.28</v>
      </c>
      <c r="AL1180" s="374">
        <f t="shared" si="337"/>
        <v>0.66287878787878785</v>
      </c>
      <c r="AM1180" s="372">
        <f t="shared" si="338"/>
        <v>0.60763888888888884</v>
      </c>
      <c r="AN1180" s="799">
        <v>0.60763888888888884</v>
      </c>
      <c r="AO1180" s="448" t="s">
        <v>2746</v>
      </c>
      <c r="AP1180" s="440">
        <v>40</v>
      </c>
      <c r="AQ1180" s="440">
        <v>0</v>
      </c>
      <c r="AR1180" s="440">
        <v>0</v>
      </c>
      <c r="AS1180" s="440">
        <v>0</v>
      </c>
      <c r="AT1180" s="440">
        <v>0</v>
      </c>
      <c r="AU1180" s="440">
        <v>0</v>
      </c>
      <c r="AV1180" s="440">
        <v>0</v>
      </c>
      <c r="AW1180" s="440">
        <v>0</v>
      </c>
      <c r="AX1180" s="440">
        <v>0</v>
      </c>
      <c r="AY1180" s="440">
        <v>0</v>
      </c>
      <c r="AZ1180" s="440">
        <v>0</v>
      </c>
      <c r="BA1180" s="440">
        <v>0</v>
      </c>
      <c r="BB1180" s="440">
        <v>0</v>
      </c>
      <c r="BC1180" s="440">
        <v>0</v>
      </c>
      <c r="BD1180" s="440">
        <v>0</v>
      </c>
      <c r="BE1180" s="440">
        <v>0</v>
      </c>
      <c r="BF1180" s="440">
        <v>0</v>
      </c>
      <c r="BG1180" s="440">
        <v>0</v>
      </c>
      <c r="BH1180" s="440">
        <v>0</v>
      </c>
      <c r="BI1180" s="440">
        <v>0</v>
      </c>
      <c r="BJ1180" s="440">
        <v>0</v>
      </c>
      <c r="BK1180" s="440">
        <v>0</v>
      </c>
      <c r="BL1180" s="440">
        <v>0</v>
      </c>
      <c r="BM1180" s="440">
        <v>0</v>
      </c>
      <c r="BN1180" s="440">
        <v>0</v>
      </c>
      <c r="BO1180" s="440">
        <v>0</v>
      </c>
      <c r="BP1180" s="440">
        <v>0</v>
      </c>
      <c r="BQ1180" s="440">
        <v>0</v>
      </c>
      <c r="BR1180" s="415">
        <v>0.66666666666666663</v>
      </c>
      <c r="BS1180" s="415">
        <v>0.66666666666666663</v>
      </c>
      <c r="BT1180" s="935"/>
      <c r="BU1180" s="935"/>
      <c r="BV1180" s="935"/>
      <c r="BW1180" s="935"/>
      <c r="BX1180" s="935"/>
      <c r="BY1180" s="935"/>
      <c r="BZ1180" s="935"/>
      <c r="CA1180" s="935"/>
      <c r="CB1180" s="935"/>
      <c r="CC1180" s="935"/>
      <c r="CD1180" s="935"/>
      <c r="CE1180" s="935"/>
      <c r="CF1180" s="935"/>
      <c r="CG1180" s="935"/>
      <c r="CH1180" s="935"/>
      <c r="CI1180" s="935"/>
      <c r="CJ1180" s="935"/>
      <c r="CK1180" s="935"/>
      <c r="CL1180" s="935"/>
      <c r="CM1180" s="935"/>
      <c r="CN1180" s="935"/>
      <c r="CO1180" s="935"/>
      <c r="CP1180" s="935"/>
      <c r="CQ1180" s="935"/>
      <c r="CR1180" s="935"/>
      <c r="CS1180" s="935"/>
      <c r="CT1180" s="935"/>
      <c r="CU1180" s="935"/>
      <c r="CV1180" s="935"/>
    </row>
    <row r="1181" spans="1:100" s="441" customFormat="1">
      <c r="A1181" s="375">
        <f t="shared" si="324"/>
        <v>11</v>
      </c>
      <c r="B1181" s="862">
        <v>44511</v>
      </c>
      <c r="C1181" s="493" t="s">
        <v>1980</v>
      </c>
      <c r="D1181" s="376" t="str">
        <f>IFERROR(VLOOKUP(E:E,'Item Data Support Sheet'!A:O,7,0),"")</f>
        <v>BOTTLE PRINTED</v>
      </c>
      <c r="E1181" s="447" t="s">
        <v>70</v>
      </c>
      <c r="F1181" s="500"/>
      <c r="G1181" s="497"/>
      <c r="H1181" s="602" t="str">
        <f>IFERROR(VLOOKUP(E:E,'Item Data Support Sheet'!A:O,2,0),"")</f>
        <v>KPP 200 ML BOTTLE PRINTED</v>
      </c>
      <c r="I1181" s="501" t="s">
        <v>3960</v>
      </c>
      <c r="J1181" s="501" t="s">
        <v>2812</v>
      </c>
      <c r="K1181" s="499">
        <v>8</v>
      </c>
      <c r="L1181" s="499">
        <v>5100</v>
      </c>
      <c r="M1181" s="366">
        <v>637.5</v>
      </c>
      <c r="N1181" s="367">
        <f t="shared" si="323"/>
        <v>4996</v>
      </c>
      <c r="O1181" s="61">
        <v>4968</v>
      </c>
      <c r="P1181" s="368">
        <v>0</v>
      </c>
      <c r="Q1181" s="368">
        <v>0</v>
      </c>
      <c r="R1181" s="494">
        <v>41</v>
      </c>
      <c r="S1181" s="493">
        <v>0</v>
      </c>
      <c r="T1181" s="494">
        <v>28</v>
      </c>
      <c r="U1181" s="493">
        <v>0</v>
      </c>
      <c r="V1181" s="502">
        <v>5</v>
      </c>
      <c r="W1181" s="453">
        <f t="shared" si="325"/>
        <v>993.6</v>
      </c>
      <c r="X1181" s="748">
        <f t="shared" si="326"/>
        <v>0.97411764705882353</v>
      </c>
      <c r="Y1181" s="451" t="str">
        <f>IFERROR(VLOOKUP(E:E,'Item Data Support Sheet'!A:J,6,0),0)</f>
        <v>FO002</v>
      </c>
      <c r="Z1181" s="428">
        <f>IFERROR(VLOOKUP(E:E,'Item Data Support Sheet'!A:O,4,0),0)</f>
        <v>0</v>
      </c>
      <c r="AA1181" s="428">
        <f t="shared" si="327"/>
        <v>0</v>
      </c>
      <c r="AB1181" s="429" t="str">
        <f t="shared" si="328"/>
        <v xml:space="preserve"> </v>
      </c>
      <c r="AC1181" s="424">
        <f t="shared" si="329"/>
        <v>5.6044835868694952E-3</v>
      </c>
      <c r="AD1181" s="371">
        <f t="shared" si="330"/>
        <v>0</v>
      </c>
      <c r="AE1181" s="748">
        <f t="shared" si="331"/>
        <v>0.99439551641313051</v>
      </c>
      <c r="AF1181" s="417">
        <f t="shared" si="332"/>
        <v>0.66666666666666663</v>
      </c>
      <c r="AG1181" s="416">
        <f t="shared" si="333"/>
        <v>7.333333333333333</v>
      </c>
      <c r="AH1181" s="372">
        <f t="shared" si="334"/>
        <v>0.91666666666666663</v>
      </c>
      <c r="AI1181" s="373">
        <f t="shared" si="335"/>
        <v>621</v>
      </c>
      <c r="AJ1181" s="418">
        <f>VLOOKUP(D1181,'Standard Cycle time'!C:D,2,0)</f>
        <v>32.4</v>
      </c>
      <c r="AK1181" s="418">
        <f t="shared" si="336"/>
        <v>26.570048309178745</v>
      </c>
      <c r="AL1181" s="374">
        <f t="shared" si="337"/>
        <v>1.2194181818181817</v>
      </c>
      <c r="AM1181" s="372">
        <f t="shared" si="338"/>
        <v>1.1115353082465971</v>
      </c>
      <c r="AN1181" s="799">
        <v>1.1115353082465971</v>
      </c>
      <c r="AO1181" s="448"/>
      <c r="AP1181" s="440">
        <v>40</v>
      </c>
      <c r="AQ1181" s="440">
        <v>0</v>
      </c>
      <c r="AR1181" s="440">
        <v>0</v>
      </c>
      <c r="AS1181" s="440">
        <v>0</v>
      </c>
      <c r="AT1181" s="440">
        <v>0</v>
      </c>
      <c r="AU1181" s="440">
        <v>0</v>
      </c>
      <c r="AV1181" s="440">
        <v>0</v>
      </c>
      <c r="AW1181" s="440">
        <v>0</v>
      </c>
      <c r="AX1181" s="440">
        <v>0</v>
      </c>
      <c r="AY1181" s="440">
        <v>0</v>
      </c>
      <c r="AZ1181" s="440">
        <v>0</v>
      </c>
      <c r="BA1181" s="440">
        <v>0</v>
      </c>
      <c r="BB1181" s="440">
        <v>0</v>
      </c>
      <c r="BC1181" s="440">
        <v>0</v>
      </c>
      <c r="BD1181" s="440">
        <v>0</v>
      </c>
      <c r="BE1181" s="440">
        <v>0</v>
      </c>
      <c r="BF1181" s="440">
        <v>0</v>
      </c>
      <c r="BG1181" s="440">
        <v>0</v>
      </c>
      <c r="BH1181" s="440">
        <v>0</v>
      </c>
      <c r="BI1181" s="440">
        <v>0</v>
      </c>
      <c r="BJ1181" s="440">
        <v>0</v>
      </c>
      <c r="BK1181" s="440">
        <v>0</v>
      </c>
      <c r="BL1181" s="440">
        <v>0</v>
      </c>
      <c r="BM1181" s="440">
        <v>0</v>
      </c>
      <c r="BN1181" s="440">
        <v>0</v>
      </c>
      <c r="BO1181" s="440">
        <v>0</v>
      </c>
      <c r="BP1181" s="440">
        <v>0</v>
      </c>
      <c r="BQ1181" s="440">
        <v>0</v>
      </c>
      <c r="BR1181" s="415">
        <v>0.66666666666666663</v>
      </c>
      <c r="BS1181" s="415">
        <v>0.66666666666666663</v>
      </c>
      <c r="BT1181" s="935"/>
      <c r="BU1181" s="935"/>
      <c r="BV1181" s="935"/>
      <c r="BW1181" s="935"/>
      <c r="BX1181" s="935"/>
      <c r="BY1181" s="935"/>
      <c r="BZ1181" s="935"/>
      <c r="CA1181" s="935"/>
      <c r="CB1181" s="935"/>
      <c r="CC1181" s="935"/>
      <c r="CD1181" s="935"/>
      <c r="CE1181" s="935"/>
      <c r="CF1181" s="935"/>
      <c r="CG1181" s="935"/>
      <c r="CH1181" s="935"/>
      <c r="CI1181" s="935"/>
      <c r="CJ1181" s="935"/>
      <c r="CK1181" s="935"/>
      <c r="CL1181" s="935"/>
      <c r="CM1181" s="935"/>
      <c r="CN1181" s="935"/>
      <c r="CO1181" s="935"/>
      <c r="CP1181" s="935"/>
      <c r="CQ1181" s="935"/>
      <c r="CR1181" s="935"/>
      <c r="CS1181" s="935"/>
      <c r="CT1181" s="935"/>
      <c r="CU1181" s="935"/>
      <c r="CV1181" s="935"/>
    </row>
    <row r="1182" spans="1:100" s="441" customFormat="1">
      <c r="A1182" s="375">
        <f t="shared" si="324"/>
        <v>11</v>
      </c>
      <c r="B1182" s="862">
        <v>44511</v>
      </c>
      <c r="C1182" s="493" t="s">
        <v>2000</v>
      </c>
      <c r="D1182" s="376" t="str">
        <f>IFERROR(VLOOKUP(E:E,'Item Data Support Sheet'!A:O,7,0),"")</f>
        <v>NIPPLE PUNCH INSPECTED</v>
      </c>
      <c r="E1182" s="447" t="s">
        <v>1821</v>
      </c>
      <c r="F1182" s="500"/>
      <c r="G1182" s="497"/>
      <c r="H1182" s="602" t="str">
        <f>IFERROR(VLOOKUP(E:E,'Item Data Support Sheet'!A:O,2,0),"")</f>
        <v>NIPPLE S TYPE Y SIZE PUNCHED INSPECTED</v>
      </c>
      <c r="I1182" s="501" t="s">
        <v>3961</v>
      </c>
      <c r="J1182" s="501" t="s">
        <v>2811</v>
      </c>
      <c r="K1182" s="499">
        <v>8</v>
      </c>
      <c r="L1182" s="499">
        <v>14000</v>
      </c>
      <c r="M1182" s="366">
        <v>1750</v>
      </c>
      <c r="N1182" s="367">
        <f t="shared" si="323"/>
        <v>7000</v>
      </c>
      <c r="O1182" s="61">
        <v>6967</v>
      </c>
      <c r="P1182" s="368">
        <v>0</v>
      </c>
      <c r="Q1182" s="368">
        <v>0</v>
      </c>
      <c r="R1182" s="494">
        <v>0</v>
      </c>
      <c r="S1182" s="493">
        <v>0</v>
      </c>
      <c r="T1182" s="494">
        <v>33</v>
      </c>
      <c r="U1182" s="493">
        <v>0</v>
      </c>
      <c r="V1182" s="502">
        <v>1</v>
      </c>
      <c r="W1182" s="453">
        <f t="shared" si="325"/>
        <v>6967</v>
      </c>
      <c r="X1182" s="748">
        <f t="shared" si="326"/>
        <v>0.49764285714285716</v>
      </c>
      <c r="Y1182" s="451" t="str">
        <f>IFERROR(VLOOKUP(E:E,'Item Data Support Sheet'!A:J,6,0),0)</f>
        <v>FO107</v>
      </c>
      <c r="Z1182" s="428">
        <f>IFERROR(VLOOKUP(E:E,'Item Data Support Sheet'!A:O,4,0),0)</f>
        <v>0</v>
      </c>
      <c r="AA1182" s="428">
        <f t="shared" si="327"/>
        <v>0</v>
      </c>
      <c r="AB1182" s="429" t="str">
        <f t="shared" si="328"/>
        <v xml:space="preserve"> </v>
      </c>
      <c r="AC1182" s="424">
        <f t="shared" si="329"/>
        <v>4.7142857142857143E-3</v>
      </c>
      <c r="AD1182" s="371">
        <f t="shared" si="330"/>
        <v>0</v>
      </c>
      <c r="AE1182" s="748">
        <f t="shared" si="331"/>
        <v>0.99528571428571433</v>
      </c>
      <c r="AF1182" s="417">
        <f t="shared" si="332"/>
        <v>0.83333333333333337</v>
      </c>
      <c r="AG1182" s="416">
        <f t="shared" si="333"/>
        <v>7.166666666666667</v>
      </c>
      <c r="AH1182" s="372">
        <f t="shared" si="334"/>
        <v>0.89583333333333337</v>
      </c>
      <c r="AI1182" s="373">
        <f t="shared" si="335"/>
        <v>870.875</v>
      </c>
      <c r="AJ1182" s="418">
        <f>VLOOKUP(D1182,'Standard Cycle time'!C:D,2,0)</f>
        <v>4</v>
      </c>
      <c r="AK1182" s="418">
        <f t="shared" si="336"/>
        <v>3.7031720970288502</v>
      </c>
      <c r="AL1182" s="374">
        <f t="shared" si="337"/>
        <v>1.0801550387596899</v>
      </c>
      <c r="AM1182" s="372">
        <f t="shared" si="338"/>
        <v>0.9630771626984127</v>
      </c>
      <c r="AN1182" s="799">
        <v>0.9630771626984127</v>
      </c>
      <c r="AO1182" s="448"/>
      <c r="AP1182" s="440">
        <v>50</v>
      </c>
      <c r="AQ1182" s="440">
        <v>0</v>
      </c>
      <c r="AR1182" s="440">
        <v>0</v>
      </c>
      <c r="AS1182" s="440">
        <v>0</v>
      </c>
      <c r="AT1182" s="440">
        <v>0</v>
      </c>
      <c r="AU1182" s="440">
        <v>0</v>
      </c>
      <c r="AV1182" s="440">
        <v>0</v>
      </c>
      <c r="AW1182" s="440">
        <v>0</v>
      </c>
      <c r="AX1182" s="440">
        <v>0</v>
      </c>
      <c r="AY1182" s="440">
        <v>0</v>
      </c>
      <c r="AZ1182" s="440">
        <v>0</v>
      </c>
      <c r="BA1182" s="440">
        <v>0</v>
      </c>
      <c r="BB1182" s="440">
        <v>0</v>
      </c>
      <c r="BC1182" s="440">
        <v>0</v>
      </c>
      <c r="BD1182" s="440">
        <v>0</v>
      </c>
      <c r="BE1182" s="440">
        <v>0</v>
      </c>
      <c r="BF1182" s="440">
        <v>0</v>
      </c>
      <c r="BG1182" s="440">
        <v>0</v>
      </c>
      <c r="BH1182" s="440">
        <v>0</v>
      </c>
      <c r="BI1182" s="440">
        <v>0</v>
      </c>
      <c r="BJ1182" s="440">
        <v>0</v>
      </c>
      <c r="BK1182" s="440">
        <v>0</v>
      </c>
      <c r="BL1182" s="440">
        <v>0</v>
      </c>
      <c r="BM1182" s="440">
        <v>0</v>
      </c>
      <c r="BN1182" s="440">
        <v>0</v>
      </c>
      <c r="BO1182" s="440">
        <v>0</v>
      </c>
      <c r="BP1182" s="440">
        <v>0</v>
      </c>
      <c r="BQ1182" s="440">
        <v>0</v>
      </c>
      <c r="BR1182" s="415">
        <v>0.83333333333333337</v>
      </c>
      <c r="BS1182" s="415">
        <v>0.83333333333333337</v>
      </c>
      <c r="BT1182" s="935"/>
      <c r="BU1182" s="935"/>
      <c r="BV1182" s="935"/>
      <c r="BW1182" s="935"/>
      <c r="BX1182" s="935"/>
      <c r="BY1182" s="935"/>
      <c r="BZ1182" s="935"/>
      <c r="CA1182" s="935"/>
      <c r="CB1182" s="935"/>
      <c r="CC1182" s="935"/>
      <c r="CD1182" s="935"/>
      <c r="CE1182" s="935"/>
      <c r="CF1182" s="935"/>
      <c r="CG1182" s="935"/>
      <c r="CH1182" s="935"/>
      <c r="CI1182" s="935"/>
      <c r="CJ1182" s="935"/>
      <c r="CK1182" s="935"/>
      <c r="CL1182" s="935"/>
      <c r="CM1182" s="935"/>
      <c r="CN1182" s="935"/>
      <c r="CO1182" s="935"/>
      <c r="CP1182" s="935"/>
      <c r="CQ1182" s="935"/>
      <c r="CR1182" s="935"/>
      <c r="CS1182" s="935"/>
      <c r="CT1182" s="935"/>
      <c r="CU1182" s="935"/>
      <c r="CV1182" s="935"/>
    </row>
    <row r="1183" spans="1:100" s="441" customFormat="1">
      <c r="A1183" s="375">
        <f t="shared" si="324"/>
        <v>11</v>
      </c>
      <c r="B1183" s="862">
        <v>44511</v>
      </c>
      <c r="C1183" s="493" t="s">
        <v>2001</v>
      </c>
      <c r="D1183" s="376" t="str">
        <f>IFERROR(VLOOKUP(E:E,'Item Data Support Sheet'!A:O,7,0),"")</f>
        <v>HOOD MOLDED</v>
      </c>
      <c r="E1183" s="447" t="s">
        <v>1987</v>
      </c>
      <c r="F1183" s="500"/>
      <c r="G1183" s="497" t="s">
        <v>2729</v>
      </c>
      <c r="H1183" s="602" t="str">
        <f>IFERROR(VLOOKUP(E:E,'Item Data Support Sheet'!A:O,2,0),"")</f>
        <v>HOOD S TYPE MOLDED</v>
      </c>
      <c r="I1183" s="501" t="s">
        <v>3962</v>
      </c>
      <c r="J1183" s="501" t="s">
        <v>2811</v>
      </c>
      <c r="K1183" s="499">
        <v>8</v>
      </c>
      <c r="L1183" s="499">
        <v>4137</v>
      </c>
      <c r="M1183" s="366">
        <v>517.125</v>
      </c>
      <c r="N1183" s="367">
        <f t="shared" si="323"/>
        <v>5008</v>
      </c>
      <c r="O1183" s="61">
        <v>5000</v>
      </c>
      <c r="P1183" s="368">
        <v>0</v>
      </c>
      <c r="Q1183" s="368">
        <v>4</v>
      </c>
      <c r="R1183" s="494">
        <v>0</v>
      </c>
      <c r="S1183" s="493">
        <v>0</v>
      </c>
      <c r="T1183" s="494">
        <v>4</v>
      </c>
      <c r="U1183" s="493">
        <v>0</v>
      </c>
      <c r="V1183" s="502">
        <v>1</v>
      </c>
      <c r="W1183" s="453">
        <f t="shared" si="325"/>
        <v>5000</v>
      </c>
      <c r="X1183" s="748">
        <f t="shared" si="326"/>
        <v>1.2086052695189751</v>
      </c>
      <c r="Y1183" s="451" t="str">
        <f>IFERROR(VLOOKUP(E:E,'Item Data Support Sheet'!A:J,6,0),0)</f>
        <v>HMC</v>
      </c>
      <c r="Z1183" s="428">
        <f>IFERROR(VLOOKUP(E:E,'Item Data Support Sheet'!A:O,4,0),0)</f>
        <v>8.6</v>
      </c>
      <c r="AA1183" s="428">
        <f t="shared" si="327"/>
        <v>43.068800000000003</v>
      </c>
      <c r="AB1183" s="429">
        <f t="shared" si="328"/>
        <v>0.99840255591054305</v>
      </c>
      <c r="AC1183" s="424">
        <f t="shared" si="329"/>
        <v>7.993605115907274E-4</v>
      </c>
      <c r="AD1183" s="371">
        <f t="shared" si="330"/>
        <v>7.9808459696727857E-4</v>
      </c>
      <c r="AE1183" s="748">
        <f t="shared" si="331"/>
        <v>0.99920127795527158</v>
      </c>
      <c r="AF1183" s="417">
        <f t="shared" si="332"/>
        <v>0</v>
      </c>
      <c r="AG1183" s="416">
        <f t="shared" si="333"/>
        <v>8</v>
      </c>
      <c r="AH1183" s="372">
        <f t="shared" si="334"/>
        <v>1</v>
      </c>
      <c r="AI1183" s="373">
        <f t="shared" si="335"/>
        <v>625</v>
      </c>
      <c r="AJ1183" s="418">
        <f>VLOOKUP(D1183,'Standard Cycle time'!C:D,2,0)</f>
        <v>6</v>
      </c>
      <c r="AK1183" s="418">
        <f t="shared" si="336"/>
        <v>5.76</v>
      </c>
      <c r="AL1183" s="374">
        <f t="shared" si="337"/>
        <v>1.0416666666666667</v>
      </c>
      <c r="AM1183" s="372">
        <f t="shared" si="338"/>
        <v>1.0408346645367412</v>
      </c>
      <c r="AN1183" s="799">
        <v>1.0408346645367412</v>
      </c>
      <c r="AO1183" s="448"/>
      <c r="AP1183" s="440">
        <v>0</v>
      </c>
      <c r="AQ1183" s="440">
        <v>0</v>
      </c>
      <c r="AR1183" s="440">
        <v>0</v>
      </c>
      <c r="AS1183" s="440">
        <v>0</v>
      </c>
      <c r="AT1183" s="440">
        <v>0</v>
      </c>
      <c r="AU1183" s="440">
        <v>0</v>
      </c>
      <c r="AV1183" s="440">
        <v>0</v>
      </c>
      <c r="AW1183" s="440">
        <v>0</v>
      </c>
      <c r="AX1183" s="440">
        <v>0</v>
      </c>
      <c r="AY1183" s="440">
        <v>0</v>
      </c>
      <c r="AZ1183" s="440">
        <v>0</v>
      </c>
      <c r="BA1183" s="440">
        <v>0</v>
      </c>
      <c r="BB1183" s="440">
        <v>0</v>
      </c>
      <c r="BC1183" s="440">
        <v>0</v>
      </c>
      <c r="BD1183" s="440">
        <v>0</v>
      </c>
      <c r="BE1183" s="440">
        <v>0</v>
      </c>
      <c r="BF1183" s="440">
        <v>0</v>
      </c>
      <c r="BG1183" s="440">
        <v>0</v>
      </c>
      <c r="BH1183" s="440">
        <v>0</v>
      </c>
      <c r="BI1183" s="440">
        <v>0</v>
      </c>
      <c r="BJ1183" s="440">
        <v>0</v>
      </c>
      <c r="BK1183" s="440">
        <v>0</v>
      </c>
      <c r="BL1183" s="440">
        <v>0</v>
      </c>
      <c r="BM1183" s="440">
        <v>0</v>
      </c>
      <c r="BN1183" s="440">
        <v>0</v>
      </c>
      <c r="BO1183" s="440">
        <v>0</v>
      </c>
      <c r="BP1183" s="440">
        <v>0</v>
      </c>
      <c r="BQ1183" s="440">
        <v>0</v>
      </c>
      <c r="BR1183" s="415">
        <v>0</v>
      </c>
      <c r="BS1183" s="415">
        <v>0</v>
      </c>
      <c r="BT1183" s="935"/>
      <c r="BU1183" s="935"/>
      <c r="BV1183" s="935"/>
      <c r="BW1183" s="935"/>
      <c r="BX1183" s="935"/>
      <c r="BY1183" s="935"/>
      <c r="BZ1183" s="935"/>
      <c r="CA1183" s="935"/>
      <c r="CB1183" s="935"/>
      <c r="CC1183" s="935"/>
      <c r="CD1183" s="935"/>
      <c r="CE1183" s="935"/>
      <c r="CF1183" s="935"/>
      <c r="CG1183" s="935"/>
      <c r="CH1183" s="935"/>
      <c r="CI1183" s="935"/>
      <c r="CJ1183" s="935"/>
      <c r="CK1183" s="935"/>
      <c r="CL1183" s="935"/>
      <c r="CM1183" s="935"/>
      <c r="CN1183" s="935"/>
      <c r="CO1183" s="935"/>
      <c r="CP1183" s="935"/>
      <c r="CQ1183" s="935"/>
      <c r="CR1183" s="935"/>
      <c r="CS1183" s="935"/>
      <c r="CT1183" s="935"/>
      <c r="CU1183" s="935"/>
      <c r="CV1183" s="935"/>
    </row>
    <row r="1184" spans="1:100" s="441" customFormat="1">
      <c r="A1184" s="375">
        <f t="shared" si="324"/>
        <v>11</v>
      </c>
      <c r="B1184" s="862">
        <v>44511</v>
      </c>
      <c r="C1184" s="493" t="s">
        <v>2001</v>
      </c>
      <c r="D1184" s="376" t="str">
        <f>IFERROR(VLOOKUP(E:E,'Item Data Support Sheet'!A:O,7,0),"")</f>
        <v>NIPPLE MOLDED</v>
      </c>
      <c r="E1184" s="447" t="s">
        <v>75</v>
      </c>
      <c r="F1184" s="500" t="s">
        <v>1678</v>
      </c>
      <c r="G1184" s="497" t="s">
        <v>1691</v>
      </c>
      <c r="H1184" s="602" t="str">
        <f>IFERROR(VLOOKUP(E:E,'Item Data Support Sheet'!A:O,2,0),"")</f>
        <v>NIPPLE S TYPE Y SIZE INJECTION</v>
      </c>
      <c r="I1184" s="501" t="s">
        <v>3963</v>
      </c>
      <c r="J1184" s="501" t="s">
        <v>2811</v>
      </c>
      <c r="K1184" s="499">
        <v>8</v>
      </c>
      <c r="L1184" s="499">
        <v>4815</v>
      </c>
      <c r="M1184" s="366">
        <v>601.875</v>
      </c>
      <c r="N1184" s="367">
        <f t="shared" si="323"/>
        <v>5110</v>
      </c>
      <c r="O1184" s="61">
        <v>5000</v>
      </c>
      <c r="P1184" s="368">
        <v>0</v>
      </c>
      <c r="Q1184" s="368">
        <v>70</v>
      </c>
      <c r="R1184" s="494">
        <v>0</v>
      </c>
      <c r="S1184" s="493">
        <v>0</v>
      </c>
      <c r="T1184" s="494">
        <v>40</v>
      </c>
      <c r="U1184" s="493">
        <v>0</v>
      </c>
      <c r="V1184" s="502">
        <v>1</v>
      </c>
      <c r="W1184" s="453">
        <f t="shared" si="325"/>
        <v>5000</v>
      </c>
      <c r="X1184" s="748">
        <f t="shared" si="326"/>
        <v>1.0384215991692627</v>
      </c>
      <c r="Y1184" s="451" t="str">
        <f>IFERROR(VLOOKUP(E:E,'Item Data Support Sheet'!A:J,6,0),0)</f>
        <v>Silicon</v>
      </c>
      <c r="Z1184" s="428">
        <f>IFERROR(VLOOKUP(E:E,'Item Data Support Sheet'!A:O,4,0),0)</f>
        <v>6.8</v>
      </c>
      <c r="AA1184" s="428">
        <f t="shared" si="327"/>
        <v>34.747999999999998</v>
      </c>
      <c r="AB1184" s="429">
        <f t="shared" si="328"/>
        <v>0.9784735812133073</v>
      </c>
      <c r="AC1184" s="424">
        <f t="shared" si="329"/>
        <v>7.9365079365079361E-3</v>
      </c>
      <c r="AD1184" s="371">
        <f t="shared" si="330"/>
        <v>1.3513513513513514E-2</v>
      </c>
      <c r="AE1184" s="748">
        <f t="shared" si="331"/>
        <v>0.99217221135029354</v>
      </c>
      <c r="AF1184" s="417">
        <f t="shared" si="332"/>
        <v>0</v>
      </c>
      <c r="AG1184" s="416">
        <f t="shared" si="333"/>
        <v>8</v>
      </c>
      <c r="AH1184" s="372">
        <f t="shared" si="334"/>
        <v>1</v>
      </c>
      <c r="AI1184" s="373">
        <f t="shared" si="335"/>
        <v>625</v>
      </c>
      <c r="AJ1184" s="418">
        <f>VLOOKUP(D1184,'Standard Cycle time'!C:D,2,0)</f>
        <v>5.25</v>
      </c>
      <c r="AK1184" s="418">
        <f t="shared" si="336"/>
        <v>5.76</v>
      </c>
      <c r="AL1184" s="374">
        <f t="shared" si="337"/>
        <v>0.91145833333333337</v>
      </c>
      <c r="AM1184" s="372">
        <f t="shared" si="338"/>
        <v>0.90432363013698636</v>
      </c>
      <c r="AN1184" s="799">
        <v>0.90432363013698636</v>
      </c>
      <c r="AO1184" s="448"/>
      <c r="AP1184" s="440">
        <v>0</v>
      </c>
      <c r="AQ1184" s="440">
        <v>0</v>
      </c>
      <c r="AR1184" s="440">
        <v>0</v>
      </c>
      <c r="AS1184" s="440">
        <v>0</v>
      </c>
      <c r="AT1184" s="440">
        <v>0</v>
      </c>
      <c r="AU1184" s="440">
        <v>0</v>
      </c>
      <c r="AV1184" s="440">
        <v>0</v>
      </c>
      <c r="AW1184" s="440">
        <v>0</v>
      </c>
      <c r="AX1184" s="440">
        <v>0</v>
      </c>
      <c r="AY1184" s="440">
        <v>0</v>
      </c>
      <c r="AZ1184" s="440">
        <v>0</v>
      </c>
      <c r="BA1184" s="440">
        <v>0</v>
      </c>
      <c r="BB1184" s="440">
        <v>0</v>
      </c>
      <c r="BC1184" s="440">
        <v>0</v>
      </c>
      <c r="BD1184" s="440">
        <v>0</v>
      </c>
      <c r="BE1184" s="440">
        <v>0</v>
      </c>
      <c r="BF1184" s="440">
        <v>0</v>
      </c>
      <c r="BG1184" s="440">
        <v>0</v>
      </c>
      <c r="BH1184" s="440">
        <v>0</v>
      </c>
      <c r="BI1184" s="440">
        <v>0</v>
      </c>
      <c r="BJ1184" s="440">
        <v>0</v>
      </c>
      <c r="BK1184" s="440">
        <v>0</v>
      </c>
      <c r="BL1184" s="440">
        <v>0</v>
      </c>
      <c r="BM1184" s="440">
        <v>0</v>
      </c>
      <c r="BN1184" s="440">
        <v>0</v>
      </c>
      <c r="BO1184" s="440">
        <v>0</v>
      </c>
      <c r="BP1184" s="440">
        <v>0</v>
      </c>
      <c r="BQ1184" s="440">
        <v>0</v>
      </c>
      <c r="BR1184" s="415">
        <v>0</v>
      </c>
      <c r="BS1184" s="415">
        <v>0</v>
      </c>
      <c r="BT1184" s="935"/>
      <c r="BU1184" s="935"/>
      <c r="BV1184" s="935"/>
      <c r="BW1184" s="935"/>
      <c r="BX1184" s="935"/>
      <c r="BY1184" s="935"/>
      <c r="BZ1184" s="935"/>
      <c r="CA1184" s="935"/>
      <c r="CB1184" s="935"/>
      <c r="CC1184" s="935"/>
      <c r="CD1184" s="935"/>
      <c r="CE1184" s="935"/>
      <c r="CF1184" s="935"/>
      <c r="CG1184" s="935"/>
      <c r="CH1184" s="935"/>
      <c r="CI1184" s="935"/>
      <c r="CJ1184" s="935"/>
      <c r="CK1184" s="935"/>
      <c r="CL1184" s="935"/>
      <c r="CM1184" s="935"/>
      <c r="CN1184" s="935"/>
      <c r="CO1184" s="935"/>
      <c r="CP1184" s="935"/>
      <c r="CQ1184" s="935"/>
      <c r="CR1184" s="935"/>
      <c r="CS1184" s="935"/>
      <c r="CT1184" s="935"/>
      <c r="CU1184" s="935"/>
      <c r="CV1184" s="935"/>
    </row>
    <row r="1185" spans="1:100" s="441" customFormat="1">
      <c r="A1185" s="375">
        <f t="shared" si="324"/>
        <v>11</v>
      </c>
      <c r="B1185" s="862">
        <v>44511</v>
      </c>
      <c r="C1185" s="493" t="s">
        <v>2001</v>
      </c>
      <c r="D1185" s="376" t="str">
        <f>IFERROR(VLOOKUP(E:E,'Item Data Support Sheet'!A:O,7,0),"")</f>
        <v>BOTTLE MOLDED</v>
      </c>
      <c r="E1185" s="447" t="s">
        <v>14</v>
      </c>
      <c r="F1185" s="500" t="s">
        <v>1681</v>
      </c>
      <c r="G1185" s="497" t="s">
        <v>1888</v>
      </c>
      <c r="H1185" s="602" t="str">
        <f>IFERROR(VLOOKUP(E:E,'Item Data Support Sheet'!A:O,2,0),"")</f>
        <v>KPP 240 ML BOTTLE MOLDED</v>
      </c>
      <c r="I1185" s="501" t="s">
        <v>3964</v>
      </c>
      <c r="J1185" s="501" t="s">
        <v>2811</v>
      </c>
      <c r="K1185" s="499">
        <v>8</v>
      </c>
      <c r="L1185" s="499">
        <v>2574</v>
      </c>
      <c r="M1185" s="366">
        <v>321.75</v>
      </c>
      <c r="N1185" s="367">
        <f t="shared" si="323"/>
        <v>3130</v>
      </c>
      <c r="O1185" s="61">
        <v>3024</v>
      </c>
      <c r="P1185" s="368">
        <v>0</v>
      </c>
      <c r="Q1185" s="368">
        <v>44</v>
      </c>
      <c r="R1185" s="494">
        <v>0</v>
      </c>
      <c r="S1185" s="493">
        <v>0</v>
      </c>
      <c r="T1185" s="494">
        <v>62</v>
      </c>
      <c r="U1185" s="493">
        <v>0</v>
      </c>
      <c r="V1185" s="502">
        <v>1</v>
      </c>
      <c r="W1185" s="453">
        <f t="shared" si="325"/>
        <v>3024</v>
      </c>
      <c r="X1185" s="748">
        <f t="shared" si="326"/>
        <v>1.1748251748251748</v>
      </c>
      <c r="Y1185" s="451" t="str">
        <f>IFERROR(VLOOKUP(E:E,'Item Data Support Sheet'!A:J,6,0),0)</f>
        <v>HMC</v>
      </c>
      <c r="Z1185" s="428">
        <f>IFERROR(VLOOKUP(E:E,'Item Data Support Sheet'!A:O,4,0),0)</f>
        <v>32.1</v>
      </c>
      <c r="AA1185" s="428">
        <f t="shared" si="327"/>
        <v>100.47300000000001</v>
      </c>
      <c r="AB1185" s="429">
        <f t="shared" si="328"/>
        <v>0.96613418530351436</v>
      </c>
      <c r="AC1185" s="424">
        <f t="shared" si="329"/>
        <v>2.0090732339598186E-2</v>
      </c>
      <c r="AD1185" s="371">
        <f t="shared" si="330"/>
        <v>1.3862633900441084E-2</v>
      </c>
      <c r="AE1185" s="748">
        <f t="shared" si="331"/>
        <v>0.98019169329073486</v>
      </c>
      <c r="AF1185" s="417">
        <f t="shared" si="332"/>
        <v>0</v>
      </c>
      <c r="AG1185" s="416">
        <f t="shared" si="333"/>
        <v>8</v>
      </c>
      <c r="AH1185" s="372">
        <f t="shared" si="334"/>
        <v>1</v>
      </c>
      <c r="AI1185" s="373">
        <f t="shared" si="335"/>
        <v>378</v>
      </c>
      <c r="AJ1185" s="418">
        <f>VLOOKUP(D1185,'Standard Cycle time'!C:D,2,0)</f>
        <v>9</v>
      </c>
      <c r="AK1185" s="418">
        <f t="shared" si="336"/>
        <v>9.5238095238095237</v>
      </c>
      <c r="AL1185" s="374">
        <f t="shared" si="337"/>
        <v>0.94500000000000006</v>
      </c>
      <c r="AM1185" s="372">
        <f t="shared" si="338"/>
        <v>0.92628115015974455</v>
      </c>
      <c r="AN1185" s="799">
        <v>0.92628115015974455</v>
      </c>
      <c r="AO1185" s="448"/>
      <c r="AP1185" s="440">
        <v>0</v>
      </c>
      <c r="AQ1185" s="440">
        <v>0</v>
      </c>
      <c r="AR1185" s="440">
        <v>0</v>
      </c>
      <c r="AS1185" s="440">
        <v>0</v>
      </c>
      <c r="AT1185" s="440">
        <v>0</v>
      </c>
      <c r="AU1185" s="440">
        <v>0</v>
      </c>
      <c r="AV1185" s="440">
        <v>0</v>
      </c>
      <c r="AW1185" s="440">
        <v>0</v>
      </c>
      <c r="AX1185" s="440">
        <v>0</v>
      </c>
      <c r="AY1185" s="440">
        <v>0</v>
      </c>
      <c r="AZ1185" s="440">
        <v>0</v>
      </c>
      <c r="BA1185" s="440">
        <v>0</v>
      </c>
      <c r="BB1185" s="440">
        <v>0</v>
      </c>
      <c r="BC1185" s="440">
        <v>0</v>
      </c>
      <c r="BD1185" s="440">
        <v>0</v>
      </c>
      <c r="BE1185" s="440">
        <v>0</v>
      </c>
      <c r="BF1185" s="440">
        <v>0</v>
      </c>
      <c r="BG1185" s="440">
        <v>0</v>
      </c>
      <c r="BH1185" s="440">
        <v>0</v>
      </c>
      <c r="BI1185" s="440">
        <v>0</v>
      </c>
      <c r="BJ1185" s="440">
        <v>0</v>
      </c>
      <c r="BK1185" s="440">
        <v>0</v>
      </c>
      <c r="BL1185" s="440">
        <v>0</v>
      </c>
      <c r="BM1185" s="440">
        <v>0</v>
      </c>
      <c r="BN1185" s="440">
        <v>0</v>
      </c>
      <c r="BO1185" s="440">
        <v>0</v>
      </c>
      <c r="BP1185" s="440">
        <v>0</v>
      </c>
      <c r="BQ1185" s="440">
        <v>0</v>
      </c>
      <c r="BR1185" s="415">
        <v>0</v>
      </c>
      <c r="BS1185" s="415">
        <v>0</v>
      </c>
      <c r="BT1185" s="935"/>
      <c r="BU1185" s="935"/>
      <c r="BV1185" s="935"/>
      <c r="BW1185" s="935"/>
      <c r="BX1185" s="935"/>
      <c r="BY1185" s="935"/>
      <c r="BZ1185" s="935"/>
      <c r="CA1185" s="935"/>
      <c r="CB1185" s="935"/>
      <c r="CC1185" s="935"/>
      <c r="CD1185" s="935"/>
      <c r="CE1185" s="935"/>
      <c r="CF1185" s="935"/>
      <c r="CG1185" s="935"/>
      <c r="CH1185" s="935"/>
      <c r="CI1185" s="935"/>
      <c r="CJ1185" s="935"/>
      <c r="CK1185" s="935"/>
      <c r="CL1185" s="935"/>
      <c r="CM1185" s="935"/>
      <c r="CN1185" s="935"/>
      <c r="CO1185" s="935"/>
      <c r="CP1185" s="935"/>
      <c r="CQ1185" s="935"/>
      <c r="CR1185" s="935"/>
      <c r="CS1185" s="935"/>
      <c r="CT1185" s="935"/>
      <c r="CU1185" s="935"/>
      <c r="CV1185" s="935"/>
    </row>
    <row r="1186" spans="1:100" s="441" customFormat="1">
      <c r="A1186" s="375">
        <f t="shared" si="324"/>
        <v>11</v>
      </c>
      <c r="B1186" s="862">
        <v>44511</v>
      </c>
      <c r="C1186" s="493" t="s">
        <v>2001</v>
      </c>
      <c r="D1186" s="376" t="str">
        <f>IFERROR(VLOOKUP(E:E,'Item Data Support Sheet'!A:O,7,0),"")</f>
        <v>NIPPLE PUNCH</v>
      </c>
      <c r="E1186" s="447" t="s">
        <v>83</v>
      </c>
      <c r="F1186" s="500"/>
      <c r="G1186" s="497" t="s">
        <v>1692</v>
      </c>
      <c r="H1186" s="602" t="str">
        <f>IFERROR(VLOOKUP(E:E,'Item Data Support Sheet'!A:O,2,0),"")</f>
        <v>NIPPLE S TYPE Y SIZE PUNCHED</v>
      </c>
      <c r="I1186" s="501" t="s">
        <v>3965</v>
      </c>
      <c r="J1186" s="501" t="s">
        <v>2811</v>
      </c>
      <c r="K1186" s="499">
        <v>8</v>
      </c>
      <c r="L1186" s="499">
        <v>7000</v>
      </c>
      <c r="M1186" s="366">
        <v>875</v>
      </c>
      <c r="N1186" s="367">
        <f t="shared" si="323"/>
        <v>5630</v>
      </c>
      <c r="O1186" s="61">
        <v>5630</v>
      </c>
      <c r="P1186" s="368">
        <v>0</v>
      </c>
      <c r="Q1186" s="368">
        <v>0</v>
      </c>
      <c r="R1186" s="494">
        <v>0</v>
      </c>
      <c r="S1186" s="493">
        <v>0</v>
      </c>
      <c r="T1186" s="494">
        <v>0</v>
      </c>
      <c r="U1186" s="493">
        <v>0</v>
      </c>
      <c r="V1186" s="502">
        <v>1</v>
      </c>
      <c r="W1186" s="453">
        <f t="shared" si="325"/>
        <v>5630</v>
      </c>
      <c r="X1186" s="748">
        <f t="shared" si="326"/>
        <v>0.80428571428571427</v>
      </c>
      <c r="Y1186" s="451" t="str">
        <f>IFERROR(VLOOKUP(E:E,'Item Data Support Sheet'!A:J,6,0),0)</f>
        <v>FO018</v>
      </c>
      <c r="Z1186" s="428">
        <f>IFERROR(VLOOKUP(E:E,'Item Data Support Sheet'!A:O,4,0),0)</f>
        <v>0</v>
      </c>
      <c r="AA1186" s="428">
        <f t="shared" si="327"/>
        <v>0</v>
      </c>
      <c r="AB1186" s="429" t="str">
        <f t="shared" si="328"/>
        <v xml:space="preserve"> </v>
      </c>
      <c r="AC1186" s="424">
        <f t="shared" si="329"/>
        <v>0</v>
      </c>
      <c r="AD1186" s="371">
        <f t="shared" si="330"/>
        <v>0</v>
      </c>
      <c r="AE1186" s="748">
        <f t="shared" si="331"/>
        <v>1</v>
      </c>
      <c r="AF1186" s="417">
        <f t="shared" si="332"/>
        <v>1.6666666666666667</v>
      </c>
      <c r="AG1186" s="416">
        <f t="shared" si="333"/>
        <v>6.333333333333333</v>
      </c>
      <c r="AH1186" s="372">
        <f t="shared" si="334"/>
        <v>0.79166666666666663</v>
      </c>
      <c r="AI1186" s="373">
        <f t="shared" si="335"/>
        <v>703.75</v>
      </c>
      <c r="AJ1186" s="418">
        <f>VLOOKUP(D1186,'Standard Cycle time'!C:D,2,0)</f>
        <v>3.5</v>
      </c>
      <c r="AK1186" s="418">
        <f t="shared" si="336"/>
        <v>4.0497335701598578</v>
      </c>
      <c r="AL1186" s="374">
        <f t="shared" si="337"/>
        <v>0.86425438596491233</v>
      </c>
      <c r="AM1186" s="372">
        <f t="shared" si="338"/>
        <v>0.68420138888888893</v>
      </c>
      <c r="AN1186" s="799">
        <v>0.68420138888888893</v>
      </c>
      <c r="AO1186" s="448" t="s">
        <v>3966</v>
      </c>
      <c r="AP1186" s="440">
        <v>40</v>
      </c>
      <c r="AQ1186" s="440">
        <v>0</v>
      </c>
      <c r="AR1186" s="440">
        <v>0</v>
      </c>
      <c r="AS1186" s="440">
        <v>60</v>
      </c>
      <c r="AT1186" s="440">
        <v>0</v>
      </c>
      <c r="AU1186" s="440">
        <v>0</v>
      </c>
      <c r="AV1186" s="440">
        <v>0</v>
      </c>
      <c r="AW1186" s="440">
        <v>0</v>
      </c>
      <c r="AX1186" s="440">
        <v>0</v>
      </c>
      <c r="AY1186" s="440">
        <v>0</v>
      </c>
      <c r="AZ1186" s="440">
        <v>0</v>
      </c>
      <c r="BA1186" s="440">
        <v>0</v>
      </c>
      <c r="BB1186" s="440">
        <v>0</v>
      </c>
      <c r="BC1186" s="440">
        <v>0</v>
      </c>
      <c r="BD1186" s="440">
        <v>0</v>
      </c>
      <c r="BE1186" s="440">
        <v>0</v>
      </c>
      <c r="BF1186" s="440">
        <v>0</v>
      </c>
      <c r="BG1186" s="440">
        <v>0</v>
      </c>
      <c r="BH1186" s="440">
        <v>0</v>
      </c>
      <c r="BI1186" s="440">
        <v>0</v>
      </c>
      <c r="BJ1186" s="440">
        <v>0</v>
      </c>
      <c r="BK1186" s="440">
        <v>0</v>
      </c>
      <c r="BL1186" s="440">
        <v>0</v>
      </c>
      <c r="BM1186" s="440">
        <v>0</v>
      </c>
      <c r="BN1186" s="440">
        <v>0</v>
      </c>
      <c r="BO1186" s="440">
        <v>0</v>
      </c>
      <c r="BP1186" s="440">
        <v>0</v>
      </c>
      <c r="BQ1186" s="440">
        <v>0</v>
      </c>
      <c r="BR1186" s="415">
        <v>1.6666666666666667</v>
      </c>
      <c r="BS1186" s="415">
        <v>1.6666666666666667</v>
      </c>
      <c r="BT1186" s="935"/>
      <c r="BU1186" s="935"/>
      <c r="BV1186" s="935"/>
      <c r="BW1186" s="935"/>
      <c r="BX1186" s="935"/>
      <c r="BY1186" s="935"/>
      <c r="BZ1186" s="935"/>
      <c r="CA1186" s="935"/>
      <c r="CB1186" s="935"/>
      <c r="CC1186" s="935"/>
      <c r="CD1186" s="935"/>
      <c r="CE1186" s="935"/>
      <c r="CF1186" s="935"/>
      <c r="CG1186" s="935"/>
      <c r="CH1186" s="935"/>
      <c r="CI1186" s="935"/>
      <c r="CJ1186" s="935"/>
      <c r="CK1186" s="935"/>
      <c r="CL1186" s="935"/>
      <c r="CM1186" s="935"/>
      <c r="CN1186" s="935"/>
      <c r="CO1186" s="935"/>
      <c r="CP1186" s="935"/>
      <c r="CQ1186" s="935"/>
      <c r="CR1186" s="935"/>
      <c r="CS1186" s="935"/>
      <c r="CT1186" s="935"/>
      <c r="CU1186" s="935"/>
      <c r="CV1186" s="935"/>
    </row>
    <row r="1187" spans="1:100" s="441" customFormat="1">
      <c r="A1187" s="375">
        <f t="shared" si="324"/>
        <v>11</v>
      </c>
      <c r="B1187" s="862">
        <v>44511</v>
      </c>
      <c r="C1187" s="493" t="s">
        <v>2001</v>
      </c>
      <c r="D1187" s="376" t="str">
        <f>IFERROR(VLOOKUP(E:E,'Item Data Support Sheet'!A:O,7,0),"")</f>
        <v>NIPPLE LASER MARKING</v>
      </c>
      <c r="E1187" s="447" t="s">
        <v>1817</v>
      </c>
      <c r="F1187" s="500"/>
      <c r="G1187" s="497" t="s">
        <v>1812</v>
      </c>
      <c r="H1187" s="602" t="str">
        <f>IFERROR(VLOOKUP(E:E,'Item Data Support Sheet'!A:O,2,0),"")</f>
        <v>NIPPLE S TYPE Y SIZE PUNCHED LASER MARKED</v>
      </c>
      <c r="I1187" s="501" t="s">
        <v>3961</v>
      </c>
      <c r="J1187" s="501" t="s">
        <v>2811</v>
      </c>
      <c r="K1187" s="499">
        <v>8</v>
      </c>
      <c r="L1187" s="499">
        <v>7000</v>
      </c>
      <c r="M1187" s="366">
        <v>875</v>
      </c>
      <c r="N1187" s="367">
        <f t="shared" si="323"/>
        <v>5630</v>
      </c>
      <c r="O1187" s="61">
        <v>5630</v>
      </c>
      <c r="P1187" s="368">
        <v>0</v>
      </c>
      <c r="Q1187" s="368">
        <v>0</v>
      </c>
      <c r="R1187" s="494">
        <v>0</v>
      </c>
      <c r="S1187" s="493">
        <v>0</v>
      </c>
      <c r="T1187" s="494">
        <v>0</v>
      </c>
      <c r="U1187" s="493">
        <v>0</v>
      </c>
      <c r="V1187" s="502">
        <v>1</v>
      </c>
      <c r="W1187" s="453">
        <f t="shared" si="325"/>
        <v>5630</v>
      </c>
      <c r="X1187" s="748">
        <f t="shared" si="326"/>
        <v>0.80428571428571427</v>
      </c>
      <c r="Y1187" s="451" t="str">
        <f>IFERROR(VLOOKUP(E:E,'Item Data Support Sheet'!A:J,6,0),0)</f>
        <v>FO022</v>
      </c>
      <c r="Z1187" s="428">
        <f>IFERROR(VLOOKUP(E:E,'Item Data Support Sheet'!A:O,4,0),0)</f>
        <v>0</v>
      </c>
      <c r="AA1187" s="428">
        <f t="shared" si="327"/>
        <v>0</v>
      </c>
      <c r="AB1187" s="429" t="str">
        <f t="shared" si="328"/>
        <v xml:space="preserve"> </v>
      </c>
      <c r="AC1187" s="424">
        <f t="shared" si="329"/>
        <v>0</v>
      </c>
      <c r="AD1187" s="371">
        <f t="shared" si="330"/>
        <v>0</v>
      </c>
      <c r="AE1187" s="748">
        <f t="shared" si="331"/>
        <v>1</v>
      </c>
      <c r="AF1187" s="417">
        <f t="shared" si="332"/>
        <v>1.6666666666666667</v>
      </c>
      <c r="AG1187" s="416">
        <f t="shared" si="333"/>
        <v>6.333333333333333</v>
      </c>
      <c r="AH1187" s="372">
        <f t="shared" si="334"/>
        <v>0.79166666666666663</v>
      </c>
      <c r="AI1187" s="373">
        <f t="shared" si="335"/>
        <v>703.75</v>
      </c>
      <c r="AJ1187" s="418">
        <f>VLOOKUP(D1187,'Standard Cycle time'!C:D,2,0)</f>
        <v>3.5</v>
      </c>
      <c r="AK1187" s="418">
        <f t="shared" si="336"/>
        <v>4.0497335701598578</v>
      </c>
      <c r="AL1187" s="374">
        <f t="shared" si="337"/>
        <v>0.86425438596491233</v>
      </c>
      <c r="AM1187" s="372">
        <f t="shared" si="338"/>
        <v>0.68420138888888893</v>
      </c>
      <c r="AN1187" s="799">
        <v>0.68420138888888893</v>
      </c>
      <c r="AO1187" s="448" t="s">
        <v>3967</v>
      </c>
      <c r="AP1187" s="440">
        <v>40</v>
      </c>
      <c r="AQ1187" s="440">
        <v>0</v>
      </c>
      <c r="AR1187" s="440">
        <v>0</v>
      </c>
      <c r="AS1187" s="440">
        <v>60</v>
      </c>
      <c r="AT1187" s="440">
        <v>0</v>
      </c>
      <c r="AU1187" s="440">
        <v>0</v>
      </c>
      <c r="AV1187" s="440">
        <v>0</v>
      </c>
      <c r="AW1187" s="440">
        <v>0</v>
      </c>
      <c r="AX1187" s="440">
        <v>0</v>
      </c>
      <c r="AY1187" s="440">
        <v>0</v>
      </c>
      <c r="AZ1187" s="440">
        <v>0</v>
      </c>
      <c r="BA1187" s="440">
        <v>0</v>
      </c>
      <c r="BB1187" s="440">
        <v>0</v>
      </c>
      <c r="BC1187" s="440">
        <v>0</v>
      </c>
      <c r="BD1187" s="440">
        <v>0</v>
      </c>
      <c r="BE1187" s="440">
        <v>0</v>
      </c>
      <c r="BF1187" s="440">
        <v>0</v>
      </c>
      <c r="BG1187" s="440">
        <v>0</v>
      </c>
      <c r="BH1187" s="440">
        <v>0</v>
      </c>
      <c r="BI1187" s="440">
        <v>0</v>
      </c>
      <c r="BJ1187" s="440">
        <v>0</v>
      </c>
      <c r="BK1187" s="440">
        <v>0</v>
      </c>
      <c r="BL1187" s="440">
        <v>0</v>
      </c>
      <c r="BM1187" s="440">
        <v>0</v>
      </c>
      <c r="BN1187" s="440">
        <v>0</v>
      </c>
      <c r="BO1187" s="440">
        <v>0</v>
      </c>
      <c r="BP1187" s="440">
        <v>0</v>
      </c>
      <c r="BQ1187" s="440">
        <v>0</v>
      </c>
      <c r="BR1187" s="415">
        <v>1.6666666666666667</v>
      </c>
      <c r="BS1187" s="415">
        <v>1.6666666666666667</v>
      </c>
      <c r="BT1187" s="935"/>
      <c r="BU1187" s="935"/>
      <c r="BV1187" s="935"/>
      <c r="BW1187" s="935"/>
      <c r="BX1187" s="935"/>
      <c r="BY1187" s="935"/>
      <c r="BZ1187" s="935"/>
      <c r="CA1187" s="935"/>
      <c r="CB1187" s="935"/>
      <c r="CC1187" s="935"/>
      <c r="CD1187" s="935"/>
      <c r="CE1187" s="935"/>
      <c r="CF1187" s="935"/>
      <c r="CG1187" s="935"/>
      <c r="CH1187" s="935"/>
      <c r="CI1187" s="935"/>
      <c r="CJ1187" s="935"/>
      <c r="CK1187" s="935"/>
      <c r="CL1187" s="935"/>
      <c r="CM1187" s="935"/>
      <c r="CN1187" s="935"/>
      <c r="CO1187" s="935"/>
      <c r="CP1187" s="935"/>
      <c r="CQ1187" s="935"/>
      <c r="CR1187" s="935"/>
      <c r="CS1187" s="935"/>
      <c r="CT1187" s="935"/>
      <c r="CU1187" s="935"/>
      <c r="CV1187" s="935"/>
    </row>
    <row r="1188" spans="1:100" s="441" customFormat="1">
      <c r="A1188" s="375">
        <f t="shared" si="324"/>
        <v>11</v>
      </c>
      <c r="B1188" s="862">
        <v>44511</v>
      </c>
      <c r="C1188" s="493" t="s">
        <v>2001</v>
      </c>
      <c r="D1188" s="376" t="str">
        <f>IFERROR(VLOOKUP(E:E,'Item Data Support Sheet'!A:O,7,0),"")</f>
        <v>BOTTLE PRINTED</v>
      </c>
      <c r="E1188" s="447" t="s">
        <v>70</v>
      </c>
      <c r="F1188" s="500"/>
      <c r="G1188" s="497"/>
      <c r="H1188" s="602" t="str">
        <f>IFERROR(VLOOKUP(E:E,'Item Data Support Sheet'!A:O,2,0),"")</f>
        <v>KPP 200 ML BOTTLE PRINTED</v>
      </c>
      <c r="I1188" s="501" t="s">
        <v>3968</v>
      </c>
      <c r="J1188" s="501" t="s">
        <v>2811</v>
      </c>
      <c r="K1188" s="499">
        <v>8</v>
      </c>
      <c r="L1188" s="499">
        <v>5100</v>
      </c>
      <c r="M1188" s="366">
        <v>637.5</v>
      </c>
      <c r="N1188" s="367">
        <f t="shared" si="323"/>
        <v>4783</v>
      </c>
      <c r="O1188" s="61">
        <v>4752</v>
      </c>
      <c r="P1188" s="368">
        <v>0</v>
      </c>
      <c r="Q1188" s="368">
        <v>0</v>
      </c>
      <c r="R1188" s="494">
        <v>46</v>
      </c>
      <c r="S1188" s="493">
        <v>0</v>
      </c>
      <c r="T1188" s="494">
        <v>31</v>
      </c>
      <c r="U1188" s="493">
        <v>0</v>
      </c>
      <c r="V1188" s="502">
        <v>4</v>
      </c>
      <c r="W1188" s="453">
        <f t="shared" si="325"/>
        <v>1188</v>
      </c>
      <c r="X1188" s="748">
        <f t="shared" si="326"/>
        <v>0.93176470588235294</v>
      </c>
      <c r="Y1188" s="451" t="str">
        <f>IFERROR(VLOOKUP(E:E,'Item Data Support Sheet'!A:J,6,0),0)</f>
        <v>FO002</v>
      </c>
      <c r="Z1188" s="428">
        <f>IFERROR(VLOOKUP(E:E,'Item Data Support Sheet'!A:O,4,0),0)</f>
        <v>0</v>
      </c>
      <c r="AA1188" s="428">
        <f t="shared" si="327"/>
        <v>0</v>
      </c>
      <c r="AB1188" s="429" t="str">
        <f t="shared" si="328"/>
        <v xml:space="preserve"> </v>
      </c>
      <c r="AC1188" s="424">
        <f t="shared" si="329"/>
        <v>6.4812878946268028E-3</v>
      </c>
      <c r="AD1188" s="371">
        <f t="shared" si="330"/>
        <v>0</v>
      </c>
      <c r="AE1188" s="748">
        <f t="shared" si="331"/>
        <v>0.99351871210537324</v>
      </c>
      <c r="AF1188" s="417">
        <f t="shared" si="332"/>
        <v>0.66666666666666663</v>
      </c>
      <c r="AG1188" s="416">
        <f t="shared" si="333"/>
        <v>7.333333333333333</v>
      </c>
      <c r="AH1188" s="372">
        <f t="shared" si="334"/>
        <v>0.91666666666666663</v>
      </c>
      <c r="AI1188" s="373">
        <f t="shared" si="335"/>
        <v>594</v>
      </c>
      <c r="AJ1188" s="418">
        <f>VLOOKUP(D1188,'Standard Cycle time'!C:D,2,0)</f>
        <v>32.4</v>
      </c>
      <c r="AK1188" s="418">
        <f t="shared" si="336"/>
        <v>22.222222222222221</v>
      </c>
      <c r="AL1188" s="374">
        <f t="shared" si="337"/>
        <v>1.458</v>
      </c>
      <c r="AM1188" s="372">
        <f t="shared" si="338"/>
        <v>1.3278377587288313</v>
      </c>
      <c r="AN1188" s="799">
        <v>1.3278377587288313</v>
      </c>
      <c r="AO1188" s="448"/>
      <c r="AP1188" s="440">
        <v>40</v>
      </c>
      <c r="AQ1188" s="440">
        <v>0</v>
      </c>
      <c r="AR1188" s="440">
        <v>0</v>
      </c>
      <c r="AS1188" s="440">
        <v>0</v>
      </c>
      <c r="AT1188" s="440">
        <v>0</v>
      </c>
      <c r="AU1188" s="440">
        <v>0</v>
      </c>
      <c r="AV1188" s="440">
        <v>0</v>
      </c>
      <c r="AW1188" s="440">
        <v>0</v>
      </c>
      <c r="AX1188" s="440">
        <v>0</v>
      </c>
      <c r="AY1188" s="440">
        <v>0</v>
      </c>
      <c r="AZ1188" s="440">
        <v>0</v>
      </c>
      <c r="BA1188" s="440">
        <v>0</v>
      </c>
      <c r="BB1188" s="440">
        <v>0</v>
      </c>
      <c r="BC1188" s="440">
        <v>0</v>
      </c>
      <c r="BD1188" s="440">
        <v>0</v>
      </c>
      <c r="BE1188" s="440">
        <v>0</v>
      </c>
      <c r="BF1188" s="440">
        <v>0</v>
      </c>
      <c r="BG1188" s="440">
        <v>0</v>
      </c>
      <c r="BH1188" s="440">
        <v>0</v>
      </c>
      <c r="BI1188" s="440">
        <v>0</v>
      </c>
      <c r="BJ1188" s="440">
        <v>0</v>
      </c>
      <c r="BK1188" s="440">
        <v>0</v>
      </c>
      <c r="BL1188" s="440">
        <v>0</v>
      </c>
      <c r="BM1188" s="440">
        <v>0</v>
      </c>
      <c r="BN1188" s="440">
        <v>0</v>
      </c>
      <c r="BO1188" s="440">
        <v>0</v>
      </c>
      <c r="BP1188" s="440">
        <v>0</v>
      </c>
      <c r="BQ1188" s="440">
        <v>0</v>
      </c>
      <c r="BR1188" s="415">
        <v>0.66666666666666663</v>
      </c>
      <c r="BS1188" s="415">
        <v>0.66666666666666663</v>
      </c>
      <c r="BT1188" s="935"/>
      <c r="BU1188" s="935"/>
      <c r="BV1188" s="935"/>
      <c r="BW1188" s="935"/>
      <c r="BX1188" s="935"/>
      <c r="BY1188" s="935"/>
      <c r="BZ1188" s="935"/>
      <c r="CA1188" s="935"/>
      <c r="CB1188" s="935"/>
      <c r="CC1188" s="935"/>
      <c r="CD1188" s="935"/>
      <c r="CE1188" s="935"/>
      <c r="CF1188" s="935"/>
      <c r="CG1188" s="935"/>
      <c r="CH1188" s="935"/>
      <c r="CI1188" s="935"/>
      <c r="CJ1188" s="935"/>
      <c r="CK1188" s="935"/>
      <c r="CL1188" s="935"/>
      <c r="CM1188" s="935"/>
      <c r="CN1188" s="935"/>
      <c r="CO1188" s="935"/>
      <c r="CP1188" s="935"/>
      <c r="CQ1188" s="935"/>
      <c r="CR1188" s="935"/>
      <c r="CS1188" s="935"/>
      <c r="CT1188" s="935"/>
      <c r="CU1188" s="935"/>
      <c r="CV1188" s="935"/>
    </row>
    <row r="1189" spans="1:100" s="441" customFormat="1">
      <c r="A1189" s="375">
        <f t="shared" si="324"/>
        <v>11</v>
      </c>
      <c r="B1189" s="862">
        <v>44511</v>
      </c>
      <c r="C1189" s="493" t="s">
        <v>2053</v>
      </c>
      <c r="D1189" s="376" t="str">
        <f>IFERROR(VLOOKUP(E:E,'Item Data Support Sheet'!A:O,7,0),"")</f>
        <v>HOOD MOLDED</v>
      </c>
      <c r="E1189" s="447" t="s">
        <v>1987</v>
      </c>
      <c r="F1189" s="500"/>
      <c r="G1189" s="497" t="s">
        <v>2729</v>
      </c>
      <c r="H1189" s="602" t="str">
        <f>IFERROR(VLOOKUP(E:E,'Item Data Support Sheet'!A:O,2,0),"")</f>
        <v>HOOD S TYPE MOLDED</v>
      </c>
      <c r="I1189" s="501" t="s">
        <v>3969</v>
      </c>
      <c r="J1189" s="501" t="s">
        <v>3895</v>
      </c>
      <c r="K1189" s="499">
        <v>8</v>
      </c>
      <c r="L1189" s="499">
        <v>4137</v>
      </c>
      <c r="M1189" s="366">
        <v>517.125</v>
      </c>
      <c r="N1189" s="367">
        <f t="shared" si="323"/>
        <v>1563</v>
      </c>
      <c r="O1189" s="61">
        <v>1550</v>
      </c>
      <c r="P1189" s="368">
        <v>0</v>
      </c>
      <c r="Q1189" s="368">
        <v>0</v>
      </c>
      <c r="R1189" s="494">
        <v>0</v>
      </c>
      <c r="S1189" s="493">
        <v>0</v>
      </c>
      <c r="T1189" s="494">
        <v>5</v>
      </c>
      <c r="U1189" s="493">
        <v>8</v>
      </c>
      <c r="V1189" s="502">
        <v>1</v>
      </c>
      <c r="W1189" s="453">
        <f t="shared" si="325"/>
        <v>1550</v>
      </c>
      <c r="X1189" s="748">
        <f t="shared" si="326"/>
        <v>0.37466763355088228</v>
      </c>
      <c r="Y1189" s="451" t="str">
        <f>IFERROR(VLOOKUP(E:E,'Item Data Support Sheet'!A:J,6,0),0)</f>
        <v>HMC</v>
      </c>
      <c r="Z1189" s="428">
        <f>IFERROR(VLOOKUP(E:E,'Item Data Support Sheet'!A:O,4,0),0)</f>
        <v>8.6</v>
      </c>
      <c r="AA1189" s="428">
        <f t="shared" si="327"/>
        <v>13.441800000000001</v>
      </c>
      <c r="AB1189" s="429">
        <f t="shared" si="328"/>
        <v>0.99168266154830453</v>
      </c>
      <c r="AC1189" s="424">
        <f t="shared" si="329"/>
        <v>3.2154340836012861E-3</v>
      </c>
      <c r="AD1189" s="371">
        <f t="shared" si="330"/>
        <v>0</v>
      </c>
      <c r="AE1189" s="748">
        <f t="shared" si="331"/>
        <v>0.99680102367242485</v>
      </c>
      <c r="AF1189" s="417">
        <f t="shared" si="332"/>
        <v>5</v>
      </c>
      <c r="AG1189" s="416">
        <f t="shared" si="333"/>
        <v>3</v>
      </c>
      <c r="AH1189" s="372">
        <f t="shared" si="334"/>
        <v>0.375</v>
      </c>
      <c r="AI1189" s="373">
        <f t="shared" si="335"/>
        <v>193.75</v>
      </c>
      <c r="AJ1189" s="418">
        <f>VLOOKUP(D1189,'Standard Cycle time'!C:D,2,0)</f>
        <v>6</v>
      </c>
      <c r="AK1189" s="418">
        <f t="shared" si="336"/>
        <v>6.967741935483871</v>
      </c>
      <c r="AL1189" s="374">
        <f t="shared" si="337"/>
        <v>0.86111111111111116</v>
      </c>
      <c r="AM1189" s="372">
        <f t="shared" si="338"/>
        <v>0.32188366389422052</v>
      </c>
      <c r="AN1189" s="799">
        <v>0.32188366389422052</v>
      </c>
      <c r="AO1189" s="448" t="s">
        <v>3970</v>
      </c>
      <c r="AP1189" s="440">
        <v>0</v>
      </c>
      <c r="AQ1189" s="440">
        <v>0</v>
      </c>
      <c r="AR1189" s="440">
        <v>0</v>
      </c>
      <c r="AS1189" s="440">
        <v>0</v>
      </c>
      <c r="AT1189" s="440">
        <v>0</v>
      </c>
      <c r="AU1189" s="440">
        <v>0</v>
      </c>
      <c r="AV1189" s="440">
        <v>0</v>
      </c>
      <c r="AW1189" s="440">
        <v>300</v>
      </c>
      <c r="AX1189" s="440">
        <v>0</v>
      </c>
      <c r="AY1189" s="440">
        <v>0</v>
      </c>
      <c r="AZ1189" s="440">
        <v>0</v>
      </c>
      <c r="BA1189" s="440">
        <v>0</v>
      </c>
      <c r="BB1189" s="440">
        <v>0</v>
      </c>
      <c r="BC1189" s="440">
        <v>0</v>
      </c>
      <c r="BD1189" s="440">
        <v>0</v>
      </c>
      <c r="BE1189" s="440">
        <v>0</v>
      </c>
      <c r="BF1189" s="440">
        <v>0</v>
      </c>
      <c r="BG1189" s="440">
        <v>0</v>
      </c>
      <c r="BH1189" s="440">
        <v>0</v>
      </c>
      <c r="BI1189" s="440">
        <v>0</v>
      </c>
      <c r="BJ1189" s="440">
        <v>0</v>
      </c>
      <c r="BK1189" s="440">
        <v>0</v>
      </c>
      <c r="BL1189" s="440">
        <v>0</v>
      </c>
      <c r="BM1189" s="440">
        <v>0</v>
      </c>
      <c r="BN1189" s="440">
        <v>0</v>
      </c>
      <c r="BO1189" s="440">
        <v>0</v>
      </c>
      <c r="BP1189" s="440">
        <v>0</v>
      </c>
      <c r="BQ1189" s="440">
        <v>0</v>
      </c>
      <c r="BR1189" s="415">
        <v>5</v>
      </c>
      <c r="BS1189" s="415">
        <v>5</v>
      </c>
      <c r="BT1189" s="935"/>
      <c r="BU1189" s="935"/>
      <c r="BV1189" s="935"/>
      <c r="BW1189" s="935"/>
      <c r="BX1189" s="935"/>
      <c r="BY1189" s="935"/>
      <c r="BZ1189" s="935"/>
      <c r="CA1189" s="935"/>
      <c r="CB1189" s="935"/>
      <c r="CC1189" s="935"/>
      <c r="CD1189" s="935"/>
      <c r="CE1189" s="935"/>
      <c r="CF1189" s="935"/>
      <c r="CG1189" s="935"/>
      <c r="CH1189" s="935"/>
      <c r="CI1189" s="935"/>
      <c r="CJ1189" s="935"/>
      <c r="CK1189" s="935"/>
      <c r="CL1189" s="935"/>
      <c r="CM1189" s="935"/>
      <c r="CN1189" s="935"/>
      <c r="CO1189" s="935"/>
      <c r="CP1189" s="935"/>
      <c r="CQ1189" s="935"/>
      <c r="CR1189" s="935"/>
      <c r="CS1189" s="935"/>
      <c r="CT1189" s="935"/>
      <c r="CU1189" s="935"/>
      <c r="CV1189" s="935"/>
    </row>
    <row r="1190" spans="1:100" s="441" customFormat="1">
      <c r="A1190" s="375">
        <f t="shared" si="324"/>
        <v>11</v>
      </c>
      <c r="B1190" s="862">
        <v>44511</v>
      </c>
      <c r="C1190" s="493" t="s">
        <v>2053</v>
      </c>
      <c r="D1190" s="376" t="str">
        <f>IFERROR(VLOOKUP(E:E,'Item Data Support Sheet'!A:O,7,0),"")</f>
        <v>BOTTLE MOLDED</v>
      </c>
      <c r="E1190" s="447" t="s">
        <v>14</v>
      </c>
      <c r="F1190" s="500" t="s">
        <v>1681</v>
      </c>
      <c r="G1190" s="497" t="s">
        <v>1888</v>
      </c>
      <c r="H1190" s="602" t="str">
        <f>IFERROR(VLOOKUP(E:E,'Item Data Support Sheet'!A:O,2,0),"")</f>
        <v>KPP 240 ML BOTTLE MOLDED</v>
      </c>
      <c r="I1190" s="501" t="s">
        <v>3971</v>
      </c>
      <c r="J1190" s="501" t="s">
        <v>3895</v>
      </c>
      <c r="K1190" s="499">
        <v>8</v>
      </c>
      <c r="L1190" s="499">
        <v>2574</v>
      </c>
      <c r="M1190" s="366">
        <v>321.75</v>
      </c>
      <c r="N1190" s="367">
        <f t="shared" si="323"/>
        <v>3338</v>
      </c>
      <c r="O1190" s="61">
        <v>3240</v>
      </c>
      <c r="P1190" s="368">
        <v>0</v>
      </c>
      <c r="Q1190" s="368">
        <v>30</v>
      </c>
      <c r="R1190" s="494">
        <v>0</v>
      </c>
      <c r="S1190" s="493">
        <v>0</v>
      </c>
      <c r="T1190" s="494">
        <v>60</v>
      </c>
      <c r="U1190" s="493">
        <v>8</v>
      </c>
      <c r="V1190" s="502">
        <v>1</v>
      </c>
      <c r="W1190" s="453">
        <f t="shared" si="325"/>
        <v>3240</v>
      </c>
      <c r="X1190" s="748">
        <f t="shared" si="326"/>
        <v>1.2587412587412588</v>
      </c>
      <c r="Y1190" s="451" t="str">
        <f>IFERROR(VLOOKUP(E:E,'Item Data Support Sheet'!A:J,6,0),0)</f>
        <v>HMC</v>
      </c>
      <c r="Z1190" s="428">
        <f>IFERROR(VLOOKUP(E:E,'Item Data Support Sheet'!A:O,4,0),0)</f>
        <v>32.1</v>
      </c>
      <c r="AA1190" s="428">
        <f t="shared" si="327"/>
        <v>107.14980000000001</v>
      </c>
      <c r="AB1190" s="429">
        <f t="shared" si="328"/>
        <v>0.97064110245656077</v>
      </c>
      <c r="AC1190" s="424">
        <f t="shared" si="329"/>
        <v>1.8181818181818181E-2</v>
      </c>
      <c r="AD1190" s="371">
        <f t="shared" si="330"/>
        <v>8.9073634204275536E-3</v>
      </c>
      <c r="AE1190" s="748">
        <f t="shared" si="331"/>
        <v>0.982025164769323</v>
      </c>
      <c r="AF1190" s="417">
        <f t="shared" si="332"/>
        <v>0</v>
      </c>
      <c r="AG1190" s="416">
        <f t="shared" si="333"/>
        <v>8</v>
      </c>
      <c r="AH1190" s="372">
        <f t="shared" si="334"/>
        <v>1</v>
      </c>
      <c r="AI1190" s="373">
        <f t="shared" si="335"/>
        <v>405</v>
      </c>
      <c r="AJ1190" s="418">
        <f>VLOOKUP(D1190,'Standard Cycle time'!C:D,2,0)</f>
        <v>9</v>
      </c>
      <c r="AK1190" s="418">
        <f t="shared" si="336"/>
        <v>8.8888888888888893</v>
      </c>
      <c r="AL1190" s="374">
        <f t="shared" si="337"/>
        <v>1.0125</v>
      </c>
      <c r="AM1190" s="372">
        <f t="shared" si="338"/>
        <v>0.9943004793289395</v>
      </c>
      <c r="AN1190" s="799">
        <v>0.9943004793289395</v>
      </c>
      <c r="AO1190" s="448"/>
      <c r="AP1190" s="440">
        <v>0</v>
      </c>
      <c r="AQ1190" s="440">
        <v>0</v>
      </c>
      <c r="AR1190" s="440">
        <v>0</v>
      </c>
      <c r="AS1190" s="440">
        <v>0</v>
      </c>
      <c r="AT1190" s="440">
        <v>0</v>
      </c>
      <c r="AU1190" s="440">
        <v>0</v>
      </c>
      <c r="AV1190" s="440">
        <v>0</v>
      </c>
      <c r="AW1190" s="440">
        <v>0</v>
      </c>
      <c r="AX1190" s="440">
        <v>0</v>
      </c>
      <c r="AY1190" s="440">
        <v>0</v>
      </c>
      <c r="AZ1190" s="440">
        <v>0</v>
      </c>
      <c r="BA1190" s="440">
        <v>0</v>
      </c>
      <c r="BB1190" s="440">
        <v>0</v>
      </c>
      <c r="BC1190" s="440">
        <v>0</v>
      </c>
      <c r="BD1190" s="440">
        <v>0</v>
      </c>
      <c r="BE1190" s="440">
        <v>0</v>
      </c>
      <c r="BF1190" s="440">
        <v>0</v>
      </c>
      <c r="BG1190" s="440">
        <v>0</v>
      </c>
      <c r="BH1190" s="440">
        <v>0</v>
      </c>
      <c r="BI1190" s="440">
        <v>0</v>
      </c>
      <c r="BJ1190" s="440">
        <v>0</v>
      </c>
      <c r="BK1190" s="440">
        <v>0</v>
      </c>
      <c r="BL1190" s="440">
        <v>0</v>
      </c>
      <c r="BM1190" s="440">
        <v>0</v>
      </c>
      <c r="BN1190" s="440">
        <v>0</v>
      </c>
      <c r="BO1190" s="440">
        <v>0</v>
      </c>
      <c r="BP1190" s="440">
        <v>0</v>
      </c>
      <c r="BQ1190" s="440">
        <v>0</v>
      </c>
      <c r="BR1190" s="415">
        <v>0</v>
      </c>
      <c r="BS1190" s="415">
        <v>0</v>
      </c>
      <c r="BT1190" s="935"/>
      <c r="BU1190" s="935"/>
      <c r="BV1190" s="935"/>
      <c r="BW1190" s="935"/>
      <c r="BX1190" s="935"/>
      <c r="BY1190" s="935"/>
      <c r="BZ1190" s="935"/>
      <c r="CA1190" s="935"/>
      <c r="CB1190" s="935"/>
      <c r="CC1190" s="935"/>
      <c r="CD1190" s="935"/>
      <c r="CE1190" s="935"/>
      <c r="CF1190" s="935"/>
      <c r="CG1190" s="935"/>
      <c r="CH1190" s="935"/>
      <c r="CI1190" s="935"/>
      <c r="CJ1190" s="935"/>
      <c r="CK1190" s="935"/>
      <c r="CL1190" s="935"/>
      <c r="CM1190" s="935"/>
      <c r="CN1190" s="935"/>
      <c r="CO1190" s="935"/>
      <c r="CP1190" s="935"/>
      <c r="CQ1190" s="935"/>
      <c r="CR1190" s="935"/>
      <c r="CS1190" s="935"/>
      <c r="CT1190" s="935"/>
      <c r="CU1190" s="935"/>
      <c r="CV1190" s="935"/>
    </row>
    <row r="1191" spans="1:100" s="441" customFormat="1">
      <c r="A1191" s="375">
        <f t="shared" si="324"/>
        <v>11</v>
      </c>
      <c r="B1191" s="862">
        <v>44511</v>
      </c>
      <c r="C1191" s="493" t="s">
        <v>2053</v>
      </c>
      <c r="D1191" s="376" t="str">
        <f>IFERROR(VLOOKUP(E:E,'Item Data Support Sheet'!A:O,7,0),"")</f>
        <v>NIPPLE MOLDED</v>
      </c>
      <c r="E1191" s="447" t="s">
        <v>75</v>
      </c>
      <c r="F1191" s="500" t="s">
        <v>1678</v>
      </c>
      <c r="G1191" s="497" t="s">
        <v>1691</v>
      </c>
      <c r="H1191" s="602" t="str">
        <f>IFERROR(VLOOKUP(E:E,'Item Data Support Sheet'!A:O,2,0),"")</f>
        <v>NIPPLE S TYPE Y SIZE INJECTION</v>
      </c>
      <c r="I1191" s="501" t="s">
        <v>3972</v>
      </c>
      <c r="J1191" s="501" t="s">
        <v>3895</v>
      </c>
      <c r="K1191" s="499">
        <v>8</v>
      </c>
      <c r="L1191" s="499">
        <v>4815</v>
      </c>
      <c r="M1191" s="366">
        <v>601.875</v>
      </c>
      <c r="N1191" s="367">
        <f t="shared" si="323"/>
        <v>5098</v>
      </c>
      <c r="O1191" s="61">
        <v>5000</v>
      </c>
      <c r="P1191" s="368">
        <v>0</v>
      </c>
      <c r="Q1191" s="368">
        <v>24</v>
      </c>
      <c r="R1191" s="494">
        <v>0</v>
      </c>
      <c r="S1191" s="493">
        <v>0</v>
      </c>
      <c r="T1191" s="494">
        <v>58</v>
      </c>
      <c r="U1191" s="493">
        <v>16</v>
      </c>
      <c r="V1191" s="502">
        <v>1</v>
      </c>
      <c r="W1191" s="453">
        <f t="shared" si="325"/>
        <v>5000</v>
      </c>
      <c r="X1191" s="748">
        <f t="shared" si="326"/>
        <v>1.0384215991692627</v>
      </c>
      <c r="Y1191" s="451" t="str">
        <f>IFERROR(VLOOKUP(E:E,'Item Data Support Sheet'!A:J,6,0),0)</f>
        <v>Silicon</v>
      </c>
      <c r="Z1191" s="428">
        <f>IFERROR(VLOOKUP(E:E,'Item Data Support Sheet'!A:O,4,0),0)</f>
        <v>6.8</v>
      </c>
      <c r="AA1191" s="428">
        <f t="shared" si="327"/>
        <v>34.666399999999996</v>
      </c>
      <c r="AB1191" s="429">
        <f t="shared" si="328"/>
        <v>0.98077677520596329</v>
      </c>
      <c r="AC1191" s="424">
        <f t="shared" si="329"/>
        <v>1.1466982997232108E-2</v>
      </c>
      <c r="AD1191" s="371">
        <f t="shared" si="330"/>
        <v>4.6856696602889493E-3</v>
      </c>
      <c r="AE1191" s="748">
        <f t="shared" si="331"/>
        <v>0.98862298940761084</v>
      </c>
      <c r="AF1191" s="417">
        <f t="shared" si="332"/>
        <v>0</v>
      </c>
      <c r="AG1191" s="416">
        <f t="shared" si="333"/>
        <v>8</v>
      </c>
      <c r="AH1191" s="372">
        <f t="shared" si="334"/>
        <v>1</v>
      </c>
      <c r="AI1191" s="373">
        <f t="shared" si="335"/>
        <v>625</v>
      </c>
      <c r="AJ1191" s="418">
        <f>VLOOKUP(D1191,'Standard Cycle time'!C:D,2,0)</f>
        <v>5.25</v>
      </c>
      <c r="AK1191" s="418">
        <f t="shared" si="336"/>
        <v>5.76</v>
      </c>
      <c r="AL1191" s="374">
        <f t="shared" si="337"/>
        <v>0.91145833333333337</v>
      </c>
      <c r="AM1191" s="372">
        <f t="shared" si="338"/>
        <v>0.90108866222047868</v>
      </c>
      <c r="AN1191" s="799">
        <v>0.90108866222047868</v>
      </c>
      <c r="AO1191" s="448"/>
      <c r="AP1191" s="440">
        <v>0</v>
      </c>
      <c r="AQ1191" s="440">
        <v>0</v>
      </c>
      <c r="AR1191" s="440">
        <v>0</v>
      </c>
      <c r="AS1191" s="440">
        <v>0</v>
      </c>
      <c r="AT1191" s="440">
        <v>0</v>
      </c>
      <c r="AU1191" s="440">
        <v>0</v>
      </c>
      <c r="AV1191" s="440">
        <v>0</v>
      </c>
      <c r="AW1191" s="440">
        <v>0</v>
      </c>
      <c r="AX1191" s="440">
        <v>0</v>
      </c>
      <c r="AY1191" s="440">
        <v>0</v>
      </c>
      <c r="AZ1191" s="440">
        <v>0</v>
      </c>
      <c r="BA1191" s="440">
        <v>0</v>
      </c>
      <c r="BB1191" s="440">
        <v>0</v>
      </c>
      <c r="BC1191" s="440">
        <v>0</v>
      </c>
      <c r="BD1191" s="440">
        <v>0</v>
      </c>
      <c r="BE1191" s="440">
        <v>0</v>
      </c>
      <c r="BF1191" s="440">
        <v>0</v>
      </c>
      <c r="BG1191" s="440">
        <v>0</v>
      </c>
      <c r="BH1191" s="440">
        <v>0</v>
      </c>
      <c r="BI1191" s="440">
        <v>0</v>
      </c>
      <c r="BJ1191" s="440">
        <v>0</v>
      </c>
      <c r="BK1191" s="440">
        <v>0</v>
      </c>
      <c r="BL1191" s="440">
        <v>0</v>
      </c>
      <c r="BM1191" s="440">
        <v>0</v>
      </c>
      <c r="BN1191" s="440">
        <v>0</v>
      </c>
      <c r="BO1191" s="440">
        <v>0</v>
      </c>
      <c r="BP1191" s="440">
        <v>0</v>
      </c>
      <c r="BQ1191" s="440">
        <v>0</v>
      </c>
      <c r="BR1191" s="415">
        <v>0</v>
      </c>
      <c r="BS1191" s="415">
        <v>0</v>
      </c>
      <c r="BT1191" s="935"/>
      <c r="BU1191" s="935"/>
      <c r="BV1191" s="935"/>
      <c r="BW1191" s="935"/>
      <c r="BX1191" s="935"/>
      <c r="BY1191" s="935"/>
      <c r="BZ1191" s="935"/>
      <c r="CA1191" s="935"/>
      <c r="CB1191" s="935"/>
      <c r="CC1191" s="935"/>
      <c r="CD1191" s="935"/>
      <c r="CE1191" s="935"/>
      <c r="CF1191" s="935"/>
      <c r="CG1191" s="935"/>
      <c r="CH1191" s="935"/>
      <c r="CI1191" s="935"/>
      <c r="CJ1191" s="935"/>
      <c r="CK1191" s="935"/>
      <c r="CL1191" s="935"/>
      <c r="CM1191" s="935"/>
      <c r="CN1191" s="935"/>
      <c r="CO1191" s="935"/>
      <c r="CP1191" s="935"/>
      <c r="CQ1191" s="935"/>
      <c r="CR1191" s="935"/>
      <c r="CS1191" s="935"/>
      <c r="CT1191" s="935"/>
      <c r="CU1191" s="935"/>
      <c r="CV1191" s="935"/>
    </row>
    <row r="1192" spans="1:100" s="441" customFormat="1">
      <c r="A1192" s="375">
        <f t="shared" si="324"/>
        <v>11</v>
      </c>
      <c r="B1192" s="862">
        <v>44512</v>
      </c>
      <c r="C1192" s="493" t="s">
        <v>1980</v>
      </c>
      <c r="D1192" s="376" t="str">
        <f>IFERROR(VLOOKUP(E:E,'Item Data Support Sheet'!A:O,7,0),"")</f>
        <v>BOTTLE MOLDED</v>
      </c>
      <c r="E1192" s="447" t="s">
        <v>14</v>
      </c>
      <c r="F1192" s="500" t="s">
        <v>1681</v>
      </c>
      <c r="G1192" s="497" t="s">
        <v>1888</v>
      </c>
      <c r="H1192" s="602" t="str">
        <f>IFERROR(VLOOKUP(E:E,'Item Data Support Sheet'!A:O,2,0),"")</f>
        <v>KPP 240 ML BOTTLE MOLDED</v>
      </c>
      <c r="I1192" s="501" t="s">
        <v>3973</v>
      </c>
      <c r="J1192" s="501" t="s">
        <v>2808</v>
      </c>
      <c r="K1192" s="499">
        <v>8</v>
      </c>
      <c r="L1192" s="499">
        <v>2574</v>
      </c>
      <c r="M1192" s="366">
        <v>321.75</v>
      </c>
      <c r="N1192" s="367">
        <f t="shared" si="323"/>
        <v>3406</v>
      </c>
      <c r="O1192" s="61">
        <v>3348</v>
      </c>
      <c r="P1192" s="368">
        <v>0</v>
      </c>
      <c r="Q1192" s="368">
        <v>0</v>
      </c>
      <c r="R1192" s="494">
        <v>0</v>
      </c>
      <c r="S1192" s="493">
        <v>0</v>
      </c>
      <c r="T1192" s="494">
        <v>50</v>
      </c>
      <c r="U1192" s="493">
        <v>8</v>
      </c>
      <c r="V1192" s="502">
        <v>1</v>
      </c>
      <c r="W1192" s="453">
        <f t="shared" si="325"/>
        <v>3348</v>
      </c>
      <c r="X1192" s="748">
        <f t="shared" si="326"/>
        <v>1.3006993006993006</v>
      </c>
      <c r="Y1192" s="451" t="str">
        <f>IFERROR(VLOOKUP(E:E,'Item Data Support Sheet'!A:J,6,0),0)</f>
        <v>HMC</v>
      </c>
      <c r="Z1192" s="428">
        <f>IFERROR(VLOOKUP(E:E,'Item Data Support Sheet'!A:O,4,0),0)</f>
        <v>32.1</v>
      </c>
      <c r="AA1192" s="428">
        <f t="shared" si="327"/>
        <v>109.33260000000001</v>
      </c>
      <c r="AB1192" s="429">
        <f t="shared" si="328"/>
        <v>0.98297122724603636</v>
      </c>
      <c r="AC1192" s="424">
        <f t="shared" si="329"/>
        <v>1.4714537963507945E-2</v>
      </c>
      <c r="AD1192" s="371">
        <f t="shared" si="330"/>
        <v>0</v>
      </c>
      <c r="AE1192" s="748">
        <f t="shared" si="331"/>
        <v>0.98532002348796244</v>
      </c>
      <c r="AF1192" s="417">
        <f t="shared" si="332"/>
        <v>0</v>
      </c>
      <c r="AG1192" s="416">
        <f t="shared" si="333"/>
        <v>8</v>
      </c>
      <c r="AH1192" s="372">
        <f t="shared" si="334"/>
        <v>1</v>
      </c>
      <c r="AI1192" s="373">
        <f t="shared" si="335"/>
        <v>418.5</v>
      </c>
      <c r="AJ1192" s="418">
        <f>VLOOKUP(D1192,'Standard Cycle time'!C:D,2,0)</f>
        <v>9</v>
      </c>
      <c r="AK1192" s="418">
        <f t="shared" si="336"/>
        <v>8.6021505376344081</v>
      </c>
      <c r="AL1192" s="374">
        <f t="shared" si="337"/>
        <v>1.0462500000000001</v>
      </c>
      <c r="AM1192" s="372">
        <f t="shared" si="338"/>
        <v>1.0308910745742808</v>
      </c>
      <c r="AN1192" s="799">
        <v>1.0308910745742808</v>
      </c>
      <c r="AO1192" s="448"/>
      <c r="AP1192" s="440">
        <v>0</v>
      </c>
      <c r="AQ1192" s="440">
        <v>0</v>
      </c>
      <c r="AR1192" s="440">
        <v>0</v>
      </c>
      <c r="AS1192" s="440">
        <v>0</v>
      </c>
      <c r="AT1192" s="440">
        <v>0</v>
      </c>
      <c r="AU1192" s="440">
        <v>0</v>
      </c>
      <c r="AV1192" s="440">
        <v>0</v>
      </c>
      <c r="AW1192" s="440">
        <v>0</v>
      </c>
      <c r="AX1192" s="440">
        <v>0</v>
      </c>
      <c r="AY1192" s="440">
        <v>0</v>
      </c>
      <c r="AZ1192" s="440">
        <v>0</v>
      </c>
      <c r="BA1192" s="440">
        <v>0</v>
      </c>
      <c r="BB1192" s="440">
        <v>0</v>
      </c>
      <c r="BC1192" s="440">
        <v>0</v>
      </c>
      <c r="BD1192" s="440">
        <v>0</v>
      </c>
      <c r="BE1192" s="440">
        <v>0</v>
      </c>
      <c r="BF1192" s="440">
        <v>0</v>
      </c>
      <c r="BG1192" s="440">
        <v>0</v>
      </c>
      <c r="BH1192" s="440">
        <v>0</v>
      </c>
      <c r="BI1192" s="440">
        <v>0</v>
      </c>
      <c r="BJ1192" s="440">
        <v>0</v>
      </c>
      <c r="BK1192" s="440">
        <v>0</v>
      </c>
      <c r="BL1192" s="440">
        <v>0</v>
      </c>
      <c r="BM1192" s="440">
        <v>0</v>
      </c>
      <c r="BN1192" s="440">
        <v>0</v>
      </c>
      <c r="BO1192" s="440">
        <v>0</v>
      </c>
      <c r="BP1192" s="440">
        <v>0</v>
      </c>
      <c r="BQ1192" s="440">
        <v>0</v>
      </c>
      <c r="BR1192" s="415">
        <v>0</v>
      </c>
      <c r="BS1192" s="415">
        <v>0</v>
      </c>
      <c r="BT1192" s="935"/>
      <c r="BU1192" s="935"/>
      <c r="BV1192" s="935"/>
      <c r="BW1192" s="935"/>
      <c r="BX1192" s="935"/>
      <c r="BY1192" s="935"/>
      <c r="BZ1192" s="935"/>
      <c r="CA1192" s="935"/>
      <c r="CB1192" s="935"/>
      <c r="CC1192" s="935"/>
      <c r="CD1192" s="935"/>
      <c r="CE1192" s="935"/>
      <c r="CF1192" s="935"/>
      <c r="CG1192" s="935"/>
      <c r="CH1192" s="935"/>
      <c r="CI1192" s="935"/>
      <c r="CJ1192" s="935"/>
      <c r="CK1192" s="935"/>
      <c r="CL1192" s="935"/>
      <c r="CM1192" s="935"/>
      <c r="CN1192" s="935"/>
      <c r="CO1192" s="935"/>
      <c r="CP1192" s="935"/>
      <c r="CQ1192" s="935"/>
      <c r="CR1192" s="935"/>
      <c r="CS1192" s="935"/>
      <c r="CT1192" s="935"/>
      <c r="CU1192" s="935"/>
      <c r="CV1192" s="935"/>
    </row>
    <row r="1193" spans="1:100" s="441" customFormat="1">
      <c r="A1193" s="375">
        <f t="shared" si="324"/>
        <v>11</v>
      </c>
      <c r="B1193" s="862">
        <v>44512</v>
      </c>
      <c r="C1193" s="493" t="s">
        <v>1980</v>
      </c>
      <c r="D1193" s="376" t="str">
        <f>IFERROR(VLOOKUP(E:E,'Item Data Support Sheet'!A:O,7,0),"")</f>
        <v>NIPPLE MOLDED</v>
      </c>
      <c r="E1193" s="447" t="s">
        <v>75</v>
      </c>
      <c r="F1193" s="500" t="s">
        <v>1678</v>
      </c>
      <c r="G1193" s="497" t="s">
        <v>1691</v>
      </c>
      <c r="H1193" s="602" t="str">
        <f>IFERROR(VLOOKUP(E:E,'Item Data Support Sheet'!A:O,2,0),"")</f>
        <v>NIPPLE S TYPE Y SIZE INJECTION</v>
      </c>
      <c r="I1193" s="501" t="s">
        <v>3974</v>
      </c>
      <c r="J1193" s="501" t="s">
        <v>2808</v>
      </c>
      <c r="K1193" s="499">
        <v>8</v>
      </c>
      <c r="L1193" s="499">
        <v>4815</v>
      </c>
      <c r="M1193" s="366">
        <v>601.875</v>
      </c>
      <c r="N1193" s="367">
        <f t="shared" si="323"/>
        <v>5128</v>
      </c>
      <c r="O1193" s="61">
        <v>5000</v>
      </c>
      <c r="P1193" s="368">
        <v>0</v>
      </c>
      <c r="Q1193" s="368">
        <v>72</v>
      </c>
      <c r="R1193" s="494">
        <v>0</v>
      </c>
      <c r="S1193" s="493">
        <v>0</v>
      </c>
      <c r="T1193" s="494">
        <v>48</v>
      </c>
      <c r="U1193" s="493">
        <v>8</v>
      </c>
      <c r="V1193" s="502">
        <v>1</v>
      </c>
      <c r="W1193" s="453">
        <f t="shared" si="325"/>
        <v>5000</v>
      </c>
      <c r="X1193" s="748">
        <f t="shared" si="326"/>
        <v>1.0384215991692627</v>
      </c>
      <c r="Y1193" s="451" t="str">
        <f>IFERROR(VLOOKUP(E:E,'Item Data Support Sheet'!A:J,6,0),0)</f>
        <v>Silicon</v>
      </c>
      <c r="Z1193" s="428">
        <f>IFERROR(VLOOKUP(E:E,'Item Data Support Sheet'!A:O,4,0),0)</f>
        <v>6.8</v>
      </c>
      <c r="AA1193" s="428">
        <f t="shared" si="327"/>
        <v>34.870399999999997</v>
      </c>
      <c r="AB1193" s="429">
        <f t="shared" si="328"/>
        <v>0.97503900156006251</v>
      </c>
      <c r="AC1193" s="424">
        <f t="shared" si="329"/>
        <v>9.5087163232963554E-3</v>
      </c>
      <c r="AD1193" s="371">
        <f t="shared" si="330"/>
        <v>1.3846153846153847E-2</v>
      </c>
      <c r="AE1193" s="748">
        <f t="shared" si="331"/>
        <v>0.99063962558502339</v>
      </c>
      <c r="AF1193" s="417">
        <f t="shared" si="332"/>
        <v>0</v>
      </c>
      <c r="AG1193" s="416">
        <f t="shared" si="333"/>
        <v>8</v>
      </c>
      <c r="AH1193" s="372">
        <f t="shared" si="334"/>
        <v>1</v>
      </c>
      <c r="AI1193" s="373">
        <f t="shared" si="335"/>
        <v>625</v>
      </c>
      <c r="AJ1193" s="418">
        <f>VLOOKUP(D1193,'Standard Cycle time'!C:D,2,0)</f>
        <v>5.25</v>
      </c>
      <c r="AK1193" s="418">
        <f t="shared" si="336"/>
        <v>5.76</v>
      </c>
      <c r="AL1193" s="374">
        <f t="shared" si="337"/>
        <v>0.91145833333333337</v>
      </c>
      <c r="AM1193" s="372">
        <f t="shared" si="338"/>
        <v>0.90292674206968282</v>
      </c>
      <c r="AN1193" s="799">
        <v>0.90292674206968282</v>
      </c>
      <c r="AO1193" s="448" t="s">
        <v>3975</v>
      </c>
      <c r="AP1193" s="440">
        <v>0</v>
      </c>
      <c r="AQ1193" s="440">
        <v>0</v>
      </c>
      <c r="AR1193" s="440">
        <v>0</v>
      </c>
      <c r="AS1193" s="440">
        <v>0</v>
      </c>
      <c r="AT1193" s="440">
        <v>0</v>
      </c>
      <c r="AU1193" s="440">
        <v>0</v>
      </c>
      <c r="AV1193" s="440">
        <v>0</v>
      </c>
      <c r="AW1193" s="440">
        <v>0</v>
      </c>
      <c r="AX1193" s="440">
        <v>0</v>
      </c>
      <c r="AY1193" s="440">
        <v>0</v>
      </c>
      <c r="AZ1193" s="440">
        <v>0</v>
      </c>
      <c r="BA1193" s="440">
        <v>0</v>
      </c>
      <c r="BB1193" s="440">
        <v>0</v>
      </c>
      <c r="BC1193" s="440">
        <v>0</v>
      </c>
      <c r="BD1193" s="440">
        <v>0</v>
      </c>
      <c r="BE1193" s="440">
        <v>0</v>
      </c>
      <c r="BF1193" s="440">
        <v>0</v>
      </c>
      <c r="BG1193" s="440">
        <v>0</v>
      </c>
      <c r="BH1193" s="440">
        <v>0</v>
      </c>
      <c r="BI1193" s="440">
        <v>0</v>
      </c>
      <c r="BJ1193" s="440">
        <v>0</v>
      </c>
      <c r="BK1193" s="440">
        <v>0</v>
      </c>
      <c r="BL1193" s="440">
        <v>0</v>
      </c>
      <c r="BM1193" s="440">
        <v>0</v>
      </c>
      <c r="BN1193" s="440">
        <v>0</v>
      </c>
      <c r="BO1193" s="440">
        <v>0</v>
      </c>
      <c r="BP1193" s="440">
        <v>0</v>
      </c>
      <c r="BQ1193" s="440">
        <v>0</v>
      </c>
      <c r="BR1193" s="415">
        <v>0</v>
      </c>
      <c r="BS1193" s="415">
        <v>0</v>
      </c>
      <c r="BT1193" s="935"/>
      <c r="BU1193" s="935"/>
      <c r="BV1193" s="935"/>
      <c r="BW1193" s="935"/>
      <c r="BX1193" s="935"/>
      <c r="BY1193" s="935"/>
      <c r="BZ1193" s="935"/>
      <c r="CA1193" s="935"/>
      <c r="CB1193" s="935"/>
      <c r="CC1193" s="935"/>
      <c r="CD1193" s="935"/>
      <c r="CE1193" s="935"/>
      <c r="CF1193" s="935"/>
      <c r="CG1193" s="935"/>
      <c r="CH1193" s="935"/>
      <c r="CI1193" s="935"/>
      <c r="CJ1193" s="935"/>
      <c r="CK1193" s="935"/>
      <c r="CL1193" s="935"/>
      <c r="CM1193" s="935"/>
      <c r="CN1193" s="935"/>
      <c r="CO1193" s="935"/>
      <c r="CP1193" s="935"/>
      <c r="CQ1193" s="935"/>
      <c r="CR1193" s="935"/>
      <c r="CS1193" s="935"/>
      <c r="CT1193" s="935"/>
      <c r="CU1193" s="935"/>
      <c r="CV1193" s="935"/>
    </row>
    <row r="1194" spans="1:100" s="441" customFormat="1">
      <c r="A1194" s="375">
        <f t="shared" si="324"/>
        <v>11</v>
      </c>
      <c r="B1194" s="862">
        <v>44512</v>
      </c>
      <c r="C1194" s="493" t="s">
        <v>1980</v>
      </c>
      <c r="D1194" s="376" t="str">
        <f>IFERROR(VLOOKUP(E:E,'Item Data Support Sheet'!A:O,7,0),"")</f>
        <v>NIPPLE PUNCH</v>
      </c>
      <c r="E1194" s="447" t="s">
        <v>83</v>
      </c>
      <c r="F1194" s="500"/>
      <c r="G1194" s="497" t="s">
        <v>1692</v>
      </c>
      <c r="H1194" s="602" t="str">
        <f>IFERROR(VLOOKUP(E:E,'Item Data Support Sheet'!A:O,2,0),"")</f>
        <v>NIPPLE S TYPE Y SIZE PUNCHED</v>
      </c>
      <c r="I1194" s="501" t="s">
        <v>3976</v>
      </c>
      <c r="J1194" s="501" t="s">
        <v>2808</v>
      </c>
      <c r="K1194" s="499">
        <v>8</v>
      </c>
      <c r="L1194" s="499">
        <v>7000</v>
      </c>
      <c r="M1194" s="366">
        <v>875</v>
      </c>
      <c r="N1194" s="367">
        <f t="shared" si="323"/>
        <v>7000</v>
      </c>
      <c r="O1194" s="61">
        <v>7000</v>
      </c>
      <c r="P1194" s="368">
        <v>0</v>
      </c>
      <c r="Q1194" s="368">
        <v>0</v>
      </c>
      <c r="R1194" s="494">
        <v>0</v>
      </c>
      <c r="S1194" s="493">
        <v>0</v>
      </c>
      <c r="T1194" s="494">
        <v>0</v>
      </c>
      <c r="U1194" s="493">
        <v>0</v>
      </c>
      <c r="V1194" s="502">
        <v>1</v>
      </c>
      <c r="W1194" s="453">
        <f t="shared" si="325"/>
        <v>7000</v>
      </c>
      <c r="X1194" s="748">
        <f t="shared" si="326"/>
        <v>1</v>
      </c>
      <c r="Y1194" s="451" t="str">
        <f>IFERROR(VLOOKUP(E:E,'Item Data Support Sheet'!A:J,6,0),0)</f>
        <v>FO018</v>
      </c>
      <c r="Z1194" s="428">
        <f>IFERROR(VLOOKUP(E:E,'Item Data Support Sheet'!A:O,4,0),0)</f>
        <v>0</v>
      </c>
      <c r="AA1194" s="428">
        <f t="shared" si="327"/>
        <v>0</v>
      </c>
      <c r="AB1194" s="429" t="str">
        <f t="shared" si="328"/>
        <v xml:space="preserve"> </v>
      </c>
      <c r="AC1194" s="424">
        <f t="shared" si="329"/>
        <v>0</v>
      </c>
      <c r="AD1194" s="371">
        <f t="shared" si="330"/>
        <v>0</v>
      </c>
      <c r="AE1194" s="748">
        <f t="shared" si="331"/>
        <v>1</v>
      </c>
      <c r="AF1194" s="417">
        <f t="shared" si="332"/>
        <v>0.66666666666666663</v>
      </c>
      <c r="AG1194" s="416">
        <f t="shared" si="333"/>
        <v>7.333333333333333</v>
      </c>
      <c r="AH1194" s="372">
        <f t="shared" si="334"/>
        <v>0.91666666666666663</v>
      </c>
      <c r="AI1194" s="373">
        <f t="shared" si="335"/>
        <v>875</v>
      </c>
      <c r="AJ1194" s="418">
        <f>VLOOKUP(D1194,'Standard Cycle time'!C:D,2,0)</f>
        <v>3.5</v>
      </c>
      <c r="AK1194" s="418">
        <f t="shared" si="336"/>
        <v>3.7714285714285714</v>
      </c>
      <c r="AL1194" s="374">
        <f t="shared" si="337"/>
        <v>0.92803030303030309</v>
      </c>
      <c r="AM1194" s="372">
        <f t="shared" si="338"/>
        <v>0.85069444444444442</v>
      </c>
      <c r="AN1194" s="799">
        <v>0.85069444444444442</v>
      </c>
      <c r="AO1194" s="448"/>
      <c r="AP1194" s="440">
        <v>40</v>
      </c>
      <c r="AQ1194" s="440">
        <v>0</v>
      </c>
      <c r="AR1194" s="440">
        <v>0</v>
      </c>
      <c r="AS1194" s="440">
        <v>0</v>
      </c>
      <c r="AT1194" s="440">
        <v>0</v>
      </c>
      <c r="AU1194" s="440">
        <v>0</v>
      </c>
      <c r="AV1194" s="440">
        <v>0</v>
      </c>
      <c r="AW1194" s="440">
        <v>0</v>
      </c>
      <c r="AX1194" s="440">
        <v>0</v>
      </c>
      <c r="AY1194" s="440">
        <v>0</v>
      </c>
      <c r="AZ1194" s="440">
        <v>0</v>
      </c>
      <c r="BA1194" s="440">
        <v>0</v>
      </c>
      <c r="BB1194" s="440">
        <v>0</v>
      </c>
      <c r="BC1194" s="440">
        <v>0</v>
      </c>
      <c r="BD1194" s="440">
        <v>0</v>
      </c>
      <c r="BE1194" s="440">
        <v>0</v>
      </c>
      <c r="BF1194" s="440">
        <v>0</v>
      </c>
      <c r="BG1194" s="440">
        <v>0</v>
      </c>
      <c r="BH1194" s="440">
        <v>0</v>
      </c>
      <c r="BI1194" s="440">
        <v>0</v>
      </c>
      <c r="BJ1194" s="440">
        <v>0</v>
      </c>
      <c r="BK1194" s="440">
        <v>0</v>
      </c>
      <c r="BL1194" s="440">
        <v>0</v>
      </c>
      <c r="BM1194" s="440">
        <v>0</v>
      </c>
      <c r="BN1194" s="440">
        <v>0</v>
      </c>
      <c r="BO1194" s="440">
        <v>0</v>
      </c>
      <c r="BP1194" s="440">
        <v>0</v>
      </c>
      <c r="BQ1194" s="440">
        <v>0</v>
      </c>
      <c r="BR1194" s="415">
        <v>0.66666666666666663</v>
      </c>
      <c r="BS1194" s="415">
        <v>0.66666666666666663</v>
      </c>
      <c r="BT1194" s="935"/>
      <c r="BU1194" s="935"/>
      <c r="BV1194" s="935"/>
      <c r="BW1194" s="935"/>
      <c r="BX1194" s="935"/>
      <c r="BY1194" s="935"/>
      <c r="BZ1194" s="935"/>
      <c r="CA1194" s="935"/>
      <c r="CB1194" s="935"/>
      <c r="CC1194" s="935"/>
      <c r="CD1194" s="935"/>
      <c r="CE1194" s="935"/>
      <c r="CF1194" s="935"/>
      <c r="CG1194" s="935"/>
      <c r="CH1194" s="935"/>
      <c r="CI1194" s="935"/>
      <c r="CJ1194" s="935"/>
      <c r="CK1194" s="935"/>
      <c r="CL1194" s="935"/>
      <c r="CM1194" s="935"/>
      <c r="CN1194" s="935"/>
      <c r="CO1194" s="935"/>
      <c r="CP1194" s="935"/>
      <c r="CQ1194" s="935"/>
      <c r="CR1194" s="935"/>
      <c r="CS1194" s="935"/>
      <c r="CT1194" s="935"/>
      <c r="CU1194" s="935"/>
      <c r="CV1194" s="935"/>
    </row>
    <row r="1195" spans="1:100" s="441" customFormat="1">
      <c r="A1195" s="375">
        <f t="shared" si="324"/>
        <v>11</v>
      </c>
      <c r="B1195" s="862">
        <v>44512</v>
      </c>
      <c r="C1195" s="493" t="s">
        <v>1980</v>
      </c>
      <c r="D1195" s="376" t="str">
        <f>IFERROR(VLOOKUP(E:E,'Item Data Support Sheet'!A:O,7,0),"")</f>
        <v>NIPPLE LASER MARKING</v>
      </c>
      <c r="E1195" s="447" t="s">
        <v>1817</v>
      </c>
      <c r="F1195" s="500"/>
      <c r="G1195" s="497" t="s">
        <v>1812</v>
      </c>
      <c r="H1195" s="602" t="str">
        <f>IFERROR(VLOOKUP(E:E,'Item Data Support Sheet'!A:O,2,0),"")</f>
        <v>NIPPLE S TYPE Y SIZE PUNCHED LASER MARKED</v>
      </c>
      <c r="I1195" s="501" t="s">
        <v>3977</v>
      </c>
      <c r="J1195" s="501" t="s">
        <v>2808</v>
      </c>
      <c r="K1195" s="499">
        <v>8</v>
      </c>
      <c r="L1195" s="499">
        <v>7000</v>
      </c>
      <c r="M1195" s="366">
        <v>875</v>
      </c>
      <c r="N1195" s="367">
        <f t="shared" si="323"/>
        <v>7000</v>
      </c>
      <c r="O1195" s="61">
        <v>7000</v>
      </c>
      <c r="P1195" s="368">
        <v>0</v>
      </c>
      <c r="Q1195" s="368">
        <v>0</v>
      </c>
      <c r="R1195" s="494">
        <v>0</v>
      </c>
      <c r="S1195" s="493">
        <v>0</v>
      </c>
      <c r="T1195" s="494">
        <v>0</v>
      </c>
      <c r="U1195" s="493">
        <v>0</v>
      </c>
      <c r="V1195" s="502">
        <v>1</v>
      </c>
      <c r="W1195" s="453">
        <f t="shared" si="325"/>
        <v>7000</v>
      </c>
      <c r="X1195" s="748">
        <f t="shared" si="326"/>
        <v>1</v>
      </c>
      <c r="Y1195" s="451" t="str">
        <f>IFERROR(VLOOKUP(E:E,'Item Data Support Sheet'!A:J,6,0),0)</f>
        <v>FO022</v>
      </c>
      <c r="Z1195" s="428">
        <f>IFERROR(VLOOKUP(E:E,'Item Data Support Sheet'!A:O,4,0),0)</f>
        <v>0</v>
      </c>
      <c r="AA1195" s="428">
        <f t="shared" si="327"/>
        <v>0</v>
      </c>
      <c r="AB1195" s="429" t="str">
        <f t="shared" si="328"/>
        <v xml:space="preserve"> </v>
      </c>
      <c r="AC1195" s="424">
        <f t="shared" si="329"/>
        <v>0</v>
      </c>
      <c r="AD1195" s="371">
        <f t="shared" si="330"/>
        <v>0</v>
      </c>
      <c r="AE1195" s="748">
        <f t="shared" si="331"/>
        <v>1</v>
      </c>
      <c r="AF1195" s="417">
        <f t="shared" si="332"/>
        <v>0.66666666666666663</v>
      </c>
      <c r="AG1195" s="416">
        <f t="shared" si="333"/>
        <v>7.333333333333333</v>
      </c>
      <c r="AH1195" s="372">
        <f t="shared" si="334"/>
        <v>0.91666666666666663</v>
      </c>
      <c r="AI1195" s="373">
        <f t="shared" si="335"/>
        <v>875</v>
      </c>
      <c r="AJ1195" s="418">
        <f>VLOOKUP(D1195,'Standard Cycle time'!C:D,2,0)</f>
        <v>3.5</v>
      </c>
      <c r="AK1195" s="418">
        <f t="shared" si="336"/>
        <v>3.7714285714285714</v>
      </c>
      <c r="AL1195" s="374">
        <f t="shared" si="337"/>
        <v>0.92803030303030309</v>
      </c>
      <c r="AM1195" s="372">
        <f t="shared" si="338"/>
        <v>0.85069444444444442</v>
      </c>
      <c r="AN1195" s="799">
        <v>0.85069444444444442</v>
      </c>
      <c r="AO1195" s="448"/>
      <c r="AP1195" s="440">
        <v>40</v>
      </c>
      <c r="AQ1195" s="440">
        <v>0</v>
      </c>
      <c r="AR1195" s="440">
        <v>0</v>
      </c>
      <c r="AS1195" s="440">
        <v>0</v>
      </c>
      <c r="AT1195" s="440">
        <v>0</v>
      </c>
      <c r="AU1195" s="440">
        <v>0</v>
      </c>
      <c r="AV1195" s="440">
        <v>0</v>
      </c>
      <c r="AW1195" s="440">
        <v>0</v>
      </c>
      <c r="AX1195" s="440">
        <v>0</v>
      </c>
      <c r="AY1195" s="440">
        <v>0</v>
      </c>
      <c r="AZ1195" s="440">
        <v>0</v>
      </c>
      <c r="BA1195" s="440">
        <v>0</v>
      </c>
      <c r="BB1195" s="440">
        <v>0</v>
      </c>
      <c r="BC1195" s="440">
        <v>0</v>
      </c>
      <c r="BD1195" s="440">
        <v>0</v>
      </c>
      <c r="BE1195" s="440">
        <v>0</v>
      </c>
      <c r="BF1195" s="440">
        <v>0</v>
      </c>
      <c r="BG1195" s="440">
        <v>0</v>
      </c>
      <c r="BH1195" s="440">
        <v>0</v>
      </c>
      <c r="BI1195" s="440">
        <v>0</v>
      </c>
      <c r="BJ1195" s="440">
        <v>0</v>
      </c>
      <c r="BK1195" s="440">
        <v>0</v>
      </c>
      <c r="BL1195" s="440">
        <v>0</v>
      </c>
      <c r="BM1195" s="440">
        <v>0</v>
      </c>
      <c r="BN1195" s="440">
        <v>0</v>
      </c>
      <c r="BO1195" s="440">
        <v>0</v>
      </c>
      <c r="BP1195" s="440">
        <v>0</v>
      </c>
      <c r="BQ1195" s="440">
        <v>0</v>
      </c>
      <c r="BR1195" s="415">
        <v>0.66666666666666663</v>
      </c>
      <c r="BS1195" s="415">
        <v>0.66666666666666663</v>
      </c>
      <c r="BT1195" s="935"/>
      <c r="BU1195" s="935"/>
      <c r="BV1195" s="935"/>
      <c r="BW1195" s="935"/>
      <c r="BX1195" s="935"/>
      <c r="BY1195" s="935"/>
      <c r="BZ1195" s="935"/>
      <c r="CA1195" s="935"/>
      <c r="CB1195" s="935"/>
      <c r="CC1195" s="935"/>
      <c r="CD1195" s="935"/>
      <c r="CE1195" s="935"/>
      <c r="CF1195" s="935"/>
      <c r="CG1195" s="935"/>
      <c r="CH1195" s="935"/>
      <c r="CI1195" s="935"/>
      <c r="CJ1195" s="935"/>
      <c r="CK1195" s="935"/>
      <c r="CL1195" s="935"/>
      <c r="CM1195" s="935"/>
      <c r="CN1195" s="935"/>
      <c r="CO1195" s="935"/>
      <c r="CP1195" s="935"/>
      <c r="CQ1195" s="935"/>
      <c r="CR1195" s="935"/>
      <c r="CS1195" s="935"/>
      <c r="CT1195" s="935"/>
      <c r="CU1195" s="935"/>
      <c r="CV1195" s="935"/>
    </row>
    <row r="1196" spans="1:100" s="441" customFormat="1">
      <c r="A1196" s="375">
        <f t="shared" si="324"/>
        <v>11</v>
      </c>
      <c r="B1196" s="862">
        <v>44512</v>
      </c>
      <c r="C1196" s="493" t="s">
        <v>1980</v>
      </c>
      <c r="D1196" s="376" t="str">
        <f>IFERROR(VLOOKUP(E:E,'Item Data Support Sheet'!A:O,7,0),"")</f>
        <v>BOTTLE PRINTED</v>
      </c>
      <c r="E1196" s="447" t="s">
        <v>70</v>
      </c>
      <c r="F1196" s="500"/>
      <c r="G1196" s="497"/>
      <c r="H1196" s="602" t="str">
        <f>IFERROR(VLOOKUP(E:E,'Item Data Support Sheet'!A:O,2,0),"")</f>
        <v>KPP 200 ML BOTTLE PRINTED</v>
      </c>
      <c r="I1196" s="501" t="s">
        <v>3968</v>
      </c>
      <c r="J1196" s="501" t="s">
        <v>3929</v>
      </c>
      <c r="K1196" s="499">
        <v>2</v>
      </c>
      <c r="L1196" s="499">
        <v>1280</v>
      </c>
      <c r="M1196" s="366">
        <v>640</v>
      </c>
      <c r="N1196" s="367">
        <f t="shared" si="323"/>
        <v>863</v>
      </c>
      <c r="O1196" s="61">
        <v>854</v>
      </c>
      <c r="P1196" s="368">
        <v>0</v>
      </c>
      <c r="Q1196" s="368">
        <v>0</v>
      </c>
      <c r="R1196" s="494">
        <v>9</v>
      </c>
      <c r="S1196" s="493">
        <v>0</v>
      </c>
      <c r="T1196" s="494">
        <v>9</v>
      </c>
      <c r="U1196" s="493">
        <v>0</v>
      </c>
      <c r="V1196" s="502">
        <v>4</v>
      </c>
      <c r="W1196" s="453">
        <f t="shared" si="325"/>
        <v>213.5</v>
      </c>
      <c r="X1196" s="748">
        <f t="shared" si="326"/>
        <v>0.66718750000000004</v>
      </c>
      <c r="Y1196" s="451" t="str">
        <f>IFERROR(VLOOKUP(E:E,'Item Data Support Sheet'!A:J,6,0),0)</f>
        <v>FO002</v>
      </c>
      <c r="Z1196" s="428">
        <f>IFERROR(VLOOKUP(E:E,'Item Data Support Sheet'!A:O,4,0),0)</f>
        <v>0</v>
      </c>
      <c r="AA1196" s="428">
        <f t="shared" si="327"/>
        <v>0</v>
      </c>
      <c r="AB1196" s="429" t="str">
        <f t="shared" si="328"/>
        <v xml:space="preserve"> </v>
      </c>
      <c r="AC1196" s="424">
        <f t="shared" si="329"/>
        <v>1.0428736964078795E-2</v>
      </c>
      <c r="AD1196" s="371">
        <f t="shared" si="330"/>
        <v>0</v>
      </c>
      <c r="AE1196" s="748">
        <f t="shared" si="331"/>
        <v>0.98957126303592124</v>
      </c>
      <c r="AF1196" s="417">
        <f t="shared" si="332"/>
        <v>0</v>
      </c>
      <c r="AG1196" s="416">
        <f t="shared" si="333"/>
        <v>2</v>
      </c>
      <c r="AH1196" s="372">
        <f t="shared" si="334"/>
        <v>1</v>
      </c>
      <c r="AI1196" s="373">
        <f t="shared" si="335"/>
        <v>427</v>
      </c>
      <c r="AJ1196" s="418">
        <f>VLOOKUP(D1196,'Standard Cycle time'!C:D,2,0)</f>
        <v>32.4</v>
      </c>
      <c r="AK1196" s="418">
        <f t="shared" si="336"/>
        <v>33.723653395784545</v>
      </c>
      <c r="AL1196" s="374">
        <f t="shared" si="337"/>
        <v>0.96074999999999988</v>
      </c>
      <c r="AM1196" s="372">
        <f t="shared" si="338"/>
        <v>0.95073059096176127</v>
      </c>
      <c r="AN1196" s="799">
        <v>0.95073059096176127</v>
      </c>
      <c r="AO1196" s="448" t="s">
        <v>3583</v>
      </c>
      <c r="AP1196" s="440">
        <v>0</v>
      </c>
      <c r="AQ1196" s="440">
        <v>0</v>
      </c>
      <c r="AR1196" s="440">
        <v>0</v>
      </c>
      <c r="AS1196" s="440">
        <v>0</v>
      </c>
      <c r="AT1196" s="440">
        <v>0</v>
      </c>
      <c r="AU1196" s="440">
        <v>0</v>
      </c>
      <c r="AV1196" s="440">
        <v>0</v>
      </c>
      <c r="AW1196" s="440">
        <v>0</v>
      </c>
      <c r="AX1196" s="440">
        <v>0</v>
      </c>
      <c r="AY1196" s="440">
        <v>0</v>
      </c>
      <c r="AZ1196" s="440">
        <v>0</v>
      </c>
      <c r="BA1196" s="440">
        <v>0</v>
      </c>
      <c r="BB1196" s="440">
        <v>0</v>
      </c>
      <c r="BC1196" s="440">
        <v>0</v>
      </c>
      <c r="BD1196" s="440">
        <v>0</v>
      </c>
      <c r="BE1196" s="440">
        <v>0</v>
      </c>
      <c r="BF1196" s="440">
        <v>0</v>
      </c>
      <c r="BG1196" s="440">
        <v>0</v>
      </c>
      <c r="BH1196" s="440">
        <v>0</v>
      </c>
      <c r="BI1196" s="440">
        <v>0</v>
      </c>
      <c r="BJ1196" s="440">
        <v>0</v>
      </c>
      <c r="BK1196" s="440">
        <v>0</v>
      </c>
      <c r="BL1196" s="440">
        <v>0</v>
      </c>
      <c r="BM1196" s="440">
        <v>0</v>
      </c>
      <c r="BN1196" s="440">
        <v>0</v>
      </c>
      <c r="BO1196" s="440">
        <v>0</v>
      </c>
      <c r="BP1196" s="440">
        <v>0</v>
      </c>
      <c r="BQ1196" s="440">
        <v>0</v>
      </c>
      <c r="BR1196" s="415">
        <v>0</v>
      </c>
      <c r="BS1196" s="415">
        <v>0</v>
      </c>
      <c r="BT1196" s="935"/>
      <c r="BU1196" s="935"/>
      <c r="BV1196" s="935"/>
      <c r="BW1196" s="935"/>
      <c r="BX1196" s="935"/>
      <c r="BY1196" s="935"/>
      <c r="BZ1196" s="935"/>
      <c r="CA1196" s="935"/>
      <c r="CB1196" s="935"/>
      <c r="CC1196" s="935"/>
      <c r="CD1196" s="935"/>
      <c r="CE1196" s="935"/>
      <c r="CF1196" s="935"/>
      <c r="CG1196" s="935"/>
      <c r="CH1196" s="935"/>
      <c r="CI1196" s="935"/>
      <c r="CJ1196" s="935"/>
      <c r="CK1196" s="935"/>
      <c r="CL1196" s="935"/>
      <c r="CM1196" s="935"/>
      <c r="CN1196" s="935"/>
      <c r="CO1196" s="935"/>
      <c r="CP1196" s="935"/>
      <c r="CQ1196" s="935"/>
      <c r="CR1196" s="935"/>
      <c r="CS1196" s="935"/>
      <c r="CT1196" s="935"/>
      <c r="CU1196" s="935"/>
      <c r="CV1196" s="935"/>
    </row>
    <row r="1197" spans="1:100" s="441" customFormat="1">
      <c r="A1197" s="375">
        <f t="shared" si="324"/>
        <v>11</v>
      </c>
      <c r="B1197" s="862">
        <v>44512</v>
      </c>
      <c r="C1197" s="493" t="s">
        <v>1980</v>
      </c>
      <c r="D1197" s="376" t="str">
        <f>IFERROR(VLOOKUP(E:E,'Item Data Support Sheet'!A:O,7,0),"")</f>
        <v>BOTTLE PRINTED</v>
      </c>
      <c r="E1197" s="447" t="s">
        <v>64</v>
      </c>
      <c r="F1197" s="500"/>
      <c r="G1197" s="497"/>
      <c r="H1197" s="602" t="str">
        <f>IFERROR(VLOOKUP(E:E,'Item Data Support Sheet'!A:O,2,0),"")</f>
        <v>KPP 240 ML BOTTLE PRINTED</v>
      </c>
      <c r="I1197" s="501" t="s">
        <v>3978</v>
      </c>
      <c r="J1197" s="501" t="s">
        <v>3929</v>
      </c>
      <c r="K1197" s="499">
        <v>6</v>
      </c>
      <c r="L1197" s="499">
        <v>3840</v>
      </c>
      <c r="M1197" s="366">
        <v>640</v>
      </c>
      <c r="N1197" s="367">
        <f t="shared" si="323"/>
        <v>3386</v>
      </c>
      <c r="O1197" s="61">
        <v>3348</v>
      </c>
      <c r="P1197" s="368">
        <v>0</v>
      </c>
      <c r="Q1197" s="368">
        <v>0</v>
      </c>
      <c r="R1197" s="494">
        <v>31</v>
      </c>
      <c r="S1197" s="493">
        <v>0</v>
      </c>
      <c r="T1197" s="494">
        <v>38</v>
      </c>
      <c r="U1197" s="493">
        <v>0</v>
      </c>
      <c r="V1197" s="502">
        <v>5</v>
      </c>
      <c r="W1197" s="453">
        <f t="shared" si="325"/>
        <v>669.6</v>
      </c>
      <c r="X1197" s="748">
        <f t="shared" si="326"/>
        <v>0.87187499999999996</v>
      </c>
      <c r="Y1197" s="451" t="str">
        <f>IFERROR(VLOOKUP(E:E,'Item Data Support Sheet'!A:J,6,0),0)</f>
        <v>FO003</v>
      </c>
      <c r="Z1197" s="428">
        <f>IFERROR(VLOOKUP(E:E,'Item Data Support Sheet'!A:O,4,0),0)</f>
        <v>0</v>
      </c>
      <c r="AA1197" s="428">
        <f t="shared" si="327"/>
        <v>0</v>
      </c>
      <c r="AB1197" s="429" t="str">
        <f t="shared" si="328"/>
        <v xml:space="preserve"> </v>
      </c>
      <c r="AC1197" s="424">
        <f t="shared" si="329"/>
        <v>1.1222681630242174E-2</v>
      </c>
      <c r="AD1197" s="371">
        <f t="shared" si="330"/>
        <v>0</v>
      </c>
      <c r="AE1197" s="748">
        <f t="shared" si="331"/>
        <v>0.9887773183697578</v>
      </c>
      <c r="AF1197" s="417">
        <f t="shared" si="332"/>
        <v>1</v>
      </c>
      <c r="AG1197" s="416">
        <f t="shared" si="333"/>
        <v>5</v>
      </c>
      <c r="AH1197" s="372">
        <f t="shared" si="334"/>
        <v>0.83333333333333337</v>
      </c>
      <c r="AI1197" s="373">
        <f t="shared" si="335"/>
        <v>558</v>
      </c>
      <c r="AJ1197" s="418">
        <f>VLOOKUP(D1197,'Standard Cycle time'!C:D,2,0)</f>
        <v>32.4</v>
      </c>
      <c r="AK1197" s="418">
        <f t="shared" si="336"/>
        <v>26.881720430107528</v>
      </c>
      <c r="AL1197" s="374">
        <f t="shared" si="337"/>
        <v>1.2052799999999999</v>
      </c>
      <c r="AM1197" s="372">
        <f t="shared" si="338"/>
        <v>0.99312793857058479</v>
      </c>
      <c r="AN1197" s="799">
        <v>0.99312793857058479</v>
      </c>
      <c r="AO1197" s="448" t="s">
        <v>3979</v>
      </c>
      <c r="AP1197" s="440">
        <v>0</v>
      </c>
      <c r="AQ1197" s="440">
        <v>60</v>
      </c>
      <c r="AR1197" s="440">
        <v>0</v>
      </c>
      <c r="AS1197" s="440">
        <v>0</v>
      </c>
      <c r="AT1197" s="440">
        <v>0</v>
      </c>
      <c r="AU1197" s="440">
        <v>0</v>
      </c>
      <c r="AV1197" s="440">
        <v>0</v>
      </c>
      <c r="AW1197" s="440">
        <v>0</v>
      </c>
      <c r="AX1197" s="440">
        <v>0</v>
      </c>
      <c r="AY1197" s="440">
        <v>0</v>
      </c>
      <c r="AZ1197" s="440">
        <v>0</v>
      </c>
      <c r="BA1197" s="440">
        <v>0</v>
      </c>
      <c r="BB1197" s="440">
        <v>0</v>
      </c>
      <c r="BC1197" s="440">
        <v>0</v>
      </c>
      <c r="BD1197" s="440">
        <v>0</v>
      </c>
      <c r="BE1197" s="440">
        <v>0</v>
      </c>
      <c r="BF1197" s="440">
        <v>0</v>
      </c>
      <c r="BG1197" s="440">
        <v>0</v>
      </c>
      <c r="BH1197" s="440">
        <v>0</v>
      </c>
      <c r="BI1197" s="440">
        <v>0</v>
      </c>
      <c r="BJ1197" s="440">
        <v>0</v>
      </c>
      <c r="BK1197" s="440">
        <v>0</v>
      </c>
      <c r="BL1197" s="440">
        <v>0</v>
      </c>
      <c r="BM1197" s="440">
        <v>0</v>
      </c>
      <c r="BN1197" s="440">
        <v>0</v>
      </c>
      <c r="BO1197" s="440">
        <v>0</v>
      </c>
      <c r="BP1197" s="440">
        <v>0</v>
      </c>
      <c r="BQ1197" s="440">
        <v>0</v>
      </c>
      <c r="BR1197" s="415">
        <v>1</v>
      </c>
      <c r="BS1197" s="415">
        <v>1</v>
      </c>
      <c r="BT1197" s="935"/>
      <c r="BU1197" s="935"/>
      <c r="BV1197" s="935"/>
      <c r="BW1197" s="935"/>
      <c r="BX1197" s="935"/>
      <c r="BY1197" s="935"/>
      <c r="BZ1197" s="935"/>
      <c r="CA1197" s="935"/>
      <c r="CB1197" s="935"/>
      <c r="CC1197" s="935"/>
      <c r="CD1197" s="935"/>
      <c r="CE1197" s="935"/>
      <c r="CF1197" s="935"/>
      <c r="CG1197" s="935"/>
      <c r="CH1197" s="935"/>
      <c r="CI1197" s="935"/>
      <c r="CJ1197" s="935"/>
      <c r="CK1197" s="935"/>
      <c r="CL1197" s="935"/>
      <c r="CM1197" s="935"/>
      <c r="CN1197" s="935"/>
      <c r="CO1197" s="935"/>
      <c r="CP1197" s="935"/>
      <c r="CQ1197" s="935"/>
      <c r="CR1197" s="935"/>
      <c r="CS1197" s="935"/>
      <c r="CT1197" s="935"/>
      <c r="CU1197" s="935"/>
      <c r="CV1197" s="935"/>
    </row>
    <row r="1198" spans="1:100" s="441" customFormat="1">
      <c r="A1198" s="375">
        <f t="shared" si="324"/>
        <v>11</v>
      </c>
      <c r="B1198" s="862">
        <v>44512</v>
      </c>
      <c r="C1198" s="493" t="s">
        <v>2000</v>
      </c>
      <c r="D1198" s="376" t="str">
        <f>IFERROR(VLOOKUP(E:E,'Item Data Support Sheet'!A:O,7,0),"")</f>
        <v>NIPPLE PUNCH INSPECTED</v>
      </c>
      <c r="E1198" s="447" t="s">
        <v>1821</v>
      </c>
      <c r="F1198" s="500"/>
      <c r="G1198" s="497"/>
      <c r="H1198" s="602" t="str">
        <f>IFERROR(VLOOKUP(E:E,'Item Data Support Sheet'!A:O,2,0),"")</f>
        <v>NIPPLE S TYPE Y SIZE PUNCHED INSPECTED</v>
      </c>
      <c r="I1198" s="501" t="s">
        <v>3961</v>
      </c>
      <c r="J1198" s="501" t="s">
        <v>2811</v>
      </c>
      <c r="K1198" s="499">
        <v>8</v>
      </c>
      <c r="L1198" s="499">
        <v>12000</v>
      </c>
      <c r="M1198" s="366">
        <v>1500</v>
      </c>
      <c r="N1198" s="367">
        <f t="shared" si="323"/>
        <v>13630</v>
      </c>
      <c r="O1198" s="61">
        <v>13551</v>
      </c>
      <c r="P1198" s="368">
        <v>0</v>
      </c>
      <c r="Q1198" s="368">
        <v>0</v>
      </c>
      <c r="R1198" s="494">
        <v>0</v>
      </c>
      <c r="S1198" s="493">
        <v>0</v>
      </c>
      <c r="T1198" s="494">
        <v>79</v>
      </c>
      <c r="U1198" s="493">
        <v>0</v>
      </c>
      <c r="V1198" s="502">
        <v>1</v>
      </c>
      <c r="W1198" s="453">
        <f t="shared" si="325"/>
        <v>13551</v>
      </c>
      <c r="X1198" s="748">
        <f t="shared" si="326"/>
        <v>1.1292500000000001</v>
      </c>
      <c r="Y1198" s="451" t="str">
        <f>IFERROR(VLOOKUP(E:E,'Item Data Support Sheet'!A:J,6,0),0)</f>
        <v>FO107</v>
      </c>
      <c r="Z1198" s="428">
        <f>IFERROR(VLOOKUP(E:E,'Item Data Support Sheet'!A:O,4,0),0)</f>
        <v>0</v>
      </c>
      <c r="AA1198" s="428">
        <f t="shared" si="327"/>
        <v>0</v>
      </c>
      <c r="AB1198" s="429" t="str">
        <f t="shared" si="328"/>
        <v xml:space="preserve"> </v>
      </c>
      <c r="AC1198" s="424">
        <f t="shared" si="329"/>
        <v>5.7960381511371973E-3</v>
      </c>
      <c r="AD1198" s="371">
        <f t="shared" si="330"/>
        <v>0</v>
      </c>
      <c r="AE1198" s="748">
        <f t="shared" si="331"/>
        <v>0.99420396184886284</v>
      </c>
      <c r="AF1198" s="417">
        <f t="shared" si="332"/>
        <v>0.83333333333333337</v>
      </c>
      <c r="AG1198" s="416">
        <f t="shared" si="333"/>
        <v>7.166666666666667</v>
      </c>
      <c r="AH1198" s="372">
        <f t="shared" si="334"/>
        <v>0.89583333333333337</v>
      </c>
      <c r="AI1198" s="373">
        <f t="shared" si="335"/>
        <v>1693.875</v>
      </c>
      <c r="AJ1198" s="418">
        <f>VLOOKUP(D1198,'Standard Cycle time'!C:D,2,0)</f>
        <v>4</v>
      </c>
      <c r="AK1198" s="418">
        <f t="shared" si="336"/>
        <v>1.9039185299977861</v>
      </c>
      <c r="AL1198" s="374">
        <f t="shared" si="337"/>
        <v>2.1009302325581394</v>
      </c>
      <c r="AM1198" s="372">
        <f t="shared" si="338"/>
        <v>1.871174706529714</v>
      </c>
      <c r="AN1198" s="799">
        <v>1.871174706529714</v>
      </c>
      <c r="AO1198" s="448"/>
      <c r="AP1198" s="440">
        <v>50</v>
      </c>
      <c r="AQ1198" s="440">
        <v>0</v>
      </c>
      <c r="AR1198" s="440">
        <v>0</v>
      </c>
      <c r="AS1198" s="440">
        <v>0</v>
      </c>
      <c r="AT1198" s="440">
        <v>0</v>
      </c>
      <c r="AU1198" s="440">
        <v>0</v>
      </c>
      <c r="AV1198" s="440">
        <v>0</v>
      </c>
      <c r="AW1198" s="440">
        <v>0</v>
      </c>
      <c r="AX1198" s="440">
        <v>0</v>
      </c>
      <c r="AY1198" s="440">
        <v>0</v>
      </c>
      <c r="AZ1198" s="440">
        <v>0</v>
      </c>
      <c r="BA1198" s="440">
        <v>0</v>
      </c>
      <c r="BB1198" s="440">
        <v>0</v>
      </c>
      <c r="BC1198" s="440">
        <v>0</v>
      </c>
      <c r="BD1198" s="440">
        <v>0</v>
      </c>
      <c r="BE1198" s="440">
        <v>0</v>
      </c>
      <c r="BF1198" s="440">
        <v>0</v>
      </c>
      <c r="BG1198" s="440">
        <v>0</v>
      </c>
      <c r="BH1198" s="440">
        <v>0</v>
      </c>
      <c r="BI1198" s="440">
        <v>0</v>
      </c>
      <c r="BJ1198" s="440">
        <v>0</v>
      </c>
      <c r="BK1198" s="440">
        <v>0</v>
      </c>
      <c r="BL1198" s="440">
        <v>0</v>
      </c>
      <c r="BM1198" s="440">
        <v>0</v>
      </c>
      <c r="BN1198" s="440">
        <v>0</v>
      </c>
      <c r="BO1198" s="440">
        <v>0</v>
      </c>
      <c r="BP1198" s="440">
        <v>0</v>
      </c>
      <c r="BQ1198" s="440">
        <v>0</v>
      </c>
      <c r="BR1198" s="415">
        <v>0.83333333333333337</v>
      </c>
      <c r="BS1198" s="415">
        <v>0.83333333333333337</v>
      </c>
      <c r="BT1198" s="935"/>
      <c r="BU1198" s="935"/>
      <c r="BV1198" s="935"/>
      <c r="BW1198" s="935"/>
      <c r="BX1198" s="935"/>
      <c r="BY1198" s="935"/>
      <c r="BZ1198" s="935"/>
      <c r="CA1198" s="935"/>
      <c r="CB1198" s="935"/>
      <c r="CC1198" s="935"/>
      <c r="CD1198" s="935"/>
      <c r="CE1198" s="935"/>
      <c r="CF1198" s="935"/>
      <c r="CG1198" s="935"/>
      <c r="CH1198" s="935"/>
      <c r="CI1198" s="935"/>
      <c r="CJ1198" s="935"/>
      <c r="CK1198" s="935"/>
      <c r="CL1198" s="935"/>
      <c r="CM1198" s="935"/>
      <c r="CN1198" s="935"/>
      <c r="CO1198" s="935"/>
      <c r="CP1198" s="935"/>
      <c r="CQ1198" s="935"/>
      <c r="CR1198" s="935"/>
      <c r="CS1198" s="935"/>
      <c r="CT1198" s="935"/>
      <c r="CU1198" s="935"/>
      <c r="CV1198" s="935"/>
    </row>
    <row r="1199" spans="1:100" s="441" customFormat="1">
      <c r="A1199" s="375">
        <f t="shared" si="324"/>
        <v>11</v>
      </c>
      <c r="B1199" s="862">
        <v>44512</v>
      </c>
      <c r="C1199" s="493" t="s">
        <v>2000</v>
      </c>
      <c r="D1199" s="376" t="str">
        <f>IFERROR(VLOOKUP(E:E,'Item Data Support Sheet'!A:O,7,0),"")</f>
        <v>NIPPLE WRAP PRINTED</v>
      </c>
      <c r="E1199" s="447" t="s">
        <v>111</v>
      </c>
      <c r="F1199" s="500"/>
      <c r="G1199" s="497" t="s">
        <v>1693</v>
      </c>
      <c r="H1199" s="602" t="str">
        <f>IFERROR(VLOOKUP(E:E,'Item Data Support Sheet'!A:O,2,0),"")</f>
        <v>NIPPLE S TYPE Y SIZE WITH PRINTED WRAP</v>
      </c>
      <c r="I1199" s="501" t="s">
        <v>3961</v>
      </c>
      <c r="J1199" s="501" t="s">
        <v>2811</v>
      </c>
      <c r="K1199" s="499">
        <v>8</v>
      </c>
      <c r="L1199" s="499">
        <v>9000</v>
      </c>
      <c r="M1199" s="366">
        <v>1125</v>
      </c>
      <c r="N1199" s="367">
        <f t="shared" si="323"/>
        <v>13563</v>
      </c>
      <c r="O1199" s="61">
        <v>13552</v>
      </c>
      <c r="P1199" s="368">
        <v>0</v>
      </c>
      <c r="Q1199" s="368">
        <v>0</v>
      </c>
      <c r="R1199" s="494">
        <v>0</v>
      </c>
      <c r="S1199" s="493">
        <v>0</v>
      </c>
      <c r="T1199" s="494">
        <v>11</v>
      </c>
      <c r="U1199" s="493">
        <v>0</v>
      </c>
      <c r="V1199" s="502">
        <v>2</v>
      </c>
      <c r="W1199" s="453">
        <f t="shared" si="325"/>
        <v>6776</v>
      </c>
      <c r="X1199" s="748">
        <f t="shared" si="326"/>
        <v>1.5057777777777779</v>
      </c>
      <c r="Y1199" s="451" t="str">
        <f>IFERROR(VLOOKUP(E:E,'Item Data Support Sheet'!A:J,6,0),0)</f>
        <v>FO022</v>
      </c>
      <c r="Z1199" s="428">
        <f>IFERROR(VLOOKUP(E:E,'Item Data Support Sheet'!A:O,4,0),0)</f>
        <v>0</v>
      </c>
      <c r="AA1199" s="428">
        <f t="shared" si="327"/>
        <v>0</v>
      </c>
      <c r="AB1199" s="429" t="str">
        <f t="shared" si="328"/>
        <v xml:space="preserve"> </v>
      </c>
      <c r="AC1199" s="424">
        <f t="shared" si="329"/>
        <v>8.110300081103001E-4</v>
      </c>
      <c r="AD1199" s="371">
        <f t="shared" si="330"/>
        <v>0</v>
      </c>
      <c r="AE1199" s="748">
        <f t="shared" si="331"/>
        <v>0.99918896999188966</v>
      </c>
      <c r="AF1199" s="417">
        <f t="shared" si="332"/>
        <v>0.83333333333333337</v>
      </c>
      <c r="AG1199" s="416">
        <f t="shared" si="333"/>
        <v>7.166666666666667</v>
      </c>
      <c r="AH1199" s="372">
        <f t="shared" si="334"/>
        <v>0.89583333333333337</v>
      </c>
      <c r="AI1199" s="373">
        <f t="shared" si="335"/>
        <v>1694</v>
      </c>
      <c r="AJ1199" s="418">
        <f>VLOOKUP(D1199,'Standard Cycle time'!C:D,2,0)</f>
        <v>2.5</v>
      </c>
      <c r="AK1199" s="418">
        <f t="shared" si="336"/>
        <v>3.8075560802833528</v>
      </c>
      <c r="AL1199" s="374">
        <f t="shared" si="337"/>
        <v>0.65658914728682172</v>
      </c>
      <c r="AM1199" s="372">
        <f t="shared" si="338"/>
        <v>0.58771740109939619</v>
      </c>
      <c r="AN1199" s="799">
        <v>0.58771740109939619</v>
      </c>
      <c r="AO1199" s="448"/>
      <c r="AP1199" s="440">
        <v>50</v>
      </c>
      <c r="AQ1199" s="440">
        <v>0</v>
      </c>
      <c r="AR1199" s="440">
        <v>0</v>
      </c>
      <c r="AS1199" s="440">
        <v>0</v>
      </c>
      <c r="AT1199" s="440">
        <v>0</v>
      </c>
      <c r="AU1199" s="440">
        <v>0</v>
      </c>
      <c r="AV1199" s="440">
        <v>0</v>
      </c>
      <c r="AW1199" s="440">
        <v>0</v>
      </c>
      <c r="AX1199" s="440">
        <v>0</v>
      </c>
      <c r="AY1199" s="440">
        <v>0</v>
      </c>
      <c r="AZ1199" s="440">
        <v>0</v>
      </c>
      <c r="BA1199" s="440">
        <v>0</v>
      </c>
      <c r="BB1199" s="440">
        <v>0</v>
      </c>
      <c r="BC1199" s="440">
        <v>0</v>
      </c>
      <c r="BD1199" s="440">
        <v>0</v>
      </c>
      <c r="BE1199" s="440">
        <v>0</v>
      </c>
      <c r="BF1199" s="440">
        <v>0</v>
      </c>
      <c r="BG1199" s="440">
        <v>0</v>
      </c>
      <c r="BH1199" s="440">
        <v>0</v>
      </c>
      <c r="BI1199" s="440">
        <v>0</v>
      </c>
      <c r="BJ1199" s="440">
        <v>0</v>
      </c>
      <c r="BK1199" s="440">
        <v>0</v>
      </c>
      <c r="BL1199" s="440">
        <v>0</v>
      </c>
      <c r="BM1199" s="440">
        <v>0</v>
      </c>
      <c r="BN1199" s="440">
        <v>0</v>
      </c>
      <c r="BO1199" s="440">
        <v>0</v>
      </c>
      <c r="BP1199" s="440">
        <v>0</v>
      </c>
      <c r="BQ1199" s="440">
        <v>0</v>
      </c>
      <c r="BR1199" s="415">
        <v>0.83333333333333337</v>
      </c>
      <c r="BS1199" s="415">
        <v>0.83333333333333337</v>
      </c>
      <c r="BT1199" s="935"/>
      <c r="BU1199" s="935"/>
      <c r="BV1199" s="935"/>
      <c r="BW1199" s="935"/>
      <c r="BX1199" s="935"/>
      <c r="BY1199" s="935"/>
      <c r="BZ1199" s="935"/>
      <c r="CA1199" s="935"/>
      <c r="CB1199" s="935"/>
      <c r="CC1199" s="935"/>
      <c r="CD1199" s="935"/>
      <c r="CE1199" s="935"/>
      <c r="CF1199" s="935"/>
      <c r="CG1199" s="935"/>
      <c r="CH1199" s="935"/>
      <c r="CI1199" s="935"/>
      <c r="CJ1199" s="935"/>
      <c r="CK1199" s="935"/>
      <c r="CL1199" s="935"/>
      <c r="CM1199" s="935"/>
      <c r="CN1199" s="935"/>
      <c r="CO1199" s="935"/>
      <c r="CP1199" s="935"/>
      <c r="CQ1199" s="935"/>
      <c r="CR1199" s="935"/>
      <c r="CS1199" s="935"/>
      <c r="CT1199" s="935"/>
      <c r="CU1199" s="935"/>
      <c r="CV1199" s="935"/>
    </row>
    <row r="1200" spans="1:100" s="441" customFormat="1">
      <c r="A1200" s="375">
        <f t="shared" si="324"/>
        <v>11</v>
      </c>
      <c r="B1200" s="862">
        <v>44512</v>
      </c>
      <c r="C1200" s="493" t="s">
        <v>2001</v>
      </c>
      <c r="D1200" s="376" t="str">
        <f>IFERROR(VLOOKUP(E:E,'Item Data Support Sheet'!A:O,7,0),"")</f>
        <v>NIPPLE MOLDED</v>
      </c>
      <c r="E1200" s="447" t="s">
        <v>75</v>
      </c>
      <c r="F1200" s="500" t="s">
        <v>1678</v>
      </c>
      <c r="G1200" s="497" t="s">
        <v>1691</v>
      </c>
      <c r="H1200" s="602" t="str">
        <f>IFERROR(VLOOKUP(E:E,'Item Data Support Sheet'!A:O,2,0),"")</f>
        <v>NIPPLE S TYPE Y SIZE INJECTION</v>
      </c>
      <c r="I1200" s="501" t="s">
        <v>3980</v>
      </c>
      <c r="J1200" s="501" t="s">
        <v>2811</v>
      </c>
      <c r="K1200" s="499">
        <v>8</v>
      </c>
      <c r="L1200" s="499">
        <v>4815</v>
      </c>
      <c r="M1200" s="366">
        <v>601.875</v>
      </c>
      <c r="N1200" s="367">
        <f t="shared" si="323"/>
        <v>5290</v>
      </c>
      <c r="O1200" s="61">
        <v>5200</v>
      </c>
      <c r="P1200" s="368">
        <v>0</v>
      </c>
      <c r="Q1200" s="368">
        <v>40</v>
      </c>
      <c r="R1200" s="494">
        <v>0</v>
      </c>
      <c r="S1200" s="493">
        <v>0</v>
      </c>
      <c r="T1200" s="494">
        <v>50</v>
      </c>
      <c r="U1200" s="493">
        <v>0</v>
      </c>
      <c r="V1200" s="502">
        <v>1</v>
      </c>
      <c r="W1200" s="453">
        <f t="shared" si="325"/>
        <v>5200</v>
      </c>
      <c r="X1200" s="748">
        <f t="shared" si="326"/>
        <v>1.0799584631360333</v>
      </c>
      <c r="Y1200" s="451" t="str">
        <f>IFERROR(VLOOKUP(E:E,'Item Data Support Sheet'!A:J,6,0),0)</f>
        <v>Silicon</v>
      </c>
      <c r="Z1200" s="428">
        <f>IFERROR(VLOOKUP(E:E,'Item Data Support Sheet'!A:O,4,0),0)</f>
        <v>6.8</v>
      </c>
      <c r="AA1200" s="428">
        <f t="shared" si="327"/>
        <v>35.972000000000001</v>
      </c>
      <c r="AB1200" s="429">
        <f t="shared" si="328"/>
        <v>0.98298676748582225</v>
      </c>
      <c r="AC1200" s="424">
        <f t="shared" si="329"/>
        <v>9.5238095238095247E-3</v>
      </c>
      <c r="AD1200" s="371">
        <f t="shared" si="330"/>
        <v>7.5046904315196998E-3</v>
      </c>
      <c r="AE1200" s="748">
        <f t="shared" si="331"/>
        <v>0.99054820415879019</v>
      </c>
      <c r="AF1200" s="417">
        <f t="shared" si="332"/>
        <v>0</v>
      </c>
      <c r="AG1200" s="416">
        <f t="shared" si="333"/>
        <v>8</v>
      </c>
      <c r="AH1200" s="372">
        <f t="shared" si="334"/>
        <v>1</v>
      </c>
      <c r="AI1200" s="373">
        <f t="shared" si="335"/>
        <v>650</v>
      </c>
      <c r="AJ1200" s="418">
        <f>VLOOKUP(D1200,'Standard Cycle time'!C:D,2,0)</f>
        <v>5.25</v>
      </c>
      <c r="AK1200" s="418">
        <f t="shared" si="336"/>
        <v>5.5384615384615383</v>
      </c>
      <c r="AL1200" s="374">
        <f t="shared" si="337"/>
        <v>0.94791666666666674</v>
      </c>
      <c r="AM1200" s="372">
        <f t="shared" si="338"/>
        <v>0.93895715185885331</v>
      </c>
      <c r="AN1200" s="799">
        <v>0.93895715185885331</v>
      </c>
      <c r="AO1200" s="448"/>
      <c r="AP1200" s="440">
        <v>0</v>
      </c>
      <c r="AQ1200" s="440">
        <v>0</v>
      </c>
      <c r="AR1200" s="440">
        <v>0</v>
      </c>
      <c r="AS1200" s="440">
        <v>0</v>
      </c>
      <c r="AT1200" s="440">
        <v>0</v>
      </c>
      <c r="AU1200" s="440">
        <v>0</v>
      </c>
      <c r="AV1200" s="440">
        <v>0</v>
      </c>
      <c r="AW1200" s="440">
        <v>0</v>
      </c>
      <c r="AX1200" s="440">
        <v>0</v>
      </c>
      <c r="AY1200" s="440">
        <v>0</v>
      </c>
      <c r="AZ1200" s="440">
        <v>0</v>
      </c>
      <c r="BA1200" s="440">
        <v>0</v>
      </c>
      <c r="BB1200" s="440">
        <v>0</v>
      </c>
      <c r="BC1200" s="440">
        <v>0</v>
      </c>
      <c r="BD1200" s="440">
        <v>0</v>
      </c>
      <c r="BE1200" s="440">
        <v>0</v>
      </c>
      <c r="BF1200" s="440">
        <v>0</v>
      </c>
      <c r="BG1200" s="440">
        <v>0</v>
      </c>
      <c r="BH1200" s="440">
        <v>0</v>
      </c>
      <c r="BI1200" s="440">
        <v>0</v>
      </c>
      <c r="BJ1200" s="440">
        <v>0</v>
      </c>
      <c r="BK1200" s="440">
        <v>0</v>
      </c>
      <c r="BL1200" s="440">
        <v>0</v>
      </c>
      <c r="BM1200" s="440">
        <v>0</v>
      </c>
      <c r="BN1200" s="440">
        <v>0</v>
      </c>
      <c r="BO1200" s="440">
        <v>0</v>
      </c>
      <c r="BP1200" s="440">
        <v>0</v>
      </c>
      <c r="BQ1200" s="440">
        <v>0</v>
      </c>
      <c r="BR1200" s="415">
        <v>0</v>
      </c>
      <c r="BS1200" s="415">
        <v>0</v>
      </c>
      <c r="BT1200" s="935"/>
      <c r="BU1200" s="935"/>
      <c r="BV1200" s="935"/>
      <c r="BW1200" s="935"/>
      <c r="BX1200" s="935"/>
      <c r="BY1200" s="935"/>
      <c r="BZ1200" s="935"/>
      <c r="CA1200" s="935"/>
      <c r="CB1200" s="935"/>
      <c r="CC1200" s="935"/>
      <c r="CD1200" s="935"/>
      <c r="CE1200" s="935"/>
      <c r="CF1200" s="935"/>
      <c r="CG1200" s="935"/>
      <c r="CH1200" s="935"/>
      <c r="CI1200" s="935"/>
      <c r="CJ1200" s="935"/>
      <c r="CK1200" s="935"/>
      <c r="CL1200" s="935"/>
      <c r="CM1200" s="935"/>
      <c r="CN1200" s="935"/>
      <c r="CO1200" s="935"/>
      <c r="CP1200" s="935"/>
      <c r="CQ1200" s="935"/>
      <c r="CR1200" s="935"/>
      <c r="CS1200" s="935"/>
      <c r="CT1200" s="935"/>
      <c r="CU1200" s="935"/>
      <c r="CV1200" s="935"/>
    </row>
    <row r="1201" spans="1:100" s="441" customFormat="1">
      <c r="A1201" s="375">
        <f t="shared" si="324"/>
        <v>11</v>
      </c>
      <c r="B1201" s="862">
        <v>44512</v>
      </c>
      <c r="C1201" s="493" t="s">
        <v>2001</v>
      </c>
      <c r="D1201" s="376" t="str">
        <f>IFERROR(VLOOKUP(E:E,'Item Data Support Sheet'!A:O,7,0),"")</f>
        <v>HOOD MOLDED</v>
      </c>
      <c r="E1201" s="447" t="s">
        <v>1987</v>
      </c>
      <c r="F1201" s="500"/>
      <c r="G1201" s="497" t="s">
        <v>2729</v>
      </c>
      <c r="H1201" s="602" t="str">
        <f>IFERROR(VLOOKUP(E:E,'Item Data Support Sheet'!A:O,2,0),"")</f>
        <v>HOOD S TYPE MOLDED</v>
      </c>
      <c r="I1201" s="501" t="s">
        <v>3981</v>
      </c>
      <c r="J1201" s="501" t="s">
        <v>2811</v>
      </c>
      <c r="K1201" s="499">
        <v>8</v>
      </c>
      <c r="L1201" s="499">
        <v>4137</v>
      </c>
      <c r="M1201" s="366">
        <v>517.125</v>
      </c>
      <c r="N1201" s="367">
        <f t="shared" si="323"/>
        <v>5016</v>
      </c>
      <c r="O1201" s="61">
        <v>5000</v>
      </c>
      <c r="P1201" s="368">
        <v>0</v>
      </c>
      <c r="Q1201" s="368">
        <v>4</v>
      </c>
      <c r="R1201" s="494">
        <v>0</v>
      </c>
      <c r="S1201" s="493">
        <v>0</v>
      </c>
      <c r="T1201" s="494">
        <v>4</v>
      </c>
      <c r="U1201" s="493">
        <v>8</v>
      </c>
      <c r="V1201" s="502">
        <v>1</v>
      </c>
      <c r="W1201" s="453">
        <f t="shared" si="325"/>
        <v>5000</v>
      </c>
      <c r="X1201" s="748">
        <f t="shared" si="326"/>
        <v>1.2086052695189751</v>
      </c>
      <c r="Y1201" s="451" t="str">
        <f>IFERROR(VLOOKUP(E:E,'Item Data Support Sheet'!A:J,6,0),0)</f>
        <v>HMC</v>
      </c>
      <c r="Z1201" s="428">
        <f>IFERROR(VLOOKUP(E:E,'Item Data Support Sheet'!A:O,4,0),0)</f>
        <v>8.6</v>
      </c>
      <c r="AA1201" s="428">
        <f t="shared" si="327"/>
        <v>43.137599999999999</v>
      </c>
      <c r="AB1201" s="429">
        <f t="shared" si="328"/>
        <v>0.99681020733652315</v>
      </c>
      <c r="AC1201" s="424">
        <f t="shared" si="329"/>
        <v>7.993605115907274E-4</v>
      </c>
      <c r="AD1201" s="371">
        <f t="shared" si="330"/>
        <v>7.9681274900398409E-4</v>
      </c>
      <c r="AE1201" s="748">
        <f t="shared" si="331"/>
        <v>0.99920255183413076</v>
      </c>
      <c r="AF1201" s="417">
        <f t="shared" si="332"/>
        <v>0</v>
      </c>
      <c r="AG1201" s="416">
        <f t="shared" si="333"/>
        <v>8</v>
      </c>
      <c r="AH1201" s="372">
        <f t="shared" si="334"/>
        <v>1</v>
      </c>
      <c r="AI1201" s="373">
        <f t="shared" si="335"/>
        <v>625</v>
      </c>
      <c r="AJ1201" s="418">
        <f>VLOOKUP(D1201,'Standard Cycle time'!C:D,2,0)</f>
        <v>6</v>
      </c>
      <c r="AK1201" s="418">
        <f t="shared" si="336"/>
        <v>5.76</v>
      </c>
      <c r="AL1201" s="374">
        <f t="shared" si="337"/>
        <v>1.0416666666666667</v>
      </c>
      <c r="AM1201" s="372">
        <f t="shared" si="338"/>
        <v>1.0408359914938863</v>
      </c>
      <c r="AN1201" s="799">
        <v>1.0408359914938863</v>
      </c>
      <c r="AO1201" s="448"/>
      <c r="AP1201" s="440">
        <v>0</v>
      </c>
      <c r="AQ1201" s="440">
        <v>0</v>
      </c>
      <c r="AR1201" s="440">
        <v>0</v>
      </c>
      <c r="AS1201" s="440">
        <v>0</v>
      </c>
      <c r="AT1201" s="440">
        <v>0</v>
      </c>
      <c r="AU1201" s="440">
        <v>0</v>
      </c>
      <c r="AV1201" s="440">
        <v>0</v>
      </c>
      <c r="AW1201" s="440">
        <v>0</v>
      </c>
      <c r="AX1201" s="440">
        <v>0</v>
      </c>
      <c r="AY1201" s="440">
        <v>0</v>
      </c>
      <c r="AZ1201" s="440">
        <v>0</v>
      </c>
      <c r="BA1201" s="440">
        <v>0</v>
      </c>
      <c r="BB1201" s="440">
        <v>0</v>
      </c>
      <c r="BC1201" s="440">
        <v>0</v>
      </c>
      <c r="BD1201" s="440">
        <v>0</v>
      </c>
      <c r="BE1201" s="440">
        <v>0</v>
      </c>
      <c r="BF1201" s="440">
        <v>0</v>
      </c>
      <c r="BG1201" s="440">
        <v>0</v>
      </c>
      <c r="BH1201" s="440">
        <v>0</v>
      </c>
      <c r="BI1201" s="440">
        <v>0</v>
      </c>
      <c r="BJ1201" s="440">
        <v>0</v>
      </c>
      <c r="BK1201" s="440">
        <v>0</v>
      </c>
      <c r="BL1201" s="440">
        <v>0</v>
      </c>
      <c r="BM1201" s="440">
        <v>0</v>
      </c>
      <c r="BN1201" s="440">
        <v>0</v>
      </c>
      <c r="BO1201" s="440">
        <v>0</v>
      </c>
      <c r="BP1201" s="440">
        <v>0</v>
      </c>
      <c r="BQ1201" s="440">
        <v>0</v>
      </c>
      <c r="BR1201" s="415">
        <v>0</v>
      </c>
      <c r="BS1201" s="415">
        <v>0</v>
      </c>
      <c r="BT1201" s="935"/>
      <c r="BU1201" s="935"/>
      <c r="BV1201" s="935"/>
      <c r="BW1201" s="935"/>
      <c r="BX1201" s="935"/>
      <c r="BY1201" s="935"/>
      <c r="BZ1201" s="935"/>
      <c r="CA1201" s="935"/>
      <c r="CB1201" s="935"/>
      <c r="CC1201" s="935"/>
      <c r="CD1201" s="935"/>
      <c r="CE1201" s="935"/>
      <c r="CF1201" s="935"/>
      <c r="CG1201" s="935"/>
      <c r="CH1201" s="935"/>
      <c r="CI1201" s="935"/>
      <c r="CJ1201" s="935"/>
      <c r="CK1201" s="935"/>
      <c r="CL1201" s="935"/>
      <c r="CM1201" s="935"/>
      <c r="CN1201" s="935"/>
      <c r="CO1201" s="935"/>
      <c r="CP1201" s="935"/>
      <c r="CQ1201" s="935"/>
      <c r="CR1201" s="935"/>
      <c r="CS1201" s="935"/>
      <c r="CT1201" s="935"/>
      <c r="CU1201" s="935"/>
      <c r="CV1201" s="935"/>
    </row>
    <row r="1202" spans="1:100" s="441" customFormat="1">
      <c r="A1202" s="375">
        <f t="shared" si="324"/>
        <v>11</v>
      </c>
      <c r="B1202" s="862">
        <v>44512</v>
      </c>
      <c r="C1202" s="493" t="s">
        <v>2001</v>
      </c>
      <c r="D1202" s="376" t="str">
        <f>IFERROR(VLOOKUP(E:E,'Item Data Support Sheet'!A:O,7,0),"")</f>
        <v>BOTTLE MOLDED</v>
      </c>
      <c r="E1202" s="447" t="s">
        <v>14</v>
      </c>
      <c r="F1202" s="500" t="s">
        <v>1681</v>
      </c>
      <c r="G1202" s="497" t="s">
        <v>1888</v>
      </c>
      <c r="H1202" s="602" t="str">
        <f>IFERROR(VLOOKUP(E:E,'Item Data Support Sheet'!A:O,2,0),"")</f>
        <v>KPP 240 ML BOTTLE MOLDED</v>
      </c>
      <c r="I1202" s="501" t="s">
        <v>3982</v>
      </c>
      <c r="J1202" s="501" t="s">
        <v>2811</v>
      </c>
      <c r="K1202" s="499">
        <v>8</v>
      </c>
      <c r="L1202" s="499">
        <v>2574</v>
      </c>
      <c r="M1202" s="366">
        <v>321.75</v>
      </c>
      <c r="N1202" s="367">
        <f t="shared" si="323"/>
        <v>3129</v>
      </c>
      <c r="O1202" s="61">
        <v>3024</v>
      </c>
      <c r="P1202" s="368">
        <v>0</v>
      </c>
      <c r="Q1202" s="368">
        <v>45</v>
      </c>
      <c r="R1202" s="494">
        <v>0</v>
      </c>
      <c r="S1202" s="493">
        <v>0</v>
      </c>
      <c r="T1202" s="494">
        <v>60</v>
      </c>
      <c r="U1202" s="493">
        <v>0</v>
      </c>
      <c r="V1202" s="502">
        <v>1</v>
      </c>
      <c r="W1202" s="453">
        <f t="shared" si="325"/>
        <v>3024</v>
      </c>
      <c r="X1202" s="748">
        <f t="shared" si="326"/>
        <v>1.1748251748251748</v>
      </c>
      <c r="Y1202" s="451" t="str">
        <f>IFERROR(VLOOKUP(E:E,'Item Data Support Sheet'!A:J,6,0),0)</f>
        <v>HMC</v>
      </c>
      <c r="Z1202" s="428">
        <f>IFERROR(VLOOKUP(E:E,'Item Data Support Sheet'!A:O,4,0),0)</f>
        <v>32.1</v>
      </c>
      <c r="AA1202" s="428">
        <f t="shared" si="327"/>
        <v>100.44090000000001</v>
      </c>
      <c r="AB1202" s="429">
        <f t="shared" si="328"/>
        <v>0.96644295302013417</v>
      </c>
      <c r="AC1202" s="424">
        <f t="shared" si="329"/>
        <v>1.9455252918287938E-2</v>
      </c>
      <c r="AD1202" s="371">
        <f t="shared" si="330"/>
        <v>1.4177693761814745E-2</v>
      </c>
      <c r="AE1202" s="748">
        <f t="shared" si="331"/>
        <v>0.98082454458293389</v>
      </c>
      <c r="AF1202" s="417">
        <f t="shared" si="332"/>
        <v>0</v>
      </c>
      <c r="AG1202" s="416">
        <f t="shared" si="333"/>
        <v>8</v>
      </c>
      <c r="AH1202" s="372">
        <f t="shared" si="334"/>
        <v>1</v>
      </c>
      <c r="AI1202" s="373">
        <f t="shared" si="335"/>
        <v>378</v>
      </c>
      <c r="AJ1202" s="418">
        <f>VLOOKUP(D1202,'Standard Cycle time'!C:D,2,0)</f>
        <v>9</v>
      </c>
      <c r="AK1202" s="418">
        <f t="shared" si="336"/>
        <v>9.5238095238095237</v>
      </c>
      <c r="AL1202" s="374">
        <f t="shared" si="337"/>
        <v>0.94500000000000006</v>
      </c>
      <c r="AM1202" s="372">
        <f t="shared" si="338"/>
        <v>0.92687919463087254</v>
      </c>
      <c r="AN1202" s="799">
        <v>0.92687919463087254</v>
      </c>
      <c r="AO1202" s="448"/>
      <c r="AP1202" s="440">
        <v>0</v>
      </c>
      <c r="AQ1202" s="440">
        <v>0</v>
      </c>
      <c r="AR1202" s="440">
        <v>0</v>
      </c>
      <c r="AS1202" s="440">
        <v>0</v>
      </c>
      <c r="AT1202" s="440">
        <v>0</v>
      </c>
      <c r="AU1202" s="440">
        <v>0</v>
      </c>
      <c r="AV1202" s="440">
        <v>0</v>
      </c>
      <c r="AW1202" s="440">
        <v>0</v>
      </c>
      <c r="AX1202" s="440">
        <v>0</v>
      </c>
      <c r="AY1202" s="440">
        <v>0</v>
      </c>
      <c r="AZ1202" s="440">
        <v>0</v>
      </c>
      <c r="BA1202" s="440">
        <v>0</v>
      </c>
      <c r="BB1202" s="440">
        <v>0</v>
      </c>
      <c r="BC1202" s="440">
        <v>0</v>
      </c>
      <c r="BD1202" s="440">
        <v>0</v>
      </c>
      <c r="BE1202" s="440">
        <v>0</v>
      </c>
      <c r="BF1202" s="440">
        <v>0</v>
      </c>
      <c r="BG1202" s="440">
        <v>0</v>
      </c>
      <c r="BH1202" s="440">
        <v>0</v>
      </c>
      <c r="BI1202" s="440">
        <v>0</v>
      </c>
      <c r="BJ1202" s="440">
        <v>0</v>
      </c>
      <c r="BK1202" s="440">
        <v>0</v>
      </c>
      <c r="BL1202" s="440">
        <v>0</v>
      </c>
      <c r="BM1202" s="440">
        <v>0</v>
      </c>
      <c r="BN1202" s="440">
        <v>0</v>
      </c>
      <c r="BO1202" s="440">
        <v>0</v>
      </c>
      <c r="BP1202" s="440">
        <v>0</v>
      </c>
      <c r="BQ1202" s="440">
        <v>0</v>
      </c>
      <c r="BR1202" s="415"/>
      <c r="BS1202" s="415"/>
      <c r="BT1202" s="935"/>
      <c r="BU1202" s="935"/>
      <c r="BV1202" s="935"/>
      <c r="BW1202" s="935"/>
      <c r="BX1202" s="935"/>
      <c r="BY1202" s="935"/>
      <c r="BZ1202" s="935"/>
      <c r="CA1202" s="935"/>
      <c r="CB1202" s="935"/>
      <c r="CC1202" s="935"/>
      <c r="CD1202" s="935"/>
      <c r="CE1202" s="935"/>
      <c r="CF1202" s="935"/>
      <c r="CG1202" s="935"/>
      <c r="CH1202" s="935"/>
      <c r="CI1202" s="935"/>
      <c r="CJ1202" s="935"/>
      <c r="CK1202" s="935"/>
      <c r="CL1202" s="935"/>
      <c r="CM1202" s="935"/>
      <c r="CN1202" s="935"/>
      <c r="CO1202" s="935"/>
      <c r="CP1202" s="935"/>
      <c r="CQ1202" s="935"/>
      <c r="CR1202" s="935"/>
      <c r="CS1202" s="935"/>
      <c r="CT1202" s="935"/>
      <c r="CU1202" s="935"/>
      <c r="CV1202" s="935"/>
    </row>
    <row r="1203" spans="1:100" s="441" customFormat="1">
      <c r="A1203" s="375">
        <f t="shared" si="324"/>
        <v>11</v>
      </c>
      <c r="B1203" s="862">
        <v>44512</v>
      </c>
      <c r="C1203" s="493" t="s">
        <v>2000</v>
      </c>
      <c r="D1203" s="376" t="str">
        <f>IFERROR(VLOOKUP(E:E,'Item Data Support Sheet'!A:O,7,0),"")</f>
        <v>BOTTLE MOLDED</v>
      </c>
      <c r="E1203" s="447" t="s">
        <v>1889</v>
      </c>
      <c r="F1203" s="500"/>
      <c r="G1203" s="497" t="s">
        <v>1665</v>
      </c>
      <c r="H1203" s="602" t="str">
        <f>IFERROR(VLOOKUP(E:E,'Item Data Support Sheet'!A:O,2,0),"")</f>
        <v>50 ML JUICE BOTTLE MOLDED</v>
      </c>
      <c r="I1203" s="501" t="s">
        <v>3983</v>
      </c>
      <c r="J1203" s="501" t="s">
        <v>2811</v>
      </c>
      <c r="K1203" s="499">
        <v>8</v>
      </c>
      <c r="L1203" s="499">
        <v>4597</v>
      </c>
      <c r="M1203" s="366">
        <v>574.625</v>
      </c>
      <c r="N1203" s="367">
        <f t="shared" si="323"/>
        <v>4018</v>
      </c>
      <c r="O1203" s="61">
        <v>3840</v>
      </c>
      <c r="P1203" s="368">
        <v>0.3</v>
      </c>
      <c r="Q1203" s="368">
        <v>78</v>
      </c>
      <c r="R1203" s="494">
        <v>0</v>
      </c>
      <c r="S1203" s="493">
        <v>0</v>
      </c>
      <c r="T1203" s="494">
        <v>100</v>
      </c>
      <c r="U1203" s="493">
        <v>0</v>
      </c>
      <c r="V1203" s="502">
        <v>1</v>
      </c>
      <c r="W1203" s="453">
        <f t="shared" si="325"/>
        <v>3840</v>
      </c>
      <c r="X1203" s="748">
        <f t="shared" si="326"/>
        <v>0.83532738742658252</v>
      </c>
      <c r="Y1203" s="451" t="str">
        <f>IFERROR(VLOOKUP(E:E,'Item Data Support Sheet'!A:J,6,0),0)</f>
        <v>HMC</v>
      </c>
      <c r="Z1203" s="428">
        <f>IFERROR(VLOOKUP(E:E,'Item Data Support Sheet'!A:O,4,0),0)</f>
        <v>17.015000000000001</v>
      </c>
      <c r="AA1203" s="428">
        <f t="shared" si="327"/>
        <v>68.666269999999997</v>
      </c>
      <c r="AB1203" s="429">
        <f t="shared" si="328"/>
        <v>0.95152394326938095</v>
      </c>
      <c r="AC1203" s="424">
        <f t="shared" si="329"/>
        <v>2.5380710659898477E-2</v>
      </c>
      <c r="AD1203" s="371">
        <f t="shared" si="330"/>
        <v>1.904296875E-2</v>
      </c>
      <c r="AE1203" s="748">
        <f t="shared" si="331"/>
        <v>0.97511199601791931</v>
      </c>
      <c r="AF1203" s="417">
        <f t="shared" si="332"/>
        <v>0</v>
      </c>
      <c r="AG1203" s="416">
        <f t="shared" si="333"/>
        <v>8</v>
      </c>
      <c r="AH1203" s="372">
        <f t="shared" si="334"/>
        <v>1</v>
      </c>
      <c r="AI1203" s="373">
        <f t="shared" si="335"/>
        <v>480</v>
      </c>
      <c r="AJ1203" s="418">
        <f>VLOOKUP(D1203,'Standard Cycle time'!C:D,2,0)</f>
        <v>9</v>
      </c>
      <c r="AK1203" s="418">
        <f t="shared" si="336"/>
        <v>7.5</v>
      </c>
      <c r="AL1203" s="374">
        <f t="shared" si="337"/>
        <v>1.2</v>
      </c>
      <c r="AM1203" s="372">
        <f t="shared" si="338"/>
        <v>1.1701343952215031</v>
      </c>
      <c r="AN1203" s="799">
        <v>1.1701343952215031</v>
      </c>
      <c r="AO1203" s="448"/>
      <c r="AP1203" s="440">
        <v>0</v>
      </c>
      <c r="AQ1203" s="440">
        <v>0</v>
      </c>
      <c r="AR1203" s="440">
        <v>0</v>
      </c>
      <c r="AS1203" s="440">
        <v>0</v>
      </c>
      <c r="AT1203" s="440">
        <v>0</v>
      </c>
      <c r="AU1203" s="440">
        <v>0</v>
      </c>
      <c r="AV1203" s="440">
        <v>0</v>
      </c>
      <c r="AW1203" s="440">
        <v>0</v>
      </c>
      <c r="AX1203" s="440">
        <v>0</v>
      </c>
      <c r="AY1203" s="440">
        <v>0</v>
      </c>
      <c r="AZ1203" s="440">
        <v>0</v>
      </c>
      <c r="BA1203" s="440">
        <v>0</v>
      </c>
      <c r="BB1203" s="440">
        <v>0</v>
      </c>
      <c r="BC1203" s="440">
        <v>0</v>
      </c>
      <c r="BD1203" s="440">
        <v>0</v>
      </c>
      <c r="BE1203" s="440">
        <v>0</v>
      </c>
      <c r="BF1203" s="440">
        <v>0</v>
      </c>
      <c r="BG1203" s="440">
        <v>0</v>
      </c>
      <c r="BH1203" s="440">
        <v>0</v>
      </c>
      <c r="BI1203" s="440">
        <v>0</v>
      </c>
      <c r="BJ1203" s="440">
        <v>0</v>
      </c>
      <c r="BK1203" s="440">
        <v>0</v>
      </c>
      <c r="BL1203" s="440">
        <v>0</v>
      </c>
      <c r="BM1203" s="440">
        <v>0</v>
      </c>
      <c r="BN1203" s="440">
        <v>0</v>
      </c>
      <c r="BO1203" s="440">
        <v>0</v>
      </c>
      <c r="BP1203" s="440">
        <v>0</v>
      </c>
      <c r="BQ1203" s="440">
        <v>0</v>
      </c>
      <c r="BR1203" s="415">
        <v>0</v>
      </c>
      <c r="BS1203" s="415">
        <v>0</v>
      </c>
      <c r="BT1203" s="935"/>
      <c r="BU1203" s="935"/>
      <c r="BV1203" s="935"/>
      <c r="BW1203" s="935"/>
      <c r="BX1203" s="935"/>
      <c r="BY1203" s="935"/>
      <c r="BZ1203" s="935"/>
      <c r="CA1203" s="935"/>
      <c r="CB1203" s="935"/>
      <c r="CC1203" s="935"/>
      <c r="CD1203" s="935"/>
      <c r="CE1203" s="935"/>
      <c r="CF1203" s="935"/>
      <c r="CG1203" s="935"/>
      <c r="CH1203" s="935"/>
      <c r="CI1203" s="935"/>
      <c r="CJ1203" s="935"/>
      <c r="CK1203" s="935"/>
      <c r="CL1203" s="935"/>
      <c r="CM1203" s="935"/>
      <c r="CN1203" s="935"/>
      <c r="CO1203" s="935"/>
      <c r="CP1203" s="935"/>
      <c r="CQ1203" s="935"/>
      <c r="CR1203" s="935"/>
      <c r="CS1203" s="935"/>
      <c r="CT1203" s="935"/>
      <c r="CU1203" s="935"/>
      <c r="CV1203" s="935"/>
    </row>
    <row r="1204" spans="1:100" s="441" customFormat="1">
      <c r="A1204" s="375">
        <f t="shared" si="324"/>
        <v>11</v>
      </c>
      <c r="B1204" s="862">
        <v>44512</v>
      </c>
      <c r="C1204" s="493" t="s">
        <v>2001</v>
      </c>
      <c r="D1204" s="376" t="str">
        <f>IFERROR(VLOOKUP(E:E,'Item Data Support Sheet'!A:O,7,0),"")</f>
        <v>NIPPLE PUNCH</v>
      </c>
      <c r="E1204" s="447" t="s">
        <v>83</v>
      </c>
      <c r="F1204" s="500"/>
      <c r="G1204" s="497" t="s">
        <v>1692</v>
      </c>
      <c r="H1204" s="602" t="str">
        <f>IFERROR(VLOOKUP(E:E,'Item Data Support Sheet'!A:O,2,0),"")</f>
        <v>NIPPLE S TYPE Y SIZE PUNCHED</v>
      </c>
      <c r="I1204" s="501" t="s">
        <v>3984</v>
      </c>
      <c r="J1204" s="501" t="s">
        <v>2811</v>
      </c>
      <c r="K1204" s="499">
        <v>8</v>
      </c>
      <c r="L1204" s="499">
        <v>7000</v>
      </c>
      <c r="M1204" s="366">
        <v>875</v>
      </c>
      <c r="N1204" s="367">
        <f t="shared" si="323"/>
        <v>7000</v>
      </c>
      <c r="O1204" s="61">
        <v>7000</v>
      </c>
      <c r="P1204" s="368">
        <v>0</v>
      </c>
      <c r="Q1204" s="368">
        <v>0</v>
      </c>
      <c r="R1204" s="494">
        <v>0</v>
      </c>
      <c r="S1204" s="493">
        <v>0</v>
      </c>
      <c r="T1204" s="494">
        <v>0</v>
      </c>
      <c r="U1204" s="493">
        <v>0</v>
      </c>
      <c r="V1204" s="502">
        <v>1</v>
      </c>
      <c r="W1204" s="453">
        <f t="shared" si="325"/>
        <v>7000</v>
      </c>
      <c r="X1204" s="748">
        <f t="shared" si="326"/>
        <v>1</v>
      </c>
      <c r="Y1204" s="451" t="str">
        <f>IFERROR(VLOOKUP(E:E,'Item Data Support Sheet'!A:J,6,0),0)</f>
        <v>FO018</v>
      </c>
      <c r="Z1204" s="428">
        <f>IFERROR(VLOOKUP(E:E,'Item Data Support Sheet'!A:O,4,0),0)</f>
        <v>0</v>
      </c>
      <c r="AA1204" s="428">
        <f t="shared" si="327"/>
        <v>0</v>
      </c>
      <c r="AB1204" s="429" t="str">
        <f t="shared" si="328"/>
        <v xml:space="preserve"> </v>
      </c>
      <c r="AC1204" s="424">
        <f t="shared" si="329"/>
        <v>0</v>
      </c>
      <c r="AD1204" s="371">
        <f t="shared" si="330"/>
        <v>0</v>
      </c>
      <c r="AE1204" s="748">
        <f t="shared" si="331"/>
        <v>1</v>
      </c>
      <c r="AF1204" s="417">
        <f t="shared" si="332"/>
        <v>0.66666666666666663</v>
      </c>
      <c r="AG1204" s="416">
        <f t="shared" si="333"/>
        <v>7.333333333333333</v>
      </c>
      <c r="AH1204" s="372">
        <f t="shared" si="334"/>
        <v>0.91666666666666663</v>
      </c>
      <c r="AI1204" s="373">
        <f t="shared" si="335"/>
        <v>875</v>
      </c>
      <c r="AJ1204" s="418">
        <f>VLOOKUP(D1204,'Standard Cycle time'!C:D,2,0)</f>
        <v>3.5</v>
      </c>
      <c r="AK1204" s="418">
        <f t="shared" si="336"/>
        <v>3.7714285714285714</v>
      </c>
      <c r="AL1204" s="374">
        <f t="shared" si="337"/>
        <v>0.92803030303030309</v>
      </c>
      <c r="AM1204" s="372">
        <f t="shared" si="338"/>
        <v>0.85069444444444442</v>
      </c>
      <c r="AN1204" s="799">
        <v>0.85069444444444442</v>
      </c>
      <c r="AO1204" s="448"/>
      <c r="AP1204" s="440">
        <v>40</v>
      </c>
      <c r="AQ1204" s="440">
        <v>0</v>
      </c>
      <c r="AR1204" s="440">
        <v>0</v>
      </c>
      <c r="AS1204" s="440">
        <v>0</v>
      </c>
      <c r="AT1204" s="440">
        <v>0</v>
      </c>
      <c r="AU1204" s="440">
        <v>0</v>
      </c>
      <c r="AV1204" s="440">
        <v>0</v>
      </c>
      <c r="AW1204" s="440">
        <v>0</v>
      </c>
      <c r="AX1204" s="440">
        <v>0</v>
      </c>
      <c r="AY1204" s="440">
        <v>0</v>
      </c>
      <c r="AZ1204" s="440">
        <v>0</v>
      </c>
      <c r="BA1204" s="440">
        <v>0</v>
      </c>
      <c r="BB1204" s="440">
        <v>0</v>
      </c>
      <c r="BC1204" s="440">
        <v>0</v>
      </c>
      <c r="BD1204" s="440">
        <v>0</v>
      </c>
      <c r="BE1204" s="440">
        <v>0</v>
      </c>
      <c r="BF1204" s="440">
        <v>0</v>
      </c>
      <c r="BG1204" s="440">
        <v>0</v>
      </c>
      <c r="BH1204" s="440">
        <v>0</v>
      </c>
      <c r="BI1204" s="440">
        <v>0</v>
      </c>
      <c r="BJ1204" s="440">
        <v>0</v>
      </c>
      <c r="BK1204" s="440">
        <v>0</v>
      </c>
      <c r="BL1204" s="440">
        <v>0</v>
      </c>
      <c r="BM1204" s="440">
        <v>0</v>
      </c>
      <c r="BN1204" s="440">
        <v>0</v>
      </c>
      <c r="BO1204" s="440">
        <v>0</v>
      </c>
      <c r="BP1204" s="440">
        <v>0</v>
      </c>
      <c r="BQ1204" s="440">
        <v>0</v>
      </c>
      <c r="BR1204" s="415">
        <v>0.66666666666666663</v>
      </c>
      <c r="BS1204" s="415">
        <v>0.66666666666666663</v>
      </c>
      <c r="BT1204" s="935"/>
      <c r="BU1204" s="935"/>
      <c r="BV1204" s="935"/>
      <c r="BW1204" s="935"/>
      <c r="BX1204" s="935"/>
      <c r="BY1204" s="935"/>
      <c r="BZ1204" s="935"/>
      <c r="CA1204" s="935"/>
      <c r="CB1204" s="935"/>
      <c r="CC1204" s="935"/>
      <c r="CD1204" s="935"/>
      <c r="CE1204" s="935"/>
      <c r="CF1204" s="935"/>
      <c r="CG1204" s="935"/>
      <c r="CH1204" s="935"/>
      <c r="CI1204" s="935"/>
      <c r="CJ1204" s="935"/>
      <c r="CK1204" s="935"/>
      <c r="CL1204" s="935"/>
      <c r="CM1204" s="935"/>
      <c r="CN1204" s="935"/>
      <c r="CO1204" s="935"/>
      <c r="CP1204" s="935"/>
      <c r="CQ1204" s="935"/>
      <c r="CR1204" s="935"/>
      <c r="CS1204" s="935"/>
      <c r="CT1204" s="935"/>
      <c r="CU1204" s="935"/>
      <c r="CV1204" s="935"/>
    </row>
    <row r="1205" spans="1:100" s="441" customFormat="1">
      <c r="A1205" s="375">
        <f t="shared" si="324"/>
        <v>11</v>
      </c>
      <c r="B1205" s="862">
        <v>44512</v>
      </c>
      <c r="C1205" s="493" t="s">
        <v>2001</v>
      </c>
      <c r="D1205" s="376" t="str">
        <f>IFERROR(VLOOKUP(E:E,'Item Data Support Sheet'!A:O,7,0),"")</f>
        <v>NIPPLE LASER MARKING</v>
      </c>
      <c r="E1205" s="447" t="s">
        <v>1817</v>
      </c>
      <c r="F1205" s="500"/>
      <c r="G1205" s="497" t="s">
        <v>1812</v>
      </c>
      <c r="H1205" s="602" t="str">
        <f>IFERROR(VLOOKUP(E:E,'Item Data Support Sheet'!A:O,2,0),"")</f>
        <v>NIPPLE S TYPE Y SIZE PUNCHED LASER MARKED</v>
      </c>
      <c r="I1205" s="501" t="s">
        <v>3977</v>
      </c>
      <c r="J1205" s="501" t="s">
        <v>2811</v>
      </c>
      <c r="K1205" s="499">
        <v>8</v>
      </c>
      <c r="L1205" s="499">
        <v>7000</v>
      </c>
      <c r="M1205" s="366">
        <v>875</v>
      </c>
      <c r="N1205" s="367">
        <f t="shared" si="323"/>
        <v>7000</v>
      </c>
      <c r="O1205" s="61">
        <v>7000</v>
      </c>
      <c r="P1205" s="368">
        <v>0</v>
      </c>
      <c r="Q1205" s="368">
        <v>0</v>
      </c>
      <c r="R1205" s="494">
        <v>0</v>
      </c>
      <c r="S1205" s="493">
        <v>0</v>
      </c>
      <c r="T1205" s="494">
        <v>0</v>
      </c>
      <c r="U1205" s="493">
        <v>0</v>
      </c>
      <c r="V1205" s="502">
        <v>1</v>
      </c>
      <c r="W1205" s="453">
        <f t="shared" si="325"/>
        <v>7000</v>
      </c>
      <c r="X1205" s="748">
        <f t="shared" si="326"/>
        <v>1</v>
      </c>
      <c r="Y1205" s="451" t="str">
        <f>IFERROR(VLOOKUP(E:E,'Item Data Support Sheet'!A:J,6,0),0)</f>
        <v>FO022</v>
      </c>
      <c r="Z1205" s="428">
        <f>IFERROR(VLOOKUP(E:E,'Item Data Support Sheet'!A:O,4,0),0)</f>
        <v>0</v>
      </c>
      <c r="AA1205" s="428">
        <f t="shared" si="327"/>
        <v>0</v>
      </c>
      <c r="AB1205" s="429" t="str">
        <f t="shared" si="328"/>
        <v xml:space="preserve"> </v>
      </c>
      <c r="AC1205" s="424">
        <f t="shared" si="329"/>
        <v>0</v>
      </c>
      <c r="AD1205" s="371">
        <f t="shared" si="330"/>
        <v>0</v>
      </c>
      <c r="AE1205" s="748">
        <f t="shared" si="331"/>
        <v>1</v>
      </c>
      <c r="AF1205" s="417">
        <f t="shared" si="332"/>
        <v>0.66666666666666663</v>
      </c>
      <c r="AG1205" s="416">
        <f t="shared" si="333"/>
        <v>7.333333333333333</v>
      </c>
      <c r="AH1205" s="372">
        <f t="shared" si="334"/>
        <v>0.91666666666666663</v>
      </c>
      <c r="AI1205" s="373">
        <f t="shared" si="335"/>
        <v>875</v>
      </c>
      <c r="AJ1205" s="418">
        <f>VLOOKUP(D1205,'Standard Cycle time'!C:D,2,0)</f>
        <v>3.5</v>
      </c>
      <c r="AK1205" s="418">
        <f t="shared" si="336"/>
        <v>3.7714285714285714</v>
      </c>
      <c r="AL1205" s="374">
        <f t="shared" si="337"/>
        <v>0.92803030303030309</v>
      </c>
      <c r="AM1205" s="372">
        <f t="shared" si="338"/>
        <v>0.85069444444444442</v>
      </c>
      <c r="AN1205" s="799">
        <v>0.85069444444444442</v>
      </c>
      <c r="AO1205" s="448"/>
      <c r="AP1205" s="440">
        <v>40</v>
      </c>
      <c r="AQ1205" s="440">
        <v>0</v>
      </c>
      <c r="AR1205" s="440">
        <v>0</v>
      </c>
      <c r="AS1205" s="440">
        <v>0</v>
      </c>
      <c r="AT1205" s="440">
        <v>0</v>
      </c>
      <c r="AU1205" s="440">
        <v>0</v>
      </c>
      <c r="AV1205" s="440">
        <v>0</v>
      </c>
      <c r="AW1205" s="440">
        <v>0</v>
      </c>
      <c r="AX1205" s="440">
        <v>0</v>
      </c>
      <c r="AY1205" s="440">
        <v>0</v>
      </c>
      <c r="AZ1205" s="440">
        <v>0</v>
      </c>
      <c r="BA1205" s="440">
        <v>0</v>
      </c>
      <c r="BB1205" s="440">
        <v>0</v>
      </c>
      <c r="BC1205" s="440">
        <v>0</v>
      </c>
      <c r="BD1205" s="440">
        <v>0</v>
      </c>
      <c r="BE1205" s="440">
        <v>0</v>
      </c>
      <c r="BF1205" s="440">
        <v>0</v>
      </c>
      <c r="BG1205" s="440">
        <v>0</v>
      </c>
      <c r="BH1205" s="440">
        <v>0</v>
      </c>
      <c r="BI1205" s="440">
        <v>0</v>
      </c>
      <c r="BJ1205" s="440">
        <v>0</v>
      </c>
      <c r="BK1205" s="440">
        <v>0</v>
      </c>
      <c r="BL1205" s="440">
        <v>0</v>
      </c>
      <c r="BM1205" s="440">
        <v>0</v>
      </c>
      <c r="BN1205" s="440">
        <v>0</v>
      </c>
      <c r="BO1205" s="440">
        <v>0</v>
      </c>
      <c r="BP1205" s="440">
        <v>0</v>
      </c>
      <c r="BQ1205" s="440">
        <v>0</v>
      </c>
      <c r="BR1205" s="415">
        <v>0.66666666666666663</v>
      </c>
      <c r="BS1205" s="415">
        <v>0.66666666666666663</v>
      </c>
      <c r="BT1205" s="935"/>
      <c r="BU1205" s="935"/>
      <c r="BV1205" s="935"/>
      <c r="BW1205" s="935"/>
      <c r="BX1205" s="935"/>
      <c r="BY1205" s="935"/>
      <c r="BZ1205" s="935"/>
      <c r="CA1205" s="935"/>
      <c r="CB1205" s="935"/>
      <c r="CC1205" s="935"/>
      <c r="CD1205" s="935"/>
      <c r="CE1205" s="935"/>
      <c r="CF1205" s="935"/>
      <c r="CG1205" s="935"/>
      <c r="CH1205" s="935"/>
      <c r="CI1205" s="935"/>
      <c r="CJ1205" s="935"/>
      <c r="CK1205" s="935"/>
      <c r="CL1205" s="935"/>
      <c r="CM1205" s="935"/>
      <c r="CN1205" s="935"/>
      <c r="CO1205" s="935"/>
      <c r="CP1205" s="935"/>
      <c r="CQ1205" s="935"/>
      <c r="CR1205" s="935"/>
      <c r="CS1205" s="935"/>
      <c r="CT1205" s="935"/>
      <c r="CU1205" s="935"/>
      <c r="CV1205" s="935"/>
    </row>
    <row r="1206" spans="1:100" s="441" customFormat="1">
      <c r="A1206" s="375">
        <f t="shared" si="324"/>
        <v>11</v>
      </c>
      <c r="B1206" s="862">
        <v>44512</v>
      </c>
      <c r="C1206" s="493" t="s">
        <v>2001</v>
      </c>
      <c r="D1206" s="376" t="str">
        <f>IFERROR(VLOOKUP(E:E,'Item Data Support Sheet'!A:O,7,0),"")</f>
        <v>BOTTLE PRINTED</v>
      </c>
      <c r="E1206" s="447" t="s">
        <v>64</v>
      </c>
      <c r="F1206" s="500"/>
      <c r="G1206" s="497"/>
      <c r="H1206" s="602" t="str">
        <f>IFERROR(VLOOKUP(E:E,'Item Data Support Sheet'!A:O,2,0),"")</f>
        <v>KPP 240 ML BOTTLE PRINTED</v>
      </c>
      <c r="I1206" s="501" t="s">
        <v>3985</v>
      </c>
      <c r="J1206" s="501" t="s">
        <v>2811</v>
      </c>
      <c r="K1206" s="499">
        <v>8</v>
      </c>
      <c r="L1206" s="499">
        <v>5100</v>
      </c>
      <c r="M1206" s="366">
        <v>637.5</v>
      </c>
      <c r="N1206" s="367">
        <f t="shared" si="323"/>
        <v>4366</v>
      </c>
      <c r="O1206" s="61">
        <v>4320</v>
      </c>
      <c r="P1206" s="368">
        <v>0</v>
      </c>
      <c r="Q1206" s="368">
        <v>0</v>
      </c>
      <c r="R1206" s="494">
        <v>51</v>
      </c>
      <c r="S1206" s="493">
        <v>0</v>
      </c>
      <c r="T1206" s="494">
        <v>46</v>
      </c>
      <c r="U1206" s="493">
        <v>0</v>
      </c>
      <c r="V1206" s="502">
        <v>4</v>
      </c>
      <c r="W1206" s="453">
        <f t="shared" si="325"/>
        <v>1080</v>
      </c>
      <c r="X1206" s="748">
        <f t="shared" si="326"/>
        <v>0.84705882352941175</v>
      </c>
      <c r="Y1206" s="451" t="str">
        <f>IFERROR(VLOOKUP(E:E,'Item Data Support Sheet'!A:J,6,0),0)</f>
        <v>FO003</v>
      </c>
      <c r="Z1206" s="428">
        <f>IFERROR(VLOOKUP(E:E,'Item Data Support Sheet'!A:O,4,0),0)</f>
        <v>0</v>
      </c>
      <c r="AA1206" s="428">
        <f t="shared" si="327"/>
        <v>0</v>
      </c>
      <c r="AB1206" s="429" t="str">
        <f t="shared" si="328"/>
        <v xml:space="preserve"> </v>
      </c>
      <c r="AC1206" s="424">
        <f t="shared" si="329"/>
        <v>1.0535959688502062E-2</v>
      </c>
      <c r="AD1206" s="371">
        <f t="shared" si="330"/>
        <v>0</v>
      </c>
      <c r="AE1206" s="748">
        <f t="shared" si="331"/>
        <v>0.98946404031149793</v>
      </c>
      <c r="AF1206" s="417">
        <f t="shared" si="332"/>
        <v>1.3333333333333333</v>
      </c>
      <c r="AG1206" s="416">
        <f t="shared" si="333"/>
        <v>6.666666666666667</v>
      </c>
      <c r="AH1206" s="372">
        <f t="shared" si="334"/>
        <v>0.83333333333333337</v>
      </c>
      <c r="AI1206" s="373">
        <f t="shared" si="335"/>
        <v>540</v>
      </c>
      <c r="AJ1206" s="418">
        <f>VLOOKUP(D1206,'Standard Cycle time'!C:D,2,0)</f>
        <v>32.4</v>
      </c>
      <c r="AK1206" s="418">
        <f t="shared" si="336"/>
        <v>22.222222222222221</v>
      </c>
      <c r="AL1206" s="374">
        <f t="shared" si="337"/>
        <v>1.458</v>
      </c>
      <c r="AM1206" s="372">
        <f t="shared" si="338"/>
        <v>1.2021988089784701</v>
      </c>
      <c r="AN1206" s="799">
        <v>1.2021988089784701</v>
      </c>
      <c r="AO1206" s="448" t="s">
        <v>3643</v>
      </c>
      <c r="AP1206" s="440">
        <v>0</v>
      </c>
      <c r="AQ1206" s="440">
        <v>0</v>
      </c>
      <c r="AR1206" s="440">
        <v>0</v>
      </c>
      <c r="AS1206" s="440">
        <v>0</v>
      </c>
      <c r="AT1206" s="440">
        <v>80</v>
      </c>
      <c r="AU1206" s="440">
        <v>0</v>
      </c>
      <c r="AV1206" s="440">
        <v>0</v>
      </c>
      <c r="AW1206" s="440">
        <v>0</v>
      </c>
      <c r="AX1206" s="440">
        <v>0</v>
      </c>
      <c r="AY1206" s="440">
        <v>0</v>
      </c>
      <c r="AZ1206" s="440">
        <v>0</v>
      </c>
      <c r="BA1206" s="440">
        <v>0</v>
      </c>
      <c r="BB1206" s="440">
        <v>0</v>
      </c>
      <c r="BC1206" s="440">
        <v>0</v>
      </c>
      <c r="BD1206" s="440">
        <v>0</v>
      </c>
      <c r="BE1206" s="440">
        <v>0</v>
      </c>
      <c r="BF1206" s="440">
        <v>0</v>
      </c>
      <c r="BG1206" s="440">
        <v>0</v>
      </c>
      <c r="BH1206" s="440">
        <v>0</v>
      </c>
      <c r="BI1206" s="440">
        <v>0</v>
      </c>
      <c r="BJ1206" s="440">
        <v>0</v>
      </c>
      <c r="BK1206" s="440">
        <v>0</v>
      </c>
      <c r="BL1206" s="440">
        <v>0</v>
      </c>
      <c r="BM1206" s="440">
        <v>0</v>
      </c>
      <c r="BN1206" s="440">
        <v>0</v>
      </c>
      <c r="BO1206" s="440">
        <v>0</v>
      </c>
      <c r="BP1206" s="440">
        <v>0</v>
      </c>
      <c r="BQ1206" s="440">
        <v>0</v>
      </c>
      <c r="BR1206" s="415">
        <v>1.3333333333333333</v>
      </c>
      <c r="BS1206" s="415">
        <v>1.3333333333333333</v>
      </c>
      <c r="BT1206" s="935"/>
      <c r="BU1206" s="935"/>
      <c r="BV1206" s="935"/>
      <c r="BW1206" s="935"/>
      <c r="BX1206" s="935"/>
      <c r="BY1206" s="935"/>
      <c r="BZ1206" s="935"/>
      <c r="CA1206" s="935"/>
      <c r="CB1206" s="935"/>
      <c r="CC1206" s="935"/>
      <c r="CD1206" s="935"/>
      <c r="CE1206" s="935"/>
      <c r="CF1206" s="935"/>
      <c r="CG1206" s="935"/>
      <c r="CH1206" s="935"/>
      <c r="CI1206" s="935"/>
      <c r="CJ1206" s="935"/>
      <c r="CK1206" s="935"/>
      <c r="CL1206" s="935"/>
      <c r="CM1206" s="935"/>
      <c r="CN1206" s="935"/>
      <c r="CO1206" s="935"/>
      <c r="CP1206" s="935"/>
      <c r="CQ1206" s="935"/>
      <c r="CR1206" s="935"/>
      <c r="CS1206" s="935"/>
      <c r="CT1206" s="935"/>
      <c r="CU1206" s="935"/>
      <c r="CV1206" s="935"/>
    </row>
    <row r="1207" spans="1:100" s="441" customFormat="1">
      <c r="A1207" s="375">
        <f t="shared" si="324"/>
        <v>11</v>
      </c>
      <c r="B1207" s="862">
        <v>44512</v>
      </c>
      <c r="C1207" s="493" t="s">
        <v>2053</v>
      </c>
      <c r="D1207" s="376" t="str">
        <f>IFERROR(VLOOKUP(E:E,'Item Data Support Sheet'!A:O,7,0),"")</f>
        <v>BOTTLE MOLDED</v>
      </c>
      <c r="E1207" s="447" t="s">
        <v>14</v>
      </c>
      <c r="F1207" s="500" t="s">
        <v>1681</v>
      </c>
      <c r="G1207" s="497" t="s">
        <v>3986</v>
      </c>
      <c r="H1207" s="602" t="str">
        <f>IFERROR(VLOOKUP(E:E,'Item Data Support Sheet'!A:O,2,0),"")</f>
        <v>KPP 240 ML BOTTLE MOLDED</v>
      </c>
      <c r="I1207" s="501" t="s">
        <v>3987</v>
      </c>
      <c r="J1207" s="501" t="s">
        <v>3895</v>
      </c>
      <c r="K1207" s="499">
        <v>8</v>
      </c>
      <c r="L1207" s="499">
        <v>2574</v>
      </c>
      <c r="M1207" s="366">
        <v>321.75</v>
      </c>
      <c r="N1207" s="367">
        <f t="shared" si="323"/>
        <v>1014</v>
      </c>
      <c r="O1207" s="61">
        <v>972</v>
      </c>
      <c r="P1207" s="368">
        <v>0.15</v>
      </c>
      <c r="Q1207" s="368">
        <v>14</v>
      </c>
      <c r="R1207" s="494">
        <v>0</v>
      </c>
      <c r="S1207" s="493">
        <v>0</v>
      </c>
      <c r="T1207" s="494">
        <v>20</v>
      </c>
      <c r="U1207" s="493">
        <v>8</v>
      </c>
      <c r="V1207" s="502">
        <v>1</v>
      </c>
      <c r="W1207" s="453">
        <f t="shared" si="325"/>
        <v>972</v>
      </c>
      <c r="X1207" s="748">
        <f t="shared" si="326"/>
        <v>0.3776223776223776</v>
      </c>
      <c r="Y1207" s="451" t="str">
        <f>IFERROR(VLOOKUP(E:E,'Item Data Support Sheet'!A:J,6,0),0)</f>
        <v>HMC</v>
      </c>
      <c r="Z1207" s="428">
        <f>IFERROR(VLOOKUP(E:E,'Item Data Support Sheet'!A:O,4,0),0)</f>
        <v>32.1</v>
      </c>
      <c r="AA1207" s="428">
        <f t="shared" si="327"/>
        <v>32.699400000000004</v>
      </c>
      <c r="AB1207" s="429">
        <f t="shared" si="328"/>
        <v>0.95418264555312937</v>
      </c>
      <c r="AC1207" s="424">
        <f t="shared" si="329"/>
        <v>2.0161290322580645E-2</v>
      </c>
      <c r="AD1207" s="371">
        <f t="shared" si="330"/>
        <v>1.3618677042801557E-2</v>
      </c>
      <c r="AE1207" s="748">
        <f t="shared" si="331"/>
        <v>0.98027613412228798</v>
      </c>
      <c r="AF1207" s="417">
        <f t="shared" si="332"/>
        <v>5</v>
      </c>
      <c r="AG1207" s="416">
        <f t="shared" si="333"/>
        <v>3</v>
      </c>
      <c r="AH1207" s="372">
        <f t="shared" si="334"/>
        <v>0.375</v>
      </c>
      <c r="AI1207" s="373">
        <f t="shared" si="335"/>
        <v>121.5</v>
      </c>
      <c r="AJ1207" s="418">
        <f>VLOOKUP(D1207,'Standard Cycle time'!C:D,2,0)</f>
        <v>9</v>
      </c>
      <c r="AK1207" s="418">
        <f t="shared" si="336"/>
        <v>11.111111111111111</v>
      </c>
      <c r="AL1207" s="374">
        <f t="shared" si="337"/>
        <v>0.81</v>
      </c>
      <c r="AM1207" s="372">
        <f t="shared" si="338"/>
        <v>0.29775887573964499</v>
      </c>
      <c r="AN1207" s="799">
        <v>0.29775887573964499</v>
      </c>
      <c r="AO1207" s="448" t="s">
        <v>3988</v>
      </c>
      <c r="AP1207" s="440">
        <v>0</v>
      </c>
      <c r="AQ1207" s="440">
        <v>300</v>
      </c>
      <c r="AR1207" s="440">
        <v>0</v>
      </c>
      <c r="AS1207" s="440">
        <v>0</v>
      </c>
      <c r="AT1207" s="440">
        <v>0</v>
      </c>
      <c r="AU1207" s="440">
        <v>0</v>
      </c>
      <c r="AV1207" s="440">
        <v>0</v>
      </c>
      <c r="AW1207" s="440">
        <v>0</v>
      </c>
      <c r="AX1207" s="440">
        <v>0</v>
      </c>
      <c r="AY1207" s="440">
        <v>0</v>
      </c>
      <c r="AZ1207" s="440">
        <v>0</v>
      </c>
      <c r="BA1207" s="440">
        <v>0</v>
      </c>
      <c r="BB1207" s="440">
        <v>0</v>
      </c>
      <c r="BC1207" s="440">
        <v>0</v>
      </c>
      <c r="BD1207" s="440">
        <v>0</v>
      </c>
      <c r="BE1207" s="440">
        <v>0</v>
      </c>
      <c r="BF1207" s="440">
        <v>0</v>
      </c>
      <c r="BG1207" s="440">
        <v>0</v>
      </c>
      <c r="BH1207" s="440">
        <v>0</v>
      </c>
      <c r="BI1207" s="440">
        <v>0</v>
      </c>
      <c r="BJ1207" s="440">
        <v>0</v>
      </c>
      <c r="BK1207" s="440">
        <v>0</v>
      </c>
      <c r="BL1207" s="440">
        <v>0</v>
      </c>
      <c r="BM1207" s="440">
        <v>0</v>
      </c>
      <c r="BN1207" s="440">
        <v>0</v>
      </c>
      <c r="BO1207" s="440">
        <v>0</v>
      </c>
      <c r="BP1207" s="440">
        <v>0</v>
      </c>
      <c r="BQ1207" s="440">
        <v>0</v>
      </c>
      <c r="BR1207" s="415">
        <v>5</v>
      </c>
      <c r="BS1207" s="415">
        <v>5</v>
      </c>
      <c r="BT1207" s="935"/>
      <c r="BU1207" s="935"/>
      <c r="BV1207" s="935"/>
      <c r="BW1207" s="935"/>
      <c r="BX1207" s="935"/>
      <c r="BY1207" s="935"/>
      <c r="BZ1207" s="935"/>
      <c r="CA1207" s="935"/>
      <c r="CB1207" s="935"/>
      <c r="CC1207" s="935"/>
      <c r="CD1207" s="935"/>
      <c r="CE1207" s="935"/>
      <c r="CF1207" s="935"/>
      <c r="CG1207" s="935"/>
      <c r="CH1207" s="935"/>
      <c r="CI1207" s="935"/>
      <c r="CJ1207" s="935"/>
      <c r="CK1207" s="935"/>
      <c r="CL1207" s="935"/>
      <c r="CM1207" s="935"/>
      <c r="CN1207" s="935"/>
      <c r="CO1207" s="935"/>
      <c r="CP1207" s="935"/>
      <c r="CQ1207" s="935"/>
      <c r="CR1207" s="935"/>
      <c r="CS1207" s="935"/>
      <c r="CT1207" s="935"/>
      <c r="CU1207" s="935"/>
      <c r="CV1207" s="935"/>
    </row>
    <row r="1208" spans="1:100" s="441" customFormat="1">
      <c r="A1208" s="375">
        <f t="shared" si="324"/>
        <v>11</v>
      </c>
      <c r="B1208" s="862">
        <v>44512</v>
      </c>
      <c r="C1208" s="493" t="s">
        <v>2053</v>
      </c>
      <c r="D1208" s="376" t="str">
        <f>IFERROR(VLOOKUP(E:E,'Item Data Support Sheet'!A:O,7,0),"")</f>
        <v>NIPPLE MOLDED</v>
      </c>
      <c r="E1208" s="447" t="s">
        <v>75</v>
      </c>
      <c r="F1208" s="500" t="s">
        <v>1678</v>
      </c>
      <c r="G1208" s="497" t="s">
        <v>1691</v>
      </c>
      <c r="H1208" s="602" t="str">
        <f>IFERROR(VLOOKUP(E:E,'Item Data Support Sheet'!A:O,2,0),"")</f>
        <v>NIPPLE S TYPE Y SIZE INJECTION</v>
      </c>
      <c r="I1208" s="501" t="s">
        <v>3989</v>
      </c>
      <c r="J1208" s="501" t="s">
        <v>3895</v>
      </c>
      <c r="K1208" s="499">
        <v>8</v>
      </c>
      <c r="L1208" s="499">
        <v>4815</v>
      </c>
      <c r="M1208" s="366">
        <v>601.875</v>
      </c>
      <c r="N1208" s="367">
        <f t="shared" si="323"/>
        <v>5124</v>
      </c>
      <c r="O1208" s="61">
        <v>5000</v>
      </c>
      <c r="P1208" s="368">
        <v>0</v>
      </c>
      <c r="Q1208" s="368">
        <v>42</v>
      </c>
      <c r="R1208" s="494">
        <v>0</v>
      </c>
      <c r="S1208" s="493">
        <v>0</v>
      </c>
      <c r="T1208" s="494">
        <v>66</v>
      </c>
      <c r="U1208" s="493">
        <v>16</v>
      </c>
      <c r="V1208" s="502">
        <v>1</v>
      </c>
      <c r="W1208" s="453">
        <f t="shared" si="325"/>
        <v>5000</v>
      </c>
      <c r="X1208" s="748">
        <f t="shared" si="326"/>
        <v>1.0384215991692627</v>
      </c>
      <c r="Y1208" s="451" t="str">
        <f>IFERROR(VLOOKUP(E:E,'Item Data Support Sheet'!A:J,6,0),0)</f>
        <v>Silicon</v>
      </c>
      <c r="Z1208" s="428">
        <f>IFERROR(VLOOKUP(E:E,'Item Data Support Sheet'!A:O,4,0),0)</f>
        <v>6.8</v>
      </c>
      <c r="AA1208" s="428">
        <f t="shared" si="327"/>
        <v>34.843199999999996</v>
      </c>
      <c r="AB1208" s="429">
        <f t="shared" si="328"/>
        <v>0.97580015612802506</v>
      </c>
      <c r="AC1208" s="424">
        <f t="shared" si="329"/>
        <v>1.3028030003947888E-2</v>
      </c>
      <c r="AD1208" s="371">
        <f t="shared" si="330"/>
        <v>8.130081300813009E-3</v>
      </c>
      <c r="AE1208" s="748">
        <f t="shared" si="331"/>
        <v>0.98711943793911006</v>
      </c>
      <c r="AF1208" s="417">
        <f t="shared" si="332"/>
        <v>0</v>
      </c>
      <c r="AG1208" s="416">
        <f t="shared" si="333"/>
        <v>8</v>
      </c>
      <c r="AH1208" s="372">
        <f t="shared" si="334"/>
        <v>1</v>
      </c>
      <c r="AI1208" s="373">
        <f t="shared" si="335"/>
        <v>625</v>
      </c>
      <c r="AJ1208" s="418">
        <f>VLOOKUP(D1208,'Standard Cycle time'!C:D,2,0)</f>
        <v>5.25</v>
      </c>
      <c r="AK1208" s="418">
        <f t="shared" si="336"/>
        <v>5.76</v>
      </c>
      <c r="AL1208" s="374">
        <f t="shared" si="337"/>
        <v>0.91145833333333337</v>
      </c>
      <c r="AM1208" s="372">
        <f t="shared" si="338"/>
        <v>0.8997182377049181</v>
      </c>
      <c r="AN1208" s="799">
        <v>0.8997182377049181</v>
      </c>
      <c r="AO1208" s="448"/>
      <c r="AP1208" s="440">
        <v>0</v>
      </c>
      <c r="AQ1208" s="440">
        <v>0</v>
      </c>
      <c r="AR1208" s="440">
        <v>0</v>
      </c>
      <c r="AS1208" s="440">
        <v>0</v>
      </c>
      <c r="AT1208" s="440">
        <v>0</v>
      </c>
      <c r="AU1208" s="440">
        <v>0</v>
      </c>
      <c r="AV1208" s="440">
        <v>0</v>
      </c>
      <c r="AW1208" s="440">
        <v>0</v>
      </c>
      <c r="AX1208" s="440">
        <v>0</v>
      </c>
      <c r="AY1208" s="440">
        <v>0</v>
      </c>
      <c r="AZ1208" s="440">
        <v>0</v>
      </c>
      <c r="BA1208" s="440">
        <v>0</v>
      </c>
      <c r="BB1208" s="440">
        <v>0</v>
      </c>
      <c r="BC1208" s="440">
        <v>0</v>
      </c>
      <c r="BD1208" s="440">
        <v>0</v>
      </c>
      <c r="BE1208" s="440">
        <v>0</v>
      </c>
      <c r="BF1208" s="440">
        <v>0</v>
      </c>
      <c r="BG1208" s="440">
        <v>0</v>
      </c>
      <c r="BH1208" s="440">
        <v>0</v>
      </c>
      <c r="BI1208" s="440">
        <v>0</v>
      </c>
      <c r="BJ1208" s="440">
        <v>0</v>
      </c>
      <c r="BK1208" s="440">
        <v>0</v>
      </c>
      <c r="BL1208" s="440">
        <v>0</v>
      </c>
      <c r="BM1208" s="440">
        <v>0</v>
      </c>
      <c r="BN1208" s="440">
        <v>0</v>
      </c>
      <c r="BO1208" s="440">
        <v>0</v>
      </c>
      <c r="BP1208" s="440">
        <v>0</v>
      </c>
      <c r="BQ1208" s="440">
        <v>0</v>
      </c>
      <c r="BR1208" s="415">
        <v>0</v>
      </c>
      <c r="BS1208" s="415">
        <v>0</v>
      </c>
      <c r="BT1208" s="935"/>
      <c r="BU1208" s="935"/>
      <c r="BV1208" s="935"/>
      <c r="BW1208" s="935"/>
      <c r="BX1208" s="935"/>
      <c r="BY1208" s="935"/>
      <c r="BZ1208" s="935"/>
      <c r="CA1208" s="935"/>
      <c r="CB1208" s="935"/>
      <c r="CC1208" s="935"/>
      <c r="CD1208" s="935"/>
      <c r="CE1208" s="935"/>
      <c r="CF1208" s="935"/>
      <c r="CG1208" s="935"/>
      <c r="CH1208" s="935"/>
      <c r="CI1208" s="935"/>
      <c r="CJ1208" s="935"/>
      <c r="CK1208" s="935"/>
      <c r="CL1208" s="935"/>
      <c r="CM1208" s="935"/>
      <c r="CN1208" s="935"/>
      <c r="CO1208" s="935"/>
      <c r="CP1208" s="935"/>
      <c r="CQ1208" s="935"/>
      <c r="CR1208" s="935"/>
      <c r="CS1208" s="935"/>
      <c r="CT1208" s="935"/>
      <c r="CU1208" s="935"/>
      <c r="CV1208" s="935"/>
    </row>
    <row r="1209" spans="1:100" s="441" customFormat="1">
      <c r="A1209" s="375">
        <f t="shared" si="324"/>
        <v>11</v>
      </c>
      <c r="B1209" s="862">
        <v>44512</v>
      </c>
      <c r="C1209" s="493" t="s">
        <v>2053</v>
      </c>
      <c r="D1209" s="376" t="str">
        <f>IFERROR(VLOOKUP(E:E,'Item Data Support Sheet'!A:O,7,0),"")</f>
        <v>HOOD MOLDED</v>
      </c>
      <c r="E1209" s="447" t="s">
        <v>1987</v>
      </c>
      <c r="F1209" s="500"/>
      <c r="G1209" s="497" t="s">
        <v>2729</v>
      </c>
      <c r="H1209" s="602" t="str">
        <f>IFERROR(VLOOKUP(E:E,'Item Data Support Sheet'!A:O,2,0),"")</f>
        <v>HOOD S TYPE MOLDED</v>
      </c>
      <c r="I1209" s="501" t="s">
        <v>3990</v>
      </c>
      <c r="J1209" s="501" t="s">
        <v>3895</v>
      </c>
      <c r="K1209" s="499">
        <v>8</v>
      </c>
      <c r="L1209" s="499">
        <v>4137</v>
      </c>
      <c r="M1209" s="366">
        <v>517.125</v>
      </c>
      <c r="N1209" s="367">
        <f t="shared" si="323"/>
        <v>4833</v>
      </c>
      <c r="O1209" s="61">
        <v>4800</v>
      </c>
      <c r="P1209" s="368">
        <v>0</v>
      </c>
      <c r="Q1209" s="368">
        <v>21</v>
      </c>
      <c r="R1209" s="494">
        <v>0</v>
      </c>
      <c r="S1209" s="493">
        <v>0</v>
      </c>
      <c r="T1209" s="494">
        <v>12</v>
      </c>
      <c r="U1209" s="493">
        <v>0</v>
      </c>
      <c r="V1209" s="502">
        <v>1</v>
      </c>
      <c r="W1209" s="453">
        <f t="shared" si="325"/>
        <v>4800</v>
      </c>
      <c r="X1209" s="748">
        <f t="shared" si="326"/>
        <v>1.1602610587382161</v>
      </c>
      <c r="Y1209" s="451" t="str">
        <f>IFERROR(VLOOKUP(E:E,'Item Data Support Sheet'!A:J,6,0),0)</f>
        <v>HMC</v>
      </c>
      <c r="Z1209" s="428">
        <f>IFERROR(VLOOKUP(E:E,'Item Data Support Sheet'!A:O,4,0),0)</f>
        <v>8.6</v>
      </c>
      <c r="AA1209" s="428">
        <f t="shared" si="327"/>
        <v>41.563800000000001</v>
      </c>
      <c r="AB1209" s="429">
        <f t="shared" si="328"/>
        <v>0.99317194289261335</v>
      </c>
      <c r="AC1209" s="424">
        <f t="shared" si="329"/>
        <v>2.4937655860349127E-3</v>
      </c>
      <c r="AD1209" s="371">
        <f t="shared" si="330"/>
        <v>4.326328800988875E-3</v>
      </c>
      <c r="AE1209" s="748">
        <f t="shared" si="331"/>
        <v>0.99751707014276847</v>
      </c>
      <c r="AF1209" s="417">
        <f t="shared" si="332"/>
        <v>0</v>
      </c>
      <c r="AG1209" s="416">
        <f t="shared" si="333"/>
        <v>8</v>
      </c>
      <c r="AH1209" s="372">
        <f t="shared" si="334"/>
        <v>1</v>
      </c>
      <c r="AI1209" s="373">
        <f t="shared" si="335"/>
        <v>600</v>
      </c>
      <c r="AJ1209" s="418">
        <f>VLOOKUP(D1209,'Standard Cycle time'!C:D,2,0)</f>
        <v>6</v>
      </c>
      <c r="AK1209" s="418">
        <f t="shared" si="336"/>
        <v>6</v>
      </c>
      <c r="AL1209" s="374">
        <f t="shared" si="337"/>
        <v>1</v>
      </c>
      <c r="AM1209" s="372">
        <f t="shared" si="338"/>
        <v>0.99751707014276847</v>
      </c>
      <c r="AN1209" s="799">
        <v>0.99751707014276847</v>
      </c>
      <c r="AO1209" s="448"/>
      <c r="AP1209" s="440">
        <v>0</v>
      </c>
      <c r="AQ1209" s="440">
        <v>0</v>
      </c>
      <c r="AR1209" s="440">
        <v>0</v>
      </c>
      <c r="AS1209" s="440">
        <v>0</v>
      </c>
      <c r="AT1209" s="440">
        <v>0</v>
      </c>
      <c r="AU1209" s="440">
        <v>0</v>
      </c>
      <c r="AV1209" s="440">
        <v>0</v>
      </c>
      <c r="AW1209" s="440">
        <v>0</v>
      </c>
      <c r="AX1209" s="440">
        <v>0</v>
      </c>
      <c r="AY1209" s="440">
        <v>0</v>
      </c>
      <c r="AZ1209" s="440">
        <v>0</v>
      </c>
      <c r="BA1209" s="440">
        <v>0</v>
      </c>
      <c r="BB1209" s="440">
        <v>0</v>
      </c>
      <c r="BC1209" s="440">
        <v>0</v>
      </c>
      <c r="BD1209" s="440">
        <v>0</v>
      </c>
      <c r="BE1209" s="440">
        <v>0</v>
      </c>
      <c r="BF1209" s="440">
        <v>0</v>
      </c>
      <c r="BG1209" s="440">
        <v>0</v>
      </c>
      <c r="BH1209" s="440">
        <v>0</v>
      </c>
      <c r="BI1209" s="440">
        <v>0</v>
      </c>
      <c r="BJ1209" s="440">
        <v>0</v>
      </c>
      <c r="BK1209" s="440">
        <v>0</v>
      </c>
      <c r="BL1209" s="440">
        <v>0</v>
      </c>
      <c r="BM1209" s="440">
        <v>0</v>
      </c>
      <c r="BN1209" s="440">
        <v>0</v>
      </c>
      <c r="BO1209" s="440">
        <v>0</v>
      </c>
      <c r="BP1209" s="440">
        <v>0</v>
      </c>
      <c r="BQ1209" s="440">
        <v>0</v>
      </c>
      <c r="BR1209" s="415">
        <v>0</v>
      </c>
      <c r="BS1209" s="415">
        <v>0</v>
      </c>
      <c r="BT1209" s="935"/>
      <c r="BU1209" s="935"/>
      <c r="BV1209" s="935"/>
      <c r="BW1209" s="935"/>
      <c r="BX1209" s="935"/>
      <c r="BY1209" s="935"/>
      <c r="BZ1209" s="935"/>
      <c r="CA1209" s="935"/>
      <c r="CB1209" s="935"/>
      <c r="CC1209" s="935"/>
      <c r="CD1209" s="935"/>
      <c r="CE1209" s="935"/>
      <c r="CF1209" s="935"/>
      <c r="CG1209" s="935"/>
      <c r="CH1209" s="935"/>
      <c r="CI1209" s="935"/>
      <c r="CJ1209" s="935"/>
      <c r="CK1209" s="935"/>
      <c r="CL1209" s="935"/>
      <c r="CM1209" s="935"/>
      <c r="CN1209" s="935"/>
      <c r="CO1209" s="935"/>
      <c r="CP1209" s="935"/>
      <c r="CQ1209" s="935"/>
      <c r="CR1209" s="935"/>
      <c r="CS1209" s="935"/>
      <c r="CT1209" s="935"/>
      <c r="CU1209" s="935"/>
      <c r="CV1209" s="935"/>
    </row>
    <row r="1210" spans="1:100" s="441" customFormat="1">
      <c r="A1210" s="375">
        <f t="shared" si="324"/>
        <v>11</v>
      </c>
      <c r="B1210" s="862">
        <v>44513</v>
      </c>
      <c r="C1210" s="493" t="s">
        <v>1980</v>
      </c>
      <c r="D1210" s="376" t="str">
        <f>IFERROR(VLOOKUP(E:E,'Item Data Support Sheet'!A:O,7,0),"")</f>
        <v>BOTTLE MOLDED</v>
      </c>
      <c r="E1210" s="447" t="s">
        <v>68</v>
      </c>
      <c r="F1210" s="500" t="s">
        <v>1681</v>
      </c>
      <c r="G1210" s="497" t="s">
        <v>1888</v>
      </c>
      <c r="H1210" s="602" t="str">
        <f>IFERROR(VLOOKUP(E:E,'Item Data Support Sheet'!A:O,2,0),"")</f>
        <v>RPP 240 ML BOTTLE MOLDED</v>
      </c>
      <c r="I1210" s="501" t="s">
        <v>3991</v>
      </c>
      <c r="J1210" s="501" t="s">
        <v>2808</v>
      </c>
      <c r="K1210" s="499">
        <v>4.5</v>
      </c>
      <c r="L1210" s="499">
        <v>1200</v>
      </c>
      <c r="M1210" s="366">
        <v>266.66666666666669</v>
      </c>
      <c r="N1210" s="367">
        <f t="shared" si="323"/>
        <v>1376</v>
      </c>
      <c r="O1210" s="61">
        <v>1296</v>
      </c>
      <c r="P1210" s="368">
        <v>0</v>
      </c>
      <c r="Q1210" s="368">
        <v>45</v>
      </c>
      <c r="R1210" s="494">
        <v>0</v>
      </c>
      <c r="S1210" s="493">
        <v>0</v>
      </c>
      <c r="T1210" s="494">
        <v>27</v>
      </c>
      <c r="U1210" s="493">
        <v>8</v>
      </c>
      <c r="V1210" s="502">
        <v>1</v>
      </c>
      <c r="W1210" s="453">
        <f t="shared" si="325"/>
        <v>1296</v>
      </c>
      <c r="X1210" s="748">
        <f t="shared" si="326"/>
        <v>1.08</v>
      </c>
      <c r="Y1210" s="451" t="str">
        <f>IFERROR(VLOOKUP(E:E,'Item Data Support Sheet'!A:J,6,0),0)</f>
        <v>HMC</v>
      </c>
      <c r="Z1210" s="428">
        <f>IFERROR(VLOOKUP(E:E,'Item Data Support Sheet'!A:O,4,0),0)</f>
        <v>32.1</v>
      </c>
      <c r="AA1210" s="428">
        <f t="shared" si="327"/>
        <v>44.169600000000003</v>
      </c>
      <c r="AB1210" s="429">
        <f t="shared" si="328"/>
        <v>0.94186046511627908</v>
      </c>
      <c r="AC1210" s="424">
        <f t="shared" si="329"/>
        <v>2.0408163265306121E-2</v>
      </c>
      <c r="AD1210" s="371">
        <f t="shared" si="330"/>
        <v>3.1667839549612949E-2</v>
      </c>
      <c r="AE1210" s="748">
        <f t="shared" si="331"/>
        <v>0.98037790697674421</v>
      </c>
      <c r="AF1210" s="417">
        <f t="shared" si="332"/>
        <v>1.1666666666666667</v>
      </c>
      <c r="AG1210" s="416">
        <f t="shared" si="333"/>
        <v>3.333333333333333</v>
      </c>
      <c r="AH1210" s="372">
        <f t="shared" si="334"/>
        <v>0.7407407407407407</v>
      </c>
      <c r="AI1210" s="373">
        <f t="shared" si="335"/>
        <v>288</v>
      </c>
      <c r="AJ1210" s="418">
        <f>VLOOKUP(D1210,'Standard Cycle time'!C:D,2,0)</f>
        <v>9</v>
      </c>
      <c r="AK1210" s="418">
        <f t="shared" si="336"/>
        <v>9.2592592592592577</v>
      </c>
      <c r="AL1210" s="374">
        <f t="shared" si="337"/>
        <v>0.9720000000000002</v>
      </c>
      <c r="AM1210" s="372">
        <f t="shared" si="338"/>
        <v>0.70587209302325593</v>
      </c>
      <c r="AN1210" s="799">
        <v>0.70587209302325593</v>
      </c>
      <c r="AO1210" s="448" t="s">
        <v>3992</v>
      </c>
      <c r="AP1210" s="440">
        <v>0</v>
      </c>
      <c r="AQ1210" s="440">
        <v>0</v>
      </c>
      <c r="AR1210" s="440">
        <v>70</v>
      </c>
      <c r="AS1210" s="440">
        <v>0</v>
      </c>
      <c r="AT1210" s="440">
        <v>0</v>
      </c>
      <c r="AU1210" s="440">
        <v>0</v>
      </c>
      <c r="AV1210" s="440">
        <v>0</v>
      </c>
      <c r="AW1210" s="440">
        <v>0</v>
      </c>
      <c r="AX1210" s="440">
        <v>0</v>
      </c>
      <c r="AY1210" s="440">
        <v>0</v>
      </c>
      <c r="AZ1210" s="440">
        <v>0</v>
      </c>
      <c r="BA1210" s="440">
        <v>0</v>
      </c>
      <c r="BB1210" s="440">
        <v>0</v>
      </c>
      <c r="BC1210" s="440">
        <v>0</v>
      </c>
      <c r="BD1210" s="440">
        <v>0</v>
      </c>
      <c r="BE1210" s="440">
        <v>0</v>
      </c>
      <c r="BF1210" s="440">
        <v>0</v>
      </c>
      <c r="BG1210" s="440">
        <v>0</v>
      </c>
      <c r="BH1210" s="440">
        <v>0</v>
      </c>
      <c r="BI1210" s="440">
        <v>0</v>
      </c>
      <c r="BJ1210" s="440">
        <v>0</v>
      </c>
      <c r="BK1210" s="440">
        <v>0</v>
      </c>
      <c r="BL1210" s="440">
        <v>0</v>
      </c>
      <c r="BM1210" s="440">
        <v>0</v>
      </c>
      <c r="BN1210" s="440">
        <v>0</v>
      </c>
      <c r="BO1210" s="440">
        <v>0</v>
      </c>
      <c r="BP1210" s="440">
        <v>0</v>
      </c>
      <c r="BQ1210" s="440">
        <v>0</v>
      </c>
      <c r="BR1210" s="415">
        <v>1.1666666666666667</v>
      </c>
      <c r="BS1210" s="415">
        <v>1.1666666666666667</v>
      </c>
      <c r="BT1210" s="935"/>
      <c r="BU1210" s="935"/>
      <c r="BV1210" s="935"/>
      <c r="BW1210" s="935"/>
      <c r="BX1210" s="935"/>
      <c r="BY1210" s="935"/>
      <c r="BZ1210" s="935"/>
      <c r="CA1210" s="935"/>
      <c r="CB1210" s="935"/>
      <c r="CC1210" s="935"/>
      <c r="CD1210" s="935"/>
      <c r="CE1210" s="935"/>
      <c r="CF1210" s="935"/>
      <c r="CG1210" s="935"/>
      <c r="CH1210" s="935"/>
      <c r="CI1210" s="935"/>
      <c r="CJ1210" s="935"/>
      <c r="CK1210" s="935"/>
      <c r="CL1210" s="935"/>
      <c r="CM1210" s="935"/>
      <c r="CN1210" s="935"/>
      <c r="CO1210" s="935"/>
      <c r="CP1210" s="935"/>
      <c r="CQ1210" s="935"/>
      <c r="CR1210" s="935"/>
      <c r="CS1210" s="935"/>
      <c r="CT1210" s="935"/>
      <c r="CU1210" s="935"/>
      <c r="CV1210" s="935"/>
    </row>
    <row r="1211" spans="1:100" s="441" customFormat="1">
      <c r="A1211" s="375">
        <f t="shared" si="324"/>
        <v>11</v>
      </c>
      <c r="B1211" s="862">
        <v>44513</v>
      </c>
      <c r="C1211" s="493" t="s">
        <v>1980</v>
      </c>
      <c r="D1211" s="376" t="str">
        <f>IFERROR(VLOOKUP(E:E,'Item Data Support Sheet'!A:O,7,0),"")</f>
        <v>HOOD MOLDED</v>
      </c>
      <c r="E1211" s="447" t="s">
        <v>1987</v>
      </c>
      <c r="F1211" s="500"/>
      <c r="G1211" s="497" t="s">
        <v>2729</v>
      </c>
      <c r="H1211" s="602" t="str">
        <f>IFERROR(VLOOKUP(E:E,'Item Data Support Sheet'!A:O,2,0),"")</f>
        <v>HOOD S TYPE MOLDED</v>
      </c>
      <c r="I1211" s="501" t="s">
        <v>3993</v>
      </c>
      <c r="J1211" s="501" t="s">
        <v>2808</v>
      </c>
      <c r="K1211" s="499">
        <v>8</v>
      </c>
      <c r="L1211" s="499">
        <v>4137</v>
      </c>
      <c r="M1211" s="366">
        <v>517.125</v>
      </c>
      <c r="N1211" s="367">
        <f t="shared" si="323"/>
        <v>4616</v>
      </c>
      <c r="O1211" s="61">
        <v>4600</v>
      </c>
      <c r="P1211" s="368">
        <v>0</v>
      </c>
      <c r="Q1211" s="368">
        <v>0</v>
      </c>
      <c r="R1211" s="494">
        <v>0</v>
      </c>
      <c r="S1211" s="493">
        <v>0</v>
      </c>
      <c r="T1211" s="494">
        <v>8</v>
      </c>
      <c r="U1211" s="493">
        <v>8</v>
      </c>
      <c r="V1211" s="502">
        <v>1</v>
      </c>
      <c r="W1211" s="453">
        <f t="shared" si="325"/>
        <v>4600</v>
      </c>
      <c r="X1211" s="748">
        <f t="shared" si="326"/>
        <v>1.111916847957457</v>
      </c>
      <c r="Y1211" s="451" t="str">
        <f>IFERROR(VLOOKUP(E:E,'Item Data Support Sheet'!A:J,6,0),0)</f>
        <v>HMC</v>
      </c>
      <c r="Z1211" s="428">
        <f>IFERROR(VLOOKUP(E:E,'Item Data Support Sheet'!A:O,4,0),0)</f>
        <v>8.6</v>
      </c>
      <c r="AA1211" s="428">
        <f t="shared" si="327"/>
        <v>39.697600000000001</v>
      </c>
      <c r="AB1211" s="429">
        <f t="shared" si="328"/>
        <v>0.99653379549393417</v>
      </c>
      <c r="AC1211" s="424">
        <f t="shared" si="329"/>
        <v>1.736111111111111E-3</v>
      </c>
      <c r="AD1211" s="371">
        <f t="shared" si="330"/>
        <v>0</v>
      </c>
      <c r="AE1211" s="748">
        <f t="shared" si="331"/>
        <v>0.99826689774696709</v>
      </c>
      <c r="AF1211" s="417">
        <f t="shared" si="332"/>
        <v>0</v>
      </c>
      <c r="AG1211" s="416">
        <f t="shared" si="333"/>
        <v>8</v>
      </c>
      <c r="AH1211" s="372">
        <f t="shared" si="334"/>
        <v>1</v>
      </c>
      <c r="AI1211" s="373">
        <f t="shared" si="335"/>
        <v>575</v>
      </c>
      <c r="AJ1211" s="418">
        <f>VLOOKUP(D1211,'Standard Cycle time'!C:D,2,0)</f>
        <v>6</v>
      </c>
      <c r="AK1211" s="418">
        <f t="shared" si="336"/>
        <v>6.2608695652173916</v>
      </c>
      <c r="AL1211" s="374">
        <f t="shared" si="337"/>
        <v>0.95833333333333326</v>
      </c>
      <c r="AM1211" s="372">
        <f t="shared" si="338"/>
        <v>0.9566724436741767</v>
      </c>
      <c r="AN1211" s="799">
        <v>0.9566724436741767</v>
      </c>
      <c r="AO1211" s="448"/>
      <c r="AP1211" s="440">
        <v>0</v>
      </c>
      <c r="AQ1211" s="440">
        <v>0</v>
      </c>
      <c r="AR1211" s="440">
        <v>0</v>
      </c>
      <c r="AS1211" s="440">
        <v>0</v>
      </c>
      <c r="AT1211" s="440">
        <v>0</v>
      </c>
      <c r="AU1211" s="440">
        <v>0</v>
      </c>
      <c r="AV1211" s="440">
        <v>0</v>
      </c>
      <c r="AW1211" s="440">
        <v>0</v>
      </c>
      <c r="AX1211" s="440">
        <v>0</v>
      </c>
      <c r="AY1211" s="440">
        <v>0</v>
      </c>
      <c r="AZ1211" s="440">
        <v>0</v>
      </c>
      <c r="BA1211" s="440">
        <v>0</v>
      </c>
      <c r="BB1211" s="440">
        <v>0</v>
      </c>
      <c r="BC1211" s="440">
        <v>0</v>
      </c>
      <c r="BD1211" s="440">
        <v>0</v>
      </c>
      <c r="BE1211" s="440">
        <v>0</v>
      </c>
      <c r="BF1211" s="440">
        <v>0</v>
      </c>
      <c r="BG1211" s="440">
        <v>0</v>
      </c>
      <c r="BH1211" s="440">
        <v>0</v>
      </c>
      <c r="BI1211" s="440">
        <v>0</v>
      </c>
      <c r="BJ1211" s="440">
        <v>0</v>
      </c>
      <c r="BK1211" s="440">
        <v>0</v>
      </c>
      <c r="BL1211" s="440">
        <v>0</v>
      </c>
      <c r="BM1211" s="440">
        <v>0</v>
      </c>
      <c r="BN1211" s="440">
        <v>0</v>
      </c>
      <c r="BO1211" s="440">
        <v>0</v>
      </c>
      <c r="BP1211" s="440">
        <v>0</v>
      </c>
      <c r="BQ1211" s="440">
        <v>0</v>
      </c>
      <c r="BR1211" s="415">
        <v>0</v>
      </c>
      <c r="BS1211" s="415">
        <v>0</v>
      </c>
      <c r="BT1211" s="935"/>
      <c r="BU1211" s="935"/>
      <c r="BV1211" s="935"/>
      <c r="BW1211" s="935"/>
      <c r="BX1211" s="935"/>
      <c r="BY1211" s="935"/>
      <c r="BZ1211" s="935"/>
      <c r="CA1211" s="935"/>
      <c r="CB1211" s="935"/>
      <c r="CC1211" s="935"/>
      <c r="CD1211" s="935"/>
      <c r="CE1211" s="935"/>
      <c r="CF1211" s="935"/>
      <c r="CG1211" s="935"/>
      <c r="CH1211" s="935"/>
      <c r="CI1211" s="935"/>
      <c r="CJ1211" s="935"/>
      <c r="CK1211" s="935"/>
      <c r="CL1211" s="935"/>
      <c r="CM1211" s="935"/>
      <c r="CN1211" s="935"/>
      <c r="CO1211" s="935"/>
      <c r="CP1211" s="935"/>
      <c r="CQ1211" s="935"/>
      <c r="CR1211" s="935"/>
      <c r="CS1211" s="935"/>
      <c r="CT1211" s="935"/>
      <c r="CU1211" s="935"/>
      <c r="CV1211" s="935"/>
    </row>
    <row r="1212" spans="1:100" s="441" customFormat="1">
      <c r="A1212" s="375">
        <f t="shared" si="324"/>
        <v>11</v>
      </c>
      <c r="B1212" s="862">
        <v>44513</v>
      </c>
      <c r="C1212" s="493" t="s">
        <v>1980</v>
      </c>
      <c r="D1212" s="376" t="str">
        <f>IFERROR(VLOOKUP(E:E,'Item Data Support Sheet'!A:O,7,0),"")</f>
        <v>NIPPLE PUNCH</v>
      </c>
      <c r="E1212" s="447" t="s">
        <v>83</v>
      </c>
      <c r="F1212" s="500"/>
      <c r="G1212" s="497" t="s">
        <v>1692</v>
      </c>
      <c r="H1212" s="602" t="str">
        <f>IFERROR(VLOOKUP(E:E,'Item Data Support Sheet'!A:O,2,0),"")</f>
        <v>NIPPLE S TYPE Y SIZE PUNCHED</v>
      </c>
      <c r="I1212" s="501" t="s">
        <v>3994</v>
      </c>
      <c r="J1212" s="501" t="s">
        <v>2808</v>
      </c>
      <c r="K1212" s="499">
        <v>8</v>
      </c>
      <c r="L1212" s="499">
        <v>7000</v>
      </c>
      <c r="M1212" s="366">
        <v>875</v>
      </c>
      <c r="N1212" s="367">
        <f t="shared" si="323"/>
        <v>7200</v>
      </c>
      <c r="O1212" s="61">
        <v>7200</v>
      </c>
      <c r="P1212" s="368">
        <v>0</v>
      </c>
      <c r="Q1212" s="368">
        <v>0</v>
      </c>
      <c r="R1212" s="494">
        <v>0</v>
      </c>
      <c r="S1212" s="493">
        <v>0</v>
      </c>
      <c r="T1212" s="494">
        <v>0</v>
      </c>
      <c r="U1212" s="493">
        <v>0</v>
      </c>
      <c r="V1212" s="502">
        <v>1</v>
      </c>
      <c r="W1212" s="453">
        <f t="shared" si="325"/>
        <v>7200</v>
      </c>
      <c r="X1212" s="748">
        <f t="shared" si="326"/>
        <v>1.0285714285714285</v>
      </c>
      <c r="Y1212" s="451" t="str">
        <f>IFERROR(VLOOKUP(E:E,'Item Data Support Sheet'!A:J,6,0),0)</f>
        <v>FO018</v>
      </c>
      <c r="Z1212" s="428">
        <f>IFERROR(VLOOKUP(E:E,'Item Data Support Sheet'!A:O,4,0),0)</f>
        <v>0</v>
      </c>
      <c r="AA1212" s="428">
        <f t="shared" si="327"/>
        <v>0</v>
      </c>
      <c r="AB1212" s="429" t="str">
        <f t="shared" si="328"/>
        <v xml:space="preserve"> </v>
      </c>
      <c r="AC1212" s="424">
        <f t="shared" si="329"/>
        <v>0</v>
      </c>
      <c r="AD1212" s="371">
        <f t="shared" si="330"/>
        <v>0</v>
      </c>
      <c r="AE1212" s="748">
        <f t="shared" si="331"/>
        <v>1</v>
      </c>
      <c r="AF1212" s="417">
        <f t="shared" si="332"/>
        <v>0.66666666666666663</v>
      </c>
      <c r="AG1212" s="416">
        <f t="shared" si="333"/>
        <v>7.333333333333333</v>
      </c>
      <c r="AH1212" s="372">
        <f t="shared" si="334"/>
        <v>0.91666666666666663</v>
      </c>
      <c r="AI1212" s="373">
        <f t="shared" si="335"/>
        <v>900</v>
      </c>
      <c r="AJ1212" s="418">
        <f>VLOOKUP(D1212,'Standard Cycle time'!C:D,2,0)</f>
        <v>3.5</v>
      </c>
      <c r="AK1212" s="418">
        <f t="shared" si="336"/>
        <v>3.6666666666666665</v>
      </c>
      <c r="AL1212" s="374">
        <f t="shared" si="337"/>
        <v>0.95454545454545459</v>
      </c>
      <c r="AM1212" s="372">
        <f t="shared" si="338"/>
        <v>0.875</v>
      </c>
      <c r="AN1212" s="799">
        <v>0.875</v>
      </c>
      <c r="AO1212" s="448"/>
      <c r="AP1212" s="440">
        <v>40</v>
      </c>
      <c r="AQ1212" s="440">
        <v>0</v>
      </c>
      <c r="AR1212" s="440">
        <v>0</v>
      </c>
      <c r="AS1212" s="440">
        <v>0</v>
      </c>
      <c r="AT1212" s="440">
        <v>0</v>
      </c>
      <c r="AU1212" s="440">
        <v>0</v>
      </c>
      <c r="AV1212" s="440">
        <v>0</v>
      </c>
      <c r="AW1212" s="440">
        <v>0</v>
      </c>
      <c r="AX1212" s="440">
        <v>0</v>
      </c>
      <c r="AY1212" s="440">
        <v>0</v>
      </c>
      <c r="AZ1212" s="440">
        <v>0</v>
      </c>
      <c r="BA1212" s="440">
        <v>0</v>
      </c>
      <c r="BB1212" s="440">
        <v>0</v>
      </c>
      <c r="BC1212" s="440">
        <v>0</v>
      </c>
      <c r="BD1212" s="440">
        <v>0</v>
      </c>
      <c r="BE1212" s="440">
        <v>0</v>
      </c>
      <c r="BF1212" s="440">
        <v>0</v>
      </c>
      <c r="BG1212" s="440">
        <v>0</v>
      </c>
      <c r="BH1212" s="440">
        <v>0</v>
      </c>
      <c r="BI1212" s="440">
        <v>0</v>
      </c>
      <c r="BJ1212" s="440">
        <v>0</v>
      </c>
      <c r="BK1212" s="440">
        <v>0</v>
      </c>
      <c r="BL1212" s="440">
        <v>0</v>
      </c>
      <c r="BM1212" s="440">
        <v>0</v>
      </c>
      <c r="BN1212" s="440">
        <v>0</v>
      </c>
      <c r="BO1212" s="440">
        <v>0</v>
      </c>
      <c r="BP1212" s="440">
        <v>0</v>
      </c>
      <c r="BQ1212" s="440">
        <v>0</v>
      </c>
      <c r="BR1212" s="415">
        <v>0.66666666666666663</v>
      </c>
      <c r="BS1212" s="415">
        <v>0.66666666666666663</v>
      </c>
      <c r="BT1212" s="935"/>
      <c r="BU1212" s="935"/>
      <c r="BV1212" s="935"/>
      <c r="BW1212" s="935"/>
      <c r="BX1212" s="935"/>
      <c r="BY1212" s="935"/>
      <c r="BZ1212" s="935"/>
      <c r="CA1212" s="935"/>
      <c r="CB1212" s="935"/>
      <c r="CC1212" s="935"/>
      <c r="CD1212" s="935"/>
      <c r="CE1212" s="935"/>
      <c r="CF1212" s="935"/>
      <c r="CG1212" s="935"/>
      <c r="CH1212" s="935"/>
      <c r="CI1212" s="935"/>
      <c r="CJ1212" s="935"/>
      <c r="CK1212" s="935"/>
      <c r="CL1212" s="935"/>
      <c r="CM1212" s="935"/>
      <c r="CN1212" s="935"/>
      <c r="CO1212" s="935"/>
      <c r="CP1212" s="935"/>
      <c r="CQ1212" s="935"/>
      <c r="CR1212" s="935"/>
      <c r="CS1212" s="935"/>
      <c r="CT1212" s="935"/>
      <c r="CU1212" s="935"/>
      <c r="CV1212" s="935"/>
    </row>
    <row r="1213" spans="1:100" s="441" customFormat="1">
      <c r="A1213" s="375">
        <f t="shared" si="324"/>
        <v>11</v>
      </c>
      <c r="B1213" s="862">
        <v>44513</v>
      </c>
      <c r="C1213" s="493" t="s">
        <v>1980</v>
      </c>
      <c r="D1213" s="376" t="str">
        <f>IFERROR(VLOOKUP(E:E,'Item Data Support Sheet'!A:O,7,0),"")</f>
        <v>NIPPLE LASER MARKING</v>
      </c>
      <c r="E1213" s="447" t="s">
        <v>1817</v>
      </c>
      <c r="F1213" s="500"/>
      <c r="G1213" s="497" t="s">
        <v>1812</v>
      </c>
      <c r="H1213" s="602" t="str">
        <f>IFERROR(VLOOKUP(E:E,'Item Data Support Sheet'!A:O,2,0),"")</f>
        <v>NIPPLE S TYPE Y SIZE PUNCHED LASER MARKED</v>
      </c>
      <c r="I1213" s="501" t="s">
        <v>3995</v>
      </c>
      <c r="J1213" s="501" t="s">
        <v>2808</v>
      </c>
      <c r="K1213" s="499">
        <v>8</v>
      </c>
      <c r="L1213" s="499">
        <v>7000</v>
      </c>
      <c r="M1213" s="366">
        <v>875</v>
      </c>
      <c r="N1213" s="367">
        <f t="shared" si="323"/>
        <v>7200</v>
      </c>
      <c r="O1213" s="61">
        <v>7200</v>
      </c>
      <c r="P1213" s="368">
        <v>0</v>
      </c>
      <c r="Q1213" s="368">
        <v>0</v>
      </c>
      <c r="R1213" s="494">
        <v>0</v>
      </c>
      <c r="S1213" s="493">
        <v>0</v>
      </c>
      <c r="T1213" s="494">
        <v>0</v>
      </c>
      <c r="U1213" s="493">
        <v>0</v>
      </c>
      <c r="V1213" s="502">
        <v>1</v>
      </c>
      <c r="W1213" s="453">
        <f t="shared" si="325"/>
        <v>7200</v>
      </c>
      <c r="X1213" s="748">
        <f t="shared" si="326"/>
        <v>1.0285714285714285</v>
      </c>
      <c r="Y1213" s="451" t="str">
        <f>IFERROR(VLOOKUP(E:E,'Item Data Support Sheet'!A:J,6,0),0)</f>
        <v>FO022</v>
      </c>
      <c r="Z1213" s="428">
        <f>IFERROR(VLOOKUP(E:E,'Item Data Support Sheet'!A:O,4,0),0)</f>
        <v>0</v>
      </c>
      <c r="AA1213" s="428">
        <f t="shared" si="327"/>
        <v>0</v>
      </c>
      <c r="AB1213" s="429" t="str">
        <f t="shared" si="328"/>
        <v xml:space="preserve"> </v>
      </c>
      <c r="AC1213" s="424">
        <f t="shared" si="329"/>
        <v>0</v>
      </c>
      <c r="AD1213" s="371">
        <f t="shared" si="330"/>
        <v>0</v>
      </c>
      <c r="AE1213" s="748">
        <f t="shared" si="331"/>
        <v>1</v>
      </c>
      <c r="AF1213" s="417">
        <f t="shared" si="332"/>
        <v>0.66666666666666663</v>
      </c>
      <c r="AG1213" s="416">
        <f t="shared" si="333"/>
        <v>7.333333333333333</v>
      </c>
      <c r="AH1213" s="372">
        <f t="shared" si="334"/>
        <v>0.91666666666666663</v>
      </c>
      <c r="AI1213" s="373">
        <f t="shared" si="335"/>
        <v>900</v>
      </c>
      <c r="AJ1213" s="418">
        <f>VLOOKUP(D1213,'Standard Cycle time'!C:D,2,0)</f>
        <v>3.5</v>
      </c>
      <c r="AK1213" s="418">
        <f t="shared" si="336"/>
        <v>3.6666666666666665</v>
      </c>
      <c r="AL1213" s="374">
        <f t="shared" si="337"/>
        <v>0.95454545454545459</v>
      </c>
      <c r="AM1213" s="372">
        <f t="shared" si="338"/>
        <v>0.875</v>
      </c>
      <c r="AN1213" s="799">
        <v>0.875</v>
      </c>
      <c r="AO1213" s="448"/>
      <c r="AP1213" s="440">
        <v>40</v>
      </c>
      <c r="AQ1213" s="440">
        <v>0</v>
      </c>
      <c r="AR1213" s="440">
        <v>0</v>
      </c>
      <c r="AS1213" s="440">
        <v>0</v>
      </c>
      <c r="AT1213" s="440">
        <v>0</v>
      </c>
      <c r="AU1213" s="440">
        <v>0</v>
      </c>
      <c r="AV1213" s="440">
        <v>0</v>
      </c>
      <c r="AW1213" s="440">
        <v>0</v>
      </c>
      <c r="AX1213" s="440">
        <v>0</v>
      </c>
      <c r="AY1213" s="440">
        <v>0</v>
      </c>
      <c r="AZ1213" s="440">
        <v>0</v>
      </c>
      <c r="BA1213" s="440">
        <v>0</v>
      </c>
      <c r="BB1213" s="440">
        <v>0</v>
      </c>
      <c r="BC1213" s="440">
        <v>0</v>
      </c>
      <c r="BD1213" s="440">
        <v>0</v>
      </c>
      <c r="BE1213" s="440">
        <v>0</v>
      </c>
      <c r="BF1213" s="440">
        <v>0</v>
      </c>
      <c r="BG1213" s="440">
        <v>0</v>
      </c>
      <c r="BH1213" s="440">
        <v>0</v>
      </c>
      <c r="BI1213" s="440">
        <v>0</v>
      </c>
      <c r="BJ1213" s="440">
        <v>0</v>
      </c>
      <c r="BK1213" s="440">
        <v>0</v>
      </c>
      <c r="BL1213" s="440">
        <v>0</v>
      </c>
      <c r="BM1213" s="440">
        <v>0</v>
      </c>
      <c r="BN1213" s="440">
        <v>0</v>
      </c>
      <c r="BO1213" s="440">
        <v>0</v>
      </c>
      <c r="BP1213" s="440">
        <v>0</v>
      </c>
      <c r="BQ1213" s="440">
        <v>0</v>
      </c>
      <c r="BR1213" s="415">
        <v>0.66666666666666663</v>
      </c>
      <c r="BS1213" s="415">
        <v>0.66666666666666663</v>
      </c>
      <c r="BT1213" s="935"/>
      <c r="BU1213" s="935"/>
      <c r="BV1213" s="935"/>
      <c r="BW1213" s="935"/>
      <c r="BX1213" s="935"/>
      <c r="BY1213" s="935"/>
      <c r="BZ1213" s="935"/>
      <c r="CA1213" s="935"/>
      <c r="CB1213" s="935"/>
      <c r="CC1213" s="935"/>
      <c r="CD1213" s="935"/>
      <c r="CE1213" s="935"/>
      <c r="CF1213" s="935"/>
      <c r="CG1213" s="935"/>
      <c r="CH1213" s="935"/>
      <c r="CI1213" s="935"/>
      <c r="CJ1213" s="935"/>
      <c r="CK1213" s="935"/>
      <c r="CL1213" s="935"/>
      <c r="CM1213" s="935"/>
      <c r="CN1213" s="935"/>
      <c r="CO1213" s="935"/>
      <c r="CP1213" s="935"/>
      <c r="CQ1213" s="935"/>
      <c r="CR1213" s="935"/>
      <c r="CS1213" s="935"/>
      <c r="CT1213" s="935"/>
      <c r="CU1213" s="935"/>
      <c r="CV1213" s="935"/>
    </row>
    <row r="1214" spans="1:100" s="441" customFormat="1">
      <c r="A1214" s="375">
        <f t="shared" si="324"/>
        <v>11</v>
      </c>
      <c r="B1214" s="862">
        <v>44513</v>
      </c>
      <c r="C1214" s="493" t="s">
        <v>1980</v>
      </c>
      <c r="D1214" s="376" t="str">
        <f>IFERROR(VLOOKUP(E:E,'Item Data Support Sheet'!A:O,7,0),"")</f>
        <v>NIPPLE MOLDED</v>
      </c>
      <c r="E1214" s="447" t="s">
        <v>75</v>
      </c>
      <c r="F1214" s="500" t="s">
        <v>1678</v>
      </c>
      <c r="G1214" s="497" t="s">
        <v>1691</v>
      </c>
      <c r="H1214" s="602" t="str">
        <f>IFERROR(VLOOKUP(E:E,'Item Data Support Sheet'!A:O,2,0),"")</f>
        <v>NIPPLE S TYPE Y SIZE INJECTION</v>
      </c>
      <c r="I1214" s="501" t="s">
        <v>3996</v>
      </c>
      <c r="J1214" s="501" t="s">
        <v>2808</v>
      </c>
      <c r="K1214" s="499">
        <v>8</v>
      </c>
      <c r="L1214" s="499">
        <v>4815</v>
      </c>
      <c r="M1214" s="366">
        <v>601.875</v>
      </c>
      <c r="N1214" s="367">
        <f t="shared" si="323"/>
        <v>2120</v>
      </c>
      <c r="O1214" s="61">
        <v>2050</v>
      </c>
      <c r="P1214" s="368">
        <v>7</v>
      </c>
      <c r="Q1214" s="368">
        <v>27</v>
      </c>
      <c r="R1214" s="494">
        <v>0</v>
      </c>
      <c r="S1214" s="493">
        <v>0</v>
      </c>
      <c r="T1214" s="494">
        <v>35</v>
      </c>
      <c r="U1214" s="493">
        <v>8</v>
      </c>
      <c r="V1214" s="502">
        <v>1</v>
      </c>
      <c r="W1214" s="453">
        <f t="shared" si="325"/>
        <v>2050</v>
      </c>
      <c r="X1214" s="748">
        <f t="shared" si="326"/>
        <v>0.42575285565939769</v>
      </c>
      <c r="Y1214" s="451" t="str">
        <f>IFERROR(VLOOKUP(E:E,'Item Data Support Sheet'!A:J,6,0),0)</f>
        <v>Silicon</v>
      </c>
      <c r="Z1214" s="428">
        <f>IFERROR(VLOOKUP(E:E,'Item Data Support Sheet'!A:O,4,0),0)</f>
        <v>6.8</v>
      </c>
      <c r="AA1214" s="428">
        <f t="shared" si="327"/>
        <v>21.415999999999997</v>
      </c>
      <c r="AB1214" s="429">
        <f t="shared" si="328"/>
        <v>0.65091520358610389</v>
      </c>
      <c r="AC1214" s="424">
        <f t="shared" si="329"/>
        <v>1.6786570743405275E-2</v>
      </c>
      <c r="AD1214" s="371">
        <f t="shared" si="330"/>
        <v>1.2575687005123428E-2</v>
      </c>
      <c r="AE1214" s="748">
        <f t="shared" si="331"/>
        <v>0.98349056603773588</v>
      </c>
      <c r="AF1214" s="417">
        <f t="shared" si="332"/>
        <v>5</v>
      </c>
      <c r="AG1214" s="416">
        <f t="shared" si="333"/>
        <v>3</v>
      </c>
      <c r="AH1214" s="372">
        <f t="shared" si="334"/>
        <v>0.375</v>
      </c>
      <c r="AI1214" s="373">
        <f t="shared" si="335"/>
        <v>256.25</v>
      </c>
      <c r="AJ1214" s="418">
        <f>VLOOKUP(D1214,'Standard Cycle time'!C:D,2,0)</f>
        <v>5.25</v>
      </c>
      <c r="AK1214" s="418">
        <f t="shared" si="336"/>
        <v>5.2682926829268295</v>
      </c>
      <c r="AL1214" s="374">
        <f t="shared" si="337"/>
        <v>0.99652777777777768</v>
      </c>
      <c r="AM1214" s="372">
        <f t="shared" si="338"/>
        <v>0.36752837558962259</v>
      </c>
      <c r="AN1214" s="799">
        <v>0.36752837558962259</v>
      </c>
      <c r="AO1214" s="448" t="s">
        <v>3997</v>
      </c>
      <c r="AP1214" s="440">
        <v>0</v>
      </c>
      <c r="AQ1214" s="440">
        <v>110</v>
      </c>
      <c r="AR1214" s="440">
        <v>0</v>
      </c>
      <c r="AS1214" s="440">
        <v>0</v>
      </c>
      <c r="AT1214" s="440">
        <v>0</v>
      </c>
      <c r="AU1214" s="440">
        <v>30</v>
      </c>
      <c r="AV1214" s="440">
        <v>0</v>
      </c>
      <c r="AW1214" s="440">
        <v>0</v>
      </c>
      <c r="AX1214" s="440">
        <v>0</v>
      </c>
      <c r="AY1214" s="440">
        <v>0</v>
      </c>
      <c r="AZ1214" s="440">
        <v>0</v>
      </c>
      <c r="BA1214" s="440">
        <v>0</v>
      </c>
      <c r="BB1214" s="440">
        <v>130</v>
      </c>
      <c r="BC1214" s="440">
        <v>0</v>
      </c>
      <c r="BD1214" s="440">
        <v>0</v>
      </c>
      <c r="BE1214" s="440">
        <v>0</v>
      </c>
      <c r="BF1214" s="440">
        <v>0</v>
      </c>
      <c r="BG1214" s="440">
        <v>0</v>
      </c>
      <c r="BH1214" s="440">
        <v>0</v>
      </c>
      <c r="BI1214" s="440">
        <v>0</v>
      </c>
      <c r="BJ1214" s="440">
        <v>0</v>
      </c>
      <c r="BK1214" s="440">
        <v>0</v>
      </c>
      <c r="BL1214" s="440">
        <v>0</v>
      </c>
      <c r="BM1214" s="440">
        <v>30</v>
      </c>
      <c r="BN1214" s="440">
        <v>0</v>
      </c>
      <c r="BO1214" s="440">
        <v>0</v>
      </c>
      <c r="BP1214" s="440">
        <v>0</v>
      </c>
      <c r="BQ1214" s="440">
        <v>0</v>
      </c>
      <c r="BR1214" s="415">
        <v>5</v>
      </c>
      <c r="BS1214" s="415">
        <v>5</v>
      </c>
      <c r="BT1214" s="935"/>
      <c r="BU1214" s="935"/>
      <c r="BV1214" s="935"/>
      <c r="BW1214" s="935"/>
      <c r="BX1214" s="935"/>
      <c r="BY1214" s="935"/>
      <c r="BZ1214" s="935"/>
      <c r="CA1214" s="935"/>
      <c r="CB1214" s="935"/>
      <c r="CC1214" s="935"/>
      <c r="CD1214" s="935"/>
      <c r="CE1214" s="935"/>
      <c r="CF1214" s="935"/>
      <c r="CG1214" s="935"/>
      <c r="CH1214" s="935"/>
      <c r="CI1214" s="935"/>
      <c r="CJ1214" s="935"/>
      <c r="CK1214" s="935"/>
      <c r="CL1214" s="935"/>
      <c r="CM1214" s="935"/>
      <c r="CN1214" s="935"/>
      <c r="CO1214" s="935"/>
      <c r="CP1214" s="935"/>
      <c r="CQ1214" s="935"/>
      <c r="CR1214" s="935"/>
      <c r="CS1214" s="935"/>
      <c r="CT1214" s="935"/>
      <c r="CU1214" s="935"/>
      <c r="CV1214" s="935"/>
    </row>
    <row r="1215" spans="1:100" s="441" customFormat="1">
      <c r="A1215" s="375">
        <f t="shared" si="324"/>
        <v>11</v>
      </c>
      <c r="B1215" s="862">
        <v>44513</v>
      </c>
      <c r="C1215" s="493" t="s">
        <v>1980</v>
      </c>
      <c r="D1215" s="376" t="str">
        <f>IFERROR(VLOOKUP(E:E,'Item Data Support Sheet'!A:O,7,0),"")</f>
        <v>BOTTLE PRINTED</v>
      </c>
      <c r="E1215" s="447" t="s">
        <v>64</v>
      </c>
      <c r="F1215" s="500"/>
      <c r="G1215" s="497"/>
      <c r="H1215" s="602" t="str">
        <f>IFERROR(VLOOKUP(E:E,'Item Data Support Sheet'!A:O,2,0),"")</f>
        <v>KPP 240 ML BOTTLE PRINTED</v>
      </c>
      <c r="I1215" s="501" t="s">
        <v>3998</v>
      </c>
      <c r="J1215" s="501" t="s">
        <v>3942</v>
      </c>
      <c r="K1215" s="499">
        <v>8</v>
      </c>
      <c r="L1215" s="499">
        <v>5120</v>
      </c>
      <c r="M1215" s="366">
        <v>640</v>
      </c>
      <c r="N1215" s="367">
        <f t="shared" si="323"/>
        <v>4143</v>
      </c>
      <c r="O1215" s="61">
        <v>4104</v>
      </c>
      <c r="P1215" s="368">
        <v>0</v>
      </c>
      <c r="Q1215" s="368">
        <v>0</v>
      </c>
      <c r="R1215" s="494">
        <v>48</v>
      </c>
      <c r="S1215" s="493">
        <v>0</v>
      </c>
      <c r="T1215" s="494">
        <v>39</v>
      </c>
      <c r="U1215" s="493">
        <v>0</v>
      </c>
      <c r="V1215" s="502">
        <v>4.5</v>
      </c>
      <c r="W1215" s="453">
        <f t="shared" si="325"/>
        <v>912</v>
      </c>
      <c r="X1215" s="748">
        <f t="shared" si="326"/>
        <v>0.80156249999999996</v>
      </c>
      <c r="Y1215" s="451" t="str">
        <f>IFERROR(VLOOKUP(E:E,'Item Data Support Sheet'!A:J,6,0),0)</f>
        <v>FO003</v>
      </c>
      <c r="Z1215" s="428">
        <f>IFERROR(VLOOKUP(E:E,'Item Data Support Sheet'!A:O,4,0),0)</f>
        <v>0</v>
      </c>
      <c r="AA1215" s="428">
        <f t="shared" si="327"/>
        <v>0</v>
      </c>
      <c r="AB1215" s="429" t="str">
        <f t="shared" si="328"/>
        <v xml:space="preserve"> </v>
      </c>
      <c r="AC1215" s="424">
        <f t="shared" si="329"/>
        <v>9.4134685010861703E-3</v>
      </c>
      <c r="AD1215" s="371">
        <f t="shared" si="330"/>
        <v>0</v>
      </c>
      <c r="AE1215" s="748">
        <f t="shared" si="331"/>
        <v>0.99058653149891385</v>
      </c>
      <c r="AF1215" s="417">
        <f t="shared" si="332"/>
        <v>0</v>
      </c>
      <c r="AG1215" s="416">
        <f t="shared" si="333"/>
        <v>8</v>
      </c>
      <c r="AH1215" s="372">
        <f t="shared" si="334"/>
        <v>1</v>
      </c>
      <c r="AI1215" s="373">
        <f t="shared" si="335"/>
        <v>513</v>
      </c>
      <c r="AJ1215" s="418">
        <f>VLOOKUP(D1215,'Standard Cycle time'!C:D,2,0)</f>
        <v>32.4</v>
      </c>
      <c r="AK1215" s="418">
        <f t="shared" si="336"/>
        <v>31.578947368421051</v>
      </c>
      <c r="AL1215" s="374">
        <f t="shared" si="337"/>
        <v>1.026</v>
      </c>
      <c r="AM1215" s="372">
        <f t="shared" si="338"/>
        <v>1.0163417813178857</v>
      </c>
      <c r="AN1215" s="799">
        <v>1.0163417813178857</v>
      </c>
      <c r="AO1215" s="448" t="s">
        <v>3583</v>
      </c>
      <c r="AP1215" s="440">
        <v>0</v>
      </c>
      <c r="AQ1215" s="440">
        <v>0</v>
      </c>
      <c r="AR1215" s="440">
        <v>0</v>
      </c>
      <c r="AS1215" s="440">
        <v>0</v>
      </c>
      <c r="AT1215" s="440">
        <v>0</v>
      </c>
      <c r="AU1215" s="440">
        <v>0</v>
      </c>
      <c r="AV1215" s="440">
        <v>0</v>
      </c>
      <c r="AW1215" s="440">
        <v>0</v>
      </c>
      <c r="AX1215" s="440">
        <v>0</v>
      </c>
      <c r="AY1215" s="440">
        <v>0</v>
      </c>
      <c r="AZ1215" s="440">
        <v>0</v>
      </c>
      <c r="BA1215" s="440">
        <v>0</v>
      </c>
      <c r="BB1215" s="440">
        <v>0</v>
      </c>
      <c r="BC1215" s="440">
        <v>0</v>
      </c>
      <c r="BD1215" s="440">
        <v>0</v>
      </c>
      <c r="BE1215" s="440">
        <v>0</v>
      </c>
      <c r="BF1215" s="440">
        <v>0</v>
      </c>
      <c r="BG1215" s="440">
        <v>0</v>
      </c>
      <c r="BH1215" s="440">
        <v>0</v>
      </c>
      <c r="BI1215" s="440">
        <v>0</v>
      </c>
      <c r="BJ1215" s="440">
        <v>0</v>
      </c>
      <c r="BK1215" s="440">
        <v>0</v>
      </c>
      <c r="BL1215" s="440">
        <v>0</v>
      </c>
      <c r="BM1215" s="440">
        <v>0</v>
      </c>
      <c r="BN1215" s="440">
        <v>0</v>
      </c>
      <c r="BO1215" s="440">
        <v>0</v>
      </c>
      <c r="BP1215" s="440">
        <v>0</v>
      </c>
      <c r="BQ1215" s="440">
        <v>0</v>
      </c>
      <c r="BR1215" s="415">
        <v>0</v>
      </c>
      <c r="BS1215" s="415">
        <v>0</v>
      </c>
      <c r="BT1215" s="935"/>
      <c r="BU1215" s="935"/>
      <c r="BV1215" s="935"/>
      <c r="BW1215" s="935"/>
      <c r="BX1215" s="935"/>
      <c r="BY1215" s="935"/>
      <c r="BZ1215" s="935"/>
      <c r="CA1215" s="935"/>
      <c r="CB1215" s="935"/>
      <c r="CC1215" s="935"/>
      <c r="CD1215" s="935"/>
      <c r="CE1215" s="935"/>
      <c r="CF1215" s="935"/>
      <c r="CG1215" s="935"/>
      <c r="CH1215" s="935"/>
      <c r="CI1215" s="935"/>
      <c r="CJ1215" s="935"/>
      <c r="CK1215" s="935"/>
      <c r="CL1215" s="935"/>
      <c r="CM1215" s="935"/>
      <c r="CN1215" s="935"/>
      <c r="CO1215" s="935"/>
      <c r="CP1215" s="935"/>
      <c r="CQ1215" s="935"/>
      <c r="CR1215" s="935"/>
      <c r="CS1215" s="935"/>
      <c r="CT1215" s="935"/>
      <c r="CU1215" s="935"/>
      <c r="CV1215" s="935"/>
    </row>
    <row r="1216" spans="1:100" s="441" customFormat="1">
      <c r="A1216" s="375">
        <f t="shared" si="324"/>
        <v>11</v>
      </c>
      <c r="B1216" s="862">
        <v>44513</v>
      </c>
      <c r="C1216" s="493" t="s">
        <v>2000</v>
      </c>
      <c r="D1216" s="376" t="str">
        <f>IFERROR(VLOOKUP(E:E,'Item Data Support Sheet'!A:O,7,0),"")</f>
        <v>NIPPLE PUNCH INSPECTED</v>
      </c>
      <c r="E1216" s="447" t="s">
        <v>1821</v>
      </c>
      <c r="F1216" s="500"/>
      <c r="G1216" s="497"/>
      <c r="H1216" s="602" t="str">
        <f>IFERROR(VLOOKUP(E:E,'Item Data Support Sheet'!A:O,2,0),"")</f>
        <v>NIPPLE S TYPE Y SIZE PUNCHED INSPECTED</v>
      </c>
      <c r="I1216" s="501" t="s">
        <v>3995</v>
      </c>
      <c r="J1216" s="501" t="s">
        <v>2811</v>
      </c>
      <c r="K1216" s="499">
        <v>8</v>
      </c>
      <c r="L1216" s="499">
        <v>14000</v>
      </c>
      <c r="M1216" s="366">
        <v>1750</v>
      </c>
      <c r="N1216" s="367">
        <f t="shared" si="323"/>
        <v>12200</v>
      </c>
      <c r="O1216" s="61">
        <v>12081</v>
      </c>
      <c r="P1216" s="368">
        <v>0</v>
      </c>
      <c r="Q1216" s="368">
        <v>0</v>
      </c>
      <c r="R1216" s="494">
        <v>0</v>
      </c>
      <c r="S1216" s="493">
        <v>0</v>
      </c>
      <c r="T1216" s="494">
        <v>119</v>
      </c>
      <c r="U1216" s="493">
        <v>0</v>
      </c>
      <c r="V1216" s="502">
        <v>2</v>
      </c>
      <c r="W1216" s="453">
        <f t="shared" si="325"/>
        <v>6040.5</v>
      </c>
      <c r="X1216" s="748">
        <f t="shared" si="326"/>
        <v>0.86292857142857138</v>
      </c>
      <c r="Y1216" s="451" t="str">
        <f>IFERROR(VLOOKUP(E:E,'Item Data Support Sheet'!A:J,6,0),0)</f>
        <v>FO107</v>
      </c>
      <c r="Z1216" s="428">
        <f>IFERROR(VLOOKUP(E:E,'Item Data Support Sheet'!A:O,4,0),0)</f>
        <v>0</v>
      </c>
      <c r="AA1216" s="428">
        <f t="shared" si="327"/>
        <v>0</v>
      </c>
      <c r="AB1216" s="429" t="str">
        <f t="shared" si="328"/>
        <v xml:space="preserve"> </v>
      </c>
      <c r="AC1216" s="424">
        <f t="shared" si="329"/>
        <v>9.7540983606557372E-3</v>
      </c>
      <c r="AD1216" s="371">
        <f t="shared" si="330"/>
        <v>0</v>
      </c>
      <c r="AE1216" s="748">
        <f t="shared" si="331"/>
        <v>0.99024590163934423</v>
      </c>
      <c r="AF1216" s="417">
        <f t="shared" si="332"/>
        <v>0.83333333333333337</v>
      </c>
      <c r="AG1216" s="416">
        <f t="shared" si="333"/>
        <v>7.166666666666667</v>
      </c>
      <c r="AH1216" s="372">
        <f t="shared" si="334"/>
        <v>0.89583333333333337</v>
      </c>
      <c r="AI1216" s="373">
        <f t="shared" si="335"/>
        <v>1510.125</v>
      </c>
      <c r="AJ1216" s="418">
        <f>VLOOKUP(D1216,'Standard Cycle time'!C:D,2,0)</f>
        <v>4</v>
      </c>
      <c r="AK1216" s="418">
        <f t="shared" si="336"/>
        <v>4.2711696051651353</v>
      </c>
      <c r="AL1216" s="374">
        <f t="shared" si="337"/>
        <v>0.93651162790697673</v>
      </c>
      <c r="AM1216" s="372">
        <f t="shared" si="338"/>
        <v>0.83077505122950823</v>
      </c>
      <c r="AN1216" s="799">
        <v>0.83077505122950823</v>
      </c>
      <c r="AO1216" s="448"/>
      <c r="AP1216" s="440">
        <v>50</v>
      </c>
      <c r="AQ1216" s="440">
        <v>0</v>
      </c>
      <c r="AR1216" s="440">
        <v>0</v>
      </c>
      <c r="AS1216" s="440">
        <v>0</v>
      </c>
      <c r="AT1216" s="440">
        <v>0</v>
      </c>
      <c r="AU1216" s="440">
        <v>0</v>
      </c>
      <c r="AV1216" s="440">
        <v>0</v>
      </c>
      <c r="AW1216" s="440">
        <v>0</v>
      </c>
      <c r="AX1216" s="440">
        <v>0</v>
      </c>
      <c r="AY1216" s="440">
        <v>0</v>
      </c>
      <c r="AZ1216" s="440">
        <v>0</v>
      </c>
      <c r="BA1216" s="440">
        <v>0</v>
      </c>
      <c r="BB1216" s="440">
        <v>0</v>
      </c>
      <c r="BC1216" s="440">
        <v>0</v>
      </c>
      <c r="BD1216" s="440">
        <v>0</v>
      </c>
      <c r="BE1216" s="440">
        <v>0</v>
      </c>
      <c r="BF1216" s="440">
        <v>0</v>
      </c>
      <c r="BG1216" s="440">
        <v>0</v>
      </c>
      <c r="BH1216" s="440">
        <v>0</v>
      </c>
      <c r="BI1216" s="440">
        <v>0</v>
      </c>
      <c r="BJ1216" s="440">
        <v>0</v>
      </c>
      <c r="BK1216" s="440">
        <v>0</v>
      </c>
      <c r="BL1216" s="440">
        <v>0</v>
      </c>
      <c r="BM1216" s="440">
        <v>0</v>
      </c>
      <c r="BN1216" s="440">
        <v>0</v>
      </c>
      <c r="BO1216" s="440">
        <v>0</v>
      </c>
      <c r="BP1216" s="440">
        <v>0</v>
      </c>
      <c r="BQ1216" s="440">
        <v>0</v>
      </c>
      <c r="BR1216" s="415">
        <v>0.83333333333333337</v>
      </c>
      <c r="BS1216" s="415">
        <v>0.83333333333333337</v>
      </c>
      <c r="BT1216" s="935"/>
      <c r="BU1216" s="935"/>
      <c r="BV1216" s="935"/>
      <c r="BW1216" s="935"/>
      <c r="BX1216" s="935"/>
      <c r="BY1216" s="935"/>
      <c r="BZ1216" s="935"/>
      <c r="CA1216" s="935"/>
      <c r="CB1216" s="935"/>
      <c r="CC1216" s="935"/>
      <c r="CD1216" s="935"/>
      <c r="CE1216" s="935"/>
      <c r="CF1216" s="935"/>
      <c r="CG1216" s="935"/>
      <c r="CH1216" s="935"/>
      <c r="CI1216" s="935"/>
      <c r="CJ1216" s="935"/>
      <c r="CK1216" s="935"/>
      <c r="CL1216" s="935"/>
      <c r="CM1216" s="935"/>
      <c r="CN1216" s="935"/>
      <c r="CO1216" s="935"/>
      <c r="CP1216" s="935"/>
      <c r="CQ1216" s="935"/>
      <c r="CR1216" s="935"/>
      <c r="CS1216" s="935"/>
      <c r="CT1216" s="935"/>
      <c r="CU1216" s="935"/>
      <c r="CV1216" s="935"/>
    </row>
    <row r="1217" spans="1:100" s="441" customFormat="1">
      <c r="A1217" s="375">
        <f t="shared" si="324"/>
        <v>11</v>
      </c>
      <c r="B1217" s="862">
        <v>44513</v>
      </c>
      <c r="C1217" s="493" t="s">
        <v>2000</v>
      </c>
      <c r="D1217" s="376" t="str">
        <f>IFERROR(VLOOKUP(E:E,'Item Data Support Sheet'!A:O,7,0),"")</f>
        <v>NIPPLE WRAP PRINTED</v>
      </c>
      <c r="E1217" s="447" t="s">
        <v>111</v>
      </c>
      <c r="F1217" s="500"/>
      <c r="G1217" s="497" t="s">
        <v>1693</v>
      </c>
      <c r="H1217" s="602" t="str">
        <f>IFERROR(VLOOKUP(E:E,'Item Data Support Sheet'!A:O,2,0),"")</f>
        <v>NIPPLE S TYPE Y SIZE WITH PRINTED WRAP</v>
      </c>
      <c r="I1217" s="501" t="s">
        <v>3995</v>
      </c>
      <c r="J1217" s="501" t="s">
        <v>2811</v>
      </c>
      <c r="K1217" s="499">
        <v>8</v>
      </c>
      <c r="L1217" s="499">
        <v>16171</v>
      </c>
      <c r="M1217" s="366">
        <v>2021.375</v>
      </c>
      <c r="N1217" s="367">
        <f t="shared" si="323"/>
        <v>18036</v>
      </c>
      <c r="O1217" s="61">
        <v>18026</v>
      </c>
      <c r="P1217" s="368">
        <v>0</v>
      </c>
      <c r="Q1217" s="368">
        <v>0</v>
      </c>
      <c r="R1217" s="494">
        <v>0</v>
      </c>
      <c r="S1217" s="493">
        <v>0</v>
      </c>
      <c r="T1217" s="494">
        <v>10</v>
      </c>
      <c r="U1217" s="493">
        <v>0</v>
      </c>
      <c r="V1217" s="502">
        <v>2</v>
      </c>
      <c r="W1217" s="453">
        <f t="shared" si="325"/>
        <v>9013</v>
      </c>
      <c r="X1217" s="748">
        <f t="shared" si="326"/>
        <v>1.114711520623338</v>
      </c>
      <c r="Y1217" s="451" t="str">
        <f>IFERROR(VLOOKUP(E:E,'Item Data Support Sheet'!A:J,6,0),0)</f>
        <v>FO022</v>
      </c>
      <c r="Z1217" s="428">
        <f>IFERROR(VLOOKUP(E:E,'Item Data Support Sheet'!A:O,4,0),0)</f>
        <v>0</v>
      </c>
      <c r="AA1217" s="428">
        <f t="shared" si="327"/>
        <v>0</v>
      </c>
      <c r="AB1217" s="429" t="str">
        <f t="shared" si="328"/>
        <v xml:space="preserve"> </v>
      </c>
      <c r="AC1217" s="424">
        <f t="shared" si="329"/>
        <v>5.5444666223109342E-4</v>
      </c>
      <c r="AD1217" s="371">
        <f t="shared" si="330"/>
        <v>0</v>
      </c>
      <c r="AE1217" s="748">
        <f t="shared" si="331"/>
        <v>0.99944555333776885</v>
      </c>
      <c r="AF1217" s="417">
        <f t="shared" si="332"/>
        <v>0.83333333333333337</v>
      </c>
      <c r="AG1217" s="416">
        <f t="shared" si="333"/>
        <v>7.166666666666667</v>
      </c>
      <c r="AH1217" s="372">
        <f t="shared" si="334"/>
        <v>0.89583333333333337</v>
      </c>
      <c r="AI1217" s="373">
        <f t="shared" si="335"/>
        <v>2253.25</v>
      </c>
      <c r="AJ1217" s="418">
        <f>VLOOKUP(D1217,'Standard Cycle time'!C:D,2,0)</f>
        <v>2.5</v>
      </c>
      <c r="AK1217" s="418">
        <f t="shared" si="336"/>
        <v>2.8625318983690224</v>
      </c>
      <c r="AL1217" s="374">
        <f t="shared" si="337"/>
        <v>0.87335271317829455</v>
      </c>
      <c r="AM1217" s="372">
        <f t="shared" si="338"/>
        <v>0.78194468508969706</v>
      </c>
      <c r="AN1217" s="799">
        <v>0.78194468508969706</v>
      </c>
      <c r="AO1217" s="448"/>
      <c r="AP1217" s="440">
        <v>50</v>
      </c>
      <c r="AQ1217" s="440">
        <v>0</v>
      </c>
      <c r="AR1217" s="440">
        <v>0</v>
      </c>
      <c r="AS1217" s="440">
        <v>0</v>
      </c>
      <c r="AT1217" s="440">
        <v>0</v>
      </c>
      <c r="AU1217" s="440">
        <v>0</v>
      </c>
      <c r="AV1217" s="440">
        <v>0</v>
      </c>
      <c r="AW1217" s="440">
        <v>0</v>
      </c>
      <c r="AX1217" s="440">
        <v>0</v>
      </c>
      <c r="AY1217" s="440">
        <v>0</v>
      </c>
      <c r="AZ1217" s="440">
        <v>0</v>
      </c>
      <c r="BA1217" s="440">
        <v>0</v>
      </c>
      <c r="BB1217" s="440">
        <v>0</v>
      </c>
      <c r="BC1217" s="440">
        <v>0</v>
      </c>
      <c r="BD1217" s="440">
        <v>0</v>
      </c>
      <c r="BE1217" s="440">
        <v>0</v>
      </c>
      <c r="BF1217" s="440">
        <v>0</v>
      </c>
      <c r="BG1217" s="440">
        <v>0</v>
      </c>
      <c r="BH1217" s="440">
        <v>0</v>
      </c>
      <c r="BI1217" s="440">
        <v>0</v>
      </c>
      <c r="BJ1217" s="440">
        <v>0</v>
      </c>
      <c r="BK1217" s="440">
        <v>0</v>
      </c>
      <c r="BL1217" s="440">
        <v>0</v>
      </c>
      <c r="BM1217" s="440">
        <v>0</v>
      </c>
      <c r="BN1217" s="440">
        <v>0</v>
      </c>
      <c r="BO1217" s="440">
        <v>0</v>
      </c>
      <c r="BP1217" s="440">
        <v>0</v>
      </c>
      <c r="BQ1217" s="440">
        <v>0</v>
      </c>
      <c r="BR1217" s="415">
        <v>0.83333333333333337</v>
      </c>
      <c r="BS1217" s="415">
        <v>0.83333333333333337</v>
      </c>
      <c r="BT1217" s="935"/>
      <c r="BU1217" s="935"/>
      <c r="BV1217" s="935"/>
      <c r="BW1217" s="935"/>
      <c r="BX1217" s="935"/>
      <c r="BY1217" s="935"/>
      <c r="BZ1217" s="935"/>
      <c r="CA1217" s="935"/>
      <c r="CB1217" s="935"/>
      <c r="CC1217" s="935"/>
      <c r="CD1217" s="935"/>
      <c r="CE1217" s="935"/>
      <c r="CF1217" s="935"/>
      <c r="CG1217" s="935"/>
      <c r="CH1217" s="935"/>
      <c r="CI1217" s="935"/>
      <c r="CJ1217" s="935"/>
      <c r="CK1217" s="935"/>
      <c r="CL1217" s="935"/>
      <c r="CM1217" s="935"/>
      <c r="CN1217" s="935"/>
      <c r="CO1217" s="935"/>
      <c r="CP1217" s="935"/>
      <c r="CQ1217" s="935"/>
      <c r="CR1217" s="935"/>
      <c r="CS1217" s="935"/>
      <c r="CT1217" s="935"/>
      <c r="CU1217" s="935"/>
      <c r="CV1217" s="935"/>
    </row>
    <row r="1218" spans="1:100" s="441" customFormat="1">
      <c r="A1218" s="375">
        <f t="shared" si="324"/>
        <v>11</v>
      </c>
      <c r="B1218" s="862">
        <v>44513</v>
      </c>
      <c r="C1218" s="493" t="s">
        <v>2000</v>
      </c>
      <c r="D1218" s="376" t="str">
        <f>IFERROR(VLOOKUP(E:E,'Item Data Support Sheet'!A:O,7,0),"")</f>
        <v>BOTTLE MOLDED</v>
      </c>
      <c r="E1218" s="447" t="s">
        <v>1889</v>
      </c>
      <c r="F1218" s="500"/>
      <c r="G1218" s="497" t="s">
        <v>1665</v>
      </c>
      <c r="H1218" s="602" t="str">
        <f>IFERROR(VLOOKUP(E:E,'Item Data Support Sheet'!A:O,2,0),"")</f>
        <v>50 ML JUICE BOTTLE MOLDED</v>
      </c>
      <c r="I1218" s="501" t="s">
        <v>3999</v>
      </c>
      <c r="J1218" s="501" t="s">
        <v>2811</v>
      </c>
      <c r="K1218" s="499">
        <v>7</v>
      </c>
      <c r="L1218" s="499">
        <v>2252</v>
      </c>
      <c r="M1218" s="366">
        <v>321.71428571428572</v>
      </c>
      <c r="N1218" s="367">
        <f t="shared" si="323"/>
        <v>2537</v>
      </c>
      <c r="O1218" s="61">
        <v>2455</v>
      </c>
      <c r="P1218" s="368">
        <v>0.15</v>
      </c>
      <c r="Q1218" s="368">
        <v>30</v>
      </c>
      <c r="R1218" s="494">
        <v>0</v>
      </c>
      <c r="S1218" s="493">
        <v>0</v>
      </c>
      <c r="T1218" s="494">
        <v>52</v>
      </c>
      <c r="U1218" s="493">
        <v>0</v>
      </c>
      <c r="V1218" s="502">
        <v>1</v>
      </c>
      <c r="W1218" s="453">
        <f t="shared" si="325"/>
        <v>2455</v>
      </c>
      <c r="X1218" s="748">
        <f t="shared" si="326"/>
        <v>1.0901420959147425</v>
      </c>
      <c r="Y1218" s="451" t="str">
        <f>IFERROR(VLOOKUP(E:E,'Item Data Support Sheet'!A:J,6,0),0)</f>
        <v>HMC</v>
      </c>
      <c r="Z1218" s="428">
        <f>IFERROR(VLOOKUP(E:E,'Item Data Support Sheet'!A:O,4,0),0)</f>
        <v>17.015000000000001</v>
      </c>
      <c r="AA1218" s="428">
        <f t="shared" si="327"/>
        <v>43.317054999999996</v>
      </c>
      <c r="AB1218" s="429">
        <f t="shared" si="328"/>
        <v>0.96432744562159189</v>
      </c>
      <c r="AC1218" s="424">
        <f t="shared" si="329"/>
        <v>2.0741922616673316E-2</v>
      </c>
      <c r="AD1218" s="371">
        <f t="shared" si="330"/>
        <v>1.168679392286716E-2</v>
      </c>
      <c r="AE1218" s="748">
        <f t="shared" si="331"/>
        <v>0.97950335041387471</v>
      </c>
      <c r="AF1218" s="417">
        <f t="shared" si="332"/>
        <v>0</v>
      </c>
      <c r="AG1218" s="416">
        <f t="shared" si="333"/>
        <v>7</v>
      </c>
      <c r="AH1218" s="372">
        <f t="shared" si="334"/>
        <v>1</v>
      </c>
      <c r="AI1218" s="373">
        <f t="shared" si="335"/>
        <v>350.71428571428572</v>
      </c>
      <c r="AJ1218" s="418">
        <f>VLOOKUP(D1218,'Standard Cycle time'!C:D,2,0)</f>
        <v>9</v>
      </c>
      <c r="AK1218" s="418">
        <f t="shared" si="336"/>
        <v>10.264765784114052</v>
      </c>
      <c r="AL1218" s="374">
        <f t="shared" si="337"/>
        <v>0.87678571428571428</v>
      </c>
      <c r="AM1218" s="372">
        <f t="shared" si="338"/>
        <v>0.85881454473787944</v>
      </c>
      <c r="AN1218" s="799">
        <v>0.85881454473787944</v>
      </c>
      <c r="AO1218" s="448"/>
      <c r="AP1218" s="440">
        <v>0</v>
      </c>
      <c r="AQ1218" s="440">
        <v>0</v>
      </c>
      <c r="AR1218" s="440">
        <v>0</v>
      </c>
      <c r="AS1218" s="440">
        <v>0</v>
      </c>
      <c r="AT1218" s="440">
        <v>0</v>
      </c>
      <c r="AU1218" s="440">
        <v>0</v>
      </c>
      <c r="AV1218" s="440">
        <v>0</v>
      </c>
      <c r="AW1218" s="440">
        <v>0</v>
      </c>
      <c r="AX1218" s="440">
        <v>0</v>
      </c>
      <c r="AY1218" s="440">
        <v>0</v>
      </c>
      <c r="AZ1218" s="440">
        <v>0</v>
      </c>
      <c r="BA1218" s="440">
        <v>0</v>
      </c>
      <c r="BB1218" s="440">
        <v>0</v>
      </c>
      <c r="BC1218" s="440">
        <v>0</v>
      </c>
      <c r="BD1218" s="440">
        <v>0</v>
      </c>
      <c r="BE1218" s="440">
        <v>0</v>
      </c>
      <c r="BF1218" s="440">
        <v>0</v>
      </c>
      <c r="BG1218" s="440">
        <v>0</v>
      </c>
      <c r="BH1218" s="440">
        <v>0</v>
      </c>
      <c r="BI1218" s="440">
        <v>0</v>
      </c>
      <c r="BJ1218" s="440">
        <v>0</v>
      </c>
      <c r="BK1218" s="440">
        <v>0</v>
      </c>
      <c r="BL1218" s="440">
        <v>0</v>
      </c>
      <c r="BM1218" s="440">
        <v>0</v>
      </c>
      <c r="BN1218" s="440">
        <v>0</v>
      </c>
      <c r="BO1218" s="440">
        <v>0</v>
      </c>
      <c r="BP1218" s="440">
        <v>0</v>
      </c>
      <c r="BQ1218" s="440">
        <v>0</v>
      </c>
      <c r="BR1218" s="415">
        <v>0</v>
      </c>
      <c r="BS1218" s="415">
        <v>0</v>
      </c>
      <c r="BT1218" s="935"/>
      <c r="BU1218" s="935"/>
      <c r="BV1218" s="935"/>
      <c r="BW1218" s="935"/>
      <c r="BX1218" s="935"/>
      <c r="BY1218" s="935"/>
      <c r="BZ1218" s="935"/>
      <c r="CA1218" s="935"/>
      <c r="CB1218" s="935"/>
      <c r="CC1218" s="935"/>
      <c r="CD1218" s="935"/>
      <c r="CE1218" s="935"/>
      <c r="CF1218" s="935"/>
      <c r="CG1218" s="935"/>
      <c r="CH1218" s="935"/>
      <c r="CI1218" s="935"/>
      <c r="CJ1218" s="935"/>
      <c r="CK1218" s="935"/>
      <c r="CL1218" s="935"/>
      <c r="CM1218" s="935"/>
      <c r="CN1218" s="935"/>
      <c r="CO1218" s="935"/>
      <c r="CP1218" s="935"/>
      <c r="CQ1218" s="935"/>
      <c r="CR1218" s="935"/>
      <c r="CS1218" s="935"/>
      <c r="CT1218" s="935"/>
      <c r="CU1218" s="935"/>
      <c r="CV1218" s="935"/>
    </row>
    <row r="1219" spans="1:100" s="441" customFormat="1">
      <c r="A1219" s="375">
        <f t="shared" si="324"/>
        <v>11</v>
      </c>
      <c r="B1219" s="862">
        <v>44513</v>
      </c>
      <c r="C1219" s="493" t="s">
        <v>2001</v>
      </c>
      <c r="D1219" s="376" t="str">
        <f>IFERROR(VLOOKUP(E:E,'Item Data Support Sheet'!A:O,7,0),"")</f>
        <v>NIPPLE PUNCH</v>
      </c>
      <c r="E1219" s="447" t="s">
        <v>83</v>
      </c>
      <c r="F1219" s="500"/>
      <c r="G1219" s="497" t="s">
        <v>1692</v>
      </c>
      <c r="H1219" s="602" t="str">
        <f>IFERROR(VLOOKUP(E:E,'Item Data Support Sheet'!A:O,2,0),"")</f>
        <v>NIPPLE S TYPE Y SIZE PUNCHED</v>
      </c>
      <c r="I1219" s="501" t="s">
        <v>4000</v>
      </c>
      <c r="J1219" s="501" t="s">
        <v>2811</v>
      </c>
      <c r="K1219" s="499">
        <v>4</v>
      </c>
      <c r="L1219" s="499">
        <v>3500</v>
      </c>
      <c r="M1219" s="366">
        <v>875</v>
      </c>
      <c r="N1219" s="367">
        <f t="shared" si="323"/>
        <v>3050</v>
      </c>
      <c r="O1219" s="61">
        <v>3050</v>
      </c>
      <c r="P1219" s="368">
        <v>0</v>
      </c>
      <c r="Q1219" s="368">
        <v>0</v>
      </c>
      <c r="R1219" s="494">
        <v>0</v>
      </c>
      <c r="S1219" s="493">
        <v>0</v>
      </c>
      <c r="T1219" s="494">
        <v>0</v>
      </c>
      <c r="U1219" s="493">
        <v>0</v>
      </c>
      <c r="V1219" s="502">
        <v>1</v>
      </c>
      <c r="W1219" s="453">
        <f t="shared" si="325"/>
        <v>3050</v>
      </c>
      <c r="X1219" s="748">
        <f t="shared" si="326"/>
        <v>0.87142857142857144</v>
      </c>
      <c r="Y1219" s="451" t="str">
        <f>IFERROR(VLOOKUP(E:E,'Item Data Support Sheet'!A:J,6,0),0)</f>
        <v>FO018</v>
      </c>
      <c r="Z1219" s="428">
        <f>IFERROR(VLOOKUP(E:E,'Item Data Support Sheet'!A:O,4,0),0)</f>
        <v>0</v>
      </c>
      <c r="AA1219" s="428">
        <f t="shared" si="327"/>
        <v>0</v>
      </c>
      <c r="AB1219" s="429" t="str">
        <f t="shared" si="328"/>
        <v xml:space="preserve"> </v>
      </c>
      <c r="AC1219" s="424">
        <f t="shared" si="329"/>
        <v>0</v>
      </c>
      <c r="AD1219" s="371">
        <f t="shared" si="330"/>
        <v>0</v>
      </c>
      <c r="AE1219" s="748">
        <f t="shared" si="331"/>
        <v>1</v>
      </c>
      <c r="AF1219" s="417">
        <f t="shared" si="332"/>
        <v>0.66666666666666663</v>
      </c>
      <c r="AG1219" s="416">
        <f t="shared" si="333"/>
        <v>3.3333333333333335</v>
      </c>
      <c r="AH1219" s="372">
        <f t="shared" si="334"/>
        <v>0.83333333333333337</v>
      </c>
      <c r="AI1219" s="373">
        <f t="shared" si="335"/>
        <v>762.5</v>
      </c>
      <c r="AJ1219" s="418">
        <f>VLOOKUP(D1219,'Standard Cycle time'!C:D,2,0)</f>
        <v>3.5</v>
      </c>
      <c r="AK1219" s="418">
        <f t="shared" si="336"/>
        <v>3.9344262295081966</v>
      </c>
      <c r="AL1219" s="374">
        <f t="shared" si="337"/>
        <v>0.88958333333333339</v>
      </c>
      <c r="AM1219" s="372">
        <f t="shared" si="338"/>
        <v>0.74131944444444453</v>
      </c>
      <c r="AN1219" s="799">
        <v>0.74131944444444453</v>
      </c>
      <c r="AO1219" s="448"/>
      <c r="AP1219" s="440">
        <v>40</v>
      </c>
      <c r="AQ1219" s="440">
        <v>0</v>
      </c>
      <c r="AR1219" s="440">
        <v>0</v>
      </c>
      <c r="AS1219" s="440">
        <v>0</v>
      </c>
      <c r="AT1219" s="440">
        <v>0</v>
      </c>
      <c r="AU1219" s="440">
        <v>0</v>
      </c>
      <c r="AV1219" s="440">
        <v>0</v>
      </c>
      <c r="AW1219" s="440">
        <v>0</v>
      </c>
      <c r="AX1219" s="440">
        <v>0</v>
      </c>
      <c r="AY1219" s="440">
        <v>0</v>
      </c>
      <c r="AZ1219" s="440">
        <v>0</v>
      </c>
      <c r="BA1219" s="440">
        <v>0</v>
      </c>
      <c r="BB1219" s="440">
        <v>0</v>
      </c>
      <c r="BC1219" s="440">
        <v>0</v>
      </c>
      <c r="BD1219" s="440">
        <v>0</v>
      </c>
      <c r="BE1219" s="440">
        <v>0</v>
      </c>
      <c r="BF1219" s="440">
        <v>0</v>
      </c>
      <c r="BG1219" s="440">
        <v>0</v>
      </c>
      <c r="BH1219" s="440">
        <v>0</v>
      </c>
      <c r="BI1219" s="440">
        <v>0</v>
      </c>
      <c r="BJ1219" s="440">
        <v>0</v>
      </c>
      <c r="BK1219" s="440">
        <v>0</v>
      </c>
      <c r="BL1219" s="440">
        <v>0</v>
      </c>
      <c r="BM1219" s="440">
        <v>0</v>
      </c>
      <c r="BN1219" s="440">
        <v>0</v>
      </c>
      <c r="BO1219" s="440">
        <v>0</v>
      </c>
      <c r="BP1219" s="440">
        <v>0</v>
      </c>
      <c r="BQ1219" s="440">
        <v>0</v>
      </c>
      <c r="BR1219" s="415">
        <v>0.66666666666666663</v>
      </c>
      <c r="BS1219" s="415">
        <v>0.66666666666666663</v>
      </c>
      <c r="BT1219" s="935"/>
      <c r="BU1219" s="935"/>
      <c r="BV1219" s="935"/>
      <c r="BW1219" s="935"/>
      <c r="BX1219" s="935"/>
      <c r="BY1219" s="935"/>
      <c r="BZ1219" s="935"/>
      <c r="CA1219" s="935"/>
      <c r="CB1219" s="935"/>
      <c r="CC1219" s="935"/>
      <c r="CD1219" s="935"/>
      <c r="CE1219" s="935"/>
      <c r="CF1219" s="935"/>
      <c r="CG1219" s="935"/>
      <c r="CH1219" s="935"/>
      <c r="CI1219" s="935"/>
      <c r="CJ1219" s="935"/>
      <c r="CK1219" s="935"/>
      <c r="CL1219" s="935"/>
      <c r="CM1219" s="935"/>
      <c r="CN1219" s="935"/>
      <c r="CO1219" s="935"/>
      <c r="CP1219" s="935"/>
      <c r="CQ1219" s="935"/>
      <c r="CR1219" s="935"/>
      <c r="CS1219" s="935"/>
      <c r="CT1219" s="935"/>
      <c r="CU1219" s="935"/>
      <c r="CV1219" s="935"/>
    </row>
    <row r="1220" spans="1:100" s="441" customFormat="1">
      <c r="A1220" s="375">
        <f t="shared" si="324"/>
        <v>11</v>
      </c>
      <c r="B1220" s="862">
        <v>44513</v>
      </c>
      <c r="C1220" s="493" t="s">
        <v>2001</v>
      </c>
      <c r="D1220" s="376" t="str">
        <f>IFERROR(VLOOKUP(E:E,'Item Data Support Sheet'!A:O,7,0),"")</f>
        <v>NIPPLE LASER MARKING</v>
      </c>
      <c r="E1220" s="447" t="s">
        <v>1817</v>
      </c>
      <c r="F1220" s="500"/>
      <c r="G1220" s="497" t="s">
        <v>1812</v>
      </c>
      <c r="H1220" s="602" t="str">
        <f>IFERROR(VLOOKUP(E:E,'Item Data Support Sheet'!A:O,2,0),"")</f>
        <v>NIPPLE S TYPE Y SIZE PUNCHED LASER MARKED</v>
      </c>
      <c r="I1220" s="501" t="s">
        <v>3995</v>
      </c>
      <c r="J1220" s="501" t="s">
        <v>2811</v>
      </c>
      <c r="K1220" s="499">
        <v>5</v>
      </c>
      <c r="L1220" s="499">
        <v>4375</v>
      </c>
      <c r="M1220" s="366">
        <v>875</v>
      </c>
      <c r="N1220" s="367">
        <f t="shared" ref="N1220:N1283" si="339">+O1220+Q1220+T1220+U1220</f>
        <v>4050</v>
      </c>
      <c r="O1220" s="61">
        <v>4050</v>
      </c>
      <c r="P1220" s="368">
        <v>0</v>
      </c>
      <c r="Q1220" s="368">
        <v>0</v>
      </c>
      <c r="R1220" s="494">
        <v>0</v>
      </c>
      <c r="S1220" s="493">
        <v>0</v>
      </c>
      <c r="T1220" s="494">
        <v>0</v>
      </c>
      <c r="U1220" s="493">
        <v>0</v>
      </c>
      <c r="V1220" s="502">
        <v>1</v>
      </c>
      <c r="W1220" s="453">
        <f t="shared" si="325"/>
        <v>4050</v>
      </c>
      <c r="X1220" s="748">
        <f t="shared" si="326"/>
        <v>0.92571428571428571</v>
      </c>
      <c r="Y1220" s="451" t="str">
        <f>IFERROR(VLOOKUP(E:E,'Item Data Support Sheet'!A:J,6,0),0)</f>
        <v>FO022</v>
      </c>
      <c r="Z1220" s="428">
        <f>IFERROR(VLOOKUP(E:E,'Item Data Support Sheet'!A:O,4,0),0)</f>
        <v>0</v>
      </c>
      <c r="AA1220" s="428">
        <f t="shared" si="327"/>
        <v>0</v>
      </c>
      <c r="AB1220" s="429" t="str">
        <f t="shared" si="328"/>
        <v xml:space="preserve"> </v>
      </c>
      <c r="AC1220" s="424">
        <f t="shared" si="329"/>
        <v>0</v>
      </c>
      <c r="AD1220" s="371">
        <f t="shared" si="330"/>
        <v>0</v>
      </c>
      <c r="AE1220" s="748">
        <f t="shared" si="331"/>
        <v>1</v>
      </c>
      <c r="AF1220" s="417">
        <f t="shared" si="332"/>
        <v>0.66666666666666663</v>
      </c>
      <c r="AG1220" s="416">
        <f t="shared" si="333"/>
        <v>4.333333333333333</v>
      </c>
      <c r="AH1220" s="372">
        <f t="shared" si="334"/>
        <v>0.86666666666666659</v>
      </c>
      <c r="AI1220" s="373">
        <f t="shared" si="335"/>
        <v>810</v>
      </c>
      <c r="AJ1220" s="418">
        <f>VLOOKUP(D1220,'Standard Cycle time'!C:D,2,0)</f>
        <v>3.5</v>
      </c>
      <c r="AK1220" s="418">
        <f t="shared" si="336"/>
        <v>3.8518518518518512</v>
      </c>
      <c r="AL1220" s="374">
        <f t="shared" si="337"/>
        <v>0.90865384615384626</v>
      </c>
      <c r="AM1220" s="372">
        <f t="shared" si="338"/>
        <v>0.78749999999999998</v>
      </c>
      <c r="AN1220" s="799">
        <v>0.78749999999999998</v>
      </c>
      <c r="AO1220" s="448"/>
      <c r="AP1220" s="440">
        <v>40</v>
      </c>
      <c r="AQ1220" s="440">
        <v>0</v>
      </c>
      <c r="AR1220" s="440">
        <v>0</v>
      </c>
      <c r="AS1220" s="440">
        <v>0</v>
      </c>
      <c r="AT1220" s="440">
        <v>0</v>
      </c>
      <c r="AU1220" s="440">
        <v>0</v>
      </c>
      <c r="AV1220" s="440">
        <v>0</v>
      </c>
      <c r="AW1220" s="440">
        <v>0</v>
      </c>
      <c r="AX1220" s="440">
        <v>0</v>
      </c>
      <c r="AY1220" s="440">
        <v>0</v>
      </c>
      <c r="AZ1220" s="440">
        <v>0</v>
      </c>
      <c r="BA1220" s="440">
        <v>0</v>
      </c>
      <c r="BB1220" s="440">
        <v>0</v>
      </c>
      <c r="BC1220" s="440">
        <v>0</v>
      </c>
      <c r="BD1220" s="440">
        <v>0</v>
      </c>
      <c r="BE1220" s="440">
        <v>0</v>
      </c>
      <c r="BF1220" s="440">
        <v>0</v>
      </c>
      <c r="BG1220" s="440">
        <v>0</v>
      </c>
      <c r="BH1220" s="440">
        <v>0</v>
      </c>
      <c r="BI1220" s="440">
        <v>0</v>
      </c>
      <c r="BJ1220" s="440">
        <v>0</v>
      </c>
      <c r="BK1220" s="440">
        <v>0</v>
      </c>
      <c r="BL1220" s="440">
        <v>0</v>
      </c>
      <c r="BM1220" s="440">
        <v>0</v>
      </c>
      <c r="BN1220" s="440">
        <v>0</v>
      </c>
      <c r="BO1220" s="440">
        <v>0</v>
      </c>
      <c r="BP1220" s="440">
        <v>0</v>
      </c>
      <c r="BQ1220" s="440">
        <v>0</v>
      </c>
      <c r="BR1220" s="415">
        <v>0.66666666666666663</v>
      </c>
      <c r="BS1220" s="415">
        <v>0.66666666666666663</v>
      </c>
      <c r="BT1220" s="935"/>
      <c r="BU1220" s="935"/>
      <c r="BV1220" s="935"/>
      <c r="BW1220" s="935"/>
      <c r="BX1220" s="935"/>
      <c r="BY1220" s="935"/>
      <c r="BZ1220" s="935"/>
      <c r="CA1220" s="935"/>
      <c r="CB1220" s="935"/>
      <c r="CC1220" s="935"/>
      <c r="CD1220" s="935"/>
      <c r="CE1220" s="935"/>
      <c r="CF1220" s="935"/>
      <c r="CG1220" s="935"/>
      <c r="CH1220" s="935"/>
      <c r="CI1220" s="935"/>
      <c r="CJ1220" s="935"/>
      <c r="CK1220" s="935"/>
      <c r="CL1220" s="935"/>
      <c r="CM1220" s="935"/>
      <c r="CN1220" s="935"/>
      <c r="CO1220" s="935"/>
      <c r="CP1220" s="935"/>
      <c r="CQ1220" s="935"/>
      <c r="CR1220" s="935"/>
      <c r="CS1220" s="935"/>
      <c r="CT1220" s="935"/>
      <c r="CU1220" s="935"/>
      <c r="CV1220" s="935"/>
    </row>
    <row r="1221" spans="1:100" s="441" customFormat="1">
      <c r="A1221" s="375">
        <f t="shared" ref="A1221:A1284" si="340">MONTH(B1221)</f>
        <v>11</v>
      </c>
      <c r="B1221" s="862">
        <v>44513</v>
      </c>
      <c r="C1221" s="493" t="s">
        <v>2001</v>
      </c>
      <c r="D1221" s="376" t="str">
        <f>IFERROR(VLOOKUP(E:E,'Item Data Support Sheet'!A:O,7,0),"")</f>
        <v>BOTTLE MOLDED</v>
      </c>
      <c r="E1221" s="447" t="s">
        <v>68</v>
      </c>
      <c r="F1221" s="500" t="s">
        <v>1681</v>
      </c>
      <c r="G1221" s="497" t="s">
        <v>1888</v>
      </c>
      <c r="H1221" s="602" t="str">
        <f>IFERROR(VLOOKUP(E:E,'Item Data Support Sheet'!A:O,2,0),"")</f>
        <v>RPP 240 ML BOTTLE MOLDED</v>
      </c>
      <c r="I1221" s="501" t="s">
        <v>4001</v>
      </c>
      <c r="J1221" s="501" t="s">
        <v>2811</v>
      </c>
      <c r="K1221" s="499">
        <v>8</v>
      </c>
      <c r="L1221" s="499">
        <v>2574</v>
      </c>
      <c r="M1221" s="366">
        <v>321.75</v>
      </c>
      <c r="N1221" s="367">
        <f t="shared" si="339"/>
        <v>2025</v>
      </c>
      <c r="O1221" s="61">
        <v>1920</v>
      </c>
      <c r="P1221" s="368">
        <v>0</v>
      </c>
      <c r="Q1221" s="368">
        <v>45</v>
      </c>
      <c r="R1221" s="494">
        <v>0</v>
      </c>
      <c r="S1221" s="493">
        <v>0</v>
      </c>
      <c r="T1221" s="494">
        <v>60</v>
      </c>
      <c r="U1221" s="493">
        <v>0</v>
      </c>
      <c r="V1221" s="502">
        <v>1</v>
      </c>
      <c r="W1221" s="453">
        <f t="shared" ref="W1221:W1284" si="341">IFERROR(O1221/V1221,0)</f>
        <v>1920</v>
      </c>
      <c r="X1221" s="748">
        <f t="shared" ref="X1221:X1284" si="342">O1221/L1221</f>
        <v>0.74592074592074598</v>
      </c>
      <c r="Y1221" s="451" t="str">
        <f>IFERROR(VLOOKUP(E:E,'Item Data Support Sheet'!A:J,6,0),0)</f>
        <v>HMC</v>
      </c>
      <c r="Z1221" s="428">
        <f>IFERROR(VLOOKUP(E:E,'Item Data Support Sheet'!A:O,4,0),0)</f>
        <v>32.1</v>
      </c>
      <c r="AA1221" s="428">
        <f t="shared" ref="AA1221:AA1284" si="343">IFERROR(((N1221)*(Z1221/1000))+P1221,0)</f>
        <v>65.002500000000012</v>
      </c>
      <c r="AB1221" s="429">
        <f t="shared" ref="AB1221:AB1284" si="344">IFERROR((O1221*(Z1221/1000)/(AA1221))," ")</f>
        <v>0.94814814814814807</v>
      </c>
      <c r="AC1221" s="424">
        <f t="shared" ref="AC1221:AC1284" si="345">IFERROR((T1221)/((T1221)+O1221),0)</f>
        <v>3.0303030303030304E-2</v>
      </c>
      <c r="AD1221" s="371">
        <f t="shared" ref="AD1221:AD1284" si="346">IFERROR(Q1221/(Q1221+N1221),0)</f>
        <v>2.1739130434782608E-2</v>
      </c>
      <c r="AE1221" s="748">
        <f t="shared" ref="AE1221:AE1284" si="347">(N1221-T1221)/N1221</f>
        <v>0.97037037037037033</v>
      </c>
      <c r="AF1221" s="417">
        <f t="shared" ref="AF1221:AF1284" si="348">BR1221</f>
        <v>0</v>
      </c>
      <c r="AG1221" s="416">
        <f t="shared" ref="AG1221:AG1284" si="349">K1221-AF1221</f>
        <v>8</v>
      </c>
      <c r="AH1221" s="372">
        <f t="shared" ref="AH1221:AH1284" si="350">IFERROR(AG1221/K1221," ")</f>
        <v>1</v>
      </c>
      <c r="AI1221" s="373">
        <f t="shared" ref="AI1221:AI1284" si="351">IFERROR(O1221/K1221,0)</f>
        <v>240</v>
      </c>
      <c r="AJ1221" s="418">
        <f>VLOOKUP(D1221,'Standard Cycle time'!C:D,2,0)</f>
        <v>9</v>
      </c>
      <c r="AK1221" s="418">
        <f t="shared" ref="AK1221:AK1284" si="352">AG1221*V1221*3600/O1221</f>
        <v>15</v>
      </c>
      <c r="AL1221" s="374">
        <f t="shared" ref="AL1221:AL1284" si="353">AJ1221/AK1221</f>
        <v>0.6</v>
      </c>
      <c r="AM1221" s="372">
        <f t="shared" ref="AM1221:AM1284" si="354">AE1221*AL1221*AH1221</f>
        <v>0.5822222222222222</v>
      </c>
      <c r="AN1221" s="799">
        <v>0.5822222222222222</v>
      </c>
      <c r="AO1221" s="448"/>
      <c r="AP1221" s="440">
        <v>0</v>
      </c>
      <c r="AQ1221" s="440">
        <v>0</v>
      </c>
      <c r="AR1221" s="440">
        <v>0</v>
      </c>
      <c r="AS1221" s="440">
        <v>0</v>
      </c>
      <c r="AT1221" s="440">
        <v>0</v>
      </c>
      <c r="AU1221" s="440">
        <v>0</v>
      </c>
      <c r="AV1221" s="440">
        <v>0</v>
      </c>
      <c r="AW1221" s="440">
        <v>0</v>
      </c>
      <c r="AX1221" s="440">
        <v>0</v>
      </c>
      <c r="AY1221" s="440">
        <v>0</v>
      </c>
      <c r="AZ1221" s="440">
        <v>0</v>
      </c>
      <c r="BA1221" s="440">
        <v>0</v>
      </c>
      <c r="BB1221" s="440">
        <v>0</v>
      </c>
      <c r="BC1221" s="440">
        <v>0</v>
      </c>
      <c r="BD1221" s="440">
        <v>0</v>
      </c>
      <c r="BE1221" s="440">
        <v>0</v>
      </c>
      <c r="BF1221" s="440">
        <v>0</v>
      </c>
      <c r="BG1221" s="440">
        <v>0</v>
      </c>
      <c r="BH1221" s="440">
        <v>0</v>
      </c>
      <c r="BI1221" s="440">
        <v>0</v>
      </c>
      <c r="BJ1221" s="440">
        <v>0</v>
      </c>
      <c r="BK1221" s="440">
        <v>0</v>
      </c>
      <c r="BL1221" s="440">
        <v>0</v>
      </c>
      <c r="BM1221" s="440">
        <v>0</v>
      </c>
      <c r="BN1221" s="440">
        <v>0</v>
      </c>
      <c r="BO1221" s="440">
        <v>0</v>
      </c>
      <c r="BP1221" s="440">
        <v>0</v>
      </c>
      <c r="BQ1221" s="440">
        <v>0</v>
      </c>
      <c r="BR1221" s="415">
        <v>0</v>
      </c>
      <c r="BS1221" s="415">
        <v>0</v>
      </c>
      <c r="BT1221" s="935"/>
      <c r="BU1221" s="935"/>
      <c r="BV1221" s="935"/>
      <c r="BW1221" s="935"/>
      <c r="BX1221" s="935"/>
      <c r="BY1221" s="935"/>
      <c r="BZ1221" s="935"/>
      <c r="CA1221" s="935"/>
      <c r="CB1221" s="935"/>
      <c r="CC1221" s="935"/>
      <c r="CD1221" s="935"/>
      <c r="CE1221" s="935"/>
      <c r="CF1221" s="935"/>
      <c r="CG1221" s="935"/>
      <c r="CH1221" s="935"/>
      <c r="CI1221" s="935"/>
      <c r="CJ1221" s="935"/>
      <c r="CK1221" s="935"/>
      <c r="CL1221" s="935"/>
      <c r="CM1221" s="935"/>
      <c r="CN1221" s="935"/>
      <c r="CO1221" s="935"/>
      <c r="CP1221" s="935"/>
      <c r="CQ1221" s="935"/>
      <c r="CR1221" s="935"/>
      <c r="CS1221" s="935"/>
      <c r="CT1221" s="935"/>
      <c r="CU1221" s="935"/>
      <c r="CV1221" s="935"/>
    </row>
    <row r="1222" spans="1:100" s="441" customFormat="1">
      <c r="A1222" s="375">
        <f t="shared" si="340"/>
        <v>11</v>
      </c>
      <c r="B1222" s="862">
        <v>44513</v>
      </c>
      <c r="C1222" s="493" t="s">
        <v>2001</v>
      </c>
      <c r="D1222" s="376" t="str">
        <f>IFERROR(VLOOKUP(E:E,'Item Data Support Sheet'!A:O,7,0),"")</f>
        <v>NIPPLE MOLDED</v>
      </c>
      <c r="E1222" s="447" t="s">
        <v>74</v>
      </c>
      <c r="F1222" s="500" t="s">
        <v>1678</v>
      </c>
      <c r="G1222" s="497" t="s">
        <v>1691</v>
      </c>
      <c r="H1222" s="602" t="str">
        <f>IFERROR(VLOOKUP(E:E,'Item Data Support Sheet'!A:O,2,0),"")</f>
        <v>NIPPLE S TYPE L SIZE INJECTION</v>
      </c>
      <c r="I1222" s="501" t="s">
        <v>4002</v>
      </c>
      <c r="J1222" s="501" t="s">
        <v>2811</v>
      </c>
      <c r="K1222" s="499">
        <v>8</v>
      </c>
      <c r="L1222" s="499">
        <v>4815</v>
      </c>
      <c r="M1222" s="366">
        <v>601.875</v>
      </c>
      <c r="N1222" s="367">
        <f t="shared" si="339"/>
        <v>5375</v>
      </c>
      <c r="O1222" s="61">
        <v>4900</v>
      </c>
      <c r="P1222" s="368">
        <v>0</v>
      </c>
      <c r="Q1222" s="368">
        <v>300</v>
      </c>
      <c r="R1222" s="494">
        <v>0</v>
      </c>
      <c r="S1222" s="493">
        <v>0</v>
      </c>
      <c r="T1222" s="494">
        <v>175</v>
      </c>
      <c r="U1222" s="493">
        <v>0</v>
      </c>
      <c r="V1222" s="502">
        <v>1</v>
      </c>
      <c r="W1222" s="453">
        <f t="shared" si="341"/>
        <v>4900</v>
      </c>
      <c r="X1222" s="748">
        <f t="shared" si="342"/>
        <v>1.0176531671858775</v>
      </c>
      <c r="Y1222" s="451" t="str">
        <f>IFERROR(VLOOKUP(E:E,'Item Data Support Sheet'!A:J,6,0),0)</f>
        <v>Silicon</v>
      </c>
      <c r="Z1222" s="428">
        <f>IFERROR(VLOOKUP(E:E,'Item Data Support Sheet'!A:O,4,0),0)</f>
        <v>6.8</v>
      </c>
      <c r="AA1222" s="428">
        <f t="shared" si="343"/>
        <v>36.549999999999997</v>
      </c>
      <c r="AB1222" s="429">
        <f t="shared" si="344"/>
        <v>0.91162790697674423</v>
      </c>
      <c r="AC1222" s="424">
        <f t="shared" si="345"/>
        <v>3.4482758620689655E-2</v>
      </c>
      <c r="AD1222" s="371">
        <f t="shared" si="346"/>
        <v>5.2863436123348019E-2</v>
      </c>
      <c r="AE1222" s="748">
        <f t="shared" si="347"/>
        <v>0.96744186046511627</v>
      </c>
      <c r="AF1222" s="417">
        <f t="shared" si="348"/>
        <v>0</v>
      </c>
      <c r="AG1222" s="416">
        <f t="shared" si="349"/>
        <v>8</v>
      </c>
      <c r="AH1222" s="372">
        <f t="shared" si="350"/>
        <v>1</v>
      </c>
      <c r="AI1222" s="373">
        <f t="shared" si="351"/>
        <v>612.5</v>
      </c>
      <c r="AJ1222" s="418">
        <f>VLOOKUP(D1222,'Standard Cycle time'!C:D,2,0)</f>
        <v>5.25</v>
      </c>
      <c r="AK1222" s="418">
        <f t="shared" si="352"/>
        <v>5.8775510204081636</v>
      </c>
      <c r="AL1222" s="374">
        <f t="shared" si="353"/>
        <v>0.89322916666666663</v>
      </c>
      <c r="AM1222" s="372">
        <f t="shared" si="354"/>
        <v>0.86414728682170538</v>
      </c>
      <c r="AN1222" s="799">
        <v>0.86414728682170538</v>
      </c>
      <c r="AO1222" s="448"/>
      <c r="AP1222" s="440">
        <v>0</v>
      </c>
      <c r="AQ1222" s="440">
        <v>0</v>
      </c>
      <c r="AR1222" s="440">
        <v>0</v>
      </c>
      <c r="AS1222" s="440">
        <v>0</v>
      </c>
      <c r="AT1222" s="440">
        <v>0</v>
      </c>
      <c r="AU1222" s="440">
        <v>0</v>
      </c>
      <c r="AV1222" s="440">
        <v>0</v>
      </c>
      <c r="AW1222" s="440">
        <v>0</v>
      </c>
      <c r="AX1222" s="440">
        <v>0</v>
      </c>
      <c r="AY1222" s="440">
        <v>0</v>
      </c>
      <c r="AZ1222" s="440">
        <v>0</v>
      </c>
      <c r="BA1222" s="440">
        <v>0</v>
      </c>
      <c r="BB1222" s="440">
        <v>0</v>
      </c>
      <c r="BC1222" s="440">
        <v>0</v>
      </c>
      <c r="BD1222" s="440">
        <v>0</v>
      </c>
      <c r="BE1222" s="440">
        <v>0</v>
      </c>
      <c r="BF1222" s="440">
        <v>0</v>
      </c>
      <c r="BG1222" s="440">
        <v>0</v>
      </c>
      <c r="BH1222" s="440">
        <v>0</v>
      </c>
      <c r="BI1222" s="440">
        <v>0</v>
      </c>
      <c r="BJ1222" s="440">
        <v>0</v>
      </c>
      <c r="BK1222" s="440">
        <v>0</v>
      </c>
      <c r="BL1222" s="440">
        <v>0</v>
      </c>
      <c r="BM1222" s="440">
        <v>0</v>
      </c>
      <c r="BN1222" s="440">
        <v>0</v>
      </c>
      <c r="BO1222" s="440">
        <v>0</v>
      </c>
      <c r="BP1222" s="440">
        <v>0</v>
      </c>
      <c r="BQ1222" s="440">
        <v>0</v>
      </c>
      <c r="BR1222" s="415">
        <v>0</v>
      </c>
      <c r="BS1222" s="415">
        <v>0</v>
      </c>
      <c r="BT1222" s="935"/>
      <c r="BU1222" s="935"/>
      <c r="BV1222" s="935"/>
      <c r="BW1222" s="935"/>
      <c r="BX1222" s="935"/>
      <c r="BY1222" s="935"/>
      <c r="BZ1222" s="935"/>
      <c r="CA1222" s="935"/>
      <c r="CB1222" s="935"/>
      <c r="CC1222" s="935"/>
      <c r="CD1222" s="935"/>
      <c r="CE1222" s="935"/>
      <c r="CF1222" s="935"/>
      <c r="CG1222" s="935"/>
      <c r="CH1222" s="935"/>
      <c r="CI1222" s="935"/>
      <c r="CJ1222" s="935"/>
      <c r="CK1222" s="935"/>
      <c r="CL1222" s="935"/>
      <c r="CM1222" s="935"/>
      <c r="CN1222" s="935"/>
      <c r="CO1222" s="935"/>
      <c r="CP1222" s="935"/>
      <c r="CQ1222" s="935"/>
      <c r="CR1222" s="935"/>
      <c r="CS1222" s="935"/>
      <c r="CT1222" s="935"/>
      <c r="CU1222" s="935"/>
      <c r="CV1222" s="935"/>
    </row>
    <row r="1223" spans="1:100" s="441" customFormat="1">
      <c r="A1223" s="375">
        <f t="shared" si="340"/>
        <v>11</v>
      </c>
      <c r="B1223" s="862">
        <v>44513</v>
      </c>
      <c r="C1223" s="493" t="s">
        <v>2001</v>
      </c>
      <c r="D1223" s="376" t="str">
        <f>IFERROR(VLOOKUP(E:E,'Item Data Support Sheet'!A:O,7,0),"")</f>
        <v>HOOD MOLDED</v>
      </c>
      <c r="E1223" s="447" t="s">
        <v>1987</v>
      </c>
      <c r="F1223" s="500"/>
      <c r="G1223" s="497" t="s">
        <v>2729</v>
      </c>
      <c r="H1223" s="602" t="str">
        <f>IFERROR(VLOOKUP(E:E,'Item Data Support Sheet'!A:O,2,0),"")</f>
        <v>HOOD S TYPE MOLDED</v>
      </c>
      <c r="I1223" s="501" t="s">
        <v>4003</v>
      </c>
      <c r="J1223" s="501" t="s">
        <v>2811</v>
      </c>
      <c r="K1223" s="499">
        <v>8</v>
      </c>
      <c r="L1223" s="499">
        <v>4137</v>
      </c>
      <c r="M1223" s="366">
        <v>517.125</v>
      </c>
      <c r="N1223" s="367">
        <f t="shared" si="339"/>
        <v>5002</v>
      </c>
      <c r="O1223" s="61">
        <v>5000</v>
      </c>
      <c r="P1223" s="368">
        <v>0</v>
      </c>
      <c r="Q1223" s="368">
        <v>0</v>
      </c>
      <c r="R1223" s="494">
        <v>0</v>
      </c>
      <c r="S1223" s="493">
        <v>0</v>
      </c>
      <c r="T1223" s="494">
        <v>2</v>
      </c>
      <c r="U1223" s="493">
        <v>0</v>
      </c>
      <c r="V1223" s="502">
        <v>1</v>
      </c>
      <c r="W1223" s="453">
        <f t="shared" si="341"/>
        <v>5000</v>
      </c>
      <c r="X1223" s="748">
        <f t="shared" si="342"/>
        <v>1.2086052695189751</v>
      </c>
      <c r="Y1223" s="451" t="str">
        <f>IFERROR(VLOOKUP(E:E,'Item Data Support Sheet'!A:J,6,0),0)</f>
        <v>HMC</v>
      </c>
      <c r="Z1223" s="428">
        <f>IFERROR(VLOOKUP(E:E,'Item Data Support Sheet'!A:O,4,0),0)</f>
        <v>8.6</v>
      </c>
      <c r="AA1223" s="428">
        <f t="shared" si="343"/>
        <v>43.017200000000003</v>
      </c>
      <c r="AB1223" s="429">
        <f t="shared" si="344"/>
        <v>0.99960015993602558</v>
      </c>
      <c r="AC1223" s="424">
        <f t="shared" si="345"/>
        <v>3.9984006397441024E-4</v>
      </c>
      <c r="AD1223" s="371">
        <f t="shared" si="346"/>
        <v>0</v>
      </c>
      <c r="AE1223" s="748">
        <f t="shared" si="347"/>
        <v>0.99960015993602558</v>
      </c>
      <c r="AF1223" s="417">
        <f t="shared" si="348"/>
        <v>0</v>
      </c>
      <c r="AG1223" s="416">
        <f t="shared" si="349"/>
        <v>8</v>
      </c>
      <c r="AH1223" s="372">
        <f t="shared" si="350"/>
        <v>1</v>
      </c>
      <c r="AI1223" s="373">
        <f t="shared" si="351"/>
        <v>625</v>
      </c>
      <c r="AJ1223" s="418">
        <f>VLOOKUP(D1223,'Standard Cycle time'!C:D,2,0)</f>
        <v>6</v>
      </c>
      <c r="AK1223" s="418">
        <f t="shared" si="352"/>
        <v>5.76</v>
      </c>
      <c r="AL1223" s="374">
        <f t="shared" si="353"/>
        <v>1.0416666666666667</v>
      </c>
      <c r="AM1223" s="372">
        <f t="shared" si="354"/>
        <v>1.0412501666000267</v>
      </c>
      <c r="AN1223" s="799">
        <v>1.0412501666000267</v>
      </c>
      <c r="AO1223" s="448"/>
      <c r="AP1223" s="440">
        <v>0</v>
      </c>
      <c r="AQ1223" s="440">
        <v>0</v>
      </c>
      <c r="AR1223" s="440">
        <v>0</v>
      </c>
      <c r="AS1223" s="440">
        <v>0</v>
      </c>
      <c r="AT1223" s="440">
        <v>0</v>
      </c>
      <c r="AU1223" s="440">
        <v>0</v>
      </c>
      <c r="AV1223" s="440">
        <v>0</v>
      </c>
      <c r="AW1223" s="440">
        <v>0</v>
      </c>
      <c r="AX1223" s="440">
        <v>0</v>
      </c>
      <c r="AY1223" s="440">
        <v>0</v>
      </c>
      <c r="AZ1223" s="440">
        <v>0</v>
      </c>
      <c r="BA1223" s="440">
        <v>0</v>
      </c>
      <c r="BB1223" s="440">
        <v>0</v>
      </c>
      <c r="BC1223" s="440">
        <v>0</v>
      </c>
      <c r="BD1223" s="440">
        <v>0</v>
      </c>
      <c r="BE1223" s="440">
        <v>0</v>
      </c>
      <c r="BF1223" s="440">
        <v>0</v>
      </c>
      <c r="BG1223" s="440">
        <v>0</v>
      </c>
      <c r="BH1223" s="440">
        <v>0</v>
      </c>
      <c r="BI1223" s="440">
        <v>0</v>
      </c>
      <c r="BJ1223" s="440">
        <v>0</v>
      </c>
      <c r="BK1223" s="440">
        <v>0</v>
      </c>
      <c r="BL1223" s="440">
        <v>0</v>
      </c>
      <c r="BM1223" s="440">
        <v>0</v>
      </c>
      <c r="BN1223" s="440">
        <v>0</v>
      </c>
      <c r="BO1223" s="440">
        <v>0</v>
      </c>
      <c r="BP1223" s="440">
        <v>0</v>
      </c>
      <c r="BQ1223" s="440">
        <v>0</v>
      </c>
      <c r="BR1223" s="415">
        <v>0</v>
      </c>
      <c r="BS1223" s="415">
        <v>0</v>
      </c>
      <c r="BT1223" s="935"/>
      <c r="BU1223" s="935"/>
      <c r="BV1223" s="935"/>
      <c r="BW1223" s="935"/>
      <c r="BX1223" s="935"/>
      <c r="BY1223" s="935"/>
      <c r="BZ1223" s="935"/>
      <c r="CA1223" s="935"/>
      <c r="CB1223" s="935"/>
      <c r="CC1223" s="935"/>
      <c r="CD1223" s="935"/>
      <c r="CE1223" s="935"/>
      <c r="CF1223" s="935"/>
      <c r="CG1223" s="935"/>
      <c r="CH1223" s="935"/>
      <c r="CI1223" s="935"/>
      <c r="CJ1223" s="935"/>
      <c r="CK1223" s="935"/>
      <c r="CL1223" s="935"/>
      <c r="CM1223" s="935"/>
      <c r="CN1223" s="935"/>
      <c r="CO1223" s="935"/>
      <c r="CP1223" s="935"/>
      <c r="CQ1223" s="935"/>
      <c r="CR1223" s="935"/>
      <c r="CS1223" s="935"/>
      <c r="CT1223" s="935"/>
      <c r="CU1223" s="935"/>
      <c r="CV1223" s="935"/>
    </row>
    <row r="1224" spans="1:100" s="441" customFormat="1">
      <c r="A1224" s="375">
        <f t="shared" si="340"/>
        <v>11</v>
      </c>
      <c r="B1224" s="862">
        <v>44513</v>
      </c>
      <c r="C1224" s="493" t="s">
        <v>2001</v>
      </c>
      <c r="D1224" s="376" t="str">
        <f>IFERROR(VLOOKUP(E:E,'Item Data Support Sheet'!A:O,7,0),"")</f>
        <v>BOTTLE PRINTED</v>
      </c>
      <c r="E1224" s="447" t="s">
        <v>64</v>
      </c>
      <c r="F1224" s="500"/>
      <c r="G1224" s="497"/>
      <c r="H1224" s="602" t="str">
        <f>IFERROR(VLOOKUP(E:E,'Item Data Support Sheet'!A:O,2,0),"")</f>
        <v>KPP 240 ML BOTTLE PRINTED</v>
      </c>
      <c r="I1224" s="501" t="s">
        <v>4004</v>
      </c>
      <c r="J1224" s="501" t="s">
        <v>2811</v>
      </c>
      <c r="K1224" s="499">
        <v>8</v>
      </c>
      <c r="L1224" s="499">
        <v>5100</v>
      </c>
      <c r="M1224" s="366">
        <v>637.5</v>
      </c>
      <c r="N1224" s="367">
        <f t="shared" si="339"/>
        <v>4924</v>
      </c>
      <c r="O1224" s="61">
        <v>4860</v>
      </c>
      <c r="P1224" s="368">
        <v>0</v>
      </c>
      <c r="Q1224" s="368">
        <v>0</v>
      </c>
      <c r="R1224" s="494">
        <v>36</v>
      </c>
      <c r="S1224" s="493">
        <v>0</v>
      </c>
      <c r="T1224" s="494">
        <v>64</v>
      </c>
      <c r="U1224" s="493">
        <v>0</v>
      </c>
      <c r="V1224" s="502">
        <v>5</v>
      </c>
      <c r="W1224" s="453">
        <f t="shared" si="341"/>
        <v>972</v>
      </c>
      <c r="X1224" s="748">
        <f t="shared" si="342"/>
        <v>0.95294117647058818</v>
      </c>
      <c r="Y1224" s="451" t="str">
        <f>IFERROR(VLOOKUP(E:E,'Item Data Support Sheet'!A:J,6,0),0)</f>
        <v>FO003</v>
      </c>
      <c r="Z1224" s="428">
        <f>IFERROR(VLOOKUP(E:E,'Item Data Support Sheet'!A:O,4,0),0)</f>
        <v>0</v>
      </c>
      <c r="AA1224" s="428">
        <f t="shared" si="343"/>
        <v>0</v>
      </c>
      <c r="AB1224" s="429" t="str">
        <f t="shared" si="344"/>
        <v xml:space="preserve"> </v>
      </c>
      <c r="AC1224" s="424">
        <f t="shared" si="345"/>
        <v>1.2997562956945572E-2</v>
      </c>
      <c r="AD1224" s="371">
        <f t="shared" si="346"/>
        <v>0</v>
      </c>
      <c r="AE1224" s="748">
        <f t="shared" si="347"/>
        <v>0.98700243704305446</v>
      </c>
      <c r="AF1224" s="417">
        <f t="shared" si="348"/>
        <v>0.66666666666666663</v>
      </c>
      <c r="AG1224" s="416">
        <f t="shared" si="349"/>
        <v>7.333333333333333</v>
      </c>
      <c r="AH1224" s="372">
        <f t="shared" si="350"/>
        <v>0.91666666666666663</v>
      </c>
      <c r="AI1224" s="373">
        <f t="shared" si="351"/>
        <v>607.5</v>
      </c>
      <c r="AJ1224" s="418">
        <f>VLOOKUP(D1224,'Standard Cycle time'!C:D,2,0)</f>
        <v>32.4</v>
      </c>
      <c r="AK1224" s="418">
        <f t="shared" si="352"/>
        <v>27.160493827160494</v>
      </c>
      <c r="AL1224" s="374">
        <f t="shared" si="353"/>
        <v>1.1929090909090909</v>
      </c>
      <c r="AM1224" s="372">
        <f t="shared" si="354"/>
        <v>1.0792871649065801</v>
      </c>
      <c r="AN1224" s="799">
        <v>1.0792871649065801</v>
      </c>
      <c r="AO1224" s="448"/>
      <c r="AP1224" s="440">
        <v>40</v>
      </c>
      <c r="AQ1224" s="440">
        <v>0</v>
      </c>
      <c r="AR1224" s="440">
        <v>0</v>
      </c>
      <c r="AS1224" s="440">
        <v>0</v>
      </c>
      <c r="AT1224" s="440">
        <v>0</v>
      </c>
      <c r="AU1224" s="440">
        <v>0</v>
      </c>
      <c r="AV1224" s="440">
        <v>0</v>
      </c>
      <c r="AW1224" s="440">
        <v>0</v>
      </c>
      <c r="AX1224" s="440">
        <v>0</v>
      </c>
      <c r="AY1224" s="440">
        <v>0</v>
      </c>
      <c r="AZ1224" s="440">
        <v>0</v>
      </c>
      <c r="BA1224" s="440">
        <v>0</v>
      </c>
      <c r="BB1224" s="440">
        <v>0</v>
      </c>
      <c r="BC1224" s="440">
        <v>0</v>
      </c>
      <c r="BD1224" s="440">
        <v>0</v>
      </c>
      <c r="BE1224" s="440">
        <v>0</v>
      </c>
      <c r="BF1224" s="440">
        <v>0</v>
      </c>
      <c r="BG1224" s="440">
        <v>0</v>
      </c>
      <c r="BH1224" s="440">
        <v>0</v>
      </c>
      <c r="BI1224" s="440">
        <v>0</v>
      </c>
      <c r="BJ1224" s="440">
        <v>0</v>
      </c>
      <c r="BK1224" s="440">
        <v>0</v>
      </c>
      <c r="BL1224" s="440">
        <v>0</v>
      </c>
      <c r="BM1224" s="440">
        <v>0</v>
      </c>
      <c r="BN1224" s="440">
        <v>0</v>
      </c>
      <c r="BO1224" s="440">
        <v>0</v>
      </c>
      <c r="BP1224" s="440">
        <v>0</v>
      </c>
      <c r="BQ1224" s="440">
        <v>0</v>
      </c>
      <c r="BR1224" s="415">
        <v>0.66666666666666663</v>
      </c>
      <c r="BS1224" s="415">
        <v>0.66666666666666663</v>
      </c>
      <c r="BT1224" s="935"/>
      <c r="BU1224" s="935"/>
      <c r="BV1224" s="935"/>
      <c r="BW1224" s="935"/>
      <c r="BX1224" s="935"/>
      <c r="BY1224" s="935"/>
      <c r="BZ1224" s="935"/>
      <c r="CA1224" s="935"/>
      <c r="CB1224" s="935"/>
      <c r="CC1224" s="935"/>
      <c r="CD1224" s="935"/>
      <c r="CE1224" s="935"/>
      <c r="CF1224" s="935"/>
      <c r="CG1224" s="935"/>
      <c r="CH1224" s="935"/>
      <c r="CI1224" s="935"/>
      <c r="CJ1224" s="935"/>
      <c r="CK1224" s="935"/>
      <c r="CL1224" s="935"/>
      <c r="CM1224" s="935"/>
      <c r="CN1224" s="935"/>
      <c r="CO1224" s="935"/>
      <c r="CP1224" s="935"/>
      <c r="CQ1224" s="935"/>
      <c r="CR1224" s="935"/>
      <c r="CS1224" s="935"/>
      <c r="CT1224" s="935"/>
      <c r="CU1224" s="935"/>
      <c r="CV1224" s="935"/>
    </row>
    <row r="1225" spans="1:100" s="441" customFormat="1">
      <c r="A1225" s="375">
        <f t="shared" si="340"/>
        <v>11</v>
      </c>
      <c r="B1225" s="862">
        <v>44513</v>
      </c>
      <c r="C1225" s="493" t="s">
        <v>2053</v>
      </c>
      <c r="D1225" s="376" t="str">
        <f>IFERROR(VLOOKUP(E:E,'Item Data Support Sheet'!A:O,7,0),"")</f>
        <v>NIPPLE MOLDED</v>
      </c>
      <c r="E1225" s="447" t="s">
        <v>74</v>
      </c>
      <c r="F1225" s="500" t="s">
        <v>1678</v>
      </c>
      <c r="G1225" s="497" t="s">
        <v>1691</v>
      </c>
      <c r="H1225" s="602" t="str">
        <f>IFERROR(VLOOKUP(E:E,'Item Data Support Sheet'!A:O,2,0),"")</f>
        <v>NIPPLE S TYPE L SIZE INJECTION</v>
      </c>
      <c r="I1225" s="501" t="s">
        <v>4005</v>
      </c>
      <c r="J1225" s="501" t="s">
        <v>3895</v>
      </c>
      <c r="K1225" s="499">
        <v>8</v>
      </c>
      <c r="L1225" s="499">
        <v>4815</v>
      </c>
      <c r="M1225" s="366">
        <v>601.875</v>
      </c>
      <c r="N1225" s="367">
        <f t="shared" si="339"/>
        <v>4082</v>
      </c>
      <c r="O1225" s="61">
        <v>4000</v>
      </c>
      <c r="P1225" s="368">
        <v>0.4</v>
      </c>
      <c r="Q1225" s="368">
        <v>22</v>
      </c>
      <c r="R1225" s="494">
        <v>0</v>
      </c>
      <c r="S1225" s="493">
        <v>0</v>
      </c>
      <c r="T1225" s="494">
        <v>60</v>
      </c>
      <c r="U1225" s="493">
        <v>0</v>
      </c>
      <c r="V1225" s="502">
        <v>1</v>
      </c>
      <c r="W1225" s="453">
        <f t="shared" si="341"/>
        <v>4000</v>
      </c>
      <c r="X1225" s="748">
        <f t="shared" si="342"/>
        <v>0.83073727933541019</v>
      </c>
      <c r="Y1225" s="451" t="str">
        <f>IFERROR(VLOOKUP(E:E,'Item Data Support Sheet'!A:J,6,0),0)</f>
        <v>Silicon</v>
      </c>
      <c r="Z1225" s="428">
        <f>IFERROR(VLOOKUP(E:E,'Item Data Support Sheet'!A:O,4,0),0)</f>
        <v>6.8</v>
      </c>
      <c r="AA1225" s="428">
        <f t="shared" si="343"/>
        <v>28.157599999999999</v>
      </c>
      <c r="AB1225" s="429">
        <f t="shared" si="344"/>
        <v>0.96599141972327185</v>
      </c>
      <c r="AC1225" s="424">
        <f t="shared" si="345"/>
        <v>1.4778325123152709E-2</v>
      </c>
      <c r="AD1225" s="371">
        <f t="shared" si="346"/>
        <v>5.360623781676413E-3</v>
      </c>
      <c r="AE1225" s="748">
        <f t="shared" si="347"/>
        <v>0.98530132288094074</v>
      </c>
      <c r="AF1225" s="417">
        <f t="shared" si="348"/>
        <v>0</v>
      </c>
      <c r="AG1225" s="416">
        <f t="shared" si="349"/>
        <v>8</v>
      </c>
      <c r="AH1225" s="372">
        <f t="shared" si="350"/>
        <v>1</v>
      </c>
      <c r="AI1225" s="373">
        <f t="shared" si="351"/>
        <v>500</v>
      </c>
      <c r="AJ1225" s="418">
        <f>VLOOKUP(D1225,'Standard Cycle time'!C:D,2,0)</f>
        <v>5.25</v>
      </c>
      <c r="AK1225" s="418">
        <f t="shared" si="352"/>
        <v>7.2</v>
      </c>
      <c r="AL1225" s="374">
        <f t="shared" si="353"/>
        <v>0.72916666666666663</v>
      </c>
      <c r="AM1225" s="372">
        <f t="shared" si="354"/>
        <v>0.71844888126735262</v>
      </c>
      <c r="AN1225" s="799">
        <v>0.71844888126735262</v>
      </c>
      <c r="AO1225" s="448"/>
      <c r="AP1225" s="440">
        <v>0</v>
      </c>
      <c r="AQ1225" s="440">
        <v>0</v>
      </c>
      <c r="AR1225" s="440">
        <v>0</v>
      </c>
      <c r="AS1225" s="440">
        <v>0</v>
      </c>
      <c r="AT1225" s="440">
        <v>0</v>
      </c>
      <c r="AU1225" s="440">
        <v>0</v>
      </c>
      <c r="AV1225" s="440">
        <v>0</v>
      </c>
      <c r="AW1225" s="440">
        <v>0</v>
      </c>
      <c r="AX1225" s="440">
        <v>0</v>
      </c>
      <c r="AY1225" s="440">
        <v>0</v>
      </c>
      <c r="AZ1225" s="440">
        <v>0</v>
      </c>
      <c r="BA1225" s="440">
        <v>0</v>
      </c>
      <c r="BB1225" s="440">
        <v>0</v>
      </c>
      <c r="BC1225" s="440">
        <v>0</v>
      </c>
      <c r="BD1225" s="440">
        <v>0</v>
      </c>
      <c r="BE1225" s="440">
        <v>0</v>
      </c>
      <c r="BF1225" s="440">
        <v>0</v>
      </c>
      <c r="BG1225" s="440">
        <v>0</v>
      </c>
      <c r="BH1225" s="440">
        <v>0</v>
      </c>
      <c r="BI1225" s="440">
        <v>0</v>
      </c>
      <c r="BJ1225" s="440">
        <v>0</v>
      </c>
      <c r="BK1225" s="440">
        <v>0</v>
      </c>
      <c r="BL1225" s="440">
        <v>0</v>
      </c>
      <c r="BM1225" s="440">
        <v>0</v>
      </c>
      <c r="BN1225" s="440">
        <v>0</v>
      </c>
      <c r="BO1225" s="440">
        <v>0</v>
      </c>
      <c r="BP1225" s="440">
        <v>0</v>
      </c>
      <c r="BQ1225" s="440">
        <v>0</v>
      </c>
      <c r="BR1225" s="415">
        <v>0</v>
      </c>
      <c r="BS1225" s="415">
        <v>0</v>
      </c>
      <c r="BT1225" s="935"/>
      <c r="BU1225" s="935"/>
      <c r="BV1225" s="935"/>
      <c r="BW1225" s="935"/>
      <c r="BX1225" s="935"/>
      <c r="BY1225" s="935"/>
      <c r="BZ1225" s="935"/>
      <c r="CA1225" s="935"/>
      <c r="CB1225" s="935"/>
      <c r="CC1225" s="935"/>
      <c r="CD1225" s="935"/>
      <c r="CE1225" s="935"/>
      <c r="CF1225" s="935"/>
      <c r="CG1225" s="935"/>
      <c r="CH1225" s="935"/>
      <c r="CI1225" s="935"/>
      <c r="CJ1225" s="935"/>
      <c r="CK1225" s="935"/>
      <c r="CL1225" s="935"/>
      <c r="CM1225" s="935"/>
      <c r="CN1225" s="935"/>
      <c r="CO1225" s="935"/>
      <c r="CP1225" s="935"/>
      <c r="CQ1225" s="935"/>
      <c r="CR1225" s="935"/>
      <c r="CS1225" s="935"/>
      <c r="CT1225" s="935"/>
      <c r="CU1225" s="935"/>
      <c r="CV1225" s="935"/>
    </row>
    <row r="1226" spans="1:100" s="441" customFormat="1">
      <c r="A1226" s="375">
        <f t="shared" si="340"/>
        <v>11</v>
      </c>
      <c r="B1226" s="862">
        <v>44513</v>
      </c>
      <c r="C1226" s="493" t="s">
        <v>2053</v>
      </c>
      <c r="D1226" s="376" t="str">
        <f>IFERROR(VLOOKUP(E:E,'Item Data Support Sheet'!A:O,7,0),"")</f>
        <v>HOOD MOLDED</v>
      </c>
      <c r="E1226" s="447" t="s">
        <v>1987</v>
      </c>
      <c r="F1226" s="500"/>
      <c r="G1226" s="497" t="s">
        <v>2729</v>
      </c>
      <c r="H1226" s="602" t="str">
        <f>IFERROR(VLOOKUP(E:E,'Item Data Support Sheet'!A:O,2,0),"")</f>
        <v>HOOD S TYPE MOLDED</v>
      </c>
      <c r="I1226" s="501" t="s">
        <v>4006</v>
      </c>
      <c r="J1226" s="501" t="s">
        <v>3895</v>
      </c>
      <c r="K1226" s="499">
        <v>8</v>
      </c>
      <c r="L1226" s="499">
        <v>4137</v>
      </c>
      <c r="M1226" s="366">
        <v>517.125</v>
      </c>
      <c r="N1226" s="367">
        <f t="shared" si="339"/>
        <v>4813</v>
      </c>
      <c r="O1226" s="61">
        <v>4800</v>
      </c>
      <c r="P1226" s="368">
        <v>0</v>
      </c>
      <c r="Q1226" s="368">
        <v>0</v>
      </c>
      <c r="R1226" s="494">
        <v>0</v>
      </c>
      <c r="S1226" s="493">
        <v>0</v>
      </c>
      <c r="T1226" s="494">
        <v>5</v>
      </c>
      <c r="U1226" s="493">
        <v>8</v>
      </c>
      <c r="V1226" s="502">
        <v>1</v>
      </c>
      <c r="W1226" s="453">
        <f t="shared" si="341"/>
        <v>4800</v>
      </c>
      <c r="X1226" s="748">
        <f t="shared" si="342"/>
        <v>1.1602610587382161</v>
      </c>
      <c r="Y1226" s="451" t="str">
        <f>IFERROR(VLOOKUP(E:E,'Item Data Support Sheet'!A:J,6,0),0)</f>
        <v>HMC</v>
      </c>
      <c r="Z1226" s="428">
        <f>IFERROR(VLOOKUP(E:E,'Item Data Support Sheet'!A:O,4,0),0)</f>
        <v>8.6</v>
      </c>
      <c r="AA1226" s="428">
        <f t="shared" si="343"/>
        <v>41.391800000000003</v>
      </c>
      <c r="AB1226" s="429">
        <f t="shared" si="344"/>
        <v>0.99729898192395594</v>
      </c>
      <c r="AC1226" s="424">
        <f t="shared" si="345"/>
        <v>1.0405827263267431E-3</v>
      </c>
      <c r="AD1226" s="371">
        <f t="shared" si="346"/>
        <v>0</v>
      </c>
      <c r="AE1226" s="748">
        <f t="shared" si="347"/>
        <v>0.9989611468938292</v>
      </c>
      <c r="AF1226" s="417">
        <f t="shared" si="348"/>
        <v>0</v>
      </c>
      <c r="AG1226" s="416">
        <f t="shared" si="349"/>
        <v>8</v>
      </c>
      <c r="AH1226" s="372">
        <f t="shared" si="350"/>
        <v>1</v>
      </c>
      <c r="AI1226" s="373">
        <f t="shared" si="351"/>
        <v>600</v>
      </c>
      <c r="AJ1226" s="418">
        <f>VLOOKUP(D1226,'Standard Cycle time'!C:D,2,0)</f>
        <v>6</v>
      </c>
      <c r="AK1226" s="418">
        <f t="shared" si="352"/>
        <v>6</v>
      </c>
      <c r="AL1226" s="374">
        <f t="shared" si="353"/>
        <v>1</v>
      </c>
      <c r="AM1226" s="372">
        <f t="shared" si="354"/>
        <v>0.9989611468938292</v>
      </c>
      <c r="AN1226" s="799">
        <v>0.9989611468938292</v>
      </c>
      <c r="AO1226" s="448"/>
      <c r="AP1226" s="440">
        <v>0</v>
      </c>
      <c r="AQ1226" s="440">
        <v>0</v>
      </c>
      <c r="AR1226" s="440">
        <v>0</v>
      </c>
      <c r="AS1226" s="440">
        <v>0</v>
      </c>
      <c r="AT1226" s="440">
        <v>0</v>
      </c>
      <c r="AU1226" s="440">
        <v>0</v>
      </c>
      <c r="AV1226" s="440">
        <v>0</v>
      </c>
      <c r="AW1226" s="440">
        <v>0</v>
      </c>
      <c r="AX1226" s="440">
        <v>0</v>
      </c>
      <c r="AY1226" s="440">
        <v>0</v>
      </c>
      <c r="AZ1226" s="440">
        <v>0</v>
      </c>
      <c r="BA1226" s="440">
        <v>0</v>
      </c>
      <c r="BB1226" s="440">
        <v>0</v>
      </c>
      <c r="BC1226" s="440">
        <v>0</v>
      </c>
      <c r="BD1226" s="440">
        <v>0</v>
      </c>
      <c r="BE1226" s="440">
        <v>0</v>
      </c>
      <c r="BF1226" s="440">
        <v>0</v>
      </c>
      <c r="BG1226" s="440">
        <v>0</v>
      </c>
      <c r="BH1226" s="440">
        <v>0</v>
      </c>
      <c r="BI1226" s="440">
        <v>0</v>
      </c>
      <c r="BJ1226" s="440">
        <v>0</v>
      </c>
      <c r="BK1226" s="440">
        <v>0</v>
      </c>
      <c r="BL1226" s="440">
        <v>0</v>
      </c>
      <c r="BM1226" s="440">
        <v>0</v>
      </c>
      <c r="BN1226" s="440">
        <v>0</v>
      </c>
      <c r="BO1226" s="440">
        <v>0</v>
      </c>
      <c r="BP1226" s="440">
        <v>0</v>
      </c>
      <c r="BQ1226" s="440">
        <v>0</v>
      </c>
      <c r="BR1226" s="415">
        <v>0</v>
      </c>
      <c r="BS1226" s="415">
        <v>0</v>
      </c>
      <c r="BT1226" s="935"/>
      <c r="BU1226" s="935"/>
      <c r="BV1226" s="935"/>
      <c r="BW1226" s="935"/>
      <c r="BX1226" s="935"/>
      <c r="BY1226" s="935"/>
      <c r="BZ1226" s="935"/>
      <c r="CA1226" s="935"/>
      <c r="CB1226" s="935"/>
      <c r="CC1226" s="935"/>
      <c r="CD1226" s="935"/>
      <c r="CE1226" s="935"/>
      <c r="CF1226" s="935"/>
      <c r="CG1226" s="935"/>
      <c r="CH1226" s="935"/>
      <c r="CI1226" s="935"/>
      <c r="CJ1226" s="935"/>
      <c r="CK1226" s="935"/>
      <c r="CL1226" s="935"/>
      <c r="CM1226" s="935"/>
      <c r="CN1226" s="935"/>
      <c r="CO1226" s="935"/>
      <c r="CP1226" s="935"/>
      <c r="CQ1226" s="935"/>
      <c r="CR1226" s="935"/>
      <c r="CS1226" s="935"/>
      <c r="CT1226" s="935"/>
      <c r="CU1226" s="935"/>
      <c r="CV1226" s="935"/>
    </row>
    <row r="1227" spans="1:100" s="441" customFormat="1">
      <c r="A1227" s="375">
        <f t="shared" si="340"/>
        <v>11</v>
      </c>
      <c r="B1227" s="862">
        <v>44515</v>
      </c>
      <c r="C1227" s="493" t="s">
        <v>1980</v>
      </c>
      <c r="D1227" s="376" t="str">
        <f>IFERROR(VLOOKUP(E:E,'Item Data Support Sheet'!A:O,7,0),"")</f>
        <v>NIPPLE MOLDED</v>
      </c>
      <c r="E1227" s="447" t="s">
        <v>74</v>
      </c>
      <c r="F1227" s="500"/>
      <c r="G1227" s="497"/>
      <c r="H1227" s="602" t="str">
        <f>IFERROR(VLOOKUP(E:E,'Item Data Support Sheet'!A:O,2,0),"")</f>
        <v>NIPPLE S TYPE L SIZE INJECTION</v>
      </c>
      <c r="I1227" s="501" t="s">
        <v>4007</v>
      </c>
      <c r="J1227" s="501" t="s">
        <v>2808</v>
      </c>
      <c r="K1227" s="499">
        <v>8</v>
      </c>
      <c r="L1227" s="499">
        <v>3600</v>
      </c>
      <c r="M1227" s="366">
        <v>450</v>
      </c>
      <c r="N1227" s="367">
        <f t="shared" si="339"/>
        <v>4110</v>
      </c>
      <c r="O1227" s="61">
        <v>4000</v>
      </c>
      <c r="P1227" s="368">
        <v>0.7</v>
      </c>
      <c r="Q1227" s="368">
        <v>52</v>
      </c>
      <c r="R1227" s="494">
        <v>0</v>
      </c>
      <c r="S1227" s="493">
        <v>0</v>
      </c>
      <c r="T1227" s="494">
        <v>42</v>
      </c>
      <c r="U1227" s="493">
        <v>16</v>
      </c>
      <c r="V1227" s="502">
        <v>1</v>
      </c>
      <c r="W1227" s="453">
        <f t="shared" si="341"/>
        <v>4000</v>
      </c>
      <c r="X1227" s="748">
        <f t="shared" si="342"/>
        <v>1.1111111111111112</v>
      </c>
      <c r="Y1227" s="451" t="str">
        <f>IFERROR(VLOOKUP(E:E,'Item Data Support Sheet'!A:J,6,0),0)</f>
        <v>Silicon</v>
      </c>
      <c r="Z1227" s="428">
        <f>IFERROR(VLOOKUP(E:E,'Item Data Support Sheet'!A:O,4,0),0)</f>
        <v>6.8</v>
      </c>
      <c r="AA1227" s="428">
        <f t="shared" si="343"/>
        <v>28.647999999999996</v>
      </c>
      <c r="AB1227" s="429">
        <f t="shared" si="344"/>
        <v>0.94945545936889142</v>
      </c>
      <c r="AC1227" s="424">
        <f t="shared" si="345"/>
        <v>1.0390895596239486E-2</v>
      </c>
      <c r="AD1227" s="371">
        <f t="shared" si="346"/>
        <v>1.2493993272465162E-2</v>
      </c>
      <c r="AE1227" s="748">
        <f t="shared" si="347"/>
        <v>0.98978102189781025</v>
      </c>
      <c r="AF1227" s="417">
        <f t="shared" si="348"/>
        <v>2.5</v>
      </c>
      <c r="AG1227" s="416">
        <f t="shared" si="349"/>
        <v>5.5</v>
      </c>
      <c r="AH1227" s="372">
        <f t="shared" si="350"/>
        <v>0.6875</v>
      </c>
      <c r="AI1227" s="373">
        <f t="shared" si="351"/>
        <v>500</v>
      </c>
      <c r="AJ1227" s="418">
        <f>VLOOKUP(D1227,'Standard Cycle time'!C:D,2,0)</f>
        <v>5.25</v>
      </c>
      <c r="AK1227" s="418">
        <f t="shared" si="352"/>
        <v>4.95</v>
      </c>
      <c r="AL1227" s="374">
        <f t="shared" si="353"/>
        <v>1.0606060606060606</v>
      </c>
      <c r="AM1227" s="372">
        <f t="shared" si="354"/>
        <v>0.72171532846715325</v>
      </c>
      <c r="AN1227" s="799">
        <v>0.72171532846715325</v>
      </c>
      <c r="AO1227" s="448" t="s">
        <v>4008</v>
      </c>
      <c r="AP1227" s="440">
        <v>0</v>
      </c>
      <c r="AQ1227" s="440">
        <v>0</v>
      </c>
      <c r="AR1227" s="440">
        <v>0</v>
      </c>
      <c r="AS1227" s="440">
        <v>0</v>
      </c>
      <c r="AT1227" s="440">
        <v>0</v>
      </c>
      <c r="AU1227" s="440">
        <v>30</v>
      </c>
      <c r="AV1227" s="440">
        <v>0</v>
      </c>
      <c r="AW1227" s="440">
        <v>0</v>
      </c>
      <c r="AX1227" s="440">
        <v>0</v>
      </c>
      <c r="AY1227" s="440">
        <v>0</v>
      </c>
      <c r="AZ1227" s="440">
        <v>0</v>
      </c>
      <c r="BA1227" s="440">
        <v>0</v>
      </c>
      <c r="BB1227" s="440">
        <v>120</v>
      </c>
      <c r="BC1227" s="440">
        <v>0</v>
      </c>
      <c r="BD1227" s="440">
        <v>0</v>
      </c>
      <c r="BE1227" s="440">
        <v>0</v>
      </c>
      <c r="BF1227" s="440">
        <v>0</v>
      </c>
      <c r="BG1227" s="440">
        <v>0</v>
      </c>
      <c r="BH1227" s="440">
        <v>0</v>
      </c>
      <c r="BI1227" s="440">
        <v>0</v>
      </c>
      <c r="BJ1227" s="440">
        <v>0</v>
      </c>
      <c r="BK1227" s="440">
        <v>0</v>
      </c>
      <c r="BL1227" s="440">
        <v>0</v>
      </c>
      <c r="BM1227" s="440">
        <v>0</v>
      </c>
      <c r="BN1227" s="440">
        <v>0</v>
      </c>
      <c r="BO1227" s="440">
        <v>0</v>
      </c>
      <c r="BP1227" s="440">
        <v>0</v>
      </c>
      <c r="BQ1227" s="440">
        <v>0</v>
      </c>
      <c r="BR1227" s="415">
        <v>2.5</v>
      </c>
      <c r="BS1227" s="415">
        <v>2.5</v>
      </c>
      <c r="BT1227" s="935"/>
      <c r="BU1227" s="935"/>
      <c r="BV1227" s="935"/>
      <c r="BW1227" s="935"/>
      <c r="BX1227" s="935"/>
      <c r="BY1227" s="935"/>
      <c r="BZ1227" s="935"/>
      <c r="CA1227" s="935"/>
      <c r="CB1227" s="935"/>
      <c r="CC1227" s="935"/>
      <c r="CD1227" s="935"/>
      <c r="CE1227" s="935"/>
      <c r="CF1227" s="935"/>
      <c r="CG1227" s="935"/>
      <c r="CH1227" s="935"/>
      <c r="CI1227" s="935"/>
      <c r="CJ1227" s="935"/>
      <c r="CK1227" s="935"/>
      <c r="CL1227" s="935"/>
      <c r="CM1227" s="935"/>
      <c r="CN1227" s="935"/>
      <c r="CO1227" s="935"/>
      <c r="CP1227" s="935"/>
      <c r="CQ1227" s="935"/>
      <c r="CR1227" s="935"/>
      <c r="CS1227" s="935"/>
      <c r="CT1227" s="935"/>
      <c r="CU1227" s="935"/>
      <c r="CV1227" s="935"/>
    </row>
    <row r="1228" spans="1:100" s="441" customFormat="1">
      <c r="A1228" s="375">
        <f t="shared" si="340"/>
        <v>11</v>
      </c>
      <c r="B1228" s="862">
        <v>44515</v>
      </c>
      <c r="C1228" s="493" t="s">
        <v>1980</v>
      </c>
      <c r="D1228" s="376" t="str">
        <f>IFERROR(VLOOKUP(E:E,'Item Data Support Sheet'!A:O,7,0),"")</f>
        <v>HOOD MOLDED</v>
      </c>
      <c r="E1228" s="447" t="s">
        <v>1987</v>
      </c>
      <c r="F1228" s="500"/>
      <c r="G1228" s="497"/>
      <c r="H1228" s="602" t="str">
        <f>IFERROR(VLOOKUP(E:E,'Item Data Support Sheet'!A:O,2,0),"")</f>
        <v>HOOD S TYPE MOLDED</v>
      </c>
      <c r="I1228" s="501" t="s">
        <v>4009</v>
      </c>
      <c r="J1228" s="501" t="s">
        <v>2808</v>
      </c>
      <c r="K1228" s="499">
        <v>8</v>
      </c>
      <c r="L1228" s="499">
        <v>4137</v>
      </c>
      <c r="M1228" s="366">
        <v>517.125</v>
      </c>
      <c r="N1228" s="367">
        <f t="shared" si="339"/>
        <v>4513</v>
      </c>
      <c r="O1228" s="61">
        <v>4500</v>
      </c>
      <c r="P1228" s="368">
        <v>0</v>
      </c>
      <c r="Q1228" s="368">
        <v>0</v>
      </c>
      <c r="R1228" s="494">
        <v>0</v>
      </c>
      <c r="S1228" s="493">
        <v>0</v>
      </c>
      <c r="T1228" s="494">
        <v>5</v>
      </c>
      <c r="U1228" s="493">
        <v>8</v>
      </c>
      <c r="V1228" s="502">
        <v>1</v>
      </c>
      <c r="W1228" s="453">
        <f t="shared" si="341"/>
        <v>4500</v>
      </c>
      <c r="X1228" s="748">
        <f t="shared" si="342"/>
        <v>1.0877447425670776</v>
      </c>
      <c r="Y1228" s="451" t="str">
        <f>IFERROR(VLOOKUP(E:E,'Item Data Support Sheet'!A:J,6,0),0)</f>
        <v>HMC</v>
      </c>
      <c r="Z1228" s="428">
        <f>IFERROR(VLOOKUP(E:E,'Item Data Support Sheet'!A:O,4,0),0)</f>
        <v>8.6</v>
      </c>
      <c r="AA1228" s="428">
        <f t="shared" si="343"/>
        <v>38.811799999999998</v>
      </c>
      <c r="AB1228" s="429">
        <f t="shared" si="344"/>
        <v>0.99711943274983394</v>
      </c>
      <c r="AC1228" s="424">
        <f t="shared" si="345"/>
        <v>1.1098779134295228E-3</v>
      </c>
      <c r="AD1228" s="371">
        <f t="shared" si="346"/>
        <v>0</v>
      </c>
      <c r="AE1228" s="748">
        <f t="shared" si="347"/>
        <v>0.99889208951916686</v>
      </c>
      <c r="AF1228" s="417">
        <f t="shared" si="348"/>
        <v>1</v>
      </c>
      <c r="AG1228" s="416">
        <f t="shared" si="349"/>
        <v>7</v>
      </c>
      <c r="AH1228" s="372">
        <f t="shared" si="350"/>
        <v>0.875</v>
      </c>
      <c r="AI1228" s="373">
        <f t="shared" si="351"/>
        <v>562.5</v>
      </c>
      <c r="AJ1228" s="418">
        <f>VLOOKUP(D1228,'Standard Cycle time'!C:D,2,0)</f>
        <v>6</v>
      </c>
      <c r="AK1228" s="418">
        <f t="shared" si="352"/>
        <v>5.6</v>
      </c>
      <c r="AL1228" s="374">
        <f t="shared" si="353"/>
        <v>1.0714285714285714</v>
      </c>
      <c r="AM1228" s="372">
        <f t="shared" si="354"/>
        <v>0.93646133392421893</v>
      </c>
      <c r="AN1228" s="799">
        <v>0.93646133392421893</v>
      </c>
      <c r="AO1228" s="448" t="s">
        <v>4008</v>
      </c>
      <c r="AP1228" s="440">
        <v>0</v>
      </c>
      <c r="AQ1228" s="440">
        <v>0</v>
      </c>
      <c r="AR1228" s="440">
        <v>0</v>
      </c>
      <c r="AS1228" s="440">
        <v>0</v>
      </c>
      <c r="AT1228" s="440">
        <v>0</v>
      </c>
      <c r="AU1228" s="440">
        <v>0</v>
      </c>
      <c r="AV1228" s="440">
        <v>0</v>
      </c>
      <c r="AW1228" s="440">
        <v>0</v>
      </c>
      <c r="AX1228" s="440">
        <v>0</v>
      </c>
      <c r="AY1228" s="440">
        <v>0</v>
      </c>
      <c r="AZ1228" s="440">
        <v>30</v>
      </c>
      <c r="BA1228" s="440">
        <v>0</v>
      </c>
      <c r="BB1228" s="440">
        <v>30</v>
      </c>
      <c r="BC1228" s="440">
        <v>0</v>
      </c>
      <c r="BD1228" s="440">
        <v>0</v>
      </c>
      <c r="BE1228" s="440">
        <v>0</v>
      </c>
      <c r="BF1228" s="440">
        <v>0</v>
      </c>
      <c r="BG1228" s="440">
        <v>0</v>
      </c>
      <c r="BH1228" s="440">
        <v>0</v>
      </c>
      <c r="BI1228" s="440">
        <v>0</v>
      </c>
      <c r="BJ1228" s="440">
        <v>0</v>
      </c>
      <c r="BK1228" s="440">
        <v>0</v>
      </c>
      <c r="BL1228" s="440">
        <v>0</v>
      </c>
      <c r="BM1228" s="440">
        <v>0</v>
      </c>
      <c r="BN1228" s="440">
        <v>0</v>
      </c>
      <c r="BO1228" s="440">
        <v>0</v>
      </c>
      <c r="BP1228" s="440">
        <v>0</v>
      </c>
      <c r="BQ1228" s="440">
        <v>0</v>
      </c>
      <c r="BR1228" s="415">
        <v>1</v>
      </c>
      <c r="BS1228" s="415">
        <v>1</v>
      </c>
      <c r="BT1228" s="935"/>
      <c r="BU1228" s="935"/>
      <c r="BV1228" s="935"/>
      <c r="BW1228" s="935"/>
      <c r="BX1228" s="935"/>
      <c r="BY1228" s="935"/>
      <c r="BZ1228" s="935"/>
      <c r="CA1228" s="935"/>
      <c r="CB1228" s="935"/>
      <c r="CC1228" s="935"/>
      <c r="CD1228" s="935"/>
      <c r="CE1228" s="935"/>
      <c r="CF1228" s="935"/>
      <c r="CG1228" s="935"/>
      <c r="CH1228" s="935"/>
      <c r="CI1228" s="935"/>
      <c r="CJ1228" s="935"/>
      <c r="CK1228" s="935"/>
      <c r="CL1228" s="935"/>
      <c r="CM1228" s="935"/>
      <c r="CN1228" s="935"/>
      <c r="CO1228" s="935"/>
      <c r="CP1228" s="935"/>
      <c r="CQ1228" s="935"/>
      <c r="CR1228" s="935"/>
      <c r="CS1228" s="935"/>
      <c r="CT1228" s="935"/>
      <c r="CU1228" s="935"/>
      <c r="CV1228" s="935"/>
    </row>
    <row r="1229" spans="1:100" s="441" customFormat="1">
      <c r="A1229" s="375">
        <f t="shared" si="340"/>
        <v>11</v>
      </c>
      <c r="B1229" s="862">
        <v>44515</v>
      </c>
      <c r="C1229" s="493" t="s">
        <v>1980</v>
      </c>
      <c r="D1229" s="376" t="str">
        <f>IFERROR(VLOOKUP(E:E,'Item Data Support Sheet'!A:O,7,0),"")</f>
        <v>NIPPLE PUNCH</v>
      </c>
      <c r="E1229" s="447" t="s">
        <v>82</v>
      </c>
      <c r="F1229" s="500"/>
      <c r="G1229" s="497" t="s">
        <v>1692</v>
      </c>
      <c r="H1229" s="602" t="str">
        <f>IFERROR(VLOOKUP(E:E,'Item Data Support Sheet'!A:O,2,0),"")</f>
        <v>NIPPLE S TYPE L SIZE PUNCHED</v>
      </c>
      <c r="I1229" s="501" t="s">
        <v>4010</v>
      </c>
      <c r="J1229" s="501" t="s">
        <v>2808</v>
      </c>
      <c r="K1229" s="499">
        <v>8</v>
      </c>
      <c r="L1229" s="499">
        <v>7000</v>
      </c>
      <c r="M1229" s="366">
        <v>875</v>
      </c>
      <c r="N1229" s="367">
        <f t="shared" si="339"/>
        <v>6900</v>
      </c>
      <c r="O1229" s="61">
        <v>6900</v>
      </c>
      <c r="P1229" s="368">
        <v>0</v>
      </c>
      <c r="Q1229" s="368">
        <v>0</v>
      </c>
      <c r="R1229" s="494">
        <v>0</v>
      </c>
      <c r="S1229" s="493">
        <v>0</v>
      </c>
      <c r="T1229" s="494">
        <v>0</v>
      </c>
      <c r="U1229" s="493">
        <v>0</v>
      </c>
      <c r="V1229" s="502">
        <v>1</v>
      </c>
      <c r="W1229" s="453">
        <f t="shared" si="341"/>
        <v>6900</v>
      </c>
      <c r="X1229" s="748">
        <f t="shared" si="342"/>
        <v>0.98571428571428577</v>
      </c>
      <c r="Y1229" s="451" t="str">
        <f>IFERROR(VLOOKUP(E:E,'Item Data Support Sheet'!A:J,6,0),0)</f>
        <v>FO017</v>
      </c>
      <c r="Z1229" s="428">
        <f>IFERROR(VLOOKUP(E:E,'Item Data Support Sheet'!A:O,4,0),0)</f>
        <v>0</v>
      </c>
      <c r="AA1229" s="428">
        <f t="shared" si="343"/>
        <v>0</v>
      </c>
      <c r="AB1229" s="429" t="str">
        <f t="shared" si="344"/>
        <v xml:space="preserve"> </v>
      </c>
      <c r="AC1229" s="424">
        <f t="shared" si="345"/>
        <v>0</v>
      </c>
      <c r="AD1229" s="371">
        <f t="shared" si="346"/>
        <v>0</v>
      </c>
      <c r="AE1229" s="748">
        <f t="shared" si="347"/>
        <v>1</v>
      </c>
      <c r="AF1229" s="417">
        <f t="shared" si="348"/>
        <v>1.1666666666666667</v>
      </c>
      <c r="AG1229" s="416">
        <f t="shared" si="349"/>
        <v>6.833333333333333</v>
      </c>
      <c r="AH1229" s="372">
        <f t="shared" si="350"/>
        <v>0.85416666666666663</v>
      </c>
      <c r="AI1229" s="373">
        <f t="shared" si="351"/>
        <v>862.5</v>
      </c>
      <c r="AJ1229" s="418">
        <f>VLOOKUP(D1229,'Standard Cycle time'!C:D,2,0)</f>
        <v>3.5</v>
      </c>
      <c r="AK1229" s="418">
        <f t="shared" si="352"/>
        <v>3.5652173913043477</v>
      </c>
      <c r="AL1229" s="374">
        <f t="shared" si="353"/>
        <v>0.98170731707317083</v>
      </c>
      <c r="AM1229" s="372">
        <f t="shared" si="354"/>
        <v>0.83854166666666674</v>
      </c>
      <c r="AN1229" s="799">
        <v>0.83854166666666674</v>
      </c>
      <c r="AO1229" s="448" t="s">
        <v>4011</v>
      </c>
      <c r="AP1229" s="440">
        <v>40</v>
      </c>
      <c r="AQ1229" s="440">
        <v>0</v>
      </c>
      <c r="AR1229" s="440">
        <v>0</v>
      </c>
      <c r="AS1229" s="440">
        <v>0</v>
      </c>
      <c r="AT1229" s="440">
        <v>0</v>
      </c>
      <c r="AU1229" s="440">
        <v>0</v>
      </c>
      <c r="AV1229" s="440">
        <v>0</v>
      </c>
      <c r="AW1229" s="440">
        <v>0</v>
      </c>
      <c r="AX1229" s="440">
        <v>0</v>
      </c>
      <c r="AY1229" s="440">
        <v>0</v>
      </c>
      <c r="AZ1229" s="440">
        <v>0</v>
      </c>
      <c r="BA1229" s="440">
        <v>0</v>
      </c>
      <c r="BB1229" s="440">
        <v>0</v>
      </c>
      <c r="BC1229" s="440">
        <v>0</v>
      </c>
      <c r="BD1229" s="440">
        <v>0</v>
      </c>
      <c r="BE1229" s="440">
        <v>0</v>
      </c>
      <c r="BF1229" s="440">
        <v>0</v>
      </c>
      <c r="BG1229" s="440">
        <v>0</v>
      </c>
      <c r="BH1229" s="440">
        <v>0</v>
      </c>
      <c r="BI1229" s="440">
        <v>0</v>
      </c>
      <c r="BJ1229" s="440">
        <v>0</v>
      </c>
      <c r="BK1229" s="440">
        <v>0</v>
      </c>
      <c r="BL1229" s="440">
        <v>0</v>
      </c>
      <c r="BM1229" s="440">
        <v>0</v>
      </c>
      <c r="BN1229" s="440">
        <v>0</v>
      </c>
      <c r="BO1229" s="440">
        <v>0</v>
      </c>
      <c r="BP1229" s="440">
        <v>0</v>
      </c>
      <c r="BQ1229" s="440">
        <v>30</v>
      </c>
      <c r="BR1229" s="415">
        <v>1.1666666666666667</v>
      </c>
      <c r="BS1229" s="415">
        <v>1.1666666666666667</v>
      </c>
      <c r="BT1229" s="935"/>
      <c r="BU1229" s="935"/>
      <c r="BV1229" s="935"/>
      <c r="BW1229" s="935"/>
      <c r="BX1229" s="935"/>
      <c r="BY1229" s="935"/>
      <c r="BZ1229" s="935"/>
      <c r="CA1229" s="935"/>
      <c r="CB1229" s="935"/>
      <c r="CC1229" s="935"/>
      <c r="CD1229" s="935"/>
      <c r="CE1229" s="935"/>
      <c r="CF1229" s="935"/>
      <c r="CG1229" s="935"/>
      <c r="CH1229" s="935"/>
      <c r="CI1229" s="935"/>
      <c r="CJ1229" s="935"/>
      <c r="CK1229" s="935"/>
      <c r="CL1229" s="935"/>
      <c r="CM1229" s="935"/>
      <c r="CN1229" s="935"/>
      <c r="CO1229" s="935"/>
      <c r="CP1229" s="935"/>
      <c r="CQ1229" s="935"/>
      <c r="CR1229" s="935"/>
      <c r="CS1229" s="935"/>
      <c r="CT1229" s="935"/>
      <c r="CU1229" s="935"/>
      <c r="CV1229" s="935"/>
    </row>
    <row r="1230" spans="1:100" s="441" customFormat="1">
      <c r="A1230" s="375">
        <f t="shared" si="340"/>
        <v>11</v>
      </c>
      <c r="B1230" s="862">
        <v>44515</v>
      </c>
      <c r="C1230" s="493" t="s">
        <v>1980</v>
      </c>
      <c r="D1230" s="376" t="str">
        <f>IFERROR(VLOOKUP(E:E,'Item Data Support Sheet'!A:O,7,0),"")</f>
        <v>NIPPLE LASER MARKING</v>
      </c>
      <c r="E1230" s="447" t="s">
        <v>1816</v>
      </c>
      <c r="F1230" s="500"/>
      <c r="G1230" s="497" t="s">
        <v>1812</v>
      </c>
      <c r="H1230" s="602" t="str">
        <f>IFERROR(VLOOKUP(E:E,'Item Data Support Sheet'!A:O,2,0),"")</f>
        <v>NIPPLE S TYPE L SIZE PUNCHED LASER MARKED</v>
      </c>
      <c r="I1230" s="501" t="s">
        <v>4012</v>
      </c>
      <c r="J1230" s="501" t="s">
        <v>2808</v>
      </c>
      <c r="K1230" s="499">
        <v>8</v>
      </c>
      <c r="L1230" s="499">
        <v>7000</v>
      </c>
      <c r="M1230" s="366">
        <v>875</v>
      </c>
      <c r="N1230" s="367">
        <f t="shared" si="339"/>
        <v>5900</v>
      </c>
      <c r="O1230" s="61">
        <v>5900</v>
      </c>
      <c r="P1230" s="368">
        <v>0</v>
      </c>
      <c r="Q1230" s="368">
        <v>0</v>
      </c>
      <c r="R1230" s="494">
        <v>0</v>
      </c>
      <c r="S1230" s="493">
        <v>0</v>
      </c>
      <c r="T1230" s="494">
        <v>0</v>
      </c>
      <c r="U1230" s="493">
        <v>0</v>
      </c>
      <c r="V1230" s="502">
        <v>1</v>
      </c>
      <c r="W1230" s="453">
        <f t="shared" si="341"/>
        <v>5900</v>
      </c>
      <c r="X1230" s="748">
        <f t="shared" si="342"/>
        <v>0.84285714285714286</v>
      </c>
      <c r="Y1230" s="451" t="str">
        <f>IFERROR(VLOOKUP(E:E,'Item Data Support Sheet'!A:J,6,0),0)</f>
        <v>FO021</v>
      </c>
      <c r="Z1230" s="428">
        <f>IFERROR(VLOOKUP(E:E,'Item Data Support Sheet'!A:O,4,0),0)</f>
        <v>0</v>
      </c>
      <c r="AA1230" s="428">
        <f t="shared" si="343"/>
        <v>0</v>
      </c>
      <c r="AB1230" s="429" t="str">
        <f t="shared" si="344"/>
        <v xml:space="preserve"> </v>
      </c>
      <c r="AC1230" s="424">
        <f t="shared" si="345"/>
        <v>0</v>
      </c>
      <c r="AD1230" s="371">
        <f t="shared" si="346"/>
        <v>0</v>
      </c>
      <c r="AE1230" s="748">
        <f t="shared" si="347"/>
        <v>1</v>
      </c>
      <c r="AF1230" s="417">
        <f t="shared" si="348"/>
        <v>1</v>
      </c>
      <c r="AG1230" s="416">
        <f t="shared" si="349"/>
        <v>7</v>
      </c>
      <c r="AH1230" s="372">
        <f t="shared" si="350"/>
        <v>0.875</v>
      </c>
      <c r="AI1230" s="373">
        <f t="shared" si="351"/>
        <v>737.5</v>
      </c>
      <c r="AJ1230" s="418">
        <f>VLOOKUP(D1230,'Standard Cycle time'!C:D,2,0)</f>
        <v>3.5</v>
      </c>
      <c r="AK1230" s="418">
        <f t="shared" si="352"/>
        <v>4.2711864406779663</v>
      </c>
      <c r="AL1230" s="374">
        <f t="shared" si="353"/>
        <v>0.81944444444444442</v>
      </c>
      <c r="AM1230" s="372">
        <f t="shared" si="354"/>
        <v>0.71701388888888884</v>
      </c>
      <c r="AN1230" s="799">
        <v>0.71701388888888884</v>
      </c>
      <c r="AO1230" s="448" t="s">
        <v>4013</v>
      </c>
      <c r="AP1230" s="440">
        <v>40</v>
      </c>
      <c r="AQ1230" s="440">
        <v>0</v>
      </c>
      <c r="AR1230" s="440">
        <v>0</v>
      </c>
      <c r="AS1230" s="440">
        <v>0</v>
      </c>
      <c r="AT1230" s="440">
        <v>0</v>
      </c>
      <c r="AU1230" s="440">
        <v>0</v>
      </c>
      <c r="AV1230" s="440">
        <v>0</v>
      </c>
      <c r="AW1230" s="440">
        <v>0</v>
      </c>
      <c r="AX1230" s="440">
        <v>0</v>
      </c>
      <c r="AY1230" s="440">
        <v>0</v>
      </c>
      <c r="AZ1230" s="440">
        <v>20</v>
      </c>
      <c r="BA1230" s="440">
        <v>0</v>
      </c>
      <c r="BB1230" s="440">
        <v>0</v>
      </c>
      <c r="BC1230" s="440">
        <v>0</v>
      </c>
      <c r="BD1230" s="440">
        <v>0</v>
      </c>
      <c r="BE1230" s="440">
        <v>0</v>
      </c>
      <c r="BF1230" s="440">
        <v>0</v>
      </c>
      <c r="BG1230" s="440">
        <v>0</v>
      </c>
      <c r="BH1230" s="440">
        <v>0</v>
      </c>
      <c r="BI1230" s="440">
        <v>0</v>
      </c>
      <c r="BJ1230" s="440">
        <v>0</v>
      </c>
      <c r="BK1230" s="440">
        <v>0</v>
      </c>
      <c r="BL1230" s="440">
        <v>0</v>
      </c>
      <c r="BM1230" s="440">
        <v>0</v>
      </c>
      <c r="BN1230" s="440">
        <v>0</v>
      </c>
      <c r="BO1230" s="440">
        <v>0</v>
      </c>
      <c r="BP1230" s="440">
        <v>0</v>
      </c>
      <c r="BQ1230" s="440">
        <v>0</v>
      </c>
      <c r="BR1230" s="415">
        <v>1</v>
      </c>
      <c r="BS1230" s="415">
        <v>1</v>
      </c>
      <c r="BT1230" s="935"/>
      <c r="BU1230" s="935"/>
      <c r="BV1230" s="935"/>
      <c r="BW1230" s="935"/>
      <c r="BX1230" s="935"/>
      <c r="BY1230" s="935"/>
      <c r="BZ1230" s="935"/>
      <c r="CA1230" s="935"/>
      <c r="CB1230" s="935"/>
      <c r="CC1230" s="935"/>
      <c r="CD1230" s="935"/>
      <c r="CE1230" s="935"/>
      <c r="CF1230" s="935"/>
      <c r="CG1230" s="935"/>
      <c r="CH1230" s="935"/>
      <c r="CI1230" s="935"/>
      <c r="CJ1230" s="935"/>
      <c r="CK1230" s="935"/>
      <c r="CL1230" s="935"/>
      <c r="CM1230" s="935"/>
      <c r="CN1230" s="935"/>
      <c r="CO1230" s="935"/>
      <c r="CP1230" s="935"/>
      <c r="CQ1230" s="935"/>
      <c r="CR1230" s="935"/>
      <c r="CS1230" s="935"/>
      <c r="CT1230" s="935"/>
      <c r="CU1230" s="935"/>
      <c r="CV1230" s="935"/>
    </row>
    <row r="1231" spans="1:100" s="441" customFormat="1">
      <c r="A1231" s="375">
        <f t="shared" si="340"/>
        <v>11</v>
      </c>
      <c r="B1231" s="862">
        <v>44515</v>
      </c>
      <c r="C1231" s="493" t="s">
        <v>1980</v>
      </c>
      <c r="D1231" s="376" t="str">
        <f>IFERROR(VLOOKUP(E:E,'Item Data Support Sheet'!A:O,7,0),"")</f>
        <v>BOTTLE PRINTED</v>
      </c>
      <c r="E1231" s="447" t="s">
        <v>64</v>
      </c>
      <c r="F1231" s="500"/>
      <c r="G1231" s="497"/>
      <c r="H1231" s="602" t="str">
        <f>IFERROR(VLOOKUP(E:E,'Item Data Support Sheet'!A:O,2,0),"")</f>
        <v>KPP 240 ML BOTTLE PRINTED</v>
      </c>
      <c r="I1231" s="501" t="s">
        <v>4014</v>
      </c>
      <c r="J1231" s="501" t="s">
        <v>3929</v>
      </c>
      <c r="K1231" s="499">
        <v>8</v>
      </c>
      <c r="L1231" s="499">
        <v>5120</v>
      </c>
      <c r="M1231" s="366">
        <v>640</v>
      </c>
      <c r="N1231" s="367">
        <f t="shared" si="339"/>
        <v>3058</v>
      </c>
      <c r="O1231" s="61">
        <v>3024</v>
      </c>
      <c r="P1231" s="368">
        <v>0</v>
      </c>
      <c r="Q1231" s="368">
        <v>0</v>
      </c>
      <c r="R1231" s="494">
        <v>33</v>
      </c>
      <c r="S1231" s="493">
        <v>0</v>
      </c>
      <c r="T1231" s="494">
        <v>34</v>
      </c>
      <c r="U1231" s="493">
        <v>0</v>
      </c>
      <c r="V1231" s="502">
        <v>4</v>
      </c>
      <c r="W1231" s="453">
        <f t="shared" si="341"/>
        <v>756</v>
      </c>
      <c r="X1231" s="748">
        <f t="shared" si="342"/>
        <v>0.59062499999999996</v>
      </c>
      <c r="Y1231" s="451" t="str">
        <f>IFERROR(VLOOKUP(E:E,'Item Data Support Sheet'!A:J,6,0),0)</f>
        <v>FO003</v>
      </c>
      <c r="Z1231" s="428">
        <f>IFERROR(VLOOKUP(E:E,'Item Data Support Sheet'!A:O,4,0),0)</f>
        <v>0</v>
      </c>
      <c r="AA1231" s="428">
        <f t="shared" si="343"/>
        <v>0</v>
      </c>
      <c r="AB1231" s="429" t="str">
        <f t="shared" si="344"/>
        <v xml:space="preserve"> </v>
      </c>
      <c r="AC1231" s="424">
        <f t="shared" si="345"/>
        <v>1.1118378024852845E-2</v>
      </c>
      <c r="AD1231" s="371">
        <f t="shared" si="346"/>
        <v>0</v>
      </c>
      <c r="AE1231" s="748">
        <f t="shared" si="347"/>
        <v>0.98888162197514717</v>
      </c>
      <c r="AF1231" s="417">
        <f t="shared" si="348"/>
        <v>0.66666666666666663</v>
      </c>
      <c r="AG1231" s="416">
        <f t="shared" si="349"/>
        <v>7.333333333333333</v>
      </c>
      <c r="AH1231" s="372">
        <f t="shared" si="350"/>
        <v>0.91666666666666663</v>
      </c>
      <c r="AI1231" s="373">
        <f t="shared" si="351"/>
        <v>378</v>
      </c>
      <c r="AJ1231" s="418">
        <f>VLOOKUP(D1231,'Standard Cycle time'!C:D,2,0)</f>
        <v>32.4</v>
      </c>
      <c r="AK1231" s="418">
        <f t="shared" si="352"/>
        <v>34.920634920634917</v>
      </c>
      <c r="AL1231" s="374">
        <f t="shared" si="353"/>
        <v>0.92781818181818188</v>
      </c>
      <c r="AM1231" s="372">
        <f t="shared" si="354"/>
        <v>0.84104381948986273</v>
      </c>
      <c r="AN1231" s="799">
        <v>0.84104381948986273</v>
      </c>
      <c r="AO1231" s="448" t="s">
        <v>3583</v>
      </c>
      <c r="AP1231" s="440">
        <v>40</v>
      </c>
      <c r="AQ1231" s="440">
        <v>0</v>
      </c>
      <c r="AR1231" s="440">
        <v>0</v>
      </c>
      <c r="AS1231" s="440">
        <v>0</v>
      </c>
      <c r="AT1231" s="440">
        <v>0</v>
      </c>
      <c r="AU1231" s="440">
        <v>0</v>
      </c>
      <c r="AV1231" s="440">
        <v>0</v>
      </c>
      <c r="AW1231" s="440">
        <v>0</v>
      </c>
      <c r="AX1231" s="440">
        <v>0</v>
      </c>
      <c r="AY1231" s="440">
        <v>0</v>
      </c>
      <c r="AZ1231" s="440">
        <v>0</v>
      </c>
      <c r="BA1231" s="440">
        <v>0</v>
      </c>
      <c r="BB1231" s="440">
        <v>0</v>
      </c>
      <c r="BC1231" s="440">
        <v>0</v>
      </c>
      <c r="BD1231" s="440">
        <v>0</v>
      </c>
      <c r="BE1231" s="440">
        <v>0</v>
      </c>
      <c r="BF1231" s="440">
        <v>0</v>
      </c>
      <c r="BG1231" s="440">
        <v>0</v>
      </c>
      <c r="BH1231" s="440">
        <v>0</v>
      </c>
      <c r="BI1231" s="440">
        <v>0</v>
      </c>
      <c r="BJ1231" s="440">
        <v>0</v>
      </c>
      <c r="BK1231" s="440">
        <v>0</v>
      </c>
      <c r="BL1231" s="440">
        <v>0</v>
      </c>
      <c r="BM1231" s="440">
        <v>0</v>
      </c>
      <c r="BN1231" s="440">
        <v>0</v>
      </c>
      <c r="BO1231" s="440">
        <v>0</v>
      </c>
      <c r="BP1231" s="440">
        <v>0</v>
      </c>
      <c r="BQ1231" s="440">
        <v>0</v>
      </c>
      <c r="BR1231" s="415">
        <v>0.66666666666666663</v>
      </c>
      <c r="BS1231" s="415">
        <v>0.66666666666666663</v>
      </c>
      <c r="BT1231" s="935"/>
      <c r="BU1231" s="935"/>
      <c r="BV1231" s="935"/>
      <c r="BW1231" s="935"/>
      <c r="BX1231" s="935"/>
      <c r="BY1231" s="935"/>
      <c r="BZ1231" s="935"/>
      <c r="CA1231" s="935"/>
      <c r="CB1231" s="935"/>
      <c r="CC1231" s="935"/>
      <c r="CD1231" s="935"/>
      <c r="CE1231" s="935"/>
      <c r="CF1231" s="935"/>
      <c r="CG1231" s="935"/>
      <c r="CH1231" s="935"/>
      <c r="CI1231" s="935"/>
      <c r="CJ1231" s="935"/>
      <c r="CK1231" s="935"/>
      <c r="CL1231" s="935"/>
      <c r="CM1231" s="935"/>
      <c r="CN1231" s="935"/>
      <c r="CO1231" s="935"/>
      <c r="CP1231" s="935"/>
      <c r="CQ1231" s="935"/>
      <c r="CR1231" s="935"/>
      <c r="CS1231" s="935"/>
      <c r="CT1231" s="935"/>
      <c r="CU1231" s="935"/>
      <c r="CV1231" s="935"/>
    </row>
    <row r="1232" spans="1:100" s="441" customFormat="1">
      <c r="A1232" s="375">
        <f t="shared" si="340"/>
        <v>11</v>
      </c>
      <c r="B1232" s="862">
        <v>44515</v>
      </c>
      <c r="C1232" s="493" t="s">
        <v>2000</v>
      </c>
      <c r="D1232" s="376" t="str">
        <f>IFERROR(VLOOKUP(E:E,'Item Data Support Sheet'!A:O,7,0),"")</f>
        <v>NIPPLE PUNCH INSPECTED</v>
      </c>
      <c r="E1232" s="447" t="s">
        <v>1821</v>
      </c>
      <c r="F1232" s="500"/>
      <c r="G1232" s="497"/>
      <c r="H1232" s="602" t="str">
        <f>IFERROR(VLOOKUP(E:E,'Item Data Support Sheet'!A:O,2,0),"")</f>
        <v>NIPPLE S TYPE Y SIZE PUNCHED INSPECTED</v>
      </c>
      <c r="I1232" s="501" t="s">
        <v>3995</v>
      </c>
      <c r="J1232" s="501" t="s">
        <v>2811</v>
      </c>
      <c r="K1232" s="499">
        <v>3</v>
      </c>
      <c r="L1232" s="499">
        <v>5250</v>
      </c>
      <c r="M1232" s="366">
        <v>1750</v>
      </c>
      <c r="N1232" s="367">
        <f t="shared" si="339"/>
        <v>3050</v>
      </c>
      <c r="O1232" s="61">
        <v>3021</v>
      </c>
      <c r="P1232" s="368">
        <v>0</v>
      </c>
      <c r="Q1232" s="368">
        <v>0</v>
      </c>
      <c r="R1232" s="494">
        <v>0</v>
      </c>
      <c r="S1232" s="493">
        <v>0</v>
      </c>
      <c r="T1232" s="494">
        <v>29</v>
      </c>
      <c r="U1232" s="493">
        <v>0</v>
      </c>
      <c r="V1232" s="502">
        <v>2</v>
      </c>
      <c r="W1232" s="453">
        <f t="shared" si="341"/>
        <v>1510.5</v>
      </c>
      <c r="X1232" s="748">
        <f t="shared" si="342"/>
        <v>0.5754285714285714</v>
      </c>
      <c r="Y1232" s="451" t="str">
        <f>IFERROR(VLOOKUP(E:E,'Item Data Support Sheet'!A:J,6,0),0)</f>
        <v>FO107</v>
      </c>
      <c r="Z1232" s="428">
        <f>IFERROR(VLOOKUP(E:E,'Item Data Support Sheet'!A:O,4,0),0)</f>
        <v>0</v>
      </c>
      <c r="AA1232" s="428">
        <f t="shared" si="343"/>
        <v>0</v>
      </c>
      <c r="AB1232" s="429" t="str">
        <f t="shared" si="344"/>
        <v xml:space="preserve"> </v>
      </c>
      <c r="AC1232" s="424">
        <f t="shared" si="345"/>
        <v>9.5081967213114758E-3</v>
      </c>
      <c r="AD1232" s="371">
        <f t="shared" si="346"/>
        <v>0</v>
      </c>
      <c r="AE1232" s="748">
        <f t="shared" si="347"/>
        <v>0.99049180327868858</v>
      </c>
      <c r="AF1232" s="417">
        <f t="shared" si="348"/>
        <v>0.83333333333333337</v>
      </c>
      <c r="AG1232" s="416">
        <f t="shared" si="349"/>
        <v>2.1666666666666665</v>
      </c>
      <c r="AH1232" s="372">
        <f t="shared" si="350"/>
        <v>0.72222222222222221</v>
      </c>
      <c r="AI1232" s="373">
        <f t="shared" si="351"/>
        <v>1007</v>
      </c>
      <c r="AJ1232" s="418">
        <f>VLOOKUP(D1232,'Standard Cycle time'!C:D,2,0)</f>
        <v>4</v>
      </c>
      <c r="AK1232" s="418">
        <f t="shared" si="352"/>
        <v>5.1638530287984103</v>
      </c>
      <c r="AL1232" s="374">
        <f t="shared" si="353"/>
        <v>0.77461538461538471</v>
      </c>
      <c r="AM1232" s="372">
        <f t="shared" si="354"/>
        <v>0.55412513661202201</v>
      </c>
      <c r="AN1232" s="799">
        <v>0.55412513661202201</v>
      </c>
      <c r="AO1232" s="448"/>
      <c r="AP1232" s="440">
        <v>50</v>
      </c>
      <c r="AQ1232" s="440">
        <v>0</v>
      </c>
      <c r="AR1232" s="440">
        <v>0</v>
      </c>
      <c r="AS1232" s="440">
        <v>0</v>
      </c>
      <c r="AT1232" s="440">
        <v>0</v>
      </c>
      <c r="AU1232" s="440">
        <v>0</v>
      </c>
      <c r="AV1232" s="440">
        <v>0</v>
      </c>
      <c r="AW1232" s="440">
        <v>0</v>
      </c>
      <c r="AX1232" s="440">
        <v>0</v>
      </c>
      <c r="AY1232" s="440">
        <v>0</v>
      </c>
      <c r="AZ1232" s="440">
        <v>0</v>
      </c>
      <c r="BA1232" s="440">
        <v>0</v>
      </c>
      <c r="BB1232" s="440">
        <v>0</v>
      </c>
      <c r="BC1232" s="440">
        <v>0</v>
      </c>
      <c r="BD1232" s="440">
        <v>0</v>
      </c>
      <c r="BE1232" s="440">
        <v>0</v>
      </c>
      <c r="BF1232" s="440">
        <v>0</v>
      </c>
      <c r="BG1232" s="440">
        <v>0</v>
      </c>
      <c r="BH1232" s="440">
        <v>0</v>
      </c>
      <c r="BI1232" s="440">
        <v>0</v>
      </c>
      <c r="BJ1232" s="440">
        <v>0</v>
      </c>
      <c r="BK1232" s="440">
        <v>0</v>
      </c>
      <c r="BL1232" s="440">
        <v>0</v>
      </c>
      <c r="BM1232" s="440">
        <v>0</v>
      </c>
      <c r="BN1232" s="440">
        <v>0</v>
      </c>
      <c r="BO1232" s="440">
        <v>0</v>
      </c>
      <c r="BP1232" s="440">
        <v>0</v>
      </c>
      <c r="BQ1232" s="440">
        <v>0</v>
      </c>
      <c r="BR1232" s="415">
        <v>0.83333333333333337</v>
      </c>
      <c r="BS1232" s="415">
        <v>0.83333333333333337</v>
      </c>
      <c r="BT1232" s="935"/>
      <c r="BU1232" s="935"/>
      <c r="BV1232" s="935"/>
      <c r="BW1232" s="935"/>
      <c r="BX1232" s="935"/>
      <c r="BY1232" s="935"/>
      <c r="BZ1232" s="935"/>
      <c r="CA1232" s="935"/>
      <c r="CB1232" s="935"/>
      <c r="CC1232" s="935"/>
      <c r="CD1232" s="935"/>
      <c r="CE1232" s="935"/>
      <c r="CF1232" s="935"/>
      <c r="CG1232" s="935"/>
      <c r="CH1232" s="935"/>
      <c r="CI1232" s="935"/>
      <c r="CJ1232" s="935"/>
      <c r="CK1232" s="935"/>
      <c r="CL1232" s="935"/>
      <c r="CM1232" s="935"/>
      <c r="CN1232" s="935"/>
      <c r="CO1232" s="935"/>
      <c r="CP1232" s="935"/>
      <c r="CQ1232" s="935"/>
      <c r="CR1232" s="935"/>
      <c r="CS1232" s="935"/>
      <c r="CT1232" s="935"/>
      <c r="CU1232" s="935"/>
      <c r="CV1232" s="935"/>
    </row>
    <row r="1233" spans="1:100" s="441" customFormat="1">
      <c r="A1233" s="375">
        <f t="shared" si="340"/>
        <v>11</v>
      </c>
      <c r="B1233" s="862">
        <v>44515</v>
      </c>
      <c r="C1233" s="493" t="s">
        <v>2000</v>
      </c>
      <c r="D1233" s="376" t="str">
        <f>IFERROR(VLOOKUP(E:E,'Item Data Support Sheet'!A:O,7,0),"")</f>
        <v>NIPPLE PUNCH INSPECTED</v>
      </c>
      <c r="E1233" s="447" t="s">
        <v>1820</v>
      </c>
      <c r="F1233" s="500"/>
      <c r="G1233" s="497"/>
      <c r="H1233" s="602" t="str">
        <f>IFERROR(VLOOKUP(E:E,'Item Data Support Sheet'!A:O,2,0),"")</f>
        <v>NIPPLE S TYPE L SIZE PUNCHED INSPECTED</v>
      </c>
      <c r="I1233" s="501" t="s">
        <v>4012</v>
      </c>
      <c r="J1233" s="501" t="s">
        <v>2811</v>
      </c>
      <c r="K1233" s="499">
        <v>5</v>
      </c>
      <c r="L1233" s="499">
        <v>8750</v>
      </c>
      <c r="M1233" s="366">
        <v>1750</v>
      </c>
      <c r="N1233" s="367">
        <f t="shared" si="339"/>
        <v>7900</v>
      </c>
      <c r="O1233" s="61">
        <v>7838</v>
      </c>
      <c r="P1233" s="368">
        <v>0</v>
      </c>
      <c r="Q1233" s="368">
        <v>0</v>
      </c>
      <c r="R1233" s="494">
        <v>0</v>
      </c>
      <c r="S1233" s="493">
        <v>0</v>
      </c>
      <c r="T1233" s="494">
        <v>62</v>
      </c>
      <c r="U1233" s="493">
        <v>0</v>
      </c>
      <c r="V1233" s="502">
        <v>2</v>
      </c>
      <c r="W1233" s="453">
        <f t="shared" si="341"/>
        <v>3919</v>
      </c>
      <c r="X1233" s="748">
        <f t="shared" si="342"/>
        <v>0.89577142857142855</v>
      </c>
      <c r="Y1233" s="451" t="str">
        <f>IFERROR(VLOOKUP(E:E,'Item Data Support Sheet'!A:J,6,0),0)</f>
        <v>FO106</v>
      </c>
      <c r="Z1233" s="428">
        <f>IFERROR(VLOOKUP(E:E,'Item Data Support Sheet'!A:O,4,0),0)</f>
        <v>0</v>
      </c>
      <c r="AA1233" s="428">
        <f t="shared" si="343"/>
        <v>0</v>
      </c>
      <c r="AB1233" s="429" t="str">
        <f t="shared" si="344"/>
        <v xml:space="preserve"> </v>
      </c>
      <c r="AC1233" s="424">
        <f t="shared" si="345"/>
        <v>7.8481012658227853E-3</v>
      </c>
      <c r="AD1233" s="371">
        <f t="shared" si="346"/>
        <v>0</v>
      </c>
      <c r="AE1233" s="748">
        <f t="shared" si="347"/>
        <v>0.9921518987341772</v>
      </c>
      <c r="AF1233" s="417">
        <f t="shared" si="348"/>
        <v>0</v>
      </c>
      <c r="AG1233" s="416">
        <f t="shared" si="349"/>
        <v>5</v>
      </c>
      <c r="AH1233" s="372">
        <f t="shared" si="350"/>
        <v>1</v>
      </c>
      <c r="AI1233" s="373">
        <f t="shared" si="351"/>
        <v>1567.6</v>
      </c>
      <c r="AJ1233" s="418">
        <f>VLOOKUP(D1233,'Standard Cycle time'!C:D,2,0)</f>
        <v>4</v>
      </c>
      <c r="AK1233" s="418">
        <f t="shared" si="352"/>
        <v>4.5930084205154378</v>
      </c>
      <c r="AL1233" s="374">
        <f t="shared" si="353"/>
        <v>0.87088888888888882</v>
      </c>
      <c r="AM1233" s="372">
        <f t="shared" si="354"/>
        <v>0.86405406469760893</v>
      </c>
      <c r="AN1233" s="799">
        <v>0.86405406469760893</v>
      </c>
      <c r="AO1233" s="448"/>
      <c r="AP1233" s="440">
        <v>0</v>
      </c>
      <c r="AQ1233" s="440">
        <v>0</v>
      </c>
      <c r="AR1233" s="440">
        <v>0</v>
      </c>
      <c r="AS1233" s="440">
        <v>0</v>
      </c>
      <c r="AT1233" s="440">
        <v>0</v>
      </c>
      <c r="AU1233" s="440">
        <v>0</v>
      </c>
      <c r="AV1233" s="440">
        <v>0</v>
      </c>
      <c r="AW1233" s="440">
        <v>0</v>
      </c>
      <c r="AX1233" s="440">
        <v>0</v>
      </c>
      <c r="AY1233" s="440">
        <v>0</v>
      </c>
      <c r="AZ1233" s="440">
        <v>0</v>
      </c>
      <c r="BA1233" s="440">
        <v>0</v>
      </c>
      <c r="BB1233" s="440">
        <v>0</v>
      </c>
      <c r="BC1233" s="440">
        <v>0</v>
      </c>
      <c r="BD1233" s="440">
        <v>0</v>
      </c>
      <c r="BE1233" s="440">
        <v>0</v>
      </c>
      <c r="BF1233" s="440">
        <v>0</v>
      </c>
      <c r="BG1233" s="440">
        <v>0</v>
      </c>
      <c r="BH1233" s="440">
        <v>0</v>
      </c>
      <c r="BI1233" s="440">
        <v>0</v>
      </c>
      <c r="BJ1233" s="440">
        <v>0</v>
      </c>
      <c r="BK1233" s="440">
        <v>0</v>
      </c>
      <c r="BL1233" s="440">
        <v>0</v>
      </c>
      <c r="BM1233" s="440">
        <v>0</v>
      </c>
      <c r="BN1233" s="440">
        <v>0</v>
      </c>
      <c r="BO1233" s="440">
        <v>0</v>
      </c>
      <c r="BP1233" s="440">
        <v>0</v>
      </c>
      <c r="BQ1233" s="440">
        <v>0</v>
      </c>
      <c r="BR1233" s="415">
        <v>0</v>
      </c>
      <c r="BS1233" s="415">
        <v>0</v>
      </c>
      <c r="BT1233" s="935"/>
      <c r="BU1233" s="935"/>
      <c r="BV1233" s="935"/>
      <c r="BW1233" s="935"/>
      <c r="BX1233" s="935"/>
      <c r="BY1233" s="935"/>
      <c r="BZ1233" s="935"/>
      <c r="CA1233" s="935"/>
      <c r="CB1233" s="935"/>
      <c r="CC1233" s="935"/>
      <c r="CD1233" s="935"/>
      <c r="CE1233" s="935"/>
      <c r="CF1233" s="935"/>
      <c r="CG1233" s="935"/>
      <c r="CH1233" s="935"/>
      <c r="CI1233" s="935"/>
      <c r="CJ1233" s="935"/>
      <c r="CK1233" s="935"/>
      <c r="CL1233" s="935"/>
      <c r="CM1233" s="935"/>
      <c r="CN1233" s="935"/>
      <c r="CO1233" s="935"/>
      <c r="CP1233" s="935"/>
      <c r="CQ1233" s="935"/>
      <c r="CR1233" s="935"/>
      <c r="CS1233" s="935"/>
      <c r="CT1233" s="935"/>
      <c r="CU1233" s="935"/>
      <c r="CV1233" s="935"/>
    </row>
    <row r="1234" spans="1:100" s="441" customFormat="1">
      <c r="A1234" s="375">
        <f t="shared" si="340"/>
        <v>11</v>
      </c>
      <c r="B1234" s="862">
        <v>44515</v>
      </c>
      <c r="C1234" s="493" t="s">
        <v>2001</v>
      </c>
      <c r="D1234" s="376" t="str">
        <f>IFERROR(VLOOKUP(E:E,'Item Data Support Sheet'!A:O,7,0),"")</f>
        <v>NIPPLE MOLDED</v>
      </c>
      <c r="E1234" s="447" t="s">
        <v>74</v>
      </c>
      <c r="F1234" s="500" t="s">
        <v>1678</v>
      </c>
      <c r="G1234" s="497" t="s">
        <v>1691</v>
      </c>
      <c r="H1234" s="602" t="str">
        <f>IFERROR(VLOOKUP(E:E,'Item Data Support Sheet'!A:O,2,0),"")</f>
        <v>NIPPLE S TYPE L SIZE INJECTION</v>
      </c>
      <c r="I1234" s="501" t="s">
        <v>4015</v>
      </c>
      <c r="J1234" s="501" t="s">
        <v>2811</v>
      </c>
      <c r="K1234" s="499">
        <v>8</v>
      </c>
      <c r="L1234" s="499">
        <v>4815</v>
      </c>
      <c r="M1234" s="366">
        <v>601.875</v>
      </c>
      <c r="N1234" s="367">
        <f t="shared" si="339"/>
        <v>3652</v>
      </c>
      <c r="O1234" s="61">
        <v>3500</v>
      </c>
      <c r="P1234" s="368">
        <v>0</v>
      </c>
      <c r="Q1234" s="368">
        <v>82</v>
      </c>
      <c r="R1234" s="494">
        <v>0</v>
      </c>
      <c r="S1234" s="493">
        <v>0</v>
      </c>
      <c r="T1234" s="494">
        <v>70</v>
      </c>
      <c r="U1234" s="493">
        <v>0</v>
      </c>
      <c r="V1234" s="502">
        <v>1</v>
      </c>
      <c r="W1234" s="453">
        <f t="shared" si="341"/>
        <v>3500</v>
      </c>
      <c r="X1234" s="748">
        <f t="shared" si="342"/>
        <v>0.72689511941848395</v>
      </c>
      <c r="Y1234" s="451" t="str">
        <f>IFERROR(VLOOKUP(E:E,'Item Data Support Sheet'!A:J,6,0),0)</f>
        <v>Silicon</v>
      </c>
      <c r="Z1234" s="428">
        <f>IFERROR(VLOOKUP(E:E,'Item Data Support Sheet'!A:O,4,0),0)</f>
        <v>6.8</v>
      </c>
      <c r="AA1234" s="428">
        <f t="shared" si="343"/>
        <v>24.833599999999997</v>
      </c>
      <c r="AB1234" s="429">
        <f t="shared" si="344"/>
        <v>0.95837897042716325</v>
      </c>
      <c r="AC1234" s="424">
        <f t="shared" si="345"/>
        <v>1.9607843137254902E-2</v>
      </c>
      <c r="AD1234" s="371">
        <f t="shared" si="346"/>
        <v>2.1960364220674881E-2</v>
      </c>
      <c r="AE1234" s="748">
        <f t="shared" si="347"/>
        <v>0.9808324205914567</v>
      </c>
      <c r="AF1234" s="417">
        <f t="shared" si="348"/>
        <v>0</v>
      </c>
      <c r="AG1234" s="416">
        <f t="shared" si="349"/>
        <v>8</v>
      </c>
      <c r="AH1234" s="372">
        <f t="shared" si="350"/>
        <v>1</v>
      </c>
      <c r="AI1234" s="373">
        <f t="shared" si="351"/>
        <v>437.5</v>
      </c>
      <c r="AJ1234" s="418">
        <f>VLOOKUP(D1234,'Standard Cycle time'!C:D,2,0)</f>
        <v>5.25</v>
      </c>
      <c r="AK1234" s="418">
        <f t="shared" si="352"/>
        <v>8.2285714285714278</v>
      </c>
      <c r="AL1234" s="374">
        <f t="shared" si="353"/>
        <v>0.63802083333333337</v>
      </c>
      <c r="AM1234" s="372">
        <f t="shared" si="354"/>
        <v>0.62579151834611169</v>
      </c>
      <c r="AN1234" s="799">
        <v>0.62579151834611169</v>
      </c>
      <c r="AO1234" s="448" t="s">
        <v>4016</v>
      </c>
      <c r="AP1234" s="440">
        <v>0</v>
      </c>
      <c r="AQ1234" s="440">
        <v>0</v>
      </c>
      <c r="AR1234" s="440">
        <v>0</v>
      </c>
      <c r="AS1234" s="440">
        <v>0</v>
      </c>
      <c r="AT1234" s="440">
        <v>0</v>
      </c>
      <c r="AU1234" s="440">
        <v>0</v>
      </c>
      <c r="AV1234" s="440">
        <v>0</v>
      </c>
      <c r="AW1234" s="440">
        <v>0</v>
      </c>
      <c r="AX1234" s="440">
        <v>0</v>
      </c>
      <c r="AY1234" s="440">
        <v>0</v>
      </c>
      <c r="AZ1234" s="440">
        <v>0</v>
      </c>
      <c r="BA1234" s="440">
        <v>0</v>
      </c>
      <c r="BB1234" s="440">
        <v>0</v>
      </c>
      <c r="BC1234" s="440">
        <v>0</v>
      </c>
      <c r="BD1234" s="440">
        <v>0</v>
      </c>
      <c r="BE1234" s="440">
        <v>0</v>
      </c>
      <c r="BF1234" s="440">
        <v>0</v>
      </c>
      <c r="BG1234" s="440">
        <v>0</v>
      </c>
      <c r="BH1234" s="440">
        <v>0</v>
      </c>
      <c r="BI1234" s="440">
        <v>0</v>
      </c>
      <c r="BJ1234" s="440">
        <v>0</v>
      </c>
      <c r="BK1234" s="440">
        <v>0</v>
      </c>
      <c r="BL1234" s="440">
        <v>0</v>
      </c>
      <c r="BM1234" s="440">
        <v>0</v>
      </c>
      <c r="BN1234" s="440">
        <v>0</v>
      </c>
      <c r="BO1234" s="440">
        <v>0</v>
      </c>
      <c r="BP1234" s="440">
        <v>0</v>
      </c>
      <c r="BQ1234" s="440">
        <v>0</v>
      </c>
      <c r="BR1234" s="415">
        <v>0</v>
      </c>
      <c r="BS1234" s="415">
        <v>0</v>
      </c>
      <c r="BT1234" s="935"/>
      <c r="BU1234" s="935"/>
      <c r="BV1234" s="935"/>
      <c r="BW1234" s="935"/>
      <c r="BX1234" s="935"/>
      <c r="BY1234" s="935"/>
      <c r="BZ1234" s="935"/>
      <c r="CA1234" s="935"/>
      <c r="CB1234" s="935"/>
      <c r="CC1234" s="935"/>
      <c r="CD1234" s="935"/>
      <c r="CE1234" s="935"/>
      <c r="CF1234" s="935"/>
      <c r="CG1234" s="935"/>
      <c r="CH1234" s="935"/>
      <c r="CI1234" s="935"/>
      <c r="CJ1234" s="935"/>
      <c r="CK1234" s="935"/>
      <c r="CL1234" s="935"/>
      <c r="CM1234" s="935"/>
      <c r="CN1234" s="935"/>
      <c r="CO1234" s="935"/>
      <c r="CP1234" s="935"/>
      <c r="CQ1234" s="935"/>
      <c r="CR1234" s="935"/>
      <c r="CS1234" s="935"/>
      <c r="CT1234" s="935"/>
      <c r="CU1234" s="935"/>
      <c r="CV1234" s="935"/>
    </row>
    <row r="1235" spans="1:100" s="441" customFormat="1">
      <c r="A1235" s="375">
        <f t="shared" si="340"/>
        <v>11</v>
      </c>
      <c r="B1235" s="862">
        <v>44515</v>
      </c>
      <c r="C1235" s="493" t="s">
        <v>2001</v>
      </c>
      <c r="D1235" s="376" t="str">
        <f>IFERROR(VLOOKUP(E:E,'Item Data Support Sheet'!A:O,7,0),"")</f>
        <v>HOOD MOLDED</v>
      </c>
      <c r="E1235" s="447" t="s">
        <v>1987</v>
      </c>
      <c r="F1235" s="500"/>
      <c r="G1235" s="497" t="s">
        <v>2729</v>
      </c>
      <c r="H1235" s="602" t="str">
        <f>IFERROR(VLOOKUP(E:E,'Item Data Support Sheet'!A:O,2,0),"")</f>
        <v>HOOD S TYPE MOLDED</v>
      </c>
      <c r="I1235" s="501" t="s">
        <v>4017</v>
      </c>
      <c r="J1235" s="501" t="s">
        <v>2811</v>
      </c>
      <c r="K1235" s="499">
        <v>8</v>
      </c>
      <c r="L1235" s="499">
        <v>4137</v>
      </c>
      <c r="M1235" s="366">
        <v>517.125</v>
      </c>
      <c r="N1235" s="367">
        <f t="shared" si="339"/>
        <v>3250</v>
      </c>
      <c r="O1235" s="61">
        <v>3200</v>
      </c>
      <c r="P1235" s="368">
        <v>0</v>
      </c>
      <c r="Q1235" s="368">
        <v>30</v>
      </c>
      <c r="R1235" s="494">
        <v>0</v>
      </c>
      <c r="S1235" s="493">
        <v>0</v>
      </c>
      <c r="T1235" s="494">
        <v>20</v>
      </c>
      <c r="U1235" s="493">
        <v>0</v>
      </c>
      <c r="V1235" s="502">
        <v>1</v>
      </c>
      <c r="W1235" s="453">
        <f t="shared" si="341"/>
        <v>3200</v>
      </c>
      <c r="X1235" s="748">
        <f t="shared" si="342"/>
        <v>0.77350737249214407</v>
      </c>
      <c r="Y1235" s="451" t="str">
        <f>IFERROR(VLOOKUP(E:E,'Item Data Support Sheet'!A:J,6,0),0)</f>
        <v>HMC</v>
      </c>
      <c r="Z1235" s="428">
        <f>IFERROR(VLOOKUP(E:E,'Item Data Support Sheet'!A:O,4,0),0)</f>
        <v>8.6</v>
      </c>
      <c r="AA1235" s="428">
        <f t="shared" si="343"/>
        <v>27.95</v>
      </c>
      <c r="AB1235" s="429">
        <f t="shared" si="344"/>
        <v>0.98461538461538467</v>
      </c>
      <c r="AC1235" s="424">
        <f t="shared" si="345"/>
        <v>6.2111801242236021E-3</v>
      </c>
      <c r="AD1235" s="371">
        <f t="shared" si="346"/>
        <v>9.1463414634146336E-3</v>
      </c>
      <c r="AE1235" s="748">
        <f t="shared" si="347"/>
        <v>0.99384615384615382</v>
      </c>
      <c r="AF1235" s="417">
        <f t="shared" si="348"/>
        <v>0</v>
      </c>
      <c r="AG1235" s="416">
        <f t="shared" si="349"/>
        <v>8</v>
      </c>
      <c r="AH1235" s="372">
        <f t="shared" si="350"/>
        <v>1</v>
      </c>
      <c r="AI1235" s="373">
        <f t="shared" si="351"/>
        <v>400</v>
      </c>
      <c r="AJ1235" s="418">
        <f>VLOOKUP(D1235,'Standard Cycle time'!C:D,2,0)</f>
        <v>6</v>
      </c>
      <c r="AK1235" s="418">
        <f t="shared" si="352"/>
        <v>9</v>
      </c>
      <c r="AL1235" s="374">
        <f t="shared" si="353"/>
        <v>0.66666666666666663</v>
      </c>
      <c r="AM1235" s="372">
        <f t="shared" si="354"/>
        <v>0.66256410256410248</v>
      </c>
      <c r="AN1235" s="799">
        <v>0.66256410256410248</v>
      </c>
      <c r="AO1235" s="448" t="s">
        <v>4018</v>
      </c>
      <c r="AP1235" s="440">
        <v>0</v>
      </c>
      <c r="AQ1235" s="440">
        <v>0</v>
      </c>
      <c r="AR1235" s="440">
        <v>0</v>
      </c>
      <c r="AS1235" s="440">
        <v>0</v>
      </c>
      <c r="AT1235" s="440">
        <v>0</v>
      </c>
      <c r="AU1235" s="440">
        <v>0</v>
      </c>
      <c r="AV1235" s="440">
        <v>0</v>
      </c>
      <c r="AW1235" s="440">
        <v>0</v>
      </c>
      <c r="AX1235" s="440">
        <v>0</v>
      </c>
      <c r="AY1235" s="440">
        <v>0</v>
      </c>
      <c r="AZ1235" s="440">
        <v>0</v>
      </c>
      <c r="BA1235" s="440">
        <v>0</v>
      </c>
      <c r="BB1235" s="440">
        <v>0</v>
      </c>
      <c r="BC1235" s="440">
        <v>0</v>
      </c>
      <c r="BD1235" s="440">
        <v>0</v>
      </c>
      <c r="BE1235" s="440">
        <v>0</v>
      </c>
      <c r="BF1235" s="440">
        <v>0</v>
      </c>
      <c r="BG1235" s="440">
        <v>0</v>
      </c>
      <c r="BH1235" s="440">
        <v>0</v>
      </c>
      <c r="BI1235" s="440">
        <v>0</v>
      </c>
      <c r="BJ1235" s="440">
        <v>0</v>
      </c>
      <c r="BK1235" s="440">
        <v>0</v>
      </c>
      <c r="BL1235" s="440">
        <v>0</v>
      </c>
      <c r="BM1235" s="440">
        <v>0</v>
      </c>
      <c r="BN1235" s="440">
        <v>0</v>
      </c>
      <c r="BO1235" s="440">
        <v>0</v>
      </c>
      <c r="BP1235" s="440">
        <v>0</v>
      </c>
      <c r="BQ1235" s="440">
        <v>0</v>
      </c>
      <c r="BR1235" s="415">
        <v>0</v>
      </c>
      <c r="BS1235" s="415">
        <v>0</v>
      </c>
      <c r="BT1235" s="935"/>
      <c r="BU1235" s="935"/>
      <c r="BV1235" s="935"/>
      <c r="BW1235" s="935"/>
      <c r="BX1235" s="935"/>
      <c r="BY1235" s="935"/>
      <c r="BZ1235" s="935"/>
      <c r="CA1235" s="935"/>
      <c r="CB1235" s="935"/>
      <c r="CC1235" s="935"/>
      <c r="CD1235" s="935"/>
      <c r="CE1235" s="935"/>
      <c r="CF1235" s="935"/>
      <c r="CG1235" s="935"/>
      <c r="CH1235" s="935"/>
      <c r="CI1235" s="935"/>
      <c r="CJ1235" s="935"/>
      <c r="CK1235" s="935"/>
      <c r="CL1235" s="935"/>
      <c r="CM1235" s="935"/>
      <c r="CN1235" s="935"/>
      <c r="CO1235" s="935"/>
      <c r="CP1235" s="935"/>
      <c r="CQ1235" s="935"/>
      <c r="CR1235" s="935"/>
      <c r="CS1235" s="935"/>
      <c r="CT1235" s="935"/>
      <c r="CU1235" s="935"/>
      <c r="CV1235" s="935"/>
    </row>
    <row r="1236" spans="1:100" s="441" customFormat="1">
      <c r="A1236" s="375">
        <f t="shared" si="340"/>
        <v>11</v>
      </c>
      <c r="B1236" s="862">
        <v>44515</v>
      </c>
      <c r="C1236" s="493" t="s">
        <v>2001</v>
      </c>
      <c r="D1236" s="376" t="str">
        <f>IFERROR(VLOOKUP(E:E,'Item Data Support Sheet'!A:O,7,0),"")</f>
        <v>BOTTLE MOLDED</v>
      </c>
      <c r="E1236" s="447" t="s">
        <v>68</v>
      </c>
      <c r="F1236" s="500" t="s">
        <v>1681</v>
      </c>
      <c r="G1236" s="497" t="s">
        <v>1888</v>
      </c>
      <c r="H1236" s="602" t="str">
        <f>IFERROR(VLOOKUP(E:E,'Item Data Support Sheet'!A:O,2,0),"")</f>
        <v>RPP 240 ML BOTTLE MOLDED</v>
      </c>
      <c r="I1236" s="501" t="s">
        <v>4019</v>
      </c>
      <c r="J1236" s="501" t="s">
        <v>2811</v>
      </c>
      <c r="K1236" s="499">
        <v>8</v>
      </c>
      <c r="L1236" s="499">
        <v>2574</v>
      </c>
      <c r="M1236" s="366">
        <v>321.75</v>
      </c>
      <c r="N1236" s="367">
        <f t="shared" si="339"/>
        <v>3585</v>
      </c>
      <c r="O1236" s="61">
        <v>3480</v>
      </c>
      <c r="P1236" s="368">
        <v>0.91500000000000004</v>
      </c>
      <c r="Q1236" s="368">
        <v>45</v>
      </c>
      <c r="R1236" s="494">
        <v>0</v>
      </c>
      <c r="S1236" s="493">
        <v>0</v>
      </c>
      <c r="T1236" s="494">
        <v>60</v>
      </c>
      <c r="U1236" s="493">
        <v>0</v>
      </c>
      <c r="V1236" s="502">
        <v>1</v>
      </c>
      <c r="W1236" s="453">
        <f t="shared" si="341"/>
        <v>3480</v>
      </c>
      <c r="X1236" s="748">
        <f t="shared" si="342"/>
        <v>1.3519813519813519</v>
      </c>
      <c r="Y1236" s="451" t="str">
        <f>IFERROR(VLOOKUP(E:E,'Item Data Support Sheet'!A:J,6,0),0)</f>
        <v>HMC</v>
      </c>
      <c r="Z1236" s="428">
        <f>IFERROR(VLOOKUP(E:E,'Item Data Support Sheet'!A:O,4,0),0)</f>
        <v>32.1</v>
      </c>
      <c r="AA1236" s="428">
        <f t="shared" si="343"/>
        <v>115.99350000000003</v>
      </c>
      <c r="AB1236" s="429">
        <f t="shared" si="344"/>
        <v>0.96305396423075418</v>
      </c>
      <c r="AC1236" s="424">
        <f t="shared" si="345"/>
        <v>1.6949152542372881E-2</v>
      </c>
      <c r="AD1236" s="371">
        <f t="shared" si="346"/>
        <v>1.2396694214876033E-2</v>
      </c>
      <c r="AE1236" s="748">
        <f t="shared" si="347"/>
        <v>0.98326359832635979</v>
      </c>
      <c r="AF1236" s="417">
        <f t="shared" si="348"/>
        <v>0</v>
      </c>
      <c r="AG1236" s="416">
        <f t="shared" si="349"/>
        <v>8</v>
      </c>
      <c r="AH1236" s="372">
        <f t="shared" si="350"/>
        <v>1</v>
      </c>
      <c r="AI1236" s="373">
        <f t="shared" si="351"/>
        <v>435</v>
      </c>
      <c r="AJ1236" s="418">
        <f>VLOOKUP(D1236,'Standard Cycle time'!C:D,2,0)</f>
        <v>9</v>
      </c>
      <c r="AK1236" s="418">
        <f t="shared" si="352"/>
        <v>8.2758620689655178</v>
      </c>
      <c r="AL1236" s="374">
        <f t="shared" si="353"/>
        <v>1.0874999999999999</v>
      </c>
      <c r="AM1236" s="372">
        <f t="shared" si="354"/>
        <v>1.0692991631799162</v>
      </c>
      <c r="AN1236" s="799">
        <v>1.0692991631799162</v>
      </c>
      <c r="AO1236" s="448"/>
      <c r="AP1236" s="440">
        <v>0</v>
      </c>
      <c r="AQ1236" s="440">
        <v>0</v>
      </c>
      <c r="AR1236" s="440">
        <v>0</v>
      </c>
      <c r="AS1236" s="440">
        <v>0</v>
      </c>
      <c r="AT1236" s="440">
        <v>0</v>
      </c>
      <c r="AU1236" s="440">
        <v>0</v>
      </c>
      <c r="AV1236" s="440">
        <v>0</v>
      </c>
      <c r="AW1236" s="440">
        <v>0</v>
      </c>
      <c r="AX1236" s="440">
        <v>0</v>
      </c>
      <c r="AY1236" s="440">
        <v>0</v>
      </c>
      <c r="AZ1236" s="440">
        <v>0</v>
      </c>
      <c r="BA1236" s="440">
        <v>0</v>
      </c>
      <c r="BB1236" s="440">
        <v>0</v>
      </c>
      <c r="BC1236" s="440">
        <v>0</v>
      </c>
      <c r="BD1236" s="440">
        <v>0</v>
      </c>
      <c r="BE1236" s="440">
        <v>0</v>
      </c>
      <c r="BF1236" s="440">
        <v>0</v>
      </c>
      <c r="BG1236" s="440">
        <v>0</v>
      </c>
      <c r="BH1236" s="440">
        <v>0</v>
      </c>
      <c r="BI1236" s="440">
        <v>0</v>
      </c>
      <c r="BJ1236" s="440">
        <v>0</v>
      </c>
      <c r="BK1236" s="440">
        <v>0</v>
      </c>
      <c r="BL1236" s="440">
        <v>0</v>
      </c>
      <c r="BM1236" s="440">
        <v>0</v>
      </c>
      <c r="BN1236" s="440">
        <v>0</v>
      </c>
      <c r="BO1236" s="440">
        <v>0</v>
      </c>
      <c r="BP1236" s="440">
        <v>0</v>
      </c>
      <c r="BQ1236" s="440">
        <v>0</v>
      </c>
      <c r="BR1236" s="415">
        <v>0</v>
      </c>
      <c r="BS1236" s="415">
        <v>0</v>
      </c>
      <c r="BT1236" s="935"/>
      <c r="BU1236" s="935"/>
      <c r="BV1236" s="935"/>
      <c r="BW1236" s="935"/>
      <c r="BX1236" s="935"/>
      <c r="BY1236" s="935"/>
      <c r="BZ1236" s="935"/>
      <c r="CA1236" s="935"/>
      <c r="CB1236" s="935"/>
      <c r="CC1236" s="935"/>
      <c r="CD1236" s="935"/>
      <c r="CE1236" s="935"/>
      <c r="CF1236" s="935"/>
      <c r="CG1236" s="935"/>
      <c r="CH1236" s="935"/>
      <c r="CI1236" s="935"/>
      <c r="CJ1236" s="935"/>
      <c r="CK1236" s="935"/>
      <c r="CL1236" s="935"/>
      <c r="CM1236" s="935"/>
      <c r="CN1236" s="935"/>
      <c r="CO1236" s="935"/>
      <c r="CP1236" s="935"/>
      <c r="CQ1236" s="935"/>
      <c r="CR1236" s="935"/>
      <c r="CS1236" s="935"/>
      <c r="CT1236" s="935"/>
      <c r="CU1236" s="935"/>
      <c r="CV1236" s="935"/>
    </row>
    <row r="1237" spans="1:100" s="441" customFormat="1">
      <c r="A1237" s="375">
        <f t="shared" si="340"/>
        <v>11</v>
      </c>
      <c r="B1237" s="862">
        <v>44515</v>
      </c>
      <c r="C1237" s="493" t="s">
        <v>2001</v>
      </c>
      <c r="D1237" s="376" t="str">
        <f>IFERROR(VLOOKUP(E:E,'Item Data Support Sheet'!A:O,7,0),"")</f>
        <v>NIPPLE PUNCH</v>
      </c>
      <c r="E1237" s="447" t="s">
        <v>82</v>
      </c>
      <c r="F1237" s="500"/>
      <c r="G1237" s="497" t="s">
        <v>1692</v>
      </c>
      <c r="H1237" s="602" t="str">
        <f>IFERROR(VLOOKUP(E:E,'Item Data Support Sheet'!A:O,2,0),"")</f>
        <v>NIPPLE S TYPE L SIZE PUNCHED</v>
      </c>
      <c r="I1237" s="501" t="s">
        <v>4020</v>
      </c>
      <c r="J1237" s="501" t="s">
        <v>2811</v>
      </c>
      <c r="K1237" s="499">
        <v>8</v>
      </c>
      <c r="L1237" s="499">
        <v>7000</v>
      </c>
      <c r="M1237" s="366">
        <v>875</v>
      </c>
      <c r="N1237" s="367">
        <f t="shared" si="339"/>
        <v>7000</v>
      </c>
      <c r="O1237" s="61">
        <v>7000</v>
      </c>
      <c r="P1237" s="368">
        <v>0</v>
      </c>
      <c r="Q1237" s="368">
        <v>0</v>
      </c>
      <c r="R1237" s="494">
        <v>0</v>
      </c>
      <c r="S1237" s="493">
        <v>0</v>
      </c>
      <c r="T1237" s="494">
        <v>0</v>
      </c>
      <c r="U1237" s="493">
        <v>0</v>
      </c>
      <c r="V1237" s="502">
        <v>1</v>
      </c>
      <c r="W1237" s="453">
        <f t="shared" si="341"/>
        <v>7000</v>
      </c>
      <c r="X1237" s="748">
        <f t="shared" si="342"/>
        <v>1</v>
      </c>
      <c r="Y1237" s="451" t="str">
        <f>IFERROR(VLOOKUP(E:E,'Item Data Support Sheet'!A:J,6,0),0)</f>
        <v>FO017</v>
      </c>
      <c r="Z1237" s="428">
        <f>IFERROR(VLOOKUP(E:E,'Item Data Support Sheet'!A:O,4,0),0)</f>
        <v>0</v>
      </c>
      <c r="AA1237" s="428">
        <f t="shared" si="343"/>
        <v>0</v>
      </c>
      <c r="AB1237" s="429" t="str">
        <f t="shared" si="344"/>
        <v xml:space="preserve"> </v>
      </c>
      <c r="AC1237" s="424">
        <f t="shared" si="345"/>
        <v>0</v>
      </c>
      <c r="AD1237" s="371">
        <f t="shared" si="346"/>
        <v>0</v>
      </c>
      <c r="AE1237" s="748">
        <f t="shared" si="347"/>
        <v>1</v>
      </c>
      <c r="AF1237" s="417">
        <f t="shared" si="348"/>
        <v>0.66666666666666663</v>
      </c>
      <c r="AG1237" s="416">
        <f t="shared" si="349"/>
        <v>7.333333333333333</v>
      </c>
      <c r="AH1237" s="372">
        <f t="shared" si="350"/>
        <v>0.91666666666666663</v>
      </c>
      <c r="AI1237" s="373">
        <f t="shared" si="351"/>
        <v>875</v>
      </c>
      <c r="AJ1237" s="418">
        <f>VLOOKUP(D1237,'Standard Cycle time'!C:D,2,0)</f>
        <v>3.5</v>
      </c>
      <c r="AK1237" s="418">
        <f t="shared" si="352"/>
        <v>3.7714285714285714</v>
      </c>
      <c r="AL1237" s="374">
        <f t="shared" si="353"/>
        <v>0.92803030303030309</v>
      </c>
      <c r="AM1237" s="372">
        <f t="shared" si="354"/>
        <v>0.85069444444444442</v>
      </c>
      <c r="AN1237" s="799">
        <v>0.85069444444444442</v>
      </c>
      <c r="AO1237" s="448"/>
      <c r="AP1237" s="440">
        <v>40</v>
      </c>
      <c r="AQ1237" s="440">
        <v>0</v>
      </c>
      <c r="AR1237" s="440">
        <v>0</v>
      </c>
      <c r="AS1237" s="440">
        <v>0</v>
      </c>
      <c r="AT1237" s="440">
        <v>0</v>
      </c>
      <c r="AU1237" s="440">
        <v>0</v>
      </c>
      <c r="AV1237" s="440">
        <v>0</v>
      </c>
      <c r="AW1237" s="440">
        <v>0</v>
      </c>
      <c r="AX1237" s="440">
        <v>0</v>
      </c>
      <c r="AY1237" s="440">
        <v>0</v>
      </c>
      <c r="AZ1237" s="440">
        <v>0</v>
      </c>
      <c r="BA1237" s="440">
        <v>0</v>
      </c>
      <c r="BB1237" s="440">
        <v>0</v>
      </c>
      <c r="BC1237" s="440">
        <v>0</v>
      </c>
      <c r="BD1237" s="440">
        <v>0</v>
      </c>
      <c r="BE1237" s="440">
        <v>0</v>
      </c>
      <c r="BF1237" s="440">
        <v>0</v>
      </c>
      <c r="BG1237" s="440">
        <v>0</v>
      </c>
      <c r="BH1237" s="440">
        <v>0</v>
      </c>
      <c r="BI1237" s="440">
        <v>0</v>
      </c>
      <c r="BJ1237" s="440">
        <v>0</v>
      </c>
      <c r="BK1237" s="440">
        <v>0</v>
      </c>
      <c r="BL1237" s="440">
        <v>0</v>
      </c>
      <c r="BM1237" s="440">
        <v>0</v>
      </c>
      <c r="BN1237" s="440">
        <v>0</v>
      </c>
      <c r="BO1237" s="440">
        <v>0</v>
      </c>
      <c r="BP1237" s="440">
        <v>0</v>
      </c>
      <c r="BQ1237" s="440">
        <v>0</v>
      </c>
      <c r="BR1237" s="415">
        <v>0.66666666666666663</v>
      </c>
      <c r="BS1237" s="415">
        <v>0.66666666666666663</v>
      </c>
      <c r="BT1237" s="935"/>
      <c r="BU1237" s="935"/>
      <c r="BV1237" s="935"/>
      <c r="BW1237" s="935"/>
      <c r="BX1237" s="935"/>
      <c r="BY1237" s="935"/>
      <c r="BZ1237" s="935"/>
      <c r="CA1237" s="935"/>
      <c r="CB1237" s="935"/>
      <c r="CC1237" s="935"/>
      <c r="CD1237" s="935"/>
      <c r="CE1237" s="935"/>
      <c r="CF1237" s="935"/>
      <c r="CG1237" s="935"/>
      <c r="CH1237" s="935"/>
      <c r="CI1237" s="935"/>
      <c r="CJ1237" s="935"/>
      <c r="CK1237" s="935"/>
      <c r="CL1237" s="935"/>
      <c r="CM1237" s="935"/>
      <c r="CN1237" s="935"/>
      <c r="CO1237" s="935"/>
      <c r="CP1237" s="935"/>
      <c r="CQ1237" s="935"/>
      <c r="CR1237" s="935"/>
      <c r="CS1237" s="935"/>
      <c r="CT1237" s="935"/>
      <c r="CU1237" s="935"/>
      <c r="CV1237" s="935"/>
    </row>
    <row r="1238" spans="1:100" s="441" customFormat="1">
      <c r="A1238" s="375">
        <f t="shared" si="340"/>
        <v>11</v>
      </c>
      <c r="B1238" s="862">
        <v>44515</v>
      </c>
      <c r="C1238" s="493" t="s">
        <v>2001</v>
      </c>
      <c r="D1238" s="376" t="str">
        <f>IFERROR(VLOOKUP(E:E,'Item Data Support Sheet'!A:O,7,0),"")</f>
        <v>NIPPLE LASER MARKING</v>
      </c>
      <c r="E1238" s="447" t="s">
        <v>1816</v>
      </c>
      <c r="F1238" s="500"/>
      <c r="G1238" s="497" t="s">
        <v>1812</v>
      </c>
      <c r="H1238" s="602" t="str">
        <f>IFERROR(VLOOKUP(E:E,'Item Data Support Sheet'!A:O,2,0),"")</f>
        <v>NIPPLE S TYPE L SIZE PUNCHED LASER MARKED</v>
      </c>
      <c r="I1238" s="501" t="s">
        <v>4021</v>
      </c>
      <c r="J1238" s="501" t="s">
        <v>2811</v>
      </c>
      <c r="K1238" s="499">
        <v>8</v>
      </c>
      <c r="L1238" s="499">
        <v>7000</v>
      </c>
      <c r="M1238" s="366">
        <v>875</v>
      </c>
      <c r="N1238" s="367">
        <f t="shared" si="339"/>
        <v>6000</v>
      </c>
      <c r="O1238" s="61">
        <v>6000</v>
      </c>
      <c r="P1238" s="368">
        <v>0</v>
      </c>
      <c r="Q1238" s="368">
        <v>0</v>
      </c>
      <c r="R1238" s="494">
        <v>0</v>
      </c>
      <c r="S1238" s="493">
        <v>0</v>
      </c>
      <c r="T1238" s="494">
        <v>0</v>
      </c>
      <c r="U1238" s="493">
        <v>0</v>
      </c>
      <c r="V1238" s="502">
        <v>1</v>
      </c>
      <c r="W1238" s="453">
        <f t="shared" si="341"/>
        <v>6000</v>
      </c>
      <c r="X1238" s="748">
        <f t="shared" si="342"/>
        <v>0.8571428571428571</v>
      </c>
      <c r="Y1238" s="451" t="str">
        <f>IFERROR(VLOOKUP(E:E,'Item Data Support Sheet'!A:J,6,0),0)</f>
        <v>FO021</v>
      </c>
      <c r="Z1238" s="428">
        <f>IFERROR(VLOOKUP(E:E,'Item Data Support Sheet'!A:O,4,0),0)</f>
        <v>0</v>
      </c>
      <c r="AA1238" s="428">
        <f t="shared" si="343"/>
        <v>0</v>
      </c>
      <c r="AB1238" s="429" t="str">
        <f t="shared" si="344"/>
        <v xml:space="preserve"> </v>
      </c>
      <c r="AC1238" s="424">
        <f t="shared" si="345"/>
        <v>0</v>
      </c>
      <c r="AD1238" s="371">
        <f t="shared" si="346"/>
        <v>0</v>
      </c>
      <c r="AE1238" s="748">
        <f t="shared" si="347"/>
        <v>1</v>
      </c>
      <c r="AF1238" s="417">
        <f t="shared" si="348"/>
        <v>0.66666666666666663</v>
      </c>
      <c r="AG1238" s="416">
        <f t="shared" si="349"/>
        <v>7.333333333333333</v>
      </c>
      <c r="AH1238" s="372">
        <f t="shared" si="350"/>
        <v>0.91666666666666663</v>
      </c>
      <c r="AI1238" s="373">
        <f t="shared" si="351"/>
        <v>750</v>
      </c>
      <c r="AJ1238" s="418">
        <f>VLOOKUP(D1238,'Standard Cycle time'!C:D,2,0)</f>
        <v>3.5</v>
      </c>
      <c r="AK1238" s="418">
        <f t="shared" si="352"/>
        <v>4.4000000000000004</v>
      </c>
      <c r="AL1238" s="374">
        <f t="shared" si="353"/>
        <v>0.79545454545454541</v>
      </c>
      <c r="AM1238" s="372">
        <f t="shared" si="354"/>
        <v>0.72916666666666663</v>
      </c>
      <c r="AN1238" s="799">
        <v>0.72916666666666663</v>
      </c>
      <c r="AO1238" s="448"/>
      <c r="AP1238" s="440">
        <v>40</v>
      </c>
      <c r="AQ1238" s="440">
        <v>0</v>
      </c>
      <c r="AR1238" s="440">
        <v>0</v>
      </c>
      <c r="AS1238" s="440">
        <v>0</v>
      </c>
      <c r="AT1238" s="440">
        <v>0</v>
      </c>
      <c r="AU1238" s="440">
        <v>0</v>
      </c>
      <c r="AV1238" s="440">
        <v>0</v>
      </c>
      <c r="AW1238" s="440">
        <v>0</v>
      </c>
      <c r="AX1238" s="440">
        <v>0</v>
      </c>
      <c r="AY1238" s="440">
        <v>0</v>
      </c>
      <c r="AZ1238" s="440">
        <v>0</v>
      </c>
      <c r="BA1238" s="440">
        <v>0</v>
      </c>
      <c r="BB1238" s="440">
        <v>0</v>
      </c>
      <c r="BC1238" s="440">
        <v>0</v>
      </c>
      <c r="BD1238" s="440">
        <v>0</v>
      </c>
      <c r="BE1238" s="440">
        <v>0</v>
      </c>
      <c r="BF1238" s="440">
        <v>0</v>
      </c>
      <c r="BG1238" s="440">
        <v>0</v>
      </c>
      <c r="BH1238" s="440">
        <v>0</v>
      </c>
      <c r="BI1238" s="440">
        <v>0</v>
      </c>
      <c r="BJ1238" s="440">
        <v>0</v>
      </c>
      <c r="BK1238" s="440">
        <v>0</v>
      </c>
      <c r="BL1238" s="440">
        <v>0</v>
      </c>
      <c r="BM1238" s="440">
        <v>0</v>
      </c>
      <c r="BN1238" s="440">
        <v>0</v>
      </c>
      <c r="BO1238" s="440">
        <v>0</v>
      </c>
      <c r="BP1238" s="440">
        <v>0</v>
      </c>
      <c r="BQ1238" s="440">
        <v>0</v>
      </c>
      <c r="BR1238" s="415">
        <v>0.66666666666666663</v>
      </c>
      <c r="BS1238" s="415">
        <v>0.66666666666666663</v>
      </c>
      <c r="BT1238" s="935"/>
      <c r="BU1238" s="935"/>
      <c r="BV1238" s="935"/>
      <c r="BW1238" s="935"/>
      <c r="BX1238" s="935"/>
      <c r="BY1238" s="935"/>
      <c r="BZ1238" s="935"/>
      <c r="CA1238" s="935"/>
      <c r="CB1238" s="935"/>
      <c r="CC1238" s="935"/>
      <c r="CD1238" s="935"/>
      <c r="CE1238" s="935"/>
      <c r="CF1238" s="935"/>
      <c r="CG1238" s="935"/>
      <c r="CH1238" s="935"/>
      <c r="CI1238" s="935"/>
      <c r="CJ1238" s="935"/>
      <c r="CK1238" s="935"/>
      <c r="CL1238" s="935"/>
      <c r="CM1238" s="935"/>
      <c r="CN1238" s="935"/>
      <c r="CO1238" s="935"/>
      <c r="CP1238" s="935"/>
      <c r="CQ1238" s="935"/>
      <c r="CR1238" s="935"/>
      <c r="CS1238" s="935"/>
      <c r="CT1238" s="935"/>
      <c r="CU1238" s="935"/>
      <c r="CV1238" s="935"/>
    </row>
    <row r="1239" spans="1:100" s="441" customFormat="1">
      <c r="A1239" s="375">
        <f t="shared" si="340"/>
        <v>11</v>
      </c>
      <c r="B1239" s="862">
        <v>44515</v>
      </c>
      <c r="C1239" s="493" t="s">
        <v>2001</v>
      </c>
      <c r="D1239" s="376" t="str">
        <f>IFERROR(VLOOKUP(E:E,'Item Data Support Sheet'!A:O,7,0),"")</f>
        <v>BOTTLE PRINTED</v>
      </c>
      <c r="E1239" s="447" t="s">
        <v>64</v>
      </c>
      <c r="F1239" s="500"/>
      <c r="G1239" s="497"/>
      <c r="H1239" s="602" t="str">
        <f>IFERROR(VLOOKUP(E:E,'Item Data Support Sheet'!A:O,2,0),"")</f>
        <v>KPP 240 ML BOTTLE PRINTED</v>
      </c>
      <c r="I1239" s="501" t="s">
        <v>4022</v>
      </c>
      <c r="J1239" s="501" t="s">
        <v>2811</v>
      </c>
      <c r="K1239" s="499">
        <v>8</v>
      </c>
      <c r="L1239" s="499">
        <v>5100</v>
      </c>
      <c r="M1239" s="366">
        <v>637.5</v>
      </c>
      <c r="N1239" s="367">
        <f t="shared" si="339"/>
        <v>4479</v>
      </c>
      <c r="O1239" s="61">
        <v>4428</v>
      </c>
      <c r="P1239" s="368">
        <v>0</v>
      </c>
      <c r="Q1239" s="368">
        <v>0</v>
      </c>
      <c r="R1239" s="494">
        <v>61</v>
      </c>
      <c r="S1239" s="493">
        <v>0</v>
      </c>
      <c r="T1239" s="494">
        <v>51</v>
      </c>
      <c r="U1239" s="493">
        <v>0</v>
      </c>
      <c r="V1239" s="502">
        <v>5</v>
      </c>
      <c r="W1239" s="453">
        <f t="shared" si="341"/>
        <v>885.6</v>
      </c>
      <c r="X1239" s="748">
        <f t="shared" si="342"/>
        <v>0.86823529411764711</v>
      </c>
      <c r="Y1239" s="451" t="str">
        <f>IFERROR(VLOOKUP(E:E,'Item Data Support Sheet'!A:J,6,0),0)</f>
        <v>FO003</v>
      </c>
      <c r="Z1239" s="428">
        <f>IFERROR(VLOOKUP(E:E,'Item Data Support Sheet'!A:O,4,0),0)</f>
        <v>0</v>
      </c>
      <c r="AA1239" s="428">
        <f t="shared" si="343"/>
        <v>0</v>
      </c>
      <c r="AB1239" s="429" t="str">
        <f t="shared" si="344"/>
        <v xml:space="preserve"> </v>
      </c>
      <c r="AC1239" s="424">
        <f t="shared" si="345"/>
        <v>1.1386470194239785E-2</v>
      </c>
      <c r="AD1239" s="371">
        <f t="shared" si="346"/>
        <v>0</v>
      </c>
      <c r="AE1239" s="748">
        <f t="shared" si="347"/>
        <v>0.98861352980576023</v>
      </c>
      <c r="AF1239" s="417">
        <f t="shared" si="348"/>
        <v>0</v>
      </c>
      <c r="AG1239" s="416">
        <f t="shared" si="349"/>
        <v>8</v>
      </c>
      <c r="AH1239" s="372">
        <f t="shared" si="350"/>
        <v>1</v>
      </c>
      <c r="AI1239" s="373">
        <f t="shared" si="351"/>
        <v>553.5</v>
      </c>
      <c r="AJ1239" s="418">
        <f>VLOOKUP(D1239,'Standard Cycle time'!C:D,2,0)</f>
        <v>32.4</v>
      </c>
      <c r="AK1239" s="418">
        <f t="shared" si="352"/>
        <v>32.520325203252035</v>
      </c>
      <c r="AL1239" s="374">
        <f t="shared" si="353"/>
        <v>0.99629999999999985</v>
      </c>
      <c r="AM1239" s="372">
        <f t="shared" si="354"/>
        <v>0.98495565974547872</v>
      </c>
      <c r="AN1239" s="799">
        <v>0.98495565974547872</v>
      </c>
      <c r="AO1239" s="448"/>
      <c r="AP1239" s="440">
        <v>0</v>
      </c>
      <c r="AQ1239" s="440">
        <v>0</v>
      </c>
      <c r="AR1239" s="440">
        <v>0</v>
      </c>
      <c r="AS1239" s="440">
        <v>0</v>
      </c>
      <c r="AT1239" s="440">
        <v>0</v>
      </c>
      <c r="AU1239" s="440">
        <v>0</v>
      </c>
      <c r="AV1239" s="440">
        <v>0</v>
      </c>
      <c r="AW1239" s="440">
        <v>0</v>
      </c>
      <c r="AX1239" s="440">
        <v>0</v>
      </c>
      <c r="AY1239" s="440">
        <v>0</v>
      </c>
      <c r="AZ1239" s="440">
        <v>0</v>
      </c>
      <c r="BA1239" s="440">
        <v>0</v>
      </c>
      <c r="BB1239" s="440">
        <v>0</v>
      </c>
      <c r="BC1239" s="440">
        <v>0</v>
      </c>
      <c r="BD1239" s="440">
        <v>0</v>
      </c>
      <c r="BE1239" s="440">
        <v>0</v>
      </c>
      <c r="BF1239" s="440">
        <v>0</v>
      </c>
      <c r="BG1239" s="440">
        <v>0</v>
      </c>
      <c r="BH1239" s="440">
        <v>0</v>
      </c>
      <c r="BI1239" s="440">
        <v>0</v>
      </c>
      <c r="BJ1239" s="440">
        <v>0</v>
      </c>
      <c r="BK1239" s="440">
        <v>0</v>
      </c>
      <c r="BL1239" s="440">
        <v>0</v>
      </c>
      <c r="BM1239" s="440">
        <v>0</v>
      </c>
      <c r="BN1239" s="440">
        <v>0</v>
      </c>
      <c r="BO1239" s="440">
        <v>0</v>
      </c>
      <c r="BP1239" s="440">
        <v>0</v>
      </c>
      <c r="BQ1239" s="440">
        <v>0</v>
      </c>
      <c r="BR1239" s="415">
        <v>0</v>
      </c>
      <c r="BS1239" s="415">
        <v>0</v>
      </c>
      <c r="BT1239" s="935"/>
      <c r="BU1239" s="935"/>
      <c r="BV1239" s="935"/>
      <c r="BW1239" s="935"/>
      <c r="BX1239" s="935"/>
      <c r="BY1239" s="935"/>
      <c r="BZ1239" s="935"/>
      <c r="CA1239" s="935"/>
      <c r="CB1239" s="935"/>
      <c r="CC1239" s="935"/>
      <c r="CD1239" s="935"/>
      <c r="CE1239" s="935"/>
      <c r="CF1239" s="935"/>
      <c r="CG1239" s="935"/>
      <c r="CH1239" s="935"/>
      <c r="CI1239" s="935"/>
      <c r="CJ1239" s="935"/>
      <c r="CK1239" s="935"/>
      <c r="CL1239" s="935"/>
      <c r="CM1239" s="935"/>
      <c r="CN1239" s="935"/>
      <c r="CO1239" s="935"/>
      <c r="CP1239" s="935"/>
      <c r="CQ1239" s="935"/>
      <c r="CR1239" s="935"/>
      <c r="CS1239" s="935"/>
      <c r="CT1239" s="935"/>
      <c r="CU1239" s="935"/>
      <c r="CV1239" s="935"/>
    </row>
    <row r="1240" spans="1:100" s="441" customFormat="1">
      <c r="A1240" s="375">
        <f t="shared" si="340"/>
        <v>11</v>
      </c>
      <c r="B1240" s="862">
        <v>44515</v>
      </c>
      <c r="C1240" s="493" t="s">
        <v>2053</v>
      </c>
      <c r="D1240" s="376" t="str">
        <f>IFERROR(VLOOKUP(E:E,'Item Data Support Sheet'!A:O,7,0),"")</f>
        <v>BOTTLE MOLDED</v>
      </c>
      <c r="E1240" s="447" t="s">
        <v>68</v>
      </c>
      <c r="F1240" s="500" t="s">
        <v>1664</v>
      </c>
      <c r="G1240" s="497" t="s">
        <v>1888</v>
      </c>
      <c r="H1240" s="602" t="str">
        <f>IFERROR(VLOOKUP(E:E,'Item Data Support Sheet'!A:O,2,0),"")</f>
        <v>RPP 240 ML BOTTLE MOLDED</v>
      </c>
      <c r="I1240" s="501" t="s">
        <v>4023</v>
      </c>
      <c r="J1240" s="501" t="s">
        <v>3895</v>
      </c>
      <c r="K1240" s="499">
        <v>8</v>
      </c>
      <c r="L1240" s="499">
        <v>2574</v>
      </c>
      <c r="M1240" s="366">
        <v>321.75</v>
      </c>
      <c r="N1240" s="367">
        <f t="shared" si="339"/>
        <v>3239</v>
      </c>
      <c r="O1240" s="61">
        <v>3120</v>
      </c>
      <c r="P1240" s="368">
        <v>0.4</v>
      </c>
      <c r="Q1240" s="368">
        <v>48</v>
      </c>
      <c r="R1240" s="494">
        <v>0</v>
      </c>
      <c r="S1240" s="493">
        <v>0</v>
      </c>
      <c r="T1240" s="494">
        <v>63</v>
      </c>
      <c r="U1240" s="493">
        <v>8</v>
      </c>
      <c r="V1240" s="502">
        <v>1</v>
      </c>
      <c r="W1240" s="453">
        <f t="shared" si="341"/>
        <v>3120</v>
      </c>
      <c r="X1240" s="748">
        <f t="shared" si="342"/>
        <v>1.2121212121212122</v>
      </c>
      <c r="Y1240" s="451" t="str">
        <f>IFERROR(VLOOKUP(E:E,'Item Data Support Sheet'!A:J,6,0),0)</f>
        <v>HMC</v>
      </c>
      <c r="Z1240" s="428">
        <f>IFERROR(VLOOKUP(E:E,'Item Data Support Sheet'!A:O,4,0),0)</f>
        <v>32.1</v>
      </c>
      <c r="AA1240" s="428">
        <f t="shared" si="343"/>
        <v>104.37190000000001</v>
      </c>
      <c r="AB1240" s="429">
        <f t="shared" si="344"/>
        <v>0.95956861952307093</v>
      </c>
      <c r="AC1240" s="424">
        <f t="shared" si="345"/>
        <v>1.9792648444863337E-2</v>
      </c>
      <c r="AD1240" s="371">
        <f t="shared" si="346"/>
        <v>1.4602981442044418E-2</v>
      </c>
      <c r="AE1240" s="748">
        <f t="shared" si="347"/>
        <v>0.9805495523309663</v>
      </c>
      <c r="AF1240" s="417">
        <f t="shared" si="348"/>
        <v>0</v>
      </c>
      <c r="AG1240" s="416">
        <f t="shared" si="349"/>
        <v>8</v>
      </c>
      <c r="AH1240" s="372">
        <f t="shared" si="350"/>
        <v>1</v>
      </c>
      <c r="AI1240" s="373">
        <f t="shared" si="351"/>
        <v>390</v>
      </c>
      <c r="AJ1240" s="418">
        <f>VLOOKUP(D1240,'Standard Cycle time'!C:D,2,0)</f>
        <v>9</v>
      </c>
      <c r="AK1240" s="418">
        <f t="shared" si="352"/>
        <v>9.2307692307692299</v>
      </c>
      <c r="AL1240" s="374">
        <f t="shared" si="353"/>
        <v>0.97500000000000009</v>
      </c>
      <c r="AM1240" s="372">
        <f t="shared" si="354"/>
        <v>0.95603581352269218</v>
      </c>
      <c r="AN1240" s="799">
        <v>0.95603581352269218</v>
      </c>
      <c r="AO1240" s="448"/>
      <c r="AP1240" s="440">
        <v>0</v>
      </c>
      <c r="AQ1240" s="440">
        <v>0</v>
      </c>
      <c r="AR1240" s="440">
        <v>0</v>
      </c>
      <c r="AS1240" s="440">
        <v>0</v>
      </c>
      <c r="AT1240" s="440">
        <v>0</v>
      </c>
      <c r="AU1240" s="440">
        <v>0</v>
      </c>
      <c r="AV1240" s="440">
        <v>0</v>
      </c>
      <c r="AW1240" s="440">
        <v>0</v>
      </c>
      <c r="AX1240" s="440">
        <v>0</v>
      </c>
      <c r="AY1240" s="440">
        <v>0</v>
      </c>
      <c r="AZ1240" s="440">
        <v>0</v>
      </c>
      <c r="BA1240" s="440">
        <v>0</v>
      </c>
      <c r="BB1240" s="440">
        <v>0</v>
      </c>
      <c r="BC1240" s="440">
        <v>0</v>
      </c>
      <c r="BD1240" s="440">
        <v>0</v>
      </c>
      <c r="BE1240" s="440">
        <v>0</v>
      </c>
      <c r="BF1240" s="440">
        <v>0</v>
      </c>
      <c r="BG1240" s="440">
        <v>0</v>
      </c>
      <c r="BH1240" s="440">
        <v>0</v>
      </c>
      <c r="BI1240" s="440">
        <v>0</v>
      </c>
      <c r="BJ1240" s="440">
        <v>0</v>
      </c>
      <c r="BK1240" s="440">
        <v>0</v>
      </c>
      <c r="BL1240" s="440">
        <v>0</v>
      </c>
      <c r="BM1240" s="440">
        <v>0</v>
      </c>
      <c r="BN1240" s="440">
        <v>0</v>
      </c>
      <c r="BO1240" s="440">
        <v>0</v>
      </c>
      <c r="BP1240" s="440">
        <v>0</v>
      </c>
      <c r="BQ1240" s="440">
        <v>0</v>
      </c>
      <c r="BR1240" s="415">
        <v>0</v>
      </c>
      <c r="BS1240" s="415">
        <v>0</v>
      </c>
      <c r="BT1240" s="935"/>
      <c r="BU1240" s="935"/>
      <c r="BV1240" s="935"/>
      <c r="BW1240" s="935"/>
      <c r="BX1240" s="935"/>
      <c r="BY1240" s="935"/>
      <c r="BZ1240" s="935"/>
      <c r="CA1240" s="935"/>
      <c r="CB1240" s="935"/>
      <c r="CC1240" s="935"/>
      <c r="CD1240" s="935"/>
      <c r="CE1240" s="935"/>
      <c r="CF1240" s="935"/>
      <c r="CG1240" s="935"/>
      <c r="CH1240" s="935"/>
      <c r="CI1240" s="935"/>
      <c r="CJ1240" s="935"/>
      <c r="CK1240" s="935"/>
      <c r="CL1240" s="935"/>
      <c r="CM1240" s="935"/>
      <c r="CN1240" s="935"/>
      <c r="CO1240" s="935"/>
      <c r="CP1240" s="935"/>
      <c r="CQ1240" s="935"/>
      <c r="CR1240" s="935"/>
      <c r="CS1240" s="935"/>
      <c r="CT1240" s="935"/>
      <c r="CU1240" s="935"/>
      <c r="CV1240" s="935"/>
    </row>
    <row r="1241" spans="1:100" s="441" customFormat="1">
      <c r="A1241" s="375">
        <f t="shared" si="340"/>
        <v>11</v>
      </c>
      <c r="B1241" s="862">
        <v>44515</v>
      </c>
      <c r="C1241" s="493" t="s">
        <v>2053</v>
      </c>
      <c r="D1241" s="376" t="str">
        <f>IFERROR(VLOOKUP(E:E,'Item Data Support Sheet'!A:O,7,0),"")</f>
        <v>NIPPLE MOLDED</v>
      </c>
      <c r="E1241" s="447" t="s">
        <v>74</v>
      </c>
      <c r="F1241" s="500" t="s">
        <v>1678</v>
      </c>
      <c r="G1241" s="497" t="s">
        <v>1691</v>
      </c>
      <c r="H1241" s="602" t="str">
        <f>IFERROR(VLOOKUP(E:E,'Item Data Support Sheet'!A:O,2,0),"")</f>
        <v>NIPPLE S TYPE L SIZE INJECTION</v>
      </c>
      <c r="I1241" s="501" t="s">
        <v>4024</v>
      </c>
      <c r="J1241" s="501" t="s">
        <v>3895</v>
      </c>
      <c r="K1241" s="499">
        <v>8</v>
      </c>
      <c r="L1241" s="499">
        <v>4815</v>
      </c>
      <c r="M1241" s="366">
        <v>601.875</v>
      </c>
      <c r="N1241" s="367">
        <f t="shared" si="339"/>
        <v>4376</v>
      </c>
      <c r="O1241" s="61">
        <v>4200</v>
      </c>
      <c r="P1241" s="368">
        <v>0</v>
      </c>
      <c r="Q1241" s="368">
        <v>107</v>
      </c>
      <c r="R1241" s="494">
        <v>0</v>
      </c>
      <c r="S1241" s="493">
        <v>0</v>
      </c>
      <c r="T1241" s="494">
        <v>53</v>
      </c>
      <c r="U1241" s="493">
        <v>16</v>
      </c>
      <c r="V1241" s="502">
        <v>1</v>
      </c>
      <c r="W1241" s="453">
        <f t="shared" si="341"/>
        <v>4200</v>
      </c>
      <c r="X1241" s="748">
        <f t="shared" si="342"/>
        <v>0.87227414330218067</v>
      </c>
      <c r="Y1241" s="451" t="str">
        <f>IFERROR(VLOOKUP(E:E,'Item Data Support Sheet'!A:J,6,0),0)</f>
        <v>Silicon</v>
      </c>
      <c r="Z1241" s="428">
        <f>IFERROR(VLOOKUP(E:E,'Item Data Support Sheet'!A:O,4,0),0)</f>
        <v>6.8</v>
      </c>
      <c r="AA1241" s="428">
        <f t="shared" si="343"/>
        <v>29.756799999999998</v>
      </c>
      <c r="AB1241" s="429">
        <f t="shared" si="344"/>
        <v>0.95978062157221211</v>
      </c>
      <c r="AC1241" s="424">
        <f t="shared" si="345"/>
        <v>1.2461791676463673E-2</v>
      </c>
      <c r="AD1241" s="371">
        <f t="shared" si="346"/>
        <v>2.38679455721615E-2</v>
      </c>
      <c r="AE1241" s="748">
        <f t="shared" si="347"/>
        <v>0.98788848263254114</v>
      </c>
      <c r="AF1241" s="417">
        <f t="shared" si="348"/>
        <v>1</v>
      </c>
      <c r="AG1241" s="416">
        <f t="shared" si="349"/>
        <v>7</v>
      </c>
      <c r="AH1241" s="372">
        <f t="shared" si="350"/>
        <v>0.875</v>
      </c>
      <c r="AI1241" s="373">
        <f t="shared" si="351"/>
        <v>525</v>
      </c>
      <c r="AJ1241" s="418">
        <f>VLOOKUP(D1241,'Standard Cycle time'!C:D,2,0)</f>
        <v>5.25</v>
      </c>
      <c r="AK1241" s="418">
        <f t="shared" si="352"/>
        <v>6</v>
      </c>
      <c r="AL1241" s="374">
        <f t="shared" si="353"/>
        <v>0.875</v>
      </c>
      <c r="AM1241" s="372">
        <f t="shared" si="354"/>
        <v>0.75635211951553938</v>
      </c>
      <c r="AN1241" s="799">
        <v>0.75635211951553938</v>
      </c>
      <c r="AO1241" s="448" t="s">
        <v>4025</v>
      </c>
      <c r="AP1241" s="440">
        <v>0</v>
      </c>
      <c r="AQ1241" s="440">
        <v>0</v>
      </c>
      <c r="AR1241" s="440">
        <v>0</v>
      </c>
      <c r="AS1241" s="440">
        <v>0</v>
      </c>
      <c r="AT1241" s="440">
        <v>0</v>
      </c>
      <c r="AU1241" s="440">
        <v>60</v>
      </c>
      <c r="AV1241" s="440">
        <v>0</v>
      </c>
      <c r="AW1241" s="440">
        <v>0</v>
      </c>
      <c r="AX1241" s="440">
        <v>0</v>
      </c>
      <c r="AY1241" s="440">
        <v>0</v>
      </c>
      <c r="AZ1241" s="440">
        <v>0</v>
      </c>
      <c r="BA1241" s="440">
        <v>0</v>
      </c>
      <c r="BB1241" s="440">
        <v>0</v>
      </c>
      <c r="BC1241" s="440">
        <v>0</v>
      </c>
      <c r="BD1241" s="440">
        <v>0</v>
      </c>
      <c r="BE1241" s="440">
        <v>0</v>
      </c>
      <c r="BF1241" s="440">
        <v>0</v>
      </c>
      <c r="BG1241" s="440">
        <v>0</v>
      </c>
      <c r="BH1241" s="440">
        <v>0</v>
      </c>
      <c r="BI1241" s="440">
        <v>0</v>
      </c>
      <c r="BJ1241" s="440">
        <v>0</v>
      </c>
      <c r="BK1241" s="440">
        <v>0</v>
      </c>
      <c r="BL1241" s="440">
        <v>0</v>
      </c>
      <c r="BM1241" s="440">
        <v>0</v>
      </c>
      <c r="BN1241" s="440">
        <v>0</v>
      </c>
      <c r="BO1241" s="440">
        <v>0</v>
      </c>
      <c r="BP1241" s="440">
        <v>0</v>
      </c>
      <c r="BQ1241" s="440">
        <v>0</v>
      </c>
      <c r="BR1241" s="415">
        <v>1</v>
      </c>
      <c r="BS1241" s="415">
        <v>1</v>
      </c>
      <c r="BT1241" s="935"/>
      <c r="BU1241" s="935"/>
      <c r="BV1241" s="935"/>
      <c r="BW1241" s="935"/>
      <c r="BX1241" s="935"/>
      <c r="BY1241" s="935"/>
      <c r="BZ1241" s="935"/>
      <c r="CA1241" s="935"/>
      <c r="CB1241" s="935"/>
      <c r="CC1241" s="935"/>
      <c r="CD1241" s="935"/>
      <c r="CE1241" s="935"/>
      <c r="CF1241" s="935"/>
      <c r="CG1241" s="935"/>
      <c r="CH1241" s="935"/>
      <c r="CI1241" s="935"/>
      <c r="CJ1241" s="935"/>
      <c r="CK1241" s="935"/>
      <c r="CL1241" s="935"/>
      <c r="CM1241" s="935"/>
      <c r="CN1241" s="935"/>
      <c r="CO1241" s="935"/>
      <c r="CP1241" s="935"/>
      <c r="CQ1241" s="935"/>
      <c r="CR1241" s="935"/>
      <c r="CS1241" s="935"/>
      <c r="CT1241" s="935"/>
      <c r="CU1241" s="935"/>
      <c r="CV1241" s="935"/>
    </row>
    <row r="1242" spans="1:100" s="441" customFormat="1">
      <c r="A1242" s="375">
        <f t="shared" si="340"/>
        <v>11</v>
      </c>
      <c r="B1242" s="862">
        <v>44515</v>
      </c>
      <c r="C1242" s="493" t="s">
        <v>2053</v>
      </c>
      <c r="D1242" s="376" t="str">
        <f>IFERROR(VLOOKUP(E:E,'Item Data Support Sheet'!A:O,7,0),"")</f>
        <v>HOOD MOLDED</v>
      </c>
      <c r="E1242" s="447" t="s">
        <v>1987</v>
      </c>
      <c r="F1242" s="500"/>
      <c r="G1242" s="497" t="s">
        <v>2729</v>
      </c>
      <c r="H1242" s="602" t="str">
        <f>IFERROR(VLOOKUP(E:E,'Item Data Support Sheet'!A:O,2,0),"")</f>
        <v>HOOD S TYPE MOLDED</v>
      </c>
      <c r="I1242" s="501" t="s">
        <v>4026</v>
      </c>
      <c r="J1242" s="501" t="s">
        <v>3895</v>
      </c>
      <c r="K1242" s="499">
        <v>8</v>
      </c>
      <c r="L1242" s="499">
        <v>4137</v>
      </c>
      <c r="M1242" s="366">
        <v>517.125</v>
      </c>
      <c r="N1242" s="367">
        <f t="shared" si="339"/>
        <v>4833</v>
      </c>
      <c r="O1242" s="61">
        <v>4800</v>
      </c>
      <c r="P1242" s="368">
        <v>0</v>
      </c>
      <c r="Q1242" s="368">
        <v>0</v>
      </c>
      <c r="R1242" s="494">
        <v>0</v>
      </c>
      <c r="S1242" s="493">
        <v>0</v>
      </c>
      <c r="T1242" s="494">
        <v>25</v>
      </c>
      <c r="U1242" s="493">
        <v>8</v>
      </c>
      <c r="V1242" s="502">
        <v>1</v>
      </c>
      <c r="W1242" s="453">
        <f t="shared" si="341"/>
        <v>4800</v>
      </c>
      <c r="X1242" s="748">
        <f t="shared" si="342"/>
        <v>1.1602610587382161</v>
      </c>
      <c r="Y1242" s="451" t="str">
        <f>IFERROR(VLOOKUP(E:E,'Item Data Support Sheet'!A:J,6,0),0)</f>
        <v>HMC</v>
      </c>
      <c r="Z1242" s="428">
        <f>IFERROR(VLOOKUP(E:E,'Item Data Support Sheet'!A:O,4,0),0)</f>
        <v>8.6</v>
      </c>
      <c r="AA1242" s="428">
        <f t="shared" si="343"/>
        <v>41.563800000000001</v>
      </c>
      <c r="AB1242" s="429">
        <f t="shared" si="344"/>
        <v>0.99317194289261335</v>
      </c>
      <c r="AC1242" s="424">
        <f t="shared" si="345"/>
        <v>5.1813471502590676E-3</v>
      </c>
      <c r="AD1242" s="371">
        <f t="shared" si="346"/>
        <v>0</v>
      </c>
      <c r="AE1242" s="748">
        <f t="shared" si="347"/>
        <v>0.99482722946410096</v>
      </c>
      <c r="AF1242" s="417">
        <f t="shared" si="348"/>
        <v>0</v>
      </c>
      <c r="AG1242" s="416">
        <f t="shared" si="349"/>
        <v>8</v>
      </c>
      <c r="AH1242" s="372">
        <f t="shared" si="350"/>
        <v>1</v>
      </c>
      <c r="AI1242" s="373">
        <f t="shared" si="351"/>
        <v>600</v>
      </c>
      <c r="AJ1242" s="418">
        <f>VLOOKUP(D1242,'Standard Cycle time'!C:D,2,0)</f>
        <v>6</v>
      </c>
      <c r="AK1242" s="418">
        <f t="shared" si="352"/>
        <v>6</v>
      </c>
      <c r="AL1242" s="374">
        <f t="shared" si="353"/>
        <v>1</v>
      </c>
      <c r="AM1242" s="372">
        <f t="shared" si="354"/>
        <v>0.99482722946410096</v>
      </c>
      <c r="AN1242" s="799">
        <v>0.99482722946410096</v>
      </c>
      <c r="AO1242" s="448"/>
      <c r="AP1242" s="440">
        <v>0</v>
      </c>
      <c r="AQ1242" s="440">
        <v>0</v>
      </c>
      <c r="AR1242" s="440">
        <v>0</v>
      </c>
      <c r="AS1242" s="440">
        <v>0</v>
      </c>
      <c r="AT1242" s="440">
        <v>0</v>
      </c>
      <c r="AU1242" s="440">
        <v>0</v>
      </c>
      <c r="AV1242" s="440">
        <v>0</v>
      </c>
      <c r="AW1242" s="440">
        <v>0</v>
      </c>
      <c r="AX1242" s="440">
        <v>0</v>
      </c>
      <c r="AY1242" s="440">
        <v>0</v>
      </c>
      <c r="AZ1242" s="440">
        <v>0</v>
      </c>
      <c r="BA1242" s="440">
        <v>0</v>
      </c>
      <c r="BB1242" s="440">
        <v>0</v>
      </c>
      <c r="BC1242" s="440">
        <v>0</v>
      </c>
      <c r="BD1242" s="440">
        <v>0</v>
      </c>
      <c r="BE1242" s="440">
        <v>0</v>
      </c>
      <c r="BF1242" s="440">
        <v>0</v>
      </c>
      <c r="BG1242" s="440">
        <v>0</v>
      </c>
      <c r="BH1242" s="440">
        <v>0</v>
      </c>
      <c r="BI1242" s="440">
        <v>0</v>
      </c>
      <c r="BJ1242" s="440">
        <v>0</v>
      </c>
      <c r="BK1242" s="440">
        <v>0</v>
      </c>
      <c r="BL1242" s="440">
        <v>0</v>
      </c>
      <c r="BM1242" s="440">
        <v>0</v>
      </c>
      <c r="BN1242" s="440">
        <v>0</v>
      </c>
      <c r="BO1242" s="440">
        <v>0</v>
      </c>
      <c r="BP1242" s="440">
        <v>0</v>
      </c>
      <c r="BQ1242" s="440">
        <v>0</v>
      </c>
      <c r="BR1242" s="415">
        <v>0</v>
      </c>
      <c r="BS1242" s="415">
        <v>0</v>
      </c>
      <c r="BT1242" s="935"/>
      <c r="BU1242" s="935"/>
      <c r="BV1242" s="935"/>
      <c r="BW1242" s="935"/>
      <c r="BX1242" s="935"/>
      <c r="BY1242" s="935"/>
      <c r="BZ1242" s="935"/>
      <c r="CA1242" s="935"/>
      <c r="CB1242" s="935"/>
      <c r="CC1242" s="935"/>
      <c r="CD1242" s="935"/>
      <c r="CE1242" s="935"/>
      <c r="CF1242" s="935"/>
      <c r="CG1242" s="935"/>
      <c r="CH1242" s="935"/>
      <c r="CI1242" s="935"/>
      <c r="CJ1242" s="935"/>
      <c r="CK1242" s="935"/>
      <c r="CL1242" s="935"/>
      <c r="CM1242" s="935"/>
      <c r="CN1242" s="935"/>
      <c r="CO1242" s="935"/>
      <c r="CP1242" s="935"/>
      <c r="CQ1242" s="935"/>
      <c r="CR1242" s="935"/>
      <c r="CS1242" s="935"/>
      <c r="CT1242" s="935"/>
      <c r="CU1242" s="935"/>
      <c r="CV1242" s="935"/>
    </row>
    <row r="1243" spans="1:100" s="441" customFormat="1">
      <c r="A1243" s="375">
        <f t="shared" si="340"/>
        <v>11</v>
      </c>
      <c r="B1243" s="862">
        <v>44516</v>
      </c>
      <c r="C1243" s="493" t="s">
        <v>1980</v>
      </c>
      <c r="D1243" s="376" t="str">
        <f>IFERROR(VLOOKUP(E:E,'Item Data Support Sheet'!A:O,7,0),"")</f>
        <v>NIPPLE MOLDED</v>
      </c>
      <c r="E1243" s="447" t="s">
        <v>74</v>
      </c>
      <c r="F1243" s="500" t="s">
        <v>1678</v>
      </c>
      <c r="G1243" s="497" t="s">
        <v>1691</v>
      </c>
      <c r="H1243" s="602" t="str">
        <f>IFERROR(VLOOKUP(E:E,'Item Data Support Sheet'!A:O,2,0),"")</f>
        <v>NIPPLE S TYPE L SIZE INJECTION</v>
      </c>
      <c r="I1243" s="501" t="s">
        <v>4027</v>
      </c>
      <c r="J1243" s="501" t="s">
        <v>2808</v>
      </c>
      <c r="K1243" s="499">
        <v>8</v>
      </c>
      <c r="L1243" s="499">
        <v>4815</v>
      </c>
      <c r="M1243" s="366">
        <v>601.875</v>
      </c>
      <c r="N1243" s="367">
        <f t="shared" si="339"/>
        <v>5488</v>
      </c>
      <c r="O1243" s="61">
        <v>5400</v>
      </c>
      <c r="P1243" s="368">
        <v>0</v>
      </c>
      <c r="Q1243" s="368">
        <v>30</v>
      </c>
      <c r="R1243" s="494">
        <v>0</v>
      </c>
      <c r="S1243" s="493">
        <v>0</v>
      </c>
      <c r="T1243" s="494">
        <v>50</v>
      </c>
      <c r="U1243" s="493">
        <v>8</v>
      </c>
      <c r="V1243" s="502">
        <v>1</v>
      </c>
      <c r="W1243" s="453">
        <f t="shared" si="341"/>
        <v>5400</v>
      </c>
      <c r="X1243" s="748">
        <f t="shared" si="342"/>
        <v>1.1214953271028036</v>
      </c>
      <c r="Y1243" s="451" t="str">
        <f>IFERROR(VLOOKUP(E:E,'Item Data Support Sheet'!A:J,6,0),0)</f>
        <v>Silicon</v>
      </c>
      <c r="Z1243" s="428">
        <f>IFERROR(VLOOKUP(E:E,'Item Data Support Sheet'!A:O,4,0),0)</f>
        <v>6.8</v>
      </c>
      <c r="AA1243" s="428">
        <f t="shared" si="343"/>
        <v>37.318399999999997</v>
      </c>
      <c r="AB1243" s="429">
        <f t="shared" si="344"/>
        <v>0.98396501457725949</v>
      </c>
      <c r="AC1243" s="424">
        <f t="shared" si="345"/>
        <v>9.1743119266055051E-3</v>
      </c>
      <c r="AD1243" s="371">
        <f t="shared" si="346"/>
        <v>5.4367524465386008E-3</v>
      </c>
      <c r="AE1243" s="748">
        <f t="shared" si="347"/>
        <v>0.99088921282798836</v>
      </c>
      <c r="AF1243" s="417">
        <f t="shared" si="348"/>
        <v>0</v>
      </c>
      <c r="AG1243" s="416">
        <f t="shared" si="349"/>
        <v>8</v>
      </c>
      <c r="AH1243" s="372">
        <f t="shared" si="350"/>
        <v>1</v>
      </c>
      <c r="AI1243" s="373">
        <f t="shared" si="351"/>
        <v>675</v>
      </c>
      <c r="AJ1243" s="418">
        <f>VLOOKUP(D1243,'Standard Cycle time'!C:D,2,0)</f>
        <v>5.25</v>
      </c>
      <c r="AK1243" s="418">
        <f t="shared" si="352"/>
        <v>5.333333333333333</v>
      </c>
      <c r="AL1243" s="374">
        <f t="shared" si="353"/>
        <v>0.984375</v>
      </c>
      <c r="AM1243" s="372">
        <f t="shared" si="354"/>
        <v>0.97540656887755106</v>
      </c>
      <c r="AN1243" s="799">
        <v>0.97540656887755106</v>
      </c>
      <c r="AO1243" s="448"/>
      <c r="AP1243" s="440">
        <v>0</v>
      </c>
      <c r="AQ1243" s="440">
        <v>0</v>
      </c>
      <c r="AR1243" s="440">
        <v>0</v>
      </c>
      <c r="AS1243" s="440">
        <v>0</v>
      </c>
      <c r="AT1243" s="440">
        <v>0</v>
      </c>
      <c r="AU1243" s="440">
        <v>0</v>
      </c>
      <c r="AV1243" s="440">
        <v>0</v>
      </c>
      <c r="AW1243" s="440">
        <v>0</v>
      </c>
      <c r="AX1243" s="440">
        <v>0</v>
      </c>
      <c r="AY1243" s="440">
        <v>0</v>
      </c>
      <c r="AZ1243" s="440">
        <v>0</v>
      </c>
      <c r="BA1243" s="440">
        <v>0</v>
      </c>
      <c r="BB1243" s="440">
        <v>0</v>
      </c>
      <c r="BC1243" s="440">
        <v>0</v>
      </c>
      <c r="BD1243" s="440">
        <v>0</v>
      </c>
      <c r="BE1243" s="440">
        <v>0</v>
      </c>
      <c r="BF1243" s="440">
        <v>0</v>
      </c>
      <c r="BG1243" s="440">
        <v>0</v>
      </c>
      <c r="BH1243" s="440">
        <v>0</v>
      </c>
      <c r="BI1243" s="440">
        <v>0</v>
      </c>
      <c r="BJ1243" s="440">
        <v>0</v>
      </c>
      <c r="BK1243" s="440">
        <v>0</v>
      </c>
      <c r="BL1243" s="440">
        <v>0</v>
      </c>
      <c r="BM1243" s="440">
        <v>0</v>
      </c>
      <c r="BN1243" s="440">
        <v>0</v>
      </c>
      <c r="BO1243" s="440">
        <v>0</v>
      </c>
      <c r="BP1243" s="440">
        <v>0</v>
      </c>
      <c r="BQ1243" s="440">
        <v>0</v>
      </c>
      <c r="BR1243" s="415">
        <v>0</v>
      </c>
      <c r="BS1243" s="415">
        <v>0</v>
      </c>
      <c r="BT1243" s="935"/>
      <c r="BU1243" s="935"/>
      <c r="BV1243" s="935"/>
      <c r="BW1243" s="935"/>
      <c r="BX1243" s="935"/>
      <c r="BY1243" s="935"/>
      <c r="BZ1243" s="935"/>
      <c r="CA1243" s="935"/>
      <c r="CB1243" s="935"/>
      <c r="CC1243" s="935"/>
      <c r="CD1243" s="935"/>
      <c r="CE1243" s="935"/>
      <c r="CF1243" s="935"/>
      <c r="CG1243" s="935"/>
      <c r="CH1243" s="935"/>
      <c r="CI1243" s="935"/>
      <c r="CJ1243" s="935"/>
      <c r="CK1243" s="935"/>
      <c r="CL1243" s="935"/>
      <c r="CM1243" s="935"/>
      <c r="CN1243" s="935"/>
      <c r="CO1243" s="935"/>
      <c r="CP1243" s="935"/>
      <c r="CQ1243" s="935"/>
      <c r="CR1243" s="935"/>
      <c r="CS1243" s="935"/>
      <c r="CT1243" s="935"/>
      <c r="CU1243" s="935"/>
      <c r="CV1243" s="935"/>
    </row>
    <row r="1244" spans="1:100" s="441" customFormat="1">
      <c r="A1244" s="375">
        <f t="shared" si="340"/>
        <v>11</v>
      </c>
      <c r="B1244" s="862">
        <v>44516</v>
      </c>
      <c r="C1244" s="493" t="s">
        <v>1980</v>
      </c>
      <c r="D1244" s="376" t="str">
        <f>IFERROR(VLOOKUP(E:E,'Item Data Support Sheet'!A:O,7,0),"")</f>
        <v>HOOD MOLDED</v>
      </c>
      <c r="E1244" s="447" t="s">
        <v>1987</v>
      </c>
      <c r="F1244" s="500"/>
      <c r="G1244" s="497" t="s">
        <v>2729</v>
      </c>
      <c r="H1244" s="602" t="str">
        <f>IFERROR(VLOOKUP(E:E,'Item Data Support Sheet'!A:O,2,0),"")</f>
        <v>HOOD S TYPE MOLDED</v>
      </c>
      <c r="I1244" s="501" t="s">
        <v>4028</v>
      </c>
      <c r="J1244" s="501" t="s">
        <v>2808</v>
      </c>
      <c r="K1244" s="499">
        <v>8</v>
      </c>
      <c r="L1244" s="499">
        <v>4137</v>
      </c>
      <c r="M1244" s="366">
        <v>517.125</v>
      </c>
      <c r="N1244" s="367">
        <f t="shared" si="339"/>
        <v>4148</v>
      </c>
      <c r="O1244" s="61">
        <v>4100</v>
      </c>
      <c r="P1244" s="368">
        <v>0</v>
      </c>
      <c r="Q1244" s="368">
        <v>32</v>
      </c>
      <c r="R1244" s="494">
        <v>0</v>
      </c>
      <c r="S1244" s="493">
        <v>0</v>
      </c>
      <c r="T1244" s="494">
        <v>8</v>
      </c>
      <c r="U1244" s="493">
        <v>8</v>
      </c>
      <c r="V1244" s="502">
        <v>1</v>
      </c>
      <c r="W1244" s="453">
        <f t="shared" si="341"/>
        <v>4100</v>
      </c>
      <c r="X1244" s="748">
        <f t="shared" si="342"/>
        <v>0.99105632100555963</v>
      </c>
      <c r="Y1244" s="451" t="str">
        <f>IFERROR(VLOOKUP(E:E,'Item Data Support Sheet'!A:J,6,0),0)</f>
        <v>HMC</v>
      </c>
      <c r="Z1244" s="428">
        <f>IFERROR(VLOOKUP(E:E,'Item Data Support Sheet'!A:O,4,0),0)</f>
        <v>8.6</v>
      </c>
      <c r="AA1244" s="428">
        <f t="shared" si="343"/>
        <v>35.672800000000002</v>
      </c>
      <c r="AB1244" s="429">
        <f t="shared" si="344"/>
        <v>0.98842815814850515</v>
      </c>
      <c r="AC1244" s="424">
        <f t="shared" si="345"/>
        <v>1.9474196689386564E-3</v>
      </c>
      <c r="AD1244" s="371">
        <f t="shared" si="346"/>
        <v>7.6555023923444978E-3</v>
      </c>
      <c r="AE1244" s="748">
        <f t="shared" si="347"/>
        <v>0.99807135969141758</v>
      </c>
      <c r="AF1244" s="417">
        <f t="shared" si="348"/>
        <v>0</v>
      </c>
      <c r="AG1244" s="416">
        <f t="shared" si="349"/>
        <v>8</v>
      </c>
      <c r="AH1244" s="372">
        <f t="shared" si="350"/>
        <v>1</v>
      </c>
      <c r="AI1244" s="373">
        <f t="shared" si="351"/>
        <v>512.5</v>
      </c>
      <c r="AJ1244" s="418">
        <f>VLOOKUP(D1244,'Standard Cycle time'!C:D,2,0)</f>
        <v>6</v>
      </c>
      <c r="AK1244" s="418">
        <f t="shared" si="352"/>
        <v>7.024390243902439</v>
      </c>
      <c r="AL1244" s="374">
        <f t="shared" si="353"/>
        <v>0.85416666666666663</v>
      </c>
      <c r="AM1244" s="372">
        <f t="shared" si="354"/>
        <v>0.85251928640308583</v>
      </c>
      <c r="AN1244" s="799">
        <v>0.85251928640308583</v>
      </c>
      <c r="AO1244" s="448"/>
      <c r="AP1244" s="440">
        <v>0</v>
      </c>
      <c r="AQ1244" s="440">
        <v>0</v>
      </c>
      <c r="AR1244" s="440">
        <v>0</v>
      </c>
      <c r="AS1244" s="440">
        <v>0</v>
      </c>
      <c r="AT1244" s="440">
        <v>0</v>
      </c>
      <c r="AU1244" s="440">
        <v>0</v>
      </c>
      <c r="AV1244" s="440">
        <v>0</v>
      </c>
      <c r="AW1244" s="440">
        <v>0</v>
      </c>
      <c r="AX1244" s="440">
        <v>0</v>
      </c>
      <c r="AY1244" s="440">
        <v>0</v>
      </c>
      <c r="AZ1244" s="440">
        <v>0</v>
      </c>
      <c r="BA1244" s="440">
        <v>0</v>
      </c>
      <c r="BB1244" s="440">
        <v>0</v>
      </c>
      <c r="BC1244" s="440">
        <v>0</v>
      </c>
      <c r="BD1244" s="440">
        <v>0</v>
      </c>
      <c r="BE1244" s="440">
        <v>0</v>
      </c>
      <c r="BF1244" s="440">
        <v>0</v>
      </c>
      <c r="BG1244" s="440">
        <v>0</v>
      </c>
      <c r="BH1244" s="440">
        <v>0</v>
      </c>
      <c r="BI1244" s="440">
        <v>0</v>
      </c>
      <c r="BJ1244" s="440">
        <v>0</v>
      </c>
      <c r="BK1244" s="440">
        <v>0</v>
      </c>
      <c r="BL1244" s="440">
        <v>0</v>
      </c>
      <c r="BM1244" s="440">
        <v>0</v>
      </c>
      <c r="BN1244" s="440">
        <v>0</v>
      </c>
      <c r="BO1244" s="440">
        <v>0</v>
      </c>
      <c r="BP1244" s="440">
        <v>0</v>
      </c>
      <c r="BQ1244" s="440">
        <v>0</v>
      </c>
      <c r="BR1244" s="415">
        <v>0</v>
      </c>
      <c r="BS1244" s="415">
        <v>0</v>
      </c>
      <c r="BT1244" s="935"/>
      <c r="BU1244" s="935"/>
      <c r="BV1244" s="935"/>
      <c r="BW1244" s="935"/>
      <c r="BX1244" s="935"/>
      <c r="BY1244" s="935"/>
      <c r="BZ1244" s="935"/>
      <c r="CA1244" s="935"/>
      <c r="CB1244" s="935"/>
      <c r="CC1244" s="935"/>
      <c r="CD1244" s="935"/>
      <c r="CE1244" s="935"/>
      <c r="CF1244" s="935"/>
      <c r="CG1244" s="935"/>
      <c r="CH1244" s="935"/>
      <c r="CI1244" s="935"/>
      <c r="CJ1244" s="935"/>
      <c r="CK1244" s="935"/>
      <c r="CL1244" s="935"/>
      <c r="CM1244" s="935"/>
      <c r="CN1244" s="935"/>
      <c r="CO1244" s="935"/>
      <c r="CP1244" s="935"/>
      <c r="CQ1244" s="935"/>
      <c r="CR1244" s="935"/>
      <c r="CS1244" s="935"/>
      <c r="CT1244" s="935"/>
      <c r="CU1244" s="935"/>
      <c r="CV1244" s="935"/>
    </row>
    <row r="1245" spans="1:100" s="441" customFormat="1">
      <c r="A1245" s="375">
        <f t="shared" si="340"/>
        <v>11</v>
      </c>
      <c r="B1245" s="862">
        <v>44516</v>
      </c>
      <c r="C1245" s="493" t="s">
        <v>1980</v>
      </c>
      <c r="D1245" s="376" t="str">
        <f>IFERROR(VLOOKUP(E:E,'Item Data Support Sheet'!A:O,7,0),"")</f>
        <v>NIPPLE PUNCH</v>
      </c>
      <c r="E1245" s="447" t="s">
        <v>82</v>
      </c>
      <c r="F1245" s="500"/>
      <c r="G1245" s="497" t="s">
        <v>1692</v>
      </c>
      <c r="H1245" s="602" t="str">
        <f>IFERROR(VLOOKUP(E:E,'Item Data Support Sheet'!A:O,2,0),"")</f>
        <v>NIPPLE S TYPE L SIZE PUNCHED</v>
      </c>
      <c r="I1245" s="501" t="s">
        <v>4029</v>
      </c>
      <c r="J1245" s="501" t="s">
        <v>2808</v>
      </c>
      <c r="K1245" s="499">
        <v>8</v>
      </c>
      <c r="L1245" s="499">
        <v>7000</v>
      </c>
      <c r="M1245" s="366">
        <v>875</v>
      </c>
      <c r="N1245" s="367">
        <f t="shared" si="339"/>
        <v>6700</v>
      </c>
      <c r="O1245" s="61">
        <v>6700</v>
      </c>
      <c r="P1245" s="368">
        <v>0</v>
      </c>
      <c r="Q1245" s="368">
        <v>0</v>
      </c>
      <c r="R1245" s="494">
        <v>0</v>
      </c>
      <c r="S1245" s="493">
        <v>0</v>
      </c>
      <c r="T1245" s="494">
        <v>0</v>
      </c>
      <c r="U1245" s="493">
        <v>0</v>
      </c>
      <c r="V1245" s="502">
        <v>1</v>
      </c>
      <c r="W1245" s="453">
        <f t="shared" si="341"/>
        <v>6700</v>
      </c>
      <c r="X1245" s="748">
        <f t="shared" si="342"/>
        <v>0.95714285714285718</v>
      </c>
      <c r="Y1245" s="451" t="str">
        <f>IFERROR(VLOOKUP(E:E,'Item Data Support Sheet'!A:J,6,0),0)</f>
        <v>FO017</v>
      </c>
      <c r="Z1245" s="428">
        <f>IFERROR(VLOOKUP(E:E,'Item Data Support Sheet'!A:O,4,0),0)</f>
        <v>0</v>
      </c>
      <c r="AA1245" s="428">
        <f t="shared" si="343"/>
        <v>0</v>
      </c>
      <c r="AB1245" s="429" t="str">
        <f t="shared" si="344"/>
        <v xml:space="preserve"> </v>
      </c>
      <c r="AC1245" s="424">
        <f t="shared" si="345"/>
        <v>0</v>
      </c>
      <c r="AD1245" s="371">
        <f t="shared" si="346"/>
        <v>0</v>
      </c>
      <c r="AE1245" s="748">
        <f t="shared" si="347"/>
        <v>1</v>
      </c>
      <c r="AF1245" s="417">
        <f t="shared" si="348"/>
        <v>0.66666666666666663</v>
      </c>
      <c r="AG1245" s="416">
        <f t="shared" si="349"/>
        <v>7.333333333333333</v>
      </c>
      <c r="AH1245" s="372">
        <f t="shared" si="350"/>
        <v>0.91666666666666663</v>
      </c>
      <c r="AI1245" s="373">
        <f t="shared" si="351"/>
        <v>837.5</v>
      </c>
      <c r="AJ1245" s="418">
        <f>VLOOKUP(D1245,'Standard Cycle time'!C:D,2,0)</f>
        <v>3.5</v>
      </c>
      <c r="AK1245" s="418">
        <f t="shared" si="352"/>
        <v>3.9402985074626864</v>
      </c>
      <c r="AL1245" s="374">
        <f t="shared" si="353"/>
        <v>0.8882575757575758</v>
      </c>
      <c r="AM1245" s="372">
        <f t="shared" si="354"/>
        <v>0.81423611111111116</v>
      </c>
      <c r="AN1245" s="799">
        <v>0.81423611111111116</v>
      </c>
      <c r="AO1245" s="448"/>
      <c r="AP1245" s="440">
        <v>40</v>
      </c>
      <c r="AQ1245" s="440">
        <v>0</v>
      </c>
      <c r="AR1245" s="440">
        <v>0</v>
      </c>
      <c r="AS1245" s="440">
        <v>0</v>
      </c>
      <c r="AT1245" s="440">
        <v>0</v>
      </c>
      <c r="AU1245" s="440">
        <v>0</v>
      </c>
      <c r="AV1245" s="440">
        <v>0</v>
      </c>
      <c r="AW1245" s="440">
        <v>0</v>
      </c>
      <c r="AX1245" s="440">
        <v>0</v>
      </c>
      <c r="AY1245" s="440">
        <v>0</v>
      </c>
      <c r="AZ1245" s="440">
        <v>0</v>
      </c>
      <c r="BA1245" s="440">
        <v>0</v>
      </c>
      <c r="BB1245" s="440">
        <v>0</v>
      </c>
      <c r="BC1245" s="440">
        <v>0</v>
      </c>
      <c r="BD1245" s="440">
        <v>0</v>
      </c>
      <c r="BE1245" s="440">
        <v>0</v>
      </c>
      <c r="BF1245" s="440">
        <v>0</v>
      </c>
      <c r="BG1245" s="440">
        <v>0</v>
      </c>
      <c r="BH1245" s="440">
        <v>0</v>
      </c>
      <c r="BI1245" s="440">
        <v>0</v>
      </c>
      <c r="BJ1245" s="440">
        <v>0</v>
      </c>
      <c r="BK1245" s="440">
        <v>0</v>
      </c>
      <c r="BL1245" s="440">
        <v>0</v>
      </c>
      <c r="BM1245" s="440">
        <v>0</v>
      </c>
      <c r="BN1245" s="440">
        <v>0</v>
      </c>
      <c r="BO1245" s="440">
        <v>0</v>
      </c>
      <c r="BP1245" s="440">
        <v>0</v>
      </c>
      <c r="BQ1245" s="440">
        <v>0</v>
      </c>
      <c r="BR1245" s="415">
        <v>0.66666666666666663</v>
      </c>
      <c r="BS1245" s="415">
        <v>0.66666666666666663</v>
      </c>
      <c r="BT1245" s="935"/>
      <c r="BU1245" s="935"/>
      <c r="BV1245" s="935"/>
      <c r="BW1245" s="935"/>
      <c r="BX1245" s="935"/>
      <c r="BY1245" s="935"/>
      <c r="BZ1245" s="935"/>
      <c r="CA1245" s="935"/>
      <c r="CB1245" s="935"/>
      <c r="CC1245" s="935"/>
      <c r="CD1245" s="935"/>
      <c r="CE1245" s="935"/>
      <c r="CF1245" s="935"/>
      <c r="CG1245" s="935"/>
      <c r="CH1245" s="935"/>
      <c r="CI1245" s="935"/>
      <c r="CJ1245" s="935"/>
      <c r="CK1245" s="935"/>
      <c r="CL1245" s="935"/>
      <c r="CM1245" s="935"/>
      <c r="CN1245" s="935"/>
      <c r="CO1245" s="935"/>
      <c r="CP1245" s="935"/>
      <c r="CQ1245" s="935"/>
      <c r="CR1245" s="935"/>
      <c r="CS1245" s="935"/>
      <c r="CT1245" s="935"/>
      <c r="CU1245" s="935"/>
      <c r="CV1245" s="935"/>
    </row>
    <row r="1246" spans="1:100" s="441" customFormat="1">
      <c r="A1246" s="375">
        <f t="shared" si="340"/>
        <v>11</v>
      </c>
      <c r="B1246" s="862">
        <v>44516</v>
      </c>
      <c r="C1246" s="493" t="s">
        <v>1980</v>
      </c>
      <c r="D1246" s="376" t="str">
        <f>IFERROR(VLOOKUP(E:E,'Item Data Support Sheet'!A:O,7,0),"")</f>
        <v>NIPPLE LASER MARKING</v>
      </c>
      <c r="E1246" s="447" t="s">
        <v>1816</v>
      </c>
      <c r="F1246" s="500"/>
      <c r="G1246" s="497" t="s">
        <v>1812</v>
      </c>
      <c r="H1246" s="602" t="str">
        <f>IFERROR(VLOOKUP(E:E,'Item Data Support Sheet'!A:O,2,0),"")</f>
        <v>NIPPLE S TYPE L SIZE PUNCHED LASER MARKED</v>
      </c>
      <c r="I1246" s="501" t="s">
        <v>4030</v>
      </c>
      <c r="J1246" s="501" t="s">
        <v>2808</v>
      </c>
      <c r="K1246" s="499">
        <v>8</v>
      </c>
      <c r="L1246" s="499">
        <v>7000</v>
      </c>
      <c r="M1246" s="366">
        <v>875</v>
      </c>
      <c r="N1246" s="367">
        <f t="shared" si="339"/>
        <v>6700</v>
      </c>
      <c r="O1246" s="61">
        <v>6700</v>
      </c>
      <c r="P1246" s="368">
        <v>0</v>
      </c>
      <c r="Q1246" s="368">
        <v>0</v>
      </c>
      <c r="R1246" s="494">
        <v>0</v>
      </c>
      <c r="S1246" s="493">
        <v>0</v>
      </c>
      <c r="T1246" s="494">
        <v>0</v>
      </c>
      <c r="U1246" s="493">
        <v>0</v>
      </c>
      <c r="V1246" s="502">
        <v>1</v>
      </c>
      <c r="W1246" s="453">
        <f t="shared" si="341"/>
        <v>6700</v>
      </c>
      <c r="X1246" s="748">
        <f t="shared" si="342"/>
        <v>0.95714285714285718</v>
      </c>
      <c r="Y1246" s="451" t="str">
        <f>IFERROR(VLOOKUP(E:E,'Item Data Support Sheet'!A:J,6,0),0)</f>
        <v>FO021</v>
      </c>
      <c r="Z1246" s="428">
        <f>IFERROR(VLOOKUP(E:E,'Item Data Support Sheet'!A:O,4,0),0)</f>
        <v>0</v>
      </c>
      <c r="AA1246" s="428">
        <f t="shared" si="343"/>
        <v>0</v>
      </c>
      <c r="AB1246" s="429" t="str">
        <f t="shared" si="344"/>
        <v xml:space="preserve"> </v>
      </c>
      <c r="AC1246" s="424">
        <f t="shared" si="345"/>
        <v>0</v>
      </c>
      <c r="AD1246" s="371">
        <f t="shared" si="346"/>
        <v>0</v>
      </c>
      <c r="AE1246" s="748">
        <f t="shared" si="347"/>
        <v>1</v>
      </c>
      <c r="AF1246" s="417">
        <f t="shared" si="348"/>
        <v>0.66666666666666663</v>
      </c>
      <c r="AG1246" s="416">
        <f t="shared" si="349"/>
        <v>7.333333333333333</v>
      </c>
      <c r="AH1246" s="372">
        <f t="shared" si="350"/>
        <v>0.91666666666666663</v>
      </c>
      <c r="AI1246" s="373">
        <f t="shared" si="351"/>
        <v>837.5</v>
      </c>
      <c r="AJ1246" s="418">
        <f>VLOOKUP(D1246,'Standard Cycle time'!C:D,2,0)</f>
        <v>3.5</v>
      </c>
      <c r="AK1246" s="418">
        <f t="shared" si="352"/>
        <v>3.9402985074626864</v>
      </c>
      <c r="AL1246" s="374">
        <f t="shared" si="353"/>
        <v>0.8882575757575758</v>
      </c>
      <c r="AM1246" s="372">
        <f t="shared" si="354"/>
        <v>0.81423611111111116</v>
      </c>
      <c r="AN1246" s="799">
        <v>0.81423611111111116</v>
      </c>
      <c r="AO1246" s="448"/>
      <c r="AP1246" s="440">
        <v>40</v>
      </c>
      <c r="AQ1246" s="440">
        <v>0</v>
      </c>
      <c r="AR1246" s="440">
        <v>0</v>
      </c>
      <c r="AS1246" s="440">
        <v>0</v>
      </c>
      <c r="AT1246" s="440">
        <v>0</v>
      </c>
      <c r="AU1246" s="440">
        <v>0</v>
      </c>
      <c r="AV1246" s="440">
        <v>0</v>
      </c>
      <c r="AW1246" s="440">
        <v>0</v>
      </c>
      <c r="AX1246" s="440">
        <v>0</v>
      </c>
      <c r="AY1246" s="440">
        <v>0</v>
      </c>
      <c r="AZ1246" s="440">
        <v>0</v>
      </c>
      <c r="BA1246" s="440">
        <v>0</v>
      </c>
      <c r="BB1246" s="440">
        <v>0</v>
      </c>
      <c r="BC1246" s="440">
        <v>0</v>
      </c>
      <c r="BD1246" s="440">
        <v>0</v>
      </c>
      <c r="BE1246" s="440">
        <v>0</v>
      </c>
      <c r="BF1246" s="440">
        <v>0</v>
      </c>
      <c r="BG1246" s="440">
        <v>0</v>
      </c>
      <c r="BH1246" s="440">
        <v>0</v>
      </c>
      <c r="BI1246" s="440">
        <v>0</v>
      </c>
      <c r="BJ1246" s="440">
        <v>0</v>
      </c>
      <c r="BK1246" s="440">
        <v>0</v>
      </c>
      <c r="BL1246" s="440">
        <v>0</v>
      </c>
      <c r="BM1246" s="440">
        <v>0</v>
      </c>
      <c r="BN1246" s="440">
        <v>0</v>
      </c>
      <c r="BO1246" s="440">
        <v>0</v>
      </c>
      <c r="BP1246" s="440">
        <v>0</v>
      </c>
      <c r="BQ1246" s="440">
        <v>0</v>
      </c>
      <c r="BR1246" s="415">
        <v>0.66666666666666663</v>
      </c>
      <c r="BS1246" s="415">
        <v>0.66666666666666663</v>
      </c>
      <c r="BT1246" s="935"/>
      <c r="BU1246" s="935"/>
      <c r="BV1246" s="935"/>
      <c r="BW1246" s="935"/>
      <c r="BX1246" s="935"/>
      <c r="BY1246" s="935"/>
      <c r="BZ1246" s="935"/>
      <c r="CA1246" s="935"/>
      <c r="CB1246" s="935"/>
      <c r="CC1246" s="935"/>
      <c r="CD1246" s="935"/>
      <c r="CE1246" s="935"/>
      <c r="CF1246" s="935"/>
      <c r="CG1246" s="935"/>
      <c r="CH1246" s="935"/>
      <c r="CI1246" s="935"/>
      <c r="CJ1246" s="935"/>
      <c r="CK1246" s="935"/>
      <c r="CL1246" s="935"/>
      <c r="CM1246" s="935"/>
      <c r="CN1246" s="935"/>
      <c r="CO1246" s="935"/>
      <c r="CP1246" s="935"/>
      <c r="CQ1246" s="935"/>
      <c r="CR1246" s="935"/>
      <c r="CS1246" s="935"/>
      <c r="CT1246" s="935"/>
      <c r="CU1246" s="935"/>
      <c r="CV1246" s="935"/>
    </row>
    <row r="1247" spans="1:100" s="441" customFormat="1">
      <c r="A1247" s="375">
        <f t="shared" si="340"/>
        <v>11</v>
      </c>
      <c r="B1247" s="862">
        <v>44516</v>
      </c>
      <c r="C1247" s="493" t="s">
        <v>1980</v>
      </c>
      <c r="D1247" s="376" t="str">
        <f>IFERROR(VLOOKUP(E:E,'Item Data Support Sheet'!A:O,7,0),"")</f>
        <v>BOTTLE MOLDED</v>
      </c>
      <c r="E1247" s="447" t="s">
        <v>68</v>
      </c>
      <c r="F1247" s="500" t="s">
        <v>1664</v>
      </c>
      <c r="G1247" s="497" t="s">
        <v>1888</v>
      </c>
      <c r="H1247" s="602" t="str">
        <f>IFERROR(VLOOKUP(E:E,'Item Data Support Sheet'!A:O,2,0),"")</f>
        <v>RPP 240 ML BOTTLE MOLDED</v>
      </c>
      <c r="I1247" s="501" t="s">
        <v>4031</v>
      </c>
      <c r="J1247" s="501" t="s">
        <v>2808</v>
      </c>
      <c r="K1247" s="499">
        <v>8</v>
      </c>
      <c r="L1247" s="499">
        <v>2574</v>
      </c>
      <c r="M1247" s="366">
        <v>321.75</v>
      </c>
      <c r="N1247" s="367">
        <f t="shared" si="339"/>
        <v>3224</v>
      </c>
      <c r="O1247" s="61">
        <v>3120</v>
      </c>
      <c r="P1247" s="368">
        <v>0.25</v>
      </c>
      <c r="Q1247" s="368">
        <v>30</v>
      </c>
      <c r="R1247" s="494">
        <v>0</v>
      </c>
      <c r="S1247" s="493">
        <v>0</v>
      </c>
      <c r="T1247" s="494">
        <v>50</v>
      </c>
      <c r="U1247" s="493">
        <v>24</v>
      </c>
      <c r="V1247" s="502">
        <v>1</v>
      </c>
      <c r="W1247" s="453">
        <f t="shared" si="341"/>
        <v>3120</v>
      </c>
      <c r="X1247" s="748">
        <f t="shared" si="342"/>
        <v>1.2121212121212122</v>
      </c>
      <c r="Y1247" s="451" t="str">
        <f>IFERROR(VLOOKUP(E:E,'Item Data Support Sheet'!A:J,6,0),0)</f>
        <v>HMC</v>
      </c>
      <c r="Z1247" s="428">
        <f>IFERROR(VLOOKUP(E:E,'Item Data Support Sheet'!A:O,4,0),0)</f>
        <v>32.1</v>
      </c>
      <c r="AA1247" s="428">
        <f t="shared" si="343"/>
        <v>103.74040000000001</v>
      </c>
      <c r="AB1247" s="429">
        <f t="shared" si="344"/>
        <v>0.9654098114138755</v>
      </c>
      <c r="AC1247" s="424">
        <f t="shared" si="345"/>
        <v>1.5772870662460567E-2</v>
      </c>
      <c r="AD1247" s="371">
        <f t="shared" si="346"/>
        <v>9.2194222495390298E-3</v>
      </c>
      <c r="AE1247" s="748">
        <f t="shared" si="347"/>
        <v>0.98449131513647647</v>
      </c>
      <c r="AF1247" s="417">
        <f t="shared" si="348"/>
        <v>0</v>
      </c>
      <c r="AG1247" s="416">
        <f t="shared" si="349"/>
        <v>8</v>
      </c>
      <c r="AH1247" s="372">
        <f t="shared" si="350"/>
        <v>1</v>
      </c>
      <c r="AI1247" s="373">
        <f t="shared" si="351"/>
        <v>390</v>
      </c>
      <c r="AJ1247" s="418">
        <f>VLOOKUP(D1247,'Standard Cycle time'!C:D,2,0)</f>
        <v>9</v>
      </c>
      <c r="AK1247" s="418">
        <f t="shared" si="352"/>
        <v>9.2307692307692299</v>
      </c>
      <c r="AL1247" s="374">
        <f t="shared" si="353"/>
        <v>0.97500000000000009</v>
      </c>
      <c r="AM1247" s="372">
        <f t="shared" si="354"/>
        <v>0.9598790322580647</v>
      </c>
      <c r="AN1247" s="799">
        <v>0.9598790322580647</v>
      </c>
      <c r="AO1247" s="448"/>
      <c r="AP1247" s="440">
        <v>0</v>
      </c>
      <c r="AQ1247" s="440">
        <v>0</v>
      </c>
      <c r="AR1247" s="440">
        <v>0</v>
      </c>
      <c r="AS1247" s="440">
        <v>0</v>
      </c>
      <c r="AT1247" s="440">
        <v>0</v>
      </c>
      <c r="AU1247" s="440">
        <v>0</v>
      </c>
      <c r="AV1247" s="440">
        <v>0</v>
      </c>
      <c r="AW1247" s="440">
        <v>0</v>
      </c>
      <c r="AX1247" s="440">
        <v>0</v>
      </c>
      <c r="AY1247" s="440">
        <v>0</v>
      </c>
      <c r="AZ1247" s="440">
        <v>0</v>
      </c>
      <c r="BA1247" s="440">
        <v>0</v>
      </c>
      <c r="BB1247" s="440">
        <v>0</v>
      </c>
      <c r="BC1247" s="440">
        <v>0</v>
      </c>
      <c r="BD1247" s="440">
        <v>0</v>
      </c>
      <c r="BE1247" s="440">
        <v>0</v>
      </c>
      <c r="BF1247" s="440">
        <v>0</v>
      </c>
      <c r="BG1247" s="440">
        <v>0</v>
      </c>
      <c r="BH1247" s="440">
        <v>0</v>
      </c>
      <c r="BI1247" s="440">
        <v>0</v>
      </c>
      <c r="BJ1247" s="440">
        <v>0</v>
      </c>
      <c r="BK1247" s="440">
        <v>0</v>
      </c>
      <c r="BL1247" s="440">
        <v>0</v>
      </c>
      <c r="BM1247" s="440">
        <v>0</v>
      </c>
      <c r="BN1247" s="440">
        <v>0</v>
      </c>
      <c r="BO1247" s="440">
        <v>0</v>
      </c>
      <c r="BP1247" s="440">
        <v>0</v>
      </c>
      <c r="BQ1247" s="440">
        <v>0</v>
      </c>
      <c r="BR1247" s="415">
        <v>0</v>
      </c>
      <c r="BS1247" s="415">
        <v>0</v>
      </c>
      <c r="BT1247" s="935"/>
      <c r="BU1247" s="935"/>
      <c r="BV1247" s="935"/>
      <c r="BW1247" s="935"/>
      <c r="BX1247" s="935"/>
      <c r="BY1247" s="935"/>
      <c r="BZ1247" s="935"/>
      <c r="CA1247" s="935"/>
      <c r="CB1247" s="935"/>
      <c r="CC1247" s="935"/>
      <c r="CD1247" s="935"/>
      <c r="CE1247" s="935"/>
      <c r="CF1247" s="935"/>
      <c r="CG1247" s="935"/>
      <c r="CH1247" s="935"/>
      <c r="CI1247" s="935"/>
      <c r="CJ1247" s="935"/>
      <c r="CK1247" s="935"/>
      <c r="CL1247" s="935"/>
      <c r="CM1247" s="935"/>
      <c r="CN1247" s="935"/>
      <c r="CO1247" s="935"/>
      <c r="CP1247" s="935"/>
      <c r="CQ1247" s="935"/>
      <c r="CR1247" s="935"/>
      <c r="CS1247" s="935"/>
      <c r="CT1247" s="935"/>
      <c r="CU1247" s="935"/>
      <c r="CV1247" s="935"/>
    </row>
    <row r="1248" spans="1:100" s="441" customFormat="1">
      <c r="A1248" s="375">
        <f t="shared" si="340"/>
        <v>11</v>
      </c>
      <c r="B1248" s="862">
        <v>44516</v>
      </c>
      <c r="C1248" s="493" t="s">
        <v>1980</v>
      </c>
      <c r="D1248" s="376" t="str">
        <f>IFERROR(VLOOKUP(E:E,'Item Data Support Sheet'!A:O,7,0),"")</f>
        <v>BOTTLE PRINTED</v>
      </c>
      <c r="E1248" s="447" t="s">
        <v>64</v>
      </c>
      <c r="F1248" s="500"/>
      <c r="G1248" s="497" t="s">
        <v>1692</v>
      </c>
      <c r="H1248" s="602" t="str">
        <f>IFERROR(VLOOKUP(E:E,'Item Data Support Sheet'!A:O,2,0),"")</f>
        <v>KPP 240 ML BOTTLE PRINTED</v>
      </c>
      <c r="I1248" s="501" t="s">
        <v>4032</v>
      </c>
      <c r="J1248" s="501" t="s">
        <v>3942</v>
      </c>
      <c r="K1248" s="499">
        <v>8</v>
      </c>
      <c r="L1248" s="499">
        <v>5120</v>
      </c>
      <c r="M1248" s="366">
        <v>640</v>
      </c>
      <c r="N1248" s="367">
        <f t="shared" si="339"/>
        <v>3931</v>
      </c>
      <c r="O1248" s="61">
        <v>3888</v>
      </c>
      <c r="P1248" s="368">
        <v>0</v>
      </c>
      <c r="Q1248" s="368">
        <v>0</v>
      </c>
      <c r="R1248" s="494">
        <v>27</v>
      </c>
      <c r="S1248" s="493">
        <v>0</v>
      </c>
      <c r="T1248" s="494">
        <v>43</v>
      </c>
      <c r="U1248" s="493">
        <v>0</v>
      </c>
      <c r="V1248" s="502">
        <v>4.5</v>
      </c>
      <c r="W1248" s="453">
        <f t="shared" si="341"/>
        <v>864</v>
      </c>
      <c r="X1248" s="748">
        <f t="shared" si="342"/>
        <v>0.75937500000000002</v>
      </c>
      <c r="Y1248" s="451" t="str">
        <f>IFERROR(VLOOKUP(E:E,'Item Data Support Sheet'!A:J,6,0),0)</f>
        <v>FO003</v>
      </c>
      <c r="Z1248" s="428">
        <f>IFERROR(VLOOKUP(E:E,'Item Data Support Sheet'!A:O,4,0),0)</f>
        <v>0</v>
      </c>
      <c r="AA1248" s="428">
        <f t="shared" si="343"/>
        <v>0</v>
      </c>
      <c r="AB1248" s="429" t="str">
        <f t="shared" si="344"/>
        <v xml:space="preserve"> </v>
      </c>
      <c r="AC1248" s="424">
        <f t="shared" si="345"/>
        <v>1.0938692444670568E-2</v>
      </c>
      <c r="AD1248" s="371">
        <f t="shared" si="346"/>
        <v>0</v>
      </c>
      <c r="AE1248" s="748">
        <f t="shared" si="347"/>
        <v>0.98906130755532939</v>
      </c>
      <c r="AF1248" s="417">
        <f t="shared" si="348"/>
        <v>0.66666666666666663</v>
      </c>
      <c r="AG1248" s="416">
        <f t="shared" si="349"/>
        <v>7.333333333333333</v>
      </c>
      <c r="AH1248" s="372">
        <f t="shared" si="350"/>
        <v>0.91666666666666663</v>
      </c>
      <c r="AI1248" s="373">
        <f t="shared" si="351"/>
        <v>486</v>
      </c>
      <c r="AJ1248" s="418">
        <f>VLOOKUP(D1248,'Standard Cycle time'!C:D,2,0)</f>
        <v>32.4</v>
      </c>
      <c r="AK1248" s="418">
        <f t="shared" si="352"/>
        <v>30.555555555555557</v>
      </c>
      <c r="AL1248" s="374">
        <f t="shared" si="353"/>
        <v>1.0603636363636362</v>
      </c>
      <c r="AM1248" s="372">
        <f t="shared" si="354"/>
        <v>0.96136759094377988</v>
      </c>
      <c r="AN1248" s="799">
        <v>0.96136759094377988</v>
      </c>
      <c r="AO1248" s="448" t="s">
        <v>3583</v>
      </c>
      <c r="AP1248" s="440">
        <v>40</v>
      </c>
      <c r="AQ1248" s="440">
        <v>0</v>
      </c>
      <c r="AR1248" s="440">
        <v>0</v>
      </c>
      <c r="AS1248" s="440">
        <v>0</v>
      </c>
      <c r="AT1248" s="440">
        <v>0</v>
      </c>
      <c r="AU1248" s="440">
        <v>0</v>
      </c>
      <c r="AV1248" s="440">
        <v>0</v>
      </c>
      <c r="AW1248" s="440">
        <v>0</v>
      </c>
      <c r="AX1248" s="440">
        <v>0</v>
      </c>
      <c r="AY1248" s="440">
        <v>0</v>
      </c>
      <c r="AZ1248" s="440">
        <v>0</v>
      </c>
      <c r="BA1248" s="440">
        <v>0</v>
      </c>
      <c r="BB1248" s="440">
        <v>0</v>
      </c>
      <c r="BC1248" s="440">
        <v>0</v>
      </c>
      <c r="BD1248" s="440">
        <v>0</v>
      </c>
      <c r="BE1248" s="440">
        <v>0</v>
      </c>
      <c r="BF1248" s="440">
        <v>0</v>
      </c>
      <c r="BG1248" s="440">
        <v>0</v>
      </c>
      <c r="BH1248" s="440">
        <v>0</v>
      </c>
      <c r="BI1248" s="440">
        <v>0</v>
      </c>
      <c r="BJ1248" s="440">
        <v>0</v>
      </c>
      <c r="BK1248" s="440">
        <v>0</v>
      </c>
      <c r="BL1248" s="440">
        <v>0</v>
      </c>
      <c r="BM1248" s="440">
        <v>0</v>
      </c>
      <c r="BN1248" s="440">
        <v>0</v>
      </c>
      <c r="BO1248" s="440">
        <v>0</v>
      </c>
      <c r="BP1248" s="440">
        <v>0</v>
      </c>
      <c r="BQ1248" s="440">
        <v>0</v>
      </c>
      <c r="BR1248" s="415">
        <v>0.66666666666666663</v>
      </c>
      <c r="BS1248" s="415">
        <v>0.66666666666666663</v>
      </c>
      <c r="BT1248" s="935"/>
      <c r="BU1248" s="935"/>
      <c r="BV1248" s="935"/>
      <c r="BW1248" s="935"/>
      <c r="BX1248" s="935"/>
      <c r="BY1248" s="935"/>
      <c r="BZ1248" s="935"/>
      <c r="CA1248" s="935"/>
      <c r="CB1248" s="935"/>
      <c r="CC1248" s="935"/>
      <c r="CD1248" s="935"/>
      <c r="CE1248" s="935"/>
      <c r="CF1248" s="935"/>
      <c r="CG1248" s="935"/>
      <c r="CH1248" s="935"/>
      <c r="CI1248" s="935"/>
      <c r="CJ1248" s="935"/>
      <c r="CK1248" s="935"/>
      <c r="CL1248" s="935"/>
      <c r="CM1248" s="935"/>
      <c r="CN1248" s="935"/>
      <c r="CO1248" s="935"/>
      <c r="CP1248" s="935"/>
      <c r="CQ1248" s="935"/>
      <c r="CR1248" s="935"/>
      <c r="CS1248" s="935"/>
      <c r="CT1248" s="935"/>
      <c r="CU1248" s="935"/>
      <c r="CV1248" s="935"/>
    </row>
    <row r="1249" spans="1:100" s="441" customFormat="1">
      <c r="A1249" s="375">
        <f t="shared" si="340"/>
        <v>11</v>
      </c>
      <c r="B1249" s="862">
        <v>44516</v>
      </c>
      <c r="C1249" s="493" t="s">
        <v>2000</v>
      </c>
      <c r="D1249" s="376" t="str">
        <f>IFERROR(VLOOKUP(E:E,'Item Data Support Sheet'!A:O,7,0),"")</f>
        <v>NIPPLE PUNCH INSPECTED</v>
      </c>
      <c r="E1249" s="447" t="s">
        <v>1820</v>
      </c>
      <c r="F1249" s="500"/>
      <c r="G1249" s="497"/>
      <c r="H1249" s="602" t="str">
        <f>IFERROR(VLOOKUP(E:E,'Item Data Support Sheet'!A:O,2,0),"")</f>
        <v>NIPPLE S TYPE L SIZE PUNCHED INSPECTED</v>
      </c>
      <c r="I1249" s="501" t="s">
        <v>4021</v>
      </c>
      <c r="J1249" s="501" t="s">
        <v>2811</v>
      </c>
      <c r="K1249" s="499">
        <v>8</v>
      </c>
      <c r="L1249" s="499">
        <v>14000</v>
      </c>
      <c r="M1249" s="366">
        <v>1750</v>
      </c>
      <c r="N1249" s="367">
        <f t="shared" si="339"/>
        <v>12700</v>
      </c>
      <c r="O1249" s="61">
        <v>12633</v>
      </c>
      <c r="P1249" s="368">
        <v>0</v>
      </c>
      <c r="Q1249" s="368">
        <v>0</v>
      </c>
      <c r="R1249" s="494">
        <v>0</v>
      </c>
      <c r="S1249" s="493">
        <v>0</v>
      </c>
      <c r="T1249" s="494">
        <v>67</v>
      </c>
      <c r="U1249" s="493">
        <v>0</v>
      </c>
      <c r="V1249" s="502">
        <v>1</v>
      </c>
      <c r="W1249" s="453">
        <f t="shared" si="341"/>
        <v>12633</v>
      </c>
      <c r="X1249" s="748">
        <f t="shared" si="342"/>
        <v>0.90235714285714286</v>
      </c>
      <c r="Y1249" s="451" t="str">
        <f>IFERROR(VLOOKUP(E:E,'Item Data Support Sheet'!A:J,6,0),0)</f>
        <v>FO106</v>
      </c>
      <c r="Z1249" s="428">
        <f>IFERROR(VLOOKUP(E:E,'Item Data Support Sheet'!A:O,4,0),0)</f>
        <v>0</v>
      </c>
      <c r="AA1249" s="428">
        <f t="shared" si="343"/>
        <v>0</v>
      </c>
      <c r="AB1249" s="429" t="str">
        <f t="shared" si="344"/>
        <v xml:space="preserve"> </v>
      </c>
      <c r="AC1249" s="424">
        <f t="shared" si="345"/>
        <v>5.2755905511811026E-3</v>
      </c>
      <c r="AD1249" s="371">
        <f t="shared" si="346"/>
        <v>0</v>
      </c>
      <c r="AE1249" s="748">
        <f t="shared" si="347"/>
        <v>0.9947244094488189</v>
      </c>
      <c r="AF1249" s="417">
        <f t="shared" si="348"/>
        <v>0.83333333333333337</v>
      </c>
      <c r="AG1249" s="416">
        <f t="shared" si="349"/>
        <v>7.166666666666667</v>
      </c>
      <c r="AH1249" s="372">
        <f t="shared" si="350"/>
        <v>0.89583333333333337</v>
      </c>
      <c r="AI1249" s="373">
        <f t="shared" si="351"/>
        <v>1579.125</v>
      </c>
      <c r="AJ1249" s="418">
        <f>VLOOKUP(D1249,'Standard Cycle time'!C:D,2,0)</f>
        <v>4</v>
      </c>
      <c r="AK1249" s="418">
        <f t="shared" si="352"/>
        <v>2.042270244597483</v>
      </c>
      <c r="AL1249" s="374">
        <f t="shared" si="353"/>
        <v>1.9586046511627906</v>
      </c>
      <c r="AM1249" s="372">
        <f t="shared" si="354"/>
        <v>1.7453268700787403</v>
      </c>
      <c r="AN1249" s="799">
        <v>1.7453268700787403</v>
      </c>
      <c r="AO1249" s="448"/>
      <c r="AP1249" s="440">
        <v>50</v>
      </c>
      <c r="AQ1249" s="440">
        <v>0</v>
      </c>
      <c r="AR1249" s="440">
        <v>0</v>
      </c>
      <c r="AS1249" s="440">
        <v>0</v>
      </c>
      <c r="AT1249" s="440">
        <v>0</v>
      </c>
      <c r="AU1249" s="440">
        <v>0</v>
      </c>
      <c r="AV1249" s="440">
        <v>0</v>
      </c>
      <c r="AW1249" s="440">
        <v>0</v>
      </c>
      <c r="AX1249" s="440">
        <v>0</v>
      </c>
      <c r="AY1249" s="440">
        <v>0</v>
      </c>
      <c r="AZ1249" s="440">
        <v>0</v>
      </c>
      <c r="BA1249" s="440">
        <v>0</v>
      </c>
      <c r="BB1249" s="440">
        <v>0</v>
      </c>
      <c r="BC1249" s="440">
        <v>0</v>
      </c>
      <c r="BD1249" s="440">
        <v>0</v>
      </c>
      <c r="BE1249" s="440">
        <v>0</v>
      </c>
      <c r="BF1249" s="440">
        <v>0</v>
      </c>
      <c r="BG1249" s="440">
        <v>0</v>
      </c>
      <c r="BH1249" s="440">
        <v>0</v>
      </c>
      <c r="BI1249" s="440">
        <v>0</v>
      </c>
      <c r="BJ1249" s="440">
        <v>0</v>
      </c>
      <c r="BK1249" s="440">
        <v>0</v>
      </c>
      <c r="BL1249" s="440">
        <v>0</v>
      </c>
      <c r="BM1249" s="440">
        <v>0</v>
      </c>
      <c r="BN1249" s="440">
        <v>0</v>
      </c>
      <c r="BO1249" s="440">
        <v>0</v>
      </c>
      <c r="BP1249" s="440">
        <v>0</v>
      </c>
      <c r="BQ1249" s="440">
        <v>0</v>
      </c>
      <c r="BR1249" s="415">
        <v>0.83333333333333337</v>
      </c>
      <c r="BS1249" s="415">
        <v>0.83333333333333337</v>
      </c>
      <c r="BT1249" s="935"/>
      <c r="BU1249" s="935"/>
      <c r="BV1249" s="935"/>
      <c r="BW1249" s="935"/>
      <c r="BX1249" s="935"/>
      <c r="BY1249" s="935"/>
      <c r="BZ1249" s="935"/>
      <c r="CA1249" s="935"/>
      <c r="CB1249" s="935"/>
      <c r="CC1249" s="935"/>
      <c r="CD1249" s="935"/>
      <c r="CE1249" s="935"/>
      <c r="CF1249" s="935"/>
      <c r="CG1249" s="935"/>
      <c r="CH1249" s="935"/>
      <c r="CI1249" s="935"/>
      <c r="CJ1249" s="935"/>
      <c r="CK1249" s="935"/>
      <c r="CL1249" s="935"/>
      <c r="CM1249" s="935"/>
      <c r="CN1249" s="935"/>
      <c r="CO1249" s="935"/>
      <c r="CP1249" s="935"/>
      <c r="CQ1249" s="935"/>
      <c r="CR1249" s="935"/>
      <c r="CS1249" s="935"/>
      <c r="CT1249" s="935"/>
      <c r="CU1249" s="935"/>
      <c r="CV1249" s="935"/>
    </row>
    <row r="1250" spans="1:100" s="441" customFormat="1">
      <c r="A1250" s="375">
        <f t="shared" si="340"/>
        <v>11</v>
      </c>
      <c r="B1250" s="862">
        <v>44516</v>
      </c>
      <c r="C1250" s="493" t="s">
        <v>2000</v>
      </c>
      <c r="D1250" s="376" t="str">
        <f>IFERROR(VLOOKUP(E:E,'Item Data Support Sheet'!A:O,7,0),"")</f>
        <v>NIPPLE WRAP PRINTED</v>
      </c>
      <c r="E1250" s="447" t="s">
        <v>111</v>
      </c>
      <c r="F1250" s="500"/>
      <c r="G1250" s="497" t="s">
        <v>1693</v>
      </c>
      <c r="H1250" s="602" t="str">
        <f>IFERROR(VLOOKUP(E:E,'Item Data Support Sheet'!A:O,2,0),"")</f>
        <v>NIPPLE S TYPE Y SIZE WITH PRINTED WRAP</v>
      </c>
      <c r="I1250" s="501" t="s">
        <v>4033</v>
      </c>
      <c r="J1250" s="501" t="s">
        <v>2811</v>
      </c>
      <c r="K1250" s="499">
        <v>2</v>
      </c>
      <c r="L1250" s="499">
        <v>4042</v>
      </c>
      <c r="M1250" s="366">
        <v>2021</v>
      </c>
      <c r="N1250" s="367">
        <f t="shared" si="339"/>
        <v>4029</v>
      </c>
      <c r="O1250" s="61">
        <v>4025</v>
      </c>
      <c r="P1250" s="368">
        <v>0</v>
      </c>
      <c r="Q1250" s="368">
        <v>0</v>
      </c>
      <c r="R1250" s="494">
        <v>0</v>
      </c>
      <c r="S1250" s="493">
        <v>0</v>
      </c>
      <c r="T1250" s="494">
        <v>4</v>
      </c>
      <c r="U1250" s="493">
        <v>0</v>
      </c>
      <c r="V1250" s="502">
        <v>1</v>
      </c>
      <c r="W1250" s="453">
        <f t="shared" si="341"/>
        <v>4025</v>
      </c>
      <c r="X1250" s="748">
        <f t="shared" si="342"/>
        <v>0.99579416130628406</v>
      </c>
      <c r="Y1250" s="451" t="str">
        <f>IFERROR(VLOOKUP(E:E,'Item Data Support Sheet'!A:J,6,0),0)</f>
        <v>FO022</v>
      </c>
      <c r="Z1250" s="428">
        <f>IFERROR(VLOOKUP(E:E,'Item Data Support Sheet'!A:O,4,0),0)</f>
        <v>0</v>
      </c>
      <c r="AA1250" s="428">
        <f t="shared" si="343"/>
        <v>0</v>
      </c>
      <c r="AB1250" s="429" t="str">
        <f t="shared" si="344"/>
        <v xml:space="preserve"> </v>
      </c>
      <c r="AC1250" s="424">
        <f t="shared" si="345"/>
        <v>9.9280218416480524E-4</v>
      </c>
      <c r="AD1250" s="371">
        <f t="shared" si="346"/>
        <v>0</v>
      </c>
      <c r="AE1250" s="748">
        <f t="shared" si="347"/>
        <v>0.99900719781583525</v>
      </c>
      <c r="AF1250" s="417">
        <f t="shared" si="348"/>
        <v>0.83333333333333337</v>
      </c>
      <c r="AG1250" s="416">
        <f t="shared" si="349"/>
        <v>1.1666666666666665</v>
      </c>
      <c r="AH1250" s="372">
        <f t="shared" si="350"/>
        <v>0.58333333333333326</v>
      </c>
      <c r="AI1250" s="373">
        <f t="shared" si="351"/>
        <v>2012.5</v>
      </c>
      <c r="AJ1250" s="418">
        <f>VLOOKUP(D1250,'Standard Cycle time'!C:D,2,0)</f>
        <v>2.5</v>
      </c>
      <c r="AK1250" s="418">
        <f t="shared" si="352"/>
        <v>1.043478260869565</v>
      </c>
      <c r="AL1250" s="374">
        <f t="shared" si="353"/>
        <v>2.3958333333333339</v>
      </c>
      <c r="AM1250" s="372">
        <f t="shared" si="354"/>
        <v>1.3961819344474784</v>
      </c>
      <c r="AN1250" s="799">
        <v>1.3961819344474784</v>
      </c>
      <c r="AO1250" s="448"/>
      <c r="AP1250" s="440">
        <v>50</v>
      </c>
      <c r="AQ1250" s="440">
        <v>0</v>
      </c>
      <c r="AR1250" s="440">
        <v>0</v>
      </c>
      <c r="AS1250" s="440">
        <v>0</v>
      </c>
      <c r="AT1250" s="440">
        <v>0</v>
      </c>
      <c r="AU1250" s="440">
        <v>0</v>
      </c>
      <c r="AV1250" s="440">
        <v>0</v>
      </c>
      <c r="AW1250" s="440">
        <v>0</v>
      </c>
      <c r="AX1250" s="440">
        <v>0</v>
      </c>
      <c r="AY1250" s="440">
        <v>0</v>
      </c>
      <c r="AZ1250" s="440">
        <v>0</v>
      </c>
      <c r="BA1250" s="440">
        <v>0</v>
      </c>
      <c r="BB1250" s="440">
        <v>0</v>
      </c>
      <c r="BC1250" s="440">
        <v>0</v>
      </c>
      <c r="BD1250" s="440">
        <v>0</v>
      </c>
      <c r="BE1250" s="440">
        <v>0</v>
      </c>
      <c r="BF1250" s="440">
        <v>0</v>
      </c>
      <c r="BG1250" s="440">
        <v>0</v>
      </c>
      <c r="BH1250" s="440">
        <v>0</v>
      </c>
      <c r="BI1250" s="440">
        <v>0</v>
      </c>
      <c r="BJ1250" s="440">
        <v>0</v>
      </c>
      <c r="BK1250" s="440">
        <v>0</v>
      </c>
      <c r="BL1250" s="440">
        <v>0</v>
      </c>
      <c r="BM1250" s="440">
        <v>0</v>
      </c>
      <c r="BN1250" s="440">
        <v>0</v>
      </c>
      <c r="BO1250" s="440">
        <v>0</v>
      </c>
      <c r="BP1250" s="440">
        <v>0</v>
      </c>
      <c r="BQ1250" s="440">
        <v>0</v>
      </c>
      <c r="BR1250" s="415">
        <v>0.83333333333333337</v>
      </c>
      <c r="BS1250" s="415">
        <v>0.83333333333333337</v>
      </c>
      <c r="BT1250" s="935"/>
      <c r="BU1250" s="935"/>
      <c r="BV1250" s="935"/>
      <c r="BW1250" s="935"/>
      <c r="BX1250" s="935"/>
      <c r="BY1250" s="935"/>
      <c r="BZ1250" s="935"/>
      <c r="CA1250" s="935"/>
      <c r="CB1250" s="935"/>
      <c r="CC1250" s="935"/>
      <c r="CD1250" s="935"/>
      <c r="CE1250" s="935"/>
      <c r="CF1250" s="935"/>
      <c r="CG1250" s="935"/>
      <c r="CH1250" s="935"/>
      <c r="CI1250" s="935"/>
      <c r="CJ1250" s="935"/>
      <c r="CK1250" s="935"/>
      <c r="CL1250" s="935"/>
      <c r="CM1250" s="935"/>
      <c r="CN1250" s="935"/>
      <c r="CO1250" s="935"/>
      <c r="CP1250" s="935"/>
      <c r="CQ1250" s="935"/>
      <c r="CR1250" s="935"/>
      <c r="CS1250" s="935"/>
      <c r="CT1250" s="935"/>
      <c r="CU1250" s="935"/>
      <c r="CV1250" s="935"/>
    </row>
    <row r="1251" spans="1:100" s="441" customFormat="1">
      <c r="A1251" s="375">
        <f t="shared" si="340"/>
        <v>11</v>
      </c>
      <c r="B1251" s="862">
        <v>44516</v>
      </c>
      <c r="C1251" s="493" t="s">
        <v>2000</v>
      </c>
      <c r="D1251" s="376" t="str">
        <f>IFERROR(VLOOKUP(E:E,'Item Data Support Sheet'!A:O,7,0),"")</f>
        <v>NIPPLE WRAP PRINTED</v>
      </c>
      <c r="E1251" s="447" t="s">
        <v>110</v>
      </c>
      <c r="F1251" s="500"/>
      <c r="G1251" s="497" t="s">
        <v>1693</v>
      </c>
      <c r="H1251" s="602" t="str">
        <f>IFERROR(VLOOKUP(E:E,'Item Data Support Sheet'!A:O,2,0),"")</f>
        <v>NIPPLE S TYPE L SIZE WITH PRINTED WRAP</v>
      </c>
      <c r="I1251" s="501" t="s">
        <v>4034</v>
      </c>
      <c r="J1251" s="501" t="s">
        <v>2811</v>
      </c>
      <c r="K1251" s="499">
        <v>6</v>
      </c>
      <c r="L1251" s="499">
        <v>12126</v>
      </c>
      <c r="M1251" s="366">
        <v>2021</v>
      </c>
      <c r="N1251" s="367">
        <f t="shared" si="339"/>
        <v>12254</v>
      </c>
      <c r="O1251" s="61">
        <v>12254</v>
      </c>
      <c r="P1251" s="368">
        <v>0</v>
      </c>
      <c r="Q1251" s="368">
        <v>0</v>
      </c>
      <c r="R1251" s="494">
        <v>0</v>
      </c>
      <c r="S1251" s="493">
        <v>0</v>
      </c>
      <c r="T1251" s="494">
        <v>0</v>
      </c>
      <c r="U1251" s="493">
        <v>0</v>
      </c>
      <c r="V1251" s="502">
        <v>1</v>
      </c>
      <c r="W1251" s="453">
        <f t="shared" si="341"/>
        <v>12254</v>
      </c>
      <c r="X1251" s="748">
        <f t="shared" si="342"/>
        <v>1.0105558304469735</v>
      </c>
      <c r="Y1251" s="451" t="str">
        <f>IFERROR(VLOOKUP(E:E,'Item Data Support Sheet'!A:J,6,0),0)</f>
        <v>FO021</v>
      </c>
      <c r="Z1251" s="428">
        <f>IFERROR(VLOOKUP(E:E,'Item Data Support Sheet'!A:O,4,0),0)</f>
        <v>0</v>
      </c>
      <c r="AA1251" s="428">
        <f t="shared" si="343"/>
        <v>0</v>
      </c>
      <c r="AB1251" s="429" t="str">
        <f t="shared" si="344"/>
        <v xml:space="preserve"> </v>
      </c>
      <c r="AC1251" s="424">
        <f t="shared" si="345"/>
        <v>0</v>
      </c>
      <c r="AD1251" s="371">
        <f t="shared" si="346"/>
        <v>0</v>
      </c>
      <c r="AE1251" s="748">
        <f t="shared" si="347"/>
        <v>1</v>
      </c>
      <c r="AF1251" s="417">
        <f t="shared" si="348"/>
        <v>0</v>
      </c>
      <c r="AG1251" s="416">
        <f t="shared" si="349"/>
        <v>6</v>
      </c>
      <c r="AH1251" s="372">
        <f t="shared" si="350"/>
        <v>1</v>
      </c>
      <c r="AI1251" s="373">
        <f t="shared" si="351"/>
        <v>2042.3333333333333</v>
      </c>
      <c r="AJ1251" s="418">
        <f>VLOOKUP(D1251,'Standard Cycle time'!C:D,2,0)</f>
        <v>2.5</v>
      </c>
      <c r="AK1251" s="418">
        <f t="shared" si="352"/>
        <v>1.7626897339644199</v>
      </c>
      <c r="AL1251" s="374">
        <f t="shared" si="353"/>
        <v>1.4182870370370371</v>
      </c>
      <c r="AM1251" s="372">
        <f t="shared" si="354"/>
        <v>1.4182870370370371</v>
      </c>
      <c r="AN1251" s="799">
        <v>1.4182870370370371</v>
      </c>
      <c r="AO1251" s="448"/>
      <c r="AP1251" s="440">
        <v>0</v>
      </c>
      <c r="AQ1251" s="440">
        <v>0</v>
      </c>
      <c r="AR1251" s="440">
        <v>0</v>
      </c>
      <c r="AS1251" s="440">
        <v>0</v>
      </c>
      <c r="AT1251" s="440">
        <v>0</v>
      </c>
      <c r="AU1251" s="440">
        <v>0</v>
      </c>
      <c r="AV1251" s="440">
        <v>0</v>
      </c>
      <c r="AW1251" s="440">
        <v>0</v>
      </c>
      <c r="AX1251" s="440">
        <v>0</v>
      </c>
      <c r="AY1251" s="440">
        <v>0</v>
      </c>
      <c r="AZ1251" s="440">
        <v>0</v>
      </c>
      <c r="BA1251" s="440">
        <v>0</v>
      </c>
      <c r="BB1251" s="440">
        <v>0</v>
      </c>
      <c r="BC1251" s="440">
        <v>0</v>
      </c>
      <c r="BD1251" s="440">
        <v>0</v>
      </c>
      <c r="BE1251" s="440">
        <v>0</v>
      </c>
      <c r="BF1251" s="440">
        <v>0</v>
      </c>
      <c r="BG1251" s="440">
        <v>0</v>
      </c>
      <c r="BH1251" s="440">
        <v>0</v>
      </c>
      <c r="BI1251" s="440">
        <v>0</v>
      </c>
      <c r="BJ1251" s="440">
        <v>0</v>
      </c>
      <c r="BK1251" s="440">
        <v>0</v>
      </c>
      <c r="BL1251" s="440">
        <v>0</v>
      </c>
      <c r="BM1251" s="440">
        <v>0</v>
      </c>
      <c r="BN1251" s="440">
        <v>0</v>
      </c>
      <c r="BO1251" s="440">
        <v>0</v>
      </c>
      <c r="BP1251" s="440">
        <v>0</v>
      </c>
      <c r="BQ1251" s="440">
        <v>0</v>
      </c>
      <c r="BR1251" s="415">
        <v>0</v>
      </c>
      <c r="BS1251" s="415">
        <v>0</v>
      </c>
      <c r="BT1251" s="935"/>
      <c r="BU1251" s="935"/>
      <c r="BV1251" s="935"/>
      <c r="BW1251" s="935"/>
      <c r="BX1251" s="935"/>
      <c r="BY1251" s="935"/>
      <c r="BZ1251" s="935"/>
      <c r="CA1251" s="935"/>
      <c r="CB1251" s="935"/>
      <c r="CC1251" s="935"/>
      <c r="CD1251" s="935"/>
      <c r="CE1251" s="935"/>
      <c r="CF1251" s="935"/>
      <c r="CG1251" s="935"/>
      <c r="CH1251" s="935"/>
      <c r="CI1251" s="935"/>
      <c r="CJ1251" s="935"/>
      <c r="CK1251" s="935"/>
      <c r="CL1251" s="935"/>
      <c r="CM1251" s="935"/>
      <c r="CN1251" s="935"/>
      <c r="CO1251" s="935"/>
      <c r="CP1251" s="935"/>
      <c r="CQ1251" s="935"/>
      <c r="CR1251" s="935"/>
      <c r="CS1251" s="935"/>
      <c r="CT1251" s="935"/>
      <c r="CU1251" s="935"/>
      <c r="CV1251" s="935"/>
    </row>
    <row r="1252" spans="1:100" s="441" customFormat="1">
      <c r="A1252" s="375">
        <f t="shared" si="340"/>
        <v>11</v>
      </c>
      <c r="B1252" s="862">
        <v>44516</v>
      </c>
      <c r="C1252" s="493" t="s">
        <v>2001</v>
      </c>
      <c r="D1252" s="376" t="str">
        <f>IFERROR(VLOOKUP(E:E,'Item Data Support Sheet'!A:O,7,0),"")</f>
        <v>NIPPLE MOLDED</v>
      </c>
      <c r="E1252" s="447" t="s">
        <v>74</v>
      </c>
      <c r="F1252" s="500" t="s">
        <v>1678</v>
      </c>
      <c r="G1252" s="497" t="s">
        <v>1691</v>
      </c>
      <c r="H1252" s="602" t="str">
        <f>IFERROR(VLOOKUP(E:E,'Item Data Support Sheet'!A:O,2,0),"")</f>
        <v>NIPPLE S TYPE L SIZE INJECTION</v>
      </c>
      <c r="I1252" s="501" t="s">
        <v>4035</v>
      </c>
      <c r="J1252" s="501" t="s">
        <v>2811</v>
      </c>
      <c r="K1252" s="499">
        <v>8</v>
      </c>
      <c r="L1252" s="499">
        <v>4815</v>
      </c>
      <c r="M1252" s="366">
        <v>601.875</v>
      </c>
      <c r="N1252" s="367">
        <f t="shared" si="339"/>
        <v>5590</v>
      </c>
      <c r="O1252" s="61">
        <v>5500</v>
      </c>
      <c r="P1252" s="368">
        <v>0</v>
      </c>
      <c r="Q1252" s="368">
        <v>40</v>
      </c>
      <c r="R1252" s="494">
        <v>0</v>
      </c>
      <c r="S1252" s="493">
        <v>0</v>
      </c>
      <c r="T1252" s="494">
        <v>50</v>
      </c>
      <c r="U1252" s="493">
        <v>0</v>
      </c>
      <c r="V1252" s="502">
        <v>1</v>
      </c>
      <c r="W1252" s="453">
        <f t="shared" si="341"/>
        <v>5500</v>
      </c>
      <c r="X1252" s="748">
        <f t="shared" si="342"/>
        <v>1.142263759086189</v>
      </c>
      <c r="Y1252" s="451" t="str">
        <f>IFERROR(VLOOKUP(E:E,'Item Data Support Sheet'!A:J,6,0),0)</f>
        <v>Silicon</v>
      </c>
      <c r="Z1252" s="428">
        <f>IFERROR(VLOOKUP(E:E,'Item Data Support Sheet'!A:O,4,0),0)</f>
        <v>6.8</v>
      </c>
      <c r="AA1252" s="428">
        <f t="shared" si="343"/>
        <v>38.012</v>
      </c>
      <c r="AB1252" s="429">
        <f t="shared" si="344"/>
        <v>0.98389982110912344</v>
      </c>
      <c r="AC1252" s="424">
        <f t="shared" si="345"/>
        <v>9.0090090090090089E-3</v>
      </c>
      <c r="AD1252" s="371">
        <f t="shared" si="346"/>
        <v>7.104795737122558E-3</v>
      </c>
      <c r="AE1252" s="748">
        <f t="shared" si="347"/>
        <v>0.99105545617173529</v>
      </c>
      <c r="AF1252" s="417">
        <f t="shared" si="348"/>
        <v>0</v>
      </c>
      <c r="AG1252" s="416">
        <f t="shared" si="349"/>
        <v>8</v>
      </c>
      <c r="AH1252" s="372">
        <f t="shared" si="350"/>
        <v>1</v>
      </c>
      <c r="AI1252" s="373">
        <f t="shared" si="351"/>
        <v>687.5</v>
      </c>
      <c r="AJ1252" s="418">
        <f>VLOOKUP(D1252,'Standard Cycle time'!C:D,2,0)</f>
        <v>5.25</v>
      </c>
      <c r="AK1252" s="418">
        <f t="shared" si="352"/>
        <v>5.2363636363636363</v>
      </c>
      <c r="AL1252" s="374">
        <f t="shared" si="353"/>
        <v>1.0026041666666667</v>
      </c>
      <c r="AM1252" s="372">
        <f t="shared" si="354"/>
        <v>0.99363632975551597</v>
      </c>
      <c r="AN1252" s="799">
        <v>0.99363632975551597</v>
      </c>
      <c r="AO1252" s="448"/>
      <c r="AP1252" s="440">
        <v>0</v>
      </c>
      <c r="AQ1252" s="440">
        <v>0</v>
      </c>
      <c r="AR1252" s="440">
        <v>0</v>
      </c>
      <c r="AS1252" s="440">
        <v>0</v>
      </c>
      <c r="AT1252" s="440">
        <v>0</v>
      </c>
      <c r="AU1252" s="440">
        <v>0</v>
      </c>
      <c r="AV1252" s="440">
        <v>0</v>
      </c>
      <c r="AW1252" s="440">
        <v>0</v>
      </c>
      <c r="AX1252" s="440">
        <v>0</v>
      </c>
      <c r="AY1252" s="440">
        <v>0</v>
      </c>
      <c r="AZ1252" s="440">
        <v>0</v>
      </c>
      <c r="BA1252" s="440">
        <v>0</v>
      </c>
      <c r="BB1252" s="440">
        <v>0</v>
      </c>
      <c r="BC1252" s="440">
        <v>0</v>
      </c>
      <c r="BD1252" s="440">
        <v>0</v>
      </c>
      <c r="BE1252" s="440">
        <v>0</v>
      </c>
      <c r="BF1252" s="440">
        <v>0</v>
      </c>
      <c r="BG1252" s="440">
        <v>0</v>
      </c>
      <c r="BH1252" s="440">
        <v>0</v>
      </c>
      <c r="BI1252" s="440">
        <v>0</v>
      </c>
      <c r="BJ1252" s="440">
        <v>0</v>
      </c>
      <c r="BK1252" s="440">
        <v>0</v>
      </c>
      <c r="BL1252" s="440">
        <v>0</v>
      </c>
      <c r="BM1252" s="440">
        <v>0</v>
      </c>
      <c r="BN1252" s="440">
        <v>0</v>
      </c>
      <c r="BO1252" s="440">
        <v>0</v>
      </c>
      <c r="BP1252" s="440">
        <v>0</v>
      </c>
      <c r="BQ1252" s="440">
        <v>0</v>
      </c>
      <c r="BR1252" s="415">
        <v>0</v>
      </c>
      <c r="BS1252" s="415">
        <v>0</v>
      </c>
      <c r="BT1252" s="935"/>
      <c r="BU1252" s="935"/>
      <c r="BV1252" s="935"/>
      <c r="BW1252" s="935"/>
      <c r="BX1252" s="935"/>
      <c r="BY1252" s="935"/>
      <c r="BZ1252" s="935"/>
      <c r="CA1252" s="935"/>
      <c r="CB1252" s="935"/>
      <c r="CC1252" s="935"/>
      <c r="CD1252" s="935"/>
      <c r="CE1252" s="935"/>
      <c r="CF1252" s="935"/>
      <c r="CG1252" s="935"/>
      <c r="CH1252" s="935"/>
      <c r="CI1252" s="935"/>
      <c r="CJ1252" s="935"/>
      <c r="CK1252" s="935"/>
      <c r="CL1252" s="935"/>
      <c r="CM1252" s="935"/>
      <c r="CN1252" s="935"/>
      <c r="CO1252" s="935"/>
      <c r="CP1252" s="935"/>
      <c r="CQ1252" s="935"/>
      <c r="CR1252" s="935"/>
      <c r="CS1252" s="935"/>
      <c r="CT1252" s="935"/>
      <c r="CU1252" s="935"/>
      <c r="CV1252" s="935"/>
    </row>
    <row r="1253" spans="1:100" s="441" customFormat="1">
      <c r="A1253" s="375">
        <f t="shared" si="340"/>
        <v>11</v>
      </c>
      <c r="B1253" s="862">
        <v>44516</v>
      </c>
      <c r="C1253" s="493" t="s">
        <v>2001</v>
      </c>
      <c r="D1253" s="376" t="str">
        <f>IFERROR(VLOOKUP(E:E,'Item Data Support Sheet'!A:O,7,0),"")</f>
        <v>BOTTLE MOLDED</v>
      </c>
      <c r="E1253" s="447" t="s">
        <v>68</v>
      </c>
      <c r="F1253" s="500" t="s">
        <v>1664</v>
      </c>
      <c r="G1253" s="497" t="s">
        <v>1888</v>
      </c>
      <c r="H1253" s="602" t="str">
        <f>IFERROR(VLOOKUP(E:E,'Item Data Support Sheet'!A:O,2,0),"")</f>
        <v>RPP 240 ML BOTTLE MOLDED</v>
      </c>
      <c r="I1253" s="501" t="s">
        <v>4036</v>
      </c>
      <c r="J1253" s="501" t="s">
        <v>2811</v>
      </c>
      <c r="K1253" s="499">
        <v>8</v>
      </c>
      <c r="L1253" s="499">
        <v>2574</v>
      </c>
      <c r="M1253" s="366">
        <v>321.75</v>
      </c>
      <c r="N1253" s="367">
        <f t="shared" si="339"/>
        <v>3315</v>
      </c>
      <c r="O1253" s="61">
        <v>3240</v>
      </c>
      <c r="P1253" s="368">
        <v>0.4</v>
      </c>
      <c r="Q1253" s="368">
        <v>30</v>
      </c>
      <c r="R1253" s="494">
        <v>0</v>
      </c>
      <c r="S1253" s="493">
        <v>0</v>
      </c>
      <c r="T1253" s="494">
        <v>45</v>
      </c>
      <c r="U1253" s="493">
        <v>0</v>
      </c>
      <c r="V1253" s="502">
        <v>1</v>
      </c>
      <c r="W1253" s="453">
        <f t="shared" si="341"/>
        <v>3240</v>
      </c>
      <c r="X1253" s="748">
        <f t="shared" si="342"/>
        <v>1.2587412587412588</v>
      </c>
      <c r="Y1253" s="451" t="str">
        <f>IFERROR(VLOOKUP(E:E,'Item Data Support Sheet'!A:J,6,0),0)</f>
        <v>HMC</v>
      </c>
      <c r="Z1253" s="428">
        <f>IFERROR(VLOOKUP(E:E,'Item Data Support Sheet'!A:O,4,0),0)</f>
        <v>32.1</v>
      </c>
      <c r="AA1253" s="428">
        <f t="shared" si="343"/>
        <v>106.81150000000002</v>
      </c>
      <c r="AB1253" s="429">
        <f t="shared" si="344"/>
        <v>0.97371537708954548</v>
      </c>
      <c r="AC1253" s="424">
        <f t="shared" si="345"/>
        <v>1.3698630136986301E-2</v>
      </c>
      <c r="AD1253" s="371">
        <f t="shared" si="346"/>
        <v>8.9686098654708519E-3</v>
      </c>
      <c r="AE1253" s="748">
        <f t="shared" si="347"/>
        <v>0.98642533936651589</v>
      </c>
      <c r="AF1253" s="417">
        <f t="shared" si="348"/>
        <v>0</v>
      </c>
      <c r="AG1253" s="416">
        <f t="shared" si="349"/>
        <v>8</v>
      </c>
      <c r="AH1253" s="372">
        <f t="shared" si="350"/>
        <v>1</v>
      </c>
      <c r="AI1253" s="373">
        <f t="shared" si="351"/>
        <v>405</v>
      </c>
      <c r="AJ1253" s="418">
        <f>VLOOKUP(D1253,'Standard Cycle time'!C:D,2,0)</f>
        <v>9</v>
      </c>
      <c r="AK1253" s="418">
        <f t="shared" si="352"/>
        <v>8.8888888888888893</v>
      </c>
      <c r="AL1253" s="374">
        <f t="shared" si="353"/>
        <v>1.0125</v>
      </c>
      <c r="AM1253" s="372">
        <f t="shared" si="354"/>
        <v>0.99875565610859729</v>
      </c>
      <c r="AN1253" s="799">
        <v>0.99875565610859729</v>
      </c>
      <c r="AO1253" s="448"/>
      <c r="AP1253" s="440">
        <v>0</v>
      </c>
      <c r="AQ1253" s="440">
        <v>0</v>
      </c>
      <c r="AR1253" s="440">
        <v>0</v>
      </c>
      <c r="AS1253" s="440">
        <v>0</v>
      </c>
      <c r="AT1253" s="440">
        <v>0</v>
      </c>
      <c r="AU1253" s="440">
        <v>0</v>
      </c>
      <c r="AV1253" s="440">
        <v>0</v>
      </c>
      <c r="AW1253" s="440">
        <v>0</v>
      </c>
      <c r="AX1253" s="440">
        <v>0</v>
      </c>
      <c r="AY1253" s="440">
        <v>0</v>
      </c>
      <c r="AZ1253" s="440">
        <v>0</v>
      </c>
      <c r="BA1253" s="440">
        <v>0</v>
      </c>
      <c r="BB1253" s="440">
        <v>0</v>
      </c>
      <c r="BC1253" s="440">
        <v>0</v>
      </c>
      <c r="BD1253" s="440">
        <v>0</v>
      </c>
      <c r="BE1253" s="440">
        <v>0</v>
      </c>
      <c r="BF1253" s="440">
        <v>0</v>
      </c>
      <c r="BG1253" s="440">
        <v>0</v>
      </c>
      <c r="BH1253" s="440">
        <v>0</v>
      </c>
      <c r="BI1253" s="440">
        <v>0</v>
      </c>
      <c r="BJ1253" s="440">
        <v>0</v>
      </c>
      <c r="BK1253" s="440">
        <v>0</v>
      </c>
      <c r="BL1253" s="440">
        <v>0</v>
      </c>
      <c r="BM1253" s="440">
        <v>0</v>
      </c>
      <c r="BN1253" s="440">
        <v>0</v>
      </c>
      <c r="BO1253" s="440">
        <v>0</v>
      </c>
      <c r="BP1253" s="440">
        <v>0</v>
      </c>
      <c r="BQ1253" s="440">
        <v>0</v>
      </c>
      <c r="BR1253" s="415">
        <v>0</v>
      </c>
      <c r="BS1253" s="415">
        <v>0</v>
      </c>
      <c r="BT1253" s="935"/>
      <c r="BU1253" s="935"/>
      <c r="BV1253" s="935"/>
      <c r="BW1253" s="935"/>
      <c r="BX1253" s="935"/>
      <c r="BY1253" s="935"/>
      <c r="BZ1253" s="935"/>
      <c r="CA1253" s="935"/>
      <c r="CB1253" s="935"/>
      <c r="CC1253" s="935"/>
      <c r="CD1253" s="935"/>
      <c r="CE1253" s="935"/>
      <c r="CF1253" s="935"/>
      <c r="CG1253" s="935"/>
      <c r="CH1253" s="935"/>
      <c r="CI1253" s="935"/>
      <c r="CJ1253" s="935"/>
      <c r="CK1253" s="935"/>
      <c r="CL1253" s="935"/>
      <c r="CM1253" s="935"/>
      <c r="CN1253" s="935"/>
      <c r="CO1253" s="935"/>
      <c r="CP1253" s="935"/>
      <c r="CQ1253" s="935"/>
      <c r="CR1253" s="935"/>
      <c r="CS1253" s="935"/>
      <c r="CT1253" s="935"/>
      <c r="CU1253" s="935"/>
      <c r="CV1253" s="935"/>
    </row>
    <row r="1254" spans="1:100" s="441" customFormat="1">
      <c r="A1254" s="375">
        <f t="shared" si="340"/>
        <v>11</v>
      </c>
      <c r="B1254" s="862">
        <v>44516</v>
      </c>
      <c r="C1254" s="493" t="s">
        <v>2001</v>
      </c>
      <c r="D1254" s="376" t="str">
        <f>IFERROR(VLOOKUP(E:E,'Item Data Support Sheet'!A:O,7,0),"")</f>
        <v>HOOD MOLDED</v>
      </c>
      <c r="E1254" s="447" t="s">
        <v>1987</v>
      </c>
      <c r="F1254" s="500"/>
      <c r="G1254" s="497" t="s">
        <v>2729</v>
      </c>
      <c r="H1254" s="602" t="str">
        <f>IFERROR(VLOOKUP(E:E,'Item Data Support Sheet'!A:O,2,0),"")</f>
        <v>HOOD S TYPE MOLDED</v>
      </c>
      <c r="I1254" s="501" t="s">
        <v>4037</v>
      </c>
      <c r="J1254" s="501" t="s">
        <v>2811</v>
      </c>
      <c r="K1254" s="499">
        <v>8</v>
      </c>
      <c r="L1254" s="499">
        <v>4137</v>
      </c>
      <c r="M1254" s="366">
        <v>517.125</v>
      </c>
      <c r="N1254" s="367">
        <f t="shared" si="339"/>
        <v>4432</v>
      </c>
      <c r="O1254" s="61">
        <v>4400</v>
      </c>
      <c r="P1254" s="368">
        <v>0</v>
      </c>
      <c r="Q1254" s="368">
        <v>12</v>
      </c>
      <c r="R1254" s="494">
        <v>0</v>
      </c>
      <c r="S1254" s="493">
        <v>0</v>
      </c>
      <c r="T1254" s="494">
        <v>20</v>
      </c>
      <c r="U1254" s="493">
        <v>0</v>
      </c>
      <c r="V1254" s="502">
        <v>1</v>
      </c>
      <c r="W1254" s="453">
        <f t="shared" si="341"/>
        <v>4400</v>
      </c>
      <c r="X1254" s="748">
        <f t="shared" si="342"/>
        <v>1.063572637176698</v>
      </c>
      <c r="Y1254" s="451" t="str">
        <f>IFERROR(VLOOKUP(E:E,'Item Data Support Sheet'!A:J,6,0),0)</f>
        <v>HMC</v>
      </c>
      <c r="Z1254" s="428">
        <f>IFERROR(VLOOKUP(E:E,'Item Data Support Sheet'!A:O,4,0),0)</f>
        <v>8.6</v>
      </c>
      <c r="AA1254" s="428">
        <f t="shared" si="343"/>
        <v>38.115200000000002</v>
      </c>
      <c r="AB1254" s="429">
        <f t="shared" si="344"/>
        <v>0.99277978339350181</v>
      </c>
      <c r="AC1254" s="424">
        <f t="shared" si="345"/>
        <v>4.5248868778280547E-3</v>
      </c>
      <c r="AD1254" s="371">
        <f t="shared" si="346"/>
        <v>2.7002700270027003E-3</v>
      </c>
      <c r="AE1254" s="748">
        <f t="shared" si="347"/>
        <v>0.99548736462093868</v>
      </c>
      <c r="AF1254" s="417">
        <f t="shared" si="348"/>
        <v>0</v>
      </c>
      <c r="AG1254" s="416">
        <f t="shared" si="349"/>
        <v>8</v>
      </c>
      <c r="AH1254" s="372">
        <f t="shared" si="350"/>
        <v>1</v>
      </c>
      <c r="AI1254" s="373">
        <f t="shared" si="351"/>
        <v>550</v>
      </c>
      <c r="AJ1254" s="418">
        <f>VLOOKUP(D1254,'Standard Cycle time'!C:D,2,0)</f>
        <v>6</v>
      </c>
      <c r="AK1254" s="418">
        <f t="shared" si="352"/>
        <v>6.5454545454545459</v>
      </c>
      <c r="AL1254" s="374">
        <f t="shared" si="353"/>
        <v>0.91666666666666663</v>
      </c>
      <c r="AM1254" s="372">
        <f t="shared" si="354"/>
        <v>0.91253008423586046</v>
      </c>
      <c r="AN1254" s="799">
        <v>0.91253008423586046</v>
      </c>
      <c r="AO1254" s="448"/>
      <c r="AP1254" s="440">
        <v>0</v>
      </c>
      <c r="AQ1254" s="440">
        <v>0</v>
      </c>
      <c r="AR1254" s="440">
        <v>0</v>
      </c>
      <c r="AS1254" s="440">
        <v>0</v>
      </c>
      <c r="AT1254" s="440">
        <v>0</v>
      </c>
      <c r="AU1254" s="440">
        <v>0</v>
      </c>
      <c r="AV1254" s="440">
        <v>0</v>
      </c>
      <c r="AW1254" s="440">
        <v>0</v>
      </c>
      <c r="AX1254" s="440">
        <v>0</v>
      </c>
      <c r="AY1254" s="440">
        <v>0</v>
      </c>
      <c r="AZ1254" s="440">
        <v>0</v>
      </c>
      <c r="BA1254" s="440">
        <v>0</v>
      </c>
      <c r="BB1254" s="440">
        <v>0</v>
      </c>
      <c r="BC1254" s="440">
        <v>0</v>
      </c>
      <c r="BD1254" s="440">
        <v>0</v>
      </c>
      <c r="BE1254" s="440">
        <v>0</v>
      </c>
      <c r="BF1254" s="440">
        <v>0</v>
      </c>
      <c r="BG1254" s="440">
        <v>0</v>
      </c>
      <c r="BH1254" s="440">
        <v>0</v>
      </c>
      <c r="BI1254" s="440">
        <v>0</v>
      </c>
      <c r="BJ1254" s="440">
        <v>0</v>
      </c>
      <c r="BK1254" s="440">
        <v>0</v>
      </c>
      <c r="BL1254" s="440">
        <v>0</v>
      </c>
      <c r="BM1254" s="440">
        <v>0</v>
      </c>
      <c r="BN1254" s="440">
        <v>0</v>
      </c>
      <c r="BO1254" s="440">
        <v>0</v>
      </c>
      <c r="BP1254" s="440">
        <v>0</v>
      </c>
      <c r="BQ1254" s="440">
        <v>0</v>
      </c>
      <c r="BR1254" s="415">
        <v>0</v>
      </c>
      <c r="BS1254" s="415">
        <v>0</v>
      </c>
      <c r="BT1254" s="935"/>
      <c r="BU1254" s="935"/>
      <c r="BV1254" s="935"/>
      <c r="BW1254" s="935"/>
      <c r="BX1254" s="935"/>
      <c r="BY1254" s="935"/>
      <c r="BZ1254" s="935"/>
      <c r="CA1254" s="935"/>
      <c r="CB1254" s="935"/>
      <c r="CC1254" s="935"/>
      <c r="CD1254" s="935"/>
      <c r="CE1254" s="935"/>
      <c r="CF1254" s="935"/>
      <c r="CG1254" s="935"/>
      <c r="CH1254" s="935"/>
      <c r="CI1254" s="935"/>
      <c r="CJ1254" s="935"/>
      <c r="CK1254" s="935"/>
      <c r="CL1254" s="935"/>
      <c r="CM1254" s="935"/>
      <c r="CN1254" s="935"/>
      <c r="CO1254" s="935"/>
      <c r="CP1254" s="935"/>
      <c r="CQ1254" s="935"/>
      <c r="CR1254" s="935"/>
      <c r="CS1254" s="935"/>
      <c r="CT1254" s="935"/>
      <c r="CU1254" s="935"/>
      <c r="CV1254" s="935"/>
    </row>
    <row r="1255" spans="1:100" s="441" customFormat="1">
      <c r="A1255" s="375">
        <f t="shared" si="340"/>
        <v>11</v>
      </c>
      <c r="B1255" s="862">
        <v>44516</v>
      </c>
      <c r="C1255" s="493" t="s">
        <v>2001</v>
      </c>
      <c r="D1255" s="376" t="str">
        <f>IFERROR(VLOOKUP(E:E,'Item Data Support Sheet'!A:O,7,0),"")</f>
        <v>NIPPLE PUNCH</v>
      </c>
      <c r="E1255" s="447" t="s">
        <v>82</v>
      </c>
      <c r="F1255" s="500"/>
      <c r="G1255" s="497" t="s">
        <v>1692</v>
      </c>
      <c r="H1255" s="602" t="str">
        <f>IFERROR(VLOOKUP(E:E,'Item Data Support Sheet'!A:O,2,0),"")</f>
        <v>NIPPLE S TYPE L SIZE PUNCHED</v>
      </c>
      <c r="I1255" s="501" t="s">
        <v>4038</v>
      </c>
      <c r="J1255" s="501" t="s">
        <v>2811</v>
      </c>
      <c r="K1255" s="499">
        <v>8</v>
      </c>
      <c r="L1255" s="499">
        <v>7000</v>
      </c>
      <c r="M1255" s="366">
        <v>875</v>
      </c>
      <c r="N1255" s="367">
        <f t="shared" si="339"/>
        <v>6400</v>
      </c>
      <c r="O1255" s="61">
        <v>6400</v>
      </c>
      <c r="P1255" s="368">
        <v>0</v>
      </c>
      <c r="Q1255" s="368">
        <v>0</v>
      </c>
      <c r="R1255" s="494">
        <v>0</v>
      </c>
      <c r="S1255" s="493">
        <v>0</v>
      </c>
      <c r="T1255" s="494">
        <v>0</v>
      </c>
      <c r="U1255" s="493">
        <v>0</v>
      </c>
      <c r="V1255" s="502">
        <v>1</v>
      </c>
      <c r="W1255" s="453">
        <f t="shared" si="341"/>
        <v>6400</v>
      </c>
      <c r="X1255" s="748">
        <f t="shared" si="342"/>
        <v>0.91428571428571426</v>
      </c>
      <c r="Y1255" s="451" t="str">
        <f>IFERROR(VLOOKUP(E:E,'Item Data Support Sheet'!A:J,6,0),0)</f>
        <v>FO017</v>
      </c>
      <c r="Z1255" s="428">
        <f>IFERROR(VLOOKUP(E:E,'Item Data Support Sheet'!A:O,4,0),0)</f>
        <v>0</v>
      </c>
      <c r="AA1255" s="428">
        <f t="shared" si="343"/>
        <v>0</v>
      </c>
      <c r="AB1255" s="429" t="str">
        <f t="shared" si="344"/>
        <v xml:space="preserve"> </v>
      </c>
      <c r="AC1255" s="424">
        <f t="shared" si="345"/>
        <v>0</v>
      </c>
      <c r="AD1255" s="371">
        <f t="shared" si="346"/>
        <v>0</v>
      </c>
      <c r="AE1255" s="748">
        <f t="shared" si="347"/>
        <v>1</v>
      </c>
      <c r="AF1255" s="417">
        <f t="shared" si="348"/>
        <v>0.66666666666666663</v>
      </c>
      <c r="AG1255" s="416">
        <f t="shared" si="349"/>
        <v>7.333333333333333</v>
      </c>
      <c r="AH1255" s="372">
        <f t="shared" si="350"/>
        <v>0.91666666666666663</v>
      </c>
      <c r="AI1255" s="373">
        <f t="shared" si="351"/>
        <v>800</v>
      </c>
      <c r="AJ1255" s="418">
        <f>VLOOKUP(D1255,'Standard Cycle time'!C:D,2,0)</f>
        <v>3.5</v>
      </c>
      <c r="AK1255" s="418">
        <f t="shared" si="352"/>
        <v>4.125</v>
      </c>
      <c r="AL1255" s="374">
        <f t="shared" si="353"/>
        <v>0.84848484848484851</v>
      </c>
      <c r="AM1255" s="372">
        <f t="shared" si="354"/>
        <v>0.77777777777777779</v>
      </c>
      <c r="AN1255" s="799">
        <v>0.77777777777777779</v>
      </c>
      <c r="AO1255" s="448"/>
      <c r="AP1255" s="440">
        <v>40</v>
      </c>
      <c r="AQ1255" s="440">
        <v>0</v>
      </c>
      <c r="AR1255" s="440">
        <v>0</v>
      </c>
      <c r="AS1255" s="440">
        <v>0</v>
      </c>
      <c r="AT1255" s="440">
        <v>0</v>
      </c>
      <c r="AU1255" s="440">
        <v>0</v>
      </c>
      <c r="AV1255" s="440">
        <v>0</v>
      </c>
      <c r="AW1255" s="440">
        <v>0</v>
      </c>
      <c r="AX1255" s="440">
        <v>0</v>
      </c>
      <c r="AY1255" s="440">
        <v>0</v>
      </c>
      <c r="AZ1255" s="440">
        <v>0</v>
      </c>
      <c r="BA1255" s="440">
        <v>0</v>
      </c>
      <c r="BB1255" s="440">
        <v>0</v>
      </c>
      <c r="BC1255" s="440">
        <v>0</v>
      </c>
      <c r="BD1255" s="440">
        <v>0</v>
      </c>
      <c r="BE1255" s="440">
        <v>0</v>
      </c>
      <c r="BF1255" s="440">
        <v>0</v>
      </c>
      <c r="BG1255" s="440">
        <v>0</v>
      </c>
      <c r="BH1255" s="440">
        <v>0</v>
      </c>
      <c r="BI1255" s="440">
        <v>0</v>
      </c>
      <c r="BJ1255" s="440">
        <v>0</v>
      </c>
      <c r="BK1255" s="440">
        <v>0</v>
      </c>
      <c r="BL1255" s="440">
        <v>0</v>
      </c>
      <c r="BM1255" s="440">
        <v>0</v>
      </c>
      <c r="BN1255" s="440">
        <v>0</v>
      </c>
      <c r="BO1255" s="440">
        <v>0</v>
      </c>
      <c r="BP1255" s="440">
        <v>0</v>
      </c>
      <c r="BQ1255" s="440">
        <v>0</v>
      </c>
      <c r="BR1255" s="415">
        <v>0.66666666666666663</v>
      </c>
      <c r="BS1255" s="415">
        <v>0.66666666666666663</v>
      </c>
      <c r="BT1255" s="935"/>
      <c r="BU1255" s="935"/>
      <c r="BV1255" s="935"/>
      <c r="BW1255" s="935"/>
      <c r="BX1255" s="935"/>
      <c r="BY1255" s="935"/>
      <c r="BZ1255" s="935"/>
      <c r="CA1255" s="935"/>
      <c r="CB1255" s="935"/>
      <c r="CC1255" s="935"/>
      <c r="CD1255" s="935"/>
      <c r="CE1255" s="935"/>
      <c r="CF1255" s="935"/>
      <c r="CG1255" s="935"/>
      <c r="CH1255" s="935"/>
      <c r="CI1255" s="935"/>
      <c r="CJ1255" s="935"/>
      <c r="CK1255" s="935"/>
      <c r="CL1255" s="935"/>
      <c r="CM1255" s="935"/>
      <c r="CN1255" s="935"/>
      <c r="CO1255" s="935"/>
      <c r="CP1255" s="935"/>
      <c r="CQ1255" s="935"/>
      <c r="CR1255" s="935"/>
      <c r="CS1255" s="935"/>
      <c r="CT1255" s="935"/>
      <c r="CU1255" s="935"/>
      <c r="CV1255" s="935"/>
    </row>
    <row r="1256" spans="1:100" s="441" customFormat="1">
      <c r="A1256" s="375">
        <f t="shared" si="340"/>
        <v>11</v>
      </c>
      <c r="B1256" s="862">
        <v>44516</v>
      </c>
      <c r="C1256" s="493" t="s">
        <v>2001</v>
      </c>
      <c r="D1256" s="376" t="str">
        <f>IFERROR(VLOOKUP(E:E,'Item Data Support Sheet'!A:O,7,0),"")</f>
        <v>NIPPLE LASER MARKING</v>
      </c>
      <c r="E1256" s="447" t="s">
        <v>1816</v>
      </c>
      <c r="F1256" s="500"/>
      <c r="G1256" s="497" t="s">
        <v>1812</v>
      </c>
      <c r="H1256" s="602" t="str">
        <f>IFERROR(VLOOKUP(E:E,'Item Data Support Sheet'!A:O,2,0),"")</f>
        <v>NIPPLE S TYPE L SIZE PUNCHED LASER MARKED</v>
      </c>
      <c r="I1256" s="501" t="s">
        <v>4030</v>
      </c>
      <c r="J1256" s="501" t="s">
        <v>2811</v>
      </c>
      <c r="K1256" s="499">
        <v>8</v>
      </c>
      <c r="L1256" s="499">
        <v>7000</v>
      </c>
      <c r="M1256" s="366">
        <v>875</v>
      </c>
      <c r="N1256" s="367">
        <f t="shared" si="339"/>
        <v>6400</v>
      </c>
      <c r="O1256" s="61">
        <v>6400</v>
      </c>
      <c r="P1256" s="368">
        <v>0</v>
      </c>
      <c r="Q1256" s="368">
        <v>0</v>
      </c>
      <c r="R1256" s="494">
        <v>0</v>
      </c>
      <c r="S1256" s="493">
        <v>0</v>
      </c>
      <c r="T1256" s="494">
        <v>0</v>
      </c>
      <c r="U1256" s="493">
        <v>0</v>
      </c>
      <c r="V1256" s="502">
        <v>1</v>
      </c>
      <c r="W1256" s="453">
        <f t="shared" si="341"/>
        <v>6400</v>
      </c>
      <c r="X1256" s="748">
        <f t="shared" si="342"/>
        <v>0.91428571428571426</v>
      </c>
      <c r="Y1256" s="451" t="str">
        <f>IFERROR(VLOOKUP(E:E,'Item Data Support Sheet'!A:J,6,0),0)</f>
        <v>FO021</v>
      </c>
      <c r="Z1256" s="428">
        <f>IFERROR(VLOOKUP(E:E,'Item Data Support Sheet'!A:O,4,0),0)</f>
        <v>0</v>
      </c>
      <c r="AA1256" s="428">
        <f t="shared" si="343"/>
        <v>0</v>
      </c>
      <c r="AB1256" s="429" t="str">
        <f t="shared" si="344"/>
        <v xml:space="preserve"> </v>
      </c>
      <c r="AC1256" s="424">
        <f t="shared" si="345"/>
        <v>0</v>
      </c>
      <c r="AD1256" s="371">
        <f t="shared" si="346"/>
        <v>0</v>
      </c>
      <c r="AE1256" s="748">
        <f t="shared" si="347"/>
        <v>1</v>
      </c>
      <c r="AF1256" s="417">
        <f t="shared" si="348"/>
        <v>0.66666666666666663</v>
      </c>
      <c r="AG1256" s="416">
        <f t="shared" si="349"/>
        <v>7.333333333333333</v>
      </c>
      <c r="AH1256" s="372">
        <f t="shared" si="350"/>
        <v>0.91666666666666663</v>
      </c>
      <c r="AI1256" s="373">
        <f t="shared" si="351"/>
        <v>800</v>
      </c>
      <c r="AJ1256" s="418">
        <f>VLOOKUP(D1256,'Standard Cycle time'!C:D,2,0)</f>
        <v>3.5</v>
      </c>
      <c r="AK1256" s="418">
        <f t="shared" si="352"/>
        <v>4.125</v>
      </c>
      <c r="AL1256" s="374">
        <f t="shared" si="353"/>
        <v>0.84848484848484851</v>
      </c>
      <c r="AM1256" s="372">
        <f t="shared" si="354"/>
        <v>0.77777777777777779</v>
      </c>
      <c r="AN1256" s="799">
        <v>0.77777777777777779</v>
      </c>
      <c r="AO1256" s="448"/>
      <c r="AP1256" s="440">
        <v>40</v>
      </c>
      <c r="AQ1256" s="440">
        <v>0</v>
      </c>
      <c r="AR1256" s="440">
        <v>0</v>
      </c>
      <c r="AS1256" s="440">
        <v>0</v>
      </c>
      <c r="AT1256" s="440">
        <v>0</v>
      </c>
      <c r="AU1256" s="440">
        <v>0</v>
      </c>
      <c r="AV1256" s="440">
        <v>0</v>
      </c>
      <c r="AW1256" s="440">
        <v>0</v>
      </c>
      <c r="AX1256" s="440">
        <v>0</v>
      </c>
      <c r="AY1256" s="440">
        <v>0</v>
      </c>
      <c r="AZ1256" s="440">
        <v>0</v>
      </c>
      <c r="BA1256" s="440">
        <v>0</v>
      </c>
      <c r="BB1256" s="440">
        <v>0</v>
      </c>
      <c r="BC1256" s="440">
        <v>0</v>
      </c>
      <c r="BD1256" s="440">
        <v>0</v>
      </c>
      <c r="BE1256" s="440">
        <v>0</v>
      </c>
      <c r="BF1256" s="440">
        <v>0</v>
      </c>
      <c r="BG1256" s="440">
        <v>0</v>
      </c>
      <c r="BH1256" s="440">
        <v>0</v>
      </c>
      <c r="BI1256" s="440">
        <v>0</v>
      </c>
      <c r="BJ1256" s="440">
        <v>0</v>
      </c>
      <c r="BK1256" s="440">
        <v>0</v>
      </c>
      <c r="BL1256" s="440">
        <v>0</v>
      </c>
      <c r="BM1256" s="440">
        <v>0</v>
      </c>
      <c r="BN1256" s="440">
        <v>0</v>
      </c>
      <c r="BO1256" s="440">
        <v>0</v>
      </c>
      <c r="BP1256" s="440">
        <v>0</v>
      </c>
      <c r="BQ1256" s="440">
        <v>0</v>
      </c>
      <c r="BR1256" s="415">
        <v>0.66666666666666663</v>
      </c>
      <c r="BS1256" s="415">
        <v>0.66666666666666663</v>
      </c>
      <c r="BT1256" s="935"/>
      <c r="BU1256" s="935"/>
      <c r="BV1256" s="935"/>
      <c r="BW1256" s="935"/>
      <c r="BX1256" s="935"/>
      <c r="BY1256" s="935"/>
      <c r="BZ1256" s="935"/>
      <c r="CA1256" s="935"/>
      <c r="CB1256" s="935"/>
      <c r="CC1256" s="935"/>
      <c r="CD1256" s="935"/>
      <c r="CE1256" s="935"/>
      <c r="CF1256" s="935"/>
      <c r="CG1256" s="935"/>
      <c r="CH1256" s="935"/>
      <c r="CI1256" s="935"/>
      <c r="CJ1256" s="935"/>
      <c r="CK1256" s="935"/>
      <c r="CL1256" s="935"/>
      <c r="CM1256" s="935"/>
      <c r="CN1256" s="935"/>
      <c r="CO1256" s="935"/>
      <c r="CP1256" s="935"/>
      <c r="CQ1256" s="935"/>
      <c r="CR1256" s="935"/>
      <c r="CS1256" s="935"/>
      <c r="CT1256" s="935"/>
      <c r="CU1256" s="935"/>
      <c r="CV1256" s="935"/>
    </row>
    <row r="1257" spans="1:100" s="441" customFormat="1">
      <c r="A1257" s="375">
        <f t="shared" si="340"/>
        <v>11</v>
      </c>
      <c r="B1257" s="862">
        <v>44516</v>
      </c>
      <c r="C1257" s="493" t="s">
        <v>2001</v>
      </c>
      <c r="D1257" s="376" t="str">
        <f>IFERROR(VLOOKUP(E:E,'Item Data Support Sheet'!A:O,7,0),"")</f>
        <v>BOTTLE PRINTED</v>
      </c>
      <c r="E1257" s="447" t="s">
        <v>64</v>
      </c>
      <c r="F1257" s="500"/>
      <c r="G1257" s="497"/>
      <c r="H1257" s="602" t="str">
        <f>IFERROR(VLOOKUP(E:E,'Item Data Support Sheet'!A:O,2,0),"")</f>
        <v>KPP 240 ML BOTTLE PRINTED</v>
      </c>
      <c r="I1257" s="501" t="s">
        <v>4039</v>
      </c>
      <c r="J1257" s="501" t="s">
        <v>2811</v>
      </c>
      <c r="K1257" s="499">
        <v>8</v>
      </c>
      <c r="L1257" s="499">
        <v>5100</v>
      </c>
      <c r="M1257" s="366">
        <v>637.5</v>
      </c>
      <c r="N1257" s="367">
        <f t="shared" si="339"/>
        <v>5442</v>
      </c>
      <c r="O1257" s="61">
        <v>5400</v>
      </c>
      <c r="P1257" s="368">
        <v>0</v>
      </c>
      <c r="Q1257" s="368">
        <v>0</v>
      </c>
      <c r="R1257" s="494">
        <v>47</v>
      </c>
      <c r="S1257" s="493">
        <v>0</v>
      </c>
      <c r="T1257" s="494">
        <v>42</v>
      </c>
      <c r="U1257" s="493">
        <v>0</v>
      </c>
      <c r="V1257" s="502">
        <v>5</v>
      </c>
      <c r="W1257" s="453">
        <f t="shared" si="341"/>
        <v>1080</v>
      </c>
      <c r="X1257" s="748">
        <f t="shared" si="342"/>
        <v>1.0588235294117647</v>
      </c>
      <c r="Y1257" s="451" t="str">
        <f>IFERROR(VLOOKUP(E:E,'Item Data Support Sheet'!A:J,6,0),0)</f>
        <v>FO003</v>
      </c>
      <c r="Z1257" s="428">
        <f>IFERROR(VLOOKUP(E:E,'Item Data Support Sheet'!A:O,4,0),0)</f>
        <v>0</v>
      </c>
      <c r="AA1257" s="428">
        <f t="shared" si="343"/>
        <v>0</v>
      </c>
      <c r="AB1257" s="429" t="str">
        <f t="shared" si="344"/>
        <v xml:space="preserve"> </v>
      </c>
      <c r="AC1257" s="424">
        <f t="shared" si="345"/>
        <v>7.717750826901874E-3</v>
      </c>
      <c r="AD1257" s="371">
        <f t="shared" si="346"/>
        <v>0</v>
      </c>
      <c r="AE1257" s="748">
        <f t="shared" si="347"/>
        <v>0.99228224917309815</v>
      </c>
      <c r="AF1257" s="417">
        <f t="shared" si="348"/>
        <v>0.66666666666666663</v>
      </c>
      <c r="AG1257" s="416">
        <f t="shared" si="349"/>
        <v>7.333333333333333</v>
      </c>
      <c r="AH1257" s="372">
        <f t="shared" si="350"/>
        <v>0.91666666666666663</v>
      </c>
      <c r="AI1257" s="373">
        <f t="shared" si="351"/>
        <v>675</v>
      </c>
      <c r="AJ1257" s="418">
        <f>VLOOKUP(D1257,'Standard Cycle time'!C:D,2,0)</f>
        <v>32.4</v>
      </c>
      <c r="AK1257" s="418">
        <f t="shared" si="352"/>
        <v>24.444444444444443</v>
      </c>
      <c r="AL1257" s="374">
        <f t="shared" si="353"/>
        <v>1.3254545454545454</v>
      </c>
      <c r="AM1257" s="372">
        <f t="shared" si="354"/>
        <v>1.2056229327453143</v>
      </c>
      <c r="AN1257" s="799">
        <v>1.2056229327453143</v>
      </c>
      <c r="AO1257" s="448"/>
      <c r="AP1257" s="440">
        <v>40</v>
      </c>
      <c r="AQ1257" s="440">
        <v>0</v>
      </c>
      <c r="AR1257" s="440">
        <v>0</v>
      </c>
      <c r="AS1257" s="440">
        <v>0</v>
      </c>
      <c r="AT1257" s="440">
        <v>0</v>
      </c>
      <c r="AU1257" s="440">
        <v>0</v>
      </c>
      <c r="AV1257" s="440">
        <v>0</v>
      </c>
      <c r="AW1257" s="440">
        <v>0</v>
      </c>
      <c r="AX1257" s="440">
        <v>0</v>
      </c>
      <c r="AY1257" s="440">
        <v>0</v>
      </c>
      <c r="AZ1257" s="440">
        <v>0</v>
      </c>
      <c r="BA1257" s="440">
        <v>0</v>
      </c>
      <c r="BB1257" s="440">
        <v>0</v>
      </c>
      <c r="BC1257" s="440">
        <v>0</v>
      </c>
      <c r="BD1257" s="440">
        <v>0</v>
      </c>
      <c r="BE1257" s="440">
        <v>0</v>
      </c>
      <c r="BF1257" s="440">
        <v>0</v>
      </c>
      <c r="BG1257" s="440">
        <v>0</v>
      </c>
      <c r="BH1257" s="440">
        <v>0</v>
      </c>
      <c r="BI1257" s="440">
        <v>0</v>
      </c>
      <c r="BJ1257" s="440">
        <v>0</v>
      </c>
      <c r="BK1257" s="440">
        <v>0</v>
      </c>
      <c r="BL1257" s="440">
        <v>0</v>
      </c>
      <c r="BM1257" s="440">
        <v>0</v>
      </c>
      <c r="BN1257" s="440">
        <v>0</v>
      </c>
      <c r="BO1257" s="440">
        <v>0</v>
      </c>
      <c r="BP1257" s="440">
        <v>0</v>
      </c>
      <c r="BQ1257" s="440">
        <v>0</v>
      </c>
      <c r="BR1257" s="415">
        <v>0.66666666666666663</v>
      </c>
      <c r="BS1257" s="415">
        <v>0.66666666666666663</v>
      </c>
      <c r="BT1257" s="935"/>
      <c r="BU1257" s="935"/>
      <c r="BV1257" s="935"/>
      <c r="BW1257" s="935"/>
      <c r="BX1257" s="935"/>
      <c r="BY1257" s="935"/>
      <c r="BZ1257" s="935"/>
      <c r="CA1257" s="935"/>
      <c r="CB1257" s="935"/>
      <c r="CC1257" s="935"/>
      <c r="CD1257" s="935"/>
      <c r="CE1257" s="935"/>
      <c r="CF1257" s="935"/>
      <c r="CG1257" s="935"/>
      <c r="CH1257" s="935"/>
      <c r="CI1257" s="935"/>
      <c r="CJ1257" s="935"/>
      <c r="CK1257" s="935"/>
      <c r="CL1257" s="935"/>
      <c r="CM1257" s="935"/>
      <c r="CN1257" s="935"/>
      <c r="CO1257" s="935"/>
      <c r="CP1257" s="935"/>
      <c r="CQ1257" s="935"/>
      <c r="CR1257" s="935"/>
      <c r="CS1257" s="935"/>
      <c r="CT1257" s="935"/>
      <c r="CU1257" s="935"/>
      <c r="CV1257" s="935"/>
    </row>
    <row r="1258" spans="1:100" s="441" customFormat="1">
      <c r="A1258" s="375">
        <f t="shared" si="340"/>
        <v>11</v>
      </c>
      <c r="B1258" s="862">
        <v>44516</v>
      </c>
      <c r="C1258" s="493" t="s">
        <v>2053</v>
      </c>
      <c r="D1258" s="376" t="str">
        <f>IFERROR(VLOOKUP(E:E,'Item Data Support Sheet'!A:O,7,0),"")</f>
        <v>BOTTLE MOLDED</v>
      </c>
      <c r="E1258" s="447" t="s">
        <v>68</v>
      </c>
      <c r="F1258" s="500" t="s">
        <v>1664</v>
      </c>
      <c r="G1258" s="497" t="s">
        <v>1888</v>
      </c>
      <c r="H1258" s="602" t="str">
        <f>IFERROR(VLOOKUP(E:E,'Item Data Support Sheet'!A:O,2,0),"")</f>
        <v>RPP 240 ML BOTTLE MOLDED</v>
      </c>
      <c r="I1258" s="501" t="s">
        <v>4040</v>
      </c>
      <c r="J1258" s="501" t="s">
        <v>3895</v>
      </c>
      <c r="K1258" s="499">
        <v>8</v>
      </c>
      <c r="L1258" s="499">
        <v>2574</v>
      </c>
      <c r="M1258" s="366">
        <v>321.75</v>
      </c>
      <c r="N1258" s="367">
        <f t="shared" si="339"/>
        <v>3203</v>
      </c>
      <c r="O1258" s="61">
        <v>3120</v>
      </c>
      <c r="P1258" s="368">
        <v>0.4</v>
      </c>
      <c r="Q1258" s="368">
        <v>16</v>
      </c>
      <c r="R1258" s="494">
        <v>0</v>
      </c>
      <c r="S1258" s="493">
        <v>0</v>
      </c>
      <c r="T1258" s="494">
        <v>59</v>
      </c>
      <c r="U1258" s="493">
        <v>8</v>
      </c>
      <c r="V1258" s="502">
        <v>1</v>
      </c>
      <c r="W1258" s="453">
        <f t="shared" si="341"/>
        <v>3120</v>
      </c>
      <c r="X1258" s="748">
        <f t="shared" si="342"/>
        <v>1.2121212121212122</v>
      </c>
      <c r="Y1258" s="451" t="str">
        <f>IFERROR(VLOOKUP(E:E,'Item Data Support Sheet'!A:J,6,0),0)</f>
        <v>HMC</v>
      </c>
      <c r="Z1258" s="428">
        <f>IFERROR(VLOOKUP(E:E,'Item Data Support Sheet'!A:O,4,0),0)</f>
        <v>32.1</v>
      </c>
      <c r="AA1258" s="428">
        <f t="shared" si="343"/>
        <v>103.21630000000002</v>
      </c>
      <c r="AB1258" s="429">
        <f t="shared" si="344"/>
        <v>0.97031185965782529</v>
      </c>
      <c r="AC1258" s="424">
        <f t="shared" si="345"/>
        <v>1.8559295375904374E-2</v>
      </c>
      <c r="AD1258" s="371">
        <f t="shared" si="346"/>
        <v>4.9704877291084186E-3</v>
      </c>
      <c r="AE1258" s="748">
        <f t="shared" si="347"/>
        <v>0.98157976896659382</v>
      </c>
      <c r="AF1258" s="417">
        <f t="shared" si="348"/>
        <v>0</v>
      </c>
      <c r="AG1258" s="416">
        <f t="shared" si="349"/>
        <v>8</v>
      </c>
      <c r="AH1258" s="372">
        <f t="shared" si="350"/>
        <v>1</v>
      </c>
      <c r="AI1258" s="373">
        <f t="shared" si="351"/>
        <v>390</v>
      </c>
      <c r="AJ1258" s="418">
        <f>VLOOKUP(D1258,'Standard Cycle time'!C:D,2,0)</f>
        <v>9</v>
      </c>
      <c r="AK1258" s="418">
        <f t="shared" si="352"/>
        <v>9.2307692307692299</v>
      </c>
      <c r="AL1258" s="374">
        <f t="shared" si="353"/>
        <v>0.97500000000000009</v>
      </c>
      <c r="AM1258" s="372">
        <f t="shared" si="354"/>
        <v>0.95704027474242903</v>
      </c>
      <c r="AN1258" s="799">
        <v>0.95704027474242903</v>
      </c>
      <c r="AO1258" s="448"/>
      <c r="AP1258" s="440">
        <v>0</v>
      </c>
      <c r="AQ1258" s="440">
        <v>0</v>
      </c>
      <c r="AR1258" s="440">
        <v>0</v>
      </c>
      <c r="AS1258" s="440">
        <v>0</v>
      </c>
      <c r="AT1258" s="440">
        <v>0</v>
      </c>
      <c r="AU1258" s="440">
        <v>0</v>
      </c>
      <c r="AV1258" s="440">
        <v>0</v>
      </c>
      <c r="AW1258" s="440">
        <v>0</v>
      </c>
      <c r="AX1258" s="440">
        <v>0</v>
      </c>
      <c r="AY1258" s="440">
        <v>0</v>
      </c>
      <c r="AZ1258" s="440">
        <v>0</v>
      </c>
      <c r="BA1258" s="440">
        <v>0</v>
      </c>
      <c r="BB1258" s="440">
        <v>0</v>
      </c>
      <c r="BC1258" s="440">
        <v>0</v>
      </c>
      <c r="BD1258" s="440">
        <v>0</v>
      </c>
      <c r="BE1258" s="440">
        <v>0</v>
      </c>
      <c r="BF1258" s="440">
        <v>0</v>
      </c>
      <c r="BG1258" s="440">
        <v>0</v>
      </c>
      <c r="BH1258" s="440">
        <v>0</v>
      </c>
      <c r="BI1258" s="440">
        <v>0</v>
      </c>
      <c r="BJ1258" s="440">
        <v>0</v>
      </c>
      <c r="BK1258" s="440">
        <v>0</v>
      </c>
      <c r="BL1258" s="440">
        <v>0</v>
      </c>
      <c r="BM1258" s="440">
        <v>0</v>
      </c>
      <c r="BN1258" s="440">
        <v>0</v>
      </c>
      <c r="BO1258" s="440">
        <v>0</v>
      </c>
      <c r="BP1258" s="440">
        <v>0</v>
      </c>
      <c r="BQ1258" s="440">
        <v>0</v>
      </c>
      <c r="BR1258" s="415">
        <v>0</v>
      </c>
      <c r="BS1258" s="415">
        <v>0</v>
      </c>
      <c r="BT1258" s="935"/>
      <c r="BU1258" s="935"/>
      <c r="BV1258" s="935"/>
      <c r="BW1258" s="935"/>
      <c r="BX1258" s="935"/>
      <c r="BY1258" s="935"/>
      <c r="BZ1258" s="935"/>
      <c r="CA1258" s="935"/>
      <c r="CB1258" s="935"/>
      <c r="CC1258" s="935"/>
      <c r="CD1258" s="935"/>
      <c r="CE1258" s="935"/>
      <c r="CF1258" s="935"/>
      <c r="CG1258" s="935"/>
      <c r="CH1258" s="935"/>
      <c r="CI1258" s="935"/>
      <c r="CJ1258" s="935"/>
      <c r="CK1258" s="935"/>
      <c r="CL1258" s="935"/>
      <c r="CM1258" s="935"/>
      <c r="CN1258" s="935"/>
      <c r="CO1258" s="935"/>
      <c r="CP1258" s="935"/>
      <c r="CQ1258" s="935"/>
      <c r="CR1258" s="935"/>
      <c r="CS1258" s="935"/>
      <c r="CT1258" s="935"/>
      <c r="CU1258" s="935"/>
      <c r="CV1258" s="935"/>
    </row>
    <row r="1259" spans="1:100" s="441" customFormat="1">
      <c r="A1259" s="375">
        <f t="shared" si="340"/>
        <v>11</v>
      </c>
      <c r="B1259" s="862">
        <v>44516</v>
      </c>
      <c r="C1259" s="493" t="s">
        <v>2053</v>
      </c>
      <c r="D1259" s="376" t="str">
        <f>IFERROR(VLOOKUP(E:E,'Item Data Support Sheet'!A:O,7,0),"")</f>
        <v>NIPPLE MOLDED</v>
      </c>
      <c r="E1259" s="447" t="s">
        <v>74</v>
      </c>
      <c r="F1259" s="500" t="s">
        <v>1678</v>
      </c>
      <c r="G1259" s="497" t="s">
        <v>1691</v>
      </c>
      <c r="H1259" s="602" t="str">
        <f>IFERROR(VLOOKUP(E:E,'Item Data Support Sheet'!A:O,2,0),"")</f>
        <v>NIPPLE S TYPE L SIZE INJECTION</v>
      </c>
      <c r="I1259" s="501" t="s">
        <v>4041</v>
      </c>
      <c r="J1259" s="501" t="s">
        <v>3895</v>
      </c>
      <c r="K1259" s="499">
        <v>8</v>
      </c>
      <c r="L1259" s="499">
        <v>4815</v>
      </c>
      <c r="M1259" s="366">
        <v>601.875</v>
      </c>
      <c r="N1259" s="367">
        <f t="shared" si="339"/>
        <v>5518</v>
      </c>
      <c r="O1259" s="61">
        <v>5400</v>
      </c>
      <c r="P1259" s="368">
        <v>0</v>
      </c>
      <c r="Q1259" s="368">
        <v>32</v>
      </c>
      <c r="R1259" s="494">
        <v>0</v>
      </c>
      <c r="S1259" s="493">
        <v>0</v>
      </c>
      <c r="T1259" s="494">
        <v>70</v>
      </c>
      <c r="U1259" s="493">
        <v>16</v>
      </c>
      <c r="V1259" s="502">
        <v>1</v>
      </c>
      <c r="W1259" s="453">
        <f t="shared" si="341"/>
        <v>5400</v>
      </c>
      <c r="X1259" s="748">
        <f t="shared" si="342"/>
        <v>1.1214953271028036</v>
      </c>
      <c r="Y1259" s="451" t="str">
        <f>IFERROR(VLOOKUP(E:E,'Item Data Support Sheet'!A:J,6,0),0)</f>
        <v>Silicon</v>
      </c>
      <c r="Z1259" s="428">
        <f>IFERROR(VLOOKUP(E:E,'Item Data Support Sheet'!A:O,4,0),0)</f>
        <v>6.8</v>
      </c>
      <c r="AA1259" s="428">
        <f t="shared" si="343"/>
        <v>37.522399999999998</v>
      </c>
      <c r="AB1259" s="429">
        <f t="shared" si="344"/>
        <v>0.97861544037694825</v>
      </c>
      <c r="AC1259" s="424">
        <f t="shared" si="345"/>
        <v>1.2797074954296161E-2</v>
      </c>
      <c r="AD1259" s="371">
        <f t="shared" si="346"/>
        <v>5.7657657657657659E-3</v>
      </c>
      <c r="AE1259" s="748">
        <f t="shared" si="347"/>
        <v>0.9873142442914099</v>
      </c>
      <c r="AF1259" s="417">
        <f t="shared" si="348"/>
        <v>0</v>
      </c>
      <c r="AG1259" s="416">
        <f t="shared" si="349"/>
        <v>8</v>
      </c>
      <c r="AH1259" s="372">
        <f t="shared" si="350"/>
        <v>1</v>
      </c>
      <c r="AI1259" s="373">
        <f t="shared" si="351"/>
        <v>675</v>
      </c>
      <c r="AJ1259" s="418">
        <f>VLOOKUP(D1259,'Standard Cycle time'!C:D,2,0)</f>
        <v>5.25</v>
      </c>
      <c r="AK1259" s="418">
        <f t="shared" si="352"/>
        <v>5.333333333333333</v>
      </c>
      <c r="AL1259" s="374">
        <f t="shared" si="353"/>
        <v>0.984375</v>
      </c>
      <c r="AM1259" s="372">
        <f t="shared" si="354"/>
        <v>0.9718874592243566</v>
      </c>
      <c r="AN1259" s="799">
        <v>0.9718874592243566</v>
      </c>
      <c r="AO1259" s="448"/>
      <c r="AP1259" s="440">
        <v>0</v>
      </c>
      <c r="AQ1259" s="440">
        <v>0</v>
      </c>
      <c r="AR1259" s="440">
        <v>0</v>
      </c>
      <c r="AS1259" s="440">
        <v>0</v>
      </c>
      <c r="AT1259" s="440">
        <v>0</v>
      </c>
      <c r="AU1259" s="440">
        <v>0</v>
      </c>
      <c r="AV1259" s="440">
        <v>0</v>
      </c>
      <c r="AW1259" s="440">
        <v>0</v>
      </c>
      <c r="AX1259" s="440">
        <v>0</v>
      </c>
      <c r="AY1259" s="440">
        <v>0</v>
      </c>
      <c r="AZ1259" s="440">
        <v>0</v>
      </c>
      <c r="BA1259" s="440">
        <v>0</v>
      </c>
      <c r="BB1259" s="440">
        <v>0</v>
      </c>
      <c r="BC1259" s="440">
        <v>0</v>
      </c>
      <c r="BD1259" s="440">
        <v>0</v>
      </c>
      <c r="BE1259" s="440">
        <v>0</v>
      </c>
      <c r="BF1259" s="440">
        <v>0</v>
      </c>
      <c r="BG1259" s="440">
        <v>0</v>
      </c>
      <c r="BH1259" s="440">
        <v>0</v>
      </c>
      <c r="BI1259" s="440">
        <v>0</v>
      </c>
      <c r="BJ1259" s="440">
        <v>0</v>
      </c>
      <c r="BK1259" s="440">
        <v>0</v>
      </c>
      <c r="BL1259" s="440">
        <v>0</v>
      </c>
      <c r="BM1259" s="440">
        <v>0</v>
      </c>
      <c r="BN1259" s="440">
        <v>0</v>
      </c>
      <c r="BO1259" s="440">
        <v>0</v>
      </c>
      <c r="BP1259" s="440">
        <v>0</v>
      </c>
      <c r="BQ1259" s="440">
        <v>0</v>
      </c>
      <c r="BR1259" s="415">
        <v>0</v>
      </c>
      <c r="BS1259" s="415">
        <v>0</v>
      </c>
      <c r="BT1259" s="935"/>
      <c r="BU1259" s="935"/>
      <c r="BV1259" s="935"/>
      <c r="BW1259" s="935"/>
      <c r="BX1259" s="935"/>
      <c r="BY1259" s="935"/>
      <c r="BZ1259" s="935"/>
      <c r="CA1259" s="935"/>
      <c r="CB1259" s="935"/>
      <c r="CC1259" s="935"/>
      <c r="CD1259" s="935"/>
      <c r="CE1259" s="935"/>
      <c r="CF1259" s="935"/>
      <c r="CG1259" s="935"/>
      <c r="CH1259" s="935"/>
      <c r="CI1259" s="935"/>
      <c r="CJ1259" s="935"/>
      <c r="CK1259" s="935"/>
      <c r="CL1259" s="935"/>
      <c r="CM1259" s="935"/>
      <c r="CN1259" s="935"/>
      <c r="CO1259" s="935"/>
      <c r="CP1259" s="935"/>
      <c r="CQ1259" s="935"/>
      <c r="CR1259" s="935"/>
      <c r="CS1259" s="935"/>
      <c r="CT1259" s="935"/>
      <c r="CU1259" s="935"/>
      <c r="CV1259" s="935"/>
    </row>
    <row r="1260" spans="1:100" s="441" customFormat="1">
      <c r="A1260" s="375">
        <f t="shared" si="340"/>
        <v>11</v>
      </c>
      <c r="B1260" s="862">
        <v>44516</v>
      </c>
      <c r="C1260" s="493" t="s">
        <v>2053</v>
      </c>
      <c r="D1260" s="376" t="str">
        <f>IFERROR(VLOOKUP(E:E,'Item Data Support Sheet'!A:O,7,0),"")</f>
        <v>HOOD MOLDED</v>
      </c>
      <c r="E1260" s="447" t="s">
        <v>1987</v>
      </c>
      <c r="F1260" s="500"/>
      <c r="G1260" s="497" t="s">
        <v>2729</v>
      </c>
      <c r="H1260" s="602" t="str">
        <f>IFERROR(VLOOKUP(E:E,'Item Data Support Sheet'!A:O,2,0),"")</f>
        <v>HOOD S TYPE MOLDED</v>
      </c>
      <c r="I1260" s="501" t="s">
        <v>4028</v>
      </c>
      <c r="J1260" s="501" t="s">
        <v>3895</v>
      </c>
      <c r="K1260" s="499">
        <v>8</v>
      </c>
      <c r="L1260" s="499">
        <v>4137</v>
      </c>
      <c r="M1260" s="366">
        <v>517.125</v>
      </c>
      <c r="N1260" s="367">
        <f t="shared" si="339"/>
        <v>4642</v>
      </c>
      <c r="O1260" s="61">
        <v>4600</v>
      </c>
      <c r="P1260" s="368">
        <v>0.2</v>
      </c>
      <c r="Q1260" s="368">
        <v>0</v>
      </c>
      <c r="R1260" s="494">
        <v>0</v>
      </c>
      <c r="S1260" s="493">
        <v>0</v>
      </c>
      <c r="T1260" s="494">
        <v>34</v>
      </c>
      <c r="U1260" s="493">
        <v>8</v>
      </c>
      <c r="V1260" s="502">
        <v>1</v>
      </c>
      <c r="W1260" s="453">
        <f t="shared" si="341"/>
        <v>4600</v>
      </c>
      <c r="X1260" s="748">
        <f t="shared" si="342"/>
        <v>1.111916847957457</v>
      </c>
      <c r="Y1260" s="451" t="str">
        <f>IFERROR(VLOOKUP(E:E,'Item Data Support Sheet'!A:J,6,0),0)</f>
        <v>HMC</v>
      </c>
      <c r="Z1260" s="428">
        <f>IFERROR(VLOOKUP(E:E,'Item Data Support Sheet'!A:O,4,0),0)</f>
        <v>8.6</v>
      </c>
      <c r="AA1260" s="428">
        <f t="shared" si="343"/>
        <v>40.121200000000002</v>
      </c>
      <c r="AB1260" s="429">
        <f t="shared" si="344"/>
        <v>0.98601238248108236</v>
      </c>
      <c r="AC1260" s="424">
        <f t="shared" si="345"/>
        <v>7.3370738023305999E-3</v>
      </c>
      <c r="AD1260" s="371">
        <f t="shared" si="346"/>
        <v>0</v>
      </c>
      <c r="AE1260" s="748">
        <f t="shared" si="347"/>
        <v>0.99267557087462299</v>
      </c>
      <c r="AF1260" s="417">
        <f t="shared" si="348"/>
        <v>0</v>
      </c>
      <c r="AG1260" s="416">
        <f t="shared" si="349"/>
        <v>8</v>
      </c>
      <c r="AH1260" s="372">
        <f t="shared" si="350"/>
        <v>1</v>
      </c>
      <c r="AI1260" s="373">
        <f t="shared" si="351"/>
        <v>575</v>
      </c>
      <c r="AJ1260" s="418">
        <f>VLOOKUP(D1260,'Standard Cycle time'!C:D,2,0)</f>
        <v>6</v>
      </c>
      <c r="AK1260" s="418">
        <f t="shared" si="352"/>
        <v>6.2608695652173916</v>
      </c>
      <c r="AL1260" s="374">
        <f t="shared" si="353"/>
        <v>0.95833333333333326</v>
      </c>
      <c r="AM1260" s="372">
        <f t="shared" si="354"/>
        <v>0.95131408875484691</v>
      </c>
      <c r="AN1260" s="799">
        <v>0.95131408875484691</v>
      </c>
      <c r="AO1260" s="448"/>
      <c r="AP1260" s="440">
        <v>0</v>
      </c>
      <c r="AQ1260" s="440">
        <v>0</v>
      </c>
      <c r="AR1260" s="440">
        <v>0</v>
      </c>
      <c r="AS1260" s="440">
        <v>0</v>
      </c>
      <c r="AT1260" s="440">
        <v>0</v>
      </c>
      <c r="AU1260" s="440">
        <v>0</v>
      </c>
      <c r="AV1260" s="440">
        <v>0</v>
      </c>
      <c r="AW1260" s="440">
        <v>0</v>
      </c>
      <c r="AX1260" s="440">
        <v>0</v>
      </c>
      <c r="AY1260" s="440">
        <v>0</v>
      </c>
      <c r="AZ1260" s="440">
        <v>0</v>
      </c>
      <c r="BA1260" s="440">
        <v>0</v>
      </c>
      <c r="BB1260" s="440">
        <v>0</v>
      </c>
      <c r="BC1260" s="440">
        <v>0</v>
      </c>
      <c r="BD1260" s="440">
        <v>0</v>
      </c>
      <c r="BE1260" s="440">
        <v>0</v>
      </c>
      <c r="BF1260" s="440">
        <v>0</v>
      </c>
      <c r="BG1260" s="440">
        <v>0</v>
      </c>
      <c r="BH1260" s="440">
        <v>0</v>
      </c>
      <c r="BI1260" s="440">
        <v>0</v>
      </c>
      <c r="BJ1260" s="440">
        <v>0</v>
      </c>
      <c r="BK1260" s="440">
        <v>0</v>
      </c>
      <c r="BL1260" s="440">
        <v>0</v>
      </c>
      <c r="BM1260" s="440">
        <v>0</v>
      </c>
      <c r="BN1260" s="440">
        <v>0</v>
      </c>
      <c r="BO1260" s="440">
        <v>0</v>
      </c>
      <c r="BP1260" s="440">
        <v>0</v>
      </c>
      <c r="BQ1260" s="440">
        <v>0</v>
      </c>
      <c r="BR1260" s="415">
        <v>0</v>
      </c>
      <c r="BS1260" s="415">
        <v>0</v>
      </c>
      <c r="BT1260" s="935"/>
      <c r="BU1260" s="935"/>
      <c r="BV1260" s="935"/>
      <c r="BW1260" s="935"/>
      <c r="BX1260" s="935"/>
      <c r="BY1260" s="935"/>
      <c r="BZ1260" s="935"/>
      <c r="CA1260" s="935"/>
      <c r="CB1260" s="935"/>
      <c r="CC1260" s="935"/>
      <c r="CD1260" s="935"/>
      <c r="CE1260" s="935"/>
      <c r="CF1260" s="935"/>
      <c r="CG1260" s="935"/>
      <c r="CH1260" s="935"/>
      <c r="CI1260" s="935"/>
      <c r="CJ1260" s="935"/>
      <c r="CK1260" s="935"/>
      <c r="CL1260" s="935"/>
      <c r="CM1260" s="935"/>
      <c r="CN1260" s="935"/>
      <c r="CO1260" s="935"/>
      <c r="CP1260" s="935"/>
      <c r="CQ1260" s="935"/>
      <c r="CR1260" s="935"/>
      <c r="CS1260" s="935"/>
      <c r="CT1260" s="935"/>
      <c r="CU1260" s="935"/>
      <c r="CV1260" s="935"/>
    </row>
    <row r="1261" spans="1:100" s="441" customFormat="1">
      <c r="A1261" s="375">
        <f t="shared" si="340"/>
        <v>11</v>
      </c>
      <c r="B1261" s="862">
        <v>44517</v>
      </c>
      <c r="C1261" s="493" t="s">
        <v>1980</v>
      </c>
      <c r="D1261" s="376" t="str">
        <f>IFERROR(VLOOKUP(E:E,'Item Data Support Sheet'!A:O,7,0),"")</f>
        <v>BOTTLE MOLDED</v>
      </c>
      <c r="E1261" s="447" t="s">
        <v>68</v>
      </c>
      <c r="F1261" s="500" t="s">
        <v>1664</v>
      </c>
      <c r="G1261" s="497" t="s">
        <v>1888</v>
      </c>
      <c r="H1261" s="602" t="str">
        <f>IFERROR(VLOOKUP(E:E,'Item Data Support Sheet'!A:O,2,0),"")</f>
        <v>RPP 240 ML BOTTLE MOLDED</v>
      </c>
      <c r="I1261" s="501" t="s">
        <v>4042</v>
      </c>
      <c r="J1261" s="501" t="s">
        <v>2808</v>
      </c>
      <c r="K1261" s="499">
        <v>4</v>
      </c>
      <c r="L1261" s="499">
        <v>1574</v>
      </c>
      <c r="M1261" s="366">
        <v>393.5</v>
      </c>
      <c r="N1261" s="367">
        <f t="shared" si="339"/>
        <v>1736</v>
      </c>
      <c r="O1261" s="61">
        <v>1656</v>
      </c>
      <c r="P1261" s="368">
        <v>0.2</v>
      </c>
      <c r="Q1261" s="368">
        <v>45</v>
      </c>
      <c r="R1261" s="494">
        <v>0</v>
      </c>
      <c r="S1261" s="493">
        <v>0</v>
      </c>
      <c r="T1261" s="494">
        <v>35</v>
      </c>
      <c r="U1261" s="493">
        <v>0</v>
      </c>
      <c r="V1261" s="502">
        <v>1</v>
      </c>
      <c r="W1261" s="453">
        <f t="shared" si="341"/>
        <v>1656</v>
      </c>
      <c r="X1261" s="748">
        <f t="shared" si="342"/>
        <v>1.0520965692503177</v>
      </c>
      <c r="Y1261" s="451" t="str">
        <f>IFERROR(VLOOKUP(E:E,'Item Data Support Sheet'!A:J,6,0),0)</f>
        <v>HMC</v>
      </c>
      <c r="Z1261" s="428">
        <f>IFERROR(VLOOKUP(E:E,'Item Data Support Sheet'!A:O,4,0),0)</f>
        <v>32.1</v>
      </c>
      <c r="AA1261" s="428">
        <f t="shared" si="343"/>
        <v>55.92560000000001</v>
      </c>
      <c r="AB1261" s="429">
        <f t="shared" si="344"/>
        <v>0.95050567182113377</v>
      </c>
      <c r="AC1261" s="424">
        <f t="shared" si="345"/>
        <v>2.0697811945594322E-2</v>
      </c>
      <c r="AD1261" s="371">
        <f t="shared" si="346"/>
        <v>2.5266704098820886E-2</v>
      </c>
      <c r="AE1261" s="748">
        <f t="shared" si="347"/>
        <v>0.97983870967741937</v>
      </c>
      <c r="AF1261" s="417">
        <f t="shared" si="348"/>
        <v>0</v>
      </c>
      <c r="AG1261" s="416">
        <f t="shared" si="349"/>
        <v>4</v>
      </c>
      <c r="AH1261" s="372">
        <f t="shared" si="350"/>
        <v>1</v>
      </c>
      <c r="AI1261" s="373">
        <f t="shared" si="351"/>
        <v>414</v>
      </c>
      <c r="AJ1261" s="418">
        <f>VLOOKUP(D1261,'Standard Cycle time'!C:D,2,0)</f>
        <v>9</v>
      </c>
      <c r="AK1261" s="418">
        <f t="shared" si="352"/>
        <v>8.695652173913043</v>
      </c>
      <c r="AL1261" s="374">
        <f t="shared" si="353"/>
        <v>1.0350000000000001</v>
      </c>
      <c r="AM1261" s="372">
        <f t="shared" si="354"/>
        <v>1.0141330645161293</v>
      </c>
      <c r="AN1261" s="799">
        <v>1.0141330645161293</v>
      </c>
      <c r="AO1261" s="448"/>
      <c r="AP1261" s="440">
        <v>0</v>
      </c>
      <c r="AQ1261" s="440">
        <v>0</v>
      </c>
      <c r="AR1261" s="440">
        <v>0</v>
      </c>
      <c r="AS1261" s="440">
        <v>0</v>
      </c>
      <c r="AT1261" s="440">
        <v>0</v>
      </c>
      <c r="AU1261" s="440">
        <v>0</v>
      </c>
      <c r="AV1261" s="440">
        <v>0</v>
      </c>
      <c r="AW1261" s="440">
        <v>0</v>
      </c>
      <c r="AX1261" s="440">
        <v>0</v>
      </c>
      <c r="AY1261" s="440">
        <v>0</v>
      </c>
      <c r="AZ1261" s="440">
        <v>0</v>
      </c>
      <c r="BA1261" s="440">
        <v>0</v>
      </c>
      <c r="BB1261" s="440">
        <v>0</v>
      </c>
      <c r="BC1261" s="440">
        <v>0</v>
      </c>
      <c r="BD1261" s="440">
        <v>0</v>
      </c>
      <c r="BE1261" s="440">
        <v>0</v>
      </c>
      <c r="BF1261" s="440">
        <v>0</v>
      </c>
      <c r="BG1261" s="440">
        <v>0</v>
      </c>
      <c r="BH1261" s="440">
        <v>0</v>
      </c>
      <c r="BI1261" s="440">
        <v>0</v>
      </c>
      <c r="BJ1261" s="440">
        <v>0</v>
      </c>
      <c r="BK1261" s="440">
        <v>0</v>
      </c>
      <c r="BL1261" s="440">
        <v>0</v>
      </c>
      <c r="BM1261" s="440">
        <v>0</v>
      </c>
      <c r="BN1261" s="440">
        <v>0</v>
      </c>
      <c r="BO1261" s="440">
        <v>0</v>
      </c>
      <c r="BP1261" s="440">
        <v>0</v>
      </c>
      <c r="BQ1261" s="440">
        <v>0</v>
      </c>
      <c r="BR1261" s="415">
        <v>0</v>
      </c>
      <c r="BS1261" s="415">
        <v>0</v>
      </c>
      <c r="BT1261" s="935"/>
      <c r="BU1261" s="935"/>
      <c r="BV1261" s="935"/>
      <c r="BW1261" s="935"/>
      <c r="BX1261" s="935"/>
      <c r="BY1261" s="935"/>
      <c r="BZ1261" s="935"/>
      <c r="CA1261" s="935"/>
      <c r="CB1261" s="935"/>
      <c r="CC1261" s="935"/>
      <c r="CD1261" s="935"/>
      <c r="CE1261" s="935"/>
      <c r="CF1261" s="935"/>
      <c r="CG1261" s="935"/>
      <c r="CH1261" s="935"/>
      <c r="CI1261" s="935"/>
      <c r="CJ1261" s="935"/>
      <c r="CK1261" s="935"/>
      <c r="CL1261" s="935"/>
      <c r="CM1261" s="935"/>
      <c r="CN1261" s="935"/>
      <c r="CO1261" s="935"/>
      <c r="CP1261" s="935"/>
      <c r="CQ1261" s="935"/>
      <c r="CR1261" s="935"/>
      <c r="CS1261" s="935"/>
      <c r="CT1261" s="935"/>
      <c r="CU1261" s="935"/>
      <c r="CV1261" s="935"/>
    </row>
    <row r="1262" spans="1:100" s="441" customFormat="1">
      <c r="A1262" s="375">
        <f t="shared" si="340"/>
        <v>11</v>
      </c>
      <c r="B1262" s="862">
        <v>44517</v>
      </c>
      <c r="C1262" s="493" t="s">
        <v>1980</v>
      </c>
      <c r="D1262" s="376" t="str">
        <f>IFERROR(VLOOKUP(E:E,'Item Data Support Sheet'!A:O,7,0),"")</f>
        <v>HOOD MOLDED</v>
      </c>
      <c r="E1262" s="447" t="s">
        <v>1987</v>
      </c>
      <c r="F1262" s="500"/>
      <c r="G1262" s="497" t="s">
        <v>2729</v>
      </c>
      <c r="H1262" s="602" t="str">
        <f>IFERROR(VLOOKUP(E:E,'Item Data Support Sheet'!A:O,2,0),"")</f>
        <v>HOOD S TYPE MOLDED</v>
      </c>
      <c r="I1262" s="501" t="s">
        <v>4043</v>
      </c>
      <c r="J1262" s="501" t="s">
        <v>2808</v>
      </c>
      <c r="K1262" s="499">
        <v>8</v>
      </c>
      <c r="L1262" s="499">
        <v>4137</v>
      </c>
      <c r="M1262" s="366">
        <v>517.125</v>
      </c>
      <c r="N1262" s="367">
        <f t="shared" si="339"/>
        <v>4448</v>
      </c>
      <c r="O1262" s="61">
        <v>4400</v>
      </c>
      <c r="P1262" s="368">
        <v>0.12</v>
      </c>
      <c r="Q1262" s="368">
        <v>26</v>
      </c>
      <c r="R1262" s="494">
        <v>0</v>
      </c>
      <c r="S1262" s="493">
        <v>0</v>
      </c>
      <c r="T1262" s="494">
        <v>14</v>
      </c>
      <c r="U1262" s="493">
        <v>8</v>
      </c>
      <c r="V1262" s="502">
        <v>1</v>
      </c>
      <c r="W1262" s="453">
        <f t="shared" si="341"/>
        <v>4400</v>
      </c>
      <c r="X1262" s="748">
        <f t="shared" si="342"/>
        <v>1.063572637176698</v>
      </c>
      <c r="Y1262" s="451" t="str">
        <f>IFERROR(VLOOKUP(E:E,'Item Data Support Sheet'!A:J,6,0),0)</f>
        <v>HMC</v>
      </c>
      <c r="Z1262" s="428">
        <f>IFERROR(VLOOKUP(E:E,'Item Data Support Sheet'!A:O,4,0),0)</f>
        <v>8.6</v>
      </c>
      <c r="AA1262" s="428">
        <f t="shared" si="343"/>
        <v>38.372799999999998</v>
      </c>
      <c r="AB1262" s="429">
        <f t="shared" si="344"/>
        <v>0.98611516490847695</v>
      </c>
      <c r="AC1262" s="424">
        <f t="shared" si="345"/>
        <v>3.1717263253285004E-3</v>
      </c>
      <c r="AD1262" s="371">
        <f t="shared" si="346"/>
        <v>5.8113544926240504E-3</v>
      </c>
      <c r="AE1262" s="748">
        <f t="shared" si="347"/>
        <v>0.99685251798561147</v>
      </c>
      <c r="AF1262" s="417">
        <f t="shared" si="348"/>
        <v>0</v>
      </c>
      <c r="AG1262" s="416">
        <f t="shared" si="349"/>
        <v>8</v>
      </c>
      <c r="AH1262" s="372">
        <f t="shared" si="350"/>
        <v>1</v>
      </c>
      <c r="AI1262" s="373">
        <f t="shared" si="351"/>
        <v>550</v>
      </c>
      <c r="AJ1262" s="418">
        <f>VLOOKUP(D1262,'Standard Cycle time'!C:D,2,0)</f>
        <v>6</v>
      </c>
      <c r="AK1262" s="418">
        <f t="shared" si="352"/>
        <v>6.5454545454545459</v>
      </c>
      <c r="AL1262" s="374">
        <f t="shared" si="353"/>
        <v>0.91666666666666663</v>
      </c>
      <c r="AM1262" s="372">
        <f t="shared" si="354"/>
        <v>0.91378147482014382</v>
      </c>
      <c r="AN1262" s="799">
        <v>0.91378147482014382</v>
      </c>
      <c r="AO1262" s="448"/>
      <c r="AP1262" s="440">
        <v>0</v>
      </c>
      <c r="AQ1262" s="440">
        <v>0</v>
      </c>
      <c r="AR1262" s="440">
        <v>0</v>
      </c>
      <c r="AS1262" s="440">
        <v>0</v>
      </c>
      <c r="AT1262" s="440">
        <v>0</v>
      </c>
      <c r="AU1262" s="440">
        <v>0</v>
      </c>
      <c r="AV1262" s="440">
        <v>0</v>
      </c>
      <c r="AW1262" s="440">
        <v>0</v>
      </c>
      <c r="AX1262" s="440">
        <v>0</v>
      </c>
      <c r="AY1262" s="440">
        <v>0</v>
      </c>
      <c r="AZ1262" s="440">
        <v>0</v>
      </c>
      <c r="BA1262" s="440">
        <v>0</v>
      </c>
      <c r="BB1262" s="440">
        <v>0</v>
      </c>
      <c r="BC1262" s="440">
        <v>0</v>
      </c>
      <c r="BD1262" s="440">
        <v>0</v>
      </c>
      <c r="BE1262" s="440">
        <v>0</v>
      </c>
      <c r="BF1262" s="440">
        <v>0</v>
      </c>
      <c r="BG1262" s="440">
        <v>0</v>
      </c>
      <c r="BH1262" s="440">
        <v>0</v>
      </c>
      <c r="BI1262" s="440">
        <v>0</v>
      </c>
      <c r="BJ1262" s="440">
        <v>0</v>
      </c>
      <c r="BK1262" s="440">
        <v>0</v>
      </c>
      <c r="BL1262" s="440">
        <v>0</v>
      </c>
      <c r="BM1262" s="440">
        <v>0</v>
      </c>
      <c r="BN1262" s="440">
        <v>0</v>
      </c>
      <c r="BO1262" s="440">
        <v>0</v>
      </c>
      <c r="BP1262" s="440">
        <v>0</v>
      </c>
      <c r="BQ1262" s="440">
        <v>0</v>
      </c>
      <c r="BR1262" s="415">
        <v>0</v>
      </c>
      <c r="BS1262" s="415">
        <v>0</v>
      </c>
      <c r="BT1262" s="935"/>
      <c r="BU1262" s="935"/>
      <c r="BV1262" s="935"/>
      <c r="BW1262" s="935"/>
      <c r="BX1262" s="935"/>
      <c r="BY1262" s="935"/>
      <c r="BZ1262" s="935"/>
      <c r="CA1262" s="935"/>
      <c r="CB1262" s="935"/>
      <c r="CC1262" s="935"/>
      <c r="CD1262" s="935"/>
      <c r="CE1262" s="935"/>
      <c r="CF1262" s="935"/>
      <c r="CG1262" s="935"/>
      <c r="CH1262" s="935"/>
      <c r="CI1262" s="935"/>
      <c r="CJ1262" s="935"/>
      <c r="CK1262" s="935"/>
      <c r="CL1262" s="935"/>
      <c r="CM1262" s="935"/>
      <c r="CN1262" s="935"/>
      <c r="CO1262" s="935"/>
      <c r="CP1262" s="935"/>
      <c r="CQ1262" s="935"/>
      <c r="CR1262" s="935"/>
      <c r="CS1262" s="935"/>
      <c r="CT1262" s="935"/>
      <c r="CU1262" s="935"/>
      <c r="CV1262" s="935"/>
    </row>
    <row r="1263" spans="1:100" s="441" customFormat="1">
      <c r="A1263" s="375">
        <f t="shared" si="340"/>
        <v>11</v>
      </c>
      <c r="B1263" s="862">
        <v>44517</v>
      </c>
      <c r="C1263" s="493" t="s">
        <v>1980</v>
      </c>
      <c r="D1263" s="376" t="str">
        <f>IFERROR(VLOOKUP(E:E,'Item Data Support Sheet'!A:O,7,0),"")</f>
        <v>NIPPLE PUNCH</v>
      </c>
      <c r="E1263" s="447" t="s">
        <v>82</v>
      </c>
      <c r="F1263" s="500"/>
      <c r="G1263" s="497" t="s">
        <v>1692</v>
      </c>
      <c r="H1263" s="602" t="str">
        <f>IFERROR(VLOOKUP(E:E,'Item Data Support Sheet'!A:O,2,0),"")</f>
        <v>NIPPLE S TYPE L SIZE PUNCHED</v>
      </c>
      <c r="I1263" s="501" t="s">
        <v>4044</v>
      </c>
      <c r="J1263" s="501" t="s">
        <v>2808</v>
      </c>
      <c r="K1263" s="499">
        <v>8</v>
      </c>
      <c r="L1263" s="499">
        <v>7000</v>
      </c>
      <c r="M1263" s="366">
        <v>875</v>
      </c>
      <c r="N1263" s="367">
        <f t="shared" si="339"/>
        <v>6900</v>
      </c>
      <c r="O1263" s="61">
        <v>6900</v>
      </c>
      <c r="P1263" s="368">
        <v>0</v>
      </c>
      <c r="Q1263" s="368">
        <v>0</v>
      </c>
      <c r="R1263" s="494">
        <v>0</v>
      </c>
      <c r="S1263" s="493">
        <v>0</v>
      </c>
      <c r="T1263" s="494">
        <v>0</v>
      </c>
      <c r="U1263" s="493">
        <v>0</v>
      </c>
      <c r="V1263" s="502">
        <v>1</v>
      </c>
      <c r="W1263" s="453">
        <f t="shared" si="341"/>
        <v>6900</v>
      </c>
      <c r="X1263" s="748">
        <f t="shared" si="342"/>
        <v>0.98571428571428577</v>
      </c>
      <c r="Y1263" s="451" t="str">
        <f>IFERROR(VLOOKUP(E:E,'Item Data Support Sheet'!A:J,6,0),0)</f>
        <v>FO017</v>
      </c>
      <c r="Z1263" s="428">
        <f>IFERROR(VLOOKUP(E:E,'Item Data Support Sheet'!A:O,4,0),0)</f>
        <v>0</v>
      </c>
      <c r="AA1263" s="428">
        <f t="shared" si="343"/>
        <v>0</v>
      </c>
      <c r="AB1263" s="429" t="str">
        <f t="shared" si="344"/>
        <v xml:space="preserve"> </v>
      </c>
      <c r="AC1263" s="424">
        <f t="shared" si="345"/>
        <v>0</v>
      </c>
      <c r="AD1263" s="371">
        <f t="shared" si="346"/>
        <v>0</v>
      </c>
      <c r="AE1263" s="748">
        <f t="shared" si="347"/>
        <v>1</v>
      </c>
      <c r="AF1263" s="417">
        <f t="shared" si="348"/>
        <v>0</v>
      </c>
      <c r="AG1263" s="416">
        <f t="shared" si="349"/>
        <v>8</v>
      </c>
      <c r="AH1263" s="372">
        <f t="shared" si="350"/>
        <v>1</v>
      </c>
      <c r="AI1263" s="373">
        <f t="shared" si="351"/>
        <v>862.5</v>
      </c>
      <c r="AJ1263" s="418">
        <f>VLOOKUP(D1263,'Standard Cycle time'!C:D,2,0)</f>
        <v>3.5</v>
      </c>
      <c r="AK1263" s="418">
        <f t="shared" si="352"/>
        <v>4.1739130434782608</v>
      </c>
      <c r="AL1263" s="374">
        <f t="shared" si="353"/>
        <v>0.83854166666666674</v>
      </c>
      <c r="AM1263" s="372">
        <f t="shared" si="354"/>
        <v>0.83854166666666674</v>
      </c>
      <c r="AN1263" s="799">
        <v>0.83854166666666674</v>
      </c>
      <c r="AO1263" s="448"/>
      <c r="AP1263" s="440">
        <v>0</v>
      </c>
      <c r="AQ1263" s="440">
        <v>0</v>
      </c>
      <c r="AR1263" s="440">
        <v>0</v>
      </c>
      <c r="AS1263" s="440">
        <v>0</v>
      </c>
      <c r="AT1263" s="440">
        <v>0</v>
      </c>
      <c r="AU1263" s="440">
        <v>0</v>
      </c>
      <c r="AV1263" s="440">
        <v>0</v>
      </c>
      <c r="AW1263" s="440">
        <v>0</v>
      </c>
      <c r="AX1263" s="440">
        <v>0</v>
      </c>
      <c r="AY1263" s="440">
        <v>0</v>
      </c>
      <c r="AZ1263" s="440">
        <v>0</v>
      </c>
      <c r="BA1263" s="440">
        <v>0</v>
      </c>
      <c r="BB1263" s="440">
        <v>0</v>
      </c>
      <c r="BC1263" s="440">
        <v>0</v>
      </c>
      <c r="BD1263" s="440">
        <v>0</v>
      </c>
      <c r="BE1263" s="440">
        <v>0</v>
      </c>
      <c r="BF1263" s="440">
        <v>0</v>
      </c>
      <c r="BG1263" s="440">
        <v>0</v>
      </c>
      <c r="BH1263" s="440">
        <v>0</v>
      </c>
      <c r="BI1263" s="440">
        <v>0</v>
      </c>
      <c r="BJ1263" s="440">
        <v>0</v>
      </c>
      <c r="BK1263" s="440">
        <v>0</v>
      </c>
      <c r="BL1263" s="440">
        <v>0</v>
      </c>
      <c r="BM1263" s="440">
        <v>0</v>
      </c>
      <c r="BN1263" s="440">
        <v>0</v>
      </c>
      <c r="BO1263" s="440">
        <v>0</v>
      </c>
      <c r="BP1263" s="440">
        <v>0</v>
      </c>
      <c r="BQ1263" s="440">
        <v>0</v>
      </c>
      <c r="BR1263" s="415">
        <v>0</v>
      </c>
      <c r="BS1263" s="415">
        <v>0</v>
      </c>
      <c r="BT1263" s="935"/>
      <c r="BU1263" s="935"/>
      <c r="BV1263" s="935"/>
      <c r="BW1263" s="935"/>
      <c r="BX1263" s="935"/>
      <c r="BY1263" s="935"/>
      <c r="BZ1263" s="935"/>
      <c r="CA1263" s="935"/>
      <c r="CB1263" s="935"/>
      <c r="CC1263" s="935"/>
      <c r="CD1263" s="935"/>
      <c r="CE1263" s="935"/>
      <c r="CF1263" s="935"/>
      <c r="CG1263" s="935"/>
      <c r="CH1263" s="935"/>
      <c r="CI1263" s="935"/>
      <c r="CJ1263" s="935"/>
      <c r="CK1263" s="935"/>
      <c r="CL1263" s="935"/>
      <c r="CM1263" s="935"/>
      <c r="CN1263" s="935"/>
      <c r="CO1263" s="935"/>
      <c r="CP1263" s="935"/>
      <c r="CQ1263" s="935"/>
      <c r="CR1263" s="935"/>
      <c r="CS1263" s="935"/>
      <c r="CT1263" s="935"/>
      <c r="CU1263" s="935"/>
      <c r="CV1263" s="935"/>
    </row>
    <row r="1264" spans="1:100" s="441" customFormat="1">
      <c r="A1264" s="375">
        <f t="shared" si="340"/>
        <v>11</v>
      </c>
      <c r="B1264" s="862">
        <v>44517</v>
      </c>
      <c r="C1264" s="493" t="s">
        <v>1980</v>
      </c>
      <c r="D1264" s="376" t="str">
        <f>IFERROR(VLOOKUP(E:E,'Item Data Support Sheet'!A:O,7,0),"")</f>
        <v>NIPPLE LASER MARKING</v>
      </c>
      <c r="E1264" s="447" t="s">
        <v>1816</v>
      </c>
      <c r="F1264" s="500"/>
      <c r="G1264" s="497" t="s">
        <v>1812</v>
      </c>
      <c r="H1264" s="602" t="str">
        <f>IFERROR(VLOOKUP(E:E,'Item Data Support Sheet'!A:O,2,0),"")</f>
        <v>NIPPLE S TYPE L SIZE PUNCHED LASER MARKED</v>
      </c>
      <c r="I1264" s="501" t="s">
        <v>4045</v>
      </c>
      <c r="J1264" s="501" t="s">
        <v>2808</v>
      </c>
      <c r="K1264" s="499">
        <v>8</v>
      </c>
      <c r="L1264" s="499">
        <v>7000</v>
      </c>
      <c r="M1264" s="366">
        <v>875</v>
      </c>
      <c r="N1264" s="367">
        <f t="shared" si="339"/>
        <v>6900</v>
      </c>
      <c r="O1264" s="61">
        <v>6900</v>
      </c>
      <c r="P1264" s="368">
        <v>0</v>
      </c>
      <c r="Q1264" s="368">
        <v>0</v>
      </c>
      <c r="R1264" s="494">
        <v>0</v>
      </c>
      <c r="S1264" s="493">
        <v>0</v>
      </c>
      <c r="T1264" s="494">
        <v>0</v>
      </c>
      <c r="U1264" s="493">
        <v>0</v>
      </c>
      <c r="V1264" s="502">
        <v>1</v>
      </c>
      <c r="W1264" s="453">
        <f t="shared" si="341"/>
        <v>6900</v>
      </c>
      <c r="X1264" s="748">
        <f t="shared" si="342"/>
        <v>0.98571428571428577</v>
      </c>
      <c r="Y1264" s="451" t="str">
        <f>IFERROR(VLOOKUP(E:E,'Item Data Support Sheet'!A:J,6,0),0)</f>
        <v>FO021</v>
      </c>
      <c r="Z1264" s="428">
        <f>IFERROR(VLOOKUP(E:E,'Item Data Support Sheet'!A:O,4,0),0)</f>
        <v>0</v>
      </c>
      <c r="AA1264" s="428">
        <f t="shared" si="343"/>
        <v>0</v>
      </c>
      <c r="AB1264" s="429" t="str">
        <f t="shared" si="344"/>
        <v xml:space="preserve"> </v>
      </c>
      <c r="AC1264" s="424">
        <f t="shared" si="345"/>
        <v>0</v>
      </c>
      <c r="AD1264" s="371">
        <f t="shared" si="346"/>
        <v>0</v>
      </c>
      <c r="AE1264" s="748">
        <f t="shared" si="347"/>
        <v>1</v>
      </c>
      <c r="AF1264" s="417">
        <f t="shared" si="348"/>
        <v>0</v>
      </c>
      <c r="AG1264" s="416">
        <f t="shared" si="349"/>
        <v>8</v>
      </c>
      <c r="AH1264" s="372">
        <f t="shared" si="350"/>
        <v>1</v>
      </c>
      <c r="AI1264" s="373">
        <f t="shared" si="351"/>
        <v>862.5</v>
      </c>
      <c r="AJ1264" s="418">
        <f>VLOOKUP(D1264,'Standard Cycle time'!C:D,2,0)</f>
        <v>3.5</v>
      </c>
      <c r="AK1264" s="418">
        <f t="shared" si="352"/>
        <v>4.1739130434782608</v>
      </c>
      <c r="AL1264" s="374">
        <f t="shared" si="353"/>
        <v>0.83854166666666674</v>
      </c>
      <c r="AM1264" s="372">
        <f t="shared" si="354"/>
        <v>0.83854166666666674</v>
      </c>
      <c r="AN1264" s="799">
        <v>0.83854166666666674</v>
      </c>
      <c r="AO1264" s="448"/>
      <c r="AP1264" s="440">
        <v>0</v>
      </c>
      <c r="AQ1264" s="440">
        <v>0</v>
      </c>
      <c r="AR1264" s="440">
        <v>0</v>
      </c>
      <c r="AS1264" s="440">
        <v>0</v>
      </c>
      <c r="AT1264" s="440">
        <v>0</v>
      </c>
      <c r="AU1264" s="440">
        <v>0</v>
      </c>
      <c r="AV1264" s="440">
        <v>0</v>
      </c>
      <c r="AW1264" s="440">
        <v>0</v>
      </c>
      <c r="AX1264" s="440">
        <v>0</v>
      </c>
      <c r="AY1264" s="440">
        <v>0</v>
      </c>
      <c r="AZ1264" s="440">
        <v>0</v>
      </c>
      <c r="BA1264" s="440">
        <v>0</v>
      </c>
      <c r="BB1264" s="440">
        <v>0</v>
      </c>
      <c r="BC1264" s="440">
        <v>0</v>
      </c>
      <c r="BD1264" s="440">
        <v>0</v>
      </c>
      <c r="BE1264" s="440">
        <v>0</v>
      </c>
      <c r="BF1264" s="440">
        <v>0</v>
      </c>
      <c r="BG1264" s="440">
        <v>0</v>
      </c>
      <c r="BH1264" s="440">
        <v>0</v>
      </c>
      <c r="BI1264" s="440">
        <v>0</v>
      </c>
      <c r="BJ1264" s="440">
        <v>0</v>
      </c>
      <c r="BK1264" s="440">
        <v>0</v>
      </c>
      <c r="BL1264" s="440">
        <v>0</v>
      </c>
      <c r="BM1264" s="440">
        <v>0</v>
      </c>
      <c r="BN1264" s="440">
        <v>0</v>
      </c>
      <c r="BO1264" s="440">
        <v>0</v>
      </c>
      <c r="BP1264" s="440">
        <v>0</v>
      </c>
      <c r="BQ1264" s="440">
        <v>0</v>
      </c>
      <c r="BR1264" s="415">
        <v>0</v>
      </c>
      <c r="BS1264" s="415">
        <v>0</v>
      </c>
      <c r="BT1264" s="935"/>
      <c r="BU1264" s="935"/>
      <c r="BV1264" s="935"/>
      <c r="BW1264" s="935"/>
      <c r="BX1264" s="935"/>
      <c r="BY1264" s="935"/>
      <c r="BZ1264" s="935"/>
      <c r="CA1264" s="935"/>
      <c r="CB1264" s="935"/>
      <c r="CC1264" s="935"/>
      <c r="CD1264" s="935"/>
      <c r="CE1264" s="935"/>
      <c r="CF1264" s="935"/>
      <c r="CG1264" s="935"/>
      <c r="CH1264" s="935"/>
      <c r="CI1264" s="935"/>
      <c r="CJ1264" s="935"/>
      <c r="CK1264" s="935"/>
      <c r="CL1264" s="935"/>
      <c r="CM1264" s="935"/>
      <c r="CN1264" s="935"/>
      <c r="CO1264" s="935"/>
      <c r="CP1264" s="935"/>
      <c r="CQ1264" s="935"/>
      <c r="CR1264" s="935"/>
      <c r="CS1264" s="935"/>
      <c r="CT1264" s="935"/>
      <c r="CU1264" s="935"/>
      <c r="CV1264" s="935"/>
    </row>
    <row r="1265" spans="1:100" s="441" customFormat="1">
      <c r="A1265" s="375">
        <f t="shared" si="340"/>
        <v>11</v>
      </c>
      <c r="B1265" s="862">
        <v>44517</v>
      </c>
      <c r="C1265" s="493" t="s">
        <v>1980</v>
      </c>
      <c r="D1265" s="376" t="str">
        <f>IFERROR(VLOOKUP(E:E,'Item Data Support Sheet'!A:O,7,0),"")</f>
        <v>NIPPLE MOLDED</v>
      </c>
      <c r="E1265" s="447" t="s">
        <v>74</v>
      </c>
      <c r="F1265" s="500" t="s">
        <v>1678</v>
      </c>
      <c r="G1265" s="497" t="s">
        <v>1691</v>
      </c>
      <c r="H1265" s="602" t="str">
        <f>IFERROR(VLOOKUP(E:E,'Item Data Support Sheet'!A:O,2,0),"")</f>
        <v>NIPPLE S TYPE L SIZE INJECTION</v>
      </c>
      <c r="I1265" s="501" t="s">
        <v>4046</v>
      </c>
      <c r="J1265" s="501" t="s">
        <v>2808</v>
      </c>
      <c r="K1265" s="499">
        <v>8</v>
      </c>
      <c r="L1265" s="499">
        <v>4815</v>
      </c>
      <c r="M1265" s="366">
        <v>601.875</v>
      </c>
      <c r="N1265" s="367">
        <f t="shared" si="339"/>
        <v>5101</v>
      </c>
      <c r="O1265" s="61">
        <v>5000</v>
      </c>
      <c r="P1265" s="368">
        <v>0</v>
      </c>
      <c r="Q1265" s="368">
        <v>53</v>
      </c>
      <c r="R1265" s="494">
        <v>0</v>
      </c>
      <c r="S1265" s="493">
        <v>0</v>
      </c>
      <c r="T1265" s="494">
        <v>40</v>
      </c>
      <c r="U1265" s="493">
        <v>8</v>
      </c>
      <c r="V1265" s="502">
        <v>1</v>
      </c>
      <c r="W1265" s="453">
        <f t="shared" si="341"/>
        <v>5000</v>
      </c>
      <c r="X1265" s="748">
        <f t="shared" si="342"/>
        <v>1.0384215991692627</v>
      </c>
      <c r="Y1265" s="451" t="str">
        <f>IFERROR(VLOOKUP(E:E,'Item Data Support Sheet'!A:J,6,0),0)</f>
        <v>Silicon</v>
      </c>
      <c r="Z1265" s="428">
        <f>IFERROR(VLOOKUP(E:E,'Item Data Support Sheet'!A:O,4,0),0)</f>
        <v>6.8</v>
      </c>
      <c r="AA1265" s="428">
        <f t="shared" si="343"/>
        <v>34.686799999999998</v>
      </c>
      <c r="AB1265" s="429">
        <f t="shared" si="344"/>
        <v>0.98019996079200167</v>
      </c>
      <c r="AC1265" s="424">
        <f t="shared" si="345"/>
        <v>7.9365079365079361E-3</v>
      </c>
      <c r="AD1265" s="371">
        <f t="shared" si="346"/>
        <v>1.0283275126115638E-2</v>
      </c>
      <c r="AE1265" s="748">
        <f t="shared" si="347"/>
        <v>0.99215840031366398</v>
      </c>
      <c r="AF1265" s="417">
        <f t="shared" si="348"/>
        <v>0</v>
      </c>
      <c r="AG1265" s="416">
        <f t="shared" si="349"/>
        <v>8</v>
      </c>
      <c r="AH1265" s="372">
        <f t="shared" si="350"/>
        <v>1</v>
      </c>
      <c r="AI1265" s="373">
        <f t="shared" si="351"/>
        <v>625</v>
      </c>
      <c r="AJ1265" s="418">
        <f>VLOOKUP(D1265,'Standard Cycle time'!C:D,2,0)</f>
        <v>5.25</v>
      </c>
      <c r="AK1265" s="418">
        <f t="shared" si="352"/>
        <v>5.76</v>
      </c>
      <c r="AL1265" s="374">
        <f t="shared" si="353"/>
        <v>0.91145833333333337</v>
      </c>
      <c r="AM1265" s="372">
        <f t="shared" si="354"/>
        <v>0.9043110419525584</v>
      </c>
      <c r="AN1265" s="799">
        <v>0.9043110419525584</v>
      </c>
      <c r="AO1265" s="448"/>
      <c r="AP1265" s="440">
        <v>0</v>
      </c>
      <c r="AQ1265" s="440">
        <v>0</v>
      </c>
      <c r="AR1265" s="440">
        <v>0</v>
      </c>
      <c r="AS1265" s="440">
        <v>0</v>
      </c>
      <c r="AT1265" s="440">
        <v>0</v>
      </c>
      <c r="AU1265" s="440">
        <v>0</v>
      </c>
      <c r="AV1265" s="440">
        <v>0</v>
      </c>
      <c r="AW1265" s="440">
        <v>0</v>
      </c>
      <c r="AX1265" s="440">
        <v>0</v>
      </c>
      <c r="AY1265" s="440">
        <v>0</v>
      </c>
      <c r="AZ1265" s="440">
        <v>0</v>
      </c>
      <c r="BA1265" s="440">
        <v>0</v>
      </c>
      <c r="BB1265" s="440">
        <v>0</v>
      </c>
      <c r="BC1265" s="440">
        <v>0</v>
      </c>
      <c r="BD1265" s="440">
        <v>0</v>
      </c>
      <c r="BE1265" s="440">
        <v>0</v>
      </c>
      <c r="BF1265" s="440">
        <v>0</v>
      </c>
      <c r="BG1265" s="440">
        <v>0</v>
      </c>
      <c r="BH1265" s="440">
        <v>0</v>
      </c>
      <c r="BI1265" s="440">
        <v>0</v>
      </c>
      <c r="BJ1265" s="440">
        <v>0</v>
      </c>
      <c r="BK1265" s="440">
        <v>0</v>
      </c>
      <c r="BL1265" s="440">
        <v>0</v>
      </c>
      <c r="BM1265" s="440">
        <v>0</v>
      </c>
      <c r="BN1265" s="440">
        <v>0</v>
      </c>
      <c r="BO1265" s="440">
        <v>0</v>
      </c>
      <c r="BP1265" s="440">
        <v>0</v>
      </c>
      <c r="BQ1265" s="440">
        <v>0</v>
      </c>
      <c r="BR1265" s="415">
        <v>0</v>
      </c>
      <c r="BS1265" s="415">
        <v>0</v>
      </c>
      <c r="BT1265" s="935"/>
      <c r="BU1265" s="935"/>
      <c r="BV1265" s="935"/>
      <c r="BW1265" s="935"/>
      <c r="BX1265" s="935"/>
      <c r="BY1265" s="935"/>
      <c r="BZ1265" s="935"/>
      <c r="CA1265" s="935"/>
      <c r="CB1265" s="935"/>
      <c r="CC1265" s="935"/>
      <c r="CD1265" s="935"/>
      <c r="CE1265" s="935"/>
      <c r="CF1265" s="935"/>
      <c r="CG1265" s="935"/>
      <c r="CH1265" s="935"/>
      <c r="CI1265" s="935"/>
      <c r="CJ1265" s="935"/>
      <c r="CK1265" s="935"/>
      <c r="CL1265" s="935"/>
      <c r="CM1265" s="935"/>
      <c r="CN1265" s="935"/>
      <c r="CO1265" s="935"/>
      <c r="CP1265" s="935"/>
      <c r="CQ1265" s="935"/>
      <c r="CR1265" s="935"/>
      <c r="CS1265" s="935"/>
      <c r="CT1265" s="935"/>
      <c r="CU1265" s="935"/>
      <c r="CV1265" s="935"/>
    </row>
    <row r="1266" spans="1:100" s="441" customFormat="1">
      <c r="A1266" s="375">
        <f t="shared" si="340"/>
        <v>11</v>
      </c>
      <c r="B1266" s="862">
        <v>44517</v>
      </c>
      <c r="C1266" s="493" t="s">
        <v>1980</v>
      </c>
      <c r="D1266" s="376" t="str">
        <f>IFERROR(VLOOKUP(E:E,'Item Data Support Sheet'!A:O,7,0),"")</f>
        <v>BOTTLE MOLDED</v>
      </c>
      <c r="E1266" s="447" t="s">
        <v>67</v>
      </c>
      <c r="F1266" s="500" t="s">
        <v>1682</v>
      </c>
      <c r="G1266" s="497" t="s">
        <v>1665</v>
      </c>
      <c r="H1266" s="602" t="str">
        <f>IFERROR(VLOOKUP(E:E,'Item Data Support Sheet'!A:O,2,0),"")</f>
        <v>RPP 120 ML BOTTLE MOLDED</v>
      </c>
      <c r="I1266" s="501" t="s">
        <v>4047</v>
      </c>
      <c r="J1266" s="501" t="s">
        <v>2808</v>
      </c>
      <c r="K1266" s="499">
        <v>3</v>
      </c>
      <c r="L1266" s="499">
        <v>1000</v>
      </c>
      <c r="M1266" s="366">
        <v>333.33333333333331</v>
      </c>
      <c r="N1266" s="367">
        <f t="shared" si="339"/>
        <v>795</v>
      </c>
      <c r="O1266" s="61">
        <v>720</v>
      </c>
      <c r="P1266" s="368">
        <v>0.52400000000000002</v>
      </c>
      <c r="Q1266" s="368">
        <v>43</v>
      </c>
      <c r="R1266" s="494">
        <v>0</v>
      </c>
      <c r="S1266" s="493">
        <v>0</v>
      </c>
      <c r="T1266" s="494">
        <v>24</v>
      </c>
      <c r="U1266" s="493">
        <v>8</v>
      </c>
      <c r="V1266" s="502">
        <v>1</v>
      </c>
      <c r="W1266" s="453">
        <f t="shared" si="341"/>
        <v>720</v>
      </c>
      <c r="X1266" s="748">
        <f t="shared" si="342"/>
        <v>0.72</v>
      </c>
      <c r="Y1266" s="451" t="str">
        <f>IFERROR(VLOOKUP(E:E,'Item Data Support Sheet'!A:J,6,0),0)</f>
        <v>HMC</v>
      </c>
      <c r="Z1266" s="428">
        <f>IFERROR(VLOOKUP(E:E,'Item Data Support Sheet'!A:O,4,0),0)</f>
        <v>21.3</v>
      </c>
      <c r="AA1266" s="428">
        <f t="shared" si="343"/>
        <v>17.4575</v>
      </c>
      <c r="AB1266" s="429">
        <f t="shared" si="344"/>
        <v>0.87847629958470574</v>
      </c>
      <c r="AC1266" s="424">
        <f t="shared" si="345"/>
        <v>3.2258064516129031E-2</v>
      </c>
      <c r="AD1266" s="371">
        <f t="shared" si="346"/>
        <v>5.1312649164677801E-2</v>
      </c>
      <c r="AE1266" s="748">
        <f t="shared" si="347"/>
        <v>0.96981132075471699</v>
      </c>
      <c r="AF1266" s="417">
        <f t="shared" si="348"/>
        <v>0</v>
      </c>
      <c r="AG1266" s="416">
        <f t="shared" si="349"/>
        <v>3</v>
      </c>
      <c r="AH1266" s="372">
        <f t="shared" si="350"/>
        <v>1</v>
      </c>
      <c r="AI1266" s="373">
        <f t="shared" si="351"/>
        <v>240</v>
      </c>
      <c r="AJ1266" s="418">
        <f>VLOOKUP(D1266,'Standard Cycle time'!C:D,2,0)</f>
        <v>9</v>
      </c>
      <c r="AK1266" s="418">
        <f t="shared" si="352"/>
        <v>15</v>
      </c>
      <c r="AL1266" s="374">
        <f t="shared" si="353"/>
        <v>0.6</v>
      </c>
      <c r="AM1266" s="372">
        <f t="shared" si="354"/>
        <v>0.58188679245283015</v>
      </c>
      <c r="AN1266" s="799">
        <v>0.58188679245283015</v>
      </c>
      <c r="AO1266" s="448"/>
      <c r="AP1266" s="440">
        <v>0</v>
      </c>
      <c r="AQ1266" s="440">
        <v>0</v>
      </c>
      <c r="AR1266" s="440">
        <v>0</v>
      </c>
      <c r="AS1266" s="440">
        <v>0</v>
      </c>
      <c r="AT1266" s="440">
        <v>0</v>
      </c>
      <c r="AU1266" s="440">
        <v>0</v>
      </c>
      <c r="AV1266" s="440">
        <v>0</v>
      </c>
      <c r="AW1266" s="440">
        <v>0</v>
      </c>
      <c r="AX1266" s="440">
        <v>0</v>
      </c>
      <c r="AY1266" s="440">
        <v>0</v>
      </c>
      <c r="AZ1266" s="440">
        <v>0</v>
      </c>
      <c r="BA1266" s="440">
        <v>0</v>
      </c>
      <c r="BB1266" s="440">
        <v>0</v>
      </c>
      <c r="BC1266" s="440">
        <v>0</v>
      </c>
      <c r="BD1266" s="440">
        <v>0</v>
      </c>
      <c r="BE1266" s="440">
        <v>0</v>
      </c>
      <c r="BF1266" s="440">
        <v>0</v>
      </c>
      <c r="BG1266" s="440">
        <v>0</v>
      </c>
      <c r="BH1266" s="440">
        <v>0</v>
      </c>
      <c r="BI1266" s="440">
        <v>0</v>
      </c>
      <c r="BJ1266" s="440">
        <v>0</v>
      </c>
      <c r="BK1266" s="440">
        <v>0</v>
      </c>
      <c r="BL1266" s="440">
        <v>0</v>
      </c>
      <c r="BM1266" s="440">
        <v>0</v>
      </c>
      <c r="BN1266" s="440">
        <v>0</v>
      </c>
      <c r="BO1266" s="440">
        <v>0</v>
      </c>
      <c r="BP1266" s="440">
        <v>0</v>
      </c>
      <c r="BQ1266" s="440">
        <v>0</v>
      </c>
      <c r="BR1266" s="415">
        <v>0</v>
      </c>
      <c r="BS1266" s="415">
        <v>0</v>
      </c>
      <c r="BT1266" s="935"/>
      <c r="BU1266" s="935"/>
      <c r="BV1266" s="935"/>
      <c r="BW1266" s="935"/>
      <c r="BX1266" s="935"/>
      <c r="BY1266" s="935"/>
      <c r="BZ1266" s="935"/>
      <c r="CA1266" s="935"/>
      <c r="CB1266" s="935"/>
      <c r="CC1266" s="935"/>
      <c r="CD1266" s="935"/>
      <c r="CE1266" s="935"/>
      <c r="CF1266" s="935"/>
      <c r="CG1266" s="935"/>
      <c r="CH1266" s="935"/>
      <c r="CI1266" s="935"/>
      <c r="CJ1266" s="935"/>
      <c r="CK1266" s="935"/>
      <c r="CL1266" s="935"/>
      <c r="CM1266" s="935"/>
      <c r="CN1266" s="935"/>
      <c r="CO1266" s="935"/>
      <c r="CP1266" s="935"/>
      <c r="CQ1266" s="935"/>
      <c r="CR1266" s="935"/>
      <c r="CS1266" s="935"/>
      <c r="CT1266" s="935"/>
      <c r="CU1266" s="935"/>
      <c r="CV1266" s="935"/>
    </row>
    <row r="1267" spans="1:100" s="441" customFormat="1">
      <c r="A1267" s="375">
        <f t="shared" si="340"/>
        <v>11</v>
      </c>
      <c r="B1267" s="862">
        <v>44517</v>
      </c>
      <c r="C1267" s="493" t="s">
        <v>1980</v>
      </c>
      <c r="D1267" s="376" t="str">
        <f>IFERROR(VLOOKUP(E:E,'Item Data Support Sheet'!A:O,7,0),"")</f>
        <v>BOTTLE PRINTED</v>
      </c>
      <c r="E1267" s="447" t="s">
        <v>64</v>
      </c>
      <c r="F1267" s="500"/>
      <c r="G1267" s="497"/>
      <c r="H1267" s="602" t="str">
        <f>IFERROR(VLOOKUP(E:E,'Item Data Support Sheet'!A:O,2,0),"")</f>
        <v>KPP 240 ML BOTTLE PRINTED</v>
      </c>
      <c r="I1267" s="501" t="s">
        <v>4048</v>
      </c>
      <c r="J1267" s="501" t="s">
        <v>3929</v>
      </c>
      <c r="K1267" s="499">
        <v>8</v>
      </c>
      <c r="L1267" s="499">
        <v>5134</v>
      </c>
      <c r="M1267" s="366">
        <v>641.75</v>
      </c>
      <c r="N1267" s="367">
        <f t="shared" si="339"/>
        <v>5008</v>
      </c>
      <c r="O1267" s="61">
        <v>4968</v>
      </c>
      <c r="P1267" s="368">
        <v>0</v>
      </c>
      <c r="Q1267" s="368">
        <v>0</v>
      </c>
      <c r="R1267" s="494">
        <v>38</v>
      </c>
      <c r="S1267" s="493">
        <v>0</v>
      </c>
      <c r="T1267" s="494">
        <v>40</v>
      </c>
      <c r="U1267" s="493">
        <v>0</v>
      </c>
      <c r="V1267" s="502">
        <v>5</v>
      </c>
      <c r="W1267" s="453">
        <f t="shared" si="341"/>
        <v>993.6</v>
      </c>
      <c r="X1267" s="748">
        <f t="shared" si="342"/>
        <v>0.96766653681340087</v>
      </c>
      <c r="Y1267" s="451" t="str">
        <f>IFERROR(VLOOKUP(E:E,'Item Data Support Sheet'!A:J,6,0),0)</f>
        <v>FO003</v>
      </c>
      <c r="Z1267" s="428">
        <f>IFERROR(VLOOKUP(E:E,'Item Data Support Sheet'!A:O,4,0),0)</f>
        <v>0</v>
      </c>
      <c r="AA1267" s="428">
        <f t="shared" si="343"/>
        <v>0</v>
      </c>
      <c r="AB1267" s="429" t="str">
        <f t="shared" si="344"/>
        <v xml:space="preserve"> </v>
      </c>
      <c r="AC1267" s="424">
        <f t="shared" si="345"/>
        <v>7.9872204472843447E-3</v>
      </c>
      <c r="AD1267" s="371">
        <f t="shared" si="346"/>
        <v>0</v>
      </c>
      <c r="AE1267" s="748">
        <f t="shared" si="347"/>
        <v>0.99201277955271561</v>
      </c>
      <c r="AF1267" s="417">
        <f t="shared" si="348"/>
        <v>0.66666666666666663</v>
      </c>
      <c r="AG1267" s="416">
        <f t="shared" si="349"/>
        <v>7.333333333333333</v>
      </c>
      <c r="AH1267" s="372">
        <f t="shared" si="350"/>
        <v>0.91666666666666663</v>
      </c>
      <c r="AI1267" s="373">
        <f t="shared" si="351"/>
        <v>621</v>
      </c>
      <c r="AJ1267" s="418">
        <f>VLOOKUP(D1267,'Standard Cycle time'!C:D,2,0)</f>
        <v>32.4</v>
      </c>
      <c r="AK1267" s="418">
        <f t="shared" si="352"/>
        <v>26.570048309178745</v>
      </c>
      <c r="AL1267" s="374">
        <f t="shared" si="353"/>
        <v>1.2194181818181817</v>
      </c>
      <c r="AM1267" s="372">
        <f t="shared" si="354"/>
        <v>1.1088718849840253</v>
      </c>
      <c r="AN1267" s="799">
        <v>1.1088718849840253</v>
      </c>
      <c r="AO1267" s="448"/>
      <c r="AP1267" s="440">
        <v>40</v>
      </c>
      <c r="AQ1267" s="440">
        <v>0</v>
      </c>
      <c r="AR1267" s="440">
        <v>0</v>
      </c>
      <c r="AS1267" s="440">
        <v>0</v>
      </c>
      <c r="AT1267" s="440">
        <v>0</v>
      </c>
      <c r="AU1267" s="440">
        <v>0</v>
      </c>
      <c r="AV1267" s="440">
        <v>0</v>
      </c>
      <c r="AW1267" s="440">
        <v>0</v>
      </c>
      <c r="AX1267" s="440">
        <v>0</v>
      </c>
      <c r="AY1267" s="440">
        <v>0</v>
      </c>
      <c r="AZ1267" s="440">
        <v>0</v>
      </c>
      <c r="BA1267" s="440">
        <v>0</v>
      </c>
      <c r="BB1267" s="440">
        <v>0</v>
      </c>
      <c r="BC1267" s="440">
        <v>0</v>
      </c>
      <c r="BD1267" s="440">
        <v>0</v>
      </c>
      <c r="BE1267" s="440">
        <v>0</v>
      </c>
      <c r="BF1267" s="440">
        <v>0</v>
      </c>
      <c r="BG1267" s="440">
        <v>0</v>
      </c>
      <c r="BH1267" s="440">
        <v>0</v>
      </c>
      <c r="BI1267" s="440">
        <v>0</v>
      </c>
      <c r="BJ1267" s="440">
        <v>0</v>
      </c>
      <c r="BK1267" s="440">
        <v>0</v>
      </c>
      <c r="BL1267" s="440">
        <v>0</v>
      </c>
      <c r="BM1267" s="440">
        <v>0</v>
      </c>
      <c r="BN1267" s="440">
        <v>0</v>
      </c>
      <c r="BO1267" s="440">
        <v>0</v>
      </c>
      <c r="BP1267" s="440">
        <v>0</v>
      </c>
      <c r="BQ1267" s="440">
        <v>0</v>
      </c>
      <c r="BR1267" s="415">
        <v>0.66666666666666663</v>
      </c>
      <c r="BS1267" s="415">
        <v>0.66666666666666663</v>
      </c>
      <c r="BT1267" s="935"/>
      <c r="BU1267" s="935"/>
      <c r="BV1267" s="935"/>
      <c r="BW1267" s="935"/>
      <c r="BX1267" s="935"/>
      <c r="BY1267" s="935"/>
      <c r="BZ1267" s="935"/>
      <c r="CA1267" s="935"/>
      <c r="CB1267" s="935"/>
      <c r="CC1267" s="935"/>
      <c r="CD1267" s="935"/>
      <c r="CE1267" s="935"/>
      <c r="CF1267" s="935"/>
      <c r="CG1267" s="935"/>
      <c r="CH1267" s="935"/>
      <c r="CI1267" s="935"/>
      <c r="CJ1267" s="935"/>
      <c r="CK1267" s="935"/>
      <c r="CL1267" s="935"/>
      <c r="CM1267" s="935"/>
      <c r="CN1267" s="935"/>
      <c r="CO1267" s="935"/>
      <c r="CP1267" s="935"/>
      <c r="CQ1267" s="935"/>
      <c r="CR1267" s="935"/>
      <c r="CS1267" s="935"/>
      <c r="CT1267" s="935"/>
      <c r="CU1267" s="935"/>
      <c r="CV1267" s="935"/>
    </row>
    <row r="1268" spans="1:100" s="441" customFormat="1">
      <c r="A1268" s="375">
        <f t="shared" si="340"/>
        <v>11</v>
      </c>
      <c r="B1268" s="862">
        <v>44517</v>
      </c>
      <c r="C1268" s="493" t="s">
        <v>2000</v>
      </c>
      <c r="D1268" s="376" t="str">
        <f>IFERROR(VLOOKUP(E:E,'Item Data Support Sheet'!A:O,7,0),"")</f>
        <v>NIPPLE PUNCH INSPECTED</v>
      </c>
      <c r="E1268" s="447" t="s">
        <v>1820</v>
      </c>
      <c r="F1268" s="500"/>
      <c r="G1268" s="497"/>
      <c r="H1268" s="602" t="str">
        <f>IFERROR(VLOOKUP(E:E,'Item Data Support Sheet'!A:O,2,0),"")</f>
        <v>NIPPLE S TYPE L SIZE PUNCHED INSPECTED</v>
      </c>
      <c r="I1268" s="501" t="s">
        <v>4049</v>
      </c>
      <c r="J1268" s="501" t="s">
        <v>2811</v>
      </c>
      <c r="K1268" s="499">
        <v>8</v>
      </c>
      <c r="L1268" s="499">
        <v>14000</v>
      </c>
      <c r="M1268" s="366">
        <v>1750</v>
      </c>
      <c r="N1268" s="367">
        <f t="shared" si="339"/>
        <v>13300</v>
      </c>
      <c r="O1268" s="61">
        <v>13270</v>
      </c>
      <c r="P1268" s="368">
        <v>0</v>
      </c>
      <c r="Q1268" s="368">
        <v>0</v>
      </c>
      <c r="R1268" s="494">
        <v>0</v>
      </c>
      <c r="S1268" s="493">
        <v>0</v>
      </c>
      <c r="T1268" s="494">
        <v>30</v>
      </c>
      <c r="U1268" s="493">
        <v>0</v>
      </c>
      <c r="V1268" s="502">
        <v>1</v>
      </c>
      <c r="W1268" s="453">
        <f t="shared" si="341"/>
        <v>13270</v>
      </c>
      <c r="X1268" s="748">
        <f t="shared" si="342"/>
        <v>0.94785714285714284</v>
      </c>
      <c r="Y1268" s="451" t="str">
        <f>IFERROR(VLOOKUP(E:E,'Item Data Support Sheet'!A:J,6,0),0)</f>
        <v>FO106</v>
      </c>
      <c r="Z1268" s="428">
        <f>IFERROR(VLOOKUP(E:E,'Item Data Support Sheet'!A:O,4,0),0)</f>
        <v>0</v>
      </c>
      <c r="AA1268" s="428">
        <f t="shared" si="343"/>
        <v>0</v>
      </c>
      <c r="AB1268" s="429" t="str">
        <f t="shared" si="344"/>
        <v xml:space="preserve"> </v>
      </c>
      <c r="AC1268" s="424">
        <f t="shared" si="345"/>
        <v>2.255639097744361E-3</v>
      </c>
      <c r="AD1268" s="371">
        <f t="shared" si="346"/>
        <v>0</v>
      </c>
      <c r="AE1268" s="748">
        <f t="shared" si="347"/>
        <v>0.9977443609022556</v>
      </c>
      <c r="AF1268" s="417">
        <f t="shared" si="348"/>
        <v>0.83333333333333337</v>
      </c>
      <c r="AG1268" s="416">
        <f t="shared" si="349"/>
        <v>7.166666666666667</v>
      </c>
      <c r="AH1268" s="372">
        <f t="shared" si="350"/>
        <v>0.89583333333333337</v>
      </c>
      <c r="AI1268" s="373">
        <f t="shared" si="351"/>
        <v>1658.75</v>
      </c>
      <c r="AJ1268" s="418">
        <f>VLOOKUP(D1268,'Standard Cycle time'!C:D,2,0)</f>
        <v>4</v>
      </c>
      <c r="AK1268" s="418">
        <f t="shared" si="352"/>
        <v>1.9442351168048229</v>
      </c>
      <c r="AL1268" s="374">
        <f t="shared" si="353"/>
        <v>2.0573643410852713</v>
      </c>
      <c r="AM1268" s="372">
        <f t="shared" si="354"/>
        <v>1.8388982873851294</v>
      </c>
      <c r="AN1268" s="799">
        <v>1.8388982873851294</v>
      </c>
      <c r="AO1268" s="448"/>
      <c r="AP1268" s="440">
        <v>50</v>
      </c>
      <c r="AQ1268" s="440">
        <v>0</v>
      </c>
      <c r="AR1268" s="440">
        <v>0</v>
      </c>
      <c r="AS1268" s="440">
        <v>0</v>
      </c>
      <c r="AT1268" s="440">
        <v>0</v>
      </c>
      <c r="AU1268" s="440">
        <v>0</v>
      </c>
      <c r="AV1268" s="440">
        <v>0</v>
      </c>
      <c r="AW1268" s="440">
        <v>0</v>
      </c>
      <c r="AX1268" s="440">
        <v>0</v>
      </c>
      <c r="AY1268" s="440">
        <v>0</v>
      </c>
      <c r="AZ1268" s="440">
        <v>0</v>
      </c>
      <c r="BA1268" s="440">
        <v>0</v>
      </c>
      <c r="BB1268" s="440">
        <v>0</v>
      </c>
      <c r="BC1268" s="440">
        <v>0</v>
      </c>
      <c r="BD1268" s="440">
        <v>0</v>
      </c>
      <c r="BE1268" s="440">
        <v>0</v>
      </c>
      <c r="BF1268" s="440">
        <v>0</v>
      </c>
      <c r="BG1268" s="440">
        <v>0</v>
      </c>
      <c r="BH1268" s="440">
        <v>0</v>
      </c>
      <c r="BI1268" s="440">
        <v>0</v>
      </c>
      <c r="BJ1268" s="440">
        <v>0</v>
      </c>
      <c r="BK1268" s="440">
        <v>0</v>
      </c>
      <c r="BL1268" s="440">
        <v>0</v>
      </c>
      <c r="BM1268" s="440">
        <v>0</v>
      </c>
      <c r="BN1268" s="440">
        <v>0</v>
      </c>
      <c r="BO1268" s="440">
        <v>0</v>
      </c>
      <c r="BP1268" s="440">
        <v>0</v>
      </c>
      <c r="BQ1268" s="440">
        <v>0</v>
      </c>
      <c r="BR1268" s="415">
        <v>0.83333333333333337</v>
      </c>
      <c r="BS1268" s="415">
        <v>0.83333333333333337</v>
      </c>
      <c r="BT1268" s="935"/>
      <c r="BU1268" s="935"/>
      <c r="BV1268" s="935"/>
      <c r="BW1268" s="935"/>
      <c r="BX1268" s="935"/>
      <c r="BY1268" s="935"/>
      <c r="BZ1268" s="935"/>
      <c r="CA1268" s="935"/>
      <c r="CB1268" s="935"/>
      <c r="CC1268" s="935"/>
      <c r="CD1268" s="935"/>
      <c r="CE1268" s="935"/>
      <c r="CF1268" s="935"/>
      <c r="CG1268" s="935"/>
      <c r="CH1268" s="935"/>
      <c r="CI1268" s="935"/>
      <c r="CJ1268" s="935"/>
      <c r="CK1268" s="935"/>
      <c r="CL1268" s="935"/>
      <c r="CM1268" s="935"/>
      <c r="CN1268" s="935"/>
      <c r="CO1268" s="935"/>
      <c r="CP1268" s="935"/>
      <c r="CQ1268" s="935"/>
      <c r="CR1268" s="935"/>
      <c r="CS1268" s="935"/>
      <c r="CT1268" s="935"/>
      <c r="CU1268" s="935"/>
      <c r="CV1268" s="935"/>
    </row>
    <row r="1269" spans="1:100" s="441" customFormat="1">
      <c r="A1269" s="375">
        <f t="shared" si="340"/>
        <v>11</v>
      </c>
      <c r="B1269" s="862">
        <v>44517</v>
      </c>
      <c r="C1269" s="493" t="s">
        <v>2000</v>
      </c>
      <c r="D1269" s="376" t="str">
        <f>IFERROR(VLOOKUP(E:E,'Item Data Support Sheet'!A:O,7,0),"")</f>
        <v>NIPPLE WRAP PRINTED</v>
      </c>
      <c r="E1269" s="447" t="s">
        <v>110</v>
      </c>
      <c r="F1269" s="500"/>
      <c r="G1269" s="497" t="s">
        <v>1693</v>
      </c>
      <c r="H1269" s="602" t="str">
        <f>IFERROR(VLOOKUP(E:E,'Item Data Support Sheet'!A:O,2,0),"")</f>
        <v>NIPPLE S TYPE L SIZE WITH PRINTED WRAP</v>
      </c>
      <c r="I1269" s="501" t="s">
        <v>4030</v>
      </c>
      <c r="J1269" s="501" t="s">
        <v>2811</v>
      </c>
      <c r="K1269" s="499">
        <v>8</v>
      </c>
      <c r="L1269" s="499">
        <v>16171</v>
      </c>
      <c r="M1269" s="366">
        <v>2021.375</v>
      </c>
      <c r="N1269" s="367">
        <f t="shared" si="339"/>
        <v>16270</v>
      </c>
      <c r="O1269" s="61">
        <v>16269</v>
      </c>
      <c r="P1269" s="368">
        <v>0</v>
      </c>
      <c r="Q1269" s="368">
        <v>0</v>
      </c>
      <c r="R1269" s="494">
        <v>0</v>
      </c>
      <c r="S1269" s="493">
        <v>0</v>
      </c>
      <c r="T1269" s="494">
        <v>1</v>
      </c>
      <c r="U1269" s="493">
        <v>0</v>
      </c>
      <c r="V1269" s="502">
        <v>2</v>
      </c>
      <c r="W1269" s="453">
        <f t="shared" si="341"/>
        <v>8134.5</v>
      </c>
      <c r="X1269" s="748">
        <f t="shared" si="342"/>
        <v>1.0060602312782141</v>
      </c>
      <c r="Y1269" s="451" t="str">
        <f>IFERROR(VLOOKUP(E:E,'Item Data Support Sheet'!A:J,6,0),0)</f>
        <v>FO021</v>
      </c>
      <c r="Z1269" s="428">
        <f>IFERROR(VLOOKUP(E:E,'Item Data Support Sheet'!A:O,4,0),0)</f>
        <v>0</v>
      </c>
      <c r="AA1269" s="428">
        <f t="shared" si="343"/>
        <v>0</v>
      </c>
      <c r="AB1269" s="429" t="str">
        <f t="shared" si="344"/>
        <v xml:space="preserve"> </v>
      </c>
      <c r="AC1269" s="424">
        <f t="shared" si="345"/>
        <v>6.1462814996926854E-5</v>
      </c>
      <c r="AD1269" s="371">
        <f t="shared" si="346"/>
        <v>0</v>
      </c>
      <c r="AE1269" s="748">
        <f t="shared" si="347"/>
        <v>0.99993853718500303</v>
      </c>
      <c r="AF1269" s="417">
        <f t="shared" si="348"/>
        <v>0.83333333333333337</v>
      </c>
      <c r="AG1269" s="416">
        <f t="shared" si="349"/>
        <v>7.166666666666667</v>
      </c>
      <c r="AH1269" s="372">
        <f t="shared" si="350"/>
        <v>0.89583333333333337</v>
      </c>
      <c r="AI1269" s="373">
        <f t="shared" si="351"/>
        <v>2033.625</v>
      </c>
      <c r="AJ1269" s="418">
        <f>VLOOKUP(D1269,'Standard Cycle time'!C:D,2,0)</f>
        <v>2.5</v>
      </c>
      <c r="AK1269" s="418">
        <f t="shared" si="352"/>
        <v>3.1716761939885671</v>
      </c>
      <c r="AL1269" s="374">
        <f t="shared" si="353"/>
        <v>0.78822674418604655</v>
      </c>
      <c r="AM1269" s="372">
        <f t="shared" si="354"/>
        <v>0.70607639155654578</v>
      </c>
      <c r="AN1269" s="799">
        <v>0.70607639155654578</v>
      </c>
      <c r="AO1269" s="448"/>
      <c r="AP1269" s="440">
        <v>50</v>
      </c>
      <c r="AQ1269" s="440">
        <v>0</v>
      </c>
      <c r="AR1269" s="440">
        <v>0</v>
      </c>
      <c r="AS1269" s="440">
        <v>0</v>
      </c>
      <c r="AT1269" s="440">
        <v>0</v>
      </c>
      <c r="AU1269" s="440">
        <v>0</v>
      </c>
      <c r="AV1269" s="440">
        <v>0</v>
      </c>
      <c r="AW1269" s="440">
        <v>0</v>
      </c>
      <c r="AX1269" s="440">
        <v>0</v>
      </c>
      <c r="AY1269" s="440">
        <v>0</v>
      </c>
      <c r="AZ1269" s="440">
        <v>0</v>
      </c>
      <c r="BA1269" s="440">
        <v>0</v>
      </c>
      <c r="BB1269" s="440">
        <v>0</v>
      </c>
      <c r="BC1269" s="440">
        <v>0</v>
      </c>
      <c r="BD1269" s="440">
        <v>0</v>
      </c>
      <c r="BE1269" s="440">
        <v>0</v>
      </c>
      <c r="BF1269" s="440">
        <v>0</v>
      </c>
      <c r="BG1269" s="440">
        <v>0</v>
      </c>
      <c r="BH1269" s="440">
        <v>0</v>
      </c>
      <c r="BI1269" s="440">
        <v>0</v>
      </c>
      <c r="BJ1269" s="440">
        <v>0</v>
      </c>
      <c r="BK1269" s="440">
        <v>0</v>
      </c>
      <c r="BL1269" s="440">
        <v>0</v>
      </c>
      <c r="BM1269" s="440">
        <v>0</v>
      </c>
      <c r="BN1269" s="440">
        <v>0</v>
      </c>
      <c r="BO1269" s="440">
        <v>0</v>
      </c>
      <c r="BP1269" s="440">
        <v>0</v>
      </c>
      <c r="BQ1269" s="440">
        <v>0</v>
      </c>
      <c r="BR1269" s="415">
        <v>0.83333333333333337</v>
      </c>
      <c r="BS1269" s="415">
        <v>0.83333333333333337</v>
      </c>
      <c r="BT1269" s="935"/>
      <c r="BU1269" s="935"/>
      <c r="BV1269" s="935"/>
      <c r="BW1269" s="935"/>
      <c r="BX1269" s="935"/>
      <c r="BY1269" s="935"/>
      <c r="BZ1269" s="935"/>
      <c r="CA1269" s="935"/>
      <c r="CB1269" s="935"/>
      <c r="CC1269" s="935"/>
      <c r="CD1269" s="935"/>
      <c r="CE1269" s="935"/>
      <c r="CF1269" s="935"/>
      <c r="CG1269" s="935"/>
      <c r="CH1269" s="935"/>
      <c r="CI1269" s="935"/>
      <c r="CJ1269" s="935"/>
      <c r="CK1269" s="935"/>
      <c r="CL1269" s="935"/>
      <c r="CM1269" s="935"/>
      <c r="CN1269" s="935"/>
      <c r="CO1269" s="935"/>
      <c r="CP1269" s="935"/>
      <c r="CQ1269" s="935"/>
      <c r="CR1269" s="935"/>
      <c r="CS1269" s="935"/>
      <c r="CT1269" s="935"/>
      <c r="CU1269" s="935"/>
      <c r="CV1269" s="935"/>
    </row>
    <row r="1270" spans="1:100" s="441" customFormat="1">
      <c r="A1270" s="375">
        <f t="shared" si="340"/>
        <v>11</v>
      </c>
      <c r="B1270" s="862">
        <v>44517</v>
      </c>
      <c r="C1270" s="493" t="s">
        <v>2001</v>
      </c>
      <c r="D1270" s="376" t="str">
        <f>IFERROR(VLOOKUP(E:E,'Item Data Support Sheet'!A:O,7,0),"")</f>
        <v>NIPPLE MOLDED</v>
      </c>
      <c r="E1270" s="447" t="s">
        <v>74</v>
      </c>
      <c r="F1270" s="500" t="s">
        <v>1678</v>
      </c>
      <c r="G1270" s="497" t="s">
        <v>1691</v>
      </c>
      <c r="H1270" s="602" t="str">
        <f>IFERROR(VLOOKUP(E:E,'Item Data Support Sheet'!A:O,2,0),"")</f>
        <v>NIPPLE S TYPE L SIZE INJECTION</v>
      </c>
      <c r="I1270" s="501" t="s">
        <v>4050</v>
      </c>
      <c r="J1270" s="501" t="s">
        <v>2811</v>
      </c>
      <c r="K1270" s="499">
        <v>8</v>
      </c>
      <c r="L1270" s="499">
        <v>4845</v>
      </c>
      <c r="M1270" s="366">
        <v>605.625</v>
      </c>
      <c r="N1270" s="367">
        <f t="shared" si="339"/>
        <v>5400</v>
      </c>
      <c r="O1270" s="61">
        <v>5300</v>
      </c>
      <c r="P1270" s="368">
        <v>0</v>
      </c>
      <c r="Q1270" s="368">
        <v>40</v>
      </c>
      <c r="R1270" s="494">
        <v>0</v>
      </c>
      <c r="S1270" s="493">
        <v>0</v>
      </c>
      <c r="T1270" s="494">
        <v>60</v>
      </c>
      <c r="U1270" s="493">
        <v>0</v>
      </c>
      <c r="V1270" s="502">
        <v>1</v>
      </c>
      <c r="W1270" s="453">
        <f t="shared" si="341"/>
        <v>5300</v>
      </c>
      <c r="X1270" s="748">
        <f t="shared" si="342"/>
        <v>1.0939112487100102</v>
      </c>
      <c r="Y1270" s="451" t="str">
        <f>IFERROR(VLOOKUP(E:E,'Item Data Support Sheet'!A:J,6,0),0)</f>
        <v>Silicon</v>
      </c>
      <c r="Z1270" s="428">
        <f>IFERROR(VLOOKUP(E:E,'Item Data Support Sheet'!A:O,4,0),0)</f>
        <v>6.8</v>
      </c>
      <c r="AA1270" s="428">
        <f t="shared" si="343"/>
        <v>36.72</v>
      </c>
      <c r="AB1270" s="429">
        <f t="shared" si="344"/>
        <v>0.98148148148148151</v>
      </c>
      <c r="AC1270" s="424">
        <f t="shared" si="345"/>
        <v>1.1194029850746268E-2</v>
      </c>
      <c r="AD1270" s="371">
        <f t="shared" si="346"/>
        <v>7.3529411764705881E-3</v>
      </c>
      <c r="AE1270" s="748">
        <f t="shared" si="347"/>
        <v>0.98888888888888893</v>
      </c>
      <c r="AF1270" s="417">
        <f t="shared" si="348"/>
        <v>0</v>
      </c>
      <c r="AG1270" s="416">
        <f t="shared" si="349"/>
        <v>8</v>
      </c>
      <c r="AH1270" s="372">
        <f t="shared" si="350"/>
        <v>1</v>
      </c>
      <c r="AI1270" s="373">
        <f t="shared" si="351"/>
        <v>662.5</v>
      </c>
      <c r="AJ1270" s="418">
        <f>VLOOKUP(D1270,'Standard Cycle time'!C:D,2,0)</f>
        <v>5.25</v>
      </c>
      <c r="AK1270" s="418">
        <f t="shared" si="352"/>
        <v>5.4339622641509431</v>
      </c>
      <c r="AL1270" s="374">
        <f t="shared" si="353"/>
        <v>0.96614583333333337</v>
      </c>
      <c r="AM1270" s="372">
        <f t="shared" si="354"/>
        <v>0.95541087962962967</v>
      </c>
      <c r="AN1270" s="799">
        <v>0.95541087962962967</v>
      </c>
      <c r="AO1270" s="448"/>
      <c r="AP1270" s="440">
        <v>0</v>
      </c>
      <c r="AQ1270" s="440">
        <v>0</v>
      </c>
      <c r="AR1270" s="440">
        <v>0</v>
      </c>
      <c r="AS1270" s="440">
        <v>0</v>
      </c>
      <c r="AT1270" s="440">
        <v>0</v>
      </c>
      <c r="AU1270" s="440">
        <v>0</v>
      </c>
      <c r="AV1270" s="440">
        <v>0</v>
      </c>
      <c r="AW1270" s="440">
        <v>0</v>
      </c>
      <c r="AX1270" s="440">
        <v>0</v>
      </c>
      <c r="AY1270" s="440">
        <v>0</v>
      </c>
      <c r="AZ1270" s="440">
        <v>0</v>
      </c>
      <c r="BA1270" s="440">
        <v>0</v>
      </c>
      <c r="BB1270" s="440">
        <v>0</v>
      </c>
      <c r="BC1270" s="440">
        <v>0</v>
      </c>
      <c r="BD1270" s="440">
        <v>0</v>
      </c>
      <c r="BE1270" s="440">
        <v>0</v>
      </c>
      <c r="BF1270" s="440">
        <v>0</v>
      </c>
      <c r="BG1270" s="440">
        <v>0</v>
      </c>
      <c r="BH1270" s="440">
        <v>0</v>
      </c>
      <c r="BI1270" s="440">
        <v>0</v>
      </c>
      <c r="BJ1270" s="440">
        <v>0</v>
      </c>
      <c r="BK1270" s="440">
        <v>0</v>
      </c>
      <c r="BL1270" s="440">
        <v>0</v>
      </c>
      <c r="BM1270" s="440">
        <v>0</v>
      </c>
      <c r="BN1270" s="440">
        <v>0</v>
      </c>
      <c r="BO1270" s="440">
        <v>0</v>
      </c>
      <c r="BP1270" s="440">
        <v>0</v>
      </c>
      <c r="BQ1270" s="440">
        <v>0</v>
      </c>
      <c r="BR1270" s="415">
        <v>0</v>
      </c>
      <c r="BS1270" s="415">
        <v>0</v>
      </c>
      <c r="BT1270" s="935"/>
      <c r="BU1270" s="935"/>
      <c r="BV1270" s="935"/>
      <c r="BW1270" s="935"/>
      <c r="BX1270" s="935"/>
      <c r="BY1270" s="935"/>
      <c r="BZ1270" s="935"/>
      <c r="CA1270" s="935"/>
      <c r="CB1270" s="935"/>
      <c r="CC1270" s="935"/>
      <c r="CD1270" s="935"/>
      <c r="CE1270" s="935"/>
      <c r="CF1270" s="935"/>
      <c r="CG1270" s="935"/>
      <c r="CH1270" s="935"/>
      <c r="CI1270" s="935"/>
      <c r="CJ1270" s="935"/>
      <c r="CK1270" s="935"/>
      <c r="CL1270" s="935"/>
      <c r="CM1270" s="935"/>
      <c r="CN1270" s="935"/>
      <c r="CO1270" s="935"/>
      <c r="CP1270" s="935"/>
      <c r="CQ1270" s="935"/>
      <c r="CR1270" s="935"/>
      <c r="CS1270" s="935"/>
      <c r="CT1270" s="935"/>
      <c r="CU1270" s="935"/>
      <c r="CV1270" s="935"/>
    </row>
    <row r="1271" spans="1:100" s="441" customFormat="1">
      <c r="A1271" s="375">
        <f t="shared" si="340"/>
        <v>11</v>
      </c>
      <c r="B1271" s="862">
        <v>44517</v>
      </c>
      <c r="C1271" s="493" t="s">
        <v>2001</v>
      </c>
      <c r="D1271" s="376" t="str">
        <f>IFERROR(VLOOKUP(E:E,'Item Data Support Sheet'!A:O,7,0),"")</f>
        <v>HOOD MOLDED</v>
      </c>
      <c r="E1271" s="447" t="s">
        <v>1987</v>
      </c>
      <c r="F1271" s="500"/>
      <c r="G1271" s="497" t="s">
        <v>2729</v>
      </c>
      <c r="H1271" s="602" t="str">
        <f>IFERROR(VLOOKUP(E:E,'Item Data Support Sheet'!A:O,2,0),"")</f>
        <v>HOOD S TYPE MOLDED</v>
      </c>
      <c r="I1271" s="501" t="s">
        <v>4051</v>
      </c>
      <c r="J1271" s="501" t="s">
        <v>2811</v>
      </c>
      <c r="K1271" s="499">
        <v>8</v>
      </c>
      <c r="L1271" s="499">
        <v>4137</v>
      </c>
      <c r="M1271" s="366">
        <v>517.125</v>
      </c>
      <c r="N1271" s="367">
        <f t="shared" si="339"/>
        <v>4220</v>
      </c>
      <c r="O1271" s="61">
        <v>4200</v>
      </c>
      <c r="P1271" s="368">
        <v>0</v>
      </c>
      <c r="Q1271" s="368">
        <v>8</v>
      </c>
      <c r="R1271" s="494">
        <v>0</v>
      </c>
      <c r="S1271" s="493">
        <v>0</v>
      </c>
      <c r="T1271" s="494">
        <v>12</v>
      </c>
      <c r="U1271" s="493">
        <v>0</v>
      </c>
      <c r="V1271" s="502">
        <v>1</v>
      </c>
      <c r="W1271" s="453">
        <f t="shared" si="341"/>
        <v>4200</v>
      </c>
      <c r="X1271" s="748">
        <f t="shared" si="342"/>
        <v>1.015228426395939</v>
      </c>
      <c r="Y1271" s="451" t="str">
        <f>IFERROR(VLOOKUP(E:E,'Item Data Support Sheet'!A:J,6,0),0)</f>
        <v>HMC</v>
      </c>
      <c r="Z1271" s="428">
        <f>IFERROR(VLOOKUP(E:E,'Item Data Support Sheet'!A:O,4,0),0)</f>
        <v>8.6</v>
      </c>
      <c r="AA1271" s="428">
        <f t="shared" si="343"/>
        <v>36.292000000000002</v>
      </c>
      <c r="AB1271" s="429">
        <f t="shared" si="344"/>
        <v>0.99526066350710884</v>
      </c>
      <c r="AC1271" s="424">
        <f t="shared" si="345"/>
        <v>2.8490028490028491E-3</v>
      </c>
      <c r="AD1271" s="371">
        <f t="shared" si="346"/>
        <v>1.8921475875118259E-3</v>
      </c>
      <c r="AE1271" s="748">
        <f t="shared" si="347"/>
        <v>0.99715639810426537</v>
      </c>
      <c r="AF1271" s="417">
        <f t="shared" si="348"/>
        <v>0</v>
      </c>
      <c r="AG1271" s="416">
        <f t="shared" si="349"/>
        <v>8</v>
      </c>
      <c r="AH1271" s="372">
        <f t="shared" si="350"/>
        <v>1</v>
      </c>
      <c r="AI1271" s="373">
        <f t="shared" si="351"/>
        <v>525</v>
      </c>
      <c r="AJ1271" s="418">
        <f>VLOOKUP(D1271,'Standard Cycle time'!C:D,2,0)</f>
        <v>6</v>
      </c>
      <c r="AK1271" s="418">
        <f t="shared" si="352"/>
        <v>6.8571428571428568</v>
      </c>
      <c r="AL1271" s="374">
        <f t="shared" si="353"/>
        <v>0.875</v>
      </c>
      <c r="AM1271" s="372">
        <f t="shared" si="354"/>
        <v>0.87251184834123219</v>
      </c>
      <c r="AN1271" s="799">
        <v>0.87251184834123219</v>
      </c>
      <c r="AO1271" s="448"/>
      <c r="AP1271" s="440">
        <v>0</v>
      </c>
      <c r="AQ1271" s="440">
        <v>0</v>
      </c>
      <c r="AR1271" s="440">
        <v>0</v>
      </c>
      <c r="AS1271" s="440">
        <v>0</v>
      </c>
      <c r="AT1271" s="440">
        <v>0</v>
      </c>
      <c r="AU1271" s="440">
        <v>0</v>
      </c>
      <c r="AV1271" s="440">
        <v>0</v>
      </c>
      <c r="AW1271" s="440">
        <v>0</v>
      </c>
      <c r="AX1271" s="440">
        <v>0</v>
      </c>
      <c r="AY1271" s="440">
        <v>0</v>
      </c>
      <c r="AZ1271" s="440">
        <v>0</v>
      </c>
      <c r="BA1271" s="440">
        <v>0</v>
      </c>
      <c r="BB1271" s="440">
        <v>0</v>
      </c>
      <c r="BC1271" s="440">
        <v>0</v>
      </c>
      <c r="BD1271" s="440">
        <v>0</v>
      </c>
      <c r="BE1271" s="440">
        <v>0</v>
      </c>
      <c r="BF1271" s="440">
        <v>0</v>
      </c>
      <c r="BG1271" s="440">
        <v>0</v>
      </c>
      <c r="BH1271" s="440">
        <v>0</v>
      </c>
      <c r="BI1271" s="440">
        <v>0</v>
      </c>
      <c r="BJ1271" s="440">
        <v>0</v>
      </c>
      <c r="BK1271" s="440">
        <v>0</v>
      </c>
      <c r="BL1271" s="440">
        <v>0</v>
      </c>
      <c r="BM1271" s="440">
        <v>0</v>
      </c>
      <c r="BN1271" s="440">
        <v>0</v>
      </c>
      <c r="BO1271" s="440">
        <v>0</v>
      </c>
      <c r="BP1271" s="440">
        <v>0</v>
      </c>
      <c r="BQ1271" s="440">
        <v>0</v>
      </c>
      <c r="BR1271" s="415">
        <v>0</v>
      </c>
      <c r="BS1271" s="415">
        <v>0</v>
      </c>
      <c r="BT1271" s="935"/>
      <c r="BU1271" s="935"/>
      <c r="BV1271" s="935"/>
      <c r="BW1271" s="935"/>
      <c r="BX1271" s="935"/>
      <c r="BY1271" s="935"/>
      <c r="BZ1271" s="935"/>
      <c r="CA1271" s="935"/>
      <c r="CB1271" s="935"/>
      <c r="CC1271" s="935"/>
      <c r="CD1271" s="935"/>
      <c r="CE1271" s="935"/>
      <c r="CF1271" s="935"/>
      <c r="CG1271" s="935"/>
      <c r="CH1271" s="935"/>
      <c r="CI1271" s="935"/>
      <c r="CJ1271" s="935"/>
      <c r="CK1271" s="935"/>
      <c r="CL1271" s="935"/>
      <c r="CM1271" s="935"/>
      <c r="CN1271" s="935"/>
      <c r="CO1271" s="935"/>
      <c r="CP1271" s="935"/>
      <c r="CQ1271" s="935"/>
      <c r="CR1271" s="935"/>
      <c r="CS1271" s="935"/>
      <c r="CT1271" s="935"/>
      <c r="CU1271" s="935"/>
      <c r="CV1271" s="935"/>
    </row>
    <row r="1272" spans="1:100" s="441" customFormat="1">
      <c r="A1272" s="375">
        <f t="shared" si="340"/>
        <v>11</v>
      </c>
      <c r="B1272" s="862">
        <v>44517</v>
      </c>
      <c r="C1272" s="493" t="s">
        <v>2001</v>
      </c>
      <c r="D1272" s="376" t="str">
        <f>IFERROR(VLOOKUP(E:E,'Item Data Support Sheet'!A:O,7,0),"")</f>
        <v>BOTTLE MOLDED</v>
      </c>
      <c r="E1272" s="447" t="s">
        <v>67</v>
      </c>
      <c r="F1272" s="500" t="s">
        <v>1682</v>
      </c>
      <c r="G1272" s="497" t="s">
        <v>1665</v>
      </c>
      <c r="H1272" s="602" t="str">
        <f>IFERROR(VLOOKUP(E:E,'Item Data Support Sheet'!A:O,2,0),"")</f>
        <v>RPP 120 ML BOTTLE MOLDED</v>
      </c>
      <c r="I1272" s="501" t="s">
        <v>4052</v>
      </c>
      <c r="J1272" s="501" t="s">
        <v>2811</v>
      </c>
      <c r="K1272" s="499">
        <v>8</v>
      </c>
      <c r="L1272" s="499">
        <v>2574</v>
      </c>
      <c r="M1272" s="366">
        <v>321.75</v>
      </c>
      <c r="N1272" s="367">
        <f t="shared" si="339"/>
        <v>2161</v>
      </c>
      <c r="O1272" s="61">
        <v>1980</v>
      </c>
      <c r="P1272" s="368">
        <v>0.2</v>
      </c>
      <c r="Q1272" s="368">
        <v>101</v>
      </c>
      <c r="R1272" s="494">
        <v>0</v>
      </c>
      <c r="S1272" s="493">
        <v>0</v>
      </c>
      <c r="T1272" s="494">
        <v>80</v>
      </c>
      <c r="U1272" s="493">
        <v>0</v>
      </c>
      <c r="V1272" s="502">
        <v>1</v>
      </c>
      <c r="W1272" s="453">
        <f t="shared" si="341"/>
        <v>1980</v>
      </c>
      <c r="X1272" s="748">
        <f t="shared" si="342"/>
        <v>0.76923076923076927</v>
      </c>
      <c r="Y1272" s="451" t="str">
        <f>IFERROR(VLOOKUP(E:E,'Item Data Support Sheet'!A:J,6,0),0)</f>
        <v>HMC</v>
      </c>
      <c r="Z1272" s="428">
        <f>IFERROR(VLOOKUP(E:E,'Item Data Support Sheet'!A:O,4,0),0)</f>
        <v>21.3</v>
      </c>
      <c r="AA1272" s="428">
        <f t="shared" si="343"/>
        <v>46.229300000000002</v>
      </c>
      <c r="AB1272" s="429">
        <f t="shared" si="344"/>
        <v>0.91227857657373135</v>
      </c>
      <c r="AC1272" s="424">
        <f t="shared" si="345"/>
        <v>3.8834951456310676E-2</v>
      </c>
      <c r="AD1272" s="371">
        <f t="shared" si="346"/>
        <v>4.4650751547303275E-2</v>
      </c>
      <c r="AE1272" s="748">
        <f t="shared" si="347"/>
        <v>0.96298010180472005</v>
      </c>
      <c r="AF1272" s="417">
        <f t="shared" si="348"/>
        <v>0</v>
      </c>
      <c r="AG1272" s="416">
        <f t="shared" si="349"/>
        <v>8</v>
      </c>
      <c r="AH1272" s="372">
        <f t="shared" si="350"/>
        <v>1</v>
      </c>
      <c r="AI1272" s="373">
        <f t="shared" si="351"/>
        <v>247.5</v>
      </c>
      <c r="AJ1272" s="418">
        <f>VLOOKUP(D1272,'Standard Cycle time'!C:D,2,0)</f>
        <v>9</v>
      </c>
      <c r="AK1272" s="418">
        <f t="shared" si="352"/>
        <v>14.545454545454545</v>
      </c>
      <c r="AL1272" s="374">
        <f t="shared" si="353"/>
        <v>0.61875000000000002</v>
      </c>
      <c r="AM1272" s="372">
        <f t="shared" si="354"/>
        <v>0.59584393799167057</v>
      </c>
      <c r="AN1272" s="799">
        <v>0.59584393799167057</v>
      </c>
      <c r="AO1272" s="448"/>
      <c r="AP1272" s="440">
        <v>0</v>
      </c>
      <c r="AQ1272" s="440">
        <v>0</v>
      </c>
      <c r="AR1272" s="440">
        <v>0</v>
      </c>
      <c r="AS1272" s="440">
        <v>0</v>
      </c>
      <c r="AT1272" s="440">
        <v>0</v>
      </c>
      <c r="AU1272" s="440">
        <v>0</v>
      </c>
      <c r="AV1272" s="440">
        <v>0</v>
      </c>
      <c r="AW1272" s="440">
        <v>0</v>
      </c>
      <c r="AX1272" s="440">
        <v>0</v>
      </c>
      <c r="AY1272" s="440">
        <v>0</v>
      </c>
      <c r="AZ1272" s="440">
        <v>0</v>
      </c>
      <c r="BA1272" s="440">
        <v>0</v>
      </c>
      <c r="BB1272" s="440">
        <v>0</v>
      </c>
      <c r="BC1272" s="440">
        <v>0</v>
      </c>
      <c r="BD1272" s="440">
        <v>0</v>
      </c>
      <c r="BE1272" s="440">
        <v>0</v>
      </c>
      <c r="BF1272" s="440">
        <v>0</v>
      </c>
      <c r="BG1272" s="440">
        <v>0</v>
      </c>
      <c r="BH1272" s="440">
        <v>0</v>
      </c>
      <c r="BI1272" s="440">
        <v>0</v>
      </c>
      <c r="BJ1272" s="440">
        <v>0</v>
      </c>
      <c r="BK1272" s="440">
        <v>0</v>
      </c>
      <c r="BL1272" s="440">
        <v>0</v>
      </c>
      <c r="BM1272" s="440">
        <v>0</v>
      </c>
      <c r="BN1272" s="440">
        <v>0</v>
      </c>
      <c r="BO1272" s="440">
        <v>0</v>
      </c>
      <c r="BP1272" s="440">
        <v>0</v>
      </c>
      <c r="BQ1272" s="440">
        <v>0</v>
      </c>
      <c r="BR1272" s="415">
        <v>0</v>
      </c>
      <c r="BS1272" s="415">
        <v>0</v>
      </c>
      <c r="BT1272" s="935"/>
      <c r="BU1272" s="935"/>
      <c r="BV1272" s="935"/>
      <c r="BW1272" s="935"/>
      <c r="BX1272" s="935"/>
      <c r="BY1272" s="935"/>
      <c r="BZ1272" s="935"/>
      <c r="CA1272" s="935"/>
      <c r="CB1272" s="935"/>
      <c r="CC1272" s="935"/>
      <c r="CD1272" s="935"/>
      <c r="CE1272" s="935"/>
      <c r="CF1272" s="935"/>
      <c r="CG1272" s="935"/>
      <c r="CH1272" s="935"/>
      <c r="CI1272" s="935"/>
      <c r="CJ1272" s="935"/>
      <c r="CK1272" s="935"/>
      <c r="CL1272" s="935"/>
      <c r="CM1272" s="935"/>
      <c r="CN1272" s="935"/>
      <c r="CO1272" s="935"/>
      <c r="CP1272" s="935"/>
      <c r="CQ1272" s="935"/>
      <c r="CR1272" s="935"/>
      <c r="CS1272" s="935"/>
      <c r="CT1272" s="935"/>
      <c r="CU1272" s="935"/>
      <c r="CV1272" s="935"/>
    </row>
    <row r="1273" spans="1:100" s="441" customFormat="1">
      <c r="A1273" s="375">
        <f t="shared" si="340"/>
        <v>11</v>
      </c>
      <c r="B1273" s="862">
        <v>44517</v>
      </c>
      <c r="C1273" s="493" t="s">
        <v>2001</v>
      </c>
      <c r="D1273" s="376" t="str">
        <f>IFERROR(VLOOKUP(E:E,'Item Data Support Sheet'!A:O,7,0),"")</f>
        <v>NIPPLE PUNCH</v>
      </c>
      <c r="E1273" s="447" t="s">
        <v>82</v>
      </c>
      <c r="F1273" s="500"/>
      <c r="G1273" s="497" t="s">
        <v>1692</v>
      </c>
      <c r="H1273" s="602" t="str">
        <f>IFERROR(VLOOKUP(E:E,'Item Data Support Sheet'!A:O,2,0),"")</f>
        <v>NIPPLE S TYPE L SIZE PUNCHED</v>
      </c>
      <c r="I1273" s="501" t="s">
        <v>4053</v>
      </c>
      <c r="J1273" s="501" t="s">
        <v>2811</v>
      </c>
      <c r="K1273" s="499">
        <v>8</v>
      </c>
      <c r="L1273" s="499">
        <v>7000</v>
      </c>
      <c r="M1273" s="366">
        <v>875</v>
      </c>
      <c r="N1273" s="367">
        <f t="shared" si="339"/>
        <v>7000</v>
      </c>
      <c r="O1273" s="61">
        <v>7000</v>
      </c>
      <c r="P1273" s="368">
        <v>0</v>
      </c>
      <c r="Q1273" s="368">
        <v>0</v>
      </c>
      <c r="R1273" s="494">
        <v>0</v>
      </c>
      <c r="S1273" s="493">
        <v>0</v>
      </c>
      <c r="T1273" s="494">
        <v>0</v>
      </c>
      <c r="U1273" s="493">
        <v>0</v>
      </c>
      <c r="V1273" s="502">
        <v>1</v>
      </c>
      <c r="W1273" s="453">
        <f t="shared" si="341"/>
        <v>7000</v>
      </c>
      <c r="X1273" s="748">
        <f t="shared" si="342"/>
        <v>1</v>
      </c>
      <c r="Y1273" s="451" t="str">
        <f>IFERROR(VLOOKUP(E:E,'Item Data Support Sheet'!A:J,6,0),0)</f>
        <v>FO017</v>
      </c>
      <c r="Z1273" s="428">
        <f>IFERROR(VLOOKUP(E:E,'Item Data Support Sheet'!A:O,4,0),0)</f>
        <v>0</v>
      </c>
      <c r="AA1273" s="428">
        <f t="shared" si="343"/>
        <v>0</v>
      </c>
      <c r="AB1273" s="429" t="str">
        <f t="shared" si="344"/>
        <v xml:space="preserve"> </v>
      </c>
      <c r="AC1273" s="424">
        <f t="shared" si="345"/>
        <v>0</v>
      </c>
      <c r="AD1273" s="371">
        <f t="shared" si="346"/>
        <v>0</v>
      </c>
      <c r="AE1273" s="748">
        <f t="shared" si="347"/>
        <v>1</v>
      </c>
      <c r="AF1273" s="417">
        <f t="shared" si="348"/>
        <v>0.66666666666666663</v>
      </c>
      <c r="AG1273" s="416">
        <f t="shared" si="349"/>
        <v>7.333333333333333</v>
      </c>
      <c r="AH1273" s="372">
        <f t="shared" si="350"/>
        <v>0.91666666666666663</v>
      </c>
      <c r="AI1273" s="373">
        <f t="shared" si="351"/>
        <v>875</v>
      </c>
      <c r="AJ1273" s="418">
        <f>VLOOKUP(D1273,'Standard Cycle time'!C:D,2,0)</f>
        <v>3.5</v>
      </c>
      <c r="AK1273" s="418">
        <f t="shared" si="352"/>
        <v>3.7714285714285714</v>
      </c>
      <c r="AL1273" s="374">
        <f t="shared" si="353"/>
        <v>0.92803030303030309</v>
      </c>
      <c r="AM1273" s="372">
        <f t="shared" si="354"/>
        <v>0.85069444444444442</v>
      </c>
      <c r="AN1273" s="799">
        <v>0.85069444444444442</v>
      </c>
      <c r="AO1273" s="448"/>
      <c r="AP1273" s="440">
        <v>40</v>
      </c>
      <c r="AQ1273" s="440">
        <v>0</v>
      </c>
      <c r="AR1273" s="440">
        <v>0</v>
      </c>
      <c r="AS1273" s="440">
        <v>0</v>
      </c>
      <c r="AT1273" s="440">
        <v>0</v>
      </c>
      <c r="AU1273" s="440">
        <v>0</v>
      </c>
      <c r="AV1273" s="440">
        <v>0</v>
      </c>
      <c r="AW1273" s="440">
        <v>0</v>
      </c>
      <c r="AX1273" s="440">
        <v>0</v>
      </c>
      <c r="AY1273" s="440">
        <v>0</v>
      </c>
      <c r="AZ1273" s="440">
        <v>0</v>
      </c>
      <c r="BA1273" s="440">
        <v>0</v>
      </c>
      <c r="BB1273" s="440">
        <v>0</v>
      </c>
      <c r="BC1273" s="440">
        <v>0</v>
      </c>
      <c r="BD1273" s="440">
        <v>0</v>
      </c>
      <c r="BE1273" s="440">
        <v>0</v>
      </c>
      <c r="BF1273" s="440">
        <v>0</v>
      </c>
      <c r="BG1273" s="440">
        <v>0</v>
      </c>
      <c r="BH1273" s="440">
        <v>0</v>
      </c>
      <c r="BI1273" s="440">
        <v>0</v>
      </c>
      <c r="BJ1273" s="440">
        <v>0</v>
      </c>
      <c r="BK1273" s="440">
        <v>0</v>
      </c>
      <c r="BL1273" s="440">
        <v>0</v>
      </c>
      <c r="BM1273" s="440">
        <v>0</v>
      </c>
      <c r="BN1273" s="440">
        <v>0</v>
      </c>
      <c r="BO1273" s="440">
        <v>0</v>
      </c>
      <c r="BP1273" s="440">
        <v>0</v>
      </c>
      <c r="BQ1273" s="440">
        <v>0</v>
      </c>
      <c r="BR1273" s="415">
        <v>0.66666666666666663</v>
      </c>
      <c r="BS1273" s="415">
        <v>0.66666666666666663</v>
      </c>
      <c r="BT1273" s="935"/>
      <c r="BU1273" s="935"/>
      <c r="BV1273" s="935"/>
      <c r="BW1273" s="935"/>
      <c r="BX1273" s="935"/>
      <c r="BY1273" s="935"/>
      <c r="BZ1273" s="935"/>
      <c r="CA1273" s="935"/>
      <c r="CB1273" s="935"/>
      <c r="CC1273" s="935"/>
      <c r="CD1273" s="935"/>
      <c r="CE1273" s="935"/>
      <c r="CF1273" s="935"/>
      <c r="CG1273" s="935"/>
      <c r="CH1273" s="935"/>
      <c r="CI1273" s="935"/>
      <c r="CJ1273" s="935"/>
      <c r="CK1273" s="935"/>
      <c r="CL1273" s="935"/>
      <c r="CM1273" s="935"/>
      <c r="CN1273" s="935"/>
      <c r="CO1273" s="935"/>
      <c r="CP1273" s="935"/>
      <c r="CQ1273" s="935"/>
      <c r="CR1273" s="935"/>
      <c r="CS1273" s="935"/>
      <c r="CT1273" s="935"/>
      <c r="CU1273" s="935"/>
      <c r="CV1273" s="935"/>
    </row>
    <row r="1274" spans="1:100" s="441" customFormat="1">
      <c r="A1274" s="375">
        <f t="shared" si="340"/>
        <v>11</v>
      </c>
      <c r="B1274" s="862">
        <v>44517</v>
      </c>
      <c r="C1274" s="493" t="s">
        <v>2001</v>
      </c>
      <c r="D1274" s="376" t="str">
        <f>IFERROR(VLOOKUP(E:E,'Item Data Support Sheet'!A:O,7,0),"")</f>
        <v>NIPPLE LASER MARKING</v>
      </c>
      <c r="E1274" s="447" t="s">
        <v>1816</v>
      </c>
      <c r="F1274" s="500"/>
      <c r="G1274" s="497" t="s">
        <v>1812</v>
      </c>
      <c r="H1274" s="602" t="str">
        <f>IFERROR(VLOOKUP(E:E,'Item Data Support Sheet'!A:O,2,0),"")</f>
        <v>NIPPLE S TYPE L SIZE PUNCHED LASER MARKED</v>
      </c>
      <c r="I1274" s="501" t="s">
        <v>4045</v>
      </c>
      <c r="J1274" s="501" t="s">
        <v>2811</v>
      </c>
      <c r="K1274" s="499">
        <v>8</v>
      </c>
      <c r="L1274" s="499">
        <v>7000</v>
      </c>
      <c r="M1274" s="366">
        <v>875</v>
      </c>
      <c r="N1274" s="367">
        <f t="shared" si="339"/>
        <v>7000</v>
      </c>
      <c r="O1274" s="61">
        <v>7000</v>
      </c>
      <c r="P1274" s="368">
        <v>0</v>
      </c>
      <c r="Q1274" s="368">
        <v>0</v>
      </c>
      <c r="R1274" s="494">
        <v>0</v>
      </c>
      <c r="S1274" s="493">
        <v>0</v>
      </c>
      <c r="T1274" s="494">
        <v>0</v>
      </c>
      <c r="U1274" s="493">
        <v>0</v>
      </c>
      <c r="V1274" s="502">
        <v>1</v>
      </c>
      <c r="W1274" s="453">
        <f t="shared" si="341"/>
        <v>7000</v>
      </c>
      <c r="X1274" s="748">
        <f t="shared" si="342"/>
        <v>1</v>
      </c>
      <c r="Y1274" s="451" t="str">
        <f>IFERROR(VLOOKUP(E:E,'Item Data Support Sheet'!A:J,6,0),0)</f>
        <v>FO021</v>
      </c>
      <c r="Z1274" s="428">
        <f>IFERROR(VLOOKUP(E:E,'Item Data Support Sheet'!A:O,4,0),0)</f>
        <v>0</v>
      </c>
      <c r="AA1274" s="428">
        <f t="shared" si="343"/>
        <v>0</v>
      </c>
      <c r="AB1274" s="429" t="str">
        <f t="shared" si="344"/>
        <v xml:space="preserve"> </v>
      </c>
      <c r="AC1274" s="424">
        <f t="shared" si="345"/>
        <v>0</v>
      </c>
      <c r="AD1274" s="371">
        <f t="shared" si="346"/>
        <v>0</v>
      </c>
      <c r="AE1274" s="748">
        <f t="shared" si="347"/>
        <v>1</v>
      </c>
      <c r="AF1274" s="417">
        <f t="shared" si="348"/>
        <v>0.66666666666666663</v>
      </c>
      <c r="AG1274" s="416">
        <f t="shared" si="349"/>
        <v>7.333333333333333</v>
      </c>
      <c r="AH1274" s="372">
        <f t="shared" si="350"/>
        <v>0.91666666666666663</v>
      </c>
      <c r="AI1274" s="373">
        <f t="shared" si="351"/>
        <v>875</v>
      </c>
      <c r="AJ1274" s="418">
        <f>VLOOKUP(D1274,'Standard Cycle time'!C:D,2,0)</f>
        <v>3.5</v>
      </c>
      <c r="AK1274" s="418">
        <f t="shared" si="352"/>
        <v>3.7714285714285714</v>
      </c>
      <c r="AL1274" s="374">
        <f t="shared" si="353"/>
        <v>0.92803030303030309</v>
      </c>
      <c r="AM1274" s="372">
        <f t="shared" si="354"/>
        <v>0.85069444444444442</v>
      </c>
      <c r="AN1274" s="799">
        <v>0.85069444444444442</v>
      </c>
      <c r="AO1274" s="448"/>
      <c r="AP1274" s="440">
        <v>40</v>
      </c>
      <c r="AQ1274" s="440">
        <v>0</v>
      </c>
      <c r="AR1274" s="440">
        <v>0</v>
      </c>
      <c r="AS1274" s="440">
        <v>0</v>
      </c>
      <c r="AT1274" s="440">
        <v>0</v>
      </c>
      <c r="AU1274" s="440">
        <v>0</v>
      </c>
      <c r="AV1274" s="440">
        <v>0</v>
      </c>
      <c r="AW1274" s="440">
        <v>0</v>
      </c>
      <c r="AX1274" s="440">
        <v>0</v>
      </c>
      <c r="AY1274" s="440">
        <v>0</v>
      </c>
      <c r="AZ1274" s="440">
        <v>0</v>
      </c>
      <c r="BA1274" s="440">
        <v>0</v>
      </c>
      <c r="BB1274" s="440">
        <v>0</v>
      </c>
      <c r="BC1274" s="440">
        <v>0</v>
      </c>
      <c r="BD1274" s="440">
        <v>0</v>
      </c>
      <c r="BE1274" s="440">
        <v>0</v>
      </c>
      <c r="BF1274" s="440">
        <v>0</v>
      </c>
      <c r="BG1274" s="440">
        <v>0</v>
      </c>
      <c r="BH1274" s="440">
        <v>0</v>
      </c>
      <c r="BI1274" s="440">
        <v>0</v>
      </c>
      <c r="BJ1274" s="440">
        <v>0</v>
      </c>
      <c r="BK1274" s="440">
        <v>0</v>
      </c>
      <c r="BL1274" s="440">
        <v>0</v>
      </c>
      <c r="BM1274" s="440">
        <v>0</v>
      </c>
      <c r="BN1274" s="440">
        <v>0</v>
      </c>
      <c r="BO1274" s="440">
        <v>0</v>
      </c>
      <c r="BP1274" s="440">
        <v>0</v>
      </c>
      <c r="BQ1274" s="440">
        <v>0</v>
      </c>
      <c r="BR1274" s="415">
        <v>0.66666666666666663</v>
      </c>
      <c r="BS1274" s="415">
        <v>0.66666666666666663</v>
      </c>
      <c r="BT1274" s="935"/>
      <c r="BU1274" s="935"/>
      <c r="BV1274" s="935"/>
      <c r="BW1274" s="935"/>
      <c r="BX1274" s="935"/>
      <c r="BY1274" s="935"/>
      <c r="BZ1274" s="935"/>
      <c r="CA1274" s="935"/>
      <c r="CB1274" s="935"/>
      <c r="CC1274" s="935"/>
      <c r="CD1274" s="935"/>
      <c r="CE1274" s="935"/>
      <c r="CF1274" s="935"/>
      <c r="CG1274" s="935"/>
      <c r="CH1274" s="935"/>
      <c r="CI1274" s="935"/>
      <c r="CJ1274" s="935"/>
      <c r="CK1274" s="935"/>
      <c r="CL1274" s="935"/>
      <c r="CM1274" s="935"/>
      <c r="CN1274" s="935"/>
      <c r="CO1274" s="935"/>
      <c r="CP1274" s="935"/>
      <c r="CQ1274" s="935"/>
      <c r="CR1274" s="935"/>
      <c r="CS1274" s="935"/>
      <c r="CT1274" s="935"/>
      <c r="CU1274" s="935"/>
      <c r="CV1274" s="935"/>
    </row>
    <row r="1275" spans="1:100" s="441" customFormat="1">
      <c r="A1275" s="375">
        <f t="shared" si="340"/>
        <v>11</v>
      </c>
      <c r="B1275" s="862">
        <v>44517</v>
      </c>
      <c r="C1275" s="493" t="s">
        <v>2001</v>
      </c>
      <c r="D1275" s="376" t="str">
        <f>IFERROR(VLOOKUP(E:E,'Item Data Support Sheet'!A:O,7,0),"")</f>
        <v>BOTTLE PRINTED</v>
      </c>
      <c r="E1275" s="447" t="s">
        <v>64</v>
      </c>
      <c r="F1275" s="500"/>
      <c r="G1275" s="497"/>
      <c r="H1275" s="602" t="str">
        <f>IFERROR(VLOOKUP(E:E,'Item Data Support Sheet'!A:O,2,0),"")</f>
        <v>KPP 240 ML BOTTLE PRINTED</v>
      </c>
      <c r="I1275" s="501" t="s">
        <v>4054</v>
      </c>
      <c r="J1275" s="501" t="s">
        <v>2811</v>
      </c>
      <c r="K1275" s="499">
        <v>8</v>
      </c>
      <c r="L1275" s="499">
        <v>5100</v>
      </c>
      <c r="M1275" s="366">
        <v>637.5</v>
      </c>
      <c r="N1275" s="367">
        <f t="shared" si="339"/>
        <v>5216</v>
      </c>
      <c r="O1275" s="61">
        <v>5184</v>
      </c>
      <c r="P1275" s="368">
        <v>0</v>
      </c>
      <c r="Q1275" s="368">
        <v>0</v>
      </c>
      <c r="R1275" s="494">
        <v>51</v>
      </c>
      <c r="S1275" s="493">
        <v>0</v>
      </c>
      <c r="T1275" s="494">
        <v>32</v>
      </c>
      <c r="U1275" s="493"/>
      <c r="V1275" s="502">
        <v>5</v>
      </c>
      <c r="W1275" s="453">
        <f t="shared" si="341"/>
        <v>1036.8</v>
      </c>
      <c r="X1275" s="748">
        <f t="shared" si="342"/>
        <v>1.016470588235294</v>
      </c>
      <c r="Y1275" s="451" t="str">
        <f>IFERROR(VLOOKUP(E:E,'Item Data Support Sheet'!A:J,6,0),0)</f>
        <v>FO003</v>
      </c>
      <c r="Z1275" s="428">
        <f>IFERROR(VLOOKUP(E:E,'Item Data Support Sheet'!A:O,4,0),0)</f>
        <v>0</v>
      </c>
      <c r="AA1275" s="428">
        <f t="shared" si="343"/>
        <v>0</v>
      </c>
      <c r="AB1275" s="429" t="str">
        <f t="shared" si="344"/>
        <v xml:space="preserve"> </v>
      </c>
      <c r="AC1275" s="424">
        <f t="shared" si="345"/>
        <v>6.1349693251533744E-3</v>
      </c>
      <c r="AD1275" s="371">
        <f t="shared" si="346"/>
        <v>0</v>
      </c>
      <c r="AE1275" s="748">
        <f t="shared" si="347"/>
        <v>0.99386503067484666</v>
      </c>
      <c r="AF1275" s="417">
        <f t="shared" si="348"/>
        <v>0.66666666666666663</v>
      </c>
      <c r="AG1275" s="416">
        <f t="shared" si="349"/>
        <v>7.333333333333333</v>
      </c>
      <c r="AH1275" s="372">
        <f t="shared" si="350"/>
        <v>0.91666666666666663</v>
      </c>
      <c r="AI1275" s="373">
        <f t="shared" si="351"/>
        <v>648</v>
      </c>
      <c r="AJ1275" s="418">
        <f>VLOOKUP(D1275,'Standard Cycle time'!C:D,2,0)</f>
        <v>32.4</v>
      </c>
      <c r="AK1275" s="418">
        <f t="shared" si="352"/>
        <v>25.462962962962962</v>
      </c>
      <c r="AL1275" s="374">
        <f t="shared" si="353"/>
        <v>1.2724363636363636</v>
      </c>
      <c r="AM1275" s="372">
        <f t="shared" si="354"/>
        <v>1.1592441717791411</v>
      </c>
      <c r="AN1275" s="799">
        <v>1.1592441717791411</v>
      </c>
      <c r="AO1275" s="448"/>
      <c r="AP1275" s="440">
        <v>40</v>
      </c>
      <c r="AQ1275" s="440">
        <v>0</v>
      </c>
      <c r="AR1275" s="440">
        <v>0</v>
      </c>
      <c r="AS1275" s="440">
        <v>0</v>
      </c>
      <c r="AT1275" s="440">
        <v>0</v>
      </c>
      <c r="AU1275" s="440">
        <v>0</v>
      </c>
      <c r="AV1275" s="440">
        <v>0</v>
      </c>
      <c r="AW1275" s="440">
        <v>0</v>
      </c>
      <c r="AX1275" s="440">
        <v>0</v>
      </c>
      <c r="AY1275" s="440">
        <v>0</v>
      </c>
      <c r="AZ1275" s="440">
        <v>0</v>
      </c>
      <c r="BA1275" s="440">
        <v>0</v>
      </c>
      <c r="BB1275" s="440">
        <v>0</v>
      </c>
      <c r="BC1275" s="440">
        <v>0</v>
      </c>
      <c r="BD1275" s="440">
        <v>0</v>
      </c>
      <c r="BE1275" s="440">
        <v>0</v>
      </c>
      <c r="BF1275" s="440">
        <v>0</v>
      </c>
      <c r="BG1275" s="440">
        <v>0</v>
      </c>
      <c r="BH1275" s="440">
        <v>0</v>
      </c>
      <c r="BI1275" s="440">
        <v>0</v>
      </c>
      <c r="BJ1275" s="440">
        <v>0</v>
      </c>
      <c r="BK1275" s="440">
        <v>0</v>
      </c>
      <c r="BL1275" s="440">
        <v>0</v>
      </c>
      <c r="BM1275" s="440">
        <v>0</v>
      </c>
      <c r="BN1275" s="440">
        <v>0</v>
      </c>
      <c r="BO1275" s="440">
        <v>0</v>
      </c>
      <c r="BP1275" s="440">
        <v>0</v>
      </c>
      <c r="BQ1275" s="440">
        <v>0</v>
      </c>
      <c r="BR1275" s="415">
        <v>0.66666666666666663</v>
      </c>
      <c r="BS1275" s="415">
        <v>0.66666666666666663</v>
      </c>
      <c r="BT1275" s="935"/>
      <c r="BU1275" s="935"/>
      <c r="BV1275" s="935"/>
      <c r="BW1275" s="935"/>
      <c r="BX1275" s="935"/>
      <c r="BY1275" s="935"/>
      <c r="BZ1275" s="935"/>
      <c r="CA1275" s="935"/>
      <c r="CB1275" s="935"/>
      <c r="CC1275" s="935"/>
      <c r="CD1275" s="935"/>
      <c r="CE1275" s="935"/>
      <c r="CF1275" s="935"/>
      <c r="CG1275" s="935"/>
      <c r="CH1275" s="935"/>
      <c r="CI1275" s="935"/>
      <c r="CJ1275" s="935"/>
      <c r="CK1275" s="935"/>
      <c r="CL1275" s="935"/>
      <c r="CM1275" s="935"/>
      <c r="CN1275" s="935"/>
      <c r="CO1275" s="935"/>
      <c r="CP1275" s="935"/>
      <c r="CQ1275" s="935"/>
      <c r="CR1275" s="935"/>
      <c r="CS1275" s="935"/>
      <c r="CT1275" s="935"/>
      <c r="CU1275" s="935"/>
      <c r="CV1275" s="935"/>
    </row>
    <row r="1276" spans="1:100" s="441" customFormat="1">
      <c r="A1276" s="375">
        <f t="shared" si="340"/>
        <v>11</v>
      </c>
      <c r="B1276" s="862">
        <v>44517</v>
      </c>
      <c r="C1276" s="493" t="s">
        <v>2001</v>
      </c>
      <c r="D1276" s="376" t="str">
        <f>IFERROR(VLOOKUP(E:E,'Item Data Support Sheet'!A:O,7,0),"")</f>
        <v>NIPPLE MOLDED</v>
      </c>
      <c r="E1276" s="447" t="s">
        <v>73</v>
      </c>
      <c r="F1276" s="500" t="s">
        <v>1677</v>
      </c>
      <c r="G1276" s="497" t="s">
        <v>1690</v>
      </c>
      <c r="H1276" s="602" t="str">
        <f>IFERROR(VLOOKUP(E:E,'Item Data Support Sheet'!A:O,2,0),"")</f>
        <v>NIPPLE S TYPE M SIZE INJECTION</v>
      </c>
      <c r="I1276" s="501" t="s">
        <v>4050</v>
      </c>
      <c r="J1276" s="501" t="s">
        <v>2811</v>
      </c>
      <c r="K1276" s="499">
        <v>8</v>
      </c>
      <c r="L1276" s="499">
        <v>4815</v>
      </c>
      <c r="M1276" s="366">
        <v>601.875</v>
      </c>
      <c r="N1276" s="367">
        <f t="shared" si="339"/>
        <v>6442</v>
      </c>
      <c r="O1276" s="61">
        <v>6000</v>
      </c>
      <c r="P1276" s="368">
        <v>0</v>
      </c>
      <c r="Q1276" s="368">
        <v>282</v>
      </c>
      <c r="R1276" s="494">
        <v>0</v>
      </c>
      <c r="S1276" s="493">
        <v>0</v>
      </c>
      <c r="T1276" s="494">
        <v>142</v>
      </c>
      <c r="U1276" s="493">
        <v>18</v>
      </c>
      <c r="V1276" s="502">
        <v>1</v>
      </c>
      <c r="W1276" s="453">
        <f t="shared" si="341"/>
        <v>6000</v>
      </c>
      <c r="X1276" s="748">
        <f t="shared" si="342"/>
        <v>1.2461059190031152</v>
      </c>
      <c r="Y1276" s="451" t="str">
        <f>IFERROR(VLOOKUP(E:E,'Item Data Support Sheet'!A:J,6,0),0)</f>
        <v>Silicon</v>
      </c>
      <c r="Z1276" s="428">
        <f>IFERROR(VLOOKUP(E:E,'Item Data Support Sheet'!A:O,4,0),0)</f>
        <v>6.8</v>
      </c>
      <c r="AA1276" s="428">
        <f t="shared" si="343"/>
        <v>43.805599999999998</v>
      </c>
      <c r="AB1276" s="429">
        <f t="shared" si="344"/>
        <v>0.93138776777398324</v>
      </c>
      <c r="AC1276" s="424">
        <f t="shared" si="345"/>
        <v>2.3119505047215889E-2</v>
      </c>
      <c r="AD1276" s="371">
        <f t="shared" si="346"/>
        <v>4.1939321832242714E-2</v>
      </c>
      <c r="AE1276" s="748">
        <f t="shared" si="347"/>
        <v>0.97795715616268242</v>
      </c>
      <c r="AF1276" s="417">
        <f t="shared" si="348"/>
        <v>0</v>
      </c>
      <c r="AG1276" s="416">
        <f t="shared" si="349"/>
        <v>8</v>
      </c>
      <c r="AH1276" s="372">
        <f t="shared" si="350"/>
        <v>1</v>
      </c>
      <c r="AI1276" s="373">
        <f t="shared" si="351"/>
        <v>750</v>
      </c>
      <c r="AJ1276" s="418">
        <f>VLOOKUP(D1276,'Standard Cycle time'!C:D,2,0)</f>
        <v>5.25</v>
      </c>
      <c r="AK1276" s="418">
        <f t="shared" si="352"/>
        <v>4.8</v>
      </c>
      <c r="AL1276" s="374">
        <f t="shared" si="353"/>
        <v>1.09375</v>
      </c>
      <c r="AM1276" s="372">
        <f t="shared" si="354"/>
        <v>1.0696406395529339</v>
      </c>
      <c r="AN1276" s="799">
        <v>1.0696406395529339</v>
      </c>
      <c r="AO1276" s="448" t="s">
        <v>4055</v>
      </c>
      <c r="AP1276" s="440"/>
      <c r="AQ1276" s="440"/>
      <c r="AR1276" s="440"/>
      <c r="AS1276" s="440"/>
      <c r="AT1276" s="440"/>
      <c r="AU1276" s="440"/>
      <c r="AV1276" s="440"/>
      <c r="AW1276" s="440"/>
      <c r="AX1276" s="440"/>
      <c r="AY1276" s="440"/>
      <c r="AZ1276" s="440"/>
      <c r="BA1276" s="440"/>
      <c r="BB1276" s="440"/>
      <c r="BC1276" s="440"/>
      <c r="BD1276" s="440"/>
      <c r="BE1276" s="440"/>
      <c r="BF1276" s="440"/>
      <c r="BG1276" s="440"/>
      <c r="BH1276" s="440"/>
      <c r="BI1276" s="440"/>
      <c r="BJ1276" s="440"/>
      <c r="BK1276" s="440"/>
      <c r="BL1276" s="440"/>
      <c r="BM1276" s="440"/>
      <c r="BN1276" s="440"/>
      <c r="BO1276" s="440"/>
      <c r="BP1276" s="440"/>
      <c r="BQ1276" s="440"/>
      <c r="BR1276" s="415"/>
      <c r="BS1276" s="415"/>
      <c r="BT1276" s="935"/>
      <c r="BU1276" s="935"/>
      <c r="BV1276" s="935"/>
      <c r="BW1276" s="935"/>
      <c r="BX1276" s="935"/>
      <c r="BY1276" s="935"/>
      <c r="BZ1276" s="935"/>
      <c r="CA1276" s="935"/>
      <c r="CB1276" s="935"/>
      <c r="CC1276" s="935"/>
      <c r="CD1276" s="935"/>
      <c r="CE1276" s="935"/>
      <c r="CF1276" s="935"/>
      <c r="CG1276" s="935"/>
      <c r="CH1276" s="935"/>
      <c r="CI1276" s="935"/>
      <c r="CJ1276" s="935"/>
      <c r="CK1276" s="935"/>
      <c r="CL1276" s="935"/>
      <c r="CM1276" s="935"/>
      <c r="CN1276" s="935"/>
      <c r="CO1276" s="935"/>
      <c r="CP1276" s="935"/>
      <c r="CQ1276" s="935"/>
      <c r="CR1276" s="935"/>
      <c r="CS1276" s="935"/>
      <c r="CT1276" s="935"/>
      <c r="CU1276" s="935"/>
      <c r="CV1276" s="935"/>
    </row>
    <row r="1277" spans="1:100" s="441" customFormat="1">
      <c r="A1277" s="375">
        <f t="shared" si="340"/>
        <v>11</v>
      </c>
      <c r="B1277" s="862">
        <v>44517</v>
      </c>
      <c r="C1277" s="493" t="s">
        <v>2053</v>
      </c>
      <c r="D1277" s="376" t="str">
        <f>IFERROR(VLOOKUP(E:E,'Item Data Support Sheet'!A:O,7,0),"")</f>
        <v>BOTTLE MOLDED</v>
      </c>
      <c r="E1277" s="447" t="s">
        <v>67</v>
      </c>
      <c r="F1277" s="500" t="s">
        <v>1682</v>
      </c>
      <c r="G1277" s="497" t="s">
        <v>1665</v>
      </c>
      <c r="H1277" s="602" t="str">
        <f>IFERROR(VLOOKUP(E:E,'Item Data Support Sheet'!A:O,2,0),"")</f>
        <v>RPP 120 ML BOTTLE MOLDED</v>
      </c>
      <c r="I1277" s="501" t="s">
        <v>4056</v>
      </c>
      <c r="J1277" s="501" t="s">
        <v>3895</v>
      </c>
      <c r="K1277" s="499">
        <v>8</v>
      </c>
      <c r="L1277" s="499">
        <v>2574</v>
      </c>
      <c r="M1277" s="366">
        <v>321.75</v>
      </c>
      <c r="N1277" s="367">
        <f t="shared" si="339"/>
        <v>3115</v>
      </c>
      <c r="O1277" s="61">
        <v>3060</v>
      </c>
      <c r="P1277" s="368">
        <v>0.2</v>
      </c>
      <c r="Q1277" s="368">
        <v>0</v>
      </c>
      <c r="R1277" s="494">
        <v>0</v>
      </c>
      <c r="S1277" s="493">
        <v>0</v>
      </c>
      <c r="T1277" s="494">
        <v>47</v>
      </c>
      <c r="U1277" s="493">
        <v>8</v>
      </c>
      <c r="V1277" s="502">
        <v>1</v>
      </c>
      <c r="W1277" s="453">
        <f t="shared" si="341"/>
        <v>3060</v>
      </c>
      <c r="X1277" s="748">
        <f t="shared" si="342"/>
        <v>1.1888111888111887</v>
      </c>
      <c r="Y1277" s="451" t="str">
        <f>IFERROR(VLOOKUP(E:E,'Item Data Support Sheet'!A:J,6,0),0)</f>
        <v>HMC</v>
      </c>
      <c r="Z1277" s="428">
        <f>IFERROR(VLOOKUP(E:E,'Item Data Support Sheet'!A:O,4,0),0)</f>
        <v>21.3</v>
      </c>
      <c r="AA1277" s="428">
        <f t="shared" si="343"/>
        <v>66.549499999999995</v>
      </c>
      <c r="AB1277" s="429">
        <f t="shared" si="344"/>
        <v>0.9793912801749074</v>
      </c>
      <c r="AC1277" s="424">
        <f t="shared" si="345"/>
        <v>1.5127132281943997E-2</v>
      </c>
      <c r="AD1277" s="371">
        <f t="shared" si="346"/>
        <v>0</v>
      </c>
      <c r="AE1277" s="748">
        <f t="shared" si="347"/>
        <v>0.98491171749598716</v>
      </c>
      <c r="AF1277" s="417">
        <f t="shared" si="348"/>
        <v>0</v>
      </c>
      <c r="AG1277" s="416">
        <f t="shared" si="349"/>
        <v>8</v>
      </c>
      <c r="AH1277" s="372">
        <f t="shared" si="350"/>
        <v>1</v>
      </c>
      <c r="AI1277" s="373">
        <f t="shared" si="351"/>
        <v>382.5</v>
      </c>
      <c r="AJ1277" s="418">
        <f>VLOOKUP(D1277,'Standard Cycle time'!C:D,2,0)</f>
        <v>9</v>
      </c>
      <c r="AK1277" s="418">
        <f t="shared" si="352"/>
        <v>9.4117647058823533</v>
      </c>
      <c r="AL1277" s="374">
        <f t="shared" si="353"/>
        <v>0.95624999999999993</v>
      </c>
      <c r="AM1277" s="372">
        <f t="shared" si="354"/>
        <v>0.94182182985553764</v>
      </c>
      <c r="AN1277" s="799">
        <v>0.94182182985553764</v>
      </c>
      <c r="AO1277" s="448"/>
      <c r="AP1277" s="440">
        <v>0</v>
      </c>
      <c r="AQ1277" s="440">
        <v>0</v>
      </c>
      <c r="AR1277" s="440">
        <v>0</v>
      </c>
      <c r="AS1277" s="440">
        <v>0</v>
      </c>
      <c r="AT1277" s="440">
        <v>0</v>
      </c>
      <c r="AU1277" s="440">
        <v>0</v>
      </c>
      <c r="AV1277" s="440">
        <v>0</v>
      </c>
      <c r="AW1277" s="440">
        <v>0</v>
      </c>
      <c r="AX1277" s="440">
        <v>0</v>
      </c>
      <c r="AY1277" s="440">
        <v>0</v>
      </c>
      <c r="AZ1277" s="440">
        <v>0</v>
      </c>
      <c r="BA1277" s="440">
        <v>0</v>
      </c>
      <c r="BB1277" s="440">
        <v>0</v>
      </c>
      <c r="BC1277" s="440">
        <v>0</v>
      </c>
      <c r="BD1277" s="440">
        <v>0</v>
      </c>
      <c r="BE1277" s="440">
        <v>0</v>
      </c>
      <c r="BF1277" s="440">
        <v>0</v>
      </c>
      <c r="BG1277" s="440">
        <v>0</v>
      </c>
      <c r="BH1277" s="440">
        <v>0</v>
      </c>
      <c r="BI1277" s="440">
        <v>0</v>
      </c>
      <c r="BJ1277" s="440">
        <v>0</v>
      </c>
      <c r="BK1277" s="440">
        <v>0</v>
      </c>
      <c r="BL1277" s="440">
        <v>0</v>
      </c>
      <c r="BM1277" s="440">
        <v>0</v>
      </c>
      <c r="BN1277" s="440">
        <v>0</v>
      </c>
      <c r="BO1277" s="440">
        <v>0</v>
      </c>
      <c r="BP1277" s="440">
        <v>0</v>
      </c>
      <c r="BQ1277" s="440">
        <v>0</v>
      </c>
      <c r="BR1277" s="415">
        <v>0</v>
      </c>
      <c r="BS1277" s="415">
        <v>0</v>
      </c>
      <c r="BT1277" s="935"/>
      <c r="BU1277" s="935"/>
      <c r="BV1277" s="935"/>
      <c r="BW1277" s="935"/>
      <c r="BX1277" s="935"/>
      <c r="BY1277" s="935"/>
      <c r="BZ1277" s="935"/>
      <c r="CA1277" s="935"/>
      <c r="CB1277" s="935"/>
      <c r="CC1277" s="935"/>
      <c r="CD1277" s="935"/>
      <c r="CE1277" s="935"/>
      <c r="CF1277" s="935"/>
      <c r="CG1277" s="935"/>
      <c r="CH1277" s="935"/>
      <c r="CI1277" s="935"/>
      <c r="CJ1277" s="935"/>
      <c r="CK1277" s="935"/>
      <c r="CL1277" s="935"/>
      <c r="CM1277" s="935"/>
      <c r="CN1277" s="935"/>
      <c r="CO1277" s="935"/>
      <c r="CP1277" s="935"/>
      <c r="CQ1277" s="935"/>
      <c r="CR1277" s="935"/>
      <c r="CS1277" s="935"/>
      <c r="CT1277" s="935"/>
      <c r="CU1277" s="935"/>
      <c r="CV1277" s="935"/>
    </row>
    <row r="1278" spans="1:100" s="441" customFormat="1">
      <c r="A1278" s="375">
        <f t="shared" si="340"/>
        <v>11</v>
      </c>
      <c r="B1278" s="862">
        <v>44517</v>
      </c>
      <c r="C1278" s="493" t="s">
        <v>2053</v>
      </c>
      <c r="D1278" s="376" t="str">
        <f>IFERROR(VLOOKUP(E:E,'Item Data Support Sheet'!A:O,7,0),"")</f>
        <v>HOOD MOLDED</v>
      </c>
      <c r="E1278" s="447" t="s">
        <v>1987</v>
      </c>
      <c r="F1278" s="500"/>
      <c r="G1278" s="497" t="s">
        <v>2729</v>
      </c>
      <c r="H1278" s="602" t="str">
        <f>IFERROR(VLOOKUP(E:E,'Item Data Support Sheet'!A:O,2,0),"")</f>
        <v>HOOD S TYPE MOLDED</v>
      </c>
      <c r="I1278" s="501" t="s">
        <v>4057</v>
      </c>
      <c r="J1278" s="501" t="s">
        <v>3895</v>
      </c>
      <c r="K1278" s="499">
        <v>8</v>
      </c>
      <c r="L1278" s="499">
        <v>4137</v>
      </c>
      <c r="M1278" s="366">
        <v>517.125</v>
      </c>
      <c r="N1278" s="367">
        <f t="shared" si="339"/>
        <v>5538</v>
      </c>
      <c r="O1278" s="61">
        <v>5500</v>
      </c>
      <c r="P1278" s="368">
        <v>0</v>
      </c>
      <c r="Q1278" s="368">
        <v>18</v>
      </c>
      <c r="R1278" s="494">
        <v>0</v>
      </c>
      <c r="S1278" s="493">
        <v>0</v>
      </c>
      <c r="T1278" s="494">
        <v>12</v>
      </c>
      <c r="U1278" s="493">
        <v>8</v>
      </c>
      <c r="V1278" s="502">
        <v>1</v>
      </c>
      <c r="W1278" s="453">
        <f t="shared" si="341"/>
        <v>5500</v>
      </c>
      <c r="X1278" s="748">
        <f t="shared" si="342"/>
        <v>1.3294657964708727</v>
      </c>
      <c r="Y1278" s="451" t="str">
        <f>IFERROR(VLOOKUP(E:E,'Item Data Support Sheet'!A:J,6,0),0)</f>
        <v>HMC</v>
      </c>
      <c r="Z1278" s="428">
        <f>IFERROR(VLOOKUP(E:E,'Item Data Support Sheet'!A:O,4,0),0)</f>
        <v>8.6</v>
      </c>
      <c r="AA1278" s="428">
        <f t="shared" si="343"/>
        <v>47.626800000000003</v>
      </c>
      <c r="AB1278" s="429">
        <f t="shared" si="344"/>
        <v>0.99313831708197897</v>
      </c>
      <c r="AC1278" s="424">
        <f t="shared" si="345"/>
        <v>2.1770682148040637E-3</v>
      </c>
      <c r="AD1278" s="371">
        <f t="shared" si="346"/>
        <v>3.2397408207343412E-3</v>
      </c>
      <c r="AE1278" s="748">
        <f t="shared" si="347"/>
        <v>0.99783315276273021</v>
      </c>
      <c r="AF1278" s="417">
        <f t="shared" si="348"/>
        <v>0</v>
      </c>
      <c r="AG1278" s="416">
        <f t="shared" si="349"/>
        <v>8</v>
      </c>
      <c r="AH1278" s="372">
        <f t="shared" si="350"/>
        <v>1</v>
      </c>
      <c r="AI1278" s="373">
        <f t="shared" si="351"/>
        <v>687.5</v>
      </c>
      <c r="AJ1278" s="418">
        <f>VLOOKUP(D1278,'Standard Cycle time'!C:D,2,0)</f>
        <v>6</v>
      </c>
      <c r="AK1278" s="418">
        <f t="shared" si="352"/>
        <v>5.2363636363636363</v>
      </c>
      <c r="AL1278" s="374">
        <f t="shared" si="353"/>
        <v>1.1458333333333333</v>
      </c>
      <c r="AM1278" s="372">
        <f t="shared" si="354"/>
        <v>1.1433504875406284</v>
      </c>
      <c r="AN1278" s="799">
        <v>1.1433504875406284</v>
      </c>
      <c r="AO1278" s="448"/>
      <c r="AP1278" s="440">
        <v>0</v>
      </c>
      <c r="AQ1278" s="440">
        <v>0</v>
      </c>
      <c r="AR1278" s="440">
        <v>0</v>
      </c>
      <c r="AS1278" s="440">
        <v>0</v>
      </c>
      <c r="AT1278" s="440">
        <v>0</v>
      </c>
      <c r="AU1278" s="440">
        <v>0</v>
      </c>
      <c r="AV1278" s="440">
        <v>0</v>
      </c>
      <c r="AW1278" s="440">
        <v>0</v>
      </c>
      <c r="AX1278" s="440">
        <v>0</v>
      </c>
      <c r="AY1278" s="440">
        <v>0</v>
      </c>
      <c r="AZ1278" s="440">
        <v>0</v>
      </c>
      <c r="BA1278" s="440">
        <v>0</v>
      </c>
      <c r="BB1278" s="440">
        <v>0</v>
      </c>
      <c r="BC1278" s="440">
        <v>0</v>
      </c>
      <c r="BD1278" s="440">
        <v>0</v>
      </c>
      <c r="BE1278" s="440">
        <v>0</v>
      </c>
      <c r="BF1278" s="440">
        <v>0</v>
      </c>
      <c r="BG1278" s="440">
        <v>0</v>
      </c>
      <c r="BH1278" s="440">
        <v>0</v>
      </c>
      <c r="BI1278" s="440">
        <v>0</v>
      </c>
      <c r="BJ1278" s="440">
        <v>0</v>
      </c>
      <c r="BK1278" s="440">
        <v>0</v>
      </c>
      <c r="BL1278" s="440">
        <v>0</v>
      </c>
      <c r="BM1278" s="440">
        <v>0</v>
      </c>
      <c r="BN1278" s="440">
        <v>0</v>
      </c>
      <c r="BO1278" s="440">
        <v>0</v>
      </c>
      <c r="BP1278" s="440">
        <v>0</v>
      </c>
      <c r="BQ1278" s="440">
        <v>0</v>
      </c>
      <c r="BR1278" s="415">
        <v>0</v>
      </c>
      <c r="BS1278" s="415">
        <v>0</v>
      </c>
      <c r="BT1278" s="935"/>
      <c r="BU1278" s="935"/>
      <c r="BV1278" s="935"/>
      <c r="BW1278" s="935"/>
      <c r="BX1278" s="935"/>
      <c r="BY1278" s="935"/>
      <c r="BZ1278" s="935"/>
      <c r="CA1278" s="935"/>
      <c r="CB1278" s="935"/>
      <c r="CC1278" s="935"/>
      <c r="CD1278" s="935"/>
      <c r="CE1278" s="935"/>
      <c r="CF1278" s="935"/>
      <c r="CG1278" s="935"/>
      <c r="CH1278" s="935"/>
      <c r="CI1278" s="935"/>
      <c r="CJ1278" s="935"/>
      <c r="CK1278" s="935"/>
      <c r="CL1278" s="935"/>
      <c r="CM1278" s="935"/>
      <c r="CN1278" s="935"/>
      <c r="CO1278" s="935"/>
      <c r="CP1278" s="935"/>
      <c r="CQ1278" s="935"/>
      <c r="CR1278" s="935"/>
      <c r="CS1278" s="935"/>
      <c r="CT1278" s="935"/>
      <c r="CU1278" s="935"/>
      <c r="CV1278" s="935"/>
    </row>
    <row r="1279" spans="1:100" s="441" customFormat="1">
      <c r="A1279" s="375">
        <f t="shared" si="340"/>
        <v>11</v>
      </c>
      <c r="B1279" s="862">
        <v>44517</v>
      </c>
      <c r="C1279" s="493" t="s">
        <v>2053</v>
      </c>
      <c r="D1279" s="376" t="str">
        <f>IFERROR(VLOOKUP(E:E,'Item Data Support Sheet'!A:O,7,0),"")</f>
        <v>NIPPLE MOLDED</v>
      </c>
      <c r="E1279" s="447" t="s">
        <v>74</v>
      </c>
      <c r="F1279" s="500" t="s">
        <v>1678</v>
      </c>
      <c r="G1279" s="497" t="s">
        <v>1691</v>
      </c>
      <c r="H1279" s="602" t="str">
        <f>IFERROR(VLOOKUP(E:E,'Item Data Support Sheet'!A:O,2,0),"")</f>
        <v>NIPPLE S TYPE L SIZE INJECTION</v>
      </c>
      <c r="I1279" s="501" t="s">
        <v>4058</v>
      </c>
      <c r="J1279" s="501" t="s">
        <v>3895</v>
      </c>
      <c r="K1279" s="499">
        <v>8</v>
      </c>
      <c r="L1279" s="499">
        <v>4815</v>
      </c>
      <c r="M1279" s="366">
        <v>601.875</v>
      </c>
      <c r="N1279" s="367">
        <f t="shared" si="339"/>
        <v>5696</v>
      </c>
      <c r="O1279" s="61">
        <v>5600</v>
      </c>
      <c r="P1279" s="368">
        <v>0</v>
      </c>
      <c r="Q1279" s="368">
        <v>20</v>
      </c>
      <c r="R1279" s="494">
        <v>0</v>
      </c>
      <c r="S1279" s="493">
        <v>0</v>
      </c>
      <c r="T1279" s="494">
        <v>60</v>
      </c>
      <c r="U1279" s="493">
        <v>16</v>
      </c>
      <c r="V1279" s="502">
        <v>1</v>
      </c>
      <c r="W1279" s="453">
        <f t="shared" si="341"/>
        <v>5600</v>
      </c>
      <c r="X1279" s="748">
        <f t="shared" si="342"/>
        <v>1.1630321910695742</v>
      </c>
      <c r="Y1279" s="451" t="str">
        <f>IFERROR(VLOOKUP(E:E,'Item Data Support Sheet'!A:J,6,0),0)</f>
        <v>Silicon</v>
      </c>
      <c r="Z1279" s="428">
        <f>IFERROR(VLOOKUP(E:E,'Item Data Support Sheet'!A:O,4,0),0)</f>
        <v>6.8</v>
      </c>
      <c r="AA1279" s="428">
        <f t="shared" si="343"/>
        <v>38.732799999999997</v>
      </c>
      <c r="AB1279" s="429">
        <f t="shared" si="344"/>
        <v>0.98314606741573041</v>
      </c>
      <c r="AC1279" s="424">
        <f t="shared" si="345"/>
        <v>1.0600706713780919E-2</v>
      </c>
      <c r="AD1279" s="371">
        <f t="shared" si="346"/>
        <v>3.4989503149055285E-3</v>
      </c>
      <c r="AE1279" s="748">
        <f t="shared" si="347"/>
        <v>0.9894662921348315</v>
      </c>
      <c r="AF1279" s="417">
        <f t="shared" si="348"/>
        <v>0</v>
      </c>
      <c r="AG1279" s="416">
        <f t="shared" si="349"/>
        <v>8</v>
      </c>
      <c r="AH1279" s="372">
        <f t="shared" si="350"/>
        <v>1</v>
      </c>
      <c r="AI1279" s="373">
        <f t="shared" si="351"/>
        <v>700</v>
      </c>
      <c r="AJ1279" s="418">
        <f>VLOOKUP(D1279,'Standard Cycle time'!C:D,2,0)</f>
        <v>5.25</v>
      </c>
      <c r="AK1279" s="418">
        <f t="shared" si="352"/>
        <v>5.1428571428571432</v>
      </c>
      <c r="AL1279" s="374">
        <f t="shared" si="353"/>
        <v>1.0208333333333333</v>
      </c>
      <c r="AM1279" s="372">
        <f t="shared" si="354"/>
        <v>1.0100801732209737</v>
      </c>
      <c r="AN1279" s="799">
        <v>1.0100801732209737</v>
      </c>
      <c r="AO1279" s="448"/>
      <c r="AP1279" s="440">
        <v>0</v>
      </c>
      <c r="AQ1279" s="440">
        <v>0</v>
      </c>
      <c r="AR1279" s="440">
        <v>0</v>
      </c>
      <c r="AS1279" s="440">
        <v>0</v>
      </c>
      <c r="AT1279" s="440">
        <v>0</v>
      </c>
      <c r="AU1279" s="440">
        <v>0</v>
      </c>
      <c r="AV1279" s="440">
        <v>0</v>
      </c>
      <c r="AW1279" s="440">
        <v>0</v>
      </c>
      <c r="AX1279" s="440">
        <v>0</v>
      </c>
      <c r="AY1279" s="440">
        <v>0</v>
      </c>
      <c r="AZ1279" s="440">
        <v>0</v>
      </c>
      <c r="BA1279" s="440">
        <v>0</v>
      </c>
      <c r="BB1279" s="440">
        <v>0</v>
      </c>
      <c r="BC1279" s="440">
        <v>0</v>
      </c>
      <c r="BD1279" s="440">
        <v>0</v>
      </c>
      <c r="BE1279" s="440">
        <v>0</v>
      </c>
      <c r="BF1279" s="440">
        <v>0</v>
      </c>
      <c r="BG1279" s="440">
        <v>0</v>
      </c>
      <c r="BH1279" s="440">
        <v>0</v>
      </c>
      <c r="BI1279" s="440">
        <v>0</v>
      </c>
      <c r="BJ1279" s="440">
        <v>0</v>
      </c>
      <c r="BK1279" s="440">
        <v>0</v>
      </c>
      <c r="BL1279" s="440">
        <v>0</v>
      </c>
      <c r="BM1279" s="440">
        <v>0</v>
      </c>
      <c r="BN1279" s="440">
        <v>0</v>
      </c>
      <c r="BO1279" s="440">
        <v>0</v>
      </c>
      <c r="BP1279" s="440">
        <v>0</v>
      </c>
      <c r="BQ1279" s="440">
        <v>0</v>
      </c>
      <c r="BR1279" s="415">
        <v>0</v>
      </c>
      <c r="BS1279" s="415">
        <v>0</v>
      </c>
      <c r="BT1279" s="935"/>
      <c r="BU1279" s="935"/>
      <c r="BV1279" s="935"/>
      <c r="BW1279" s="935"/>
      <c r="BX1279" s="935"/>
      <c r="BY1279" s="935"/>
      <c r="BZ1279" s="935"/>
      <c r="CA1279" s="935"/>
      <c r="CB1279" s="935"/>
      <c r="CC1279" s="935"/>
      <c r="CD1279" s="935"/>
      <c r="CE1279" s="935"/>
      <c r="CF1279" s="935"/>
      <c r="CG1279" s="935"/>
      <c r="CH1279" s="935"/>
      <c r="CI1279" s="935"/>
      <c r="CJ1279" s="935"/>
      <c r="CK1279" s="935"/>
      <c r="CL1279" s="935"/>
      <c r="CM1279" s="935"/>
      <c r="CN1279" s="935"/>
      <c r="CO1279" s="935"/>
      <c r="CP1279" s="935"/>
      <c r="CQ1279" s="935"/>
      <c r="CR1279" s="935"/>
      <c r="CS1279" s="935"/>
      <c r="CT1279" s="935"/>
      <c r="CU1279" s="935"/>
      <c r="CV1279" s="935"/>
    </row>
    <row r="1280" spans="1:100" s="441" customFormat="1">
      <c r="A1280" s="375">
        <f t="shared" si="340"/>
        <v>11</v>
      </c>
      <c r="B1280" s="862">
        <v>44517</v>
      </c>
      <c r="C1280" s="493" t="s">
        <v>2053</v>
      </c>
      <c r="D1280" s="376" t="str">
        <f>IFERROR(VLOOKUP(E:E,'Item Data Support Sheet'!A:O,7,0),"")</f>
        <v>NIPPLE MOLDED</v>
      </c>
      <c r="E1280" s="447" t="s">
        <v>73</v>
      </c>
      <c r="F1280" s="500" t="s">
        <v>1677</v>
      </c>
      <c r="G1280" s="497" t="s">
        <v>1690</v>
      </c>
      <c r="H1280" s="602" t="str">
        <f>IFERROR(VLOOKUP(E:E,'Item Data Support Sheet'!A:O,2,0),"")</f>
        <v>NIPPLE S TYPE M SIZE INJECTION</v>
      </c>
      <c r="I1280" s="501" t="s">
        <v>4058</v>
      </c>
      <c r="J1280" s="501" t="s">
        <v>3895</v>
      </c>
      <c r="K1280" s="499">
        <v>8</v>
      </c>
      <c r="L1280" s="499">
        <v>3611</v>
      </c>
      <c r="M1280" s="366">
        <v>451.375</v>
      </c>
      <c r="N1280" s="367">
        <f t="shared" si="339"/>
        <v>4135</v>
      </c>
      <c r="O1280" s="61">
        <v>4000</v>
      </c>
      <c r="P1280" s="368">
        <v>0</v>
      </c>
      <c r="Q1280" s="368">
        <v>50</v>
      </c>
      <c r="R1280" s="494">
        <v>0</v>
      </c>
      <c r="S1280" s="493">
        <v>0</v>
      </c>
      <c r="T1280" s="494">
        <v>85</v>
      </c>
      <c r="U1280" s="493">
        <v>0</v>
      </c>
      <c r="V1280" s="502">
        <v>1</v>
      </c>
      <c r="W1280" s="453">
        <f t="shared" si="341"/>
        <v>4000</v>
      </c>
      <c r="X1280" s="748">
        <f t="shared" si="342"/>
        <v>1.1077263915812794</v>
      </c>
      <c r="Y1280" s="451" t="str">
        <f>IFERROR(VLOOKUP(E:E,'Item Data Support Sheet'!A:J,6,0),0)</f>
        <v>Silicon</v>
      </c>
      <c r="Z1280" s="428">
        <f>IFERROR(VLOOKUP(E:E,'Item Data Support Sheet'!A:O,4,0),0)</f>
        <v>6.8</v>
      </c>
      <c r="AA1280" s="428">
        <f t="shared" si="343"/>
        <v>28.117999999999999</v>
      </c>
      <c r="AB1280" s="429">
        <f t="shared" si="344"/>
        <v>0.96735187424425639</v>
      </c>
      <c r="AC1280" s="424">
        <f t="shared" si="345"/>
        <v>2.0807833537331701E-2</v>
      </c>
      <c r="AD1280" s="371">
        <f t="shared" si="346"/>
        <v>1.1947431302270013E-2</v>
      </c>
      <c r="AE1280" s="748">
        <f t="shared" si="347"/>
        <v>0.97944377267230953</v>
      </c>
      <c r="AF1280" s="417">
        <f t="shared" si="348"/>
        <v>0</v>
      </c>
      <c r="AG1280" s="416">
        <f t="shared" si="349"/>
        <v>8</v>
      </c>
      <c r="AH1280" s="372">
        <f t="shared" si="350"/>
        <v>1</v>
      </c>
      <c r="AI1280" s="373">
        <f t="shared" si="351"/>
        <v>500</v>
      </c>
      <c r="AJ1280" s="418">
        <f>VLOOKUP(D1280,'Standard Cycle time'!C:D,2,0)</f>
        <v>5.25</v>
      </c>
      <c r="AK1280" s="418">
        <f t="shared" si="352"/>
        <v>7.2</v>
      </c>
      <c r="AL1280" s="374">
        <f t="shared" si="353"/>
        <v>0.72916666666666663</v>
      </c>
      <c r="AM1280" s="372">
        <f t="shared" si="354"/>
        <v>0.71417775090689228</v>
      </c>
      <c r="AN1280" s="799">
        <v>0.71417775090689228</v>
      </c>
      <c r="AO1280" s="448" t="s">
        <v>4059</v>
      </c>
      <c r="AP1280" s="440">
        <v>0</v>
      </c>
      <c r="AQ1280" s="440">
        <v>0</v>
      </c>
      <c r="AR1280" s="440">
        <v>0</v>
      </c>
      <c r="AS1280" s="440">
        <v>0</v>
      </c>
      <c r="AT1280" s="440">
        <v>0</v>
      </c>
      <c r="AU1280" s="440">
        <v>0</v>
      </c>
      <c r="AV1280" s="440">
        <v>0</v>
      </c>
      <c r="AW1280" s="440">
        <v>0</v>
      </c>
      <c r="AX1280" s="440">
        <v>0</v>
      </c>
      <c r="AY1280" s="440">
        <v>0</v>
      </c>
      <c r="AZ1280" s="440">
        <v>0</v>
      </c>
      <c r="BA1280" s="440">
        <v>0</v>
      </c>
      <c r="BB1280" s="440">
        <v>0</v>
      </c>
      <c r="BC1280" s="440">
        <v>0</v>
      </c>
      <c r="BD1280" s="440">
        <v>0</v>
      </c>
      <c r="BE1280" s="440">
        <v>0</v>
      </c>
      <c r="BF1280" s="440">
        <v>0</v>
      </c>
      <c r="BG1280" s="440">
        <v>0</v>
      </c>
      <c r="BH1280" s="440">
        <v>0</v>
      </c>
      <c r="BI1280" s="440">
        <v>0</v>
      </c>
      <c r="BJ1280" s="440">
        <v>0</v>
      </c>
      <c r="BK1280" s="440">
        <v>0</v>
      </c>
      <c r="BL1280" s="440">
        <v>0</v>
      </c>
      <c r="BM1280" s="440">
        <v>0</v>
      </c>
      <c r="BN1280" s="440">
        <v>0</v>
      </c>
      <c r="BO1280" s="440">
        <v>0</v>
      </c>
      <c r="BP1280" s="440">
        <v>0</v>
      </c>
      <c r="BQ1280" s="440">
        <v>0</v>
      </c>
      <c r="BR1280" s="415">
        <v>0</v>
      </c>
      <c r="BS1280" s="415">
        <v>0</v>
      </c>
      <c r="BT1280" s="935"/>
      <c r="BU1280" s="935"/>
      <c r="BV1280" s="935"/>
      <c r="BW1280" s="935"/>
      <c r="BX1280" s="935"/>
      <c r="BY1280" s="935"/>
      <c r="BZ1280" s="935"/>
      <c r="CA1280" s="935"/>
      <c r="CB1280" s="935"/>
      <c r="CC1280" s="935"/>
      <c r="CD1280" s="935"/>
      <c r="CE1280" s="935"/>
      <c r="CF1280" s="935"/>
      <c r="CG1280" s="935"/>
      <c r="CH1280" s="935"/>
      <c r="CI1280" s="935"/>
      <c r="CJ1280" s="935"/>
      <c r="CK1280" s="935"/>
      <c r="CL1280" s="935"/>
      <c r="CM1280" s="935"/>
      <c r="CN1280" s="935"/>
      <c r="CO1280" s="935"/>
      <c r="CP1280" s="935"/>
      <c r="CQ1280" s="935"/>
      <c r="CR1280" s="935"/>
      <c r="CS1280" s="935"/>
      <c r="CT1280" s="935"/>
      <c r="CU1280" s="935"/>
      <c r="CV1280" s="935"/>
    </row>
    <row r="1281" spans="1:100" s="441" customFormat="1">
      <c r="A1281" s="375">
        <f t="shared" si="340"/>
        <v>11</v>
      </c>
      <c r="B1281" s="862">
        <v>44518</v>
      </c>
      <c r="C1281" s="493" t="s">
        <v>1980</v>
      </c>
      <c r="D1281" s="376" t="str">
        <f>IFERROR(VLOOKUP(E:E,'Item Data Support Sheet'!A:O,7,0),"")</f>
        <v>NIPPLE MOLDED</v>
      </c>
      <c r="E1281" s="447" t="s">
        <v>73</v>
      </c>
      <c r="F1281" s="500" t="s">
        <v>1677</v>
      </c>
      <c r="G1281" s="497" t="s">
        <v>1690</v>
      </c>
      <c r="H1281" s="602" t="str">
        <f>IFERROR(VLOOKUP(E:E,'Item Data Support Sheet'!A:O,2,0),"")</f>
        <v>NIPPLE S TYPE M SIZE INJECTION</v>
      </c>
      <c r="I1281" s="501" t="s">
        <v>4060</v>
      </c>
      <c r="J1281" s="501" t="s">
        <v>2808</v>
      </c>
      <c r="K1281" s="499">
        <v>8</v>
      </c>
      <c r="L1281" s="499">
        <v>3611</v>
      </c>
      <c r="M1281" s="366">
        <v>451.375</v>
      </c>
      <c r="N1281" s="367">
        <f t="shared" si="339"/>
        <v>4210</v>
      </c>
      <c r="O1281" s="61">
        <v>4000</v>
      </c>
      <c r="P1281" s="368">
        <v>0</v>
      </c>
      <c r="Q1281" s="368">
        <v>120</v>
      </c>
      <c r="R1281" s="494">
        <v>0</v>
      </c>
      <c r="S1281" s="493">
        <v>0</v>
      </c>
      <c r="T1281" s="494">
        <v>84</v>
      </c>
      <c r="U1281" s="493">
        <v>6</v>
      </c>
      <c r="V1281" s="502">
        <v>1</v>
      </c>
      <c r="W1281" s="453">
        <f t="shared" si="341"/>
        <v>4000</v>
      </c>
      <c r="X1281" s="748">
        <f t="shared" si="342"/>
        <v>1.1077263915812794</v>
      </c>
      <c r="Y1281" s="451" t="str">
        <f>IFERROR(VLOOKUP(E:E,'Item Data Support Sheet'!A:J,6,0),0)</f>
        <v>Silicon</v>
      </c>
      <c r="Z1281" s="428">
        <f>IFERROR(VLOOKUP(E:E,'Item Data Support Sheet'!A:O,4,0),0)</f>
        <v>6.8</v>
      </c>
      <c r="AA1281" s="428">
        <f t="shared" si="343"/>
        <v>28.628</v>
      </c>
      <c r="AB1281" s="429">
        <f t="shared" si="344"/>
        <v>0.95011876484560565</v>
      </c>
      <c r="AC1281" s="424">
        <f t="shared" si="345"/>
        <v>2.0568070519098921E-2</v>
      </c>
      <c r="AD1281" s="371">
        <f t="shared" si="346"/>
        <v>2.771362586605081E-2</v>
      </c>
      <c r="AE1281" s="748">
        <f t="shared" si="347"/>
        <v>0.9800475059382423</v>
      </c>
      <c r="AF1281" s="417">
        <f t="shared" si="348"/>
        <v>0</v>
      </c>
      <c r="AG1281" s="416">
        <f t="shared" si="349"/>
        <v>8</v>
      </c>
      <c r="AH1281" s="372">
        <f t="shared" si="350"/>
        <v>1</v>
      </c>
      <c r="AI1281" s="373">
        <f t="shared" si="351"/>
        <v>500</v>
      </c>
      <c r="AJ1281" s="418">
        <f>VLOOKUP(D1281,'Standard Cycle time'!C:D,2,0)</f>
        <v>5.25</v>
      </c>
      <c r="AK1281" s="418">
        <f t="shared" si="352"/>
        <v>7.2</v>
      </c>
      <c r="AL1281" s="374">
        <f t="shared" si="353"/>
        <v>0.72916666666666663</v>
      </c>
      <c r="AM1281" s="372">
        <f t="shared" si="354"/>
        <v>0.71461797307996833</v>
      </c>
      <c r="AN1281" s="799">
        <v>0.71461797307996833</v>
      </c>
      <c r="AO1281" s="448" t="s">
        <v>4061</v>
      </c>
      <c r="AP1281" s="440">
        <v>0</v>
      </c>
      <c r="AQ1281" s="440">
        <v>0</v>
      </c>
      <c r="AR1281" s="440">
        <v>0</v>
      </c>
      <c r="AS1281" s="440">
        <v>0</v>
      </c>
      <c r="AT1281" s="440">
        <v>0</v>
      </c>
      <c r="AU1281" s="440">
        <v>0</v>
      </c>
      <c r="AV1281" s="440">
        <v>0</v>
      </c>
      <c r="AW1281" s="440">
        <v>0</v>
      </c>
      <c r="AX1281" s="440">
        <v>0</v>
      </c>
      <c r="AY1281" s="440">
        <v>0</v>
      </c>
      <c r="AZ1281" s="440">
        <v>0</v>
      </c>
      <c r="BA1281" s="440">
        <v>0</v>
      </c>
      <c r="BB1281" s="440">
        <v>0</v>
      </c>
      <c r="BC1281" s="440">
        <v>0</v>
      </c>
      <c r="BD1281" s="440">
        <v>0</v>
      </c>
      <c r="BE1281" s="440">
        <v>0</v>
      </c>
      <c r="BF1281" s="440">
        <v>0</v>
      </c>
      <c r="BG1281" s="440">
        <v>0</v>
      </c>
      <c r="BH1281" s="440">
        <v>0</v>
      </c>
      <c r="BI1281" s="440">
        <v>0</v>
      </c>
      <c r="BJ1281" s="440">
        <v>0</v>
      </c>
      <c r="BK1281" s="440">
        <v>0</v>
      </c>
      <c r="BL1281" s="440">
        <v>0</v>
      </c>
      <c r="BM1281" s="440">
        <v>0</v>
      </c>
      <c r="BN1281" s="440">
        <v>0</v>
      </c>
      <c r="BO1281" s="440">
        <v>0</v>
      </c>
      <c r="BP1281" s="440">
        <v>0</v>
      </c>
      <c r="BQ1281" s="440">
        <v>0</v>
      </c>
      <c r="BR1281" s="415">
        <v>0</v>
      </c>
      <c r="BS1281" s="415">
        <v>0</v>
      </c>
      <c r="BT1281" s="935"/>
      <c r="BU1281" s="935"/>
      <c r="BV1281" s="935"/>
      <c r="BW1281" s="935"/>
      <c r="BX1281" s="935"/>
      <c r="BY1281" s="935"/>
      <c r="BZ1281" s="935"/>
      <c r="CA1281" s="935"/>
      <c r="CB1281" s="935"/>
      <c r="CC1281" s="935"/>
      <c r="CD1281" s="935"/>
      <c r="CE1281" s="935"/>
      <c r="CF1281" s="935"/>
      <c r="CG1281" s="935"/>
      <c r="CH1281" s="935"/>
      <c r="CI1281" s="935"/>
      <c r="CJ1281" s="935"/>
      <c r="CK1281" s="935"/>
      <c r="CL1281" s="935"/>
      <c r="CM1281" s="935"/>
      <c r="CN1281" s="935"/>
      <c r="CO1281" s="935"/>
      <c r="CP1281" s="935"/>
      <c r="CQ1281" s="935"/>
      <c r="CR1281" s="935"/>
      <c r="CS1281" s="935"/>
      <c r="CT1281" s="935"/>
      <c r="CU1281" s="935"/>
      <c r="CV1281" s="935"/>
    </row>
    <row r="1282" spans="1:100" s="441" customFormat="1">
      <c r="A1282" s="375">
        <f t="shared" si="340"/>
        <v>11</v>
      </c>
      <c r="B1282" s="862">
        <v>44518</v>
      </c>
      <c r="C1282" s="493" t="s">
        <v>1980</v>
      </c>
      <c r="D1282" s="376" t="str">
        <f>IFERROR(VLOOKUP(E:E,'Item Data Support Sheet'!A:O,7,0),"")</f>
        <v>HOOD MOLDED</v>
      </c>
      <c r="E1282" s="447" t="s">
        <v>1987</v>
      </c>
      <c r="F1282" s="500"/>
      <c r="G1282" s="497" t="s">
        <v>2729</v>
      </c>
      <c r="H1282" s="602" t="str">
        <f>IFERROR(VLOOKUP(E:E,'Item Data Support Sheet'!A:O,2,0),"")</f>
        <v>HOOD S TYPE MOLDED</v>
      </c>
      <c r="I1282" s="501" t="s">
        <v>4062</v>
      </c>
      <c r="J1282" s="501" t="s">
        <v>2808</v>
      </c>
      <c r="K1282" s="499">
        <v>8</v>
      </c>
      <c r="L1282" s="499">
        <v>4137</v>
      </c>
      <c r="M1282" s="366">
        <v>517.125</v>
      </c>
      <c r="N1282" s="367">
        <f t="shared" si="339"/>
        <v>4350</v>
      </c>
      <c r="O1282" s="61">
        <v>4300</v>
      </c>
      <c r="P1282" s="368">
        <v>0</v>
      </c>
      <c r="Q1282" s="368">
        <v>26</v>
      </c>
      <c r="R1282" s="494">
        <v>0</v>
      </c>
      <c r="S1282" s="493">
        <v>0</v>
      </c>
      <c r="T1282" s="494">
        <v>16</v>
      </c>
      <c r="U1282" s="493">
        <v>8</v>
      </c>
      <c r="V1282" s="502">
        <v>1</v>
      </c>
      <c r="W1282" s="453">
        <f t="shared" si="341"/>
        <v>4300</v>
      </c>
      <c r="X1282" s="748">
        <f t="shared" si="342"/>
        <v>1.0394005317863186</v>
      </c>
      <c r="Y1282" s="451" t="str">
        <f>IFERROR(VLOOKUP(E:E,'Item Data Support Sheet'!A:J,6,0),0)</f>
        <v>HMC</v>
      </c>
      <c r="Z1282" s="428">
        <f>IFERROR(VLOOKUP(E:E,'Item Data Support Sheet'!A:O,4,0),0)</f>
        <v>8.6</v>
      </c>
      <c r="AA1282" s="428">
        <f t="shared" si="343"/>
        <v>37.409999999999997</v>
      </c>
      <c r="AB1282" s="429">
        <f t="shared" si="344"/>
        <v>0.9885057471264368</v>
      </c>
      <c r="AC1282" s="424">
        <f t="shared" si="345"/>
        <v>3.7071362372567192E-3</v>
      </c>
      <c r="AD1282" s="371">
        <f t="shared" si="346"/>
        <v>5.9414990859232176E-3</v>
      </c>
      <c r="AE1282" s="748">
        <f t="shared" si="347"/>
        <v>0.99632183908045979</v>
      </c>
      <c r="AF1282" s="417">
        <f t="shared" si="348"/>
        <v>0</v>
      </c>
      <c r="AG1282" s="416">
        <f t="shared" si="349"/>
        <v>8</v>
      </c>
      <c r="AH1282" s="372">
        <f t="shared" si="350"/>
        <v>1</v>
      </c>
      <c r="AI1282" s="373">
        <f t="shared" si="351"/>
        <v>537.5</v>
      </c>
      <c r="AJ1282" s="418">
        <f>VLOOKUP(D1282,'Standard Cycle time'!C:D,2,0)</f>
        <v>6</v>
      </c>
      <c r="AK1282" s="418">
        <f t="shared" si="352"/>
        <v>6.6976744186046515</v>
      </c>
      <c r="AL1282" s="374">
        <f t="shared" si="353"/>
        <v>0.89583333333333326</v>
      </c>
      <c r="AM1282" s="372">
        <f t="shared" si="354"/>
        <v>0.89253831417624518</v>
      </c>
      <c r="AN1282" s="799">
        <v>0.89253831417624518</v>
      </c>
      <c r="AO1282" s="448"/>
      <c r="AP1282" s="440">
        <v>0</v>
      </c>
      <c r="AQ1282" s="440">
        <v>0</v>
      </c>
      <c r="AR1282" s="440">
        <v>0</v>
      </c>
      <c r="AS1282" s="440">
        <v>0</v>
      </c>
      <c r="AT1282" s="440">
        <v>0</v>
      </c>
      <c r="AU1282" s="440">
        <v>0</v>
      </c>
      <c r="AV1282" s="440">
        <v>0</v>
      </c>
      <c r="AW1282" s="440">
        <v>0</v>
      </c>
      <c r="AX1282" s="440">
        <v>0</v>
      </c>
      <c r="AY1282" s="440">
        <v>0</v>
      </c>
      <c r="AZ1282" s="440">
        <v>0</v>
      </c>
      <c r="BA1282" s="440">
        <v>0</v>
      </c>
      <c r="BB1282" s="440">
        <v>0</v>
      </c>
      <c r="BC1282" s="440">
        <v>0</v>
      </c>
      <c r="BD1282" s="440">
        <v>0</v>
      </c>
      <c r="BE1282" s="440">
        <v>0</v>
      </c>
      <c r="BF1282" s="440">
        <v>0</v>
      </c>
      <c r="BG1282" s="440">
        <v>0</v>
      </c>
      <c r="BH1282" s="440">
        <v>0</v>
      </c>
      <c r="BI1282" s="440">
        <v>0</v>
      </c>
      <c r="BJ1282" s="440">
        <v>0</v>
      </c>
      <c r="BK1282" s="440">
        <v>0</v>
      </c>
      <c r="BL1282" s="440">
        <v>0</v>
      </c>
      <c r="BM1282" s="440">
        <v>0</v>
      </c>
      <c r="BN1282" s="440">
        <v>0</v>
      </c>
      <c r="BO1282" s="440">
        <v>0</v>
      </c>
      <c r="BP1282" s="440">
        <v>0</v>
      </c>
      <c r="BQ1282" s="440">
        <v>0</v>
      </c>
      <c r="BR1282" s="415">
        <v>0</v>
      </c>
      <c r="BS1282" s="415">
        <v>0</v>
      </c>
      <c r="BT1282" s="935"/>
      <c r="BU1282" s="935"/>
      <c r="BV1282" s="935"/>
      <c r="BW1282" s="935"/>
      <c r="BX1282" s="935"/>
      <c r="BY1282" s="935"/>
      <c r="BZ1282" s="935"/>
      <c r="CA1282" s="935"/>
      <c r="CB1282" s="935"/>
      <c r="CC1282" s="935"/>
      <c r="CD1282" s="935"/>
      <c r="CE1282" s="935"/>
      <c r="CF1282" s="935"/>
      <c r="CG1282" s="935"/>
      <c r="CH1282" s="935"/>
      <c r="CI1282" s="935"/>
      <c r="CJ1282" s="935"/>
      <c r="CK1282" s="935"/>
      <c r="CL1282" s="935"/>
      <c r="CM1282" s="935"/>
      <c r="CN1282" s="935"/>
      <c r="CO1282" s="935"/>
      <c r="CP1282" s="935"/>
      <c r="CQ1282" s="935"/>
      <c r="CR1282" s="935"/>
      <c r="CS1282" s="935"/>
      <c r="CT1282" s="935"/>
      <c r="CU1282" s="935"/>
      <c r="CV1282" s="935"/>
    </row>
    <row r="1283" spans="1:100" s="441" customFormat="1">
      <c r="A1283" s="375">
        <f t="shared" si="340"/>
        <v>11</v>
      </c>
      <c r="B1283" s="862">
        <v>44518</v>
      </c>
      <c r="C1283" s="493" t="s">
        <v>1980</v>
      </c>
      <c r="D1283" s="376" t="str">
        <f>IFERROR(VLOOKUP(E:E,'Item Data Support Sheet'!A:O,7,0),"")</f>
        <v>NIPPLE PUNCH</v>
      </c>
      <c r="E1283" s="447" t="s">
        <v>82</v>
      </c>
      <c r="F1283" s="500"/>
      <c r="G1283" s="497" t="s">
        <v>1692</v>
      </c>
      <c r="H1283" s="602" t="str">
        <f>IFERROR(VLOOKUP(E:E,'Item Data Support Sheet'!A:O,2,0),"")</f>
        <v>NIPPLE S TYPE L SIZE PUNCHED</v>
      </c>
      <c r="I1283" s="501" t="s">
        <v>4063</v>
      </c>
      <c r="J1283" s="501" t="s">
        <v>2808</v>
      </c>
      <c r="K1283" s="499">
        <v>8</v>
      </c>
      <c r="L1283" s="499">
        <v>7000</v>
      </c>
      <c r="M1283" s="366">
        <v>875</v>
      </c>
      <c r="N1283" s="367">
        <f t="shared" si="339"/>
        <v>6300</v>
      </c>
      <c r="O1283" s="61">
        <v>6297</v>
      </c>
      <c r="P1283" s="368">
        <v>0</v>
      </c>
      <c r="Q1283" s="368">
        <v>0</v>
      </c>
      <c r="R1283" s="494">
        <v>0</v>
      </c>
      <c r="S1283" s="493">
        <v>0</v>
      </c>
      <c r="T1283" s="494">
        <v>3</v>
      </c>
      <c r="U1283" s="493">
        <v>0</v>
      </c>
      <c r="V1283" s="502">
        <v>1</v>
      </c>
      <c r="W1283" s="453">
        <f t="shared" si="341"/>
        <v>6297</v>
      </c>
      <c r="X1283" s="748">
        <f t="shared" si="342"/>
        <v>0.89957142857142858</v>
      </c>
      <c r="Y1283" s="451" t="str">
        <f>IFERROR(VLOOKUP(E:E,'Item Data Support Sheet'!A:J,6,0),0)</f>
        <v>FO017</v>
      </c>
      <c r="Z1283" s="428">
        <f>IFERROR(VLOOKUP(E:E,'Item Data Support Sheet'!A:O,4,0),0)</f>
        <v>0</v>
      </c>
      <c r="AA1283" s="428">
        <f t="shared" si="343"/>
        <v>0</v>
      </c>
      <c r="AB1283" s="429" t="str">
        <f t="shared" si="344"/>
        <v xml:space="preserve"> </v>
      </c>
      <c r="AC1283" s="424">
        <f t="shared" si="345"/>
        <v>4.7619047619047619E-4</v>
      </c>
      <c r="AD1283" s="371">
        <f t="shared" si="346"/>
        <v>0</v>
      </c>
      <c r="AE1283" s="748">
        <f t="shared" si="347"/>
        <v>0.99952380952380948</v>
      </c>
      <c r="AF1283" s="417">
        <f t="shared" si="348"/>
        <v>0.66666666666666663</v>
      </c>
      <c r="AG1283" s="416">
        <f t="shared" si="349"/>
        <v>7.333333333333333</v>
      </c>
      <c r="AH1283" s="372">
        <f t="shared" si="350"/>
        <v>0.91666666666666663</v>
      </c>
      <c r="AI1283" s="373">
        <f t="shared" si="351"/>
        <v>787.125</v>
      </c>
      <c r="AJ1283" s="418">
        <f>VLOOKUP(D1283,'Standard Cycle time'!C:D,2,0)</f>
        <v>3.5</v>
      </c>
      <c r="AK1283" s="418">
        <f t="shared" si="352"/>
        <v>4.1924726060028581</v>
      </c>
      <c r="AL1283" s="374">
        <f t="shared" si="353"/>
        <v>0.83482954545454557</v>
      </c>
      <c r="AM1283" s="372">
        <f t="shared" si="354"/>
        <v>0.76489600694444448</v>
      </c>
      <c r="AN1283" s="799">
        <v>0.76489600694444448</v>
      </c>
      <c r="AO1283" s="448" t="s">
        <v>3905</v>
      </c>
      <c r="AP1283" s="440">
        <v>40</v>
      </c>
      <c r="AQ1283" s="440">
        <v>0</v>
      </c>
      <c r="AR1283" s="440">
        <v>0</v>
      </c>
      <c r="AS1283" s="440">
        <v>0</v>
      </c>
      <c r="AT1283" s="440">
        <v>0</v>
      </c>
      <c r="AU1283" s="440">
        <v>0</v>
      </c>
      <c r="AV1283" s="440">
        <v>0</v>
      </c>
      <c r="AW1283" s="440">
        <v>0</v>
      </c>
      <c r="AX1283" s="440">
        <v>0</v>
      </c>
      <c r="AY1283" s="440">
        <v>0</v>
      </c>
      <c r="AZ1283" s="440">
        <v>0</v>
      </c>
      <c r="BA1283" s="440">
        <v>0</v>
      </c>
      <c r="BB1283" s="440">
        <v>0</v>
      </c>
      <c r="BC1283" s="440">
        <v>0</v>
      </c>
      <c r="BD1283" s="440">
        <v>0</v>
      </c>
      <c r="BE1283" s="440">
        <v>0</v>
      </c>
      <c r="BF1283" s="440">
        <v>0</v>
      </c>
      <c r="BG1283" s="440">
        <v>0</v>
      </c>
      <c r="BH1283" s="440">
        <v>0</v>
      </c>
      <c r="BI1283" s="440">
        <v>0</v>
      </c>
      <c r="BJ1283" s="440">
        <v>0</v>
      </c>
      <c r="BK1283" s="440">
        <v>0</v>
      </c>
      <c r="BL1283" s="440">
        <v>0</v>
      </c>
      <c r="BM1283" s="440">
        <v>0</v>
      </c>
      <c r="BN1283" s="440">
        <v>0</v>
      </c>
      <c r="BO1283" s="440">
        <v>0</v>
      </c>
      <c r="BP1283" s="440">
        <v>0</v>
      </c>
      <c r="BQ1283" s="440">
        <v>0</v>
      </c>
      <c r="BR1283" s="415">
        <v>0.66666666666666663</v>
      </c>
      <c r="BS1283" s="415">
        <v>0.66666666666666663</v>
      </c>
      <c r="BT1283" s="935"/>
      <c r="BU1283" s="935"/>
      <c r="BV1283" s="935"/>
      <c r="BW1283" s="935"/>
      <c r="BX1283" s="935"/>
      <c r="BY1283" s="935"/>
      <c r="BZ1283" s="935"/>
      <c r="CA1283" s="935"/>
      <c r="CB1283" s="935"/>
      <c r="CC1283" s="935"/>
      <c r="CD1283" s="935"/>
      <c r="CE1283" s="935"/>
      <c r="CF1283" s="935"/>
      <c r="CG1283" s="935"/>
      <c r="CH1283" s="935"/>
      <c r="CI1283" s="935"/>
      <c r="CJ1283" s="935"/>
      <c r="CK1283" s="935"/>
      <c r="CL1283" s="935"/>
      <c r="CM1283" s="935"/>
      <c r="CN1283" s="935"/>
      <c r="CO1283" s="935"/>
      <c r="CP1283" s="935"/>
      <c r="CQ1283" s="935"/>
      <c r="CR1283" s="935"/>
      <c r="CS1283" s="935"/>
      <c r="CT1283" s="935"/>
      <c r="CU1283" s="935"/>
      <c r="CV1283" s="935"/>
    </row>
    <row r="1284" spans="1:100" s="441" customFormat="1">
      <c r="A1284" s="375">
        <f t="shared" si="340"/>
        <v>11</v>
      </c>
      <c r="B1284" s="862">
        <v>44518</v>
      </c>
      <c r="C1284" s="493" t="s">
        <v>1980</v>
      </c>
      <c r="D1284" s="376" t="str">
        <f>IFERROR(VLOOKUP(E:E,'Item Data Support Sheet'!A:O,7,0),"")</f>
        <v>NIPPLE LASER MARKING</v>
      </c>
      <c r="E1284" s="447" t="s">
        <v>1816</v>
      </c>
      <c r="F1284" s="500"/>
      <c r="G1284" s="497" t="s">
        <v>1812</v>
      </c>
      <c r="H1284" s="602" t="str">
        <f>IFERROR(VLOOKUP(E:E,'Item Data Support Sheet'!A:O,2,0),"")</f>
        <v>NIPPLE S TYPE L SIZE PUNCHED LASER MARKED</v>
      </c>
      <c r="I1284" s="501" t="s">
        <v>4064</v>
      </c>
      <c r="J1284" s="501" t="s">
        <v>2808</v>
      </c>
      <c r="K1284" s="499">
        <v>8</v>
      </c>
      <c r="L1284" s="499">
        <v>7000</v>
      </c>
      <c r="M1284" s="366">
        <v>875</v>
      </c>
      <c r="N1284" s="367">
        <f t="shared" ref="N1284:N1347" si="355">+O1284+Q1284+T1284+U1284</f>
        <v>5000</v>
      </c>
      <c r="O1284" s="61">
        <v>5000</v>
      </c>
      <c r="P1284" s="368">
        <v>0</v>
      </c>
      <c r="Q1284" s="368">
        <v>0</v>
      </c>
      <c r="R1284" s="494">
        <v>0</v>
      </c>
      <c r="S1284" s="493">
        <v>0</v>
      </c>
      <c r="T1284" s="494">
        <v>0</v>
      </c>
      <c r="U1284" s="493">
        <v>0</v>
      </c>
      <c r="V1284" s="502">
        <v>1</v>
      </c>
      <c r="W1284" s="453">
        <f t="shared" si="341"/>
        <v>5000</v>
      </c>
      <c r="X1284" s="748">
        <f t="shared" si="342"/>
        <v>0.7142857142857143</v>
      </c>
      <c r="Y1284" s="451" t="str">
        <f>IFERROR(VLOOKUP(E:E,'Item Data Support Sheet'!A:J,6,0),0)</f>
        <v>FO021</v>
      </c>
      <c r="Z1284" s="428">
        <f>IFERROR(VLOOKUP(E:E,'Item Data Support Sheet'!A:O,4,0),0)</f>
        <v>0</v>
      </c>
      <c r="AA1284" s="428">
        <f t="shared" si="343"/>
        <v>0</v>
      </c>
      <c r="AB1284" s="429" t="str">
        <f t="shared" si="344"/>
        <v xml:space="preserve"> </v>
      </c>
      <c r="AC1284" s="424">
        <f t="shared" si="345"/>
        <v>0</v>
      </c>
      <c r="AD1284" s="371">
        <f t="shared" si="346"/>
        <v>0</v>
      </c>
      <c r="AE1284" s="748">
        <f t="shared" si="347"/>
        <v>1</v>
      </c>
      <c r="AF1284" s="417">
        <f t="shared" si="348"/>
        <v>0.66666666666666663</v>
      </c>
      <c r="AG1284" s="416">
        <f t="shared" si="349"/>
        <v>7.333333333333333</v>
      </c>
      <c r="AH1284" s="372">
        <f t="shared" si="350"/>
        <v>0.91666666666666663</v>
      </c>
      <c r="AI1284" s="373">
        <f t="shared" si="351"/>
        <v>625</v>
      </c>
      <c r="AJ1284" s="418">
        <f>VLOOKUP(D1284,'Standard Cycle time'!C:D,2,0)</f>
        <v>3.5</v>
      </c>
      <c r="AK1284" s="418">
        <f t="shared" si="352"/>
        <v>5.28</v>
      </c>
      <c r="AL1284" s="374">
        <f t="shared" si="353"/>
        <v>0.66287878787878785</v>
      </c>
      <c r="AM1284" s="372">
        <f t="shared" si="354"/>
        <v>0.60763888888888884</v>
      </c>
      <c r="AN1284" s="799">
        <v>0.60763888888888884</v>
      </c>
      <c r="AO1284" s="448" t="s">
        <v>4065</v>
      </c>
      <c r="AP1284" s="440">
        <v>40</v>
      </c>
      <c r="AQ1284" s="440">
        <v>0</v>
      </c>
      <c r="AR1284" s="440">
        <v>0</v>
      </c>
      <c r="AS1284" s="440">
        <v>0</v>
      </c>
      <c r="AT1284" s="440">
        <v>0</v>
      </c>
      <c r="AU1284" s="440">
        <v>0</v>
      </c>
      <c r="AV1284" s="440">
        <v>0</v>
      </c>
      <c r="AW1284" s="440">
        <v>0</v>
      </c>
      <c r="AX1284" s="440">
        <v>0</v>
      </c>
      <c r="AY1284" s="440">
        <v>0</v>
      </c>
      <c r="AZ1284" s="440">
        <v>0</v>
      </c>
      <c r="BA1284" s="440">
        <v>0</v>
      </c>
      <c r="BB1284" s="440">
        <v>0</v>
      </c>
      <c r="BC1284" s="440">
        <v>0</v>
      </c>
      <c r="BD1284" s="440">
        <v>0</v>
      </c>
      <c r="BE1284" s="440">
        <v>0</v>
      </c>
      <c r="BF1284" s="440">
        <v>0</v>
      </c>
      <c r="BG1284" s="440">
        <v>0</v>
      </c>
      <c r="BH1284" s="440">
        <v>0</v>
      </c>
      <c r="BI1284" s="440">
        <v>0</v>
      </c>
      <c r="BJ1284" s="440">
        <v>0</v>
      </c>
      <c r="BK1284" s="440">
        <v>0</v>
      </c>
      <c r="BL1284" s="440">
        <v>0</v>
      </c>
      <c r="BM1284" s="440">
        <v>0</v>
      </c>
      <c r="BN1284" s="440">
        <v>0</v>
      </c>
      <c r="BO1284" s="440">
        <v>0</v>
      </c>
      <c r="BP1284" s="440">
        <v>0</v>
      </c>
      <c r="BQ1284" s="440">
        <v>0</v>
      </c>
      <c r="BR1284" s="415">
        <v>0.66666666666666663</v>
      </c>
      <c r="BS1284" s="415">
        <v>0.66666666666666663</v>
      </c>
      <c r="BT1284" s="935"/>
      <c r="BU1284" s="935"/>
      <c r="BV1284" s="935"/>
      <c r="BW1284" s="935"/>
      <c r="BX1284" s="935"/>
      <c r="BY1284" s="935"/>
      <c r="BZ1284" s="935"/>
      <c r="CA1284" s="935"/>
      <c r="CB1284" s="935"/>
      <c r="CC1284" s="935"/>
      <c r="CD1284" s="935"/>
      <c r="CE1284" s="935"/>
      <c r="CF1284" s="935"/>
      <c r="CG1284" s="935"/>
      <c r="CH1284" s="935"/>
      <c r="CI1284" s="935"/>
      <c r="CJ1284" s="935"/>
      <c r="CK1284" s="935"/>
      <c r="CL1284" s="935"/>
      <c r="CM1284" s="935"/>
      <c r="CN1284" s="935"/>
      <c r="CO1284" s="935"/>
      <c r="CP1284" s="935"/>
      <c r="CQ1284" s="935"/>
      <c r="CR1284" s="935"/>
      <c r="CS1284" s="935"/>
      <c r="CT1284" s="935"/>
      <c r="CU1284" s="935"/>
      <c r="CV1284" s="935"/>
    </row>
    <row r="1285" spans="1:100" s="441" customFormat="1">
      <c r="A1285" s="375">
        <f t="shared" ref="A1285:A1348" si="356">MONTH(B1285)</f>
        <v>11</v>
      </c>
      <c r="B1285" s="862">
        <v>44518</v>
      </c>
      <c r="C1285" s="493" t="s">
        <v>1980</v>
      </c>
      <c r="D1285" s="376" t="str">
        <f>IFERROR(VLOOKUP(E:E,'Item Data Support Sheet'!A:O,7,0),"")</f>
        <v>NIPPLE MOLDED</v>
      </c>
      <c r="E1285" s="447" t="s">
        <v>74</v>
      </c>
      <c r="F1285" s="500" t="s">
        <v>1678</v>
      </c>
      <c r="G1285" s="497" t="s">
        <v>1691</v>
      </c>
      <c r="H1285" s="602" t="str">
        <f>IFERROR(VLOOKUP(E:E,'Item Data Support Sheet'!A:O,2,0),"")</f>
        <v>NIPPLE S TYPE L SIZE INJECTION</v>
      </c>
      <c r="I1285" s="501" t="s">
        <v>4060</v>
      </c>
      <c r="J1285" s="501" t="s">
        <v>2808</v>
      </c>
      <c r="K1285" s="499">
        <v>8</v>
      </c>
      <c r="L1285" s="499">
        <v>4815</v>
      </c>
      <c r="M1285" s="366">
        <v>601.875</v>
      </c>
      <c r="N1285" s="367">
        <f t="shared" si="355"/>
        <v>4307</v>
      </c>
      <c r="O1285" s="61">
        <v>4200</v>
      </c>
      <c r="P1285" s="368">
        <v>4.5670000000000002</v>
      </c>
      <c r="Q1285" s="368">
        <v>58</v>
      </c>
      <c r="R1285" s="494">
        <v>0</v>
      </c>
      <c r="S1285" s="493">
        <v>0</v>
      </c>
      <c r="T1285" s="494">
        <v>41</v>
      </c>
      <c r="U1285" s="493">
        <v>8</v>
      </c>
      <c r="V1285" s="502">
        <v>1</v>
      </c>
      <c r="W1285" s="453">
        <f t="shared" ref="W1285:W1348" si="357">IFERROR(O1285/V1285,0)</f>
        <v>4200</v>
      </c>
      <c r="X1285" s="748">
        <f t="shared" ref="X1285:X1348" si="358">O1285/L1285</f>
        <v>0.87227414330218067</v>
      </c>
      <c r="Y1285" s="451" t="str">
        <f>IFERROR(VLOOKUP(E:E,'Item Data Support Sheet'!A:J,6,0),0)</f>
        <v>Silicon</v>
      </c>
      <c r="Z1285" s="428">
        <f>IFERROR(VLOOKUP(E:E,'Item Data Support Sheet'!A:O,4,0),0)</f>
        <v>6.8</v>
      </c>
      <c r="AA1285" s="428">
        <f t="shared" ref="AA1285:AA1348" si="359">IFERROR(((N1285)*(Z1285/1000))+P1285,0)</f>
        <v>33.854599999999998</v>
      </c>
      <c r="AB1285" s="429">
        <f t="shared" ref="AB1285:AB1348" si="360">IFERROR((O1285*(Z1285/1000)/(AA1285))," ")</f>
        <v>0.84360766336037052</v>
      </c>
      <c r="AC1285" s="424">
        <f t="shared" ref="AC1285:AC1348" si="361">IFERROR((T1285)/((T1285)+O1285),0)</f>
        <v>9.6675312426314549E-3</v>
      </c>
      <c r="AD1285" s="371">
        <f t="shared" ref="AD1285:AD1348" si="362">IFERROR(Q1285/(Q1285+N1285),0)</f>
        <v>1.3287514318442153E-2</v>
      </c>
      <c r="AE1285" s="748">
        <f t="shared" ref="AE1285:AE1348" si="363">(N1285-T1285)/N1285</f>
        <v>0.99048061295565359</v>
      </c>
      <c r="AF1285" s="417">
        <f t="shared" ref="AF1285:AF1348" si="364">BR1285</f>
        <v>1.6666666666666667</v>
      </c>
      <c r="AG1285" s="416">
        <f t="shared" ref="AG1285:AG1348" si="365">K1285-AF1285</f>
        <v>6.333333333333333</v>
      </c>
      <c r="AH1285" s="372">
        <f t="shared" ref="AH1285:AH1348" si="366">IFERROR(AG1285/K1285," ")</f>
        <v>0.79166666666666663</v>
      </c>
      <c r="AI1285" s="373">
        <f t="shared" ref="AI1285:AI1348" si="367">IFERROR(O1285/K1285,0)</f>
        <v>525</v>
      </c>
      <c r="AJ1285" s="418">
        <f>VLOOKUP(D1285,'Standard Cycle time'!C:D,2,0)</f>
        <v>5.25</v>
      </c>
      <c r="AK1285" s="418">
        <f t="shared" ref="AK1285:AK1348" si="368">AG1285*V1285*3600/O1285</f>
        <v>5.4285714285714288</v>
      </c>
      <c r="AL1285" s="374">
        <f t="shared" ref="AL1285:AL1348" si="369">AJ1285/AK1285</f>
        <v>0.96710526315789469</v>
      </c>
      <c r="AM1285" s="372">
        <f t="shared" ref="AM1285:AM1348" si="370">AE1285*AL1285*AH1285</f>
        <v>0.75833671929417223</v>
      </c>
      <c r="AN1285" s="799">
        <v>0.75833671929417223</v>
      </c>
      <c r="AO1285" s="448"/>
      <c r="AP1285" s="440">
        <v>0</v>
      </c>
      <c r="AQ1285" s="440">
        <v>0</v>
      </c>
      <c r="AR1285" s="440">
        <v>0</v>
      </c>
      <c r="AS1285" s="440">
        <v>0</v>
      </c>
      <c r="AT1285" s="440">
        <v>0</v>
      </c>
      <c r="AU1285" s="440">
        <v>40</v>
      </c>
      <c r="AV1285" s="440">
        <v>30</v>
      </c>
      <c r="AW1285" s="440">
        <v>0</v>
      </c>
      <c r="AX1285" s="440">
        <v>30</v>
      </c>
      <c r="AY1285" s="440">
        <v>0</v>
      </c>
      <c r="AZ1285" s="440">
        <v>0</v>
      </c>
      <c r="BA1285" s="440">
        <v>0</v>
      </c>
      <c r="BB1285" s="440">
        <v>0</v>
      </c>
      <c r="BC1285" s="440">
        <v>0</v>
      </c>
      <c r="BD1285" s="440">
        <v>0</v>
      </c>
      <c r="BE1285" s="440">
        <v>0</v>
      </c>
      <c r="BF1285" s="440">
        <v>0</v>
      </c>
      <c r="BG1285" s="440">
        <v>0</v>
      </c>
      <c r="BH1285" s="440">
        <v>0</v>
      </c>
      <c r="BI1285" s="440">
        <v>0</v>
      </c>
      <c r="BJ1285" s="440">
        <v>0</v>
      </c>
      <c r="BK1285" s="440">
        <v>0</v>
      </c>
      <c r="BL1285" s="440">
        <v>0</v>
      </c>
      <c r="BM1285" s="440">
        <v>0</v>
      </c>
      <c r="BN1285" s="440">
        <v>0</v>
      </c>
      <c r="BO1285" s="440">
        <v>0</v>
      </c>
      <c r="BP1285" s="440">
        <v>0</v>
      </c>
      <c r="BQ1285" s="440">
        <v>0</v>
      </c>
      <c r="BR1285" s="415">
        <v>1.6666666666666667</v>
      </c>
      <c r="BS1285" s="415">
        <v>1.6666666666666667</v>
      </c>
      <c r="BT1285" s="935"/>
      <c r="BU1285" s="935"/>
      <c r="BV1285" s="935"/>
      <c r="BW1285" s="935"/>
      <c r="BX1285" s="935"/>
      <c r="BY1285" s="935"/>
      <c r="BZ1285" s="935"/>
      <c r="CA1285" s="935"/>
      <c r="CB1285" s="935"/>
      <c r="CC1285" s="935"/>
      <c r="CD1285" s="935"/>
      <c r="CE1285" s="935"/>
      <c r="CF1285" s="935"/>
      <c r="CG1285" s="935"/>
      <c r="CH1285" s="935"/>
      <c r="CI1285" s="935"/>
      <c r="CJ1285" s="935"/>
      <c r="CK1285" s="935"/>
      <c r="CL1285" s="935"/>
      <c r="CM1285" s="935"/>
      <c r="CN1285" s="935"/>
      <c r="CO1285" s="935"/>
      <c r="CP1285" s="935"/>
      <c r="CQ1285" s="935"/>
      <c r="CR1285" s="935"/>
      <c r="CS1285" s="935"/>
      <c r="CT1285" s="935"/>
      <c r="CU1285" s="935"/>
      <c r="CV1285" s="935"/>
    </row>
    <row r="1286" spans="1:100" s="441" customFormat="1">
      <c r="A1286" s="375">
        <f t="shared" si="356"/>
        <v>11</v>
      </c>
      <c r="B1286" s="862">
        <v>44518</v>
      </c>
      <c r="C1286" s="493" t="s">
        <v>1980</v>
      </c>
      <c r="D1286" s="376" t="str">
        <f>IFERROR(VLOOKUP(E:E,'Item Data Support Sheet'!A:O,7,0),"")</f>
        <v>BOTTLE MOLDED</v>
      </c>
      <c r="E1286" s="447" t="s">
        <v>67</v>
      </c>
      <c r="F1286" s="500" t="s">
        <v>1682</v>
      </c>
      <c r="G1286" s="497" t="s">
        <v>1665</v>
      </c>
      <c r="H1286" s="602" t="str">
        <f>IFERROR(VLOOKUP(E:E,'Item Data Support Sheet'!A:O,2,0),"")</f>
        <v>RPP 120 ML BOTTLE MOLDED</v>
      </c>
      <c r="I1286" s="501" t="s">
        <v>4066</v>
      </c>
      <c r="J1286" s="501" t="s">
        <v>2808</v>
      </c>
      <c r="K1286" s="499">
        <v>8</v>
      </c>
      <c r="L1286" s="499">
        <v>2574</v>
      </c>
      <c r="M1286" s="366">
        <v>321.75</v>
      </c>
      <c r="N1286" s="367">
        <f t="shared" si="355"/>
        <v>2872</v>
      </c>
      <c r="O1286" s="61">
        <v>2700</v>
      </c>
      <c r="P1286" s="368">
        <v>0</v>
      </c>
      <c r="Q1286" s="368">
        <v>92</v>
      </c>
      <c r="R1286" s="494">
        <v>0</v>
      </c>
      <c r="S1286" s="493">
        <v>0</v>
      </c>
      <c r="T1286" s="494">
        <v>72</v>
      </c>
      <c r="U1286" s="493">
        <v>8</v>
      </c>
      <c r="V1286" s="502">
        <v>1</v>
      </c>
      <c r="W1286" s="453">
        <f t="shared" si="357"/>
        <v>2700</v>
      </c>
      <c r="X1286" s="748">
        <f t="shared" si="358"/>
        <v>1.048951048951049</v>
      </c>
      <c r="Y1286" s="451" t="str">
        <f>IFERROR(VLOOKUP(E:E,'Item Data Support Sheet'!A:J,6,0),0)</f>
        <v>HMC</v>
      </c>
      <c r="Z1286" s="428">
        <f>IFERROR(VLOOKUP(E:E,'Item Data Support Sheet'!A:O,4,0),0)</f>
        <v>21.3</v>
      </c>
      <c r="AA1286" s="428">
        <f t="shared" si="359"/>
        <v>61.1736</v>
      </c>
      <c r="AB1286" s="429">
        <f t="shared" si="360"/>
        <v>0.94011142061281339</v>
      </c>
      <c r="AC1286" s="424">
        <f t="shared" si="361"/>
        <v>2.5974025974025976E-2</v>
      </c>
      <c r="AD1286" s="371">
        <f t="shared" si="362"/>
        <v>3.1039136302294199E-2</v>
      </c>
      <c r="AE1286" s="748">
        <f t="shared" si="363"/>
        <v>0.97493036211699169</v>
      </c>
      <c r="AF1286" s="417">
        <f t="shared" si="364"/>
        <v>0</v>
      </c>
      <c r="AG1286" s="416">
        <f t="shared" si="365"/>
        <v>8</v>
      </c>
      <c r="AH1286" s="372">
        <f t="shared" si="366"/>
        <v>1</v>
      </c>
      <c r="AI1286" s="373">
        <f t="shared" si="367"/>
        <v>337.5</v>
      </c>
      <c r="AJ1286" s="418">
        <f>VLOOKUP(D1286,'Standard Cycle time'!C:D,2,0)</f>
        <v>9</v>
      </c>
      <c r="AK1286" s="418">
        <f t="shared" si="368"/>
        <v>10.666666666666666</v>
      </c>
      <c r="AL1286" s="374">
        <f t="shared" si="369"/>
        <v>0.84375</v>
      </c>
      <c r="AM1286" s="372">
        <f t="shared" si="370"/>
        <v>0.82259749303621177</v>
      </c>
      <c r="AN1286" s="799">
        <v>0.82259749303621177</v>
      </c>
      <c r="AO1286" s="448"/>
      <c r="AP1286" s="440">
        <v>0</v>
      </c>
      <c r="AQ1286" s="440">
        <v>0</v>
      </c>
      <c r="AR1286" s="440">
        <v>0</v>
      </c>
      <c r="AS1286" s="440">
        <v>0</v>
      </c>
      <c r="AT1286" s="440">
        <v>0</v>
      </c>
      <c r="AU1286" s="440">
        <v>0</v>
      </c>
      <c r="AV1286" s="440">
        <v>0</v>
      </c>
      <c r="AW1286" s="440">
        <v>0</v>
      </c>
      <c r="AX1286" s="440">
        <v>0</v>
      </c>
      <c r="AY1286" s="440">
        <v>0</v>
      </c>
      <c r="AZ1286" s="440">
        <v>0</v>
      </c>
      <c r="BA1286" s="440">
        <v>0</v>
      </c>
      <c r="BB1286" s="440">
        <v>0</v>
      </c>
      <c r="BC1286" s="440">
        <v>0</v>
      </c>
      <c r="BD1286" s="440">
        <v>0</v>
      </c>
      <c r="BE1286" s="440">
        <v>0</v>
      </c>
      <c r="BF1286" s="440">
        <v>0</v>
      </c>
      <c r="BG1286" s="440">
        <v>0</v>
      </c>
      <c r="BH1286" s="440">
        <v>0</v>
      </c>
      <c r="BI1286" s="440">
        <v>0</v>
      </c>
      <c r="BJ1286" s="440">
        <v>0</v>
      </c>
      <c r="BK1286" s="440">
        <v>0</v>
      </c>
      <c r="BL1286" s="440">
        <v>0</v>
      </c>
      <c r="BM1286" s="440">
        <v>0</v>
      </c>
      <c r="BN1286" s="440">
        <v>0</v>
      </c>
      <c r="BO1286" s="440">
        <v>0</v>
      </c>
      <c r="BP1286" s="440">
        <v>0</v>
      </c>
      <c r="BQ1286" s="440">
        <v>0</v>
      </c>
      <c r="BR1286" s="415">
        <v>0</v>
      </c>
      <c r="BS1286" s="415">
        <v>0</v>
      </c>
      <c r="BT1286" s="935"/>
      <c r="BU1286" s="935"/>
      <c r="BV1286" s="935"/>
      <c r="BW1286" s="935"/>
      <c r="BX1286" s="935"/>
      <c r="BY1286" s="935"/>
      <c r="BZ1286" s="935"/>
      <c r="CA1286" s="935"/>
      <c r="CB1286" s="935"/>
      <c r="CC1286" s="935"/>
      <c r="CD1286" s="935"/>
      <c r="CE1286" s="935"/>
      <c r="CF1286" s="935"/>
      <c r="CG1286" s="935"/>
      <c r="CH1286" s="935"/>
      <c r="CI1286" s="935"/>
      <c r="CJ1286" s="935"/>
      <c r="CK1286" s="935"/>
      <c r="CL1286" s="935"/>
      <c r="CM1286" s="935"/>
      <c r="CN1286" s="935"/>
      <c r="CO1286" s="935"/>
      <c r="CP1286" s="935"/>
      <c r="CQ1286" s="935"/>
      <c r="CR1286" s="935"/>
      <c r="CS1286" s="935"/>
      <c r="CT1286" s="935"/>
      <c r="CU1286" s="935"/>
      <c r="CV1286" s="935"/>
    </row>
    <row r="1287" spans="1:100" s="441" customFormat="1">
      <c r="A1287" s="375">
        <f t="shared" si="356"/>
        <v>11</v>
      </c>
      <c r="B1287" s="862">
        <v>44518</v>
      </c>
      <c r="C1287" s="493" t="s">
        <v>1980</v>
      </c>
      <c r="D1287" s="376" t="str">
        <f>IFERROR(VLOOKUP(E:E,'Item Data Support Sheet'!A:O,7,0),"")</f>
        <v>BOTTLE PRINTED</v>
      </c>
      <c r="E1287" s="447" t="s">
        <v>64</v>
      </c>
      <c r="F1287" s="500"/>
      <c r="G1287" s="497" t="s">
        <v>1698</v>
      </c>
      <c r="H1287" s="602" t="str">
        <f>IFERROR(VLOOKUP(E:E,'Item Data Support Sheet'!A:O,2,0),"")</f>
        <v>KPP 240 ML BOTTLE PRINTED</v>
      </c>
      <c r="I1287" s="501" t="s">
        <v>4067</v>
      </c>
      <c r="J1287" s="501" t="s">
        <v>3942</v>
      </c>
      <c r="K1287" s="499">
        <v>3</v>
      </c>
      <c r="L1287" s="499">
        <v>1926</v>
      </c>
      <c r="M1287" s="366">
        <v>642</v>
      </c>
      <c r="N1287" s="367">
        <f t="shared" si="355"/>
        <v>928</v>
      </c>
      <c r="O1287" s="61">
        <v>917</v>
      </c>
      <c r="P1287" s="368">
        <v>0</v>
      </c>
      <c r="Q1287" s="368">
        <v>0</v>
      </c>
      <c r="R1287" s="494">
        <v>7</v>
      </c>
      <c r="S1287" s="493">
        <v>0</v>
      </c>
      <c r="T1287" s="494">
        <v>11</v>
      </c>
      <c r="U1287" s="493">
        <v>0</v>
      </c>
      <c r="V1287" s="502">
        <v>4</v>
      </c>
      <c r="W1287" s="453">
        <f t="shared" si="357"/>
        <v>229.25</v>
      </c>
      <c r="X1287" s="748">
        <f t="shared" si="358"/>
        <v>0.47611630321910697</v>
      </c>
      <c r="Y1287" s="451" t="str">
        <f>IFERROR(VLOOKUP(E:E,'Item Data Support Sheet'!A:J,6,0),0)</f>
        <v>FO003</v>
      </c>
      <c r="Z1287" s="428">
        <f>IFERROR(VLOOKUP(E:E,'Item Data Support Sheet'!A:O,4,0),0)</f>
        <v>0</v>
      </c>
      <c r="AA1287" s="428">
        <f t="shared" si="359"/>
        <v>0</v>
      </c>
      <c r="AB1287" s="429" t="str">
        <f t="shared" si="360"/>
        <v xml:space="preserve"> </v>
      </c>
      <c r="AC1287" s="424">
        <f t="shared" si="361"/>
        <v>1.1853448275862068E-2</v>
      </c>
      <c r="AD1287" s="371">
        <f t="shared" si="362"/>
        <v>0</v>
      </c>
      <c r="AE1287" s="748">
        <f t="shared" si="363"/>
        <v>0.9881465517241379</v>
      </c>
      <c r="AF1287" s="417">
        <f t="shared" si="364"/>
        <v>0.66666666666666663</v>
      </c>
      <c r="AG1287" s="416">
        <f t="shared" si="365"/>
        <v>2.3333333333333335</v>
      </c>
      <c r="AH1287" s="372">
        <f t="shared" si="366"/>
        <v>0.77777777777777779</v>
      </c>
      <c r="AI1287" s="373">
        <f t="shared" si="367"/>
        <v>305.66666666666669</v>
      </c>
      <c r="AJ1287" s="418">
        <f>VLOOKUP(D1287,'Standard Cycle time'!C:D,2,0)</f>
        <v>32.4</v>
      </c>
      <c r="AK1287" s="418">
        <f t="shared" si="368"/>
        <v>36.641221374045799</v>
      </c>
      <c r="AL1287" s="374">
        <f t="shared" si="369"/>
        <v>0.88424999999999998</v>
      </c>
      <c r="AM1287" s="372">
        <f t="shared" si="370"/>
        <v>0.67959779094827588</v>
      </c>
      <c r="AN1287" s="799">
        <v>0.67959779094827588</v>
      </c>
      <c r="AO1287" s="448" t="s">
        <v>4068</v>
      </c>
      <c r="AP1287" s="440">
        <v>0</v>
      </c>
      <c r="AQ1287" s="440">
        <v>40</v>
      </c>
      <c r="AR1287" s="440">
        <v>0</v>
      </c>
      <c r="AS1287" s="440">
        <v>0</v>
      </c>
      <c r="AT1287" s="440">
        <v>0</v>
      </c>
      <c r="AU1287" s="440">
        <v>0</v>
      </c>
      <c r="AV1287" s="440">
        <v>0</v>
      </c>
      <c r="AW1287" s="440">
        <v>0</v>
      </c>
      <c r="AX1287" s="440">
        <v>0</v>
      </c>
      <c r="AY1287" s="440">
        <v>0</v>
      </c>
      <c r="AZ1287" s="440">
        <v>0</v>
      </c>
      <c r="BA1287" s="440">
        <v>0</v>
      </c>
      <c r="BB1287" s="440">
        <v>0</v>
      </c>
      <c r="BC1287" s="440">
        <v>0</v>
      </c>
      <c r="BD1287" s="440">
        <v>0</v>
      </c>
      <c r="BE1287" s="440">
        <v>0</v>
      </c>
      <c r="BF1287" s="440">
        <v>0</v>
      </c>
      <c r="BG1287" s="440">
        <v>0</v>
      </c>
      <c r="BH1287" s="440">
        <v>0</v>
      </c>
      <c r="BI1287" s="440">
        <v>0</v>
      </c>
      <c r="BJ1287" s="440">
        <v>0</v>
      </c>
      <c r="BK1287" s="440">
        <v>0</v>
      </c>
      <c r="BL1287" s="440">
        <v>0</v>
      </c>
      <c r="BM1287" s="440">
        <v>0</v>
      </c>
      <c r="BN1287" s="440">
        <v>0</v>
      </c>
      <c r="BO1287" s="440">
        <v>0</v>
      </c>
      <c r="BP1287" s="440">
        <v>0</v>
      </c>
      <c r="BQ1287" s="440">
        <v>0</v>
      </c>
      <c r="BR1287" s="415">
        <v>0.66666666666666663</v>
      </c>
      <c r="BS1287" s="415">
        <v>0.66666666666666663</v>
      </c>
      <c r="BT1287" s="935"/>
      <c r="BU1287" s="935"/>
      <c r="BV1287" s="935"/>
      <c r="BW1287" s="935"/>
      <c r="BX1287" s="935"/>
      <c r="BY1287" s="935"/>
      <c r="BZ1287" s="935"/>
      <c r="CA1287" s="935"/>
      <c r="CB1287" s="935"/>
      <c r="CC1287" s="935"/>
      <c r="CD1287" s="935"/>
      <c r="CE1287" s="935"/>
      <c r="CF1287" s="935"/>
      <c r="CG1287" s="935"/>
      <c r="CH1287" s="935"/>
      <c r="CI1287" s="935"/>
      <c r="CJ1287" s="935"/>
      <c r="CK1287" s="935"/>
      <c r="CL1287" s="935"/>
      <c r="CM1287" s="935"/>
      <c r="CN1287" s="935"/>
      <c r="CO1287" s="935"/>
      <c r="CP1287" s="935"/>
      <c r="CQ1287" s="935"/>
      <c r="CR1287" s="935"/>
      <c r="CS1287" s="935"/>
      <c r="CT1287" s="935"/>
      <c r="CU1287" s="935"/>
      <c r="CV1287" s="935"/>
    </row>
    <row r="1288" spans="1:100" s="441" customFormat="1">
      <c r="A1288" s="375">
        <f t="shared" si="356"/>
        <v>11</v>
      </c>
      <c r="B1288" s="862">
        <v>44518</v>
      </c>
      <c r="C1288" s="493" t="s">
        <v>1980</v>
      </c>
      <c r="D1288" s="376" t="str">
        <f>IFERROR(VLOOKUP(E:E,'Item Data Support Sheet'!A:O,7,0),"")</f>
        <v>BOTTLE PRINTED</v>
      </c>
      <c r="E1288" s="447" t="s">
        <v>187</v>
      </c>
      <c r="F1288" s="500"/>
      <c r="G1288" s="497"/>
      <c r="H1288" s="602" t="str">
        <f>IFERROR(VLOOKUP(E:E,'Item Data Support Sheet'!A:O,2,0),"")</f>
        <v>KPP 240 BOTTLE PRINTED (WMG3B) W/O OZ &amp; W/BIS LOGO</v>
      </c>
      <c r="I1288" s="501" t="s">
        <v>4069</v>
      </c>
      <c r="J1288" s="501" t="s">
        <v>3942</v>
      </c>
      <c r="K1288" s="499">
        <v>2</v>
      </c>
      <c r="L1288" s="499">
        <v>1284</v>
      </c>
      <c r="M1288" s="366">
        <v>642</v>
      </c>
      <c r="N1288" s="367">
        <f t="shared" si="355"/>
        <v>535</v>
      </c>
      <c r="O1288" s="61">
        <v>524</v>
      </c>
      <c r="P1288" s="368">
        <v>0</v>
      </c>
      <c r="Q1288" s="368">
        <v>0</v>
      </c>
      <c r="R1288" s="494">
        <v>6</v>
      </c>
      <c r="S1288" s="493">
        <v>0</v>
      </c>
      <c r="T1288" s="494">
        <v>11</v>
      </c>
      <c r="U1288" s="493">
        <v>0</v>
      </c>
      <c r="V1288" s="502">
        <v>5</v>
      </c>
      <c r="W1288" s="453">
        <f t="shared" si="357"/>
        <v>104.8</v>
      </c>
      <c r="X1288" s="748">
        <f t="shared" si="358"/>
        <v>0.40809968847352024</v>
      </c>
      <c r="Y1288" s="451" t="str">
        <f>IFERROR(VLOOKUP(E:E,'Item Data Support Sheet'!A:J,6,0),0)</f>
        <v>FO044</v>
      </c>
      <c r="Z1288" s="428">
        <f>IFERROR(VLOOKUP(E:E,'Item Data Support Sheet'!A:O,4,0),0)</f>
        <v>0</v>
      </c>
      <c r="AA1288" s="428">
        <f t="shared" si="359"/>
        <v>0</v>
      </c>
      <c r="AB1288" s="429" t="str">
        <f t="shared" si="360"/>
        <v xml:space="preserve"> </v>
      </c>
      <c r="AC1288" s="424">
        <f t="shared" si="361"/>
        <v>2.0560747663551402E-2</v>
      </c>
      <c r="AD1288" s="371">
        <f t="shared" si="362"/>
        <v>0</v>
      </c>
      <c r="AE1288" s="748">
        <f t="shared" si="363"/>
        <v>0.97943925233644857</v>
      </c>
      <c r="AF1288" s="417">
        <f t="shared" si="364"/>
        <v>1</v>
      </c>
      <c r="AG1288" s="416">
        <f t="shared" si="365"/>
        <v>1</v>
      </c>
      <c r="AH1288" s="372">
        <f t="shared" si="366"/>
        <v>0.5</v>
      </c>
      <c r="AI1288" s="373">
        <f t="shared" si="367"/>
        <v>262</v>
      </c>
      <c r="AJ1288" s="418">
        <f>VLOOKUP(D1288,'Standard Cycle time'!C:D,2,0)</f>
        <v>32.4</v>
      </c>
      <c r="AK1288" s="418">
        <f t="shared" si="368"/>
        <v>34.351145038167942</v>
      </c>
      <c r="AL1288" s="374">
        <f t="shared" si="369"/>
        <v>0.94319999999999982</v>
      </c>
      <c r="AM1288" s="372">
        <f t="shared" si="370"/>
        <v>0.46190355140186906</v>
      </c>
      <c r="AN1288" s="799">
        <v>0.46190355140186906</v>
      </c>
      <c r="AO1288" s="448" t="s">
        <v>4070</v>
      </c>
      <c r="AP1288" s="440">
        <v>0</v>
      </c>
      <c r="AQ1288" s="440">
        <v>60</v>
      </c>
      <c r="AR1288" s="440">
        <v>0</v>
      </c>
      <c r="AS1288" s="440">
        <v>0</v>
      </c>
      <c r="AT1288" s="440">
        <v>0</v>
      </c>
      <c r="AU1288" s="440">
        <v>0</v>
      </c>
      <c r="AV1288" s="440">
        <v>0</v>
      </c>
      <c r="AW1288" s="440">
        <v>0</v>
      </c>
      <c r="AX1288" s="440">
        <v>0</v>
      </c>
      <c r="AY1288" s="440">
        <v>0</v>
      </c>
      <c r="AZ1288" s="440">
        <v>0</v>
      </c>
      <c r="BA1288" s="440">
        <v>0</v>
      </c>
      <c r="BB1288" s="440">
        <v>0</v>
      </c>
      <c r="BC1288" s="440">
        <v>0</v>
      </c>
      <c r="BD1288" s="440">
        <v>0</v>
      </c>
      <c r="BE1288" s="440">
        <v>0</v>
      </c>
      <c r="BF1288" s="440">
        <v>0</v>
      </c>
      <c r="BG1288" s="440">
        <v>0</v>
      </c>
      <c r="BH1288" s="440">
        <v>0</v>
      </c>
      <c r="BI1288" s="440">
        <v>0</v>
      </c>
      <c r="BJ1288" s="440">
        <v>0</v>
      </c>
      <c r="BK1288" s="440">
        <v>0</v>
      </c>
      <c r="BL1288" s="440">
        <v>0</v>
      </c>
      <c r="BM1288" s="440">
        <v>0</v>
      </c>
      <c r="BN1288" s="440">
        <v>0</v>
      </c>
      <c r="BO1288" s="440">
        <v>0</v>
      </c>
      <c r="BP1288" s="440">
        <v>0</v>
      </c>
      <c r="BQ1288" s="440">
        <v>0</v>
      </c>
      <c r="BR1288" s="415">
        <v>1</v>
      </c>
      <c r="BS1288" s="415">
        <v>1</v>
      </c>
      <c r="BT1288" s="935"/>
      <c r="BU1288" s="935"/>
      <c r="BV1288" s="935"/>
      <c r="BW1288" s="935"/>
      <c r="BX1288" s="935"/>
      <c r="BY1288" s="935"/>
      <c r="BZ1288" s="935"/>
      <c r="CA1288" s="935"/>
      <c r="CB1288" s="935"/>
      <c r="CC1288" s="935"/>
      <c r="CD1288" s="935"/>
      <c r="CE1288" s="935"/>
      <c r="CF1288" s="935"/>
      <c r="CG1288" s="935"/>
      <c r="CH1288" s="935"/>
      <c r="CI1288" s="935"/>
      <c r="CJ1288" s="935"/>
      <c r="CK1288" s="935"/>
      <c r="CL1288" s="935"/>
      <c r="CM1288" s="935"/>
      <c r="CN1288" s="935"/>
      <c r="CO1288" s="935"/>
      <c r="CP1288" s="935"/>
      <c r="CQ1288" s="935"/>
      <c r="CR1288" s="935"/>
      <c r="CS1288" s="935"/>
      <c r="CT1288" s="935"/>
      <c r="CU1288" s="935"/>
      <c r="CV1288" s="935"/>
    </row>
    <row r="1289" spans="1:100" s="441" customFormat="1">
      <c r="A1289" s="375">
        <f t="shared" si="356"/>
        <v>11</v>
      </c>
      <c r="B1289" s="862">
        <v>44518</v>
      </c>
      <c r="C1289" s="493" t="s">
        <v>1980</v>
      </c>
      <c r="D1289" s="376" t="str">
        <f>IFERROR(VLOOKUP(E:E,'Item Data Support Sheet'!A:O,7,0),"")</f>
        <v>BOTTLE PRINTED</v>
      </c>
      <c r="E1289" s="447" t="s">
        <v>15</v>
      </c>
      <c r="F1289" s="500"/>
      <c r="G1289" s="497"/>
      <c r="H1289" s="602" t="str">
        <f>IFERROR(VLOOKUP(E:E,'Item Data Support Sheet'!A:O,2,0),"")</f>
        <v>RPP 240 ML BOTTLE PRINTED</v>
      </c>
      <c r="I1289" s="501" t="s">
        <v>4071</v>
      </c>
      <c r="J1289" s="501" t="s">
        <v>3942</v>
      </c>
      <c r="K1289" s="499">
        <v>3</v>
      </c>
      <c r="L1289" s="499">
        <v>1926</v>
      </c>
      <c r="M1289" s="366">
        <v>642</v>
      </c>
      <c r="N1289" s="367">
        <f t="shared" si="355"/>
        <v>2052</v>
      </c>
      <c r="O1289" s="61">
        <v>2040</v>
      </c>
      <c r="P1289" s="368">
        <v>0</v>
      </c>
      <c r="Q1289" s="368">
        <v>0</v>
      </c>
      <c r="R1289" s="494">
        <v>17</v>
      </c>
      <c r="S1289" s="493">
        <v>0</v>
      </c>
      <c r="T1289" s="494">
        <v>12</v>
      </c>
      <c r="U1289" s="493">
        <v>0</v>
      </c>
      <c r="V1289" s="502">
        <v>5</v>
      </c>
      <c r="W1289" s="453">
        <f t="shared" si="357"/>
        <v>408</v>
      </c>
      <c r="X1289" s="748">
        <f t="shared" si="358"/>
        <v>1.0591900311526479</v>
      </c>
      <c r="Y1289" s="451" t="str">
        <f>IFERROR(VLOOKUP(E:E,'Item Data Support Sheet'!A:J,6,0),0)</f>
        <v>FO005</v>
      </c>
      <c r="Z1289" s="428">
        <f>IFERROR(VLOOKUP(E:E,'Item Data Support Sheet'!A:O,4,0),0)</f>
        <v>0</v>
      </c>
      <c r="AA1289" s="428">
        <f t="shared" si="359"/>
        <v>0</v>
      </c>
      <c r="AB1289" s="429" t="str">
        <f t="shared" si="360"/>
        <v xml:space="preserve"> </v>
      </c>
      <c r="AC1289" s="424">
        <f t="shared" si="361"/>
        <v>5.8479532163742687E-3</v>
      </c>
      <c r="AD1289" s="371">
        <f t="shared" si="362"/>
        <v>0</v>
      </c>
      <c r="AE1289" s="748">
        <f t="shared" si="363"/>
        <v>0.99415204678362568</v>
      </c>
      <c r="AF1289" s="417">
        <f t="shared" si="364"/>
        <v>0</v>
      </c>
      <c r="AG1289" s="416">
        <f t="shared" si="365"/>
        <v>3</v>
      </c>
      <c r="AH1289" s="372">
        <f t="shared" si="366"/>
        <v>1</v>
      </c>
      <c r="AI1289" s="373">
        <f t="shared" si="367"/>
        <v>680</v>
      </c>
      <c r="AJ1289" s="418">
        <f>VLOOKUP(D1289,'Standard Cycle time'!C:D,2,0)</f>
        <v>32.4</v>
      </c>
      <c r="AK1289" s="418">
        <f t="shared" si="368"/>
        <v>26.470588235294116</v>
      </c>
      <c r="AL1289" s="374">
        <f t="shared" si="369"/>
        <v>1.224</v>
      </c>
      <c r="AM1289" s="372">
        <f t="shared" si="370"/>
        <v>1.2168421052631577</v>
      </c>
      <c r="AN1289" s="799">
        <v>1.2168421052631577</v>
      </c>
      <c r="AO1289" s="448"/>
      <c r="AP1289" s="440">
        <v>0</v>
      </c>
      <c r="AQ1289" s="440">
        <v>0</v>
      </c>
      <c r="AR1289" s="440">
        <v>0</v>
      </c>
      <c r="AS1289" s="440">
        <v>0</v>
      </c>
      <c r="AT1289" s="440">
        <v>0</v>
      </c>
      <c r="AU1289" s="440">
        <v>0</v>
      </c>
      <c r="AV1289" s="440">
        <v>0</v>
      </c>
      <c r="AW1289" s="440">
        <v>0</v>
      </c>
      <c r="AX1289" s="440">
        <v>0</v>
      </c>
      <c r="AY1289" s="440">
        <v>0</v>
      </c>
      <c r="AZ1289" s="440">
        <v>0</v>
      </c>
      <c r="BA1289" s="440">
        <v>0</v>
      </c>
      <c r="BB1289" s="440">
        <v>0</v>
      </c>
      <c r="BC1289" s="440">
        <v>0</v>
      </c>
      <c r="BD1289" s="440">
        <v>0</v>
      </c>
      <c r="BE1289" s="440">
        <v>0</v>
      </c>
      <c r="BF1289" s="440">
        <v>0</v>
      </c>
      <c r="BG1289" s="440">
        <v>0</v>
      </c>
      <c r="BH1289" s="440">
        <v>0</v>
      </c>
      <c r="BI1289" s="440">
        <v>0</v>
      </c>
      <c r="BJ1289" s="440">
        <v>0</v>
      </c>
      <c r="BK1289" s="440">
        <v>0</v>
      </c>
      <c r="BL1289" s="440">
        <v>0</v>
      </c>
      <c r="BM1289" s="440">
        <v>0</v>
      </c>
      <c r="BN1289" s="440">
        <v>0</v>
      </c>
      <c r="BO1289" s="440">
        <v>0</v>
      </c>
      <c r="BP1289" s="440">
        <v>0</v>
      </c>
      <c r="BQ1289" s="440">
        <v>0</v>
      </c>
      <c r="BR1289" s="415">
        <v>0</v>
      </c>
      <c r="BS1289" s="415">
        <v>0</v>
      </c>
      <c r="BT1289" s="935"/>
      <c r="BU1289" s="935"/>
      <c r="BV1289" s="935"/>
      <c r="BW1289" s="935"/>
      <c r="BX1289" s="935"/>
      <c r="BY1289" s="935"/>
      <c r="BZ1289" s="935"/>
      <c r="CA1289" s="935"/>
      <c r="CB1289" s="935"/>
      <c r="CC1289" s="935"/>
      <c r="CD1289" s="935"/>
      <c r="CE1289" s="935"/>
      <c r="CF1289" s="935"/>
      <c r="CG1289" s="935"/>
      <c r="CH1289" s="935"/>
      <c r="CI1289" s="935"/>
      <c r="CJ1289" s="935"/>
      <c r="CK1289" s="935"/>
      <c r="CL1289" s="935"/>
      <c r="CM1289" s="935"/>
      <c r="CN1289" s="935"/>
      <c r="CO1289" s="935"/>
      <c r="CP1289" s="935"/>
      <c r="CQ1289" s="935"/>
      <c r="CR1289" s="935"/>
      <c r="CS1289" s="935"/>
      <c r="CT1289" s="935"/>
      <c r="CU1289" s="935"/>
      <c r="CV1289" s="935"/>
    </row>
    <row r="1290" spans="1:100" s="441" customFormat="1">
      <c r="A1290" s="375">
        <f t="shared" si="356"/>
        <v>11</v>
      </c>
      <c r="B1290" s="862">
        <v>44518</v>
      </c>
      <c r="C1290" s="493" t="s">
        <v>2000</v>
      </c>
      <c r="D1290" s="376" t="str">
        <f>IFERROR(VLOOKUP(E:E,'Item Data Support Sheet'!A:O,7,0),"")</f>
        <v>NIPPLE PUNCH INSPECTED</v>
      </c>
      <c r="E1290" s="447" t="s">
        <v>1820</v>
      </c>
      <c r="F1290" s="500"/>
      <c r="G1290" s="497"/>
      <c r="H1290" s="602" t="str">
        <f>IFERROR(VLOOKUP(E:E,'Item Data Support Sheet'!A:O,2,0),"")</f>
        <v>NIPPLE S TYPE L SIZE PUNCHED INSPECTED</v>
      </c>
      <c r="I1290" s="501" t="s">
        <v>4045</v>
      </c>
      <c r="J1290" s="501" t="s">
        <v>2811</v>
      </c>
      <c r="K1290" s="499">
        <v>8</v>
      </c>
      <c r="L1290" s="499">
        <v>14000</v>
      </c>
      <c r="M1290" s="366">
        <v>1750</v>
      </c>
      <c r="N1290" s="367">
        <f t="shared" si="355"/>
        <v>12305</v>
      </c>
      <c r="O1290" s="61">
        <v>12244</v>
      </c>
      <c r="P1290" s="368">
        <v>0</v>
      </c>
      <c r="Q1290" s="368">
        <v>0</v>
      </c>
      <c r="R1290" s="494">
        <v>0</v>
      </c>
      <c r="S1290" s="493">
        <v>0</v>
      </c>
      <c r="T1290" s="494">
        <v>53</v>
      </c>
      <c r="U1290" s="493">
        <v>8</v>
      </c>
      <c r="V1290" s="502">
        <v>1</v>
      </c>
      <c r="W1290" s="453">
        <f t="shared" si="357"/>
        <v>12244</v>
      </c>
      <c r="X1290" s="748">
        <f t="shared" si="358"/>
        <v>0.87457142857142856</v>
      </c>
      <c r="Y1290" s="451" t="str">
        <f>IFERROR(VLOOKUP(E:E,'Item Data Support Sheet'!A:J,6,0),0)</f>
        <v>FO106</v>
      </c>
      <c r="Z1290" s="428">
        <f>IFERROR(VLOOKUP(E:E,'Item Data Support Sheet'!A:O,4,0),0)</f>
        <v>0</v>
      </c>
      <c r="AA1290" s="428">
        <f t="shared" si="359"/>
        <v>0</v>
      </c>
      <c r="AB1290" s="429" t="str">
        <f t="shared" si="360"/>
        <v xml:space="preserve"> </v>
      </c>
      <c r="AC1290" s="424">
        <f t="shared" si="361"/>
        <v>4.3099943075546885E-3</v>
      </c>
      <c r="AD1290" s="371">
        <f t="shared" si="362"/>
        <v>0</v>
      </c>
      <c r="AE1290" s="748">
        <f t="shared" si="363"/>
        <v>0.99569280780170666</v>
      </c>
      <c r="AF1290" s="417">
        <f t="shared" si="364"/>
        <v>0.83333333333333337</v>
      </c>
      <c r="AG1290" s="416">
        <f t="shared" si="365"/>
        <v>7.166666666666667</v>
      </c>
      <c r="AH1290" s="372">
        <f t="shared" si="366"/>
        <v>0.89583333333333337</v>
      </c>
      <c r="AI1290" s="373">
        <f t="shared" si="367"/>
        <v>1530.5</v>
      </c>
      <c r="AJ1290" s="418">
        <f>VLOOKUP(D1290,'Standard Cycle time'!C:D,2,0)</f>
        <v>4</v>
      </c>
      <c r="AK1290" s="418">
        <f t="shared" si="368"/>
        <v>2.107154524665142</v>
      </c>
      <c r="AL1290" s="374">
        <f t="shared" si="369"/>
        <v>1.8982945736434109</v>
      </c>
      <c r="AM1290" s="372">
        <f t="shared" si="370"/>
        <v>1.6932309359339024</v>
      </c>
      <c r="AN1290" s="799">
        <v>1.6932261707914307</v>
      </c>
      <c r="AO1290" s="448"/>
      <c r="AP1290" s="440">
        <v>50</v>
      </c>
      <c r="AQ1290" s="440">
        <v>0</v>
      </c>
      <c r="AR1290" s="440">
        <v>0</v>
      </c>
      <c r="AS1290" s="440">
        <v>0</v>
      </c>
      <c r="AT1290" s="440">
        <v>0</v>
      </c>
      <c r="AU1290" s="440">
        <v>0</v>
      </c>
      <c r="AV1290" s="440">
        <v>0</v>
      </c>
      <c r="AW1290" s="440">
        <v>0</v>
      </c>
      <c r="AX1290" s="440">
        <v>0</v>
      </c>
      <c r="AY1290" s="440">
        <v>0</v>
      </c>
      <c r="AZ1290" s="440">
        <v>0</v>
      </c>
      <c r="BA1290" s="440">
        <v>0</v>
      </c>
      <c r="BB1290" s="440">
        <v>0</v>
      </c>
      <c r="BC1290" s="440">
        <v>0</v>
      </c>
      <c r="BD1290" s="440">
        <v>0</v>
      </c>
      <c r="BE1290" s="440">
        <v>0</v>
      </c>
      <c r="BF1290" s="440">
        <v>0</v>
      </c>
      <c r="BG1290" s="440">
        <v>0</v>
      </c>
      <c r="BH1290" s="440">
        <v>0</v>
      </c>
      <c r="BI1290" s="440">
        <v>0</v>
      </c>
      <c r="BJ1290" s="440">
        <v>0</v>
      </c>
      <c r="BK1290" s="440">
        <v>0</v>
      </c>
      <c r="BL1290" s="440">
        <v>0</v>
      </c>
      <c r="BM1290" s="440">
        <v>0</v>
      </c>
      <c r="BN1290" s="440">
        <v>0</v>
      </c>
      <c r="BO1290" s="440">
        <v>0</v>
      </c>
      <c r="BP1290" s="440">
        <v>0</v>
      </c>
      <c r="BQ1290" s="440">
        <v>0</v>
      </c>
      <c r="BR1290" s="415">
        <v>0.83333333333333337</v>
      </c>
      <c r="BS1290" s="415">
        <v>0.83333333333333337</v>
      </c>
      <c r="BT1290" s="935"/>
      <c r="BU1290" s="935"/>
      <c r="BV1290" s="935"/>
      <c r="BW1290" s="935"/>
      <c r="BX1290" s="935"/>
      <c r="BY1290" s="935"/>
      <c r="BZ1290" s="935"/>
      <c r="CA1290" s="935"/>
      <c r="CB1290" s="935"/>
      <c r="CC1290" s="935"/>
      <c r="CD1290" s="935"/>
      <c r="CE1290" s="935"/>
      <c r="CF1290" s="935"/>
      <c r="CG1290" s="935"/>
      <c r="CH1290" s="935"/>
      <c r="CI1290" s="935"/>
      <c r="CJ1290" s="935"/>
      <c r="CK1290" s="935"/>
      <c r="CL1290" s="935"/>
      <c r="CM1290" s="935"/>
      <c r="CN1290" s="935"/>
      <c r="CO1290" s="935"/>
      <c r="CP1290" s="935"/>
      <c r="CQ1290" s="935"/>
      <c r="CR1290" s="935"/>
      <c r="CS1290" s="935"/>
      <c r="CT1290" s="935"/>
      <c r="CU1290" s="935"/>
      <c r="CV1290" s="935"/>
    </row>
    <row r="1291" spans="1:100" s="441" customFormat="1">
      <c r="A1291" s="375">
        <f t="shared" si="356"/>
        <v>11</v>
      </c>
      <c r="B1291" s="862">
        <v>44518</v>
      </c>
      <c r="C1291" s="493" t="s">
        <v>2000</v>
      </c>
      <c r="D1291" s="376" t="str">
        <f>IFERROR(VLOOKUP(E:E,'Item Data Support Sheet'!A:O,7,0),"")</f>
        <v>NIPPLE WRAP PRINTED</v>
      </c>
      <c r="E1291" s="447" t="s">
        <v>108</v>
      </c>
      <c r="F1291" s="500"/>
      <c r="G1291" s="497" t="s">
        <v>1693</v>
      </c>
      <c r="H1291" s="602" t="str">
        <f>IFERROR(VLOOKUP(E:E,'Item Data Support Sheet'!A:O,2,0),"")</f>
        <v>NIPPLE S TYPE S SIZE WITH PRINTED WRAP</v>
      </c>
      <c r="I1291" s="501" t="s">
        <v>4072</v>
      </c>
      <c r="J1291" s="501" t="s">
        <v>2811</v>
      </c>
      <c r="K1291" s="499">
        <v>2</v>
      </c>
      <c r="L1291" s="499">
        <v>4044</v>
      </c>
      <c r="M1291" s="366">
        <v>2022</v>
      </c>
      <c r="N1291" s="367">
        <f t="shared" si="355"/>
        <v>3000</v>
      </c>
      <c r="O1291" s="61">
        <v>3000</v>
      </c>
      <c r="P1291" s="368">
        <v>0</v>
      </c>
      <c r="Q1291" s="368">
        <v>0</v>
      </c>
      <c r="R1291" s="494">
        <v>0</v>
      </c>
      <c r="S1291" s="493">
        <v>0</v>
      </c>
      <c r="T1291" s="494">
        <v>0</v>
      </c>
      <c r="U1291" s="493">
        <v>0</v>
      </c>
      <c r="V1291" s="502">
        <v>2</v>
      </c>
      <c r="W1291" s="453">
        <f t="shared" si="357"/>
        <v>1500</v>
      </c>
      <c r="X1291" s="748">
        <f t="shared" si="358"/>
        <v>0.74183976261127593</v>
      </c>
      <c r="Y1291" s="451" t="str">
        <f>IFERROR(VLOOKUP(E:E,'Item Data Support Sheet'!A:J,6,0),0)</f>
        <v>FO108</v>
      </c>
      <c r="Z1291" s="428">
        <f>IFERROR(VLOOKUP(E:E,'Item Data Support Sheet'!A:O,4,0),0)</f>
        <v>0</v>
      </c>
      <c r="AA1291" s="428">
        <f t="shared" si="359"/>
        <v>0</v>
      </c>
      <c r="AB1291" s="429" t="str">
        <f t="shared" si="360"/>
        <v xml:space="preserve"> </v>
      </c>
      <c r="AC1291" s="424">
        <f t="shared" si="361"/>
        <v>0</v>
      </c>
      <c r="AD1291" s="371">
        <f t="shared" si="362"/>
        <v>0</v>
      </c>
      <c r="AE1291" s="748">
        <f t="shared" si="363"/>
        <v>1</v>
      </c>
      <c r="AF1291" s="417">
        <f t="shared" si="364"/>
        <v>0.83333333333333337</v>
      </c>
      <c r="AG1291" s="416">
        <f t="shared" si="365"/>
        <v>1.1666666666666665</v>
      </c>
      <c r="AH1291" s="372">
        <f t="shared" si="366"/>
        <v>0.58333333333333326</v>
      </c>
      <c r="AI1291" s="373">
        <f t="shared" si="367"/>
        <v>1500</v>
      </c>
      <c r="AJ1291" s="418">
        <f>VLOOKUP(D1291,'Standard Cycle time'!C:D,2,0)</f>
        <v>2.5</v>
      </c>
      <c r="AK1291" s="418">
        <f t="shared" si="368"/>
        <v>2.7999999999999994</v>
      </c>
      <c r="AL1291" s="374">
        <f t="shared" si="369"/>
        <v>0.89285714285714302</v>
      </c>
      <c r="AM1291" s="372">
        <f t="shared" si="370"/>
        <v>0.52083333333333337</v>
      </c>
      <c r="AN1291" s="799">
        <v>0.52083333333333337</v>
      </c>
      <c r="AO1291" s="448"/>
      <c r="AP1291" s="440">
        <v>50</v>
      </c>
      <c r="AQ1291" s="440">
        <v>0</v>
      </c>
      <c r="AR1291" s="440">
        <v>0</v>
      </c>
      <c r="AS1291" s="440">
        <v>0</v>
      </c>
      <c r="AT1291" s="440">
        <v>0</v>
      </c>
      <c r="AU1291" s="440">
        <v>0</v>
      </c>
      <c r="AV1291" s="440">
        <v>0</v>
      </c>
      <c r="AW1291" s="440">
        <v>0</v>
      </c>
      <c r="AX1291" s="440">
        <v>0</v>
      </c>
      <c r="AY1291" s="440">
        <v>0</v>
      </c>
      <c r="AZ1291" s="440">
        <v>0</v>
      </c>
      <c r="BA1291" s="440">
        <v>0</v>
      </c>
      <c r="BB1291" s="440">
        <v>0</v>
      </c>
      <c r="BC1291" s="440">
        <v>0</v>
      </c>
      <c r="BD1291" s="440">
        <v>0</v>
      </c>
      <c r="BE1291" s="440">
        <v>0</v>
      </c>
      <c r="BF1291" s="440">
        <v>0</v>
      </c>
      <c r="BG1291" s="440">
        <v>0</v>
      </c>
      <c r="BH1291" s="440">
        <v>0</v>
      </c>
      <c r="BI1291" s="440">
        <v>0</v>
      </c>
      <c r="BJ1291" s="440">
        <v>0</v>
      </c>
      <c r="BK1291" s="440">
        <v>0</v>
      </c>
      <c r="BL1291" s="440">
        <v>0</v>
      </c>
      <c r="BM1291" s="440">
        <v>0</v>
      </c>
      <c r="BN1291" s="440">
        <v>0</v>
      </c>
      <c r="BO1291" s="440">
        <v>0</v>
      </c>
      <c r="BP1291" s="440">
        <v>0</v>
      </c>
      <c r="BQ1291" s="440">
        <v>0</v>
      </c>
      <c r="BR1291" s="415">
        <v>0.83333333333333337</v>
      </c>
      <c r="BS1291" s="415">
        <v>0.83333333333333337</v>
      </c>
      <c r="BT1291" s="935"/>
      <c r="BU1291" s="935"/>
      <c r="BV1291" s="935"/>
      <c r="BW1291" s="935"/>
      <c r="BX1291" s="935"/>
      <c r="BY1291" s="935"/>
      <c r="BZ1291" s="935"/>
      <c r="CA1291" s="935"/>
      <c r="CB1291" s="935"/>
      <c r="CC1291" s="935"/>
      <c r="CD1291" s="935"/>
      <c r="CE1291" s="935"/>
      <c r="CF1291" s="935"/>
      <c r="CG1291" s="935"/>
      <c r="CH1291" s="935"/>
      <c r="CI1291" s="935"/>
      <c r="CJ1291" s="935"/>
      <c r="CK1291" s="935"/>
      <c r="CL1291" s="935"/>
      <c r="CM1291" s="935"/>
      <c r="CN1291" s="935"/>
      <c r="CO1291" s="935"/>
      <c r="CP1291" s="935"/>
      <c r="CQ1291" s="935"/>
      <c r="CR1291" s="935"/>
      <c r="CS1291" s="935"/>
      <c r="CT1291" s="935"/>
      <c r="CU1291" s="935"/>
      <c r="CV1291" s="935"/>
    </row>
    <row r="1292" spans="1:100" s="441" customFormat="1">
      <c r="A1292" s="375">
        <f t="shared" si="356"/>
        <v>11</v>
      </c>
      <c r="B1292" s="862">
        <v>44518</v>
      </c>
      <c r="C1292" s="493" t="s">
        <v>2000</v>
      </c>
      <c r="D1292" s="376" t="str">
        <f>IFERROR(VLOOKUP(E:E,'Item Data Support Sheet'!A:O,7,0),"")</f>
        <v>NIPPLE WRAP PRINTED</v>
      </c>
      <c r="E1292" s="447" t="s">
        <v>110</v>
      </c>
      <c r="F1292" s="500"/>
      <c r="G1292" s="497" t="s">
        <v>1693</v>
      </c>
      <c r="H1292" s="602" t="str">
        <f>IFERROR(VLOOKUP(E:E,'Item Data Support Sheet'!A:O,2,0),"")</f>
        <v>NIPPLE S TYPE L SIZE WITH PRINTED WRAP</v>
      </c>
      <c r="I1292" s="501" t="s">
        <v>4045</v>
      </c>
      <c r="J1292" s="501" t="s">
        <v>2811</v>
      </c>
      <c r="K1292" s="499">
        <v>6</v>
      </c>
      <c r="L1292" s="499">
        <v>12126</v>
      </c>
      <c r="M1292" s="366">
        <v>2021</v>
      </c>
      <c r="N1292" s="367">
        <f t="shared" si="355"/>
        <v>9968</v>
      </c>
      <c r="O1292" s="61">
        <v>9958</v>
      </c>
      <c r="P1292" s="368">
        <v>0</v>
      </c>
      <c r="Q1292" s="368">
        <v>0</v>
      </c>
      <c r="R1292" s="494">
        <v>0</v>
      </c>
      <c r="S1292" s="493">
        <v>0</v>
      </c>
      <c r="T1292" s="494">
        <v>10</v>
      </c>
      <c r="U1292" s="493">
        <v>0</v>
      </c>
      <c r="V1292" s="502">
        <v>2</v>
      </c>
      <c r="W1292" s="453">
        <f t="shared" si="357"/>
        <v>4979</v>
      </c>
      <c r="X1292" s="748">
        <f t="shared" si="358"/>
        <v>0.82121062180438731</v>
      </c>
      <c r="Y1292" s="451" t="str">
        <f>IFERROR(VLOOKUP(E:E,'Item Data Support Sheet'!A:J,6,0),0)</f>
        <v>FO021</v>
      </c>
      <c r="Z1292" s="428">
        <f>IFERROR(VLOOKUP(E:E,'Item Data Support Sheet'!A:O,4,0),0)</f>
        <v>0</v>
      </c>
      <c r="AA1292" s="428">
        <f t="shared" si="359"/>
        <v>0</v>
      </c>
      <c r="AB1292" s="429" t="str">
        <f t="shared" si="360"/>
        <v xml:space="preserve"> </v>
      </c>
      <c r="AC1292" s="424">
        <f t="shared" si="361"/>
        <v>1.0032102728731941E-3</v>
      </c>
      <c r="AD1292" s="371">
        <f t="shared" si="362"/>
        <v>0</v>
      </c>
      <c r="AE1292" s="748">
        <f t="shared" si="363"/>
        <v>0.9989967897271268</v>
      </c>
      <c r="AF1292" s="417">
        <f t="shared" si="364"/>
        <v>0</v>
      </c>
      <c r="AG1292" s="416">
        <f t="shared" si="365"/>
        <v>6</v>
      </c>
      <c r="AH1292" s="372">
        <f t="shared" si="366"/>
        <v>1</v>
      </c>
      <c r="AI1292" s="373">
        <f t="shared" si="367"/>
        <v>1659.6666666666667</v>
      </c>
      <c r="AJ1292" s="418">
        <f>VLOOKUP(D1292,'Standard Cycle time'!C:D,2,0)</f>
        <v>2.5</v>
      </c>
      <c r="AK1292" s="418">
        <f t="shared" si="368"/>
        <v>4.3382205262100824</v>
      </c>
      <c r="AL1292" s="374">
        <f t="shared" si="369"/>
        <v>0.57627314814814812</v>
      </c>
      <c r="AM1292" s="372">
        <f t="shared" si="370"/>
        <v>0.57569502500594494</v>
      </c>
      <c r="AN1292" s="799">
        <v>0.57569502500594494</v>
      </c>
      <c r="AO1292" s="448"/>
      <c r="AP1292" s="440">
        <v>0</v>
      </c>
      <c r="AQ1292" s="440">
        <v>0</v>
      </c>
      <c r="AR1292" s="440">
        <v>0</v>
      </c>
      <c r="AS1292" s="440">
        <v>0</v>
      </c>
      <c r="AT1292" s="440">
        <v>0</v>
      </c>
      <c r="AU1292" s="440">
        <v>0</v>
      </c>
      <c r="AV1292" s="440">
        <v>0</v>
      </c>
      <c r="AW1292" s="440">
        <v>0</v>
      </c>
      <c r="AX1292" s="440">
        <v>0</v>
      </c>
      <c r="AY1292" s="440">
        <v>0</v>
      </c>
      <c r="AZ1292" s="440">
        <v>0</v>
      </c>
      <c r="BA1292" s="440">
        <v>0</v>
      </c>
      <c r="BB1292" s="440">
        <v>0</v>
      </c>
      <c r="BC1292" s="440">
        <v>0</v>
      </c>
      <c r="BD1292" s="440">
        <v>0</v>
      </c>
      <c r="BE1292" s="440">
        <v>0</v>
      </c>
      <c r="BF1292" s="440">
        <v>0</v>
      </c>
      <c r="BG1292" s="440">
        <v>0</v>
      </c>
      <c r="BH1292" s="440">
        <v>0</v>
      </c>
      <c r="BI1292" s="440">
        <v>0</v>
      </c>
      <c r="BJ1292" s="440">
        <v>0</v>
      </c>
      <c r="BK1292" s="440">
        <v>0</v>
      </c>
      <c r="BL1292" s="440">
        <v>0</v>
      </c>
      <c r="BM1292" s="440">
        <v>0</v>
      </c>
      <c r="BN1292" s="440">
        <v>0</v>
      </c>
      <c r="BO1292" s="440">
        <v>0</v>
      </c>
      <c r="BP1292" s="440">
        <v>0</v>
      </c>
      <c r="BQ1292" s="440">
        <v>0</v>
      </c>
      <c r="BR1292" s="415">
        <v>0</v>
      </c>
      <c r="BS1292" s="415">
        <v>0</v>
      </c>
      <c r="BT1292" s="935"/>
      <c r="BU1292" s="935"/>
      <c r="BV1292" s="935"/>
      <c r="BW1292" s="935"/>
      <c r="BX1292" s="935"/>
      <c r="BY1292" s="935"/>
      <c r="BZ1292" s="935"/>
      <c r="CA1292" s="935"/>
      <c r="CB1292" s="935"/>
      <c r="CC1292" s="935"/>
      <c r="CD1292" s="935"/>
      <c r="CE1292" s="935"/>
      <c r="CF1292" s="935"/>
      <c r="CG1292" s="935"/>
      <c r="CH1292" s="935"/>
      <c r="CI1292" s="935"/>
      <c r="CJ1292" s="935"/>
      <c r="CK1292" s="935"/>
      <c r="CL1292" s="935"/>
      <c r="CM1292" s="935"/>
      <c r="CN1292" s="935"/>
      <c r="CO1292" s="935"/>
      <c r="CP1292" s="935"/>
      <c r="CQ1292" s="935"/>
      <c r="CR1292" s="935"/>
      <c r="CS1292" s="935"/>
      <c r="CT1292" s="935"/>
      <c r="CU1292" s="935"/>
      <c r="CV1292" s="935"/>
    </row>
    <row r="1293" spans="1:100" s="441" customFormat="1">
      <c r="A1293" s="375">
        <f t="shared" si="356"/>
        <v>11</v>
      </c>
      <c r="B1293" s="862">
        <v>44518</v>
      </c>
      <c r="C1293" s="493" t="s">
        <v>2001</v>
      </c>
      <c r="D1293" s="376" t="str">
        <f>IFERROR(VLOOKUP(E:E,'Item Data Support Sheet'!A:O,7,0),"")</f>
        <v>NIPPLE PUNCH</v>
      </c>
      <c r="E1293" s="447" t="s">
        <v>82</v>
      </c>
      <c r="F1293" s="500"/>
      <c r="G1293" s="497" t="s">
        <v>1692</v>
      </c>
      <c r="H1293" s="602" t="str">
        <f>IFERROR(VLOOKUP(E:E,'Item Data Support Sheet'!A:O,2,0),"")</f>
        <v>NIPPLE S TYPE L SIZE PUNCHED</v>
      </c>
      <c r="I1293" s="501" t="s">
        <v>4073</v>
      </c>
      <c r="J1293" s="501" t="s">
        <v>2811</v>
      </c>
      <c r="K1293" s="499">
        <v>8</v>
      </c>
      <c r="L1293" s="499">
        <v>7000</v>
      </c>
      <c r="M1293" s="366">
        <v>875</v>
      </c>
      <c r="N1293" s="367">
        <f t="shared" si="355"/>
        <v>7600</v>
      </c>
      <c r="O1293" s="61">
        <v>7600</v>
      </c>
      <c r="P1293" s="368">
        <v>0</v>
      </c>
      <c r="Q1293" s="368">
        <v>0</v>
      </c>
      <c r="R1293" s="494">
        <v>0</v>
      </c>
      <c r="S1293" s="493">
        <v>0</v>
      </c>
      <c r="T1293" s="494">
        <v>0</v>
      </c>
      <c r="U1293" s="493">
        <v>0</v>
      </c>
      <c r="V1293" s="502">
        <v>1</v>
      </c>
      <c r="W1293" s="453">
        <f t="shared" si="357"/>
        <v>7600</v>
      </c>
      <c r="X1293" s="748">
        <f t="shared" si="358"/>
        <v>1.0857142857142856</v>
      </c>
      <c r="Y1293" s="451" t="str">
        <f>IFERROR(VLOOKUP(E:E,'Item Data Support Sheet'!A:J,6,0),0)</f>
        <v>FO017</v>
      </c>
      <c r="Z1293" s="428">
        <f>IFERROR(VLOOKUP(E:E,'Item Data Support Sheet'!A:O,4,0),0)</f>
        <v>0</v>
      </c>
      <c r="AA1293" s="428">
        <f t="shared" si="359"/>
        <v>0</v>
      </c>
      <c r="AB1293" s="429" t="str">
        <f t="shared" si="360"/>
        <v xml:space="preserve"> </v>
      </c>
      <c r="AC1293" s="424">
        <f t="shared" si="361"/>
        <v>0</v>
      </c>
      <c r="AD1293" s="371">
        <f t="shared" si="362"/>
        <v>0</v>
      </c>
      <c r="AE1293" s="748">
        <f t="shared" si="363"/>
        <v>1</v>
      </c>
      <c r="AF1293" s="417">
        <f t="shared" si="364"/>
        <v>0.66666666666666663</v>
      </c>
      <c r="AG1293" s="416">
        <f t="shared" si="365"/>
        <v>7.333333333333333</v>
      </c>
      <c r="AH1293" s="372">
        <f t="shared" si="366"/>
        <v>0.91666666666666663</v>
      </c>
      <c r="AI1293" s="373">
        <f t="shared" si="367"/>
        <v>950</v>
      </c>
      <c r="AJ1293" s="418">
        <f>VLOOKUP(D1293,'Standard Cycle time'!C:D,2,0)</f>
        <v>3.5</v>
      </c>
      <c r="AK1293" s="418">
        <f t="shared" si="368"/>
        <v>3.4736842105263159</v>
      </c>
      <c r="AL1293" s="374">
        <f t="shared" si="369"/>
        <v>1.0075757575757576</v>
      </c>
      <c r="AM1293" s="372">
        <f t="shared" si="370"/>
        <v>0.92361111111111105</v>
      </c>
      <c r="AN1293" s="799">
        <v>0.92361111111111105</v>
      </c>
      <c r="AO1293" s="448"/>
      <c r="AP1293" s="440">
        <v>40</v>
      </c>
      <c r="AQ1293" s="440">
        <v>0</v>
      </c>
      <c r="AR1293" s="440">
        <v>0</v>
      </c>
      <c r="AS1293" s="440">
        <v>0</v>
      </c>
      <c r="AT1293" s="440">
        <v>0</v>
      </c>
      <c r="AU1293" s="440">
        <v>0</v>
      </c>
      <c r="AV1293" s="440">
        <v>0</v>
      </c>
      <c r="AW1293" s="440">
        <v>0</v>
      </c>
      <c r="AX1293" s="440">
        <v>0</v>
      </c>
      <c r="AY1293" s="440">
        <v>0</v>
      </c>
      <c r="AZ1293" s="440">
        <v>0</v>
      </c>
      <c r="BA1293" s="440">
        <v>0</v>
      </c>
      <c r="BB1293" s="440">
        <v>0</v>
      </c>
      <c r="BC1293" s="440">
        <v>0</v>
      </c>
      <c r="BD1293" s="440">
        <v>0</v>
      </c>
      <c r="BE1293" s="440">
        <v>0</v>
      </c>
      <c r="BF1293" s="440">
        <v>0</v>
      </c>
      <c r="BG1293" s="440">
        <v>0</v>
      </c>
      <c r="BH1293" s="440">
        <v>0</v>
      </c>
      <c r="BI1293" s="440">
        <v>0</v>
      </c>
      <c r="BJ1293" s="440">
        <v>0</v>
      </c>
      <c r="BK1293" s="440">
        <v>0</v>
      </c>
      <c r="BL1293" s="440">
        <v>0</v>
      </c>
      <c r="BM1293" s="440">
        <v>0</v>
      </c>
      <c r="BN1293" s="440">
        <v>0</v>
      </c>
      <c r="BO1293" s="440">
        <v>0</v>
      </c>
      <c r="BP1293" s="440">
        <v>0</v>
      </c>
      <c r="BQ1293" s="440">
        <v>0</v>
      </c>
      <c r="BR1293" s="415">
        <v>0.66666666666666663</v>
      </c>
      <c r="BS1293" s="415">
        <v>0.66666666666666663</v>
      </c>
      <c r="BT1293" s="935"/>
      <c r="BU1293" s="935"/>
      <c r="BV1293" s="935"/>
      <c r="BW1293" s="935"/>
      <c r="BX1293" s="935"/>
      <c r="BY1293" s="935"/>
      <c r="BZ1293" s="935"/>
      <c r="CA1293" s="935"/>
      <c r="CB1293" s="935"/>
      <c r="CC1293" s="935"/>
      <c r="CD1293" s="935"/>
      <c r="CE1293" s="935"/>
      <c r="CF1293" s="935"/>
      <c r="CG1293" s="935"/>
      <c r="CH1293" s="935"/>
      <c r="CI1293" s="935"/>
      <c r="CJ1293" s="935"/>
      <c r="CK1293" s="935"/>
      <c r="CL1293" s="935"/>
      <c r="CM1293" s="935"/>
      <c r="CN1293" s="935"/>
      <c r="CO1293" s="935"/>
      <c r="CP1293" s="935"/>
      <c r="CQ1293" s="935"/>
      <c r="CR1293" s="935"/>
      <c r="CS1293" s="935"/>
      <c r="CT1293" s="935"/>
      <c r="CU1293" s="935"/>
      <c r="CV1293" s="935"/>
    </row>
    <row r="1294" spans="1:100" s="441" customFormat="1">
      <c r="A1294" s="375">
        <f t="shared" si="356"/>
        <v>11</v>
      </c>
      <c r="B1294" s="862">
        <v>44518</v>
      </c>
      <c r="C1294" s="493" t="s">
        <v>2001</v>
      </c>
      <c r="D1294" s="376" t="str">
        <f>IFERROR(VLOOKUP(E:E,'Item Data Support Sheet'!A:O,7,0),"")</f>
        <v>NIPPLE LASER MARKING</v>
      </c>
      <c r="E1294" s="447" t="s">
        <v>1816</v>
      </c>
      <c r="F1294" s="500"/>
      <c r="G1294" s="497" t="s">
        <v>1812</v>
      </c>
      <c r="H1294" s="602" t="str">
        <f>IFERROR(VLOOKUP(E:E,'Item Data Support Sheet'!A:O,2,0),"")</f>
        <v>NIPPLE S TYPE L SIZE PUNCHED LASER MARKED</v>
      </c>
      <c r="I1294" s="501" t="s">
        <v>4074</v>
      </c>
      <c r="J1294" s="501" t="s">
        <v>2811</v>
      </c>
      <c r="K1294" s="499">
        <v>8</v>
      </c>
      <c r="L1294" s="499">
        <v>7000</v>
      </c>
      <c r="M1294" s="366">
        <v>875</v>
      </c>
      <c r="N1294" s="367">
        <f t="shared" si="355"/>
        <v>6299</v>
      </c>
      <c r="O1294" s="61">
        <v>6299</v>
      </c>
      <c r="P1294" s="368">
        <v>0</v>
      </c>
      <c r="Q1294" s="368">
        <v>0</v>
      </c>
      <c r="R1294" s="494">
        <v>0</v>
      </c>
      <c r="S1294" s="493">
        <v>0</v>
      </c>
      <c r="T1294" s="494">
        <v>0</v>
      </c>
      <c r="U1294" s="493">
        <v>0</v>
      </c>
      <c r="V1294" s="502">
        <v>1</v>
      </c>
      <c r="W1294" s="453">
        <f t="shared" si="357"/>
        <v>6299</v>
      </c>
      <c r="X1294" s="748">
        <f t="shared" si="358"/>
        <v>0.89985714285714291</v>
      </c>
      <c r="Y1294" s="451" t="str">
        <f>IFERROR(VLOOKUP(E:E,'Item Data Support Sheet'!A:J,6,0),0)</f>
        <v>FO021</v>
      </c>
      <c r="Z1294" s="428">
        <f>IFERROR(VLOOKUP(E:E,'Item Data Support Sheet'!A:O,4,0),0)</f>
        <v>0</v>
      </c>
      <c r="AA1294" s="428">
        <f t="shared" si="359"/>
        <v>0</v>
      </c>
      <c r="AB1294" s="429" t="str">
        <f t="shared" si="360"/>
        <v xml:space="preserve"> </v>
      </c>
      <c r="AC1294" s="424">
        <f t="shared" si="361"/>
        <v>0</v>
      </c>
      <c r="AD1294" s="371">
        <f t="shared" si="362"/>
        <v>0</v>
      </c>
      <c r="AE1294" s="748">
        <f t="shared" si="363"/>
        <v>1</v>
      </c>
      <c r="AF1294" s="417">
        <f t="shared" si="364"/>
        <v>0</v>
      </c>
      <c r="AG1294" s="416">
        <f t="shared" si="365"/>
        <v>8</v>
      </c>
      <c r="AH1294" s="372">
        <f t="shared" si="366"/>
        <v>1</v>
      </c>
      <c r="AI1294" s="373">
        <f t="shared" si="367"/>
        <v>787.375</v>
      </c>
      <c r="AJ1294" s="418">
        <f>VLOOKUP(D1294,'Standard Cycle time'!C:D,2,0)</f>
        <v>3.5</v>
      </c>
      <c r="AK1294" s="418">
        <f t="shared" si="368"/>
        <v>4.5721543102079698</v>
      </c>
      <c r="AL1294" s="374">
        <f t="shared" si="369"/>
        <v>0.76550347222222215</v>
      </c>
      <c r="AM1294" s="372">
        <f t="shared" si="370"/>
        <v>0.76550347222222215</v>
      </c>
      <c r="AN1294" s="799">
        <v>0.76550347222222215</v>
      </c>
      <c r="AO1294" s="448"/>
      <c r="AP1294" s="440">
        <v>0</v>
      </c>
      <c r="AQ1294" s="440">
        <v>0</v>
      </c>
      <c r="AR1294" s="440">
        <v>0</v>
      </c>
      <c r="AS1294" s="440">
        <v>0</v>
      </c>
      <c r="AT1294" s="440">
        <v>0</v>
      </c>
      <c r="AU1294" s="440">
        <v>0</v>
      </c>
      <c r="AV1294" s="440">
        <v>0</v>
      </c>
      <c r="AW1294" s="440">
        <v>0</v>
      </c>
      <c r="AX1294" s="440">
        <v>0</v>
      </c>
      <c r="AY1294" s="440">
        <v>0</v>
      </c>
      <c r="AZ1294" s="440">
        <v>0</v>
      </c>
      <c r="BA1294" s="440">
        <v>0</v>
      </c>
      <c r="BB1294" s="440">
        <v>0</v>
      </c>
      <c r="BC1294" s="440">
        <v>0</v>
      </c>
      <c r="BD1294" s="440">
        <v>0</v>
      </c>
      <c r="BE1294" s="440">
        <v>0</v>
      </c>
      <c r="BF1294" s="440">
        <v>0</v>
      </c>
      <c r="BG1294" s="440">
        <v>0</v>
      </c>
      <c r="BH1294" s="440">
        <v>0</v>
      </c>
      <c r="BI1294" s="440">
        <v>0</v>
      </c>
      <c r="BJ1294" s="440">
        <v>0</v>
      </c>
      <c r="BK1294" s="440">
        <v>0</v>
      </c>
      <c r="BL1294" s="440">
        <v>0</v>
      </c>
      <c r="BM1294" s="440">
        <v>0</v>
      </c>
      <c r="BN1294" s="440">
        <v>0</v>
      </c>
      <c r="BO1294" s="440">
        <v>0</v>
      </c>
      <c r="BP1294" s="440">
        <v>0</v>
      </c>
      <c r="BQ1294" s="440">
        <v>0</v>
      </c>
      <c r="BR1294" s="415">
        <v>0</v>
      </c>
      <c r="BS1294" s="415">
        <v>0</v>
      </c>
      <c r="BT1294" s="935"/>
      <c r="BU1294" s="935"/>
      <c r="BV1294" s="935"/>
      <c r="BW1294" s="935"/>
      <c r="BX1294" s="935"/>
      <c r="BY1294" s="935"/>
      <c r="BZ1294" s="935"/>
      <c r="CA1294" s="935"/>
      <c r="CB1294" s="935"/>
      <c r="CC1294" s="935"/>
      <c r="CD1294" s="935"/>
      <c r="CE1294" s="935"/>
      <c r="CF1294" s="935"/>
      <c r="CG1294" s="935"/>
      <c r="CH1294" s="935"/>
      <c r="CI1294" s="935"/>
      <c r="CJ1294" s="935"/>
      <c r="CK1294" s="935"/>
      <c r="CL1294" s="935"/>
      <c r="CM1294" s="935"/>
      <c r="CN1294" s="935"/>
      <c r="CO1294" s="935"/>
      <c r="CP1294" s="935"/>
      <c r="CQ1294" s="935"/>
      <c r="CR1294" s="935"/>
      <c r="CS1294" s="935"/>
      <c r="CT1294" s="935"/>
      <c r="CU1294" s="935"/>
      <c r="CV1294" s="935"/>
    </row>
    <row r="1295" spans="1:100" s="441" customFormat="1">
      <c r="A1295" s="375">
        <f t="shared" si="356"/>
        <v>11</v>
      </c>
      <c r="B1295" s="862">
        <v>44518</v>
      </c>
      <c r="C1295" s="493" t="s">
        <v>2001</v>
      </c>
      <c r="D1295" s="376" t="str">
        <f>IFERROR(VLOOKUP(E:E,'Item Data Support Sheet'!A:O,7,0),"")</f>
        <v>NIPPLE MOLDED</v>
      </c>
      <c r="E1295" s="447" t="s">
        <v>74</v>
      </c>
      <c r="F1295" s="500" t="s">
        <v>1678</v>
      </c>
      <c r="G1295" s="497" t="s">
        <v>1691</v>
      </c>
      <c r="H1295" s="602" t="str">
        <f>IFERROR(VLOOKUP(E:E,'Item Data Support Sheet'!A:O,2,0),"")</f>
        <v>NIPPLE S TYPE L SIZE INJECTION</v>
      </c>
      <c r="I1295" s="501" t="s">
        <v>4075</v>
      </c>
      <c r="J1295" s="501" t="s">
        <v>2811</v>
      </c>
      <c r="K1295" s="499">
        <v>8</v>
      </c>
      <c r="L1295" s="499">
        <v>4815</v>
      </c>
      <c r="M1295" s="366">
        <v>601.875</v>
      </c>
      <c r="N1295" s="367">
        <f t="shared" si="355"/>
        <v>3708</v>
      </c>
      <c r="O1295" s="61">
        <v>3500</v>
      </c>
      <c r="P1295" s="368">
        <v>0</v>
      </c>
      <c r="Q1295" s="368">
        <v>120</v>
      </c>
      <c r="R1295" s="494">
        <v>0</v>
      </c>
      <c r="S1295" s="493">
        <v>0</v>
      </c>
      <c r="T1295" s="494">
        <v>88</v>
      </c>
      <c r="U1295" s="493">
        <v>0</v>
      </c>
      <c r="V1295" s="502">
        <v>1</v>
      </c>
      <c r="W1295" s="453">
        <f t="shared" si="357"/>
        <v>3500</v>
      </c>
      <c r="X1295" s="748">
        <f t="shared" si="358"/>
        <v>0.72689511941848395</v>
      </c>
      <c r="Y1295" s="451" t="str">
        <f>IFERROR(VLOOKUP(E:E,'Item Data Support Sheet'!A:J,6,0),0)</f>
        <v>Silicon</v>
      </c>
      <c r="Z1295" s="428">
        <f>IFERROR(VLOOKUP(E:E,'Item Data Support Sheet'!A:O,4,0),0)</f>
        <v>6.8</v>
      </c>
      <c r="AA1295" s="428">
        <f t="shared" si="359"/>
        <v>25.214399999999998</v>
      </c>
      <c r="AB1295" s="429">
        <f t="shared" si="360"/>
        <v>0.94390507011866231</v>
      </c>
      <c r="AC1295" s="424">
        <f t="shared" si="361"/>
        <v>2.4526198439241916E-2</v>
      </c>
      <c r="AD1295" s="371">
        <f t="shared" si="362"/>
        <v>3.1347962382445138E-2</v>
      </c>
      <c r="AE1295" s="748">
        <f t="shared" si="363"/>
        <v>0.97626752966558794</v>
      </c>
      <c r="AF1295" s="417">
        <f t="shared" si="364"/>
        <v>0</v>
      </c>
      <c r="AG1295" s="416">
        <f t="shared" si="365"/>
        <v>8</v>
      </c>
      <c r="AH1295" s="372">
        <f t="shared" si="366"/>
        <v>1</v>
      </c>
      <c r="AI1295" s="373">
        <f t="shared" si="367"/>
        <v>437.5</v>
      </c>
      <c r="AJ1295" s="418">
        <f>VLOOKUP(D1295,'Standard Cycle time'!C:D,2,0)</f>
        <v>5.25</v>
      </c>
      <c r="AK1295" s="418">
        <f t="shared" si="368"/>
        <v>8.2285714285714278</v>
      </c>
      <c r="AL1295" s="374">
        <f t="shared" si="369"/>
        <v>0.63802083333333337</v>
      </c>
      <c r="AM1295" s="372">
        <f t="shared" si="370"/>
        <v>0.62287902283351315</v>
      </c>
      <c r="AN1295" s="799">
        <v>0.62287902283351315</v>
      </c>
      <c r="AO1295" s="448"/>
      <c r="AP1295" s="440">
        <v>0</v>
      </c>
      <c r="AQ1295" s="440">
        <v>0</v>
      </c>
      <c r="AR1295" s="440">
        <v>0</v>
      </c>
      <c r="AS1295" s="440">
        <v>0</v>
      </c>
      <c r="AT1295" s="440">
        <v>0</v>
      </c>
      <c r="AU1295" s="440">
        <v>0</v>
      </c>
      <c r="AV1295" s="440">
        <v>0</v>
      </c>
      <c r="AW1295" s="440">
        <v>0</v>
      </c>
      <c r="AX1295" s="440">
        <v>0</v>
      </c>
      <c r="AY1295" s="440">
        <v>0</v>
      </c>
      <c r="AZ1295" s="440">
        <v>0</v>
      </c>
      <c r="BA1295" s="440">
        <v>0</v>
      </c>
      <c r="BB1295" s="440">
        <v>0</v>
      </c>
      <c r="BC1295" s="440">
        <v>0</v>
      </c>
      <c r="BD1295" s="440">
        <v>0</v>
      </c>
      <c r="BE1295" s="440">
        <v>0</v>
      </c>
      <c r="BF1295" s="440">
        <v>0</v>
      </c>
      <c r="BG1295" s="440">
        <v>0</v>
      </c>
      <c r="BH1295" s="440">
        <v>0</v>
      </c>
      <c r="BI1295" s="440">
        <v>0</v>
      </c>
      <c r="BJ1295" s="440">
        <v>0</v>
      </c>
      <c r="BK1295" s="440">
        <v>0</v>
      </c>
      <c r="BL1295" s="440">
        <v>0</v>
      </c>
      <c r="BM1295" s="440">
        <v>0</v>
      </c>
      <c r="BN1295" s="440">
        <v>0</v>
      </c>
      <c r="BO1295" s="440">
        <v>0</v>
      </c>
      <c r="BP1295" s="440">
        <v>0</v>
      </c>
      <c r="BQ1295" s="440">
        <v>0</v>
      </c>
      <c r="BR1295" s="415">
        <v>0</v>
      </c>
      <c r="BS1295" s="415">
        <v>0</v>
      </c>
      <c r="BT1295" s="935"/>
      <c r="BU1295" s="935"/>
      <c r="BV1295" s="935"/>
      <c r="BW1295" s="935"/>
      <c r="BX1295" s="935"/>
      <c r="BY1295" s="935"/>
      <c r="BZ1295" s="935"/>
      <c r="CA1295" s="935"/>
      <c r="CB1295" s="935"/>
      <c r="CC1295" s="935"/>
      <c r="CD1295" s="935"/>
      <c r="CE1295" s="935"/>
      <c r="CF1295" s="935"/>
      <c r="CG1295" s="935"/>
      <c r="CH1295" s="935"/>
      <c r="CI1295" s="935"/>
      <c r="CJ1295" s="935"/>
      <c r="CK1295" s="935"/>
      <c r="CL1295" s="935"/>
      <c r="CM1295" s="935"/>
      <c r="CN1295" s="935"/>
      <c r="CO1295" s="935"/>
      <c r="CP1295" s="935"/>
      <c r="CQ1295" s="935"/>
      <c r="CR1295" s="935"/>
      <c r="CS1295" s="935"/>
      <c r="CT1295" s="935"/>
      <c r="CU1295" s="935"/>
      <c r="CV1295" s="935"/>
    </row>
    <row r="1296" spans="1:100" s="441" customFormat="1">
      <c r="A1296" s="375">
        <f t="shared" si="356"/>
        <v>11</v>
      </c>
      <c r="B1296" s="862">
        <v>44518</v>
      </c>
      <c r="C1296" s="493" t="s">
        <v>2001</v>
      </c>
      <c r="D1296" s="376" t="str">
        <f>IFERROR(VLOOKUP(E:E,'Item Data Support Sheet'!A:O,7,0),"")</f>
        <v>HOOD MOLDED</v>
      </c>
      <c r="E1296" s="447" t="s">
        <v>1987</v>
      </c>
      <c r="F1296" s="500"/>
      <c r="G1296" s="497" t="s">
        <v>2729</v>
      </c>
      <c r="H1296" s="602" t="str">
        <f>IFERROR(VLOOKUP(E:E,'Item Data Support Sheet'!A:O,2,0),"")</f>
        <v>HOOD S TYPE MOLDED</v>
      </c>
      <c r="I1296" s="501" t="s">
        <v>4076</v>
      </c>
      <c r="J1296" s="501" t="s">
        <v>2811</v>
      </c>
      <c r="K1296" s="499">
        <v>8</v>
      </c>
      <c r="L1296" s="499">
        <v>4137</v>
      </c>
      <c r="M1296" s="366">
        <v>517.125</v>
      </c>
      <c r="N1296" s="367">
        <f t="shared" si="355"/>
        <v>4810</v>
      </c>
      <c r="O1296" s="61">
        <v>4800</v>
      </c>
      <c r="P1296" s="368">
        <v>0</v>
      </c>
      <c r="Q1296" s="368">
        <v>2</v>
      </c>
      <c r="R1296" s="494">
        <v>0</v>
      </c>
      <c r="S1296" s="493">
        <v>0</v>
      </c>
      <c r="T1296" s="494">
        <v>8</v>
      </c>
      <c r="U1296" s="493">
        <v>0</v>
      </c>
      <c r="V1296" s="502">
        <v>1</v>
      </c>
      <c r="W1296" s="453">
        <f t="shared" si="357"/>
        <v>4800</v>
      </c>
      <c r="X1296" s="748">
        <f t="shared" si="358"/>
        <v>1.1602610587382161</v>
      </c>
      <c r="Y1296" s="451" t="str">
        <f>IFERROR(VLOOKUP(E:E,'Item Data Support Sheet'!A:J,6,0),0)</f>
        <v>HMC</v>
      </c>
      <c r="Z1296" s="428">
        <f>IFERROR(VLOOKUP(E:E,'Item Data Support Sheet'!A:O,4,0),0)</f>
        <v>8.6</v>
      </c>
      <c r="AA1296" s="428">
        <f t="shared" si="359"/>
        <v>41.366</v>
      </c>
      <c r="AB1296" s="429">
        <f t="shared" si="360"/>
        <v>0.99792099792099798</v>
      </c>
      <c r="AC1296" s="424">
        <f t="shared" si="361"/>
        <v>1.6638935108153079E-3</v>
      </c>
      <c r="AD1296" s="371">
        <f t="shared" si="362"/>
        <v>4.1562759767248546E-4</v>
      </c>
      <c r="AE1296" s="748">
        <f t="shared" si="363"/>
        <v>0.99833679833679834</v>
      </c>
      <c r="AF1296" s="417">
        <f t="shared" si="364"/>
        <v>0</v>
      </c>
      <c r="AG1296" s="416">
        <f t="shared" si="365"/>
        <v>8</v>
      </c>
      <c r="AH1296" s="372">
        <f t="shared" si="366"/>
        <v>1</v>
      </c>
      <c r="AI1296" s="373">
        <f t="shared" si="367"/>
        <v>600</v>
      </c>
      <c r="AJ1296" s="418">
        <f>VLOOKUP(D1296,'Standard Cycle time'!C:D,2,0)</f>
        <v>6</v>
      </c>
      <c r="AK1296" s="418">
        <f t="shared" si="368"/>
        <v>6</v>
      </c>
      <c r="AL1296" s="374">
        <f t="shared" si="369"/>
        <v>1</v>
      </c>
      <c r="AM1296" s="372">
        <f t="shared" si="370"/>
        <v>0.99833679833679834</v>
      </c>
      <c r="AN1296" s="799">
        <v>0.739375</v>
      </c>
      <c r="AO1296" s="448"/>
      <c r="AP1296" s="440">
        <v>0</v>
      </c>
      <c r="AQ1296" s="440">
        <v>0</v>
      </c>
      <c r="AR1296" s="440">
        <v>0</v>
      </c>
      <c r="AS1296" s="440">
        <v>0</v>
      </c>
      <c r="AT1296" s="440">
        <v>0</v>
      </c>
      <c r="AU1296" s="440">
        <v>0</v>
      </c>
      <c r="AV1296" s="440">
        <v>0</v>
      </c>
      <c r="AW1296" s="440">
        <v>0</v>
      </c>
      <c r="AX1296" s="440">
        <v>0</v>
      </c>
      <c r="AY1296" s="440">
        <v>0</v>
      </c>
      <c r="AZ1296" s="440">
        <v>0</v>
      </c>
      <c r="BA1296" s="440">
        <v>0</v>
      </c>
      <c r="BB1296" s="440">
        <v>0</v>
      </c>
      <c r="BC1296" s="440">
        <v>0</v>
      </c>
      <c r="BD1296" s="440">
        <v>0</v>
      </c>
      <c r="BE1296" s="440">
        <v>0</v>
      </c>
      <c r="BF1296" s="440">
        <v>0</v>
      </c>
      <c r="BG1296" s="440">
        <v>0</v>
      </c>
      <c r="BH1296" s="440">
        <v>0</v>
      </c>
      <c r="BI1296" s="440">
        <v>0</v>
      </c>
      <c r="BJ1296" s="440">
        <v>0</v>
      </c>
      <c r="BK1296" s="440">
        <v>0</v>
      </c>
      <c r="BL1296" s="440">
        <v>0</v>
      </c>
      <c r="BM1296" s="440">
        <v>0</v>
      </c>
      <c r="BN1296" s="440">
        <v>0</v>
      </c>
      <c r="BO1296" s="440">
        <v>0</v>
      </c>
      <c r="BP1296" s="440">
        <v>0</v>
      </c>
      <c r="BQ1296" s="440">
        <v>0</v>
      </c>
      <c r="BR1296" s="415">
        <v>0</v>
      </c>
      <c r="BS1296" s="415">
        <v>0</v>
      </c>
      <c r="BT1296" s="935"/>
      <c r="BU1296" s="935"/>
      <c r="BV1296" s="935"/>
      <c r="BW1296" s="935"/>
      <c r="BX1296" s="935"/>
      <c r="BY1296" s="935"/>
      <c r="BZ1296" s="935"/>
      <c r="CA1296" s="935"/>
      <c r="CB1296" s="935"/>
      <c r="CC1296" s="935"/>
      <c r="CD1296" s="935"/>
      <c r="CE1296" s="935"/>
      <c r="CF1296" s="935"/>
      <c r="CG1296" s="935"/>
      <c r="CH1296" s="935"/>
      <c r="CI1296" s="935"/>
      <c r="CJ1296" s="935"/>
      <c r="CK1296" s="935"/>
      <c r="CL1296" s="935"/>
      <c r="CM1296" s="935"/>
      <c r="CN1296" s="935"/>
      <c r="CO1296" s="935"/>
      <c r="CP1296" s="935"/>
      <c r="CQ1296" s="935"/>
      <c r="CR1296" s="935"/>
      <c r="CS1296" s="935"/>
      <c r="CT1296" s="935"/>
      <c r="CU1296" s="935"/>
      <c r="CV1296" s="935"/>
    </row>
    <row r="1297" spans="1:105" s="441" customFormat="1">
      <c r="A1297" s="375">
        <f t="shared" si="356"/>
        <v>11</v>
      </c>
      <c r="B1297" s="862">
        <v>44518</v>
      </c>
      <c r="C1297" s="493" t="s">
        <v>2001</v>
      </c>
      <c r="D1297" s="376" t="str">
        <f>IFERROR(VLOOKUP(E:E,'Item Data Support Sheet'!A:O,7,0),"")</f>
        <v>BOTTLE MOLDED</v>
      </c>
      <c r="E1297" s="447" t="s">
        <v>67</v>
      </c>
      <c r="F1297" s="500" t="s">
        <v>1682</v>
      </c>
      <c r="G1297" s="497" t="s">
        <v>1665</v>
      </c>
      <c r="H1297" s="602" t="str">
        <f>IFERROR(VLOOKUP(E:E,'Item Data Support Sheet'!A:O,2,0),"")</f>
        <v>RPP 120 ML BOTTLE MOLDED</v>
      </c>
      <c r="I1297" s="501" t="s">
        <v>4077</v>
      </c>
      <c r="J1297" s="501" t="s">
        <v>2811</v>
      </c>
      <c r="K1297" s="499">
        <v>8</v>
      </c>
      <c r="L1297" s="499">
        <v>2574</v>
      </c>
      <c r="M1297" s="366">
        <v>321.75</v>
      </c>
      <c r="N1297" s="367">
        <f t="shared" si="355"/>
        <v>2721</v>
      </c>
      <c r="O1297" s="61">
        <v>2520</v>
      </c>
      <c r="P1297" s="368">
        <v>0</v>
      </c>
      <c r="Q1297" s="368">
        <v>114</v>
      </c>
      <c r="R1297" s="494">
        <v>0</v>
      </c>
      <c r="S1297" s="493">
        <v>0</v>
      </c>
      <c r="T1297" s="494">
        <v>87</v>
      </c>
      <c r="U1297" s="493">
        <v>0</v>
      </c>
      <c r="V1297" s="502">
        <v>1</v>
      </c>
      <c r="W1297" s="453">
        <f t="shared" si="357"/>
        <v>2520</v>
      </c>
      <c r="X1297" s="748">
        <f t="shared" si="358"/>
        <v>0.97902097902097907</v>
      </c>
      <c r="Y1297" s="451" t="str">
        <f>IFERROR(VLOOKUP(E:E,'Item Data Support Sheet'!A:J,6,0),0)</f>
        <v>HMC</v>
      </c>
      <c r="Z1297" s="428">
        <f>IFERROR(VLOOKUP(E:E,'Item Data Support Sheet'!A:O,4,0),0)</f>
        <v>21.3</v>
      </c>
      <c r="AA1297" s="428">
        <f t="shared" si="359"/>
        <v>57.957299999999996</v>
      </c>
      <c r="AB1297" s="429">
        <f t="shared" si="360"/>
        <v>0.92613009922822498</v>
      </c>
      <c r="AC1297" s="424">
        <f t="shared" si="361"/>
        <v>3.3371691599539698E-2</v>
      </c>
      <c r="AD1297" s="371">
        <f t="shared" si="362"/>
        <v>4.0211640211640212E-2</v>
      </c>
      <c r="AE1297" s="748">
        <f t="shared" si="363"/>
        <v>0.9680264608599779</v>
      </c>
      <c r="AF1297" s="417">
        <f t="shared" si="364"/>
        <v>0</v>
      </c>
      <c r="AG1297" s="416">
        <f t="shared" si="365"/>
        <v>8</v>
      </c>
      <c r="AH1297" s="372">
        <f t="shared" si="366"/>
        <v>1</v>
      </c>
      <c r="AI1297" s="373">
        <f t="shared" si="367"/>
        <v>315</v>
      </c>
      <c r="AJ1297" s="418">
        <f>VLOOKUP(D1297,'Standard Cycle time'!C:D,2,0)</f>
        <v>9</v>
      </c>
      <c r="AK1297" s="418">
        <f t="shared" si="368"/>
        <v>11.428571428571429</v>
      </c>
      <c r="AL1297" s="374">
        <f t="shared" si="369"/>
        <v>0.78749999999999998</v>
      </c>
      <c r="AM1297" s="372">
        <f t="shared" si="370"/>
        <v>0.7623208379272326</v>
      </c>
      <c r="AN1297" s="799">
        <v>0.7623208379272326</v>
      </c>
      <c r="AO1297" s="448"/>
      <c r="AP1297" s="440">
        <v>0</v>
      </c>
      <c r="AQ1297" s="440">
        <v>0</v>
      </c>
      <c r="AR1297" s="440">
        <v>0</v>
      </c>
      <c r="AS1297" s="440">
        <v>0</v>
      </c>
      <c r="AT1297" s="440">
        <v>0</v>
      </c>
      <c r="AU1297" s="440">
        <v>0</v>
      </c>
      <c r="AV1297" s="440">
        <v>0</v>
      </c>
      <c r="AW1297" s="440">
        <v>0</v>
      </c>
      <c r="AX1297" s="440">
        <v>0</v>
      </c>
      <c r="AY1297" s="440">
        <v>0</v>
      </c>
      <c r="AZ1297" s="440">
        <v>0</v>
      </c>
      <c r="BA1297" s="440">
        <v>0</v>
      </c>
      <c r="BB1297" s="440">
        <v>0</v>
      </c>
      <c r="BC1297" s="440">
        <v>0</v>
      </c>
      <c r="BD1297" s="440">
        <v>0</v>
      </c>
      <c r="BE1297" s="440">
        <v>0</v>
      </c>
      <c r="BF1297" s="440">
        <v>0</v>
      </c>
      <c r="BG1297" s="440">
        <v>0</v>
      </c>
      <c r="BH1297" s="440">
        <v>0</v>
      </c>
      <c r="BI1297" s="440">
        <v>0</v>
      </c>
      <c r="BJ1297" s="440">
        <v>0</v>
      </c>
      <c r="BK1297" s="440">
        <v>0</v>
      </c>
      <c r="BL1297" s="440">
        <v>0</v>
      </c>
      <c r="BM1297" s="440">
        <v>0</v>
      </c>
      <c r="BN1297" s="440">
        <v>0</v>
      </c>
      <c r="BO1297" s="440">
        <v>0</v>
      </c>
      <c r="BP1297" s="440">
        <v>0</v>
      </c>
      <c r="BQ1297" s="440">
        <v>0</v>
      </c>
      <c r="BR1297" s="415">
        <v>0</v>
      </c>
      <c r="BS1297" s="415">
        <v>0</v>
      </c>
      <c r="BT1297" s="935"/>
      <c r="BU1297" s="935"/>
      <c r="BV1297" s="935"/>
      <c r="BW1297" s="935"/>
      <c r="BX1297" s="935"/>
      <c r="BY1297" s="935"/>
      <c r="BZ1297" s="935"/>
      <c r="CA1297" s="935"/>
      <c r="CB1297" s="935"/>
      <c r="CC1297" s="935"/>
      <c r="CD1297" s="935"/>
      <c r="CE1297" s="935"/>
      <c r="CF1297" s="935"/>
      <c r="CG1297" s="935"/>
      <c r="CH1297" s="935"/>
      <c r="CI1297" s="935"/>
      <c r="CJ1297" s="935"/>
      <c r="CK1297" s="935"/>
      <c r="CL1297" s="935"/>
      <c r="CM1297" s="935"/>
      <c r="CN1297" s="935"/>
      <c r="CO1297" s="935"/>
      <c r="CP1297" s="935"/>
      <c r="CQ1297" s="935"/>
      <c r="CR1297" s="935"/>
      <c r="CS1297" s="935"/>
      <c r="CT1297" s="935"/>
      <c r="CU1297" s="935"/>
      <c r="CV1297" s="935"/>
    </row>
    <row r="1298" spans="1:105" s="441" customFormat="1">
      <c r="A1298" s="375">
        <f t="shared" si="356"/>
        <v>11</v>
      </c>
      <c r="B1298" s="862">
        <v>44518</v>
      </c>
      <c r="C1298" s="493" t="s">
        <v>2001</v>
      </c>
      <c r="D1298" s="376" t="str">
        <f>IFERROR(VLOOKUP(E:E,'Item Data Support Sheet'!A:O,7,0),"")</f>
        <v>NIPPLE MOLDED</v>
      </c>
      <c r="E1298" s="447" t="s">
        <v>73</v>
      </c>
      <c r="F1298" s="500" t="s">
        <v>1677</v>
      </c>
      <c r="G1298" s="497" t="s">
        <v>1690</v>
      </c>
      <c r="H1298" s="602" t="str">
        <f>IFERROR(VLOOKUP(E:E,'Item Data Support Sheet'!A:O,2,0),"")</f>
        <v>NIPPLE S TYPE M SIZE INJECTION</v>
      </c>
      <c r="I1298" s="501" t="s">
        <v>4075</v>
      </c>
      <c r="J1298" s="501" t="s">
        <v>2811</v>
      </c>
      <c r="K1298" s="499">
        <v>8</v>
      </c>
      <c r="L1298" s="499">
        <v>3611</v>
      </c>
      <c r="M1298" s="366">
        <v>451.375</v>
      </c>
      <c r="N1298" s="367">
        <f t="shared" si="355"/>
        <v>4110</v>
      </c>
      <c r="O1298" s="61">
        <v>3910</v>
      </c>
      <c r="P1298" s="368">
        <v>0</v>
      </c>
      <c r="Q1298" s="368">
        <v>100</v>
      </c>
      <c r="R1298" s="494">
        <v>0</v>
      </c>
      <c r="S1298" s="493">
        <v>0</v>
      </c>
      <c r="T1298" s="494">
        <v>92</v>
      </c>
      <c r="U1298" s="493">
        <v>8</v>
      </c>
      <c r="V1298" s="502">
        <v>1</v>
      </c>
      <c r="W1298" s="453">
        <f t="shared" si="357"/>
        <v>3910</v>
      </c>
      <c r="X1298" s="748">
        <f t="shared" si="358"/>
        <v>1.0828025477707006</v>
      </c>
      <c r="Y1298" s="451" t="str">
        <f>IFERROR(VLOOKUP(E:E,'Item Data Support Sheet'!A:J,6,0),0)</f>
        <v>Silicon</v>
      </c>
      <c r="Z1298" s="428">
        <f>IFERROR(VLOOKUP(E:E,'Item Data Support Sheet'!A:O,4,0),0)</f>
        <v>6.8</v>
      </c>
      <c r="AA1298" s="428">
        <f t="shared" si="359"/>
        <v>27.947999999999997</v>
      </c>
      <c r="AB1298" s="429">
        <f t="shared" si="360"/>
        <v>0.95133819951338205</v>
      </c>
      <c r="AC1298" s="424">
        <f t="shared" si="361"/>
        <v>2.2988505747126436E-2</v>
      </c>
      <c r="AD1298" s="371">
        <f t="shared" si="362"/>
        <v>2.3752969121140142E-2</v>
      </c>
      <c r="AE1298" s="748">
        <f t="shared" si="363"/>
        <v>0.97761557177615577</v>
      </c>
      <c r="AF1298" s="417">
        <f t="shared" si="364"/>
        <v>0</v>
      </c>
      <c r="AG1298" s="416">
        <f t="shared" si="365"/>
        <v>8</v>
      </c>
      <c r="AH1298" s="372">
        <f t="shared" si="366"/>
        <v>1</v>
      </c>
      <c r="AI1298" s="373">
        <f t="shared" si="367"/>
        <v>488.75</v>
      </c>
      <c r="AJ1298" s="418">
        <f>VLOOKUP(D1298,'Standard Cycle time'!C:D,2,0)</f>
        <v>5.25</v>
      </c>
      <c r="AK1298" s="418">
        <f t="shared" si="368"/>
        <v>7.3657289002557542</v>
      </c>
      <c r="AL1298" s="374">
        <f t="shared" si="369"/>
        <v>0.71276041666666667</v>
      </c>
      <c r="AM1298" s="372">
        <f t="shared" si="370"/>
        <v>0.69680568227899442</v>
      </c>
      <c r="AN1298" s="799">
        <v>0.69680568227899442</v>
      </c>
      <c r="AO1298" s="448"/>
      <c r="AP1298" s="440">
        <v>0</v>
      </c>
      <c r="AQ1298" s="440">
        <v>0</v>
      </c>
      <c r="AR1298" s="440">
        <v>0</v>
      </c>
      <c r="AS1298" s="440">
        <v>0</v>
      </c>
      <c r="AT1298" s="440">
        <v>0</v>
      </c>
      <c r="AU1298" s="440">
        <v>0</v>
      </c>
      <c r="AV1298" s="440">
        <v>0</v>
      </c>
      <c r="AW1298" s="440">
        <v>0</v>
      </c>
      <c r="AX1298" s="440">
        <v>0</v>
      </c>
      <c r="AY1298" s="440">
        <v>0</v>
      </c>
      <c r="AZ1298" s="440">
        <v>0</v>
      </c>
      <c r="BA1298" s="440">
        <v>0</v>
      </c>
      <c r="BB1298" s="440">
        <v>0</v>
      </c>
      <c r="BC1298" s="440">
        <v>0</v>
      </c>
      <c r="BD1298" s="440">
        <v>0</v>
      </c>
      <c r="BE1298" s="440">
        <v>0</v>
      </c>
      <c r="BF1298" s="440">
        <v>0</v>
      </c>
      <c r="BG1298" s="440">
        <v>0</v>
      </c>
      <c r="BH1298" s="440">
        <v>0</v>
      </c>
      <c r="BI1298" s="440">
        <v>0</v>
      </c>
      <c r="BJ1298" s="440">
        <v>0</v>
      </c>
      <c r="BK1298" s="440">
        <v>0</v>
      </c>
      <c r="BL1298" s="440">
        <v>0</v>
      </c>
      <c r="BM1298" s="440">
        <v>0</v>
      </c>
      <c r="BN1298" s="440">
        <v>0</v>
      </c>
      <c r="BO1298" s="440">
        <v>0</v>
      </c>
      <c r="BP1298" s="440">
        <v>0</v>
      </c>
      <c r="BQ1298" s="440">
        <v>0</v>
      </c>
      <c r="BR1298" s="415">
        <v>0</v>
      </c>
      <c r="BS1298" s="415">
        <v>0</v>
      </c>
      <c r="BT1298" s="935"/>
      <c r="BU1298" s="935"/>
      <c r="BV1298" s="935"/>
      <c r="BW1298" s="935"/>
      <c r="BX1298" s="935"/>
      <c r="BY1298" s="935"/>
      <c r="BZ1298" s="935"/>
      <c r="CA1298" s="935"/>
      <c r="CB1298" s="935"/>
      <c r="CC1298" s="935"/>
      <c r="CD1298" s="935"/>
      <c r="CE1298" s="935"/>
      <c r="CF1298" s="935"/>
      <c r="CG1298" s="935"/>
      <c r="CH1298" s="935"/>
      <c r="CI1298" s="935"/>
      <c r="CJ1298" s="935"/>
      <c r="CK1298" s="935"/>
      <c r="CL1298" s="935"/>
      <c r="CM1298" s="935"/>
      <c r="CN1298" s="935"/>
      <c r="CO1298" s="935"/>
      <c r="CP1298" s="935"/>
      <c r="CQ1298" s="935"/>
      <c r="CR1298" s="935"/>
      <c r="CS1298" s="935"/>
      <c r="CT1298" s="935"/>
      <c r="CU1298" s="935"/>
      <c r="CV1298" s="935"/>
    </row>
    <row r="1299" spans="1:105" s="441" customFormat="1">
      <c r="A1299" s="375">
        <f t="shared" si="356"/>
        <v>11</v>
      </c>
      <c r="B1299" s="862">
        <v>44518</v>
      </c>
      <c r="C1299" s="493" t="s">
        <v>2001</v>
      </c>
      <c r="D1299" s="376" t="str">
        <f>IFERROR(VLOOKUP(E:E,'Item Data Support Sheet'!A:O,7,0),"")</f>
        <v>BOTTLE PRINTED</v>
      </c>
      <c r="E1299" s="447" t="s">
        <v>15</v>
      </c>
      <c r="F1299" s="500"/>
      <c r="G1299" s="497"/>
      <c r="H1299" s="602" t="str">
        <f>IFERROR(VLOOKUP(E:E,'Item Data Support Sheet'!A:O,2,0),"")</f>
        <v>RPP 240 ML BOTTLE PRINTED</v>
      </c>
      <c r="I1299" s="501" t="s">
        <v>4078</v>
      </c>
      <c r="J1299" s="501" t="s">
        <v>2811</v>
      </c>
      <c r="K1299" s="499">
        <v>8</v>
      </c>
      <c r="L1299" s="499">
        <v>5800</v>
      </c>
      <c r="M1299" s="366">
        <v>725</v>
      </c>
      <c r="N1299" s="367">
        <f t="shared" si="355"/>
        <v>6143</v>
      </c>
      <c r="O1299" s="61">
        <v>6100</v>
      </c>
      <c r="P1299" s="368">
        <v>0</v>
      </c>
      <c r="Q1299" s="368">
        <v>0</v>
      </c>
      <c r="R1299" s="494">
        <v>43</v>
      </c>
      <c r="S1299" s="493">
        <v>0</v>
      </c>
      <c r="T1299" s="494">
        <v>43</v>
      </c>
      <c r="U1299" s="493">
        <v>0</v>
      </c>
      <c r="V1299" s="502">
        <v>5</v>
      </c>
      <c r="W1299" s="453">
        <f t="shared" si="357"/>
        <v>1220</v>
      </c>
      <c r="X1299" s="748">
        <f t="shared" si="358"/>
        <v>1.0517241379310345</v>
      </c>
      <c r="Y1299" s="451" t="str">
        <f>IFERROR(VLOOKUP(E:E,'Item Data Support Sheet'!A:J,6,0),0)</f>
        <v>FO005</v>
      </c>
      <c r="Z1299" s="428">
        <f>IFERROR(VLOOKUP(E:E,'Item Data Support Sheet'!A:O,4,0),0)</f>
        <v>0</v>
      </c>
      <c r="AA1299" s="428">
        <f t="shared" si="359"/>
        <v>0</v>
      </c>
      <c r="AB1299" s="429" t="str">
        <f t="shared" si="360"/>
        <v xml:space="preserve"> </v>
      </c>
      <c r="AC1299" s="424">
        <f t="shared" si="361"/>
        <v>6.9998372130880681E-3</v>
      </c>
      <c r="AD1299" s="371">
        <f t="shared" si="362"/>
        <v>0</v>
      </c>
      <c r="AE1299" s="748">
        <f t="shared" si="363"/>
        <v>0.99300016278691194</v>
      </c>
      <c r="AF1299" s="417">
        <f t="shared" si="364"/>
        <v>0.66666666666666663</v>
      </c>
      <c r="AG1299" s="416">
        <f t="shared" si="365"/>
        <v>7.333333333333333</v>
      </c>
      <c r="AH1299" s="372">
        <f t="shared" si="366"/>
        <v>0.91666666666666663</v>
      </c>
      <c r="AI1299" s="373">
        <f t="shared" si="367"/>
        <v>762.5</v>
      </c>
      <c r="AJ1299" s="418">
        <f>VLOOKUP(D1299,'Standard Cycle time'!C:D,2,0)</f>
        <v>32.4</v>
      </c>
      <c r="AK1299" s="418">
        <f t="shared" si="368"/>
        <v>21.639344262295083</v>
      </c>
      <c r="AL1299" s="374">
        <f t="shared" si="369"/>
        <v>1.4972727272727271</v>
      </c>
      <c r="AM1299" s="372">
        <f t="shared" si="370"/>
        <v>1.3628927234250363</v>
      </c>
      <c r="AN1299" s="799">
        <v>1.3628927234250363</v>
      </c>
      <c r="AO1299" s="448"/>
      <c r="AP1299" s="440">
        <v>40</v>
      </c>
      <c r="AQ1299" s="440">
        <v>0</v>
      </c>
      <c r="AR1299" s="440">
        <v>0</v>
      </c>
      <c r="AS1299" s="440">
        <v>0</v>
      </c>
      <c r="AT1299" s="440">
        <v>0</v>
      </c>
      <c r="AU1299" s="440">
        <v>0</v>
      </c>
      <c r="AV1299" s="440">
        <v>0</v>
      </c>
      <c r="AW1299" s="440">
        <v>0</v>
      </c>
      <c r="AX1299" s="440">
        <v>0</v>
      </c>
      <c r="AY1299" s="440">
        <v>0</v>
      </c>
      <c r="AZ1299" s="440">
        <v>0</v>
      </c>
      <c r="BA1299" s="440">
        <v>0</v>
      </c>
      <c r="BB1299" s="440">
        <v>0</v>
      </c>
      <c r="BC1299" s="440">
        <v>0</v>
      </c>
      <c r="BD1299" s="440">
        <v>0</v>
      </c>
      <c r="BE1299" s="440">
        <v>0</v>
      </c>
      <c r="BF1299" s="440">
        <v>0</v>
      </c>
      <c r="BG1299" s="440">
        <v>0</v>
      </c>
      <c r="BH1299" s="440">
        <v>0</v>
      </c>
      <c r="BI1299" s="440">
        <v>0</v>
      </c>
      <c r="BJ1299" s="440">
        <v>0</v>
      </c>
      <c r="BK1299" s="440">
        <v>0</v>
      </c>
      <c r="BL1299" s="440">
        <v>0</v>
      </c>
      <c r="BM1299" s="440">
        <v>0</v>
      </c>
      <c r="BN1299" s="440">
        <v>0</v>
      </c>
      <c r="BO1299" s="440">
        <v>0</v>
      </c>
      <c r="BP1299" s="440">
        <v>0</v>
      </c>
      <c r="BQ1299" s="440">
        <v>0</v>
      </c>
      <c r="BR1299" s="415">
        <v>0.66666666666666663</v>
      </c>
      <c r="BS1299" s="415">
        <v>0.66666666666666663</v>
      </c>
      <c r="BT1299" s="935"/>
      <c r="BU1299" s="935"/>
      <c r="BV1299" s="935"/>
      <c r="BW1299" s="935"/>
      <c r="BX1299" s="935"/>
      <c r="BY1299" s="935"/>
      <c r="BZ1299" s="935"/>
      <c r="CA1299" s="935"/>
      <c r="CB1299" s="935"/>
      <c r="CC1299" s="935"/>
      <c r="CD1299" s="935"/>
      <c r="CE1299" s="935"/>
      <c r="CF1299" s="935"/>
      <c r="CG1299" s="935"/>
      <c r="CH1299" s="935"/>
      <c r="CI1299" s="935"/>
      <c r="CJ1299" s="935"/>
      <c r="CK1299" s="935"/>
      <c r="CL1299" s="935"/>
      <c r="CM1299" s="935"/>
      <c r="CN1299" s="935"/>
      <c r="CO1299" s="935"/>
      <c r="CP1299" s="935"/>
      <c r="CQ1299" s="935"/>
      <c r="CR1299" s="935"/>
      <c r="CS1299" s="935"/>
      <c r="CT1299" s="935"/>
      <c r="CU1299" s="935"/>
      <c r="CV1299" s="935"/>
    </row>
    <row r="1300" spans="1:105" s="441" customFormat="1">
      <c r="A1300" s="375">
        <f t="shared" si="356"/>
        <v>11</v>
      </c>
      <c r="B1300" s="862">
        <v>44518</v>
      </c>
      <c r="C1300" s="493" t="s">
        <v>2053</v>
      </c>
      <c r="D1300" s="376" t="str">
        <f>IFERROR(VLOOKUP(E:E,'Item Data Support Sheet'!A:O,7,0),"")</f>
        <v>BOTTLE MOLDED</v>
      </c>
      <c r="E1300" s="447" t="s">
        <v>67</v>
      </c>
      <c r="F1300" s="500" t="s">
        <v>1682</v>
      </c>
      <c r="G1300" s="497" t="s">
        <v>1665</v>
      </c>
      <c r="H1300" s="602" t="str">
        <f>IFERROR(VLOOKUP(E:E,'Item Data Support Sheet'!A:O,2,0),"")</f>
        <v>RPP 120 ML BOTTLE MOLDED</v>
      </c>
      <c r="I1300" s="501" t="s">
        <v>4079</v>
      </c>
      <c r="J1300" s="501" t="s">
        <v>3895</v>
      </c>
      <c r="K1300" s="499">
        <v>8</v>
      </c>
      <c r="L1300" s="499">
        <v>2574</v>
      </c>
      <c r="M1300" s="366">
        <v>321.75</v>
      </c>
      <c r="N1300" s="367">
        <f t="shared" si="355"/>
        <v>2963</v>
      </c>
      <c r="O1300" s="61">
        <v>2880</v>
      </c>
      <c r="P1300" s="368">
        <v>0.15</v>
      </c>
      <c r="Q1300" s="368">
        <v>27</v>
      </c>
      <c r="R1300" s="494">
        <v>0</v>
      </c>
      <c r="S1300" s="493">
        <v>0</v>
      </c>
      <c r="T1300" s="494">
        <v>48</v>
      </c>
      <c r="U1300" s="493">
        <v>8</v>
      </c>
      <c r="V1300" s="502">
        <v>1</v>
      </c>
      <c r="W1300" s="453">
        <f t="shared" si="357"/>
        <v>2880</v>
      </c>
      <c r="X1300" s="748">
        <f t="shared" si="358"/>
        <v>1.118881118881119</v>
      </c>
      <c r="Y1300" s="451" t="str">
        <f>IFERROR(VLOOKUP(E:E,'Item Data Support Sheet'!A:J,6,0),0)</f>
        <v>HMC</v>
      </c>
      <c r="Z1300" s="428">
        <f>IFERROR(VLOOKUP(E:E,'Item Data Support Sheet'!A:O,4,0),0)</f>
        <v>21.3</v>
      </c>
      <c r="AA1300" s="428">
        <f t="shared" si="359"/>
        <v>63.261899999999997</v>
      </c>
      <c r="AB1300" s="429">
        <f t="shared" si="360"/>
        <v>0.96968317423283212</v>
      </c>
      <c r="AC1300" s="424">
        <f t="shared" si="361"/>
        <v>1.6393442622950821E-2</v>
      </c>
      <c r="AD1300" s="371">
        <f t="shared" si="362"/>
        <v>9.0301003344481611E-3</v>
      </c>
      <c r="AE1300" s="748">
        <f t="shared" si="363"/>
        <v>0.9838002024974688</v>
      </c>
      <c r="AF1300" s="417">
        <f t="shared" si="364"/>
        <v>0</v>
      </c>
      <c r="AG1300" s="416">
        <f t="shared" si="365"/>
        <v>8</v>
      </c>
      <c r="AH1300" s="372">
        <f t="shared" si="366"/>
        <v>1</v>
      </c>
      <c r="AI1300" s="373">
        <f t="shared" si="367"/>
        <v>360</v>
      </c>
      <c r="AJ1300" s="418">
        <f>VLOOKUP(D1300,'Standard Cycle time'!C:D,2,0)</f>
        <v>9</v>
      </c>
      <c r="AK1300" s="418">
        <f t="shared" si="368"/>
        <v>10</v>
      </c>
      <c r="AL1300" s="374">
        <f t="shared" si="369"/>
        <v>0.9</v>
      </c>
      <c r="AM1300" s="372">
        <f t="shared" si="370"/>
        <v>0.8854201822477219</v>
      </c>
      <c r="AN1300" s="799">
        <v>0.8854201822477219</v>
      </c>
      <c r="AO1300" s="448"/>
      <c r="AP1300" s="440">
        <v>0</v>
      </c>
      <c r="AQ1300" s="440">
        <v>0</v>
      </c>
      <c r="AR1300" s="440">
        <v>0</v>
      </c>
      <c r="AS1300" s="440">
        <v>0</v>
      </c>
      <c r="AT1300" s="440">
        <v>0</v>
      </c>
      <c r="AU1300" s="440">
        <v>0</v>
      </c>
      <c r="AV1300" s="440">
        <v>0</v>
      </c>
      <c r="AW1300" s="440">
        <v>0</v>
      </c>
      <c r="AX1300" s="440">
        <v>0</v>
      </c>
      <c r="AY1300" s="440">
        <v>0</v>
      </c>
      <c r="AZ1300" s="440">
        <v>0</v>
      </c>
      <c r="BA1300" s="440">
        <v>0</v>
      </c>
      <c r="BB1300" s="440">
        <v>0</v>
      </c>
      <c r="BC1300" s="440">
        <v>0</v>
      </c>
      <c r="BD1300" s="440">
        <v>0</v>
      </c>
      <c r="BE1300" s="440">
        <v>0</v>
      </c>
      <c r="BF1300" s="440">
        <v>0</v>
      </c>
      <c r="BG1300" s="440">
        <v>0</v>
      </c>
      <c r="BH1300" s="440">
        <v>0</v>
      </c>
      <c r="BI1300" s="440">
        <v>0</v>
      </c>
      <c r="BJ1300" s="440">
        <v>0</v>
      </c>
      <c r="BK1300" s="440">
        <v>0</v>
      </c>
      <c r="BL1300" s="440">
        <v>0</v>
      </c>
      <c r="BM1300" s="440">
        <v>0</v>
      </c>
      <c r="BN1300" s="440">
        <v>0</v>
      </c>
      <c r="BO1300" s="440">
        <v>0</v>
      </c>
      <c r="BP1300" s="440">
        <v>0</v>
      </c>
      <c r="BQ1300" s="440">
        <v>0</v>
      </c>
      <c r="BR1300" s="415">
        <v>0</v>
      </c>
      <c r="BS1300" s="415">
        <v>0</v>
      </c>
      <c r="BT1300" s="935"/>
      <c r="BU1300" s="935"/>
      <c r="BV1300" s="935"/>
      <c r="BW1300" s="935"/>
      <c r="BX1300" s="935"/>
      <c r="BY1300" s="935"/>
      <c r="BZ1300" s="935"/>
      <c r="CA1300" s="935"/>
      <c r="CB1300" s="935"/>
      <c r="CC1300" s="935"/>
      <c r="CD1300" s="935"/>
      <c r="CE1300" s="935"/>
      <c r="CF1300" s="935"/>
      <c r="CG1300" s="935"/>
      <c r="CH1300" s="935"/>
      <c r="CI1300" s="935"/>
      <c r="CJ1300" s="935"/>
      <c r="CK1300" s="935"/>
      <c r="CL1300" s="935"/>
      <c r="CM1300" s="935"/>
      <c r="CN1300" s="935"/>
      <c r="CO1300" s="935"/>
      <c r="CP1300" s="935"/>
      <c r="CQ1300" s="935"/>
      <c r="CR1300" s="935"/>
      <c r="CS1300" s="935"/>
      <c r="CT1300" s="935"/>
      <c r="CU1300" s="935"/>
      <c r="CV1300" s="935"/>
      <c r="DA1300" s="441" t="s">
        <v>107</v>
      </c>
    </row>
    <row r="1301" spans="1:105" s="441" customFormat="1">
      <c r="A1301" s="375">
        <f t="shared" si="356"/>
        <v>11</v>
      </c>
      <c r="B1301" s="862">
        <v>44518</v>
      </c>
      <c r="C1301" s="493" t="s">
        <v>2053</v>
      </c>
      <c r="D1301" s="376" t="str">
        <f>IFERROR(VLOOKUP(E:E,'Item Data Support Sheet'!A:O,7,0),"")</f>
        <v>NIPPLE MOLDED</v>
      </c>
      <c r="E1301" s="447" t="s">
        <v>74</v>
      </c>
      <c r="F1301" s="500" t="s">
        <v>1678</v>
      </c>
      <c r="G1301" s="497" t="s">
        <v>1691</v>
      </c>
      <c r="H1301" s="602" t="str">
        <f>IFERROR(VLOOKUP(E:E,'Item Data Support Sheet'!A:O,2,0),"")</f>
        <v>NIPPLE S TYPE L SIZE INJECTION</v>
      </c>
      <c r="I1301" s="501" t="s">
        <v>4080</v>
      </c>
      <c r="J1301" s="501" t="s">
        <v>3895</v>
      </c>
      <c r="K1301" s="499">
        <v>8</v>
      </c>
      <c r="L1301" s="499">
        <v>4815</v>
      </c>
      <c r="M1301" s="366">
        <v>601.875</v>
      </c>
      <c r="N1301" s="367">
        <f t="shared" si="355"/>
        <v>5676</v>
      </c>
      <c r="O1301" s="61">
        <v>5600</v>
      </c>
      <c r="P1301" s="368">
        <v>0</v>
      </c>
      <c r="Q1301" s="368">
        <v>0</v>
      </c>
      <c r="R1301" s="494">
        <v>0</v>
      </c>
      <c r="S1301" s="493">
        <v>0</v>
      </c>
      <c r="T1301" s="494">
        <v>60</v>
      </c>
      <c r="U1301" s="493">
        <v>16</v>
      </c>
      <c r="V1301" s="502">
        <v>1</v>
      </c>
      <c r="W1301" s="453">
        <f t="shared" si="357"/>
        <v>5600</v>
      </c>
      <c r="X1301" s="748">
        <f t="shared" si="358"/>
        <v>1.1630321910695742</v>
      </c>
      <c r="Y1301" s="451" t="str">
        <f>IFERROR(VLOOKUP(E:E,'Item Data Support Sheet'!A:J,6,0),0)</f>
        <v>Silicon</v>
      </c>
      <c r="Z1301" s="428">
        <f>IFERROR(VLOOKUP(E:E,'Item Data Support Sheet'!A:O,4,0),0)</f>
        <v>6.8</v>
      </c>
      <c r="AA1301" s="428">
        <f t="shared" si="359"/>
        <v>38.596799999999995</v>
      </c>
      <c r="AB1301" s="429">
        <f t="shared" si="360"/>
        <v>0.98661028893587044</v>
      </c>
      <c r="AC1301" s="424">
        <f t="shared" si="361"/>
        <v>1.0600706713780919E-2</v>
      </c>
      <c r="AD1301" s="371">
        <f t="shared" si="362"/>
        <v>0</v>
      </c>
      <c r="AE1301" s="748">
        <f t="shared" si="363"/>
        <v>0.98942917547568709</v>
      </c>
      <c r="AF1301" s="417">
        <f t="shared" si="364"/>
        <v>0</v>
      </c>
      <c r="AG1301" s="416">
        <f t="shared" si="365"/>
        <v>8</v>
      </c>
      <c r="AH1301" s="372">
        <f t="shared" si="366"/>
        <v>1</v>
      </c>
      <c r="AI1301" s="373">
        <f t="shared" si="367"/>
        <v>700</v>
      </c>
      <c r="AJ1301" s="418">
        <f>VLOOKUP(D1301,'Standard Cycle time'!C:D,2,0)</f>
        <v>5.25</v>
      </c>
      <c r="AK1301" s="418">
        <f t="shared" si="368"/>
        <v>5.1428571428571432</v>
      </c>
      <c r="AL1301" s="374">
        <f t="shared" si="369"/>
        <v>1.0208333333333333</v>
      </c>
      <c r="AM1301" s="372">
        <f t="shared" si="370"/>
        <v>1.0100422832980971</v>
      </c>
      <c r="AN1301" s="799">
        <v>1.0100422832980971</v>
      </c>
      <c r="AO1301" s="448"/>
      <c r="AP1301" s="440">
        <v>0</v>
      </c>
      <c r="AQ1301" s="440">
        <v>0</v>
      </c>
      <c r="AR1301" s="440">
        <v>0</v>
      </c>
      <c r="AS1301" s="440">
        <v>0</v>
      </c>
      <c r="AT1301" s="440">
        <v>0</v>
      </c>
      <c r="AU1301" s="440">
        <v>0</v>
      </c>
      <c r="AV1301" s="440">
        <v>0</v>
      </c>
      <c r="AW1301" s="440">
        <v>0</v>
      </c>
      <c r="AX1301" s="440">
        <v>0</v>
      </c>
      <c r="AY1301" s="440">
        <v>0</v>
      </c>
      <c r="AZ1301" s="440">
        <v>0</v>
      </c>
      <c r="BA1301" s="440">
        <v>0</v>
      </c>
      <c r="BB1301" s="440">
        <v>0</v>
      </c>
      <c r="BC1301" s="440">
        <v>0</v>
      </c>
      <c r="BD1301" s="440">
        <v>0</v>
      </c>
      <c r="BE1301" s="440">
        <v>0</v>
      </c>
      <c r="BF1301" s="440">
        <v>0</v>
      </c>
      <c r="BG1301" s="440">
        <v>0</v>
      </c>
      <c r="BH1301" s="440">
        <v>0</v>
      </c>
      <c r="BI1301" s="440">
        <v>0</v>
      </c>
      <c r="BJ1301" s="440">
        <v>0</v>
      </c>
      <c r="BK1301" s="440">
        <v>0</v>
      </c>
      <c r="BL1301" s="440">
        <v>0</v>
      </c>
      <c r="BM1301" s="440">
        <v>0</v>
      </c>
      <c r="BN1301" s="440">
        <v>0</v>
      </c>
      <c r="BO1301" s="440">
        <v>0</v>
      </c>
      <c r="BP1301" s="440">
        <v>0</v>
      </c>
      <c r="BQ1301" s="440">
        <v>0</v>
      </c>
      <c r="BR1301" s="415">
        <v>0</v>
      </c>
      <c r="BS1301" s="415">
        <v>0</v>
      </c>
      <c r="BT1301" s="935"/>
      <c r="BU1301" s="935"/>
      <c r="BV1301" s="935"/>
      <c r="BW1301" s="935"/>
      <c r="BX1301" s="935"/>
      <c r="BY1301" s="935"/>
      <c r="BZ1301" s="935"/>
      <c r="CA1301" s="935"/>
      <c r="CB1301" s="935"/>
      <c r="CC1301" s="935"/>
      <c r="CD1301" s="935"/>
      <c r="CE1301" s="935"/>
      <c r="CF1301" s="935"/>
      <c r="CG1301" s="935"/>
      <c r="CH1301" s="935"/>
      <c r="CI1301" s="935"/>
      <c r="CJ1301" s="935"/>
      <c r="CK1301" s="935"/>
      <c r="CL1301" s="935"/>
      <c r="CM1301" s="935"/>
      <c r="CN1301" s="935"/>
      <c r="CO1301" s="935"/>
      <c r="CP1301" s="935"/>
      <c r="CQ1301" s="935"/>
      <c r="CR1301" s="935"/>
      <c r="CS1301" s="935"/>
      <c r="CT1301" s="935"/>
      <c r="CU1301" s="935"/>
      <c r="CV1301" s="935"/>
    </row>
    <row r="1302" spans="1:105" s="441" customFormat="1">
      <c r="A1302" s="375">
        <f t="shared" si="356"/>
        <v>11</v>
      </c>
      <c r="B1302" s="862">
        <v>44518</v>
      </c>
      <c r="C1302" s="493" t="s">
        <v>2053</v>
      </c>
      <c r="D1302" s="376" t="str">
        <f>IFERROR(VLOOKUP(E:E,'Item Data Support Sheet'!A:O,7,0),"")</f>
        <v>HOOD MOLDED</v>
      </c>
      <c r="E1302" s="447" t="s">
        <v>1987</v>
      </c>
      <c r="F1302" s="500"/>
      <c r="G1302" s="497" t="s">
        <v>2729</v>
      </c>
      <c r="H1302" s="602" t="str">
        <f>IFERROR(VLOOKUP(E:E,'Item Data Support Sheet'!A:O,2,0),"")</f>
        <v>HOOD S TYPE MOLDED</v>
      </c>
      <c r="I1302" s="501" t="s">
        <v>4081</v>
      </c>
      <c r="J1302" s="501" t="s">
        <v>3895</v>
      </c>
      <c r="K1302" s="499">
        <v>8</v>
      </c>
      <c r="L1302" s="499">
        <v>4137</v>
      </c>
      <c r="M1302" s="366">
        <v>517.125</v>
      </c>
      <c r="N1302" s="367">
        <f t="shared" si="355"/>
        <v>4818</v>
      </c>
      <c r="O1302" s="61">
        <v>4800</v>
      </c>
      <c r="P1302" s="368">
        <v>0.1</v>
      </c>
      <c r="Q1302" s="368">
        <v>0</v>
      </c>
      <c r="R1302" s="494">
        <v>0</v>
      </c>
      <c r="S1302" s="493">
        <v>0</v>
      </c>
      <c r="T1302" s="494">
        <v>10</v>
      </c>
      <c r="U1302" s="493">
        <v>8</v>
      </c>
      <c r="V1302" s="502">
        <v>1</v>
      </c>
      <c r="W1302" s="453">
        <f t="shared" si="357"/>
        <v>4800</v>
      </c>
      <c r="X1302" s="748">
        <f t="shared" si="358"/>
        <v>1.1602610587382161</v>
      </c>
      <c r="Y1302" s="451" t="str">
        <f>IFERROR(VLOOKUP(E:E,'Item Data Support Sheet'!A:J,6,0),0)</f>
        <v>HMC</v>
      </c>
      <c r="Z1302" s="428">
        <f>IFERROR(VLOOKUP(E:E,'Item Data Support Sheet'!A:O,4,0),0)</f>
        <v>8.6</v>
      </c>
      <c r="AA1302" s="428">
        <f t="shared" si="359"/>
        <v>41.534800000000004</v>
      </c>
      <c r="AB1302" s="429">
        <f t="shared" si="360"/>
        <v>0.9938653851709891</v>
      </c>
      <c r="AC1302" s="424">
        <f t="shared" si="361"/>
        <v>2.0790020790020791E-3</v>
      </c>
      <c r="AD1302" s="371">
        <f t="shared" si="362"/>
        <v>0</v>
      </c>
      <c r="AE1302" s="748">
        <f t="shared" si="363"/>
        <v>0.99792444997924445</v>
      </c>
      <c r="AF1302" s="417">
        <f t="shared" si="364"/>
        <v>0</v>
      </c>
      <c r="AG1302" s="416">
        <f t="shared" si="365"/>
        <v>8</v>
      </c>
      <c r="AH1302" s="372">
        <f t="shared" si="366"/>
        <v>1</v>
      </c>
      <c r="AI1302" s="373">
        <f t="shared" si="367"/>
        <v>600</v>
      </c>
      <c r="AJ1302" s="418">
        <f>VLOOKUP(D1302,'Standard Cycle time'!C:D,2,0)</f>
        <v>6</v>
      </c>
      <c r="AK1302" s="418">
        <f t="shared" si="368"/>
        <v>6</v>
      </c>
      <c r="AL1302" s="374">
        <f t="shared" si="369"/>
        <v>1</v>
      </c>
      <c r="AM1302" s="372">
        <f t="shared" si="370"/>
        <v>0.99792444997924445</v>
      </c>
      <c r="AN1302" s="799">
        <v>0.99792444997924445</v>
      </c>
      <c r="AO1302" s="448"/>
      <c r="AP1302" s="440">
        <v>0</v>
      </c>
      <c r="AQ1302" s="440">
        <v>0</v>
      </c>
      <c r="AR1302" s="440">
        <v>0</v>
      </c>
      <c r="AS1302" s="440">
        <v>0</v>
      </c>
      <c r="AT1302" s="440">
        <v>0</v>
      </c>
      <c r="AU1302" s="440">
        <v>0</v>
      </c>
      <c r="AV1302" s="440">
        <v>0</v>
      </c>
      <c r="AW1302" s="440">
        <v>0</v>
      </c>
      <c r="AX1302" s="440">
        <v>0</v>
      </c>
      <c r="AY1302" s="440">
        <v>0</v>
      </c>
      <c r="AZ1302" s="440">
        <v>0</v>
      </c>
      <c r="BA1302" s="440">
        <v>0</v>
      </c>
      <c r="BB1302" s="440">
        <v>0</v>
      </c>
      <c r="BC1302" s="440">
        <v>0</v>
      </c>
      <c r="BD1302" s="440">
        <v>0</v>
      </c>
      <c r="BE1302" s="440">
        <v>0</v>
      </c>
      <c r="BF1302" s="440">
        <v>0</v>
      </c>
      <c r="BG1302" s="440">
        <v>0</v>
      </c>
      <c r="BH1302" s="440">
        <v>0</v>
      </c>
      <c r="BI1302" s="440">
        <v>0</v>
      </c>
      <c r="BJ1302" s="440">
        <v>0</v>
      </c>
      <c r="BK1302" s="440">
        <v>0</v>
      </c>
      <c r="BL1302" s="440">
        <v>0</v>
      </c>
      <c r="BM1302" s="440">
        <v>0</v>
      </c>
      <c r="BN1302" s="440">
        <v>0</v>
      </c>
      <c r="BO1302" s="440">
        <v>0</v>
      </c>
      <c r="BP1302" s="440">
        <v>0</v>
      </c>
      <c r="BQ1302" s="440">
        <v>0</v>
      </c>
      <c r="BR1302" s="415">
        <v>0</v>
      </c>
      <c r="BS1302" s="415">
        <v>0</v>
      </c>
      <c r="BT1302" s="935"/>
      <c r="BU1302" s="935"/>
      <c r="BV1302" s="935"/>
      <c r="BW1302" s="935"/>
      <c r="BX1302" s="935"/>
      <c r="BY1302" s="935"/>
      <c r="BZ1302" s="935"/>
      <c r="CA1302" s="935"/>
      <c r="CB1302" s="935"/>
      <c r="CC1302" s="935"/>
      <c r="CD1302" s="935"/>
      <c r="CE1302" s="935"/>
      <c r="CF1302" s="935"/>
      <c r="CG1302" s="935"/>
      <c r="CH1302" s="935"/>
      <c r="CI1302" s="935"/>
      <c r="CJ1302" s="935"/>
      <c r="CK1302" s="935"/>
      <c r="CL1302" s="935"/>
      <c r="CM1302" s="935"/>
      <c r="CN1302" s="935"/>
      <c r="CO1302" s="935"/>
      <c r="CP1302" s="935"/>
      <c r="CQ1302" s="935"/>
      <c r="CR1302" s="935"/>
      <c r="CS1302" s="935"/>
      <c r="CT1302" s="935"/>
      <c r="CU1302" s="935"/>
      <c r="CV1302" s="935"/>
    </row>
    <row r="1303" spans="1:105" s="441" customFormat="1">
      <c r="A1303" s="375">
        <f t="shared" si="356"/>
        <v>11</v>
      </c>
      <c r="B1303" s="862">
        <v>44518</v>
      </c>
      <c r="C1303" s="493" t="s">
        <v>2053</v>
      </c>
      <c r="D1303" s="376" t="str">
        <f>IFERROR(VLOOKUP(E:E,'Item Data Support Sheet'!A:O,7,0),"")</f>
        <v>NIPPLE MOLDED</v>
      </c>
      <c r="E1303" s="447" t="s">
        <v>73</v>
      </c>
      <c r="F1303" s="500" t="s">
        <v>1677</v>
      </c>
      <c r="G1303" s="497" t="s">
        <v>1690</v>
      </c>
      <c r="H1303" s="602" t="str">
        <f>IFERROR(VLOOKUP(E:E,'Item Data Support Sheet'!A:O,2,0),"")</f>
        <v>NIPPLE S TYPE M SIZE INJECTION</v>
      </c>
      <c r="I1303" s="501" t="s">
        <v>4080</v>
      </c>
      <c r="J1303" s="501" t="s">
        <v>3895</v>
      </c>
      <c r="K1303" s="499">
        <v>8</v>
      </c>
      <c r="L1303" s="499">
        <v>3611</v>
      </c>
      <c r="M1303" s="366">
        <v>451.375</v>
      </c>
      <c r="N1303" s="367">
        <f t="shared" si="355"/>
        <v>3993</v>
      </c>
      <c r="O1303" s="61">
        <v>3700</v>
      </c>
      <c r="P1303" s="368">
        <v>0</v>
      </c>
      <c r="Q1303" s="368">
        <v>188</v>
      </c>
      <c r="R1303" s="494">
        <v>0</v>
      </c>
      <c r="S1303" s="493">
        <v>0</v>
      </c>
      <c r="T1303" s="494">
        <v>93</v>
      </c>
      <c r="U1303" s="493">
        <v>12</v>
      </c>
      <c r="V1303" s="502">
        <v>1</v>
      </c>
      <c r="W1303" s="453">
        <f t="shared" si="357"/>
        <v>3700</v>
      </c>
      <c r="X1303" s="748">
        <f t="shared" si="358"/>
        <v>1.0246469122126836</v>
      </c>
      <c r="Y1303" s="451" t="str">
        <f>IFERROR(VLOOKUP(E:E,'Item Data Support Sheet'!A:J,6,0),0)</f>
        <v>Silicon</v>
      </c>
      <c r="Z1303" s="428">
        <f>IFERROR(VLOOKUP(E:E,'Item Data Support Sheet'!A:O,4,0),0)</f>
        <v>6.8</v>
      </c>
      <c r="AA1303" s="428">
        <f t="shared" si="359"/>
        <v>27.1524</v>
      </c>
      <c r="AB1303" s="429">
        <f t="shared" si="360"/>
        <v>0.92662158777861259</v>
      </c>
      <c r="AC1303" s="424">
        <f t="shared" si="361"/>
        <v>2.4518850514104931E-2</v>
      </c>
      <c r="AD1303" s="371">
        <f t="shared" si="362"/>
        <v>4.496531930160249E-2</v>
      </c>
      <c r="AE1303" s="748">
        <f t="shared" si="363"/>
        <v>0.97670924117205105</v>
      </c>
      <c r="AF1303" s="417">
        <f t="shared" si="364"/>
        <v>0</v>
      </c>
      <c r="AG1303" s="416">
        <f t="shared" si="365"/>
        <v>8</v>
      </c>
      <c r="AH1303" s="372">
        <f t="shared" si="366"/>
        <v>1</v>
      </c>
      <c r="AI1303" s="373">
        <f t="shared" si="367"/>
        <v>462.5</v>
      </c>
      <c r="AJ1303" s="418">
        <f>VLOOKUP(D1303,'Standard Cycle time'!C:D,2,0)</f>
        <v>5.25</v>
      </c>
      <c r="AK1303" s="418">
        <f t="shared" si="368"/>
        <v>7.7837837837837842</v>
      </c>
      <c r="AL1303" s="374">
        <f t="shared" si="369"/>
        <v>0.67447916666666663</v>
      </c>
      <c r="AM1303" s="372">
        <f t="shared" si="370"/>
        <v>0.65877003506135734</v>
      </c>
      <c r="AN1303" s="799">
        <v>0.65877003506135734</v>
      </c>
      <c r="AO1303" s="448"/>
      <c r="AP1303" s="440">
        <v>0</v>
      </c>
      <c r="AQ1303" s="440">
        <v>0</v>
      </c>
      <c r="AR1303" s="440">
        <v>0</v>
      </c>
      <c r="AS1303" s="440">
        <v>0</v>
      </c>
      <c r="AT1303" s="440">
        <v>0</v>
      </c>
      <c r="AU1303" s="440">
        <v>0</v>
      </c>
      <c r="AV1303" s="440">
        <v>0</v>
      </c>
      <c r="AW1303" s="440">
        <v>0</v>
      </c>
      <c r="AX1303" s="440">
        <v>0</v>
      </c>
      <c r="AY1303" s="440">
        <v>0</v>
      </c>
      <c r="AZ1303" s="440">
        <v>0</v>
      </c>
      <c r="BA1303" s="440">
        <v>0</v>
      </c>
      <c r="BB1303" s="440">
        <v>0</v>
      </c>
      <c r="BC1303" s="440">
        <v>0</v>
      </c>
      <c r="BD1303" s="440">
        <v>0</v>
      </c>
      <c r="BE1303" s="440">
        <v>0</v>
      </c>
      <c r="BF1303" s="440">
        <v>0</v>
      </c>
      <c r="BG1303" s="440">
        <v>0</v>
      </c>
      <c r="BH1303" s="440">
        <v>0</v>
      </c>
      <c r="BI1303" s="440">
        <v>0</v>
      </c>
      <c r="BJ1303" s="440">
        <v>0</v>
      </c>
      <c r="BK1303" s="440">
        <v>0</v>
      </c>
      <c r="BL1303" s="440">
        <v>0</v>
      </c>
      <c r="BM1303" s="440">
        <v>0</v>
      </c>
      <c r="BN1303" s="440">
        <v>0</v>
      </c>
      <c r="BO1303" s="440">
        <v>0</v>
      </c>
      <c r="BP1303" s="440">
        <v>0</v>
      </c>
      <c r="BQ1303" s="440">
        <v>0</v>
      </c>
      <c r="BR1303" s="415">
        <v>0</v>
      </c>
      <c r="BS1303" s="415">
        <v>0</v>
      </c>
      <c r="BT1303" s="935"/>
      <c r="BU1303" s="935"/>
      <c r="BV1303" s="935"/>
      <c r="BW1303" s="935"/>
      <c r="BX1303" s="935"/>
      <c r="BY1303" s="935"/>
      <c r="BZ1303" s="935"/>
      <c r="CA1303" s="935"/>
      <c r="CB1303" s="935"/>
      <c r="CC1303" s="935"/>
      <c r="CD1303" s="935"/>
      <c r="CE1303" s="935"/>
      <c r="CF1303" s="935"/>
      <c r="CG1303" s="935"/>
      <c r="CH1303" s="935"/>
      <c r="CI1303" s="935"/>
      <c r="CJ1303" s="935"/>
      <c r="CK1303" s="935"/>
      <c r="CL1303" s="935"/>
      <c r="CM1303" s="935"/>
      <c r="CN1303" s="935"/>
      <c r="CO1303" s="935"/>
      <c r="CP1303" s="935"/>
      <c r="CQ1303" s="935"/>
      <c r="CR1303" s="935"/>
      <c r="CS1303" s="935"/>
      <c r="CT1303" s="935"/>
      <c r="CU1303" s="935"/>
      <c r="CV1303" s="935"/>
    </row>
    <row r="1304" spans="1:105" s="441" customFormat="1">
      <c r="A1304" s="375">
        <f t="shared" si="356"/>
        <v>11</v>
      </c>
      <c r="B1304" s="862">
        <v>44519</v>
      </c>
      <c r="C1304" s="493" t="s">
        <v>1980</v>
      </c>
      <c r="D1304" s="376" t="str">
        <f>IFERROR(VLOOKUP(E:E,'Item Data Support Sheet'!A:O,7,0),"")</f>
        <v>NIPPLE MOLDED</v>
      </c>
      <c r="E1304" s="447" t="s">
        <v>73</v>
      </c>
      <c r="F1304" s="500" t="s">
        <v>1677</v>
      </c>
      <c r="G1304" s="497" t="s">
        <v>1690</v>
      </c>
      <c r="H1304" s="602" t="str">
        <f>IFERROR(VLOOKUP(E:E,'Item Data Support Sheet'!A:O,2,0),"")</f>
        <v>NIPPLE S TYPE M SIZE INJECTION</v>
      </c>
      <c r="I1304" s="501" t="s">
        <v>4082</v>
      </c>
      <c r="J1304" s="501" t="s">
        <v>2808</v>
      </c>
      <c r="K1304" s="499">
        <v>8</v>
      </c>
      <c r="L1304" s="499">
        <v>3611</v>
      </c>
      <c r="M1304" s="366">
        <v>451.375</v>
      </c>
      <c r="N1304" s="367">
        <f t="shared" si="355"/>
        <v>3700</v>
      </c>
      <c r="O1304" s="61">
        <v>3350</v>
      </c>
      <c r="P1304" s="368">
        <v>0</v>
      </c>
      <c r="Q1304" s="368">
        <v>200</v>
      </c>
      <c r="R1304" s="494">
        <v>0</v>
      </c>
      <c r="S1304" s="493">
        <v>0</v>
      </c>
      <c r="T1304" s="494">
        <v>144</v>
      </c>
      <c r="U1304" s="493">
        <v>6</v>
      </c>
      <c r="V1304" s="502">
        <v>1</v>
      </c>
      <c r="W1304" s="453">
        <f t="shared" si="357"/>
        <v>3350</v>
      </c>
      <c r="X1304" s="748">
        <f t="shared" si="358"/>
        <v>0.9277208529493215</v>
      </c>
      <c r="Y1304" s="451" t="str">
        <f>IFERROR(VLOOKUP(E:E,'Item Data Support Sheet'!A:J,6,0),0)</f>
        <v>Silicon</v>
      </c>
      <c r="Z1304" s="428">
        <f>IFERROR(VLOOKUP(E:E,'Item Data Support Sheet'!A:O,4,0),0)</f>
        <v>6.8</v>
      </c>
      <c r="AA1304" s="428">
        <f t="shared" si="359"/>
        <v>25.16</v>
      </c>
      <c r="AB1304" s="429">
        <f t="shared" si="360"/>
        <v>0.90540540540540526</v>
      </c>
      <c r="AC1304" s="424">
        <f t="shared" si="361"/>
        <v>4.1213508872352603E-2</v>
      </c>
      <c r="AD1304" s="371">
        <f t="shared" si="362"/>
        <v>5.128205128205128E-2</v>
      </c>
      <c r="AE1304" s="748">
        <f t="shared" si="363"/>
        <v>0.96108108108108103</v>
      </c>
      <c r="AF1304" s="417">
        <f t="shared" si="364"/>
        <v>0</v>
      </c>
      <c r="AG1304" s="416">
        <f t="shared" si="365"/>
        <v>8</v>
      </c>
      <c r="AH1304" s="372">
        <f t="shared" si="366"/>
        <v>1</v>
      </c>
      <c r="AI1304" s="373">
        <f t="shared" si="367"/>
        <v>418.75</v>
      </c>
      <c r="AJ1304" s="418">
        <f>VLOOKUP(D1304,'Standard Cycle time'!C:D,2,0)</f>
        <v>5.25</v>
      </c>
      <c r="AK1304" s="418">
        <f t="shared" si="368"/>
        <v>8.5970149253731343</v>
      </c>
      <c r="AL1304" s="374">
        <f t="shared" si="369"/>
        <v>0.61067708333333337</v>
      </c>
      <c r="AM1304" s="372">
        <f t="shared" si="370"/>
        <v>0.58691019144144141</v>
      </c>
      <c r="AN1304" s="799">
        <v>0.58691019144144141</v>
      </c>
      <c r="AO1304" s="448" t="s">
        <v>4083</v>
      </c>
      <c r="AP1304" s="440">
        <v>0</v>
      </c>
      <c r="AQ1304" s="440">
        <v>0</v>
      </c>
      <c r="AR1304" s="440">
        <v>0</v>
      </c>
      <c r="AS1304" s="440">
        <v>0</v>
      </c>
      <c r="AT1304" s="440">
        <v>0</v>
      </c>
      <c r="AU1304" s="440">
        <v>0</v>
      </c>
      <c r="AV1304" s="440">
        <v>0</v>
      </c>
      <c r="AW1304" s="440">
        <v>0</v>
      </c>
      <c r="AX1304" s="440">
        <v>0</v>
      </c>
      <c r="AY1304" s="440">
        <v>0</v>
      </c>
      <c r="AZ1304" s="440">
        <v>0</v>
      </c>
      <c r="BA1304" s="440">
        <v>0</v>
      </c>
      <c r="BB1304" s="440">
        <v>0</v>
      </c>
      <c r="BC1304" s="440">
        <v>0</v>
      </c>
      <c r="BD1304" s="440">
        <v>0</v>
      </c>
      <c r="BE1304" s="440">
        <v>0</v>
      </c>
      <c r="BF1304" s="440">
        <v>0</v>
      </c>
      <c r="BG1304" s="440">
        <v>0</v>
      </c>
      <c r="BH1304" s="440">
        <v>0</v>
      </c>
      <c r="BI1304" s="440">
        <v>0</v>
      </c>
      <c r="BJ1304" s="440">
        <v>0</v>
      </c>
      <c r="BK1304" s="440">
        <v>0</v>
      </c>
      <c r="BL1304" s="440">
        <v>0</v>
      </c>
      <c r="BM1304" s="440">
        <v>0</v>
      </c>
      <c r="BN1304" s="440">
        <v>0</v>
      </c>
      <c r="BO1304" s="440">
        <v>0</v>
      </c>
      <c r="BP1304" s="440">
        <v>0</v>
      </c>
      <c r="BQ1304" s="440">
        <v>0</v>
      </c>
      <c r="BR1304" s="415">
        <v>0</v>
      </c>
      <c r="BS1304" s="415">
        <v>0</v>
      </c>
      <c r="BT1304" s="935"/>
      <c r="BU1304" s="935"/>
      <c r="BV1304" s="935"/>
      <c r="BW1304" s="935"/>
      <c r="BX1304" s="935"/>
      <c r="BY1304" s="935"/>
      <c r="BZ1304" s="935"/>
      <c r="CA1304" s="935"/>
      <c r="CB1304" s="935"/>
      <c r="CC1304" s="935"/>
      <c r="CD1304" s="935"/>
      <c r="CE1304" s="935"/>
      <c r="CF1304" s="935"/>
      <c r="CG1304" s="935"/>
      <c r="CH1304" s="935"/>
      <c r="CI1304" s="935"/>
      <c r="CJ1304" s="935"/>
      <c r="CK1304" s="935"/>
      <c r="CL1304" s="935"/>
      <c r="CM1304" s="935"/>
      <c r="CN1304" s="935"/>
      <c r="CO1304" s="935"/>
      <c r="CP1304" s="935"/>
      <c r="CQ1304" s="935"/>
      <c r="CR1304" s="935"/>
      <c r="CS1304" s="935"/>
      <c r="CT1304" s="935"/>
      <c r="CU1304" s="935"/>
      <c r="CV1304" s="935"/>
    </row>
    <row r="1305" spans="1:105" s="441" customFormat="1">
      <c r="A1305" s="375">
        <f t="shared" si="356"/>
        <v>11</v>
      </c>
      <c r="B1305" s="862">
        <v>44519</v>
      </c>
      <c r="C1305" s="493" t="s">
        <v>1980</v>
      </c>
      <c r="D1305" s="376" t="str">
        <f>IFERROR(VLOOKUP(E:E,'Item Data Support Sheet'!A:O,7,0),"")</f>
        <v>HOOD MOLDED</v>
      </c>
      <c r="E1305" s="447" t="s">
        <v>1987</v>
      </c>
      <c r="F1305" s="500"/>
      <c r="G1305" s="497" t="s">
        <v>2729</v>
      </c>
      <c r="H1305" s="602" t="str">
        <f>IFERROR(VLOOKUP(E:E,'Item Data Support Sheet'!A:O,2,0),"")</f>
        <v>HOOD S TYPE MOLDED</v>
      </c>
      <c r="I1305" s="501" t="s">
        <v>4084</v>
      </c>
      <c r="J1305" s="501" t="s">
        <v>2808</v>
      </c>
      <c r="K1305" s="499">
        <v>8</v>
      </c>
      <c r="L1305" s="499">
        <v>4137</v>
      </c>
      <c r="M1305" s="366">
        <v>517.125</v>
      </c>
      <c r="N1305" s="367">
        <f t="shared" si="355"/>
        <v>4850</v>
      </c>
      <c r="O1305" s="61">
        <v>4800</v>
      </c>
      <c r="P1305" s="368">
        <v>0</v>
      </c>
      <c r="Q1305" s="368">
        <v>24</v>
      </c>
      <c r="R1305" s="494">
        <v>0</v>
      </c>
      <c r="S1305" s="493">
        <v>0</v>
      </c>
      <c r="T1305" s="494">
        <v>18</v>
      </c>
      <c r="U1305" s="493">
        <v>8</v>
      </c>
      <c r="V1305" s="502">
        <v>1</v>
      </c>
      <c r="W1305" s="453">
        <f t="shared" si="357"/>
        <v>4800</v>
      </c>
      <c r="X1305" s="748">
        <f t="shared" si="358"/>
        <v>1.1602610587382161</v>
      </c>
      <c r="Y1305" s="451" t="str">
        <f>IFERROR(VLOOKUP(E:E,'Item Data Support Sheet'!A:J,6,0),0)</f>
        <v>HMC</v>
      </c>
      <c r="Z1305" s="428">
        <f>IFERROR(VLOOKUP(E:E,'Item Data Support Sheet'!A:O,4,0),0)</f>
        <v>8.6</v>
      </c>
      <c r="AA1305" s="428">
        <f t="shared" si="359"/>
        <v>41.71</v>
      </c>
      <c r="AB1305" s="429">
        <f t="shared" si="360"/>
        <v>0.98969072164948457</v>
      </c>
      <c r="AC1305" s="424">
        <f t="shared" si="361"/>
        <v>3.7359900373599006E-3</v>
      </c>
      <c r="AD1305" s="371">
        <f t="shared" si="362"/>
        <v>4.9240869922035288E-3</v>
      </c>
      <c r="AE1305" s="748">
        <f t="shared" si="363"/>
        <v>0.99628865979381442</v>
      </c>
      <c r="AF1305" s="417">
        <f t="shared" si="364"/>
        <v>0</v>
      </c>
      <c r="AG1305" s="416">
        <f t="shared" si="365"/>
        <v>8</v>
      </c>
      <c r="AH1305" s="372">
        <f t="shared" si="366"/>
        <v>1</v>
      </c>
      <c r="AI1305" s="373">
        <f t="shared" si="367"/>
        <v>600</v>
      </c>
      <c r="AJ1305" s="418">
        <f>VLOOKUP(D1305,'Standard Cycle time'!C:D,2,0)</f>
        <v>6</v>
      </c>
      <c r="AK1305" s="418">
        <f t="shared" si="368"/>
        <v>6</v>
      </c>
      <c r="AL1305" s="374">
        <f t="shared" si="369"/>
        <v>1</v>
      </c>
      <c r="AM1305" s="372">
        <f t="shared" si="370"/>
        <v>0.99628865979381442</v>
      </c>
      <c r="AN1305" s="799">
        <v>0.99628865979381442</v>
      </c>
      <c r="AO1305" s="448"/>
      <c r="AP1305" s="440">
        <v>0</v>
      </c>
      <c r="AQ1305" s="440">
        <v>0</v>
      </c>
      <c r="AR1305" s="440">
        <v>0</v>
      </c>
      <c r="AS1305" s="440">
        <v>0</v>
      </c>
      <c r="AT1305" s="440">
        <v>0</v>
      </c>
      <c r="AU1305" s="440">
        <v>0</v>
      </c>
      <c r="AV1305" s="440">
        <v>0</v>
      </c>
      <c r="AW1305" s="440">
        <v>0</v>
      </c>
      <c r="AX1305" s="440">
        <v>0</v>
      </c>
      <c r="AY1305" s="440">
        <v>0</v>
      </c>
      <c r="AZ1305" s="440">
        <v>0</v>
      </c>
      <c r="BA1305" s="440">
        <v>0</v>
      </c>
      <c r="BB1305" s="440">
        <v>0</v>
      </c>
      <c r="BC1305" s="440">
        <v>0</v>
      </c>
      <c r="BD1305" s="440">
        <v>0</v>
      </c>
      <c r="BE1305" s="440">
        <v>0</v>
      </c>
      <c r="BF1305" s="440">
        <v>0</v>
      </c>
      <c r="BG1305" s="440">
        <v>0</v>
      </c>
      <c r="BH1305" s="440">
        <v>0</v>
      </c>
      <c r="BI1305" s="440">
        <v>0</v>
      </c>
      <c r="BJ1305" s="440">
        <v>0</v>
      </c>
      <c r="BK1305" s="440">
        <v>0</v>
      </c>
      <c r="BL1305" s="440">
        <v>0</v>
      </c>
      <c r="BM1305" s="440">
        <v>0</v>
      </c>
      <c r="BN1305" s="440">
        <v>0</v>
      </c>
      <c r="BO1305" s="440">
        <v>0</v>
      </c>
      <c r="BP1305" s="440">
        <v>0</v>
      </c>
      <c r="BQ1305" s="440">
        <v>0</v>
      </c>
      <c r="BR1305" s="415">
        <v>0</v>
      </c>
      <c r="BS1305" s="415">
        <v>0</v>
      </c>
      <c r="BT1305" s="935"/>
      <c r="BU1305" s="935"/>
      <c r="BV1305" s="935"/>
      <c r="BW1305" s="935"/>
      <c r="BX1305" s="935"/>
      <c r="BY1305" s="935"/>
      <c r="BZ1305" s="935"/>
      <c r="CA1305" s="935"/>
      <c r="CB1305" s="935"/>
      <c r="CC1305" s="935"/>
      <c r="CD1305" s="935"/>
      <c r="CE1305" s="935"/>
      <c r="CF1305" s="935"/>
      <c r="CG1305" s="935"/>
      <c r="CH1305" s="935"/>
      <c r="CI1305" s="935"/>
      <c r="CJ1305" s="935"/>
      <c r="CK1305" s="935"/>
      <c r="CL1305" s="935"/>
      <c r="CM1305" s="935"/>
      <c r="CN1305" s="935"/>
      <c r="CO1305" s="935"/>
      <c r="CP1305" s="935"/>
      <c r="CQ1305" s="935"/>
      <c r="CR1305" s="935"/>
      <c r="CS1305" s="935"/>
      <c r="CT1305" s="935"/>
      <c r="CU1305" s="935"/>
      <c r="CV1305" s="935"/>
    </row>
    <row r="1306" spans="1:105" s="441" customFormat="1">
      <c r="A1306" s="375">
        <f t="shared" si="356"/>
        <v>11</v>
      </c>
      <c r="B1306" s="862">
        <v>44519</v>
      </c>
      <c r="C1306" s="493" t="s">
        <v>1980</v>
      </c>
      <c r="D1306" s="376" t="str">
        <f>IFERROR(VLOOKUP(E:E,'Item Data Support Sheet'!A:O,7,0),"")</f>
        <v>NIPPLE PUNCH</v>
      </c>
      <c r="E1306" s="447" t="s">
        <v>82</v>
      </c>
      <c r="F1306" s="500"/>
      <c r="G1306" s="497" t="s">
        <v>1692</v>
      </c>
      <c r="H1306" s="602" t="str">
        <f>IFERROR(VLOOKUP(E:E,'Item Data Support Sheet'!A:O,2,0),"")</f>
        <v>NIPPLE S TYPE L SIZE PUNCHED</v>
      </c>
      <c r="I1306" s="501" t="s">
        <v>4085</v>
      </c>
      <c r="J1306" s="501" t="s">
        <v>2808</v>
      </c>
      <c r="K1306" s="499">
        <v>8</v>
      </c>
      <c r="L1306" s="499">
        <v>7000</v>
      </c>
      <c r="M1306" s="366">
        <v>875</v>
      </c>
      <c r="N1306" s="367">
        <f t="shared" si="355"/>
        <v>6200</v>
      </c>
      <c r="O1306" s="61">
        <v>6200</v>
      </c>
      <c r="P1306" s="368">
        <v>0</v>
      </c>
      <c r="Q1306" s="368">
        <v>0</v>
      </c>
      <c r="R1306" s="494">
        <v>0</v>
      </c>
      <c r="S1306" s="493">
        <v>0</v>
      </c>
      <c r="T1306" s="494">
        <v>0</v>
      </c>
      <c r="U1306" s="493">
        <v>0</v>
      </c>
      <c r="V1306" s="502">
        <v>1</v>
      </c>
      <c r="W1306" s="453">
        <f t="shared" si="357"/>
        <v>6200</v>
      </c>
      <c r="X1306" s="748">
        <f t="shared" si="358"/>
        <v>0.88571428571428568</v>
      </c>
      <c r="Y1306" s="451" t="str">
        <f>IFERROR(VLOOKUP(E:E,'Item Data Support Sheet'!A:J,6,0),0)</f>
        <v>FO017</v>
      </c>
      <c r="Z1306" s="428">
        <f>IFERROR(VLOOKUP(E:E,'Item Data Support Sheet'!A:O,4,0),0)</f>
        <v>0</v>
      </c>
      <c r="AA1306" s="428">
        <f t="shared" si="359"/>
        <v>0</v>
      </c>
      <c r="AB1306" s="429" t="str">
        <f t="shared" si="360"/>
        <v xml:space="preserve"> </v>
      </c>
      <c r="AC1306" s="424">
        <f t="shared" si="361"/>
        <v>0</v>
      </c>
      <c r="AD1306" s="371">
        <f t="shared" si="362"/>
        <v>0</v>
      </c>
      <c r="AE1306" s="748">
        <f t="shared" si="363"/>
        <v>1</v>
      </c>
      <c r="AF1306" s="417">
        <f t="shared" si="364"/>
        <v>0</v>
      </c>
      <c r="AG1306" s="416">
        <f t="shared" si="365"/>
        <v>8</v>
      </c>
      <c r="AH1306" s="372">
        <f t="shared" si="366"/>
        <v>1</v>
      </c>
      <c r="AI1306" s="373">
        <f t="shared" si="367"/>
        <v>775</v>
      </c>
      <c r="AJ1306" s="418">
        <f>VLOOKUP(D1306,'Standard Cycle time'!C:D,2,0)</f>
        <v>3.5</v>
      </c>
      <c r="AK1306" s="418">
        <f t="shared" si="368"/>
        <v>4.645161290322581</v>
      </c>
      <c r="AL1306" s="374">
        <f t="shared" si="369"/>
        <v>0.75347222222222221</v>
      </c>
      <c r="AM1306" s="372">
        <f t="shared" si="370"/>
        <v>0.75347222222222221</v>
      </c>
      <c r="AN1306" s="799">
        <v>0.75347222222222221</v>
      </c>
      <c r="AO1306" s="448"/>
      <c r="AP1306" s="440">
        <v>0</v>
      </c>
      <c r="AQ1306" s="440">
        <v>0</v>
      </c>
      <c r="AR1306" s="440">
        <v>0</v>
      </c>
      <c r="AS1306" s="440">
        <v>0</v>
      </c>
      <c r="AT1306" s="440">
        <v>0</v>
      </c>
      <c r="AU1306" s="440">
        <v>0</v>
      </c>
      <c r="AV1306" s="440">
        <v>0</v>
      </c>
      <c r="AW1306" s="440">
        <v>0</v>
      </c>
      <c r="AX1306" s="440">
        <v>0</v>
      </c>
      <c r="AY1306" s="440">
        <v>0</v>
      </c>
      <c r="AZ1306" s="440">
        <v>0</v>
      </c>
      <c r="BA1306" s="440">
        <v>0</v>
      </c>
      <c r="BB1306" s="440">
        <v>0</v>
      </c>
      <c r="BC1306" s="440">
        <v>0</v>
      </c>
      <c r="BD1306" s="440">
        <v>0</v>
      </c>
      <c r="BE1306" s="440">
        <v>0</v>
      </c>
      <c r="BF1306" s="440">
        <v>0</v>
      </c>
      <c r="BG1306" s="440">
        <v>0</v>
      </c>
      <c r="BH1306" s="440">
        <v>0</v>
      </c>
      <c r="BI1306" s="440">
        <v>0</v>
      </c>
      <c r="BJ1306" s="440">
        <v>0</v>
      </c>
      <c r="BK1306" s="440">
        <v>0</v>
      </c>
      <c r="BL1306" s="440">
        <v>0</v>
      </c>
      <c r="BM1306" s="440">
        <v>0</v>
      </c>
      <c r="BN1306" s="440">
        <v>0</v>
      </c>
      <c r="BO1306" s="440">
        <v>0</v>
      </c>
      <c r="BP1306" s="440">
        <v>0</v>
      </c>
      <c r="BQ1306" s="440">
        <v>0</v>
      </c>
      <c r="BR1306" s="415">
        <v>0</v>
      </c>
      <c r="BS1306" s="415">
        <v>0</v>
      </c>
      <c r="BT1306" s="935"/>
      <c r="BU1306" s="935"/>
      <c r="BV1306" s="935"/>
      <c r="BW1306" s="935"/>
      <c r="BX1306" s="935"/>
      <c r="BY1306" s="935"/>
      <c r="BZ1306" s="935"/>
      <c r="CA1306" s="935"/>
      <c r="CB1306" s="935"/>
      <c r="CC1306" s="935"/>
      <c r="CD1306" s="935"/>
      <c r="CE1306" s="935"/>
      <c r="CF1306" s="935"/>
      <c r="CG1306" s="935"/>
      <c r="CH1306" s="935"/>
      <c r="CI1306" s="935"/>
      <c r="CJ1306" s="935"/>
      <c r="CK1306" s="935"/>
      <c r="CL1306" s="935"/>
      <c r="CM1306" s="935"/>
      <c r="CN1306" s="935"/>
      <c r="CO1306" s="935"/>
      <c r="CP1306" s="935"/>
      <c r="CQ1306" s="935"/>
      <c r="CR1306" s="935"/>
      <c r="CS1306" s="935"/>
      <c r="CT1306" s="935"/>
      <c r="CU1306" s="935"/>
      <c r="CV1306" s="935"/>
    </row>
    <row r="1307" spans="1:105" s="441" customFormat="1">
      <c r="A1307" s="375">
        <f t="shared" si="356"/>
        <v>11</v>
      </c>
      <c r="B1307" s="862">
        <v>44519</v>
      </c>
      <c r="C1307" s="493" t="s">
        <v>1980</v>
      </c>
      <c r="D1307" s="376" t="str">
        <f>IFERROR(VLOOKUP(E:E,'Item Data Support Sheet'!A:O,7,0),"")</f>
        <v>NIPPLE LASER MARKING</v>
      </c>
      <c r="E1307" s="447" t="s">
        <v>1816</v>
      </c>
      <c r="F1307" s="500"/>
      <c r="G1307" s="497" t="s">
        <v>1812</v>
      </c>
      <c r="H1307" s="602" t="str">
        <f>IFERROR(VLOOKUP(E:E,'Item Data Support Sheet'!A:O,2,0),"")</f>
        <v>NIPPLE S TYPE L SIZE PUNCHED LASER MARKED</v>
      </c>
      <c r="I1307" s="501" t="s">
        <v>4086</v>
      </c>
      <c r="J1307" s="501" t="s">
        <v>2808</v>
      </c>
      <c r="K1307" s="499">
        <v>8</v>
      </c>
      <c r="L1307" s="499">
        <v>7000</v>
      </c>
      <c r="M1307" s="366">
        <v>875</v>
      </c>
      <c r="N1307" s="367">
        <f t="shared" si="355"/>
        <v>4600</v>
      </c>
      <c r="O1307" s="61">
        <v>4600</v>
      </c>
      <c r="P1307" s="368">
        <v>0</v>
      </c>
      <c r="Q1307" s="368">
        <v>0</v>
      </c>
      <c r="R1307" s="494">
        <v>0</v>
      </c>
      <c r="S1307" s="493">
        <v>0</v>
      </c>
      <c r="T1307" s="494">
        <v>0</v>
      </c>
      <c r="U1307" s="493">
        <v>0</v>
      </c>
      <c r="V1307" s="502">
        <v>1</v>
      </c>
      <c r="W1307" s="453">
        <f t="shared" si="357"/>
        <v>4600</v>
      </c>
      <c r="X1307" s="748">
        <f t="shared" si="358"/>
        <v>0.65714285714285714</v>
      </c>
      <c r="Y1307" s="451" t="str">
        <f>IFERROR(VLOOKUP(E:E,'Item Data Support Sheet'!A:J,6,0),0)</f>
        <v>FO021</v>
      </c>
      <c r="Z1307" s="428">
        <f>IFERROR(VLOOKUP(E:E,'Item Data Support Sheet'!A:O,4,0),0)</f>
        <v>0</v>
      </c>
      <c r="AA1307" s="428">
        <f t="shared" si="359"/>
        <v>0</v>
      </c>
      <c r="AB1307" s="429" t="str">
        <f t="shared" si="360"/>
        <v xml:space="preserve"> </v>
      </c>
      <c r="AC1307" s="424">
        <f t="shared" si="361"/>
        <v>0</v>
      </c>
      <c r="AD1307" s="371">
        <f t="shared" si="362"/>
        <v>0</v>
      </c>
      <c r="AE1307" s="748">
        <f t="shared" si="363"/>
        <v>1</v>
      </c>
      <c r="AF1307" s="417">
        <f t="shared" si="364"/>
        <v>0</v>
      </c>
      <c r="AG1307" s="416">
        <f t="shared" si="365"/>
        <v>8</v>
      </c>
      <c r="AH1307" s="372">
        <f t="shared" si="366"/>
        <v>1</v>
      </c>
      <c r="AI1307" s="373">
        <f t="shared" si="367"/>
        <v>575</v>
      </c>
      <c r="AJ1307" s="418">
        <f>VLOOKUP(D1307,'Standard Cycle time'!C:D,2,0)</f>
        <v>3.5</v>
      </c>
      <c r="AK1307" s="418">
        <f t="shared" si="368"/>
        <v>6.2608695652173916</v>
      </c>
      <c r="AL1307" s="374">
        <f t="shared" si="369"/>
        <v>0.55902777777777779</v>
      </c>
      <c r="AM1307" s="372">
        <f t="shared" si="370"/>
        <v>0.55902777777777779</v>
      </c>
      <c r="AN1307" s="799">
        <v>0.55902777777777779</v>
      </c>
      <c r="AO1307" s="448"/>
      <c r="AP1307" s="440">
        <v>0</v>
      </c>
      <c r="AQ1307" s="440">
        <v>0</v>
      </c>
      <c r="AR1307" s="440">
        <v>0</v>
      </c>
      <c r="AS1307" s="440">
        <v>0</v>
      </c>
      <c r="AT1307" s="440">
        <v>0</v>
      </c>
      <c r="AU1307" s="440">
        <v>0</v>
      </c>
      <c r="AV1307" s="440">
        <v>0</v>
      </c>
      <c r="AW1307" s="440">
        <v>0</v>
      </c>
      <c r="AX1307" s="440">
        <v>0</v>
      </c>
      <c r="AY1307" s="440">
        <v>0</v>
      </c>
      <c r="AZ1307" s="440">
        <v>0</v>
      </c>
      <c r="BA1307" s="440">
        <v>0</v>
      </c>
      <c r="BB1307" s="440">
        <v>0</v>
      </c>
      <c r="BC1307" s="440">
        <v>0</v>
      </c>
      <c r="BD1307" s="440">
        <v>0</v>
      </c>
      <c r="BE1307" s="440">
        <v>0</v>
      </c>
      <c r="BF1307" s="440">
        <v>0</v>
      </c>
      <c r="BG1307" s="440">
        <v>0</v>
      </c>
      <c r="BH1307" s="440">
        <v>0</v>
      </c>
      <c r="BI1307" s="440">
        <v>0</v>
      </c>
      <c r="BJ1307" s="440">
        <v>0</v>
      </c>
      <c r="BK1307" s="440">
        <v>0</v>
      </c>
      <c r="BL1307" s="440">
        <v>0</v>
      </c>
      <c r="BM1307" s="440">
        <v>0</v>
      </c>
      <c r="BN1307" s="440">
        <v>0</v>
      </c>
      <c r="BO1307" s="440">
        <v>0</v>
      </c>
      <c r="BP1307" s="440">
        <v>0</v>
      </c>
      <c r="BQ1307" s="440">
        <v>0</v>
      </c>
      <c r="BR1307" s="415">
        <v>0</v>
      </c>
      <c r="BS1307" s="415">
        <v>0</v>
      </c>
      <c r="BT1307" s="935"/>
      <c r="BU1307" s="935"/>
      <c r="BV1307" s="935"/>
      <c r="BW1307" s="935"/>
      <c r="BX1307" s="935"/>
      <c r="BY1307" s="935"/>
      <c r="BZ1307" s="935"/>
      <c r="CA1307" s="935"/>
      <c r="CB1307" s="935"/>
      <c r="CC1307" s="935"/>
      <c r="CD1307" s="935"/>
      <c r="CE1307" s="935"/>
      <c r="CF1307" s="935"/>
      <c r="CG1307" s="935"/>
      <c r="CH1307" s="935"/>
      <c r="CI1307" s="935"/>
      <c r="CJ1307" s="935"/>
      <c r="CK1307" s="935"/>
      <c r="CL1307" s="935"/>
      <c r="CM1307" s="935"/>
      <c r="CN1307" s="935"/>
      <c r="CO1307" s="935"/>
      <c r="CP1307" s="935"/>
      <c r="CQ1307" s="935"/>
      <c r="CR1307" s="935"/>
      <c r="CS1307" s="935"/>
      <c r="CT1307" s="935"/>
      <c r="CU1307" s="935"/>
      <c r="CV1307" s="935"/>
    </row>
    <row r="1308" spans="1:105" s="441" customFormat="1">
      <c r="A1308" s="375">
        <f t="shared" si="356"/>
        <v>11</v>
      </c>
      <c r="B1308" s="862">
        <v>44519</v>
      </c>
      <c r="C1308" s="493" t="s">
        <v>1980</v>
      </c>
      <c r="D1308" s="376" t="str">
        <f>IFERROR(VLOOKUP(E:E,'Item Data Support Sheet'!A:O,7,0),"")</f>
        <v>NIPPLE MOLDED</v>
      </c>
      <c r="E1308" s="447" t="s">
        <v>74</v>
      </c>
      <c r="F1308" s="500" t="s">
        <v>1678</v>
      </c>
      <c r="G1308" s="497" t="s">
        <v>1691</v>
      </c>
      <c r="H1308" s="602" t="str">
        <f>IFERROR(VLOOKUP(E:E,'Item Data Support Sheet'!A:O,2,0),"")</f>
        <v>NIPPLE S TYPE L SIZE INJECTION</v>
      </c>
      <c r="I1308" s="501" t="s">
        <v>4082</v>
      </c>
      <c r="J1308" s="501" t="s">
        <v>2808</v>
      </c>
      <c r="K1308" s="499">
        <v>8</v>
      </c>
      <c r="L1308" s="499">
        <v>4815</v>
      </c>
      <c r="M1308" s="366">
        <v>601.875</v>
      </c>
      <c r="N1308" s="367">
        <f t="shared" si="355"/>
        <v>5748</v>
      </c>
      <c r="O1308" s="61">
        <v>5700</v>
      </c>
      <c r="P1308" s="368">
        <v>0</v>
      </c>
      <c r="Q1308" s="368">
        <v>0</v>
      </c>
      <c r="R1308" s="494">
        <v>0</v>
      </c>
      <c r="S1308" s="493">
        <v>0</v>
      </c>
      <c r="T1308" s="494">
        <v>40</v>
      </c>
      <c r="U1308" s="493">
        <v>8</v>
      </c>
      <c r="V1308" s="502">
        <v>1</v>
      </c>
      <c r="W1308" s="453">
        <f t="shared" si="357"/>
        <v>5700</v>
      </c>
      <c r="X1308" s="748">
        <f t="shared" si="358"/>
        <v>1.1838006230529594</v>
      </c>
      <c r="Y1308" s="451" t="str">
        <f>IFERROR(VLOOKUP(E:E,'Item Data Support Sheet'!A:J,6,0),0)</f>
        <v>Silicon</v>
      </c>
      <c r="Z1308" s="428">
        <f>IFERROR(VLOOKUP(E:E,'Item Data Support Sheet'!A:O,4,0),0)</f>
        <v>6.8</v>
      </c>
      <c r="AA1308" s="428">
        <f t="shared" si="359"/>
        <v>39.086399999999998</v>
      </c>
      <c r="AB1308" s="429">
        <f t="shared" si="360"/>
        <v>0.99164926931106467</v>
      </c>
      <c r="AC1308" s="424">
        <f t="shared" si="361"/>
        <v>6.9686411149825784E-3</v>
      </c>
      <c r="AD1308" s="371">
        <f t="shared" si="362"/>
        <v>0</v>
      </c>
      <c r="AE1308" s="748">
        <f t="shared" si="363"/>
        <v>0.99304105775922058</v>
      </c>
      <c r="AF1308" s="417">
        <f t="shared" si="364"/>
        <v>0</v>
      </c>
      <c r="AG1308" s="416">
        <f t="shared" si="365"/>
        <v>8</v>
      </c>
      <c r="AH1308" s="372">
        <f t="shared" si="366"/>
        <v>1</v>
      </c>
      <c r="AI1308" s="373">
        <f t="shared" si="367"/>
        <v>712.5</v>
      </c>
      <c r="AJ1308" s="418">
        <f>VLOOKUP(D1308,'Standard Cycle time'!C:D,2,0)</f>
        <v>5.25</v>
      </c>
      <c r="AK1308" s="418">
        <f t="shared" si="368"/>
        <v>5.0526315789473681</v>
      </c>
      <c r="AL1308" s="374">
        <f t="shared" si="369"/>
        <v>1.0390625</v>
      </c>
      <c r="AM1308" s="372">
        <f t="shared" si="370"/>
        <v>1.0318317240779402</v>
      </c>
      <c r="AN1308" s="799">
        <v>1.0318317240779402</v>
      </c>
      <c r="AO1308" s="448"/>
      <c r="AP1308" s="440">
        <v>0</v>
      </c>
      <c r="AQ1308" s="440">
        <v>0</v>
      </c>
      <c r="AR1308" s="440">
        <v>0</v>
      </c>
      <c r="AS1308" s="440">
        <v>0</v>
      </c>
      <c r="AT1308" s="440">
        <v>0</v>
      </c>
      <c r="AU1308" s="440">
        <v>0</v>
      </c>
      <c r="AV1308" s="440">
        <v>0</v>
      </c>
      <c r="AW1308" s="440">
        <v>0</v>
      </c>
      <c r="AX1308" s="440">
        <v>0</v>
      </c>
      <c r="AY1308" s="440">
        <v>0</v>
      </c>
      <c r="AZ1308" s="440">
        <v>0</v>
      </c>
      <c r="BA1308" s="440">
        <v>0</v>
      </c>
      <c r="BB1308" s="440">
        <v>0</v>
      </c>
      <c r="BC1308" s="440">
        <v>0</v>
      </c>
      <c r="BD1308" s="440">
        <v>0</v>
      </c>
      <c r="BE1308" s="440">
        <v>0</v>
      </c>
      <c r="BF1308" s="440">
        <v>0</v>
      </c>
      <c r="BG1308" s="440">
        <v>0</v>
      </c>
      <c r="BH1308" s="440">
        <v>0</v>
      </c>
      <c r="BI1308" s="440">
        <v>0</v>
      </c>
      <c r="BJ1308" s="440">
        <v>0</v>
      </c>
      <c r="BK1308" s="440">
        <v>0</v>
      </c>
      <c r="BL1308" s="440">
        <v>0</v>
      </c>
      <c r="BM1308" s="440">
        <v>0</v>
      </c>
      <c r="BN1308" s="440">
        <v>0</v>
      </c>
      <c r="BO1308" s="440">
        <v>0</v>
      </c>
      <c r="BP1308" s="440">
        <v>0</v>
      </c>
      <c r="BQ1308" s="440">
        <v>0</v>
      </c>
      <c r="BR1308" s="415">
        <v>0</v>
      </c>
      <c r="BS1308" s="415">
        <v>0</v>
      </c>
      <c r="BT1308" s="935"/>
      <c r="BU1308" s="935"/>
      <c r="BV1308" s="935"/>
      <c r="BW1308" s="935"/>
      <c r="BX1308" s="935"/>
      <c r="BY1308" s="935"/>
      <c r="BZ1308" s="935"/>
      <c r="CA1308" s="935"/>
      <c r="CB1308" s="935"/>
      <c r="CC1308" s="935"/>
      <c r="CD1308" s="935"/>
      <c r="CE1308" s="935"/>
      <c r="CF1308" s="935"/>
      <c r="CG1308" s="935"/>
      <c r="CH1308" s="935"/>
      <c r="CI1308" s="935"/>
      <c r="CJ1308" s="935"/>
      <c r="CK1308" s="935"/>
      <c r="CL1308" s="935"/>
      <c r="CM1308" s="935"/>
      <c r="CN1308" s="935"/>
      <c r="CO1308" s="935"/>
      <c r="CP1308" s="935"/>
      <c r="CQ1308" s="935"/>
      <c r="CR1308" s="935"/>
      <c r="CS1308" s="935"/>
      <c r="CT1308" s="935"/>
      <c r="CU1308" s="935"/>
      <c r="CV1308" s="935"/>
    </row>
    <row r="1309" spans="1:105" s="441" customFormat="1">
      <c r="A1309" s="375">
        <f t="shared" si="356"/>
        <v>11</v>
      </c>
      <c r="B1309" s="862">
        <v>44519</v>
      </c>
      <c r="C1309" s="493" t="s">
        <v>1980</v>
      </c>
      <c r="D1309" s="376" t="str">
        <f>IFERROR(VLOOKUP(E:E,'Item Data Support Sheet'!A:O,7,0),"")</f>
        <v>BOTTLE MOLDED</v>
      </c>
      <c r="E1309" s="447" t="s">
        <v>67</v>
      </c>
      <c r="F1309" s="500" t="s">
        <v>1682</v>
      </c>
      <c r="G1309" s="497" t="s">
        <v>1665</v>
      </c>
      <c r="H1309" s="602" t="str">
        <f>IFERROR(VLOOKUP(E:E,'Item Data Support Sheet'!A:O,2,0),"")</f>
        <v>RPP 120 ML BOTTLE MOLDED</v>
      </c>
      <c r="I1309" s="501" t="s">
        <v>4087</v>
      </c>
      <c r="J1309" s="501" t="s">
        <v>2808</v>
      </c>
      <c r="K1309" s="499">
        <v>5</v>
      </c>
      <c r="L1309" s="499">
        <v>1774</v>
      </c>
      <c r="M1309" s="366">
        <v>354.8</v>
      </c>
      <c r="N1309" s="367">
        <f t="shared" si="355"/>
        <v>2658</v>
      </c>
      <c r="O1309" s="61">
        <v>2615</v>
      </c>
      <c r="P1309" s="368">
        <v>0.2</v>
      </c>
      <c r="Q1309" s="368">
        <v>0</v>
      </c>
      <c r="R1309" s="494">
        <v>0</v>
      </c>
      <c r="S1309" s="493">
        <v>0</v>
      </c>
      <c r="T1309" s="494">
        <v>35</v>
      </c>
      <c r="U1309" s="493">
        <v>8</v>
      </c>
      <c r="V1309" s="502">
        <v>1</v>
      </c>
      <c r="W1309" s="453">
        <f t="shared" si="357"/>
        <v>2615</v>
      </c>
      <c r="X1309" s="748">
        <f t="shared" si="358"/>
        <v>1.4740698985343856</v>
      </c>
      <c r="Y1309" s="451" t="str">
        <f>IFERROR(VLOOKUP(E:E,'Item Data Support Sheet'!A:J,6,0),0)</f>
        <v>HMC</v>
      </c>
      <c r="Z1309" s="428">
        <f>IFERROR(VLOOKUP(E:E,'Item Data Support Sheet'!A:O,4,0),0)</f>
        <v>21.3</v>
      </c>
      <c r="AA1309" s="428">
        <f t="shared" si="359"/>
        <v>56.815400000000004</v>
      </c>
      <c r="AB1309" s="429">
        <f t="shared" si="360"/>
        <v>0.98035919838635288</v>
      </c>
      <c r="AC1309" s="424">
        <f t="shared" si="361"/>
        <v>1.3207547169811321E-2</v>
      </c>
      <c r="AD1309" s="371">
        <f t="shared" si="362"/>
        <v>0</v>
      </c>
      <c r="AE1309" s="748">
        <f t="shared" si="363"/>
        <v>0.98683220466516175</v>
      </c>
      <c r="AF1309" s="417">
        <f t="shared" si="364"/>
        <v>0</v>
      </c>
      <c r="AG1309" s="416">
        <f t="shared" si="365"/>
        <v>5</v>
      </c>
      <c r="AH1309" s="372">
        <f t="shared" si="366"/>
        <v>1</v>
      </c>
      <c r="AI1309" s="373">
        <f t="shared" si="367"/>
        <v>523</v>
      </c>
      <c r="AJ1309" s="418">
        <f>VLOOKUP(D1309,'Standard Cycle time'!C:D,2,0)</f>
        <v>9</v>
      </c>
      <c r="AK1309" s="418">
        <f t="shared" si="368"/>
        <v>6.8833652007648185</v>
      </c>
      <c r="AL1309" s="374">
        <f t="shared" si="369"/>
        <v>1.3074999999999999</v>
      </c>
      <c r="AM1309" s="372">
        <f t="shared" si="370"/>
        <v>1.2902831075996988</v>
      </c>
      <c r="AN1309" s="799">
        <v>1.2902831075996988</v>
      </c>
      <c r="AO1309" s="448"/>
      <c r="AP1309" s="440">
        <v>0</v>
      </c>
      <c r="AQ1309" s="440">
        <v>0</v>
      </c>
      <c r="AR1309" s="440">
        <v>0</v>
      </c>
      <c r="AS1309" s="440">
        <v>0</v>
      </c>
      <c r="AT1309" s="440">
        <v>0</v>
      </c>
      <c r="AU1309" s="440">
        <v>0</v>
      </c>
      <c r="AV1309" s="440">
        <v>0</v>
      </c>
      <c r="AW1309" s="440">
        <v>0</v>
      </c>
      <c r="AX1309" s="440">
        <v>0</v>
      </c>
      <c r="AY1309" s="440">
        <v>0</v>
      </c>
      <c r="AZ1309" s="440">
        <v>0</v>
      </c>
      <c r="BA1309" s="440">
        <v>0</v>
      </c>
      <c r="BB1309" s="440">
        <v>0</v>
      </c>
      <c r="BC1309" s="440">
        <v>0</v>
      </c>
      <c r="BD1309" s="440">
        <v>0</v>
      </c>
      <c r="BE1309" s="440">
        <v>0</v>
      </c>
      <c r="BF1309" s="440">
        <v>0</v>
      </c>
      <c r="BG1309" s="440">
        <v>0</v>
      </c>
      <c r="BH1309" s="440">
        <v>0</v>
      </c>
      <c r="BI1309" s="440">
        <v>0</v>
      </c>
      <c r="BJ1309" s="440">
        <v>0</v>
      </c>
      <c r="BK1309" s="440">
        <v>0</v>
      </c>
      <c r="BL1309" s="440">
        <v>0</v>
      </c>
      <c r="BM1309" s="440">
        <v>0</v>
      </c>
      <c r="BN1309" s="440">
        <v>0</v>
      </c>
      <c r="BO1309" s="440">
        <v>0</v>
      </c>
      <c r="BP1309" s="440">
        <v>0</v>
      </c>
      <c r="BQ1309" s="440">
        <v>0</v>
      </c>
      <c r="BR1309" s="415">
        <v>0</v>
      </c>
      <c r="BS1309" s="415">
        <v>0</v>
      </c>
      <c r="BT1309" s="935"/>
      <c r="BU1309" s="935"/>
      <c r="BV1309" s="935"/>
      <c r="BW1309" s="935"/>
      <c r="BX1309" s="935"/>
      <c r="BY1309" s="935"/>
      <c r="BZ1309" s="935"/>
      <c r="CA1309" s="935"/>
      <c r="CB1309" s="935"/>
      <c r="CC1309" s="935"/>
      <c r="CD1309" s="935"/>
      <c r="CE1309" s="935"/>
      <c r="CF1309" s="935"/>
      <c r="CG1309" s="935"/>
      <c r="CH1309" s="935"/>
      <c r="CI1309" s="935"/>
      <c r="CJ1309" s="935"/>
      <c r="CK1309" s="935"/>
      <c r="CL1309" s="935"/>
      <c r="CM1309" s="935"/>
      <c r="CN1309" s="935"/>
      <c r="CO1309" s="935"/>
      <c r="CP1309" s="935"/>
      <c r="CQ1309" s="935"/>
      <c r="CR1309" s="935"/>
      <c r="CS1309" s="935"/>
      <c r="CT1309" s="935"/>
      <c r="CU1309" s="935"/>
      <c r="CV1309" s="935"/>
    </row>
    <row r="1310" spans="1:105" s="441" customFormat="1">
      <c r="A1310" s="375">
        <f t="shared" si="356"/>
        <v>11</v>
      </c>
      <c r="B1310" s="862">
        <v>44519</v>
      </c>
      <c r="C1310" s="493" t="s">
        <v>1980</v>
      </c>
      <c r="D1310" s="376" t="str">
        <f>IFERROR(VLOOKUP(E:E,'Item Data Support Sheet'!A:O,7,0),"")</f>
        <v>BOTTLE MOLDED</v>
      </c>
      <c r="E1310" s="447" t="s">
        <v>140</v>
      </c>
      <c r="F1310" s="500" t="s">
        <v>1664</v>
      </c>
      <c r="G1310" s="497" t="s">
        <v>1888</v>
      </c>
      <c r="H1310" s="602" t="str">
        <f>IFERROR(VLOOKUP(E:E,'Item Data Support Sheet'!A:O,2,0),"")</f>
        <v>RPP 240ML BLUE BOTTLE MOLDED (WM3GB)</v>
      </c>
      <c r="I1310" s="501" t="s">
        <v>4088</v>
      </c>
      <c r="J1310" s="501" t="s">
        <v>2808</v>
      </c>
      <c r="K1310" s="499">
        <v>3</v>
      </c>
      <c r="L1310" s="499">
        <v>800</v>
      </c>
      <c r="M1310" s="366">
        <v>266.66666666666669</v>
      </c>
      <c r="N1310" s="367">
        <f t="shared" si="355"/>
        <v>1168</v>
      </c>
      <c r="O1310" s="61">
        <v>840</v>
      </c>
      <c r="P1310" s="368">
        <v>1.2</v>
      </c>
      <c r="Q1310" s="368">
        <v>241</v>
      </c>
      <c r="R1310" s="494">
        <v>0</v>
      </c>
      <c r="S1310" s="493">
        <v>0</v>
      </c>
      <c r="T1310" s="494">
        <v>79</v>
      </c>
      <c r="U1310" s="493">
        <v>8</v>
      </c>
      <c r="V1310" s="502">
        <v>1</v>
      </c>
      <c r="W1310" s="453">
        <f t="shared" si="357"/>
        <v>840</v>
      </c>
      <c r="X1310" s="748">
        <f t="shared" si="358"/>
        <v>1.05</v>
      </c>
      <c r="Y1310" s="451" t="str">
        <f>IFERROR(VLOOKUP(E:E,'Item Data Support Sheet'!A:J,6,0),0)</f>
        <v>WMG3B</v>
      </c>
      <c r="Z1310" s="428">
        <f>IFERROR(VLOOKUP(E:E,'Item Data Support Sheet'!A:O,4,0),0)</f>
        <v>33.130000000000003</v>
      </c>
      <c r="AA1310" s="428">
        <f t="shared" si="359"/>
        <v>39.89584</v>
      </c>
      <c r="AB1310" s="429">
        <f t="shared" si="360"/>
        <v>0.69754641085386349</v>
      </c>
      <c r="AC1310" s="424">
        <f t="shared" si="361"/>
        <v>8.5963003264417845E-2</v>
      </c>
      <c r="AD1310" s="371">
        <f t="shared" si="362"/>
        <v>0.17104329311568489</v>
      </c>
      <c r="AE1310" s="748">
        <f t="shared" si="363"/>
        <v>0.93236301369863017</v>
      </c>
      <c r="AF1310" s="417">
        <f t="shared" si="364"/>
        <v>0</v>
      </c>
      <c r="AG1310" s="416">
        <f t="shared" si="365"/>
        <v>3</v>
      </c>
      <c r="AH1310" s="372">
        <f t="shared" si="366"/>
        <v>1</v>
      </c>
      <c r="AI1310" s="373">
        <f t="shared" si="367"/>
        <v>280</v>
      </c>
      <c r="AJ1310" s="418">
        <f>VLOOKUP(D1310,'Standard Cycle time'!C:D,2,0)</f>
        <v>9</v>
      </c>
      <c r="AK1310" s="418">
        <f t="shared" si="368"/>
        <v>12.857142857142858</v>
      </c>
      <c r="AL1310" s="374">
        <f t="shared" si="369"/>
        <v>0.7</v>
      </c>
      <c r="AM1310" s="372">
        <f t="shared" si="370"/>
        <v>0.65265410958904113</v>
      </c>
      <c r="AN1310" s="799">
        <v>0.65265410958904113</v>
      </c>
      <c r="AO1310" s="448"/>
      <c r="AP1310" s="440">
        <v>0</v>
      </c>
      <c r="AQ1310" s="440">
        <v>0</v>
      </c>
      <c r="AR1310" s="440">
        <v>0</v>
      </c>
      <c r="AS1310" s="440">
        <v>0</v>
      </c>
      <c r="AT1310" s="440">
        <v>0</v>
      </c>
      <c r="AU1310" s="440">
        <v>0</v>
      </c>
      <c r="AV1310" s="440">
        <v>0</v>
      </c>
      <c r="AW1310" s="440">
        <v>0</v>
      </c>
      <c r="AX1310" s="440">
        <v>0</v>
      </c>
      <c r="AY1310" s="440">
        <v>0</v>
      </c>
      <c r="AZ1310" s="440">
        <v>0</v>
      </c>
      <c r="BA1310" s="440">
        <v>0</v>
      </c>
      <c r="BB1310" s="440">
        <v>0</v>
      </c>
      <c r="BC1310" s="440">
        <v>0</v>
      </c>
      <c r="BD1310" s="440">
        <v>0</v>
      </c>
      <c r="BE1310" s="440">
        <v>0</v>
      </c>
      <c r="BF1310" s="440">
        <v>0</v>
      </c>
      <c r="BG1310" s="440">
        <v>0</v>
      </c>
      <c r="BH1310" s="440">
        <v>0</v>
      </c>
      <c r="BI1310" s="440">
        <v>0</v>
      </c>
      <c r="BJ1310" s="440">
        <v>0</v>
      </c>
      <c r="BK1310" s="440">
        <v>0</v>
      </c>
      <c r="BL1310" s="440">
        <v>0</v>
      </c>
      <c r="BM1310" s="440">
        <v>0</v>
      </c>
      <c r="BN1310" s="440">
        <v>0</v>
      </c>
      <c r="BO1310" s="440">
        <v>0</v>
      </c>
      <c r="BP1310" s="440">
        <v>0</v>
      </c>
      <c r="BQ1310" s="440">
        <v>0</v>
      </c>
      <c r="BR1310" s="415">
        <v>0</v>
      </c>
      <c r="BS1310" s="415">
        <v>0</v>
      </c>
      <c r="BT1310" s="935"/>
      <c r="BU1310" s="935"/>
      <c r="BV1310" s="935"/>
      <c r="BW1310" s="935"/>
      <c r="BX1310" s="935"/>
      <c r="BY1310" s="935"/>
      <c r="BZ1310" s="935"/>
      <c r="CA1310" s="935"/>
      <c r="CB1310" s="935"/>
      <c r="CC1310" s="935"/>
      <c r="CD1310" s="935"/>
      <c r="CE1310" s="935"/>
      <c r="CF1310" s="935"/>
      <c r="CG1310" s="935"/>
      <c r="CH1310" s="935"/>
      <c r="CI1310" s="935"/>
      <c r="CJ1310" s="935"/>
      <c r="CK1310" s="935"/>
      <c r="CL1310" s="935"/>
      <c r="CM1310" s="935"/>
      <c r="CN1310" s="935"/>
      <c r="CO1310" s="935"/>
      <c r="CP1310" s="935"/>
      <c r="CQ1310" s="935"/>
      <c r="CR1310" s="935"/>
      <c r="CS1310" s="935"/>
      <c r="CT1310" s="935"/>
      <c r="CU1310" s="935"/>
      <c r="CV1310" s="935"/>
    </row>
    <row r="1311" spans="1:105" s="441" customFormat="1">
      <c r="A1311" s="375">
        <f t="shared" si="356"/>
        <v>11</v>
      </c>
      <c r="B1311" s="862">
        <v>44519</v>
      </c>
      <c r="C1311" s="493" t="s">
        <v>2000</v>
      </c>
      <c r="D1311" s="376" t="str">
        <f>IFERROR(VLOOKUP(E:E,'Item Data Support Sheet'!A:O,7,0),"")</f>
        <v>NIPPLE PUNCH INSPECTED</v>
      </c>
      <c r="E1311" s="447" t="s">
        <v>1820</v>
      </c>
      <c r="F1311" s="500"/>
      <c r="G1311" s="497"/>
      <c r="H1311" s="602" t="str">
        <f>IFERROR(VLOOKUP(E:E,'Item Data Support Sheet'!A:O,2,0),"")</f>
        <v>NIPPLE S TYPE L SIZE PUNCHED INSPECTED</v>
      </c>
      <c r="I1311" s="501" t="s">
        <v>4089</v>
      </c>
      <c r="J1311" s="501" t="s">
        <v>2811</v>
      </c>
      <c r="K1311" s="499">
        <v>8</v>
      </c>
      <c r="L1311" s="499">
        <v>14000</v>
      </c>
      <c r="M1311" s="366">
        <v>1750</v>
      </c>
      <c r="N1311" s="367">
        <f t="shared" si="355"/>
        <v>10800</v>
      </c>
      <c r="O1311" s="61">
        <v>10756</v>
      </c>
      <c r="P1311" s="368">
        <v>0</v>
      </c>
      <c r="Q1311" s="368">
        <v>0</v>
      </c>
      <c r="R1311" s="494">
        <v>0</v>
      </c>
      <c r="S1311" s="493">
        <v>0</v>
      </c>
      <c r="T1311" s="494">
        <v>44</v>
      </c>
      <c r="U1311" s="493">
        <v>0</v>
      </c>
      <c r="V1311" s="502">
        <v>1</v>
      </c>
      <c r="W1311" s="453">
        <f t="shared" si="357"/>
        <v>10756</v>
      </c>
      <c r="X1311" s="748">
        <f t="shared" si="358"/>
        <v>0.76828571428571424</v>
      </c>
      <c r="Y1311" s="451" t="str">
        <f>IFERROR(VLOOKUP(E:E,'Item Data Support Sheet'!A:J,6,0),0)</f>
        <v>FO106</v>
      </c>
      <c r="Z1311" s="428">
        <f>IFERROR(VLOOKUP(E:E,'Item Data Support Sheet'!A:O,4,0),0)</f>
        <v>0</v>
      </c>
      <c r="AA1311" s="428">
        <f t="shared" si="359"/>
        <v>0</v>
      </c>
      <c r="AB1311" s="429" t="str">
        <f t="shared" si="360"/>
        <v xml:space="preserve"> </v>
      </c>
      <c r="AC1311" s="424">
        <f t="shared" si="361"/>
        <v>4.0740740740740737E-3</v>
      </c>
      <c r="AD1311" s="371">
        <f t="shared" si="362"/>
        <v>0</v>
      </c>
      <c r="AE1311" s="748">
        <f t="shared" si="363"/>
        <v>0.99592592592592588</v>
      </c>
      <c r="AF1311" s="417">
        <f t="shared" si="364"/>
        <v>0.83333333333333337</v>
      </c>
      <c r="AG1311" s="416">
        <f t="shared" si="365"/>
        <v>7.166666666666667</v>
      </c>
      <c r="AH1311" s="372">
        <f t="shared" si="366"/>
        <v>0.89583333333333337</v>
      </c>
      <c r="AI1311" s="373">
        <f t="shared" si="367"/>
        <v>1344.5</v>
      </c>
      <c r="AJ1311" s="418">
        <f>VLOOKUP(D1311,'Standard Cycle time'!C:D,2,0)</f>
        <v>4</v>
      </c>
      <c r="AK1311" s="418">
        <f t="shared" si="368"/>
        <v>2.3986612123465973</v>
      </c>
      <c r="AL1311" s="374">
        <f t="shared" si="369"/>
        <v>1.667596899224806</v>
      </c>
      <c r="AM1311" s="372">
        <f t="shared" si="370"/>
        <v>1.4878026748971191</v>
      </c>
      <c r="AN1311" s="799">
        <v>1.4878026748971191</v>
      </c>
      <c r="AO1311" s="448"/>
      <c r="AP1311" s="440">
        <v>50</v>
      </c>
      <c r="AQ1311" s="440">
        <v>0</v>
      </c>
      <c r="AR1311" s="440">
        <v>0</v>
      </c>
      <c r="AS1311" s="440">
        <v>0</v>
      </c>
      <c r="AT1311" s="440">
        <v>0</v>
      </c>
      <c r="AU1311" s="440">
        <v>0</v>
      </c>
      <c r="AV1311" s="440">
        <v>0</v>
      </c>
      <c r="AW1311" s="440">
        <v>0</v>
      </c>
      <c r="AX1311" s="440">
        <v>0</v>
      </c>
      <c r="AY1311" s="440">
        <v>0</v>
      </c>
      <c r="AZ1311" s="440">
        <v>0</v>
      </c>
      <c r="BA1311" s="440">
        <v>0</v>
      </c>
      <c r="BB1311" s="440">
        <v>0</v>
      </c>
      <c r="BC1311" s="440">
        <v>0</v>
      </c>
      <c r="BD1311" s="440">
        <v>0</v>
      </c>
      <c r="BE1311" s="440">
        <v>0</v>
      </c>
      <c r="BF1311" s="440">
        <v>0</v>
      </c>
      <c r="BG1311" s="440">
        <v>0</v>
      </c>
      <c r="BH1311" s="440">
        <v>0</v>
      </c>
      <c r="BI1311" s="440">
        <v>0</v>
      </c>
      <c r="BJ1311" s="440">
        <v>0</v>
      </c>
      <c r="BK1311" s="440">
        <v>0</v>
      </c>
      <c r="BL1311" s="440">
        <v>0</v>
      </c>
      <c r="BM1311" s="440">
        <v>0</v>
      </c>
      <c r="BN1311" s="440">
        <v>0</v>
      </c>
      <c r="BO1311" s="440">
        <v>0</v>
      </c>
      <c r="BP1311" s="440">
        <v>0</v>
      </c>
      <c r="BQ1311" s="440">
        <v>0</v>
      </c>
      <c r="BR1311" s="415">
        <v>0.83333333333333337</v>
      </c>
      <c r="BS1311" s="415">
        <v>0.83333333333333337</v>
      </c>
      <c r="BT1311" s="935"/>
      <c r="BU1311" s="935"/>
      <c r="BV1311" s="935"/>
      <c r="BW1311" s="935"/>
      <c r="BX1311" s="935"/>
      <c r="BY1311" s="935"/>
      <c r="BZ1311" s="935"/>
      <c r="CA1311" s="935"/>
      <c r="CB1311" s="935"/>
      <c r="CC1311" s="935"/>
      <c r="CD1311" s="935"/>
      <c r="CE1311" s="935"/>
      <c r="CF1311" s="935"/>
      <c r="CG1311" s="935"/>
      <c r="CH1311" s="935"/>
      <c r="CI1311" s="935"/>
      <c r="CJ1311" s="935"/>
      <c r="CK1311" s="935"/>
      <c r="CL1311" s="935"/>
      <c r="CM1311" s="935"/>
      <c r="CN1311" s="935"/>
      <c r="CO1311" s="935"/>
      <c r="CP1311" s="935"/>
      <c r="CQ1311" s="935"/>
      <c r="CR1311" s="935"/>
      <c r="CS1311" s="935"/>
      <c r="CT1311" s="935"/>
      <c r="CU1311" s="935"/>
      <c r="CV1311" s="935"/>
    </row>
    <row r="1312" spans="1:105" s="441" customFormat="1">
      <c r="A1312" s="375">
        <f t="shared" si="356"/>
        <v>11</v>
      </c>
      <c r="B1312" s="862">
        <v>44519</v>
      </c>
      <c r="C1312" s="493" t="s">
        <v>2000</v>
      </c>
      <c r="D1312" s="376" t="str">
        <f>IFERROR(VLOOKUP(E:E,'Item Data Support Sheet'!A:O,7,0),"")</f>
        <v>BOTTLE PRINTED</v>
      </c>
      <c r="E1312" s="447" t="s">
        <v>15</v>
      </c>
      <c r="F1312" s="500"/>
      <c r="G1312" s="497"/>
      <c r="H1312" s="602" t="str">
        <f>IFERROR(VLOOKUP(E:E,'Item Data Support Sheet'!A:O,2,0),"")</f>
        <v>RPP 240 ML BOTTLE PRINTED</v>
      </c>
      <c r="I1312" s="501" t="s">
        <v>4090</v>
      </c>
      <c r="J1312" s="501" t="s">
        <v>2811</v>
      </c>
      <c r="K1312" s="499">
        <v>8</v>
      </c>
      <c r="L1312" s="499">
        <v>5800</v>
      </c>
      <c r="M1312" s="366">
        <v>725</v>
      </c>
      <c r="N1312" s="367">
        <f t="shared" si="355"/>
        <v>4644</v>
      </c>
      <c r="O1312" s="61">
        <v>4620</v>
      </c>
      <c r="P1312" s="368">
        <v>0</v>
      </c>
      <c r="Q1312" s="368">
        <v>0</v>
      </c>
      <c r="R1312" s="494">
        <v>39</v>
      </c>
      <c r="S1312" s="493">
        <v>0</v>
      </c>
      <c r="T1312" s="494">
        <v>24</v>
      </c>
      <c r="U1312" s="493">
        <v>0</v>
      </c>
      <c r="V1312" s="502">
        <v>5</v>
      </c>
      <c r="W1312" s="453">
        <f t="shared" si="357"/>
        <v>924</v>
      </c>
      <c r="X1312" s="748">
        <f t="shared" si="358"/>
        <v>0.79655172413793107</v>
      </c>
      <c r="Y1312" s="451" t="str">
        <f>IFERROR(VLOOKUP(E:E,'Item Data Support Sheet'!A:J,6,0),0)</f>
        <v>FO005</v>
      </c>
      <c r="Z1312" s="428">
        <f>IFERROR(VLOOKUP(E:E,'Item Data Support Sheet'!A:O,4,0),0)</f>
        <v>0</v>
      </c>
      <c r="AA1312" s="428">
        <f t="shared" si="359"/>
        <v>0</v>
      </c>
      <c r="AB1312" s="429" t="str">
        <f t="shared" si="360"/>
        <v xml:space="preserve"> </v>
      </c>
      <c r="AC1312" s="424">
        <f t="shared" si="361"/>
        <v>5.1679586563307496E-3</v>
      </c>
      <c r="AD1312" s="371">
        <f t="shared" si="362"/>
        <v>0</v>
      </c>
      <c r="AE1312" s="748">
        <f t="shared" si="363"/>
        <v>0.9948320413436692</v>
      </c>
      <c r="AF1312" s="417">
        <f t="shared" si="364"/>
        <v>1.8333333333333333</v>
      </c>
      <c r="AG1312" s="416">
        <f t="shared" si="365"/>
        <v>6.166666666666667</v>
      </c>
      <c r="AH1312" s="372">
        <f t="shared" si="366"/>
        <v>0.77083333333333337</v>
      </c>
      <c r="AI1312" s="373">
        <f t="shared" si="367"/>
        <v>577.5</v>
      </c>
      <c r="AJ1312" s="418">
        <f>VLOOKUP(D1312,'Standard Cycle time'!C:D,2,0)</f>
        <v>32.4</v>
      </c>
      <c r="AK1312" s="418">
        <f t="shared" si="368"/>
        <v>24.02597402597403</v>
      </c>
      <c r="AL1312" s="374">
        <f t="shared" si="369"/>
        <v>1.3485405405405402</v>
      </c>
      <c r="AM1312" s="372">
        <f t="shared" si="370"/>
        <v>1.0341279069767439</v>
      </c>
      <c r="AN1312" s="799">
        <v>1.0341279069767439</v>
      </c>
      <c r="AO1312" s="448" t="s">
        <v>4091</v>
      </c>
      <c r="AP1312" s="440">
        <v>50</v>
      </c>
      <c r="AQ1312" s="440">
        <v>60</v>
      </c>
      <c r="AR1312" s="440">
        <v>0</v>
      </c>
      <c r="AS1312" s="440">
        <v>0</v>
      </c>
      <c r="AT1312" s="440">
        <v>0</v>
      </c>
      <c r="AU1312" s="440">
        <v>0</v>
      </c>
      <c r="AV1312" s="440">
        <v>0</v>
      </c>
      <c r="AW1312" s="440">
        <v>0</v>
      </c>
      <c r="AX1312" s="440">
        <v>0</v>
      </c>
      <c r="AY1312" s="440">
        <v>0</v>
      </c>
      <c r="AZ1312" s="440">
        <v>0</v>
      </c>
      <c r="BA1312" s="440">
        <v>0</v>
      </c>
      <c r="BB1312" s="440">
        <v>0</v>
      </c>
      <c r="BC1312" s="440">
        <v>0</v>
      </c>
      <c r="BD1312" s="440">
        <v>0</v>
      </c>
      <c r="BE1312" s="440">
        <v>0</v>
      </c>
      <c r="BF1312" s="440">
        <v>0</v>
      </c>
      <c r="BG1312" s="440">
        <v>0</v>
      </c>
      <c r="BH1312" s="440">
        <v>0</v>
      </c>
      <c r="BI1312" s="440">
        <v>0</v>
      </c>
      <c r="BJ1312" s="440">
        <v>0</v>
      </c>
      <c r="BK1312" s="440">
        <v>0</v>
      </c>
      <c r="BL1312" s="440">
        <v>0</v>
      </c>
      <c r="BM1312" s="440">
        <v>0</v>
      </c>
      <c r="BN1312" s="440">
        <v>0</v>
      </c>
      <c r="BO1312" s="440">
        <v>0</v>
      </c>
      <c r="BP1312" s="440">
        <v>0</v>
      </c>
      <c r="BQ1312" s="440">
        <v>0</v>
      </c>
      <c r="BR1312" s="415">
        <v>1.8333333333333333</v>
      </c>
      <c r="BS1312" s="415">
        <v>1.8333333333333333</v>
      </c>
      <c r="BT1312" s="935"/>
      <c r="BU1312" s="935"/>
      <c r="BV1312" s="935"/>
      <c r="BW1312" s="935"/>
      <c r="BX1312" s="935"/>
      <c r="BY1312" s="935"/>
      <c r="BZ1312" s="935"/>
      <c r="CA1312" s="935"/>
      <c r="CB1312" s="935"/>
      <c r="CC1312" s="935"/>
      <c r="CD1312" s="935"/>
      <c r="CE1312" s="935"/>
      <c r="CF1312" s="935"/>
      <c r="CG1312" s="935"/>
      <c r="CH1312" s="935"/>
      <c r="CI1312" s="935"/>
      <c r="CJ1312" s="935"/>
      <c r="CK1312" s="935"/>
      <c r="CL1312" s="935"/>
      <c r="CM1312" s="935"/>
      <c r="CN1312" s="935"/>
      <c r="CO1312" s="935"/>
      <c r="CP1312" s="935"/>
      <c r="CQ1312" s="935"/>
      <c r="CR1312" s="935"/>
      <c r="CS1312" s="935"/>
      <c r="CT1312" s="935"/>
      <c r="CU1312" s="935"/>
      <c r="CV1312" s="935"/>
    </row>
    <row r="1313" spans="1:100" s="441" customFormat="1">
      <c r="A1313" s="375">
        <f t="shared" si="356"/>
        <v>11</v>
      </c>
      <c r="B1313" s="862">
        <v>44519</v>
      </c>
      <c r="C1313" s="493" t="s">
        <v>2001</v>
      </c>
      <c r="D1313" s="376" t="str">
        <f>IFERROR(VLOOKUP(E:E,'Item Data Support Sheet'!A:O,7,0),"")</f>
        <v>NIPPLE PUNCH</v>
      </c>
      <c r="E1313" s="447" t="s">
        <v>82</v>
      </c>
      <c r="F1313" s="500"/>
      <c r="G1313" s="497" t="s">
        <v>1692</v>
      </c>
      <c r="H1313" s="602" t="str">
        <f>IFERROR(VLOOKUP(E:E,'Item Data Support Sheet'!A:O,2,0),"")</f>
        <v>NIPPLE S TYPE L SIZE PUNCHED</v>
      </c>
      <c r="I1313" s="501" t="s">
        <v>4075</v>
      </c>
      <c r="J1313" s="501" t="s">
        <v>2811</v>
      </c>
      <c r="K1313" s="499">
        <v>8</v>
      </c>
      <c r="L1313" s="499">
        <v>7000</v>
      </c>
      <c r="M1313" s="366">
        <v>875</v>
      </c>
      <c r="N1313" s="367">
        <f t="shared" si="355"/>
        <v>6100</v>
      </c>
      <c r="O1313" s="61">
        <v>6075</v>
      </c>
      <c r="P1313" s="368">
        <v>0</v>
      </c>
      <c r="Q1313" s="368">
        <v>0</v>
      </c>
      <c r="R1313" s="494">
        <v>0</v>
      </c>
      <c r="S1313" s="493">
        <v>0</v>
      </c>
      <c r="T1313" s="494">
        <v>25</v>
      </c>
      <c r="U1313" s="493">
        <v>0</v>
      </c>
      <c r="V1313" s="502">
        <v>1</v>
      </c>
      <c r="W1313" s="453">
        <f t="shared" si="357"/>
        <v>6075</v>
      </c>
      <c r="X1313" s="748">
        <f t="shared" si="358"/>
        <v>0.86785714285714288</v>
      </c>
      <c r="Y1313" s="451" t="str">
        <f>IFERROR(VLOOKUP(E:E,'Item Data Support Sheet'!A:J,6,0),0)</f>
        <v>FO017</v>
      </c>
      <c r="Z1313" s="428">
        <f>IFERROR(VLOOKUP(E:E,'Item Data Support Sheet'!A:O,4,0),0)</f>
        <v>0</v>
      </c>
      <c r="AA1313" s="428">
        <f t="shared" si="359"/>
        <v>0</v>
      </c>
      <c r="AB1313" s="429" t="str">
        <f t="shared" si="360"/>
        <v xml:space="preserve"> </v>
      </c>
      <c r="AC1313" s="424">
        <f t="shared" si="361"/>
        <v>4.0983606557377051E-3</v>
      </c>
      <c r="AD1313" s="371">
        <f t="shared" si="362"/>
        <v>0</v>
      </c>
      <c r="AE1313" s="748">
        <f t="shared" si="363"/>
        <v>0.99590163934426235</v>
      </c>
      <c r="AF1313" s="417">
        <f t="shared" si="364"/>
        <v>0.66666666666666663</v>
      </c>
      <c r="AG1313" s="416">
        <f t="shared" si="365"/>
        <v>7.333333333333333</v>
      </c>
      <c r="AH1313" s="372">
        <f t="shared" si="366"/>
        <v>0.91666666666666663</v>
      </c>
      <c r="AI1313" s="373">
        <f t="shared" si="367"/>
        <v>759.375</v>
      </c>
      <c r="AJ1313" s="418">
        <f>VLOOKUP(D1313,'Standard Cycle time'!C:D,2,0)</f>
        <v>3.5</v>
      </c>
      <c r="AK1313" s="418">
        <f t="shared" si="368"/>
        <v>4.3456790123456788</v>
      </c>
      <c r="AL1313" s="374">
        <f t="shared" si="369"/>
        <v>0.80539772727272729</v>
      </c>
      <c r="AM1313" s="372">
        <f t="shared" si="370"/>
        <v>0.73525550717213117</v>
      </c>
      <c r="AN1313" s="799">
        <v>0.73525550717213117</v>
      </c>
      <c r="AO1313" s="448"/>
      <c r="AP1313" s="440">
        <v>40</v>
      </c>
      <c r="AQ1313" s="440">
        <v>0</v>
      </c>
      <c r="AR1313" s="440">
        <v>0</v>
      </c>
      <c r="AS1313" s="440">
        <v>0</v>
      </c>
      <c r="AT1313" s="440">
        <v>0</v>
      </c>
      <c r="AU1313" s="440">
        <v>0</v>
      </c>
      <c r="AV1313" s="440">
        <v>0</v>
      </c>
      <c r="AW1313" s="440">
        <v>0</v>
      </c>
      <c r="AX1313" s="440">
        <v>0</v>
      </c>
      <c r="AY1313" s="440">
        <v>0</v>
      </c>
      <c r="AZ1313" s="440">
        <v>0</v>
      </c>
      <c r="BA1313" s="440">
        <v>0</v>
      </c>
      <c r="BB1313" s="440">
        <v>0</v>
      </c>
      <c r="BC1313" s="440">
        <v>0</v>
      </c>
      <c r="BD1313" s="440">
        <v>0</v>
      </c>
      <c r="BE1313" s="440">
        <v>0</v>
      </c>
      <c r="BF1313" s="440">
        <v>0</v>
      </c>
      <c r="BG1313" s="440">
        <v>0</v>
      </c>
      <c r="BH1313" s="440">
        <v>0</v>
      </c>
      <c r="BI1313" s="440">
        <v>0</v>
      </c>
      <c r="BJ1313" s="440">
        <v>0</v>
      </c>
      <c r="BK1313" s="440">
        <v>0</v>
      </c>
      <c r="BL1313" s="440">
        <v>0</v>
      </c>
      <c r="BM1313" s="440">
        <v>0</v>
      </c>
      <c r="BN1313" s="440">
        <v>0</v>
      </c>
      <c r="BO1313" s="440">
        <v>0</v>
      </c>
      <c r="BP1313" s="440">
        <v>0</v>
      </c>
      <c r="BQ1313" s="440">
        <v>0</v>
      </c>
      <c r="BR1313" s="415">
        <v>0.66666666666666663</v>
      </c>
      <c r="BS1313" s="415">
        <v>0.66666666666666663</v>
      </c>
      <c r="BT1313" s="935"/>
      <c r="BU1313" s="935"/>
      <c r="BV1313" s="935"/>
      <c r="BW1313" s="935"/>
      <c r="BX1313" s="935"/>
      <c r="BY1313" s="935"/>
      <c r="BZ1313" s="935"/>
      <c r="CA1313" s="935"/>
      <c r="CB1313" s="935"/>
      <c r="CC1313" s="935"/>
      <c r="CD1313" s="935"/>
      <c r="CE1313" s="935"/>
      <c r="CF1313" s="935"/>
      <c r="CG1313" s="935"/>
      <c r="CH1313" s="935"/>
      <c r="CI1313" s="935"/>
      <c r="CJ1313" s="935"/>
      <c r="CK1313" s="935"/>
      <c r="CL1313" s="935"/>
      <c r="CM1313" s="935"/>
      <c r="CN1313" s="935"/>
      <c r="CO1313" s="935"/>
      <c r="CP1313" s="935"/>
      <c r="CQ1313" s="935"/>
      <c r="CR1313" s="935"/>
      <c r="CS1313" s="935"/>
      <c r="CT1313" s="935"/>
      <c r="CU1313" s="935"/>
      <c r="CV1313" s="935"/>
    </row>
    <row r="1314" spans="1:100" s="441" customFormat="1">
      <c r="A1314" s="375">
        <f t="shared" si="356"/>
        <v>11</v>
      </c>
      <c r="B1314" s="862">
        <v>44519</v>
      </c>
      <c r="C1314" s="493" t="s">
        <v>2001</v>
      </c>
      <c r="D1314" s="376" t="str">
        <f>IFERROR(VLOOKUP(E:E,'Item Data Support Sheet'!A:O,7,0),"")</f>
        <v>NIPPLE LASER MARKING</v>
      </c>
      <c r="E1314" s="447" t="s">
        <v>1816</v>
      </c>
      <c r="F1314" s="500"/>
      <c r="G1314" s="497" t="s">
        <v>1812</v>
      </c>
      <c r="H1314" s="602" t="str">
        <f>IFERROR(VLOOKUP(E:E,'Item Data Support Sheet'!A:O,2,0),"")</f>
        <v>NIPPLE S TYPE L SIZE PUNCHED LASER MARKED</v>
      </c>
      <c r="I1314" s="501" t="s">
        <v>4086</v>
      </c>
      <c r="J1314" s="501" t="s">
        <v>2811</v>
      </c>
      <c r="K1314" s="499">
        <v>8</v>
      </c>
      <c r="L1314" s="499">
        <v>7000</v>
      </c>
      <c r="M1314" s="366">
        <v>875</v>
      </c>
      <c r="N1314" s="367">
        <f t="shared" si="355"/>
        <v>5200</v>
      </c>
      <c r="O1314" s="61">
        <v>5200</v>
      </c>
      <c r="P1314" s="368">
        <v>0</v>
      </c>
      <c r="Q1314" s="368">
        <v>0</v>
      </c>
      <c r="R1314" s="494">
        <v>0</v>
      </c>
      <c r="S1314" s="493">
        <v>0</v>
      </c>
      <c r="T1314" s="494">
        <v>0</v>
      </c>
      <c r="U1314" s="493">
        <v>0</v>
      </c>
      <c r="V1314" s="502">
        <v>1</v>
      </c>
      <c r="W1314" s="453">
        <f t="shared" si="357"/>
        <v>5200</v>
      </c>
      <c r="X1314" s="748">
        <f t="shared" si="358"/>
        <v>0.74285714285714288</v>
      </c>
      <c r="Y1314" s="451" t="str">
        <f>IFERROR(VLOOKUP(E:E,'Item Data Support Sheet'!A:J,6,0),0)</f>
        <v>FO021</v>
      </c>
      <c r="Z1314" s="428">
        <f>IFERROR(VLOOKUP(E:E,'Item Data Support Sheet'!A:O,4,0),0)</f>
        <v>0</v>
      </c>
      <c r="AA1314" s="428">
        <f t="shared" si="359"/>
        <v>0</v>
      </c>
      <c r="AB1314" s="429" t="str">
        <f t="shared" si="360"/>
        <v xml:space="preserve"> </v>
      </c>
      <c r="AC1314" s="424">
        <f t="shared" si="361"/>
        <v>0</v>
      </c>
      <c r="AD1314" s="371">
        <f t="shared" si="362"/>
        <v>0</v>
      </c>
      <c r="AE1314" s="748">
        <f t="shared" si="363"/>
        <v>1</v>
      </c>
      <c r="AF1314" s="417">
        <f t="shared" si="364"/>
        <v>0.66666666666666663</v>
      </c>
      <c r="AG1314" s="416">
        <f t="shared" si="365"/>
        <v>7.333333333333333</v>
      </c>
      <c r="AH1314" s="372">
        <f t="shared" si="366"/>
        <v>0.91666666666666663</v>
      </c>
      <c r="AI1314" s="373">
        <f t="shared" si="367"/>
        <v>650</v>
      </c>
      <c r="AJ1314" s="418">
        <f>VLOOKUP(D1314,'Standard Cycle time'!C:D,2,0)</f>
        <v>3.5</v>
      </c>
      <c r="AK1314" s="418">
        <f t="shared" si="368"/>
        <v>5.0769230769230766</v>
      </c>
      <c r="AL1314" s="374">
        <f t="shared" si="369"/>
        <v>0.68939393939393945</v>
      </c>
      <c r="AM1314" s="372">
        <f t="shared" si="370"/>
        <v>0.63194444444444442</v>
      </c>
      <c r="AN1314" s="799">
        <v>0.63194444444444442</v>
      </c>
      <c r="AO1314" s="448"/>
      <c r="AP1314" s="440">
        <v>40</v>
      </c>
      <c r="AQ1314" s="440">
        <v>0</v>
      </c>
      <c r="AR1314" s="440">
        <v>0</v>
      </c>
      <c r="AS1314" s="440">
        <v>0</v>
      </c>
      <c r="AT1314" s="440">
        <v>0</v>
      </c>
      <c r="AU1314" s="440">
        <v>0</v>
      </c>
      <c r="AV1314" s="440">
        <v>0</v>
      </c>
      <c r="AW1314" s="440">
        <v>0</v>
      </c>
      <c r="AX1314" s="440">
        <v>0</v>
      </c>
      <c r="AY1314" s="440">
        <v>0</v>
      </c>
      <c r="AZ1314" s="440">
        <v>0</v>
      </c>
      <c r="BA1314" s="440">
        <v>0</v>
      </c>
      <c r="BB1314" s="440">
        <v>0</v>
      </c>
      <c r="BC1314" s="440">
        <v>0</v>
      </c>
      <c r="BD1314" s="440">
        <v>0</v>
      </c>
      <c r="BE1314" s="440">
        <v>0</v>
      </c>
      <c r="BF1314" s="440">
        <v>0</v>
      </c>
      <c r="BG1314" s="440">
        <v>0</v>
      </c>
      <c r="BH1314" s="440">
        <v>0</v>
      </c>
      <c r="BI1314" s="440">
        <v>0</v>
      </c>
      <c r="BJ1314" s="440">
        <v>0</v>
      </c>
      <c r="BK1314" s="440">
        <v>0</v>
      </c>
      <c r="BL1314" s="440">
        <v>0</v>
      </c>
      <c r="BM1314" s="440">
        <v>0</v>
      </c>
      <c r="BN1314" s="440">
        <v>0</v>
      </c>
      <c r="BO1314" s="440">
        <v>0</v>
      </c>
      <c r="BP1314" s="440">
        <v>0</v>
      </c>
      <c r="BQ1314" s="440">
        <v>0</v>
      </c>
      <c r="BR1314" s="415">
        <v>0.66666666666666663</v>
      </c>
      <c r="BS1314" s="415">
        <v>0.66666666666666663</v>
      </c>
      <c r="BT1314" s="935"/>
      <c r="BU1314" s="935"/>
      <c r="BV1314" s="935"/>
      <c r="BW1314" s="935"/>
      <c r="BX1314" s="935"/>
      <c r="BY1314" s="935"/>
      <c r="BZ1314" s="935"/>
      <c r="CA1314" s="935"/>
      <c r="CB1314" s="935"/>
      <c r="CC1314" s="935"/>
      <c r="CD1314" s="935"/>
      <c r="CE1314" s="935"/>
      <c r="CF1314" s="935"/>
      <c r="CG1314" s="935"/>
      <c r="CH1314" s="935"/>
      <c r="CI1314" s="935"/>
      <c r="CJ1314" s="935"/>
      <c r="CK1314" s="935"/>
      <c r="CL1314" s="935"/>
      <c r="CM1314" s="935"/>
      <c r="CN1314" s="935"/>
      <c r="CO1314" s="935"/>
      <c r="CP1314" s="935"/>
      <c r="CQ1314" s="935"/>
      <c r="CR1314" s="935"/>
      <c r="CS1314" s="935"/>
      <c r="CT1314" s="935"/>
      <c r="CU1314" s="935"/>
      <c r="CV1314" s="935"/>
    </row>
    <row r="1315" spans="1:100" s="441" customFormat="1">
      <c r="A1315" s="375">
        <f t="shared" si="356"/>
        <v>11</v>
      </c>
      <c r="B1315" s="862">
        <v>44519</v>
      </c>
      <c r="C1315" s="493" t="s">
        <v>2001</v>
      </c>
      <c r="D1315" s="376" t="str">
        <f>IFERROR(VLOOKUP(E:E,'Item Data Support Sheet'!A:O,7,0),"")</f>
        <v>NIPPLE MOLDED</v>
      </c>
      <c r="E1315" s="447" t="s">
        <v>73</v>
      </c>
      <c r="F1315" s="500" t="s">
        <v>1677</v>
      </c>
      <c r="G1315" s="497" t="s">
        <v>1690</v>
      </c>
      <c r="H1315" s="602" t="str">
        <f>IFERROR(VLOOKUP(E:E,'Item Data Support Sheet'!A:O,2,0),"")</f>
        <v>NIPPLE S TYPE M SIZE INJECTION</v>
      </c>
      <c r="I1315" s="501" t="s">
        <v>4092</v>
      </c>
      <c r="J1315" s="501" t="s">
        <v>2811</v>
      </c>
      <c r="K1315" s="499">
        <v>8</v>
      </c>
      <c r="L1315" s="499">
        <v>3611</v>
      </c>
      <c r="M1315" s="366">
        <v>451.375</v>
      </c>
      <c r="N1315" s="367">
        <f t="shared" si="355"/>
        <v>3400</v>
      </c>
      <c r="O1315" s="61">
        <v>2800</v>
      </c>
      <c r="P1315" s="368">
        <v>0</v>
      </c>
      <c r="Q1315" s="368">
        <v>400</v>
      </c>
      <c r="R1315" s="494">
        <v>0</v>
      </c>
      <c r="S1315" s="493">
        <v>0</v>
      </c>
      <c r="T1315" s="494">
        <v>200</v>
      </c>
      <c r="U1315" s="493">
        <v>0</v>
      </c>
      <c r="V1315" s="502">
        <v>1</v>
      </c>
      <c r="W1315" s="453">
        <f t="shared" si="357"/>
        <v>2800</v>
      </c>
      <c r="X1315" s="748">
        <f t="shared" si="358"/>
        <v>0.77540847410689562</v>
      </c>
      <c r="Y1315" s="451" t="str">
        <f>IFERROR(VLOOKUP(E:E,'Item Data Support Sheet'!A:J,6,0),0)</f>
        <v>Silicon</v>
      </c>
      <c r="Z1315" s="428">
        <f>IFERROR(VLOOKUP(E:E,'Item Data Support Sheet'!A:O,4,0),0)</f>
        <v>6.8</v>
      </c>
      <c r="AA1315" s="428">
        <f t="shared" si="359"/>
        <v>23.119999999999997</v>
      </c>
      <c r="AB1315" s="429">
        <f t="shared" si="360"/>
        <v>0.82352941176470595</v>
      </c>
      <c r="AC1315" s="424">
        <f t="shared" si="361"/>
        <v>6.6666666666666666E-2</v>
      </c>
      <c r="AD1315" s="371">
        <f t="shared" si="362"/>
        <v>0.10526315789473684</v>
      </c>
      <c r="AE1315" s="748">
        <f t="shared" si="363"/>
        <v>0.94117647058823528</v>
      </c>
      <c r="AF1315" s="417">
        <f t="shared" si="364"/>
        <v>0</v>
      </c>
      <c r="AG1315" s="416">
        <f t="shared" si="365"/>
        <v>8</v>
      </c>
      <c r="AH1315" s="372">
        <f t="shared" si="366"/>
        <v>1</v>
      </c>
      <c r="AI1315" s="373">
        <f t="shared" si="367"/>
        <v>350</v>
      </c>
      <c r="AJ1315" s="418">
        <f>VLOOKUP(D1315,'Standard Cycle time'!C:D,2,0)</f>
        <v>5.25</v>
      </c>
      <c r="AK1315" s="418">
        <f t="shared" si="368"/>
        <v>10.285714285714286</v>
      </c>
      <c r="AL1315" s="374">
        <f t="shared" si="369"/>
        <v>0.51041666666666663</v>
      </c>
      <c r="AM1315" s="372">
        <f t="shared" si="370"/>
        <v>0.48039215686274506</v>
      </c>
      <c r="AN1315" s="799">
        <v>0.48039215686274506</v>
      </c>
      <c r="AO1315" s="448"/>
      <c r="AP1315" s="440">
        <v>0</v>
      </c>
      <c r="AQ1315" s="440">
        <v>0</v>
      </c>
      <c r="AR1315" s="440">
        <v>0</v>
      </c>
      <c r="AS1315" s="440">
        <v>0</v>
      </c>
      <c r="AT1315" s="440">
        <v>0</v>
      </c>
      <c r="AU1315" s="440">
        <v>0</v>
      </c>
      <c r="AV1315" s="440">
        <v>0</v>
      </c>
      <c r="AW1315" s="440">
        <v>0</v>
      </c>
      <c r="AX1315" s="440">
        <v>0</v>
      </c>
      <c r="AY1315" s="440">
        <v>0</v>
      </c>
      <c r="AZ1315" s="440">
        <v>0</v>
      </c>
      <c r="BA1315" s="440">
        <v>0</v>
      </c>
      <c r="BB1315" s="440">
        <v>0</v>
      </c>
      <c r="BC1315" s="440">
        <v>0</v>
      </c>
      <c r="BD1315" s="440">
        <v>0</v>
      </c>
      <c r="BE1315" s="440">
        <v>0</v>
      </c>
      <c r="BF1315" s="440">
        <v>0</v>
      </c>
      <c r="BG1315" s="440">
        <v>0</v>
      </c>
      <c r="BH1315" s="440">
        <v>0</v>
      </c>
      <c r="BI1315" s="440">
        <v>0</v>
      </c>
      <c r="BJ1315" s="440">
        <v>0</v>
      </c>
      <c r="BK1315" s="440">
        <v>0</v>
      </c>
      <c r="BL1315" s="440">
        <v>0</v>
      </c>
      <c r="BM1315" s="440">
        <v>0</v>
      </c>
      <c r="BN1315" s="440">
        <v>0</v>
      </c>
      <c r="BO1315" s="440">
        <v>0</v>
      </c>
      <c r="BP1315" s="440">
        <v>0</v>
      </c>
      <c r="BQ1315" s="440">
        <v>0</v>
      </c>
      <c r="BR1315" s="415">
        <v>0</v>
      </c>
      <c r="BS1315" s="415">
        <v>0</v>
      </c>
      <c r="BT1315" s="935"/>
      <c r="BU1315" s="935"/>
      <c r="BV1315" s="935"/>
      <c r="BW1315" s="935"/>
      <c r="BX1315" s="935"/>
      <c r="BY1315" s="935"/>
      <c r="BZ1315" s="935"/>
      <c r="CA1315" s="935"/>
      <c r="CB1315" s="935"/>
      <c r="CC1315" s="935"/>
      <c r="CD1315" s="935"/>
      <c r="CE1315" s="935"/>
      <c r="CF1315" s="935"/>
      <c r="CG1315" s="935"/>
      <c r="CH1315" s="935"/>
      <c r="CI1315" s="935"/>
      <c r="CJ1315" s="935"/>
      <c r="CK1315" s="935"/>
      <c r="CL1315" s="935"/>
      <c r="CM1315" s="935"/>
      <c r="CN1315" s="935"/>
      <c r="CO1315" s="935"/>
      <c r="CP1315" s="935"/>
      <c r="CQ1315" s="935"/>
      <c r="CR1315" s="935"/>
      <c r="CS1315" s="935"/>
      <c r="CT1315" s="935"/>
      <c r="CU1315" s="935"/>
      <c r="CV1315" s="935"/>
    </row>
    <row r="1316" spans="1:100" s="441" customFormat="1">
      <c r="A1316" s="375">
        <f t="shared" si="356"/>
        <v>11</v>
      </c>
      <c r="B1316" s="862">
        <v>44519</v>
      </c>
      <c r="C1316" s="493" t="s">
        <v>2001</v>
      </c>
      <c r="D1316" s="376" t="str">
        <f>IFERROR(VLOOKUP(E:E,'Item Data Support Sheet'!A:O,7,0),"")</f>
        <v>NIPPLE MOLDED</v>
      </c>
      <c r="E1316" s="447" t="s">
        <v>74</v>
      </c>
      <c r="F1316" s="500" t="s">
        <v>1678</v>
      </c>
      <c r="G1316" s="497" t="s">
        <v>1691</v>
      </c>
      <c r="H1316" s="602" t="str">
        <f>IFERROR(VLOOKUP(E:E,'Item Data Support Sheet'!A:O,2,0),"")</f>
        <v>NIPPLE S TYPE L SIZE INJECTION</v>
      </c>
      <c r="I1316" s="501" t="s">
        <v>4092</v>
      </c>
      <c r="J1316" s="501" t="s">
        <v>2811</v>
      </c>
      <c r="K1316" s="499">
        <v>8</v>
      </c>
      <c r="L1316" s="499">
        <v>4815</v>
      </c>
      <c r="M1316" s="366">
        <v>601.875</v>
      </c>
      <c r="N1316" s="367">
        <f t="shared" si="355"/>
        <v>5590</v>
      </c>
      <c r="O1316" s="61">
        <v>5500</v>
      </c>
      <c r="P1316" s="368">
        <v>0</v>
      </c>
      <c r="Q1316" s="368">
        <v>50</v>
      </c>
      <c r="R1316" s="494">
        <v>0</v>
      </c>
      <c r="S1316" s="493">
        <v>0</v>
      </c>
      <c r="T1316" s="494">
        <v>40</v>
      </c>
      <c r="U1316" s="493">
        <v>0</v>
      </c>
      <c r="V1316" s="502">
        <v>1</v>
      </c>
      <c r="W1316" s="453">
        <f t="shared" si="357"/>
        <v>5500</v>
      </c>
      <c r="X1316" s="748">
        <f t="shared" si="358"/>
        <v>1.142263759086189</v>
      </c>
      <c r="Y1316" s="451" t="str">
        <f>IFERROR(VLOOKUP(E:E,'Item Data Support Sheet'!A:J,6,0),0)</f>
        <v>Silicon</v>
      </c>
      <c r="Z1316" s="428">
        <f>IFERROR(VLOOKUP(E:E,'Item Data Support Sheet'!A:O,4,0),0)</f>
        <v>6.8</v>
      </c>
      <c r="AA1316" s="428">
        <f t="shared" si="359"/>
        <v>38.012</v>
      </c>
      <c r="AB1316" s="429">
        <f t="shared" si="360"/>
        <v>0.98389982110912344</v>
      </c>
      <c r="AC1316" s="424">
        <f t="shared" si="361"/>
        <v>7.2202166064981952E-3</v>
      </c>
      <c r="AD1316" s="371">
        <f t="shared" si="362"/>
        <v>8.8652482269503553E-3</v>
      </c>
      <c r="AE1316" s="748">
        <f t="shared" si="363"/>
        <v>0.99284436493738815</v>
      </c>
      <c r="AF1316" s="417">
        <f t="shared" si="364"/>
        <v>0</v>
      </c>
      <c r="AG1316" s="416">
        <f t="shared" si="365"/>
        <v>8</v>
      </c>
      <c r="AH1316" s="372">
        <f t="shared" si="366"/>
        <v>1</v>
      </c>
      <c r="AI1316" s="373">
        <f t="shared" si="367"/>
        <v>687.5</v>
      </c>
      <c r="AJ1316" s="418">
        <f>VLOOKUP(D1316,'Standard Cycle time'!C:D,2,0)</f>
        <v>5.25</v>
      </c>
      <c r="AK1316" s="418">
        <f t="shared" si="368"/>
        <v>5.2363636363636363</v>
      </c>
      <c r="AL1316" s="374">
        <f t="shared" si="369"/>
        <v>1.0026041666666667</v>
      </c>
      <c r="AM1316" s="372">
        <f t="shared" si="370"/>
        <v>0.99542989713774599</v>
      </c>
      <c r="AN1316" s="799">
        <v>0.99542989713774599</v>
      </c>
      <c r="AO1316" s="448"/>
      <c r="AP1316" s="440">
        <v>0</v>
      </c>
      <c r="AQ1316" s="440">
        <v>0</v>
      </c>
      <c r="AR1316" s="440">
        <v>0</v>
      </c>
      <c r="AS1316" s="440">
        <v>0</v>
      </c>
      <c r="AT1316" s="440">
        <v>0</v>
      </c>
      <c r="AU1316" s="440">
        <v>0</v>
      </c>
      <c r="AV1316" s="440">
        <v>0</v>
      </c>
      <c r="AW1316" s="440">
        <v>0</v>
      </c>
      <c r="AX1316" s="440">
        <v>0</v>
      </c>
      <c r="AY1316" s="440">
        <v>0</v>
      </c>
      <c r="AZ1316" s="440">
        <v>0</v>
      </c>
      <c r="BA1316" s="440">
        <v>0</v>
      </c>
      <c r="BB1316" s="440">
        <v>0</v>
      </c>
      <c r="BC1316" s="440">
        <v>0</v>
      </c>
      <c r="BD1316" s="440">
        <v>0</v>
      </c>
      <c r="BE1316" s="440">
        <v>0</v>
      </c>
      <c r="BF1316" s="440">
        <v>0</v>
      </c>
      <c r="BG1316" s="440">
        <v>0</v>
      </c>
      <c r="BH1316" s="440">
        <v>0</v>
      </c>
      <c r="BI1316" s="440">
        <v>0</v>
      </c>
      <c r="BJ1316" s="440">
        <v>0</v>
      </c>
      <c r="BK1316" s="440">
        <v>0</v>
      </c>
      <c r="BL1316" s="440">
        <v>0</v>
      </c>
      <c r="BM1316" s="440">
        <v>0</v>
      </c>
      <c r="BN1316" s="440">
        <v>0</v>
      </c>
      <c r="BO1316" s="440">
        <v>0</v>
      </c>
      <c r="BP1316" s="440">
        <v>0</v>
      </c>
      <c r="BQ1316" s="440">
        <v>0</v>
      </c>
      <c r="BR1316" s="415">
        <v>0</v>
      </c>
      <c r="BS1316" s="415">
        <v>0</v>
      </c>
      <c r="BT1316" s="935"/>
      <c r="BU1316" s="935"/>
      <c r="BV1316" s="935"/>
      <c r="BW1316" s="935"/>
      <c r="BX1316" s="935"/>
      <c r="BY1316" s="935"/>
      <c r="BZ1316" s="935"/>
      <c r="CA1316" s="935"/>
      <c r="CB1316" s="935"/>
      <c r="CC1316" s="935"/>
      <c r="CD1316" s="935"/>
      <c r="CE1316" s="935"/>
      <c r="CF1316" s="935"/>
      <c r="CG1316" s="935"/>
      <c r="CH1316" s="935"/>
      <c r="CI1316" s="935"/>
      <c r="CJ1316" s="935"/>
      <c r="CK1316" s="935"/>
      <c r="CL1316" s="935"/>
      <c r="CM1316" s="935"/>
      <c r="CN1316" s="935"/>
      <c r="CO1316" s="935"/>
      <c r="CP1316" s="935"/>
      <c r="CQ1316" s="935"/>
      <c r="CR1316" s="935"/>
      <c r="CS1316" s="935"/>
      <c r="CT1316" s="935"/>
      <c r="CU1316" s="935"/>
      <c r="CV1316" s="935"/>
    </row>
    <row r="1317" spans="1:100" s="441" customFormat="1">
      <c r="A1317" s="375">
        <f t="shared" si="356"/>
        <v>11</v>
      </c>
      <c r="B1317" s="862">
        <v>44519</v>
      </c>
      <c r="C1317" s="493" t="s">
        <v>2001</v>
      </c>
      <c r="D1317" s="376" t="str">
        <f>IFERROR(VLOOKUP(E:E,'Item Data Support Sheet'!A:O,7,0),"")</f>
        <v>HOOD MOLDED</v>
      </c>
      <c r="E1317" s="447" t="s">
        <v>1987</v>
      </c>
      <c r="F1317" s="500"/>
      <c r="G1317" s="497" t="s">
        <v>2729</v>
      </c>
      <c r="H1317" s="602" t="str">
        <f>IFERROR(VLOOKUP(E:E,'Item Data Support Sheet'!A:O,2,0),"")</f>
        <v>HOOD S TYPE MOLDED</v>
      </c>
      <c r="I1317" s="501" t="s">
        <v>4093</v>
      </c>
      <c r="J1317" s="501" t="s">
        <v>2811</v>
      </c>
      <c r="K1317" s="499">
        <v>8</v>
      </c>
      <c r="L1317" s="499">
        <v>4137</v>
      </c>
      <c r="M1317" s="366">
        <v>517.125</v>
      </c>
      <c r="N1317" s="367">
        <f t="shared" si="355"/>
        <v>3395</v>
      </c>
      <c r="O1317" s="61">
        <v>3375</v>
      </c>
      <c r="P1317" s="368">
        <v>0</v>
      </c>
      <c r="Q1317" s="368">
        <v>10</v>
      </c>
      <c r="R1317" s="494">
        <v>0</v>
      </c>
      <c r="S1317" s="493">
        <v>0</v>
      </c>
      <c r="T1317" s="494">
        <v>10</v>
      </c>
      <c r="U1317" s="493">
        <v>0</v>
      </c>
      <c r="V1317" s="502">
        <v>1</v>
      </c>
      <c r="W1317" s="453">
        <f t="shared" si="357"/>
        <v>3375</v>
      </c>
      <c r="X1317" s="748">
        <f t="shared" si="358"/>
        <v>0.81580855692530818</v>
      </c>
      <c r="Y1317" s="451" t="str">
        <f>IFERROR(VLOOKUP(E:E,'Item Data Support Sheet'!A:J,6,0),0)</f>
        <v>HMC</v>
      </c>
      <c r="Z1317" s="428">
        <f>IFERROR(VLOOKUP(E:E,'Item Data Support Sheet'!A:O,4,0),0)</f>
        <v>8.6</v>
      </c>
      <c r="AA1317" s="428">
        <f t="shared" si="359"/>
        <v>29.196999999999999</v>
      </c>
      <c r="AB1317" s="429">
        <f t="shared" si="360"/>
        <v>0.99410898379970547</v>
      </c>
      <c r="AC1317" s="424">
        <f t="shared" si="361"/>
        <v>2.9542097488921715E-3</v>
      </c>
      <c r="AD1317" s="371">
        <f t="shared" si="362"/>
        <v>2.936857562408223E-3</v>
      </c>
      <c r="AE1317" s="748">
        <f t="shared" si="363"/>
        <v>0.99705449189985274</v>
      </c>
      <c r="AF1317" s="417">
        <f t="shared" si="364"/>
        <v>0</v>
      </c>
      <c r="AG1317" s="416">
        <f t="shared" si="365"/>
        <v>8</v>
      </c>
      <c r="AH1317" s="372">
        <f t="shared" si="366"/>
        <v>1</v>
      </c>
      <c r="AI1317" s="373">
        <f t="shared" si="367"/>
        <v>421.875</v>
      </c>
      <c r="AJ1317" s="418">
        <f>VLOOKUP(D1317,'Standard Cycle time'!C:D,2,0)</f>
        <v>6</v>
      </c>
      <c r="AK1317" s="418">
        <f t="shared" si="368"/>
        <v>8.5333333333333332</v>
      </c>
      <c r="AL1317" s="374">
        <f t="shared" si="369"/>
        <v>0.703125</v>
      </c>
      <c r="AM1317" s="372">
        <f t="shared" si="370"/>
        <v>0.70105393961708395</v>
      </c>
      <c r="AN1317" s="799">
        <v>0.70105393961708395</v>
      </c>
      <c r="AO1317" s="448"/>
      <c r="AP1317" s="440">
        <v>0</v>
      </c>
      <c r="AQ1317" s="440">
        <v>0</v>
      </c>
      <c r="AR1317" s="440">
        <v>0</v>
      </c>
      <c r="AS1317" s="440">
        <v>0</v>
      </c>
      <c r="AT1317" s="440">
        <v>0</v>
      </c>
      <c r="AU1317" s="440">
        <v>0</v>
      </c>
      <c r="AV1317" s="440">
        <v>0</v>
      </c>
      <c r="AW1317" s="440">
        <v>0</v>
      </c>
      <c r="AX1317" s="440">
        <v>0</v>
      </c>
      <c r="AY1317" s="440">
        <v>0</v>
      </c>
      <c r="AZ1317" s="440">
        <v>0</v>
      </c>
      <c r="BA1317" s="440">
        <v>0</v>
      </c>
      <c r="BB1317" s="440">
        <v>0</v>
      </c>
      <c r="BC1317" s="440">
        <v>0</v>
      </c>
      <c r="BD1317" s="440">
        <v>0</v>
      </c>
      <c r="BE1317" s="440">
        <v>0</v>
      </c>
      <c r="BF1317" s="440">
        <v>0</v>
      </c>
      <c r="BG1317" s="440">
        <v>0</v>
      </c>
      <c r="BH1317" s="440">
        <v>0</v>
      </c>
      <c r="BI1317" s="440">
        <v>0</v>
      </c>
      <c r="BJ1317" s="440">
        <v>0</v>
      </c>
      <c r="BK1317" s="440">
        <v>0</v>
      </c>
      <c r="BL1317" s="440">
        <v>0</v>
      </c>
      <c r="BM1317" s="440">
        <v>0</v>
      </c>
      <c r="BN1317" s="440">
        <v>0</v>
      </c>
      <c r="BO1317" s="440">
        <v>0</v>
      </c>
      <c r="BP1317" s="440">
        <v>0</v>
      </c>
      <c r="BQ1317" s="440">
        <v>0</v>
      </c>
      <c r="BR1317" s="415">
        <v>0</v>
      </c>
      <c r="BS1317" s="415">
        <v>0</v>
      </c>
      <c r="BT1317" s="935"/>
      <c r="BU1317" s="935"/>
      <c r="BV1317" s="935"/>
      <c r="BW1317" s="935"/>
      <c r="BX1317" s="935"/>
      <c r="BY1317" s="935"/>
      <c r="BZ1317" s="935"/>
      <c r="CA1317" s="935"/>
      <c r="CB1317" s="935"/>
      <c r="CC1317" s="935"/>
      <c r="CD1317" s="935"/>
      <c r="CE1317" s="935"/>
      <c r="CF1317" s="935"/>
      <c r="CG1317" s="935"/>
      <c r="CH1317" s="935"/>
      <c r="CI1317" s="935"/>
      <c r="CJ1317" s="935"/>
      <c r="CK1317" s="935"/>
      <c r="CL1317" s="935"/>
      <c r="CM1317" s="935"/>
      <c r="CN1317" s="935"/>
      <c r="CO1317" s="935"/>
      <c r="CP1317" s="935"/>
      <c r="CQ1317" s="935"/>
      <c r="CR1317" s="935"/>
      <c r="CS1317" s="935"/>
      <c r="CT1317" s="935"/>
      <c r="CU1317" s="935"/>
      <c r="CV1317" s="935"/>
    </row>
    <row r="1318" spans="1:100" s="441" customFormat="1">
      <c r="A1318" s="375">
        <f t="shared" si="356"/>
        <v>11</v>
      </c>
      <c r="B1318" s="862">
        <v>44519</v>
      </c>
      <c r="C1318" s="493" t="s">
        <v>2001</v>
      </c>
      <c r="D1318" s="376" t="str">
        <f>IFERROR(VLOOKUP(E:E,'Item Data Support Sheet'!A:O,7,0),"")</f>
        <v>BOTTLE MOLDED</v>
      </c>
      <c r="E1318" s="447" t="s">
        <v>140</v>
      </c>
      <c r="F1318" s="500" t="s">
        <v>1664</v>
      </c>
      <c r="G1318" s="497" t="s">
        <v>1888</v>
      </c>
      <c r="H1318" s="602" t="str">
        <f>IFERROR(VLOOKUP(E:E,'Item Data Support Sheet'!A:O,2,0),"")</f>
        <v>RPP 240ML BLUE BOTTLE MOLDED (WM3GB)</v>
      </c>
      <c r="I1318" s="501" t="s">
        <v>4094</v>
      </c>
      <c r="J1318" s="501" t="s">
        <v>2811</v>
      </c>
      <c r="K1318" s="499">
        <v>8</v>
      </c>
      <c r="L1318" s="499">
        <v>2574</v>
      </c>
      <c r="M1318" s="366">
        <v>321.75</v>
      </c>
      <c r="N1318" s="367">
        <f t="shared" si="355"/>
        <v>3228</v>
      </c>
      <c r="O1318" s="61">
        <v>3000</v>
      </c>
      <c r="P1318" s="368">
        <v>0</v>
      </c>
      <c r="Q1318" s="368">
        <v>72</v>
      </c>
      <c r="R1318" s="494">
        <v>0</v>
      </c>
      <c r="S1318" s="493">
        <v>0</v>
      </c>
      <c r="T1318" s="494">
        <v>148</v>
      </c>
      <c r="U1318" s="493">
        <v>8</v>
      </c>
      <c r="V1318" s="502">
        <v>1</v>
      </c>
      <c r="W1318" s="453">
        <f t="shared" si="357"/>
        <v>3000</v>
      </c>
      <c r="X1318" s="748">
        <f t="shared" si="358"/>
        <v>1.1655011655011656</v>
      </c>
      <c r="Y1318" s="451" t="str">
        <f>IFERROR(VLOOKUP(E:E,'Item Data Support Sheet'!A:J,6,0),0)</f>
        <v>WMG3B</v>
      </c>
      <c r="Z1318" s="428">
        <f>IFERROR(VLOOKUP(E:E,'Item Data Support Sheet'!A:O,4,0),0)</f>
        <v>33.130000000000003</v>
      </c>
      <c r="AA1318" s="428">
        <f t="shared" si="359"/>
        <v>106.94364</v>
      </c>
      <c r="AB1318" s="429">
        <f t="shared" si="360"/>
        <v>0.92936802973977695</v>
      </c>
      <c r="AC1318" s="424">
        <f t="shared" si="361"/>
        <v>4.7013977128335452E-2</v>
      </c>
      <c r="AD1318" s="371">
        <f t="shared" si="362"/>
        <v>2.181818181818182E-2</v>
      </c>
      <c r="AE1318" s="748">
        <f t="shared" si="363"/>
        <v>0.95415117719950437</v>
      </c>
      <c r="AF1318" s="417">
        <f t="shared" si="364"/>
        <v>0</v>
      </c>
      <c r="AG1318" s="416">
        <f t="shared" si="365"/>
        <v>8</v>
      </c>
      <c r="AH1318" s="372">
        <f t="shared" si="366"/>
        <v>1</v>
      </c>
      <c r="AI1318" s="373">
        <f t="shared" si="367"/>
        <v>375</v>
      </c>
      <c r="AJ1318" s="418">
        <f>VLOOKUP(D1318,'Standard Cycle time'!C:D,2,0)</f>
        <v>9</v>
      </c>
      <c r="AK1318" s="418">
        <f t="shared" si="368"/>
        <v>9.6</v>
      </c>
      <c r="AL1318" s="374">
        <f t="shared" si="369"/>
        <v>0.9375</v>
      </c>
      <c r="AM1318" s="372">
        <f t="shared" si="370"/>
        <v>0.89451672862453535</v>
      </c>
      <c r="AN1318" s="799">
        <v>0.89451672862453535</v>
      </c>
      <c r="AO1318" s="448"/>
      <c r="AP1318" s="440">
        <v>0</v>
      </c>
      <c r="AQ1318" s="440">
        <v>0</v>
      </c>
      <c r="AR1318" s="440">
        <v>0</v>
      </c>
      <c r="AS1318" s="440">
        <v>0</v>
      </c>
      <c r="AT1318" s="440">
        <v>0</v>
      </c>
      <c r="AU1318" s="440">
        <v>0</v>
      </c>
      <c r="AV1318" s="440">
        <v>0</v>
      </c>
      <c r="AW1318" s="440">
        <v>0</v>
      </c>
      <c r="AX1318" s="440">
        <v>0</v>
      </c>
      <c r="AY1318" s="440">
        <v>0</v>
      </c>
      <c r="AZ1318" s="440">
        <v>0</v>
      </c>
      <c r="BA1318" s="440">
        <v>0</v>
      </c>
      <c r="BB1318" s="440">
        <v>0</v>
      </c>
      <c r="BC1318" s="440">
        <v>0</v>
      </c>
      <c r="BD1318" s="440">
        <v>0</v>
      </c>
      <c r="BE1318" s="440">
        <v>0</v>
      </c>
      <c r="BF1318" s="440">
        <v>0</v>
      </c>
      <c r="BG1318" s="440">
        <v>0</v>
      </c>
      <c r="BH1318" s="440">
        <v>0</v>
      </c>
      <c r="BI1318" s="440">
        <v>0</v>
      </c>
      <c r="BJ1318" s="440">
        <v>0</v>
      </c>
      <c r="BK1318" s="440">
        <v>0</v>
      </c>
      <c r="BL1318" s="440">
        <v>0</v>
      </c>
      <c r="BM1318" s="440">
        <v>0</v>
      </c>
      <c r="BN1318" s="440">
        <v>0</v>
      </c>
      <c r="BO1318" s="440">
        <v>0</v>
      </c>
      <c r="BP1318" s="440">
        <v>0</v>
      </c>
      <c r="BQ1318" s="440">
        <v>0</v>
      </c>
      <c r="BR1318" s="415">
        <v>0</v>
      </c>
      <c r="BS1318" s="415">
        <v>0</v>
      </c>
      <c r="BT1318" s="935"/>
      <c r="BU1318" s="935"/>
      <c r="BV1318" s="935"/>
      <c r="BW1318" s="935"/>
      <c r="BX1318" s="935"/>
      <c r="BY1318" s="935"/>
      <c r="BZ1318" s="935"/>
      <c r="CA1318" s="935"/>
      <c r="CB1318" s="935"/>
      <c r="CC1318" s="935"/>
      <c r="CD1318" s="935"/>
      <c r="CE1318" s="935"/>
      <c r="CF1318" s="935"/>
      <c r="CG1318" s="935"/>
      <c r="CH1318" s="935"/>
      <c r="CI1318" s="935"/>
      <c r="CJ1318" s="935"/>
      <c r="CK1318" s="935"/>
      <c r="CL1318" s="935"/>
      <c r="CM1318" s="935"/>
      <c r="CN1318" s="935"/>
      <c r="CO1318" s="935"/>
      <c r="CP1318" s="935"/>
      <c r="CQ1318" s="935"/>
      <c r="CR1318" s="935"/>
      <c r="CS1318" s="935"/>
      <c r="CT1318" s="935"/>
      <c r="CU1318" s="935"/>
      <c r="CV1318" s="935"/>
    </row>
    <row r="1319" spans="1:100" s="441" customFormat="1">
      <c r="A1319" s="375">
        <f t="shared" si="356"/>
        <v>11</v>
      </c>
      <c r="B1319" s="862">
        <v>44519</v>
      </c>
      <c r="C1319" s="493" t="s">
        <v>2053</v>
      </c>
      <c r="D1319" s="376" t="str">
        <f>IFERROR(VLOOKUP(E:E,'Item Data Support Sheet'!A:O,7,0),"")</f>
        <v>BOTTLE MOLDED</v>
      </c>
      <c r="E1319" s="447" t="s">
        <v>140</v>
      </c>
      <c r="F1319" s="500" t="s">
        <v>1664</v>
      </c>
      <c r="G1319" s="497" t="s">
        <v>1888</v>
      </c>
      <c r="H1319" s="602" t="str">
        <f>IFERROR(VLOOKUP(E:E,'Item Data Support Sheet'!A:O,2,0),"")</f>
        <v>RPP 240ML BLUE BOTTLE MOLDED (WM3GB)</v>
      </c>
      <c r="I1319" s="501" t="s">
        <v>4095</v>
      </c>
      <c r="J1319" s="501" t="s">
        <v>3895</v>
      </c>
      <c r="K1319" s="499">
        <v>8</v>
      </c>
      <c r="L1319" s="499">
        <v>2574</v>
      </c>
      <c r="M1319" s="366">
        <v>321.75</v>
      </c>
      <c r="N1319" s="367">
        <f t="shared" si="355"/>
        <v>3011</v>
      </c>
      <c r="O1319" s="61">
        <v>2880</v>
      </c>
      <c r="P1319" s="368">
        <v>0.5</v>
      </c>
      <c r="Q1319" s="368">
        <v>46</v>
      </c>
      <c r="R1319" s="494">
        <v>0</v>
      </c>
      <c r="S1319" s="493">
        <v>0</v>
      </c>
      <c r="T1319" s="494">
        <v>77</v>
      </c>
      <c r="U1319" s="493">
        <v>8</v>
      </c>
      <c r="V1319" s="502">
        <v>1</v>
      </c>
      <c r="W1319" s="453">
        <f t="shared" si="357"/>
        <v>2880</v>
      </c>
      <c r="X1319" s="748">
        <f t="shared" si="358"/>
        <v>1.118881118881119</v>
      </c>
      <c r="Y1319" s="451" t="str">
        <f>IFERROR(VLOOKUP(E:E,'Item Data Support Sheet'!A:J,6,0),0)</f>
        <v>WMG3B</v>
      </c>
      <c r="Z1319" s="428">
        <f>IFERROR(VLOOKUP(E:E,'Item Data Support Sheet'!A:O,4,0),0)</f>
        <v>33.130000000000003</v>
      </c>
      <c r="AA1319" s="428">
        <f t="shared" si="359"/>
        <v>100.25443</v>
      </c>
      <c r="AB1319" s="429">
        <f t="shared" si="360"/>
        <v>0.95172253236091409</v>
      </c>
      <c r="AC1319" s="424">
        <f t="shared" si="361"/>
        <v>2.603990530943524E-2</v>
      </c>
      <c r="AD1319" s="371">
        <f t="shared" si="362"/>
        <v>1.5047432122996402E-2</v>
      </c>
      <c r="AE1319" s="748">
        <f t="shared" si="363"/>
        <v>0.97442710063101956</v>
      </c>
      <c r="AF1319" s="417">
        <f t="shared" si="364"/>
        <v>0</v>
      </c>
      <c r="AG1319" s="416">
        <f t="shared" si="365"/>
        <v>8</v>
      </c>
      <c r="AH1319" s="372">
        <f t="shared" si="366"/>
        <v>1</v>
      </c>
      <c r="AI1319" s="373">
        <f t="shared" si="367"/>
        <v>360</v>
      </c>
      <c r="AJ1319" s="418">
        <f>VLOOKUP(D1319,'Standard Cycle time'!C:D,2,0)</f>
        <v>9</v>
      </c>
      <c r="AK1319" s="418">
        <f t="shared" si="368"/>
        <v>10</v>
      </c>
      <c r="AL1319" s="374">
        <f t="shared" si="369"/>
        <v>0.9</v>
      </c>
      <c r="AM1319" s="372">
        <f t="shared" si="370"/>
        <v>0.87698439056791766</v>
      </c>
      <c r="AN1319" s="799">
        <v>0.87698439056791766</v>
      </c>
      <c r="AO1319" s="448"/>
      <c r="AP1319" s="440">
        <v>0</v>
      </c>
      <c r="AQ1319" s="440">
        <v>0</v>
      </c>
      <c r="AR1319" s="440">
        <v>0</v>
      </c>
      <c r="AS1319" s="440">
        <v>0</v>
      </c>
      <c r="AT1319" s="440">
        <v>0</v>
      </c>
      <c r="AU1319" s="440">
        <v>0</v>
      </c>
      <c r="AV1319" s="440">
        <v>0</v>
      </c>
      <c r="AW1319" s="440">
        <v>0</v>
      </c>
      <c r="AX1319" s="440">
        <v>0</v>
      </c>
      <c r="AY1319" s="440">
        <v>0</v>
      </c>
      <c r="AZ1319" s="440">
        <v>0</v>
      </c>
      <c r="BA1319" s="440">
        <v>0</v>
      </c>
      <c r="BB1319" s="440">
        <v>0</v>
      </c>
      <c r="BC1319" s="440">
        <v>0</v>
      </c>
      <c r="BD1319" s="440">
        <v>0</v>
      </c>
      <c r="BE1319" s="440">
        <v>0</v>
      </c>
      <c r="BF1319" s="440">
        <v>0</v>
      </c>
      <c r="BG1319" s="440">
        <v>0</v>
      </c>
      <c r="BH1319" s="440">
        <v>0</v>
      </c>
      <c r="BI1319" s="440">
        <v>0</v>
      </c>
      <c r="BJ1319" s="440">
        <v>0</v>
      </c>
      <c r="BK1319" s="440">
        <v>0</v>
      </c>
      <c r="BL1319" s="440">
        <v>0</v>
      </c>
      <c r="BM1319" s="440">
        <v>0</v>
      </c>
      <c r="BN1319" s="440">
        <v>0</v>
      </c>
      <c r="BO1319" s="440">
        <v>0</v>
      </c>
      <c r="BP1319" s="440">
        <v>0</v>
      </c>
      <c r="BQ1319" s="440">
        <v>0</v>
      </c>
      <c r="BR1319" s="415">
        <v>0</v>
      </c>
      <c r="BS1319" s="415">
        <v>0</v>
      </c>
      <c r="BT1319" s="935"/>
      <c r="BU1319" s="935"/>
      <c r="BV1319" s="935"/>
      <c r="BW1319" s="935"/>
      <c r="BX1319" s="935"/>
      <c r="BY1319" s="935"/>
      <c r="BZ1319" s="935"/>
      <c r="CA1319" s="935"/>
      <c r="CB1319" s="935"/>
      <c r="CC1319" s="935"/>
      <c r="CD1319" s="935"/>
      <c r="CE1319" s="935"/>
      <c r="CF1319" s="935"/>
      <c r="CG1319" s="935"/>
      <c r="CH1319" s="935"/>
      <c r="CI1319" s="935"/>
      <c r="CJ1319" s="935"/>
      <c r="CK1319" s="935"/>
      <c r="CL1319" s="935"/>
      <c r="CM1319" s="935"/>
      <c r="CN1319" s="935"/>
      <c r="CO1319" s="935"/>
      <c r="CP1319" s="935"/>
      <c r="CQ1319" s="935"/>
      <c r="CR1319" s="935"/>
      <c r="CS1319" s="935"/>
      <c r="CT1319" s="935"/>
      <c r="CU1319" s="935"/>
      <c r="CV1319" s="935"/>
    </row>
    <row r="1320" spans="1:100" s="441" customFormat="1">
      <c r="A1320" s="375">
        <f t="shared" si="356"/>
        <v>11</v>
      </c>
      <c r="B1320" s="862">
        <v>44519</v>
      </c>
      <c r="C1320" s="493" t="s">
        <v>2053</v>
      </c>
      <c r="D1320" s="376" t="str">
        <f>IFERROR(VLOOKUP(E:E,'Item Data Support Sheet'!A:O,7,0),"")</f>
        <v>NIPPLE MOLDED</v>
      </c>
      <c r="E1320" s="447" t="s">
        <v>74</v>
      </c>
      <c r="F1320" s="500" t="s">
        <v>1678</v>
      </c>
      <c r="G1320" s="497" t="s">
        <v>1691</v>
      </c>
      <c r="H1320" s="602" t="str">
        <f>IFERROR(VLOOKUP(E:E,'Item Data Support Sheet'!A:O,2,0),"")</f>
        <v>NIPPLE S TYPE L SIZE INJECTION</v>
      </c>
      <c r="I1320" s="501" t="s">
        <v>4096</v>
      </c>
      <c r="J1320" s="501" t="s">
        <v>3895</v>
      </c>
      <c r="K1320" s="499">
        <v>8</v>
      </c>
      <c r="L1320" s="499">
        <v>4815</v>
      </c>
      <c r="M1320" s="366">
        <v>601.875</v>
      </c>
      <c r="N1320" s="367">
        <f t="shared" si="355"/>
        <v>5761</v>
      </c>
      <c r="O1320" s="61">
        <v>5700</v>
      </c>
      <c r="P1320" s="368">
        <v>0</v>
      </c>
      <c r="Q1320" s="368">
        <v>0</v>
      </c>
      <c r="R1320" s="494">
        <v>0</v>
      </c>
      <c r="S1320" s="493">
        <v>0</v>
      </c>
      <c r="T1320" s="494">
        <v>45</v>
      </c>
      <c r="U1320" s="493">
        <v>16</v>
      </c>
      <c r="V1320" s="502">
        <v>1</v>
      </c>
      <c r="W1320" s="453">
        <f t="shared" si="357"/>
        <v>5700</v>
      </c>
      <c r="X1320" s="748">
        <f t="shared" si="358"/>
        <v>1.1838006230529594</v>
      </c>
      <c r="Y1320" s="451" t="str">
        <f>IFERROR(VLOOKUP(E:E,'Item Data Support Sheet'!A:J,6,0),0)</f>
        <v>Silicon</v>
      </c>
      <c r="Z1320" s="428">
        <f>IFERROR(VLOOKUP(E:E,'Item Data Support Sheet'!A:O,4,0),0)</f>
        <v>6.8</v>
      </c>
      <c r="AA1320" s="428">
        <f t="shared" si="359"/>
        <v>39.174799999999998</v>
      </c>
      <c r="AB1320" s="429">
        <f t="shared" si="360"/>
        <v>0.98941156049296997</v>
      </c>
      <c r="AC1320" s="424">
        <f t="shared" si="361"/>
        <v>7.832898172323759E-3</v>
      </c>
      <c r="AD1320" s="371">
        <f t="shared" si="362"/>
        <v>0</v>
      </c>
      <c r="AE1320" s="748">
        <f t="shared" si="363"/>
        <v>0.99218885610137131</v>
      </c>
      <c r="AF1320" s="417">
        <f t="shared" si="364"/>
        <v>0</v>
      </c>
      <c r="AG1320" s="416">
        <f t="shared" si="365"/>
        <v>8</v>
      </c>
      <c r="AH1320" s="372">
        <f t="shared" si="366"/>
        <v>1</v>
      </c>
      <c r="AI1320" s="373">
        <f t="shared" si="367"/>
        <v>712.5</v>
      </c>
      <c r="AJ1320" s="418">
        <f>VLOOKUP(D1320,'Standard Cycle time'!C:D,2,0)</f>
        <v>5.25</v>
      </c>
      <c r="AK1320" s="418">
        <f t="shared" si="368"/>
        <v>5.0526315789473681</v>
      </c>
      <c r="AL1320" s="374">
        <f t="shared" si="369"/>
        <v>1.0390625</v>
      </c>
      <c r="AM1320" s="372">
        <f t="shared" si="370"/>
        <v>1.0309462332928312</v>
      </c>
      <c r="AN1320" s="799">
        <v>1.0309462332928312</v>
      </c>
      <c r="AO1320" s="448"/>
      <c r="AP1320" s="440">
        <v>0</v>
      </c>
      <c r="AQ1320" s="440">
        <v>0</v>
      </c>
      <c r="AR1320" s="440">
        <v>0</v>
      </c>
      <c r="AS1320" s="440">
        <v>0</v>
      </c>
      <c r="AT1320" s="440">
        <v>0</v>
      </c>
      <c r="AU1320" s="440">
        <v>0</v>
      </c>
      <c r="AV1320" s="440">
        <v>0</v>
      </c>
      <c r="AW1320" s="440">
        <v>0</v>
      </c>
      <c r="AX1320" s="440">
        <v>0</v>
      </c>
      <c r="AY1320" s="440">
        <v>0</v>
      </c>
      <c r="AZ1320" s="440">
        <v>0</v>
      </c>
      <c r="BA1320" s="440">
        <v>0</v>
      </c>
      <c r="BB1320" s="440">
        <v>0</v>
      </c>
      <c r="BC1320" s="440">
        <v>0</v>
      </c>
      <c r="BD1320" s="440">
        <v>0</v>
      </c>
      <c r="BE1320" s="440">
        <v>0</v>
      </c>
      <c r="BF1320" s="440">
        <v>0</v>
      </c>
      <c r="BG1320" s="440">
        <v>0</v>
      </c>
      <c r="BH1320" s="440">
        <v>0</v>
      </c>
      <c r="BI1320" s="440">
        <v>0</v>
      </c>
      <c r="BJ1320" s="440">
        <v>0</v>
      </c>
      <c r="BK1320" s="440">
        <v>0</v>
      </c>
      <c r="BL1320" s="440">
        <v>0</v>
      </c>
      <c r="BM1320" s="440">
        <v>0</v>
      </c>
      <c r="BN1320" s="440">
        <v>0</v>
      </c>
      <c r="BO1320" s="440">
        <v>0</v>
      </c>
      <c r="BP1320" s="440">
        <v>0</v>
      </c>
      <c r="BQ1320" s="440">
        <v>0</v>
      </c>
      <c r="BR1320" s="415">
        <v>0</v>
      </c>
      <c r="BS1320" s="415">
        <v>0</v>
      </c>
      <c r="BT1320" s="935"/>
      <c r="BU1320" s="935"/>
      <c r="BV1320" s="935"/>
      <c r="BW1320" s="935"/>
      <c r="BX1320" s="935"/>
      <c r="BY1320" s="935"/>
      <c r="BZ1320" s="935"/>
      <c r="CA1320" s="935"/>
      <c r="CB1320" s="935"/>
      <c r="CC1320" s="935"/>
      <c r="CD1320" s="935"/>
      <c r="CE1320" s="935"/>
      <c r="CF1320" s="935"/>
      <c r="CG1320" s="935"/>
      <c r="CH1320" s="935"/>
      <c r="CI1320" s="935"/>
      <c r="CJ1320" s="935"/>
      <c r="CK1320" s="935"/>
      <c r="CL1320" s="935"/>
      <c r="CM1320" s="935"/>
      <c r="CN1320" s="935"/>
      <c r="CO1320" s="935"/>
      <c r="CP1320" s="935"/>
      <c r="CQ1320" s="935"/>
      <c r="CR1320" s="935"/>
      <c r="CS1320" s="935"/>
      <c r="CT1320" s="935"/>
      <c r="CU1320" s="935"/>
      <c r="CV1320" s="935"/>
    </row>
    <row r="1321" spans="1:100" s="441" customFormat="1">
      <c r="A1321" s="375">
        <f t="shared" si="356"/>
        <v>11</v>
      </c>
      <c r="B1321" s="862">
        <v>44519</v>
      </c>
      <c r="C1321" s="493" t="s">
        <v>2053</v>
      </c>
      <c r="D1321" s="376" t="str">
        <f>IFERROR(VLOOKUP(E:E,'Item Data Support Sheet'!A:O,7,0),"")</f>
        <v>HOOD MOLDED</v>
      </c>
      <c r="E1321" s="447" t="s">
        <v>1987</v>
      </c>
      <c r="F1321" s="500"/>
      <c r="G1321" s="497" t="s">
        <v>2729</v>
      </c>
      <c r="H1321" s="602" t="str">
        <f>IFERROR(VLOOKUP(E:E,'Item Data Support Sheet'!A:O,2,0),"")</f>
        <v>HOOD S TYPE MOLDED</v>
      </c>
      <c r="I1321" s="501" t="s">
        <v>4097</v>
      </c>
      <c r="J1321" s="501" t="s">
        <v>3895</v>
      </c>
      <c r="K1321" s="499">
        <v>8</v>
      </c>
      <c r="L1321" s="499">
        <v>4137</v>
      </c>
      <c r="M1321" s="366">
        <v>517.125</v>
      </c>
      <c r="N1321" s="367">
        <f t="shared" si="355"/>
        <v>4818</v>
      </c>
      <c r="O1321" s="61">
        <v>4800</v>
      </c>
      <c r="P1321" s="368">
        <v>0</v>
      </c>
      <c r="Q1321" s="368">
        <v>0</v>
      </c>
      <c r="R1321" s="494">
        <v>0</v>
      </c>
      <c r="S1321" s="493">
        <v>0</v>
      </c>
      <c r="T1321" s="494">
        <v>10</v>
      </c>
      <c r="U1321" s="493">
        <v>8</v>
      </c>
      <c r="V1321" s="502">
        <v>1</v>
      </c>
      <c r="W1321" s="453">
        <f t="shared" si="357"/>
        <v>4800</v>
      </c>
      <c r="X1321" s="748">
        <f t="shared" si="358"/>
        <v>1.1602610587382161</v>
      </c>
      <c r="Y1321" s="451" t="str">
        <f>IFERROR(VLOOKUP(E:E,'Item Data Support Sheet'!A:J,6,0),0)</f>
        <v>HMC</v>
      </c>
      <c r="Z1321" s="428">
        <f>IFERROR(VLOOKUP(E:E,'Item Data Support Sheet'!A:O,4,0),0)</f>
        <v>8.6</v>
      </c>
      <c r="AA1321" s="428">
        <f t="shared" si="359"/>
        <v>41.434800000000003</v>
      </c>
      <c r="AB1321" s="429">
        <f t="shared" si="360"/>
        <v>0.99626400996264008</v>
      </c>
      <c r="AC1321" s="424">
        <f t="shared" si="361"/>
        <v>2.0790020790020791E-3</v>
      </c>
      <c r="AD1321" s="371">
        <f t="shared" si="362"/>
        <v>0</v>
      </c>
      <c r="AE1321" s="748">
        <f t="shared" si="363"/>
        <v>0.99792444997924445</v>
      </c>
      <c r="AF1321" s="417">
        <f t="shared" si="364"/>
        <v>0</v>
      </c>
      <c r="AG1321" s="416">
        <f t="shared" si="365"/>
        <v>8</v>
      </c>
      <c r="AH1321" s="372">
        <f t="shared" si="366"/>
        <v>1</v>
      </c>
      <c r="AI1321" s="373">
        <f t="shared" si="367"/>
        <v>600</v>
      </c>
      <c r="AJ1321" s="418">
        <f>VLOOKUP(D1321,'Standard Cycle time'!C:D,2,0)</f>
        <v>6</v>
      </c>
      <c r="AK1321" s="418">
        <f t="shared" si="368"/>
        <v>6</v>
      </c>
      <c r="AL1321" s="374">
        <f t="shared" si="369"/>
        <v>1</v>
      </c>
      <c r="AM1321" s="372">
        <f t="shared" si="370"/>
        <v>0.99792444997924445</v>
      </c>
      <c r="AN1321" s="799">
        <v>0.99792444997924445</v>
      </c>
      <c r="AO1321" s="448"/>
      <c r="AP1321" s="440">
        <v>0</v>
      </c>
      <c r="AQ1321" s="440">
        <v>0</v>
      </c>
      <c r="AR1321" s="440">
        <v>0</v>
      </c>
      <c r="AS1321" s="440">
        <v>0</v>
      </c>
      <c r="AT1321" s="440">
        <v>0</v>
      </c>
      <c r="AU1321" s="440">
        <v>0</v>
      </c>
      <c r="AV1321" s="440">
        <v>0</v>
      </c>
      <c r="AW1321" s="440">
        <v>0</v>
      </c>
      <c r="AX1321" s="440">
        <v>0</v>
      </c>
      <c r="AY1321" s="440">
        <v>0</v>
      </c>
      <c r="AZ1321" s="440">
        <v>0</v>
      </c>
      <c r="BA1321" s="440">
        <v>0</v>
      </c>
      <c r="BB1321" s="440">
        <v>0</v>
      </c>
      <c r="BC1321" s="440">
        <v>0</v>
      </c>
      <c r="BD1321" s="440">
        <v>0</v>
      </c>
      <c r="BE1321" s="440">
        <v>0</v>
      </c>
      <c r="BF1321" s="440">
        <v>0</v>
      </c>
      <c r="BG1321" s="440">
        <v>0</v>
      </c>
      <c r="BH1321" s="440">
        <v>0</v>
      </c>
      <c r="BI1321" s="440">
        <v>0</v>
      </c>
      <c r="BJ1321" s="440">
        <v>0</v>
      </c>
      <c r="BK1321" s="440">
        <v>0</v>
      </c>
      <c r="BL1321" s="440">
        <v>0</v>
      </c>
      <c r="BM1321" s="440">
        <v>0</v>
      </c>
      <c r="BN1321" s="440">
        <v>0</v>
      </c>
      <c r="BO1321" s="440">
        <v>0</v>
      </c>
      <c r="BP1321" s="440">
        <v>0</v>
      </c>
      <c r="BQ1321" s="440">
        <v>0</v>
      </c>
      <c r="BR1321" s="415">
        <v>0</v>
      </c>
      <c r="BS1321" s="415">
        <v>0</v>
      </c>
      <c r="BT1321" s="935"/>
      <c r="BU1321" s="935"/>
      <c r="BV1321" s="935"/>
      <c r="BW1321" s="935"/>
      <c r="BX1321" s="935"/>
      <c r="BY1321" s="935"/>
      <c r="BZ1321" s="935"/>
      <c r="CA1321" s="935"/>
      <c r="CB1321" s="935"/>
      <c r="CC1321" s="935"/>
      <c r="CD1321" s="935"/>
      <c r="CE1321" s="935"/>
      <c r="CF1321" s="935"/>
      <c r="CG1321" s="935"/>
      <c r="CH1321" s="935"/>
      <c r="CI1321" s="935"/>
      <c r="CJ1321" s="935"/>
      <c r="CK1321" s="935"/>
      <c r="CL1321" s="935"/>
      <c r="CM1321" s="935"/>
      <c r="CN1321" s="935"/>
      <c r="CO1321" s="935"/>
      <c r="CP1321" s="935"/>
      <c r="CQ1321" s="935"/>
      <c r="CR1321" s="935"/>
      <c r="CS1321" s="935"/>
      <c r="CT1321" s="935"/>
      <c r="CU1321" s="935"/>
      <c r="CV1321" s="935"/>
    </row>
    <row r="1322" spans="1:100" s="441" customFormat="1">
      <c r="A1322" s="375">
        <f t="shared" si="356"/>
        <v>11</v>
      </c>
      <c r="B1322" s="862">
        <v>44519</v>
      </c>
      <c r="C1322" s="493" t="s">
        <v>2053</v>
      </c>
      <c r="D1322" s="376" t="str">
        <f>IFERROR(VLOOKUP(E:E,'Item Data Support Sheet'!A:O,7,0),"")</f>
        <v>NIPPLE PUNCH</v>
      </c>
      <c r="E1322" s="447" t="s">
        <v>82</v>
      </c>
      <c r="F1322" s="500"/>
      <c r="G1322" s="497" t="s">
        <v>1692</v>
      </c>
      <c r="H1322" s="602" t="str">
        <f>IFERROR(VLOOKUP(E:E,'Item Data Support Sheet'!A:O,2,0),"")</f>
        <v>NIPPLE S TYPE L SIZE PUNCHED</v>
      </c>
      <c r="I1322" s="501" t="s">
        <v>4098</v>
      </c>
      <c r="J1322" s="501" t="s">
        <v>3895</v>
      </c>
      <c r="K1322" s="499">
        <v>8</v>
      </c>
      <c r="L1322" s="499">
        <v>7000</v>
      </c>
      <c r="M1322" s="366">
        <v>875</v>
      </c>
      <c r="N1322" s="367">
        <f t="shared" si="355"/>
        <v>7200</v>
      </c>
      <c r="O1322" s="61">
        <v>7200</v>
      </c>
      <c r="P1322" s="368">
        <v>0</v>
      </c>
      <c r="Q1322" s="368">
        <v>0</v>
      </c>
      <c r="R1322" s="494">
        <v>0</v>
      </c>
      <c r="S1322" s="493">
        <v>0</v>
      </c>
      <c r="T1322" s="494">
        <v>0</v>
      </c>
      <c r="U1322" s="493">
        <v>0</v>
      </c>
      <c r="V1322" s="502">
        <v>1</v>
      </c>
      <c r="W1322" s="453">
        <f t="shared" si="357"/>
        <v>7200</v>
      </c>
      <c r="X1322" s="748">
        <f t="shared" si="358"/>
        <v>1.0285714285714285</v>
      </c>
      <c r="Y1322" s="451" t="str">
        <f>IFERROR(VLOOKUP(E:E,'Item Data Support Sheet'!A:J,6,0),0)</f>
        <v>FO017</v>
      </c>
      <c r="Z1322" s="428">
        <f>IFERROR(VLOOKUP(E:E,'Item Data Support Sheet'!A:O,4,0),0)</f>
        <v>0</v>
      </c>
      <c r="AA1322" s="428">
        <f t="shared" si="359"/>
        <v>0</v>
      </c>
      <c r="AB1322" s="429" t="str">
        <f t="shared" si="360"/>
        <v xml:space="preserve"> </v>
      </c>
      <c r="AC1322" s="424">
        <f t="shared" si="361"/>
        <v>0</v>
      </c>
      <c r="AD1322" s="371">
        <f t="shared" si="362"/>
        <v>0</v>
      </c>
      <c r="AE1322" s="748">
        <f t="shared" si="363"/>
        <v>1</v>
      </c>
      <c r="AF1322" s="417">
        <f t="shared" si="364"/>
        <v>0.33333333333333331</v>
      </c>
      <c r="AG1322" s="416">
        <f t="shared" si="365"/>
        <v>7.666666666666667</v>
      </c>
      <c r="AH1322" s="372">
        <f t="shared" si="366"/>
        <v>0.95833333333333337</v>
      </c>
      <c r="AI1322" s="373">
        <f t="shared" si="367"/>
        <v>900</v>
      </c>
      <c r="AJ1322" s="418">
        <f>VLOOKUP(D1322,'Standard Cycle time'!C:D,2,0)</f>
        <v>3.5</v>
      </c>
      <c r="AK1322" s="418">
        <f t="shared" si="368"/>
        <v>3.8333333333333335</v>
      </c>
      <c r="AL1322" s="374">
        <f t="shared" si="369"/>
        <v>0.91304347826086951</v>
      </c>
      <c r="AM1322" s="372">
        <f t="shared" si="370"/>
        <v>0.875</v>
      </c>
      <c r="AN1322" s="799">
        <v>0.875</v>
      </c>
      <c r="AO1322" s="448"/>
      <c r="AP1322" s="440">
        <v>20</v>
      </c>
      <c r="AQ1322" s="440">
        <v>0</v>
      </c>
      <c r="AR1322" s="440">
        <v>0</v>
      </c>
      <c r="AS1322" s="440">
        <v>0</v>
      </c>
      <c r="AT1322" s="440">
        <v>0</v>
      </c>
      <c r="AU1322" s="440">
        <v>0</v>
      </c>
      <c r="AV1322" s="440">
        <v>0</v>
      </c>
      <c r="AW1322" s="440">
        <v>0</v>
      </c>
      <c r="AX1322" s="440">
        <v>0</v>
      </c>
      <c r="AY1322" s="440">
        <v>0</v>
      </c>
      <c r="AZ1322" s="440">
        <v>0</v>
      </c>
      <c r="BA1322" s="440">
        <v>0</v>
      </c>
      <c r="BB1322" s="440">
        <v>0</v>
      </c>
      <c r="BC1322" s="440">
        <v>0</v>
      </c>
      <c r="BD1322" s="440">
        <v>0</v>
      </c>
      <c r="BE1322" s="440">
        <v>0</v>
      </c>
      <c r="BF1322" s="440">
        <v>0</v>
      </c>
      <c r="BG1322" s="440">
        <v>0</v>
      </c>
      <c r="BH1322" s="440">
        <v>0</v>
      </c>
      <c r="BI1322" s="440">
        <v>0</v>
      </c>
      <c r="BJ1322" s="440">
        <v>0</v>
      </c>
      <c r="BK1322" s="440">
        <v>0</v>
      </c>
      <c r="BL1322" s="440">
        <v>0</v>
      </c>
      <c r="BM1322" s="440">
        <v>0</v>
      </c>
      <c r="BN1322" s="440">
        <v>0</v>
      </c>
      <c r="BO1322" s="440">
        <v>0</v>
      </c>
      <c r="BP1322" s="440">
        <v>0</v>
      </c>
      <c r="BQ1322" s="440">
        <v>0</v>
      </c>
      <c r="BR1322" s="415">
        <v>0.33333333333333331</v>
      </c>
      <c r="BS1322" s="415">
        <v>0.33333333333333331</v>
      </c>
      <c r="BT1322" s="935"/>
      <c r="BU1322" s="935"/>
      <c r="BV1322" s="935"/>
      <c r="BW1322" s="935"/>
      <c r="BX1322" s="935"/>
      <c r="BY1322" s="935"/>
      <c r="BZ1322" s="935"/>
      <c r="CA1322" s="935"/>
      <c r="CB1322" s="935"/>
      <c r="CC1322" s="935"/>
      <c r="CD1322" s="935"/>
      <c r="CE1322" s="935"/>
      <c r="CF1322" s="935"/>
      <c r="CG1322" s="935"/>
      <c r="CH1322" s="935"/>
      <c r="CI1322" s="935"/>
      <c r="CJ1322" s="935"/>
      <c r="CK1322" s="935"/>
      <c r="CL1322" s="935"/>
      <c r="CM1322" s="935"/>
      <c r="CN1322" s="935"/>
      <c r="CO1322" s="935"/>
      <c r="CP1322" s="935"/>
      <c r="CQ1322" s="935"/>
      <c r="CR1322" s="935"/>
      <c r="CS1322" s="935"/>
      <c r="CT1322" s="935"/>
      <c r="CU1322" s="935"/>
      <c r="CV1322" s="935"/>
    </row>
    <row r="1323" spans="1:100" s="441" customFormat="1">
      <c r="A1323" s="375">
        <f t="shared" si="356"/>
        <v>11</v>
      </c>
      <c r="B1323" s="862">
        <v>44519</v>
      </c>
      <c r="C1323" s="493" t="s">
        <v>2053</v>
      </c>
      <c r="D1323" s="376" t="str">
        <f>IFERROR(VLOOKUP(E:E,'Item Data Support Sheet'!A:O,7,0),"")</f>
        <v>NIPPLE LASER MARKING</v>
      </c>
      <c r="E1323" s="447" t="s">
        <v>1816</v>
      </c>
      <c r="F1323" s="500"/>
      <c r="G1323" s="497" t="s">
        <v>1812</v>
      </c>
      <c r="H1323" s="602" t="str">
        <f>IFERROR(VLOOKUP(E:E,'Item Data Support Sheet'!A:O,2,0),"")</f>
        <v>NIPPLE S TYPE L SIZE PUNCHED LASER MARKED</v>
      </c>
      <c r="I1323" s="501" t="s">
        <v>4099</v>
      </c>
      <c r="J1323" s="501" t="s">
        <v>3895</v>
      </c>
      <c r="K1323" s="499">
        <v>8</v>
      </c>
      <c r="L1323" s="499">
        <v>7000</v>
      </c>
      <c r="M1323" s="366">
        <v>875</v>
      </c>
      <c r="N1323" s="367">
        <f t="shared" si="355"/>
        <v>5500</v>
      </c>
      <c r="O1323" s="61">
        <v>5500</v>
      </c>
      <c r="P1323" s="368">
        <v>0</v>
      </c>
      <c r="Q1323" s="368">
        <v>0</v>
      </c>
      <c r="R1323" s="494">
        <v>0</v>
      </c>
      <c r="S1323" s="493">
        <v>0</v>
      </c>
      <c r="T1323" s="494">
        <v>0</v>
      </c>
      <c r="U1323" s="493">
        <v>0</v>
      </c>
      <c r="V1323" s="502">
        <v>1</v>
      </c>
      <c r="W1323" s="453">
        <f t="shared" si="357"/>
        <v>5500</v>
      </c>
      <c r="X1323" s="748">
        <f t="shared" si="358"/>
        <v>0.7857142857142857</v>
      </c>
      <c r="Y1323" s="451" t="str">
        <f>IFERROR(VLOOKUP(E:E,'Item Data Support Sheet'!A:J,6,0),0)</f>
        <v>FO021</v>
      </c>
      <c r="Z1323" s="428">
        <f>IFERROR(VLOOKUP(E:E,'Item Data Support Sheet'!A:O,4,0),0)</f>
        <v>0</v>
      </c>
      <c r="AA1323" s="428">
        <f t="shared" si="359"/>
        <v>0</v>
      </c>
      <c r="AB1323" s="429" t="str">
        <f t="shared" si="360"/>
        <v xml:space="preserve"> </v>
      </c>
      <c r="AC1323" s="424">
        <f t="shared" si="361"/>
        <v>0</v>
      </c>
      <c r="AD1323" s="371">
        <f t="shared" si="362"/>
        <v>0</v>
      </c>
      <c r="AE1323" s="748">
        <f t="shared" si="363"/>
        <v>1</v>
      </c>
      <c r="AF1323" s="417">
        <f t="shared" si="364"/>
        <v>0.33333333333333331</v>
      </c>
      <c r="AG1323" s="416">
        <f t="shared" si="365"/>
        <v>7.666666666666667</v>
      </c>
      <c r="AH1323" s="372">
        <f t="shared" si="366"/>
        <v>0.95833333333333337</v>
      </c>
      <c r="AI1323" s="373">
        <f t="shared" si="367"/>
        <v>687.5</v>
      </c>
      <c r="AJ1323" s="418">
        <f>VLOOKUP(D1323,'Standard Cycle time'!C:D,2,0)</f>
        <v>3.5</v>
      </c>
      <c r="AK1323" s="418">
        <f t="shared" si="368"/>
        <v>5.0181818181818185</v>
      </c>
      <c r="AL1323" s="374">
        <f t="shared" si="369"/>
        <v>0.69746376811594202</v>
      </c>
      <c r="AM1323" s="372">
        <f t="shared" si="370"/>
        <v>0.66840277777777779</v>
      </c>
      <c r="AN1323" s="799">
        <v>0.66840277777777779</v>
      </c>
      <c r="AO1323" s="448" t="s">
        <v>4100</v>
      </c>
      <c r="AP1323" s="440">
        <v>20</v>
      </c>
      <c r="AQ1323" s="440">
        <v>0</v>
      </c>
      <c r="AR1323" s="440">
        <v>0</v>
      </c>
      <c r="AS1323" s="440">
        <v>0</v>
      </c>
      <c r="AT1323" s="440">
        <v>0</v>
      </c>
      <c r="AU1323" s="440">
        <v>0</v>
      </c>
      <c r="AV1323" s="440">
        <v>0</v>
      </c>
      <c r="AW1323" s="440">
        <v>0</v>
      </c>
      <c r="AX1323" s="440">
        <v>0</v>
      </c>
      <c r="AY1323" s="440">
        <v>0</v>
      </c>
      <c r="AZ1323" s="440">
        <v>0</v>
      </c>
      <c r="BA1323" s="440">
        <v>0</v>
      </c>
      <c r="BB1323" s="440">
        <v>0</v>
      </c>
      <c r="BC1323" s="440">
        <v>0</v>
      </c>
      <c r="BD1323" s="440">
        <v>0</v>
      </c>
      <c r="BE1323" s="440">
        <v>0</v>
      </c>
      <c r="BF1323" s="440">
        <v>0</v>
      </c>
      <c r="BG1323" s="440">
        <v>0</v>
      </c>
      <c r="BH1323" s="440">
        <v>0</v>
      </c>
      <c r="BI1323" s="440">
        <v>0</v>
      </c>
      <c r="BJ1323" s="440">
        <v>0</v>
      </c>
      <c r="BK1323" s="440">
        <v>0</v>
      </c>
      <c r="BL1323" s="440">
        <v>0</v>
      </c>
      <c r="BM1323" s="440">
        <v>0</v>
      </c>
      <c r="BN1323" s="440">
        <v>0</v>
      </c>
      <c r="BO1323" s="440">
        <v>0</v>
      </c>
      <c r="BP1323" s="440">
        <v>0</v>
      </c>
      <c r="BQ1323" s="440">
        <v>0</v>
      </c>
      <c r="BR1323" s="415">
        <v>0.33333333333333331</v>
      </c>
      <c r="BS1323" s="415">
        <v>0.33333333333333331</v>
      </c>
      <c r="BT1323" s="935"/>
      <c r="BU1323" s="935"/>
      <c r="BV1323" s="935"/>
      <c r="BW1323" s="935"/>
      <c r="BX1323" s="935"/>
      <c r="BY1323" s="935"/>
      <c r="BZ1323" s="935"/>
      <c r="CA1323" s="935"/>
      <c r="CB1323" s="935"/>
      <c r="CC1323" s="935"/>
      <c r="CD1323" s="935"/>
      <c r="CE1323" s="935"/>
      <c r="CF1323" s="935"/>
      <c r="CG1323" s="935"/>
      <c r="CH1323" s="935"/>
      <c r="CI1323" s="935"/>
      <c r="CJ1323" s="935"/>
      <c r="CK1323" s="935"/>
      <c r="CL1323" s="935"/>
      <c r="CM1323" s="935"/>
      <c r="CN1323" s="935"/>
      <c r="CO1323" s="935"/>
      <c r="CP1323" s="935"/>
      <c r="CQ1323" s="935"/>
      <c r="CR1323" s="935"/>
      <c r="CS1323" s="935"/>
      <c r="CT1323" s="935"/>
      <c r="CU1323" s="935"/>
      <c r="CV1323" s="935"/>
    </row>
    <row r="1324" spans="1:100" s="441" customFormat="1">
      <c r="A1324" s="375">
        <f t="shared" si="356"/>
        <v>11</v>
      </c>
      <c r="B1324" s="862">
        <v>44519</v>
      </c>
      <c r="C1324" s="493" t="s">
        <v>2053</v>
      </c>
      <c r="D1324" s="376" t="str">
        <f>IFERROR(VLOOKUP(E:E,'Item Data Support Sheet'!A:O,7,0),"")</f>
        <v>NIPPLE MOLDED</v>
      </c>
      <c r="E1324" s="447" t="s">
        <v>73</v>
      </c>
      <c r="F1324" s="500" t="s">
        <v>1677</v>
      </c>
      <c r="G1324" s="497" t="s">
        <v>1690</v>
      </c>
      <c r="H1324" s="602" t="str">
        <f>IFERROR(VLOOKUP(E:E,'Item Data Support Sheet'!A:O,2,0),"")</f>
        <v>NIPPLE S TYPE M SIZE INJECTION</v>
      </c>
      <c r="I1324" s="501" t="s">
        <v>4096</v>
      </c>
      <c r="J1324" s="501" t="s">
        <v>3895</v>
      </c>
      <c r="K1324" s="499">
        <v>8</v>
      </c>
      <c r="L1324" s="499">
        <v>3611</v>
      </c>
      <c r="M1324" s="366">
        <v>451.375</v>
      </c>
      <c r="N1324" s="367">
        <f t="shared" si="355"/>
        <v>4034</v>
      </c>
      <c r="O1324" s="61">
        <v>3920</v>
      </c>
      <c r="P1324" s="368">
        <v>0</v>
      </c>
      <c r="Q1324" s="368">
        <v>22</v>
      </c>
      <c r="R1324" s="494">
        <v>0</v>
      </c>
      <c r="S1324" s="493">
        <v>0</v>
      </c>
      <c r="T1324" s="494">
        <v>80</v>
      </c>
      <c r="U1324" s="493">
        <v>12</v>
      </c>
      <c r="V1324" s="502">
        <v>1</v>
      </c>
      <c r="W1324" s="453">
        <f t="shared" si="357"/>
        <v>3920</v>
      </c>
      <c r="X1324" s="748">
        <f t="shared" si="358"/>
        <v>1.0855718637496539</v>
      </c>
      <c r="Y1324" s="451" t="str">
        <f>IFERROR(VLOOKUP(E:E,'Item Data Support Sheet'!A:J,6,0),0)</f>
        <v>Silicon</v>
      </c>
      <c r="Z1324" s="428">
        <f>IFERROR(VLOOKUP(E:E,'Item Data Support Sheet'!A:O,4,0),0)</f>
        <v>6.8</v>
      </c>
      <c r="AA1324" s="428">
        <f t="shared" si="359"/>
        <v>27.431199999999997</v>
      </c>
      <c r="AB1324" s="429">
        <f t="shared" si="360"/>
        <v>0.9717402082300447</v>
      </c>
      <c r="AC1324" s="424">
        <f t="shared" si="361"/>
        <v>0.02</v>
      </c>
      <c r="AD1324" s="371">
        <f t="shared" si="362"/>
        <v>5.4240631163708086E-3</v>
      </c>
      <c r="AE1324" s="748">
        <f t="shared" si="363"/>
        <v>0.98016856717897871</v>
      </c>
      <c r="AF1324" s="417">
        <f t="shared" si="364"/>
        <v>0</v>
      </c>
      <c r="AG1324" s="416">
        <f t="shared" si="365"/>
        <v>8</v>
      </c>
      <c r="AH1324" s="372">
        <f t="shared" si="366"/>
        <v>1</v>
      </c>
      <c r="AI1324" s="373">
        <f t="shared" si="367"/>
        <v>490</v>
      </c>
      <c r="AJ1324" s="418">
        <f>VLOOKUP(D1324,'Standard Cycle time'!C:D,2,0)</f>
        <v>5.25</v>
      </c>
      <c r="AK1324" s="418">
        <f t="shared" si="368"/>
        <v>7.3469387755102042</v>
      </c>
      <c r="AL1324" s="374">
        <f t="shared" si="369"/>
        <v>0.71458333333333335</v>
      </c>
      <c r="AM1324" s="372">
        <f t="shared" si="370"/>
        <v>0.70041212196331193</v>
      </c>
      <c r="AN1324" s="799">
        <v>0.70041212196331193</v>
      </c>
      <c r="AO1324" s="448"/>
      <c r="AP1324" s="440">
        <v>0</v>
      </c>
      <c r="AQ1324" s="440">
        <v>0</v>
      </c>
      <c r="AR1324" s="440">
        <v>0</v>
      </c>
      <c r="AS1324" s="440">
        <v>0</v>
      </c>
      <c r="AT1324" s="440">
        <v>0</v>
      </c>
      <c r="AU1324" s="440">
        <v>0</v>
      </c>
      <c r="AV1324" s="440">
        <v>0</v>
      </c>
      <c r="AW1324" s="440">
        <v>0</v>
      </c>
      <c r="AX1324" s="440">
        <v>0</v>
      </c>
      <c r="AY1324" s="440">
        <v>0</v>
      </c>
      <c r="AZ1324" s="440">
        <v>0</v>
      </c>
      <c r="BA1324" s="440">
        <v>0</v>
      </c>
      <c r="BB1324" s="440">
        <v>0</v>
      </c>
      <c r="BC1324" s="440">
        <v>0</v>
      </c>
      <c r="BD1324" s="440">
        <v>0</v>
      </c>
      <c r="BE1324" s="440">
        <v>0</v>
      </c>
      <c r="BF1324" s="440">
        <v>0</v>
      </c>
      <c r="BG1324" s="440">
        <v>0</v>
      </c>
      <c r="BH1324" s="440">
        <v>0</v>
      </c>
      <c r="BI1324" s="440">
        <v>0</v>
      </c>
      <c r="BJ1324" s="440">
        <v>0</v>
      </c>
      <c r="BK1324" s="440">
        <v>0</v>
      </c>
      <c r="BL1324" s="440">
        <v>0</v>
      </c>
      <c r="BM1324" s="440">
        <v>0</v>
      </c>
      <c r="BN1324" s="440">
        <v>0</v>
      </c>
      <c r="BO1324" s="440">
        <v>0</v>
      </c>
      <c r="BP1324" s="440">
        <v>0</v>
      </c>
      <c r="BQ1324" s="440">
        <v>0</v>
      </c>
      <c r="BR1324" s="415">
        <v>0</v>
      </c>
      <c r="BS1324" s="415">
        <v>0</v>
      </c>
      <c r="BT1324" s="935"/>
      <c r="BU1324" s="935"/>
      <c r="BV1324" s="935"/>
      <c r="BW1324" s="935"/>
      <c r="BX1324" s="935"/>
      <c r="BY1324" s="935"/>
      <c r="BZ1324" s="935"/>
      <c r="CA1324" s="935"/>
      <c r="CB1324" s="935"/>
      <c r="CC1324" s="935"/>
      <c r="CD1324" s="935"/>
      <c r="CE1324" s="935"/>
      <c r="CF1324" s="935"/>
      <c r="CG1324" s="935"/>
      <c r="CH1324" s="935"/>
      <c r="CI1324" s="935"/>
      <c r="CJ1324" s="935"/>
      <c r="CK1324" s="935"/>
      <c r="CL1324" s="935"/>
      <c r="CM1324" s="935"/>
      <c r="CN1324" s="935"/>
      <c r="CO1324" s="935"/>
      <c r="CP1324" s="935"/>
      <c r="CQ1324" s="935"/>
      <c r="CR1324" s="935"/>
      <c r="CS1324" s="935"/>
      <c r="CT1324" s="935"/>
      <c r="CU1324" s="935"/>
      <c r="CV1324" s="935"/>
    </row>
    <row r="1325" spans="1:100" s="441" customFormat="1">
      <c r="A1325" s="375">
        <f t="shared" si="356"/>
        <v>11</v>
      </c>
      <c r="B1325" s="862">
        <v>44520</v>
      </c>
      <c r="C1325" s="493" t="s">
        <v>1980</v>
      </c>
      <c r="D1325" s="376" t="str">
        <f>IFERROR(VLOOKUP(E:E,'Item Data Support Sheet'!A:O,7,0),"")</f>
        <v>NIPPLE MOLDED</v>
      </c>
      <c r="E1325" s="447" t="s">
        <v>73</v>
      </c>
      <c r="F1325" s="500" t="s">
        <v>1677</v>
      </c>
      <c r="G1325" s="497" t="s">
        <v>1690</v>
      </c>
      <c r="H1325" s="602" t="str">
        <f>IFERROR(VLOOKUP(E:E,'Item Data Support Sheet'!A:O,2,0),"")</f>
        <v>NIPPLE S TYPE M SIZE INJECTION</v>
      </c>
      <c r="I1325" s="501" t="s">
        <v>4101</v>
      </c>
      <c r="J1325" s="501" t="s">
        <v>2808</v>
      </c>
      <c r="K1325" s="499">
        <v>4.5</v>
      </c>
      <c r="L1325" s="499">
        <v>2400</v>
      </c>
      <c r="M1325" s="366">
        <v>533.33333333333337</v>
      </c>
      <c r="N1325" s="367">
        <f t="shared" si="355"/>
        <v>3010</v>
      </c>
      <c r="O1325" s="61">
        <v>2950</v>
      </c>
      <c r="P1325" s="368">
        <v>0</v>
      </c>
      <c r="Q1325" s="368">
        <v>20</v>
      </c>
      <c r="R1325" s="494">
        <v>0</v>
      </c>
      <c r="S1325" s="493">
        <v>0</v>
      </c>
      <c r="T1325" s="494">
        <v>34</v>
      </c>
      <c r="U1325" s="493">
        <v>6</v>
      </c>
      <c r="V1325" s="502">
        <v>1</v>
      </c>
      <c r="W1325" s="453">
        <f t="shared" si="357"/>
        <v>2950</v>
      </c>
      <c r="X1325" s="748">
        <f t="shared" si="358"/>
        <v>1.2291666666666667</v>
      </c>
      <c r="Y1325" s="451" t="str">
        <f>IFERROR(VLOOKUP(E:E,'Item Data Support Sheet'!A:J,6,0),0)</f>
        <v>Silicon</v>
      </c>
      <c r="Z1325" s="428">
        <f>IFERROR(VLOOKUP(E:E,'Item Data Support Sheet'!A:O,4,0),0)</f>
        <v>6.8</v>
      </c>
      <c r="AA1325" s="428">
        <f t="shared" si="359"/>
        <v>20.468</v>
      </c>
      <c r="AB1325" s="429">
        <f t="shared" si="360"/>
        <v>0.98006644518272423</v>
      </c>
      <c r="AC1325" s="424">
        <f t="shared" si="361"/>
        <v>1.1394101876675604E-2</v>
      </c>
      <c r="AD1325" s="371">
        <f t="shared" si="362"/>
        <v>6.6006600660066007E-3</v>
      </c>
      <c r="AE1325" s="748">
        <f t="shared" si="363"/>
        <v>0.98870431893687705</v>
      </c>
      <c r="AF1325" s="417">
        <f t="shared" si="364"/>
        <v>0</v>
      </c>
      <c r="AG1325" s="416">
        <f t="shared" si="365"/>
        <v>4.5</v>
      </c>
      <c r="AH1325" s="372">
        <f t="shared" si="366"/>
        <v>1</v>
      </c>
      <c r="AI1325" s="373">
        <f t="shared" si="367"/>
        <v>655.55555555555554</v>
      </c>
      <c r="AJ1325" s="418">
        <f>VLOOKUP(D1325,'Standard Cycle time'!C:D,2,0)</f>
        <v>5.25</v>
      </c>
      <c r="AK1325" s="418">
        <f t="shared" si="368"/>
        <v>5.4915254237288131</v>
      </c>
      <c r="AL1325" s="374">
        <f t="shared" si="369"/>
        <v>0.9560185185185186</v>
      </c>
      <c r="AM1325" s="372">
        <f t="shared" si="370"/>
        <v>0.94521963824289412</v>
      </c>
      <c r="AN1325" s="799">
        <v>0.94521963824289412</v>
      </c>
      <c r="AO1325" s="448"/>
      <c r="AP1325" s="440">
        <v>0</v>
      </c>
      <c r="AQ1325" s="440">
        <v>0</v>
      </c>
      <c r="AR1325" s="440">
        <v>0</v>
      </c>
      <c r="AS1325" s="440">
        <v>0</v>
      </c>
      <c r="AT1325" s="440">
        <v>0</v>
      </c>
      <c r="AU1325" s="440">
        <v>0</v>
      </c>
      <c r="AV1325" s="440">
        <v>0</v>
      </c>
      <c r="AW1325" s="440">
        <v>0</v>
      </c>
      <c r="AX1325" s="440">
        <v>0</v>
      </c>
      <c r="AY1325" s="440">
        <v>0</v>
      </c>
      <c r="AZ1325" s="440">
        <v>0</v>
      </c>
      <c r="BA1325" s="440">
        <v>0</v>
      </c>
      <c r="BB1325" s="440">
        <v>0</v>
      </c>
      <c r="BC1325" s="440">
        <v>0</v>
      </c>
      <c r="BD1325" s="440">
        <v>0</v>
      </c>
      <c r="BE1325" s="440">
        <v>0</v>
      </c>
      <c r="BF1325" s="440">
        <v>0</v>
      </c>
      <c r="BG1325" s="440">
        <v>0</v>
      </c>
      <c r="BH1325" s="440">
        <v>0</v>
      </c>
      <c r="BI1325" s="440">
        <v>0</v>
      </c>
      <c r="BJ1325" s="440">
        <v>0</v>
      </c>
      <c r="BK1325" s="440">
        <v>0</v>
      </c>
      <c r="BL1325" s="440">
        <v>0</v>
      </c>
      <c r="BM1325" s="440">
        <v>0</v>
      </c>
      <c r="BN1325" s="440">
        <v>0</v>
      </c>
      <c r="BO1325" s="440">
        <v>0</v>
      </c>
      <c r="BP1325" s="440">
        <v>0</v>
      </c>
      <c r="BQ1325" s="440">
        <v>0</v>
      </c>
      <c r="BR1325" s="415">
        <v>0</v>
      </c>
      <c r="BS1325" s="415">
        <v>0</v>
      </c>
      <c r="BT1325" s="935"/>
      <c r="BU1325" s="935"/>
      <c r="BV1325" s="935"/>
      <c r="BW1325" s="935"/>
      <c r="BX1325" s="935"/>
      <c r="BY1325" s="935"/>
      <c r="BZ1325" s="935"/>
      <c r="CA1325" s="935"/>
      <c r="CB1325" s="935"/>
      <c r="CC1325" s="935"/>
      <c r="CD1325" s="935"/>
      <c r="CE1325" s="935"/>
      <c r="CF1325" s="935"/>
      <c r="CG1325" s="935"/>
      <c r="CH1325" s="935"/>
      <c r="CI1325" s="935"/>
      <c r="CJ1325" s="935"/>
      <c r="CK1325" s="935"/>
      <c r="CL1325" s="935"/>
      <c r="CM1325" s="935"/>
      <c r="CN1325" s="935"/>
      <c r="CO1325" s="935"/>
      <c r="CP1325" s="935"/>
      <c r="CQ1325" s="935"/>
      <c r="CR1325" s="935"/>
      <c r="CS1325" s="935"/>
      <c r="CT1325" s="935"/>
      <c r="CU1325" s="935"/>
      <c r="CV1325" s="935"/>
    </row>
    <row r="1326" spans="1:100" s="441" customFormat="1">
      <c r="A1326" s="375">
        <f t="shared" si="356"/>
        <v>11</v>
      </c>
      <c r="B1326" s="862">
        <v>44520</v>
      </c>
      <c r="C1326" s="493" t="s">
        <v>1980</v>
      </c>
      <c r="D1326" s="376" t="str">
        <f>IFERROR(VLOOKUP(E:E,'Item Data Support Sheet'!A:O,7,0),"")</f>
        <v>HOOD MOLDED</v>
      </c>
      <c r="E1326" s="447" t="s">
        <v>1987</v>
      </c>
      <c r="F1326" s="500"/>
      <c r="G1326" s="497" t="s">
        <v>2729</v>
      </c>
      <c r="H1326" s="602" t="str">
        <f>IFERROR(VLOOKUP(E:E,'Item Data Support Sheet'!A:O,2,0),"")</f>
        <v>HOOD S TYPE MOLDED</v>
      </c>
      <c r="I1326" s="501" t="s">
        <v>4102</v>
      </c>
      <c r="J1326" s="501" t="s">
        <v>2808</v>
      </c>
      <c r="K1326" s="499">
        <v>4.5</v>
      </c>
      <c r="L1326" s="499">
        <v>3600</v>
      </c>
      <c r="M1326" s="366">
        <v>800</v>
      </c>
      <c r="N1326" s="367">
        <f t="shared" si="355"/>
        <v>4018</v>
      </c>
      <c r="O1326" s="61">
        <v>3997</v>
      </c>
      <c r="P1326" s="368">
        <v>0</v>
      </c>
      <c r="Q1326" s="368">
        <v>0</v>
      </c>
      <c r="R1326" s="494">
        <v>0</v>
      </c>
      <c r="S1326" s="493">
        <v>0</v>
      </c>
      <c r="T1326" s="494">
        <v>13</v>
      </c>
      <c r="U1326" s="493">
        <v>8</v>
      </c>
      <c r="V1326" s="502">
        <v>1</v>
      </c>
      <c r="W1326" s="453">
        <f t="shared" si="357"/>
        <v>3997</v>
      </c>
      <c r="X1326" s="748">
        <f t="shared" si="358"/>
        <v>1.1102777777777777</v>
      </c>
      <c r="Y1326" s="451" t="str">
        <f>IFERROR(VLOOKUP(E:E,'Item Data Support Sheet'!A:J,6,0),0)</f>
        <v>HMC</v>
      </c>
      <c r="Z1326" s="428">
        <f>IFERROR(VLOOKUP(E:E,'Item Data Support Sheet'!A:O,4,0),0)</f>
        <v>8.6</v>
      </c>
      <c r="AA1326" s="428">
        <f t="shared" si="359"/>
        <v>34.5548</v>
      </c>
      <c r="AB1326" s="429">
        <f t="shared" si="360"/>
        <v>0.99477351916376311</v>
      </c>
      <c r="AC1326" s="424">
        <f t="shared" si="361"/>
        <v>3.2418952618453864E-3</v>
      </c>
      <c r="AD1326" s="371">
        <f t="shared" si="362"/>
        <v>0</v>
      </c>
      <c r="AE1326" s="748">
        <f t="shared" si="363"/>
        <v>0.99676455948232956</v>
      </c>
      <c r="AF1326" s="417">
        <f t="shared" si="364"/>
        <v>0</v>
      </c>
      <c r="AG1326" s="416">
        <f t="shared" si="365"/>
        <v>4.5</v>
      </c>
      <c r="AH1326" s="372">
        <f t="shared" si="366"/>
        <v>1</v>
      </c>
      <c r="AI1326" s="373">
        <f t="shared" si="367"/>
        <v>888.22222222222217</v>
      </c>
      <c r="AJ1326" s="418">
        <f>VLOOKUP(D1326,'Standard Cycle time'!C:D,2,0)</f>
        <v>6</v>
      </c>
      <c r="AK1326" s="418">
        <f t="shared" si="368"/>
        <v>4.0530397798348758</v>
      </c>
      <c r="AL1326" s="374">
        <f t="shared" si="369"/>
        <v>1.4803703703703706</v>
      </c>
      <c r="AM1326" s="372">
        <f t="shared" si="370"/>
        <v>1.4755807200929154</v>
      </c>
      <c r="AN1326" s="799">
        <v>1.4755807200929154</v>
      </c>
      <c r="AO1326" s="448"/>
      <c r="AP1326" s="440">
        <v>0</v>
      </c>
      <c r="AQ1326" s="440">
        <v>0</v>
      </c>
      <c r="AR1326" s="440">
        <v>0</v>
      </c>
      <c r="AS1326" s="440">
        <v>0</v>
      </c>
      <c r="AT1326" s="440">
        <v>0</v>
      </c>
      <c r="AU1326" s="440">
        <v>0</v>
      </c>
      <c r="AV1326" s="440">
        <v>0</v>
      </c>
      <c r="AW1326" s="440">
        <v>0</v>
      </c>
      <c r="AX1326" s="440">
        <v>0</v>
      </c>
      <c r="AY1326" s="440">
        <v>0</v>
      </c>
      <c r="AZ1326" s="440">
        <v>0</v>
      </c>
      <c r="BA1326" s="440">
        <v>0</v>
      </c>
      <c r="BB1326" s="440">
        <v>0</v>
      </c>
      <c r="BC1326" s="440">
        <v>0</v>
      </c>
      <c r="BD1326" s="440">
        <v>0</v>
      </c>
      <c r="BE1326" s="440">
        <v>0</v>
      </c>
      <c r="BF1326" s="440">
        <v>0</v>
      </c>
      <c r="BG1326" s="440">
        <v>0</v>
      </c>
      <c r="BH1326" s="440">
        <v>0</v>
      </c>
      <c r="BI1326" s="440">
        <v>0</v>
      </c>
      <c r="BJ1326" s="440">
        <v>0</v>
      </c>
      <c r="BK1326" s="440">
        <v>0</v>
      </c>
      <c r="BL1326" s="440">
        <v>0</v>
      </c>
      <c r="BM1326" s="440">
        <v>0</v>
      </c>
      <c r="BN1326" s="440">
        <v>0</v>
      </c>
      <c r="BO1326" s="440">
        <v>0</v>
      </c>
      <c r="BP1326" s="440">
        <v>0</v>
      </c>
      <c r="BQ1326" s="440">
        <v>0</v>
      </c>
      <c r="BR1326" s="415">
        <v>0</v>
      </c>
      <c r="BS1326" s="415">
        <v>0</v>
      </c>
      <c r="BT1326" s="935"/>
      <c r="BU1326" s="935"/>
      <c r="BV1326" s="935"/>
      <c r="BW1326" s="935"/>
      <c r="BX1326" s="935"/>
      <c r="BY1326" s="935"/>
      <c r="BZ1326" s="935"/>
      <c r="CA1326" s="935"/>
      <c r="CB1326" s="935"/>
      <c r="CC1326" s="935"/>
      <c r="CD1326" s="935"/>
      <c r="CE1326" s="935"/>
      <c r="CF1326" s="935"/>
      <c r="CG1326" s="935"/>
      <c r="CH1326" s="935"/>
      <c r="CI1326" s="935"/>
      <c r="CJ1326" s="935"/>
      <c r="CK1326" s="935"/>
      <c r="CL1326" s="935"/>
      <c r="CM1326" s="935"/>
      <c r="CN1326" s="935"/>
      <c r="CO1326" s="935"/>
      <c r="CP1326" s="935"/>
      <c r="CQ1326" s="935"/>
      <c r="CR1326" s="935"/>
      <c r="CS1326" s="935"/>
      <c r="CT1326" s="935"/>
      <c r="CU1326" s="935"/>
      <c r="CV1326" s="935"/>
    </row>
    <row r="1327" spans="1:100" s="441" customFormat="1">
      <c r="A1327" s="375">
        <f t="shared" si="356"/>
        <v>11</v>
      </c>
      <c r="B1327" s="862">
        <v>44520</v>
      </c>
      <c r="C1327" s="493" t="s">
        <v>1980</v>
      </c>
      <c r="D1327" s="376" t="str">
        <f>IFERROR(VLOOKUP(E:E,'Item Data Support Sheet'!A:O,7,0),"")</f>
        <v>NIPPLE PUNCH</v>
      </c>
      <c r="E1327" s="447" t="s">
        <v>82</v>
      </c>
      <c r="F1327" s="500"/>
      <c r="G1327" s="497" t="s">
        <v>1692</v>
      </c>
      <c r="H1327" s="602" t="str">
        <f>IFERROR(VLOOKUP(E:E,'Item Data Support Sheet'!A:O,2,0),"")</f>
        <v>NIPPLE S TYPE L SIZE PUNCHED</v>
      </c>
      <c r="I1327" s="501" t="s">
        <v>4103</v>
      </c>
      <c r="J1327" s="501" t="s">
        <v>2808</v>
      </c>
      <c r="K1327" s="499">
        <v>4.5</v>
      </c>
      <c r="L1327" s="499">
        <v>6000</v>
      </c>
      <c r="M1327" s="366">
        <v>1333.3333333333333</v>
      </c>
      <c r="N1327" s="367">
        <f t="shared" si="355"/>
        <v>6000</v>
      </c>
      <c r="O1327" s="61">
        <v>6000</v>
      </c>
      <c r="P1327" s="368">
        <v>0</v>
      </c>
      <c r="Q1327" s="368">
        <v>0</v>
      </c>
      <c r="R1327" s="494">
        <v>0</v>
      </c>
      <c r="S1327" s="493">
        <v>0</v>
      </c>
      <c r="T1327" s="494">
        <v>0</v>
      </c>
      <c r="U1327" s="493">
        <v>0</v>
      </c>
      <c r="V1327" s="502">
        <v>1</v>
      </c>
      <c r="W1327" s="453">
        <f t="shared" si="357"/>
        <v>6000</v>
      </c>
      <c r="X1327" s="748">
        <f t="shared" si="358"/>
        <v>1</v>
      </c>
      <c r="Y1327" s="451" t="str">
        <f>IFERROR(VLOOKUP(E:E,'Item Data Support Sheet'!A:J,6,0),0)</f>
        <v>FO017</v>
      </c>
      <c r="Z1327" s="428">
        <f>IFERROR(VLOOKUP(E:E,'Item Data Support Sheet'!A:O,4,0),0)</f>
        <v>0</v>
      </c>
      <c r="AA1327" s="428">
        <f t="shared" si="359"/>
        <v>0</v>
      </c>
      <c r="AB1327" s="429" t="str">
        <f t="shared" si="360"/>
        <v xml:space="preserve"> </v>
      </c>
      <c r="AC1327" s="424">
        <f t="shared" si="361"/>
        <v>0</v>
      </c>
      <c r="AD1327" s="371">
        <f t="shared" si="362"/>
        <v>0</v>
      </c>
      <c r="AE1327" s="748">
        <f t="shared" si="363"/>
        <v>1</v>
      </c>
      <c r="AF1327" s="417">
        <f t="shared" si="364"/>
        <v>0</v>
      </c>
      <c r="AG1327" s="416">
        <f t="shared" si="365"/>
        <v>4.5</v>
      </c>
      <c r="AH1327" s="372">
        <f t="shared" si="366"/>
        <v>1</v>
      </c>
      <c r="AI1327" s="373">
        <f t="shared" si="367"/>
        <v>1333.3333333333333</v>
      </c>
      <c r="AJ1327" s="418">
        <f>VLOOKUP(D1327,'Standard Cycle time'!C:D,2,0)</f>
        <v>3.5</v>
      </c>
      <c r="AK1327" s="418">
        <f t="shared" si="368"/>
        <v>2.7</v>
      </c>
      <c r="AL1327" s="374">
        <f t="shared" si="369"/>
        <v>1.2962962962962963</v>
      </c>
      <c r="AM1327" s="372">
        <f t="shared" si="370"/>
        <v>1.2962962962962963</v>
      </c>
      <c r="AN1327" s="799">
        <v>1.2962962962962963</v>
      </c>
      <c r="AO1327" s="448"/>
      <c r="AP1327" s="440">
        <v>0</v>
      </c>
      <c r="AQ1327" s="440">
        <v>0</v>
      </c>
      <c r="AR1327" s="440">
        <v>0</v>
      </c>
      <c r="AS1327" s="440">
        <v>0</v>
      </c>
      <c r="AT1327" s="440">
        <v>0</v>
      </c>
      <c r="AU1327" s="440">
        <v>0</v>
      </c>
      <c r="AV1327" s="440">
        <v>0</v>
      </c>
      <c r="AW1327" s="440">
        <v>0</v>
      </c>
      <c r="AX1327" s="440">
        <v>0</v>
      </c>
      <c r="AY1327" s="440">
        <v>0</v>
      </c>
      <c r="AZ1327" s="440">
        <v>0</v>
      </c>
      <c r="BA1327" s="440">
        <v>0</v>
      </c>
      <c r="BB1327" s="440">
        <v>0</v>
      </c>
      <c r="BC1327" s="440">
        <v>0</v>
      </c>
      <c r="BD1327" s="440">
        <v>0</v>
      </c>
      <c r="BE1327" s="440">
        <v>0</v>
      </c>
      <c r="BF1327" s="440">
        <v>0</v>
      </c>
      <c r="BG1327" s="440">
        <v>0</v>
      </c>
      <c r="BH1327" s="440">
        <v>0</v>
      </c>
      <c r="BI1327" s="440">
        <v>0</v>
      </c>
      <c r="BJ1327" s="440">
        <v>0</v>
      </c>
      <c r="BK1327" s="440">
        <v>0</v>
      </c>
      <c r="BL1327" s="440">
        <v>0</v>
      </c>
      <c r="BM1327" s="440">
        <v>0</v>
      </c>
      <c r="BN1327" s="440">
        <v>0</v>
      </c>
      <c r="BO1327" s="440">
        <v>0</v>
      </c>
      <c r="BP1327" s="440">
        <v>0</v>
      </c>
      <c r="BQ1327" s="440">
        <v>0</v>
      </c>
      <c r="BR1327" s="415">
        <v>0</v>
      </c>
      <c r="BS1327" s="415">
        <v>0</v>
      </c>
      <c r="BT1327" s="935"/>
      <c r="BU1327" s="935"/>
      <c r="BV1327" s="935"/>
      <c r="BW1327" s="935"/>
      <c r="BX1327" s="935"/>
      <c r="BY1327" s="935"/>
      <c r="BZ1327" s="935"/>
      <c r="CA1327" s="935"/>
      <c r="CB1327" s="935"/>
      <c r="CC1327" s="935"/>
      <c r="CD1327" s="935"/>
      <c r="CE1327" s="935"/>
      <c r="CF1327" s="935"/>
      <c r="CG1327" s="935"/>
      <c r="CH1327" s="935"/>
      <c r="CI1327" s="935"/>
      <c r="CJ1327" s="935"/>
      <c r="CK1327" s="935"/>
      <c r="CL1327" s="935"/>
      <c r="CM1327" s="935"/>
      <c r="CN1327" s="935"/>
      <c r="CO1327" s="935"/>
      <c r="CP1327" s="935"/>
      <c r="CQ1327" s="935"/>
      <c r="CR1327" s="935"/>
      <c r="CS1327" s="935"/>
      <c r="CT1327" s="935"/>
      <c r="CU1327" s="935"/>
      <c r="CV1327" s="935"/>
    </row>
    <row r="1328" spans="1:100" s="441" customFormat="1">
      <c r="A1328" s="375">
        <f t="shared" si="356"/>
        <v>11</v>
      </c>
      <c r="B1328" s="862">
        <v>44520</v>
      </c>
      <c r="C1328" s="493" t="s">
        <v>1980</v>
      </c>
      <c r="D1328" s="376" t="str">
        <f>IFERROR(VLOOKUP(E:E,'Item Data Support Sheet'!A:O,7,0),"")</f>
        <v>NIPPLE LASER MARKING</v>
      </c>
      <c r="E1328" s="447" t="s">
        <v>1816</v>
      </c>
      <c r="F1328" s="500"/>
      <c r="G1328" s="497" t="s">
        <v>1812</v>
      </c>
      <c r="H1328" s="602" t="str">
        <f>IFERROR(VLOOKUP(E:E,'Item Data Support Sheet'!A:O,2,0),"")</f>
        <v>NIPPLE S TYPE L SIZE PUNCHED LASER MARKED</v>
      </c>
      <c r="I1328" s="501" t="s">
        <v>4104</v>
      </c>
      <c r="J1328" s="501" t="s">
        <v>2808</v>
      </c>
      <c r="K1328" s="499">
        <v>4.5</v>
      </c>
      <c r="L1328" s="499">
        <v>6000</v>
      </c>
      <c r="M1328" s="366">
        <v>1333.3333333333333</v>
      </c>
      <c r="N1328" s="367">
        <f t="shared" si="355"/>
        <v>4575</v>
      </c>
      <c r="O1328" s="61">
        <v>4575</v>
      </c>
      <c r="P1328" s="368">
        <v>0</v>
      </c>
      <c r="Q1328" s="368">
        <v>0</v>
      </c>
      <c r="R1328" s="494">
        <v>0</v>
      </c>
      <c r="S1328" s="493">
        <v>0</v>
      </c>
      <c r="T1328" s="494">
        <v>0</v>
      </c>
      <c r="U1328" s="493">
        <v>0</v>
      </c>
      <c r="V1328" s="502">
        <v>1</v>
      </c>
      <c r="W1328" s="453">
        <f t="shared" si="357"/>
        <v>4575</v>
      </c>
      <c r="X1328" s="748">
        <f t="shared" si="358"/>
        <v>0.76249999999999996</v>
      </c>
      <c r="Y1328" s="451" t="str">
        <f>IFERROR(VLOOKUP(E:E,'Item Data Support Sheet'!A:J,6,0),0)</f>
        <v>FO021</v>
      </c>
      <c r="Z1328" s="428">
        <f>IFERROR(VLOOKUP(E:E,'Item Data Support Sheet'!A:O,4,0),0)</f>
        <v>0</v>
      </c>
      <c r="AA1328" s="428">
        <f t="shared" si="359"/>
        <v>0</v>
      </c>
      <c r="AB1328" s="429" t="str">
        <f t="shared" si="360"/>
        <v xml:space="preserve"> </v>
      </c>
      <c r="AC1328" s="424">
        <f t="shared" si="361"/>
        <v>0</v>
      </c>
      <c r="AD1328" s="371">
        <f t="shared" si="362"/>
        <v>0</v>
      </c>
      <c r="AE1328" s="748">
        <f t="shared" si="363"/>
        <v>1</v>
      </c>
      <c r="AF1328" s="417">
        <f t="shared" si="364"/>
        <v>0</v>
      </c>
      <c r="AG1328" s="416">
        <f t="shared" si="365"/>
        <v>4.5</v>
      </c>
      <c r="AH1328" s="372">
        <f t="shared" si="366"/>
        <v>1</v>
      </c>
      <c r="AI1328" s="373">
        <f t="shared" si="367"/>
        <v>1016.6666666666666</v>
      </c>
      <c r="AJ1328" s="418">
        <f>VLOOKUP(D1328,'Standard Cycle time'!C:D,2,0)</f>
        <v>3.5</v>
      </c>
      <c r="AK1328" s="418">
        <f t="shared" si="368"/>
        <v>3.540983606557377</v>
      </c>
      <c r="AL1328" s="374">
        <f t="shared" si="369"/>
        <v>0.98842592592592593</v>
      </c>
      <c r="AM1328" s="372">
        <f t="shared" si="370"/>
        <v>0.98842592592592593</v>
      </c>
      <c r="AN1328" s="799">
        <v>0.98842592592592593</v>
      </c>
      <c r="AO1328" s="448"/>
      <c r="AP1328" s="440">
        <v>0</v>
      </c>
      <c r="AQ1328" s="440">
        <v>0</v>
      </c>
      <c r="AR1328" s="440">
        <v>0</v>
      </c>
      <c r="AS1328" s="440">
        <v>0</v>
      </c>
      <c r="AT1328" s="440">
        <v>0</v>
      </c>
      <c r="AU1328" s="440">
        <v>0</v>
      </c>
      <c r="AV1328" s="440">
        <v>0</v>
      </c>
      <c r="AW1328" s="440">
        <v>0</v>
      </c>
      <c r="AX1328" s="440">
        <v>0</v>
      </c>
      <c r="AY1328" s="440">
        <v>0</v>
      </c>
      <c r="AZ1328" s="440">
        <v>0</v>
      </c>
      <c r="BA1328" s="440">
        <v>0</v>
      </c>
      <c r="BB1328" s="440">
        <v>0</v>
      </c>
      <c r="BC1328" s="440">
        <v>0</v>
      </c>
      <c r="BD1328" s="440">
        <v>0</v>
      </c>
      <c r="BE1328" s="440">
        <v>0</v>
      </c>
      <c r="BF1328" s="440">
        <v>0</v>
      </c>
      <c r="BG1328" s="440">
        <v>0</v>
      </c>
      <c r="BH1328" s="440">
        <v>0</v>
      </c>
      <c r="BI1328" s="440">
        <v>0</v>
      </c>
      <c r="BJ1328" s="440">
        <v>0</v>
      </c>
      <c r="BK1328" s="440">
        <v>0</v>
      </c>
      <c r="BL1328" s="440">
        <v>0</v>
      </c>
      <c r="BM1328" s="440">
        <v>0</v>
      </c>
      <c r="BN1328" s="440">
        <v>0</v>
      </c>
      <c r="BO1328" s="440">
        <v>0</v>
      </c>
      <c r="BP1328" s="440">
        <v>0</v>
      </c>
      <c r="BQ1328" s="440">
        <v>0</v>
      </c>
      <c r="BR1328" s="415">
        <v>0</v>
      </c>
      <c r="BS1328" s="415">
        <v>0</v>
      </c>
      <c r="BT1328" s="935"/>
      <c r="BU1328" s="935"/>
      <c r="BV1328" s="935"/>
      <c r="BW1328" s="935"/>
      <c r="BX1328" s="935"/>
      <c r="BY1328" s="935"/>
      <c r="BZ1328" s="935"/>
      <c r="CA1328" s="935"/>
      <c r="CB1328" s="935"/>
      <c r="CC1328" s="935"/>
      <c r="CD1328" s="935"/>
      <c r="CE1328" s="935"/>
      <c r="CF1328" s="935"/>
      <c r="CG1328" s="935"/>
      <c r="CH1328" s="935"/>
      <c r="CI1328" s="935"/>
      <c r="CJ1328" s="935"/>
      <c r="CK1328" s="935"/>
      <c r="CL1328" s="935"/>
      <c r="CM1328" s="935"/>
      <c r="CN1328" s="935"/>
      <c r="CO1328" s="935"/>
      <c r="CP1328" s="935"/>
      <c r="CQ1328" s="935"/>
      <c r="CR1328" s="935"/>
      <c r="CS1328" s="935"/>
      <c r="CT1328" s="935"/>
      <c r="CU1328" s="935"/>
      <c r="CV1328" s="935"/>
    </row>
    <row r="1329" spans="1:100" s="441" customFormat="1">
      <c r="A1329" s="375">
        <f t="shared" si="356"/>
        <v>11</v>
      </c>
      <c r="B1329" s="862">
        <v>44520</v>
      </c>
      <c r="C1329" s="493" t="s">
        <v>1980</v>
      </c>
      <c r="D1329" s="376" t="str">
        <f>IFERROR(VLOOKUP(E:E,'Item Data Support Sheet'!A:O,7,0),"")</f>
        <v>NIPPLE MOLDED</v>
      </c>
      <c r="E1329" s="447" t="s">
        <v>74</v>
      </c>
      <c r="F1329" s="500" t="s">
        <v>1678</v>
      </c>
      <c r="G1329" s="497" t="s">
        <v>1691</v>
      </c>
      <c r="H1329" s="602" t="str">
        <f>IFERROR(VLOOKUP(E:E,'Item Data Support Sheet'!A:O,2,0),"")</f>
        <v>NIPPLE S TYPE L SIZE INJECTION</v>
      </c>
      <c r="I1329" s="501" t="s">
        <v>4101</v>
      </c>
      <c r="J1329" s="501" t="s">
        <v>2808</v>
      </c>
      <c r="K1329" s="499">
        <v>4.5</v>
      </c>
      <c r="L1329" s="499">
        <v>3600</v>
      </c>
      <c r="M1329" s="366">
        <v>800</v>
      </c>
      <c r="N1329" s="367">
        <f t="shared" si="355"/>
        <v>4292</v>
      </c>
      <c r="O1329" s="61">
        <v>4250</v>
      </c>
      <c r="P1329" s="368">
        <v>0.48</v>
      </c>
      <c r="Q1329" s="368">
        <v>0</v>
      </c>
      <c r="R1329" s="494">
        <v>0</v>
      </c>
      <c r="S1329" s="493">
        <v>0</v>
      </c>
      <c r="T1329" s="494">
        <v>34</v>
      </c>
      <c r="U1329" s="493">
        <v>8</v>
      </c>
      <c r="V1329" s="502">
        <v>1</v>
      </c>
      <c r="W1329" s="453">
        <f t="shared" si="357"/>
        <v>4250</v>
      </c>
      <c r="X1329" s="748">
        <f t="shared" si="358"/>
        <v>1.1805555555555556</v>
      </c>
      <c r="Y1329" s="451" t="str">
        <f>IFERROR(VLOOKUP(E:E,'Item Data Support Sheet'!A:J,6,0),0)</f>
        <v>Silicon</v>
      </c>
      <c r="Z1329" s="428">
        <f>IFERROR(VLOOKUP(E:E,'Item Data Support Sheet'!A:O,4,0),0)</f>
        <v>6.8</v>
      </c>
      <c r="AA1329" s="428">
        <f t="shared" si="359"/>
        <v>29.665599999999998</v>
      </c>
      <c r="AB1329" s="429">
        <f t="shared" si="360"/>
        <v>0.97419233051075993</v>
      </c>
      <c r="AC1329" s="424">
        <f t="shared" si="361"/>
        <v>7.9365079365079361E-3</v>
      </c>
      <c r="AD1329" s="371">
        <f t="shared" si="362"/>
        <v>0</v>
      </c>
      <c r="AE1329" s="748">
        <f t="shared" si="363"/>
        <v>0.99207828518173347</v>
      </c>
      <c r="AF1329" s="417">
        <f t="shared" si="364"/>
        <v>0</v>
      </c>
      <c r="AG1329" s="416">
        <f t="shared" si="365"/>
        <v>4.5</v>
      </c>
      <c r="AH1329" s="372">
        <f t="shared" si="366"/>
        <v>1</v>
      </c>
      <c r="AI1329" s="373">
        <f t="shared" si="367"/>
        <v>944.44444444444446</v>
      </c>
      <c r="AJ1329" s="418">
        <f>VLOOKUP(D1329,'Standard Cycle time'!C:D,2,0)</f>
        <v>5.25</v>
      </c>
      <c r="AK1329" s="418">
        <f t="shared" si="368"/>
        <v>3.8117647058823527</v>
      </c>
      <c r="AL1329" s="374">
        <f t="shared" si="369"/>
        <v>1.3773148148148149</v>
      </c>
      <c r="AM1329" s="372">
        <f t="shared" si="370"/>
        <v>1.3664041196368784</v>
      </c>
      <c r="AN1329" s="799">
        <v>1.3664041196368784</v>
      </c>
      <c r="AO1329" s="448"/>
      <c r="AP1329" s="440">
        <v>0</v>
      </c>
      <c r="AQ1329" s="440">
        <v>0</v>
      </c>
      <c r="AR1329" s="440">
        <v>0</v>
      </c>
      <c r="AS1329" s="440">
        <v>0</v>
      </c>
      <c r="AT1329" s="440">
        <v>0</v>
      </c>
      <c r="AU1329" s="440">
        <v>0</v>
      </c>
      <c r="AV1329" s="440">
        <v>0</v>
      </c>
      <c r="AW1329" s="440">
        <v>0</v>
      </c>
      <c r="AX1329" s="440">
        <v>0</v>
      </c>
      <c r="AY1329" s="440">
        <v>0</v>
      </c>
      <c r="AZ1329" s="440">
        <v>0</v>
      </c>
      <c r="BA1329" s="440">
        <v>0</v>
      </c>
      <c r="BB1329" s="440">
        <v>0</v>
      </c>
      <c r="BC1329" s="440">
        <v>0</v>
      </c>
      <c r="BD1329" s="440">
        <v>0</v>
      </c>
      <c r="BE1329" s="440">
        <v>0</v>
      </c>
      <c r="BF1329" s="440">
        <v>0</v>
      </c>
      <c r="BG1329" s="440">
        <v>0</v>
      </c>
      <c r="BH1329" s="440">
        <v>0</v>
      </c>
      <c r="BI1329" s="440">
        <v>0</v>
      </c>
      <c r="BJ1329" s="440">
        <v>0</v>
      </c>
      <c r="BK1329" s="440">
        <v>0</v>
      </c>
      <c r="BL1329" s="440">
        <v>0</v>
      </c>
      <c r="BM1329" s="440">
        <v>0</v>
      </c>
      <c r="BN1329" s="440">
        <v>0</v>
      </c>
      <c r="BO1329" s="440">
        <v>0</v>
      </c>
      <c r="BP1329" s="440">
        <v>0</v>
      </c>
      <c r="BQ1329" s="440">
        <v>0</v>
      </c>
      <c r="BR1329" s="415">
        <v>0</v>
      </c>
      <c r="BS1329" s="415">
        <v>0</v>
      </c>
      <c r="BT1329" s="935"/>
      <c r="BU1329" s="935"/>
      <c r="BV1329" s="935"/>
      <c r="BW1329" s="935"/>
      <c r="BX1329" s="935"/>
      <c r="BY1329" s="935"/>
      <c r="BZ1329" s="935"/>
      <c r="CA1329" s="935"/>
      <c r="CB1329" s="935"/>
      <c r="CC1329" s="935"/>
      <c r="CD1329" s="935"/>
      <c r="CE1329" s="935"/>
      <c r="CF1329" s="935"/>
      <c r="CG1329" s="935"/>
      <c r="CH1329" s="935"/>
      <c r="CI1329" s="935"/>
      <c r="CJ1329" s="935"/>
      <c r="CK1329" s="935"/>
      <c r="CL1329" s="935"/>
      <c r="CM1329" s="935"/>
      <c r="CN1329" s="935"/>
      <c r="CO1329" s="935"/>
      <c r="CP1329" s="935"/>
      <c r="CQ1329" s="935"/>
      <c r="CR1329" s="935"/>
      <c r="CS1329" s="935"/>
      <c r="CT1329" s="935"/>
      <c r="CU1329" s="935"/>
      <c r="CV1329" s="935"/>
    </row>
    <row r="1330" spans="1:100" s="441" customFormat="1">
      <c r="A1330" s="375">
        <f t="shared" si="356"/>
        <v>11</v>
      </c>
      <c r="B1330" s="862">
        <v>44520</v>
      </c>
      <c r="C1330" s="493" t="s">
        <v>1980</v>
      </c>
      <c r="D1330" s="376" t="str">
        <f>IFERROR(VLOOKUP(E:E,'Item Data Support Sheet'!A:O,7,0),"")</f>
        <v>BOTTLE MOLDED</v>
      </c>
      <c r="E1330" s="447" t="s">
        <v>140</v>
      </c>
      <c r="F1330" s="500" t="s">
        <v>1664</v>
      </c>
      <c r="G1330" s="497" t="s">
        <v>1888</v>
      </c>
      <c r="H1330" s="602" t="str">
        <f>IFERROR(VLOOKUP(E:E,'Item Data Support Sheet'!A:O,2,0),"")</f>
        <v>RPP 240ML BLUE BOTTLE MOLDED (WM3GB)</v>
      </c>
      <c r="I1330" s="501" t="s">
        <v>4105</v>
      </c>
      <c r="J1330" s="501" t="s">
        <v>2808</v>
      </c>
      <c r="K1330" s="499">
        <v>4.5</v>
      </c>
      <c r="L1330" s="499">
        <v>2000</v>
      </c>
      <c r="M1330" s="366">
        <v>444.44444444444446</v>
      </c>
      <c r="N1330" s="367">
        <f t="shared" si="355"/>
        <v>2390</v>
      </c>
      <c r="O1330" s="61">
        <v>2280</v>
      </c>
      <c r="P1330" s="368">
        <v>0.38</v>
      </c>
      <c r="Q1330" s="368">
        <v>53</v>
      </c>
      <c r="R1330" s="494">
        <v>0</v>
      </c>
      <c r="S1330" s="493">
        <v>0</v>
      </c>
      <c r="T1330" s="494">
        <v>49</v>
      </c>
      <c r="U1330" s="493">
        <v>8</v>
      </c>
      <c r="V1330" s="502">
        <v>1</v>
      </c>
      <c r="W1330" s="453">
        <f t="shared" si="357"/>
        <v>2280</v>
      </c>
      <c r="X1330" s="748">
        <f t="shared" si="358"/>
        <v>1.1399999999999999</v>
      </c>
      <c r="Y1330" s="451" t="str">
        <f>IFERROR(VLOOKUP(E:E,'Item Data Support Sheet'!A:J,6,0),0)</f>
        <v>WMG3B</v>
      </c>
      <c r="Z1330" s="428">
        <f>IFERROR(VLOOKUP(E:E,'Item Data Support Sheet'!A:O,4,0),0)</f>
        <v>33.130000000000003</v>
      </c>
      <c r="AA1330" s="428">
        <f t="shared" si="359"/>
        <v>79.560699999999997</v>
      </c>
      <c r="AB1330" s="429">
        <f t="shared" si="360"/>
        <v>0.94941849430686265</v>
      </c>
      <c r="AC1330" s="424">
        <f t="shared" si="361"/>
        <v>2.1039072563331901E-2</v>
      </c>
      <c r="AD1330" s="371">
        <f t="shared" si="362"/>
        <v>2.1694637740483011E-2</v>
      </c>
      <c r="AE1330" s="748">
        <f t="shared" si="363"/>
        <v>0.97949790794979075</v>
      </c>
      <c r="AF1330" s="417">
        <f t="shared" si="364"/>
        <v>0</v>
      </c>
      <c r="AG1330" s="416">
        <f t="shared" si="365"/>
        <v>4.5</v>
      </c>
      <c r="AH1330" s="372">
        <f t="shared" si="366"/>
        <v>1</v>
      </c>
      <c r="AI1330" s="373">
        <f t="shared" si="367"/>
        <v>506.66666666666669</v>
      </c>
      <c r="AJ1330" s="418">
        <f>VLOOKUP(D1330,'Standard Cycle time'!C:D,2,0)</f>
        <v>9</v>
      </c>
      <c r="AK1330" s="418">
        <f t="shared" si="368"/>
        <v>7.1052631578947372</v>
      </c>
      <c r="AL1330" s="374">
        <f t="shared" si="369"/>
        <v>1.2666666666666666</v>
      </c>
      <c r="AM1330" s="372">
        <f t="shared" si="370"/>
        <v>1.2406973500697349</v>
      </c>
      <c r="AN1330" s="799">
        <v>1.2406973500697349</v>
      </c>
      <c r="AO1330" s="448"/>
      <c r="AP1330" s="440">
        <v>0</v>
      </c>
      <c r="AQ1330" s="440">
        <v>0</v>
      </c>
      <c r="AR1330" s="440">
        <v>0</v>
      </c>
      <c r="AS1330" s="440">
        <v>0</v>
      </c>
      <c r="AT1330" s="440">
        <v>0</v>
      </c>
      <c r="AU1330" s="440">
        <v>0</v>
      </c>
      <c r="AV1330" s="440">
        <v>0</v>
      </c>
      <c r="AW1330" s="440">
        <v>0</v>
      </c>
      <c r="AX1330" s="440">
        <v>0</v>
      </c>
      <c r="AY1330" s="440">
        <v>0</v>
      </c>
      <c r="AZ1330" s="440">
        <v>0</v>
      </c>
      <c r="BA1330" s="440">
        <v>0</v>
      </c>
      <c r="BB1330" s="440">
        <v>0</v>
      </c>
      <c r="BC1330" s="440">
        <v>0</v>
      </c>
      <c r="BD1330" s="440">
        <v>0</v>
      </c>
      <c r="BE1330" s="440">
        <v>0</v>
      </c>
      <c r="BF1330" s="440">
        <v>0</v>
      </c>
      <c r="BG1330" s="440">
        <v>0</v>
      </c>
      <c r="BH1330" s="440">
        <v>0</v>
      </c>
      <c r="BI1330" s="440">
        <v>0</v>
      </c>
      <c r="BJ1330" s="440">
        <v>0</v>
      </c>
      <c r="BK1330" s="440">
        <v>0</v>
      </c>
      <c r="BL1330" s="440">
        <v>0</v>
      </c>
      <c r="BM1330" s="440">
        <v>0</v>
      </c>
      <c r="BN1330" s="440">
        <v>0</v>
      </c>
      <c r="BO1330" s="440">
        <v>0</v>
      </c>
      <c r="BP1330" s="440">
        <v>0</v>
      </c>
      <c r="BQ1330" s="440">
        <v>0</v>
      </c>
      <c r="BR1330" s="415">
        <v>0</v>
      </c>
      <c r="BS1330" s="415">
        <v>0</v>
      </c>
      <c r="BT1330" s="935"/>
      <c r="BU1330" s="935"/>
      <c r="BV1330" s="935"/>
      <c r="BW1330" s="935"/>
      <c r="BX1330" s="935"/>
      <c r="BY1330" s="935"/>
      <c r="BZ1330" s="935"/>
      <c r="CA1330" s="935"/>
      <c r="CB1330" s="935"/>
      <c r="CC1330" s="935"/>
      <c r="CD1330" s="935"/>
      <c r="CE1330" s="935"/>
      <c r="CF1330" s="935"/>
      <c r="CG1330" s="935"/>
      <c r="CH1330" s="935"/>
      <c r="CI1330" s="935"/>
      <c r="CJ1330" s="935"/>
      <c r="CK1330" s="935"/>
      <c r="CL1330" s="935"/>
      <c r="CM1330" s="935"/>
      <c r="CN1330" s="935"/>
      <c r="CO1330" s="935"/>
      <c r="CP1330" s="935"/>
      <c r="CQ1330" s="935"/>
      <c r="CR1330" s="935"/>
      <c r="CS1330" s="935"/>
      <c r="CT1330" s="935"/>
      <c r="CU1330" s="935"/>
      <c r="CV1330" s="935"/>
    </row>
    <row r="1331" spans="1:100" s="441" customFormat="1">
      <c r="A1331" s="375">
        <f t="shared" si="356"/>
        <v>11</v>
      </c>
      <c r="B1331" s="862">
        <v>44520</v>
      </c>
      <c r="C1331" s="493" t="s">
        <v>2000</v>
      </c>
      <c r="D1331" s="376" t="str">
        <f>IFERROR(VLOOKUP(E:E,'Item Data Support Sheet'!A:O,7,0),"")</f>
        <v>NIPPLE PUNCH INSPECTED</v>
      </c>
      <c r="E1331" s="447" t="s">
        <v>1820</v>
      </c>
      <c r="F1331" s="500"/>
      <c r="G1331" s="497"/>
      <c r="H1331" s="602" t="str">
        <f>IFERROR(VLOOKUP(E:E,'Item Data Support Sheet'!A:O,2,0),"")</f>
        <v>NIPPLE S TYPE L SIZE PUNCHED INSPECTED</v>
      </c>
      <c r="I1331" s="501" t="s">
        <v>4106</v>
      </c>
      <c r="J1331" s="501" t="s">
        <v>2808</v>
      </c>
      <c r="K1331" s="499">
        <v>4.5</v>
      </c>
      <c r="L1331" s="499">
        <v>7000</v>
      </c>
      <c r="M1331" s="366">
        <v>1555.5555555555557</v>
      </c>
      <c r="N1331" s="367">
        <f t="shared" si="355"/>
        <v>9075</v>
      </c>
      <c r="O1331" s="61">
        <v>9047</v>
      </c>
      <c r="P1331" s="368">
        <v>0</v>
      </c>
      <c r="Q1331" s="368">
        <v>0</v>
      </c>
      <c r="R1331" s="494">
        <v>0</v>
      </c>
      <c r="S1331" s="493">
        <v>0</v>
      </c>
      <c r="T1331" s="494">
        <v>28</v>
      </c>
      <c r="U1331" s="493">
        <v>0</v>
      </c>
      <c r="V1331" s="502">
        <v>2</v>
      </c>
      <c r="W1331" s="453">
        <f t="shared" si="357"/>
        <v>4523.5</v>
      </c>
      <c r="X1331" s="748">
        <f t="shared" si="358"/>
        <v>1.2924285714285715</v>
      </c>
      <c r="Y1331" s="451" t="str">
        <f>IFERROR(VLOOKUP(E:E,'Item Data Support Sheet'!A:J,6,0),0)</f>
        <v>FO106</v>
      </c>
      <c r="Z1331" s="428">
        <f>IFERROR(VLOOKUP(E:E,'Item Data Support Sheet'!A:O,4,0),0)</f>
        <v>0</v>
      </c>
      <c r="AA1331" s="428">
        <f t="shared" si="359"/>
        <v>0</v>
      </c>
      <c r="AB1331" s="429" t="str">
        <f t="shared" si="360"/>
        <v xml:space="preserve"> </v>
      </c>
      <c r="AC1331" s="424">
        <f t="shared" si="361"/>
        <v>3.0853994490358128E-3</v>
      </c>
      <c r="AD1331" s="371">
        <f t="shared" si="362"/>
        <v>0</v>
      </c>
      <c r="AE1331" s="748">
        <f t="shared" si="363"/>
        <v>0.99691460055096415</v>
      </c>
      <c r="AF1331" s="417">
        <f t="shared" si="364"/>
        <v>0</v>
      </c>
      <c r="AG1331" s="416">
        <f t="shared" si="365"/>
        <v>4.5</v>
      </c>
      <c r="AH1331" s="372">
        <f t="shared" si="366"/>
        <v>1</v>
      </c>
      <c r="AI1331" s="373">
        <f t="shared" si="367"/>
        <v>2010.4444444444443</v>
      </c>
      <c r="AJ1331" s="418">
        <f>VLOOKUP(D1331,'Standard Cycle time'!C:D,2,0)</f>
        <v>4</v>
      </c>
      <c r="AK1331" s="418">
        <f t="shared" si="368"/>
        <v>3.5812976677351607</v>
      </c>
      <c r="AL1331" s="374">
        <f t="shared" si="369"/>
        <v>1.1169135802469137</v>
      </c>
      <c r="AM1331" s="372">
        <f t="shared" si="370"/>
        <v>1.1134674557017992</v>
      </c>
      <c r="AN1331" s="799">
        <v>1.1134674557017992</v>
      </c>
      <c r="AO1331" s="448"/>
      <c r="AP1331" s="440">
        <v>0</v>
      </c>
      <c r="AQ1331" s="440">
        <v>0</v>
      </c>
      <c r="AR1331" s="440">
        <v>0</v>
      </c>
      <c r="AS1331" s="440">
        <v>0</v>
      </c>
      <c r="AT1331" s="440">
        <v>0</v>
      </c>
      <c r="AU1331" s="440">
        <v>0</v>
      </c>
      <c r="AV1331" s="440">
        <v>0</v>
      </c>
      <c r="AW1331" s="440">
        <v>0</v>
      </c>
      <c r="AX1331" s="440">
        <v>0</v>
      </c>
      <c r="AY1331" s="440">
        <v>0</v>
      </c>
      <c r="AZ1331" s="440">
        <v>0</v>
      </c>
      <c r="BA1331" s="440">
        <v>0</v>
      </c>
      <c r="BB1331" s="440">
        <v>0</v>
      </c>
      <c r="BC1331" s="440">
        <v>0</v>
      </c>
      <c r="BD1331" s="440">
        <v>0</v>
      </c>
      <c r="BE1331" s="440">
        <v>0</v>
      </c>
      <c r="BF1331" s="440">
        <v>0</v>
      </c>
      <c r="BG1331" s="440">
        <v>0</v>
      </c>
      <c r="BH1331" s="440">
        <v>0</v>
      </c>
      <c r="BI1331" s="440">
        <v>0</v>
      </c>
      <c r="BJ1331" s="440">
        <v>0</v>
      </c>
      <c r="BK1331" s="440">
        <v>0</v>
      </c>
      <c r="BL1331" s="440">
        <v>0</v>
      </c>
      <c r="BM1331" s="440">
        <v>0</v>
      </c>
      <c r="BN1331" s="440">
        <v>0</v>
      </c>
      <c r="BO1331" s="440">
        <v>0</v>
      </c>
      <c r="BP1331" s="440">
        <v>0</v>
      </c>
      <c r="BQ1331" s="440">
        <v>0</v>
      </c>
      <c r="BR1331" s="415">
        <v>0</v>
      </c>
      <c r="BS1331" s="415">
        <v>0</v>
      </c>
      <c r="BT1331" s="935"/>
      <c r="BU1331" s="935"/>
      <c r="BV1331" s="935"/>
      <c r="BW1331" s="935"/>
      <c r="BX1331" s="935"/>
      <c r="BY1331" s="935"/>
      <c r="BZ1331" s="935"/>
      <c r="CA1331" s="935"/>
      <c r="CB1331" s="935"/>
      <c r="CC1331" s="935"/>
      <c r="CD1331" s="935"/>
      <c r="CE1331" s="935"/>
      <c r="CF1331" s="935"/>
      <c r="CG1331" s="935"/>
      <c r="CH1331" s="935"/>
      <c r="CI1331" s="935"/>
      <c r="CJ1331" s="935"/>
      <c r="CK1331" s="935"/>
      <c r="CL1331" s="935"/>
      <c r="CM1331" s="935"/>
      <c r="CN1331" s="935"/>
      <c r="CO1331" s="935"/>
      <c r="CP1331" s="935"/>
      <c r="CQ1331" s="935"/>
      <c r="CR1331" s="935"/>
      <c r="CS1331" s="935"/>
      <c r="CT1331" s="935"/>
      <c r="CU1331" s="935"/>
      <c r="CV1331" s="935"/>
    </row>
    <row r="1332" spans="1:100" s="441" customFormat="1">
      <c r="A1332" s="375">
        <f t="shared" si="356"/>
        <v>11</v>
      </c>
      <c r="B1332" s="862">
        <v>44520</v>
      </c>
      <c r="C1332" s="493" t="s">
        <v>2000</v>
      </c>
      <c r="D1332" s="376" t="str">
        <f>IFERROR(VLOOKUP(E:E,'Item Data Support Sheet'!A:O,7,0),"")</f>
        <v>NIPPLE WRAP PRINTED</v>
      </c>
      <c r="E1332" s="447" t="s">
        <v>110</v>
      </c>
      <c r="F1332" s="500"/>
      <c r="G1332" s="497" t="s">
        <v>1693</v>
      </c>
      <c r="H1332" s="602" t="str">
        <f>IFERROR(VLOOKUP(E:E,'Item Data Support Sheet'!A:O,2,0),"")</f>
        <v>NIPPLE S TYPE L SIZE WITH PRINTED WRAP</v>
      </c>
      <c r="I1332" s="501" t="s">
        <v>4086</v>
      </c>
      <c r="J1332" s="501" t="s">
        <v>2808</v>
      </c>
      <c r="K1332" s="499">
        <v>4.5</v>
      </c>
      <c r="L1332" s="499">
        <v>8000</v>
      </c>
      <c r="M1332" s="366">
        <v>1777.7777777777778</v>
      </c>
      <c r="N1332" s="367">
        <f t="shared" si="355"/>
        <v>8178</v>
      </c>
      <c r="O1332" s="61">
        <v>8174</v>
      </c>
      <c r="P1332" s="368">
        <v>0</v>
      </c>
      <c r="Q1332" s="368">
        <v>0</v>
      </c>
      <c r="R1332" s="494">
        <v>0</v>
      </c>
      <c r="S1332" s="493">
        <v>0</v>
      </c>
      <c r="T1332" s="494">
        <v>4</v>
      </c>
      <c r="U1332" s="493">
        <v>0</v>
      </c>
      <c r="V1332" s="502">
        <v>2</v>
      </c>
      <c r="W1332" s="453">
        <f t="shared" si="357"/>
        <v>4087</v>
      </c>
      <c r="X1332" s="748">
        <f t="shared" si="358"/>
        <v>1.0217499999999999</v>
      </c>
      <c r="Y1332" s="451" t="str">
        <f>IFERROR(VLOOKUP(E:E,'Item Data Support Sheet'!A:J,6,0),0)</f>
        <v>FO021</v>
      </c>
      <c r="Z1332" s="428">
        <f>IFERROR(VLOOKUP(E:E,'Item Data Support Sheet'!A:O,4,0),0)</f>
        <v>0</v>
      </c>
      <c r="AA1332" s="428">
        <f t="shared" si="359"/>
        <v>0</v>
      </c>
      <c r="AB1332" s="429" t="str">
        <f t="shared" si="360"/>
        <v xml:space="preserve"> </v>
      </c>
      <c r="AC1332" s="424">
        <f t="shared" si="361"/>
        <v>4.8911714355588166E-4</v>
      </c>
      <c r="AD1332" s="371">
        <f t="shared" si="362"/>
        <v>0</v>
      </c>
      <c r="AE1332" s="748">
        <f t="shared" si="363"/>
        <v>0.99951088285644407</v>
      </c>
      <c r="AF1332" s="417">
        <f t="shared" si="364"/>
        <v>0</v>
      </c>
      <c r="AG1332" s="416">
        <f t="shared" si="365"/>
        <v>4.5</v>
      </c>
      <c r="AH1332" s="372">
        <f t="shared" si="366"/>
        <v>1</v>
      </c>
      <c r="AI1332" s="373">
        <f t="shared" si="367"/>
        <v>1816.4444444444443</v>
      </c>
      <c r="AJ1332" s="418">
        <f>VLOOKUP(D1332,'Standard Cycle time'!C:D,2,0)</f>
        <v>2.5</v>
      </c>
      <c r="AK1332" s="418">
        <f t="shared" si="368"/>
        <v>3.9637876192806458</v>
      </c>
      <c r="AL1332" s="374">
        <f t="shared" si="369"/>
        <v>0.63070987654320987</v>
      </c>
      <c r="AM1332" s="372">
        <f t="shared" si="370"/>
        <v>0.63040138552998259</v>
      </c>
      <c r="AN1332" s="799">
        <v>0.63040138552998259</v>
      </c>
      <c r="AO1332" s="448"/>
      <c r="AP1332" s="440">
        <v>0</v>
      </c>
      <c r="AQ1332" s="440">
        <v>0</v>
      </c>
      <c r="AR1332" s="440">
        <v>0</v>
      </c>
      <c r="AS1332" s="440">
        <v>0</v>
      </c>
      <c r="AT1332" s="440">
        <v>0</v>
      </c>
      <c r="AU1332" s="440">
        <v>0</v>
      </c>
      <c r="AV1332" s="440">
        <v>0</v>
      </c>
      <c r="AW1332" s="440">
        <v>0</v>
      </c>
      <c r="AX1332" s="440">
        <v>0</v>
      </c>
      <c r="AY1332" s="440">
        <v>0</v>
      </c>
      <c r="AZ1332" s="440">
        <v>0</v>
      </c>
      <c r="BA1332" s="440">
        <v>0</v>
      </c>
      <c r="BB1332" s="440">
        <v>0</v>
      </c>
      <c r="BC1332" s="440">
        <v>0</v>
      </c>
      <c r="BD1332" s="440">
        <v>0</v>
      </c>
      <c r="BE1332" s="440">
        <v>0</v>
      </c>
      <c r="BF1332" s="440">
        <v>0</v>
      </c>
      <c r="BG1332" s="440">
        <v>0</v>
      </c>
      <c r="BH1332" s="440">
        <v>0</v>
      </c>
      <c r="BI1332" s="440">
        <v>0</v>
      </c>
      <c r="BJ1332" s="440">
        <v>0</v>
      </c>
      <c r="BK1332" s="440">
        <v>0</v>
      </c>
      <c r="BL1332" s="440">
        <v>0</v>
      </c>
      <c r="BM1332" s="440">
        <v>0</v>
      </c>
      <c r="BN1332" s="440">
        <v>0</v>
      </c>
      <c r="BO1332" s="440">
        <v>0</v>
      </c>
      <c r="BP1332" s="440">
        <v>0</v>
      </c>
      <c r="BQ1332" s="440">
        <v>0</v>
      </c>
      <c r="BR1332" s="415">
        <v>0</v>
      </c>
      <c r="BS1332" s="415">
        <v>0</v>
      </c>
      <c r="BT1332" s="935"/>
      <c r="BU1332" s="935"/>
      <c r="BV1332" s="935"/>
      <c r="BW1332" s="935"/>
      <c r="BX1332" s="935"/>
      <c r="BY1332" s="935"/>
      <c r="BZ1332" s="935"/>
      <c r="CA1332" s="935"/>
      <c r="CB1332" s="935"/>
      <c r="CC1332" s="935"/>
      <c r="CD1332" s="935"/>
      <c r="CE1332" s="935"/>
      <c r="CF1332" s="935"/>
      <c r="CG1332" s="935"/>
      <c r="CH1332" s="935"/>
      <c r="CI1332" s="935"/>
      <c r="CJ1332" s="935"/>
      <c r="CK1332" s="935"/>
      <c r="CL1332" s="935"/>
      <c r="CM1332" s="935"/>
      <c r="CN1332" s="935"/>
      <c r="CO1332" s="935"/>
      <c r="CP1332" s="935"/>
      <c r="CQ1332" s="935"/>
      <c r="CR1332" s="935"/>
      <c r="CS1332" s="935"/>
      <c r="CT1332" s="935"/>
      <c r="CU1332" s="935"/>
      <c r="CV1332" s="935"/>
    </row>
    <row r="1333" spans="1:100" s="441" customFormat="1">
      <c r="A1333" s="375">
        <f t="shared" si="356"/>
        <v>11</v>
      </c>
      <c r="B1333" s="862">
        <v>44522</v>
      </c>
      <c r="C1333" s="493" t="s">
        <v>1980</v>
      </c>
      <c r="D1333" s="376" t="str">
        <f>IFERROR(VLOOKUP(E:E,'Item Data Support Sheet'!A:O,7,0),"")</f>
        <v>NIPPLE LASER MARKING</v>
      </c>
      <c r="E1333" s="447" t="s">
        <v>1816</v>
      </c>
      <c r="F1333" s="500"/>
      <c r="G1333" s="497" t="s">
        <v>1812</v>
      </c>
      <c r="H1333" s="602" t="str">
        <f>IFERROR(VLOOKUP(E:E,'Item Data Support Sheet'!A:O,2,0),"")</f>
        <v>NIPPLE S TYPE L SIZE PUNCHED LASER MARKED</v>
      </c>
      <c r="I1333" s="501" t="s">
        <v>4104</v>
      </c>
      <c r="J1333" s="501" t="s">
        <v>2811</v>
      </c>
      <c r="K1333" s="499">
        <v>2</v>
      </c>
      <c r="L1333" s="499">
        <v>1750</v>
      </c>
      <c r="M1333" s="366">
        <v>875</v>
      </c>
      <c r="N1333" s="367">
        <f t="shared" si="355"/>
        <v>1698</v>
      </c>
      <c r="O1333" s="61">
        <v>1698</v>
      </c>
      <c r="P1333" s="368">
        <v>0</v>
      </c>
      <c r="Q1333" s="368">
        <v>0</v>
      </c>
      <c r="R1333" s="494">
        <v>0</v>
      </c>
      <c r="S1333" s="493">
        <v>0</v>
      </c>
      <c r="T1333" s="494">
        <v>0</v>
      </c>
      <c r="U1333" s="493">
        <v>0</v>
      </c>
      <c r="V1333" s="502">
        <v>1</v>
      </c>
      <c r="W1333" s="453">
        <f t="shared" si="357"/>
        <v>1698</v>
      </c>
      <c r="X1333" s="748">
        <f t="shared" si="358"/>
        <v>0.97028571428571431</v>
      </c>
      <c r="Y1333" s="451" t="str">
        <f>IFERROR(VLOOKUP(E:E,'Item Data Support Sheet'!A:J,6,0),0)</f>
        <v>FO021</v>
      </c>
      <c r="Z1333" s="428">
        <f>IFERROR(VLOOKUP(E:E,'Item Data Support Sheet'!A:O,4,0),0)</f>
        <v>0</v>
      </c>
      <c r="AA1333" s="428">
        <f t="shared" si="359"/>
        <v>0</v>
      </c>
      <c r="AB1333" s="429" t="str">
        <f t="shared" si="360"/>
        <v xml:space="preserve"> </v>
      </c>
      <c r="AC1333" s="424">
        <f t="shared" si="361"/>
        <v>0</v>
      </c>
      <c r="AD1333" s="371">
        <f t="shared" si="362"/>
        <v>0</v>
      </c>
      <c r="AE1333" s="748">
        <f t="shared" si="363"/>
        <v>1</v>
      </c>
      <c r="AF1333" s="417">
        <f t="shared" si="364"/>
        <v>0.66666666666666663</v>
      </c>
      <c r="AG1333" s="416">
        <f t="shared" si="365"/>
        <v>1.3333333333333335</v>
      </c>
      <c r="AH1333" s="372">
        <f t="shared" si="366"/>
        <v>0.66666666666666674</v>
      </c>
      <c r="AI1333" s="373">
        <f t="shared" si="367"/>
        <v>849</v>
      </c>
      <c r="AJ1333" s="418">
        <f>VLOOKUP(D1333,'Standard Cycle time'!C:D,2,0)</f>
        <v>3.5</v>
      </c>
      <c r="AK1333" s="418">
        <f t="shared" si="368"/>
        <v>2.8268551236749122</v>
      </c>
      <c r="AL1333" s="374">
        <f t="shared" si="369"/>
        <v>1.2381249999999997</v>
      </c>
      <c r="AM1333" s="372">
        <f t="shared" si="370"/>
        <v>0.82541666666666658</v>
      </c>
      <c r="AN1333" s="799">
        <v>0.82541666666666658</v>
      </c>
      <c r="AO1333" s="448" t="s">
        <v>3643</v>
      </c>
      <c r="AP1333" s="440">
        <v>40</v>
      </c>
      <c r="AQ1333" s="440">
        <v>0</v>
      </c>
      <c r="AR1333" s="440">
        <v>0</v>
      </c>
      <c r="AS1333" s="440">
        <v>0</v>
      </c>
      <c r="AT1333" s="440">
        <v>0</v>
      </c>
      <c r="AU1333" s="440">
        <v>0</v>
      </c>
      <c r="AV1333" s="440">
        <v>0</v>
      </c>
      <c r="AW1333" s="440">
        <v>0</v>
      </c>
      <c r="AX1333" s="440">
        <v>0</v>
      </c>
      <c r="AY1333" s="440">
        <v>0</v>
      </c>
      <c r="AZ1333" s="440">
        <v>0</v>
      </c>
      <c r="BA1333" s="440">
        <v>0</v>
      </c>
      <c r="BB1333" s="440">
        <v>0</v>
      </c>
      <c r="BC1333" s="440">
        <v>0</v>
      </c>
      <c r="BD1333" s="440">
        <v>0</v>
      </c>
      <c r="BE1333" s="440">
        <v>0</v>
      </c>
      <c r="BF1333" s="440">
        <v>0</v>
      </c>
      <c r="BG1333" s="440">
        <v>0</v>
      </c>
      <c r="BH1333" s="440">
        <v>0</v>
      </c>
      <c r="BI1333" s="440">
        <v>0</v>
      </c>
      <c r="BJ1333" s="440">
        <v>0</v>
      </c>
      <c r="BK1333" s="440">
        <v>0</v>
      </c>
      <c r="BL1333" s="440">
        <v>0</v>
      </c>
      <c r="BM1333" s="440">
        <v>0</v>
      </c>
      <c r="BN1333" s="440">
        <v>0</v>
      </c>
      <c r="BO1333" s="440">
        <v>0</v>
      </c>
      <c r="BP1333" s="440">
        <v>0</v>
      </c>
      <c r="BQ1333" s="440">
        <v>0</v>
      </c>
      <c r="BR1333" s="415">
        <v>0.66666666666666663</v>
      </c>
      <c r="BS1333" s="415">
        <v>0.66666666666666663</v>
      </c>
      <c r="BT1333" s="935"/>
      <c r="BU1333" s="935"/>
      <c r="BV1333" s="935"/>
      <c r="BW1333" s="935"/>
      <c r="BX1333" s="935"/>
      <c r="BY1333" s="935"/>
      <c r="BZ1333" s="935"/>
      <c r="CA1333" s="935"/>
      <c r="CB1333" s="935"/>
      <c r="CC1333" s="935"/>
      <c r="CD1333" s="935"/>
      <c r="CE1333" s="935"/>
      <c r="CF1333" s="935"/>
      <c r="CG1333" s="935"/>
      <c r="CH1333" s="935"/>
      <c r="CI1333" s="935"/>
      <c r="CJ1333" s="935"/>
      <c r="CK1333" s="935"/>
      <c r="CL1333" s="935"/>
      <c r="CM1333" s="935"/>
      <c r="CN1333" s="935"/>
      <c r="CO1333" s="935"/>
      <c r="CP1333" s="935"/>
      <c r="CQ1333" s="935"/>
      <c r="CR1333" s="935"/>
      <c r="CS1333" s="935"/>
      <c r="CT1333" s="935"/>
      <c r="CU1333" s="935"/>
      <c r="CV1333" s="935"/>
    </row>
    <row r="1334" spans="1:100" s="441" customFormat="1">
      <c r="A1334" s="375">
        <f t="shared" si="356"/>
        <v>11</v>
      </c>
      <c r="B1334" s="862">
        <v>44522</v>
      </c>
      <c r="C1334" s="493" t="s">
        <v>1980</v>
      </c>
      <c r="D1334" s="376" t="str">
        <f>IFERROR(VLOOKUP(E:E,'Item Data Support Sheet'!A:O,7,0),"")</f>
        <v>NIPPLE PUNCH</v>
      </c>
      <c r="E1334" s="447" t="s">
        <v>82</v>
      </c>
      <c r="F1334" s="500"/>
      <c r="G1334" s="497" t="s">
        <v>1692</v>
      </c>
      <c r="H1334" s="602" t="str">
        <f>IFERROR(VLOOKUP(E:E,'Item Data Support Sheet'!A:O,2,0),"")</f>
        <v>NIPPLE S TYPE L SIZE PUNCHED</v>
      </c>
      <c r="I1334" s="501" t="s">
        <v>4107</v>
      </c>
      <c r="J1334" s="501" t="s">
        <v>2811</v>
      </c>
      <c r="K1334" s="499">
        <v>3</v>
      </c>
      <c r="L1334" s="499">
        <v>2650</v>
      </c>
      <c r="M1334" s="366">
        <v>883.33333333333337</v>
      </c>
      <c r="N1334" s="367">
        <f t="shared" si="355"/>
        <v>2700</v>
      </c>
      <c r="O1334" s="61">
        <v>2698</v>
      </c>
      <c r="P1334" s="368">
        <v>0</v>
      </c>
      <c r="Q1334" s="368">
        <v>0</v>
      </c>
      <c r="R1334" s="494">
        <v>0</v>
      </c>
      <c r="S1334" s="493">
        <v>0</v>
      </c>
      <c r="T1334" s="494">
        <v>2</v>
      </c>
      <c r="U1334" s="493">
        <v>0</v>
      </c>
      <c r="V1334" s="502">
        <v>1</v>
      </c>
      <c r="W1334" s="453">
        <f t="shared" si="357"/>
        <v>2698</v>
      </c>
      <c r="X1334" s="748">
        <f t="shared" si="358"/>
        <v>1.0181132075471697</v>
      </c>
      <c r="Y1334" s="451" t="str">
        <f>IFERROR(VLOOKUP(E:E,'Item Data Support Sheet'!A:J,6,0),0)</f>
        <v>FO017</v>
      </c>
      <c r="Z1334" s="428">
        <f>IFERROR(VLOOKUP(E:E,'Item Data Support Sheet'!A:O,4,0),0)</f>
        <v>0</v>
      </c>
      <c r="AA1334" s="428">
        <f t="shared" si="359"/>
        <v>0</v>
      </c>
      <c r="AB1334" s="429" t="str">
        <f t="shared" si="360"/>
        <v xml:space="preserve"> </v>
      </c>
      <c r="AC1334" s="424">
        <f t="shared" si="361"/>
        <v>7.407407407407407E-4</v>
      </c>
      <c r="AD1334" s="371">
        <f t="shared" si="362"/>
        <v>0</v>
      </c>
      <c r="AE1334" s="748">
        <f t="shared" si="363"/>
        <v>0.99925925925925929</v>
      </c>
      <c r="AF1334" s="417">
        <f t="shared" si="364"/>
        <v>0.66666666666666663</v>
      </c>
      <c r="AG1334" s="416">
        <f t="shared" si="365"/>
        <v>2.3333333333333335</v>
      </c>
      <c r="AH1334" s="372">
        <f t="shared" si="366"/>
        <v>0.77777777777777779</v>
      </c>
      <c r="AI1334" s="373">
        <f t="shared" si="367"/>
        <v>899.33333333333337</v>
      </c>
      <c r="AJ1334" s="418">
        <f>VLOOKUP(D1334,'Standard Cycle time'!C:D,2,0)</f>
        <v>3.5</v>
      </c>
      <c r="AK1334" s="418">
        <f t="shared" si="368"/>
        <v>3.1134173461823571</v>
      </c>
      <c r="AL1334" s="374">
        <f t="shared" si="369"/>
        <v>1.1241666666666668</v>
      </c>
      <c r="AM1334" s="372">
        <f t="shared" si="370"/>
        <v>0.87370418381344328</v>
      </c>
      <c r="AN1334" s="799">
        <v>0.87370418381344328</v>
      </c>
      <c r="AO1334" s="448"/>
      <c r="AP1334" s="440">
        <v>40</v>
      </c>
      <c r="AQ1334" s="440">
        <v>0</v>
      </c>
      <c r="AR1334" s="440">
        <v>0</v>
      </c>
      <c r="AS1334" s="440">
        <v>0</v>
      </c>
      <c r="AT1334" s="440">
        <v>0</v>
      </c>
      <c r="AU1334" s="440">
        <v>0</v>
      </c>
      <c r="AV1334" s="440">
        <v>0</v>
      </c>
      <c r="AW1334" s="440">
        <v>0</v>
      </c>
      <c r="AX1334" s="440">
        <v>0</v>
      </c>
      <c r="AY1334" s="440">
        <v>0</v>
      </c>
      <c r="AZ1334" s="440">
        <v>0</v>
      </c>
      <c r="BA1334" s="440">
        <v>0</v>
      </c>
      <c r="BB1334" s="440">
        <v>0</v>
      </c>
      <c r="BC1334" s="440">
        <v>0</v>
      </c>
      <c r="BD1334" s="440">
        <v>0</v>
      </c>
      <c r="BE1334" s="440">
        <v>0</v>
      </c>
      <c r="BF1334" s="440">
        <v>0</v>
      </c>
      <c r="BG1334" s="440">
        <v>0</v>
      </c>
      <c r="BH1334" s="440">
        <v>0</v>
      </c>
      <c r="BI1334" s="440">
        <v>0</v>
      </c>
      <c r="BJ1334" s="440">
        <v>0</v>
      </c>
      <c r="BK1334" s="440">
        <v>0</v>
      </c>
      <c r="BL1334" s="440">
        <v>0</v>
      </c>
      <c r="BM1334" s="440">
        <v>0</v>
      </c>
      <c r="BN1334" s="440">
        <v>0</v>
      </c>
      <c r="BO1334" s="440">
        <v>0</v>
      </c>
      <c r="BP1334" s="440">
        <v>0</v>
      </c>
      <c r="BQ1334" s="440">
        <v>0</v>
      </c>
      <c r="BR1334" s="415">
        <v>0.66666666666666663</v>
      </c>
      <c r="BS1334" s="415">
        <v>0.66666666666666663</v>
      </c>
      <c r="BT1334" s="935"/>
      <c r="BU1334" s="935"/>
      <c r="BV1334" s="935"/>
      <c r="BW1334" s="935"/>
      <c r="BX1334" s="935"/>
      <c r="BY1334" s="935"/>
      <c r="BZ1334" s="935"/>
      <c r="CA1334" s="935"/>
      <c r="CB1334" s="935"/>
      <c r="CC1334" s="935"/>
      <c r="CD1334" s="935"/>
      <c r="CE1334" s="935"/>
      <c r="CF1334" s="935"/>
      <c r="CG1334" s="935"/>
      <c r="CH1334" s="935"/>
      <c r="CI1334" s="935"/>
      <c r="CJ1334" s="935"/>
      <c r="CK1334" s="935"/>
      <c r="CL1334" s="935"/>
      <c r="CM1334" s="935"/>
      <c r="CN1334" s="935"/>
      <c r="CO1334" s="935"/>
      <c r="CP1334" s="935"/>
      <c r="CQ1334" s="935"/>
      <c r="CR1334" s="935"/>
      <c r="CS1334" s="935"/>
      <c r="CT1334" s="935"/>
      <c r="CU1334" s="935"/>
      <c r="CV1334" s="935"/>
    </row>
    <row r="1335" spans="1:100" s="441" customFormat="1">
      <c r="A1335" s="375">
        <f t="shared" si="356"/>
        <v>11</v>
      </c>
      <c r="B1335" s="862">
        <v>44522</v>
      </c>
      <c r="C1335" s="493" t="s">
        <v>1980</v>
      </c>
      <c r="D1335" s="376" t="str">
        <f>IFERROR(VLOOKUP(E:E,'Item Data Support Sheet'!A:O,7,0),"")</f>
        <v>HOOD MOLDED</v>
      </c>
      <c r="E1335" s="447" t="s">
        <v>1987</v>
      </c>
      <c r="F1335" s="500"/>
      <c r="G1335" s="497" t="s">
        <v>2729</v>
      </c>
      <c r="H1335" s="602" t="str">
        <f>IFERROR(VLOOKUP(E:E,'Item Data Support Sheet'!A:O,2,0),"")</f>
        <v>HOOD S TYPE MOLDED</v>
      </c>
      <c r="I1335" s="501" t="s">
        <v>4108</v>
      </c>
      <c r="J1335" s="501" t="s">
        <v>2811</v>
      </c>
      <c r="K1335" s="499">
        <v>8</v>
      </c>
      <c r="L1335" s="499">
        <v>4137</v>
      </c>
      <c r="M1335" s="366">
        <v>517.125</v>
      </c>
      <c r="N1335" s="367">
        <f t="shared" si="355"/>
        <v>4026</v>
      </c>
      <c r="O1335" s="61">
        <v>4000</v>
      </c>
      <c r="P1335" s="368">
        <v>1.3</v>
      </c>
      <c r="Q1335" s="368">
        <v>8</v>
      </c>
      <c r="R1335" s="494">
        <v>0</v>
      </c>
      <c r="S1335" s="493">
        <v>0</v>
      </c>
      <c r="T1335" s="494">
        <v>10</v>
      </c>
      <c r="U1335" s="493">
        <v>8</v>
      </c>
      <c r="V1335" s="502">
        <v>1</v>
      </c>
      <c r="W1335" s="453">
        <f t="shared" si="357"/>
        <v>4000</v>
      </c>
      <c r="X1335" s="748">
        <f t="shared" si="358"/>
        <v>0.96688421561518012</v>
      </c>
      <c r="Y1335" s="451" t="str">
        <f>IFERROR(VLOOKUP(E:E,'Item Data Support Sheet'!A:J,6,0),0)</f>
        <v>HMC</v>
      </c>
      <c r="Z1335" s="428">
        <f>IFERROR(VLOOKUP(E:E,'Item Data Support Sheet'!A:O,4,0),0)</f>
        <v>8.6</v>
      </c>
      <c r="AA1335" s="428">
        <f t="shared" si="359"/>
        <v>35.9236</v>
      </c>
      <c r="AB1335" s="429">
        <f t="shared" si="360"/>
        <v>0.95758776959992864</v>
      </c>
      <c r="AC1335" s="424">
        <f t="shared" si="361"/>
        <v>2.4937655860349127E-3</v>
      </c>
      <c r="AD1335" s="371">
        <f t="shared" si="362"/>
        <v>1.9831432821021317E-3</v>
      </c>
      <c r="AE1335" s="748">
        <f t="shared" si="363"/>
        <v>0.99751614505712871</v>
      </c>
      <c r="AF1335" s="417">
        <f t="shared" si="364"/>
        <v>0</v>
      </c>
      <c r="AG1335" s="416">
        <f t="shared" si="365"/>
        <v>8</v>
      </c>
      <c r="AH1335" s="372">
        <f t="shared" si="366"/>
        <v>1</v>
      </c>
      <c r="AI1335" s="373">
        <f t="shared" si="367"/>
        <v>500</v>
      </c>
      <c r="AJ1335" s="418">
        <f>VLOOKUP(D1335,'Standard Cycle time'!C:D,2,0)</f>
        <v>6</v>
      </c>
      <c r="AK1335" s="418">
        <f t="shared" si="368"/>
        <v>7.2</v>
      </c>
      <c r="AL1335" s="374">
        <f t="shared" si="369"/>
        <v>0.83333333333333326</v>
      </c>
      <c r="AM1335" s="372">
        <f t="shared" si="370"/>
        <v>0.83126345421427383</v>
      </c>
      <c r="AN1335" s="799">
        <v>0.83126345421427383</v>
      </c>
      <c r="AO1335" s="448" t="s">
        <v>3643</v>
      </c>
      <c r="AP1335" s="440">
        <v>0</v>
      </c>
      <c r="AQ1335" s="440">
        <v>0</v>
      </c>
      <c r="AR1335" s="440">
        <v>0</v>
      </c>
      <c r="AS1335" s="440">
        <v>0</v>
      </c>
      <c r="AT1335" s="440">
        <v>0</v>
      </c>
      <c r="AU1335" s="440">
        <v>0</v>
      </c>
      <c r="AV1335" s="440">
        <v>0</v>
      </c>
      <c r="AW1335" s="440">
        <v>0</v>
      </c>
      <c r="AX1335" s="440">
        <v>0</v>
      </c>
      <c r="AY1335" s="440">
        <v>0</v>
      </c>
      <c r="AZ1335" s="440">
        <v>0</v>
      </c>
      <c r="BA1335" s="440">
        <v>0</v>
      </c>
      <c r="BB1335" s="440">
        <v>0</v>
      </c>
      <c r="BC1335" s="440">
        <v>0</v>
      </c>
      <c r="BD1335" s="440">
        <v>0</v>
      </c>
      <c r="BE1335" s="440">
        <v>0</v>
      </c>
      <c r="BF1335" s="440">
        <v>0</v>
      </c>
      <c r="BG1335" s="440">
        <v>0</v>
      </c>
      <c r="BH1335" s="440">
        <v>0</v>
      </c>
      <c r="BI1335" s="440">
        <v>0</v>
      </c>
      <c r="BJ1335" s="440">
        <v>0</v>
      </c>
      <c r="BK1335" s="440">
        <v>0</v>
      </c>
      <c r="BL1335" s="440">
        <v>0</v>
      </c>
      <c r="BM1335" s="440">
        <v>0</v>
      </c>
      <c r="BN1335" s="440">
        <v>0</v>
      </c>
      <c r="BO1335" s="440">
        <v>0</v>
      </c>
      <c r="BP1335" s="440">
        <v>0</v>
      </c>
      <c r="BQ1335" s="440">
        <v>0</v>
      </c>
      <c r="BR1335" s="415">
        <v>0</v>
      </c>
      <c r="BS1335" s="415">
        <v>0</v>
      </c>
      <c r="BT1335" s="935"/>
      <c r="BU1335" s="935"/>
      <c r="BV1335" s="935"/>
      <c r="BW1335" s="935"/>
      <c r="BX1335" s="935"/>
      <c r="BY1335" s="935"/>
      <c r="BZ1335" s="935"/>
      <c r="CA1335" s="935"/>
      <c r="CB1335" s="935"/>
      <c r="CC1335" s="935"/>
      <c r="CD1335" s="935"/>
      <c r="CE1335" s="935"/>
      <c r="CF1335" s="935"/>
      <c r="CG1335" s="935"/>
      <c r="CH1335" s="935"/>
      <c r="CI1335" s="935"/>
      <c r="CJ1335" s="935"/>
      <c r="CK1335" s="935"/>
      <c r="CL1335" s="935"/>
      <c r="CM1335" s="935"/>
      <c r="CN1335" s="935"/>
      <c r="CO1335" s="935"/>
      <c r="CP1335" s="935"/>
      <c r="CQ1335" s="935"/>
      <c r="CR1335" s="935"/>
      <c r="CS1335" s="935"/>
      <c r="CT1335" s="935"/>
      <c r="CU1335" s="935"/>
      <c r="CV1335" s="935"/>
    </row>
    <row r="1336" spans="1:100" s="441" customFormat="1">
      <c r="A1336" s="375">
        <f t="shared" si="356"/>
        <v>11</v>
      </c>
      <c r="B1336" s="862">
        <v>44522</v>
      </c>
      <c r="C1336" s="493" t="s">
        <v>1980</v>
      </c>
      <c r="D1336" s="376" t="str">
        <f>IFERROR(VLOOKUP(E:E,'Item Data Support Sheet'!A:O,7,0),"")</f>
        <v>NIPPLE MOLDED</v>
      </c>
      <c r="E1336" s="447" t="s">
        <v>73</v>
      </c>
      <c r="F1336" s="500" t="s">
        <v>1677</v>
      </c>
      <c r="G1336" s="497" t="s">
        <v>1690</v>
      </c>
      <c r="H1336" s="602" t="str">
        <f>IFERROR(VLOOKUP(E:E,'Item Data Support Sheet'!A:O,2,0),"")</f>
        <v>NIPPLE S TYPE M SIZE INJECTION</v>
      </c>
      <c r="I1336" s="501" t="s">
        <v>4109</v>
      </c>
      <c r="J1336" s="501" t="s">
        <v>2811</v>
      </c>
      <c r="K1336" s="499">
        <v>8</v>
      </c>
      <c r="L1336" s="499">
        <v>3611</v>
      </c>
      <c r="M1336" s="366">
        <v>451.375</v>
      </c>
      <c r="N1336" s="367">
        <f t="shared" si="355"/>
        <v>3376</v>
      </c>
      <c r="O1336" s="61">
        <v>3200</v>
      </c>
      <c r="P1336" s="368">
        <v>0</v>
      </c>
      <c r="Q1336" s="368">
        <v>90</v>
      </c>
      <c r="R1336" s="494">
        <v>0</v>
      </c>
      <c r="S1336" s="493">
        <v>0</v>
      </c>
      <c r="T1336" s="494">
        <v>68</v>
      </c>
      <c r="U1336" s="493">
        <v>18</v>
      </c>
      <c r="V1336" s="502">
        <v>1</v>
      </c>
      <c r="W1336" s="453">
        <f t="shared" si="357"/>
        <v>3200</v>
      </c>
      <c r="X1336" s="748">
        <f t="shared" si="358"/>
        <v>0.88618111326502358</v>
      </c>
      <c r="Y1336" s="451" t="str">
        <f>IFERROR(VLOOKUP(E:E,'Item Data Support Sheet'!A:J,6,0),0)</f>
        <v>Silicon</v>
      </c>
      <c r="Z1336" s="428">
        <f>IFERROR(VLOOKUP(E:E,'Item Data Support Sheet'!A:O,4,0),0)</f>
        <v>6.8</v>
      </c>
      <c r="AA1336" s="428">
        <f t="shared" si="359"/>
        <v>22.956799999999998</v>
      </c>
      <c r="AB1336" s="429">
        <f t="shared" si="360"/>
        <v>0.94786729857819907</v>
      </c>
      <c r="AC1336" s="424">
        <f t="shared" si="361"/>
        <v>2.0807833537331701E-2</v>
      </c>
      <c r="AD1336" s="371">
        <f t="shared" si="362"/>
        <v>2.5966532025389497E-2</v>
      </c>
      <c r="AE1336" s="748">
        <f t="shared" si="363"/>
        <v>0.97985781990521326</v>
      </c>
      <c r="AF1336" s="417">
        <f t="shared" si="364"/>
        <v>0</v>
      </c>
      <c r="AG1336" s="416">
        <f t="shared" si="365"/>
        <v>8</v>
      </c>
      <c r="AH1336" s="372">
        <f t="shared" si="366"/>
        <v>1</v>
      </c>
      <c r="AI1336" s="373">
        <f t="shared" si="367"/>
        <v>400</v>
      </c>
      <c r="AJ1336" s="418">
        <f>VLOOKUP(D1336,'Standard Cycle time'!C:D,2,0)</f>
        <v>5.25</v>
      </c>
      <c r="AK1336" s="418">
        <f t="shared" si="368"/>
        <v>9</v>
      </c>
      <c r="AL1336" s="374">
        <f t="shared" si="369"/>
        <v>0.58333333333333337</v>
      </c>
      <c r="AM1336" s="372">
        <f t="shared" si="370"/>
        <v>0.57158372827804105</v>
      </c>
      <c r="AN1336" s="799">
        <v>0.57158372827804105</v>
      </c>
      <c r="AO1336" s="448"/>
      <c r="AP1336" s="440">
        <v>0</v>
      </c>
      <c r="AQ1336" s="440">
        <v>0</v>
      </c>
      <c r="AR1336" s="440">
        <v>0</v>
      </c>
      <c r="AS1336" s="440">
        <v>0</v>
      </c>
      <c r="AT1336" s="440">
        <v>0</v>
      </c>
      <c r="AU1336" s="440">
        <v>0</v>
      </c>
      <c r="AV1336" s="440">
        <v>0</v>
      </c>
      <c r="AW1336" s="440">
        <v>0</v>
      </c>
      <c r="AX1336" s="440">
        <v>0</v>
      </c>
      <c r="AY1336" s="440">
        <v>0</v>
      </c>
      <c r="AZ1336" s="440">
        <v>0</v>
      </c>
      <c r="BA1336" s="440">
        <v>0</v>
      </c>
      <c r="BB1336" s="440">
        <v>0</v>
      </c>
      <c r="BC1336" s="440">
        <v>0</v>
      </c>
      <c r="BD1336" s="440">
        <v>0</v>
      </c>
      <c r="BE1336" s="440">
        <v>0</v>
      </c>
      <c r="BF1336" s="440">
        <v>0</v>
      </c>
      <c r="BG1336" s="440">
        <v>0</v>
      </c>
      <c r="BH1336" s="440">
        <v>0</v>
      </c>
      <c r="BI1336" s="440">
        <v>0</v>
      </c>
      <c r="BJ1336" s="440">
        <v>0</v>
      </c>
      <c r="BK1336" s="440">
        <v>0</v>
      </c>
      <c r="BL1336" s="440">
        <v>0</v>
      </c>
      <c r="BM1336" s="440">
        <v>0</v>
      </c>
      <c r="BN1336" s="440">
        <v>0</v>
      </c>
      <c r="BO1336" s="440">
        <v>0</v>
      </c>
      <c r="BP1336" s="440">
        <v>0</v>
      </c>
      <c r="BQ1336" s="440">
        <v>0</v>
      </c>
      <c r="BR1336" s="415">
        <v>0</v>
      </c>
      <c r="BS1336" s="415">
        <v>0</v>
      </c>
      <c r="BT1336" s="935"/>
      <c r="BU1336" s="935"/>
      <c r="BV1336" s="935"/>
      <c r="BW1336" s="935"/>
      <c r="BX1336" s="935"/>
      <c r="BY1336" s="935"/>
      <c r="BZ1336" s="935"/>
      <c r="CA1336" s="935"/>
      <c r="CB1336" s="935"/>
      <c r="CC1336" s="935"/>
      <c r="CD1336" s="935"/>
      <c r="CE1336" s="935"/>
      <c r="CF1336" s="935"/>
      <c r="CG1336" s="935"/>
      <c r="CH1336" s="935"/>
      <c r="CI1336" s="935"/>
      <c r="CJ1336" s="935"/>
      <c r="CK1336" s="935"/>
      <c r="CL1336" s="935"/>
      <c r="CM1336" s="935"/>
      <c r="CN1336" s="935"/>
      <c r="CO1336" s="935"/>
      <c r="CP1336" s="935"/>
      <c r="CQ1336" s="935"/>
      <c r="CR1336" s="935"/>
      <c r="CS1336" s="935"/>
      <c r="CT1336" s="935"/>
      <c r="CU1336" s="935"/>
      <c r="CV1336" s="935"/>
    </row>
    <row r="1337" spans="1:100" s="441" customFormat="1">
      <c r="A1337" s="375">
        <f t="shared" si="356"/>
        <v>11</v>
      </c>
      <c r="B1337" s="862">
        <v>44522</v>
      </c>
      <c r="C1337" s="493" t="s">
        <v>1980</v>
      </c>
      <c r="D1337" s="376" t="str">
        <f>IFERROR(VLOOKUP(E:E,'Item Data Support Sheet'!A:O,7,0),"")</f>
        <v>NIPPLE MOLDED</v>
      </c>
      <c r="E1337" s="447" t="s">
        <v>74</v>
      </c>
      <c r="F1337" s="500" t="s">
        <v>1678</v>
      </c>
      <c r="G1337" s="497" t="s">
        <v>1691</v>
      </c>
      <c r="H1337" s="602" t="str">
        <f>IFERROR(VLOOKUP(E:E,'Item Data Support Sheet'!A:O,2,0),"")</f>
        <v>NIPPLE S TYPE L SIZE INJECTION</v>
      </c>
      <c r="I1337" s="501" t="s">
        <v>4109</v>
      </c>
      <c r="J1337" s="501" t="s">
        <v>2811</v>
      </c>
      <c r="K1337" s="499">
        <v>8</v>
      </c>
      <c r="L1337" s="499">
        <v>4815</v>
      </c>
      <c r="M1337" s="366">
        <v>601.875</v>
      </c>
      <c r="N1337" s="367">
        <f t="shared" si="355"/>
        <v>4149</v>
      </c>
      <c r="O1337" s="61">
        <v>4000</v>
      </c>
      <c r="P1337" s="368">
        <v>0</v>
      </c>
      <c r="Q1337" s="368">
        <v>70</v>
      </c>
      <c r="R1337" s="494">
        <v>0</v>
      </c>
      <c r="S1337" s="493">
        <v>0</v>
      </c>
      <c r="T1337" s="494">
        <v>55</v>
      </c>
      <c r="U1337" s="493">
        <v>24</v>
      </c>
      <c r="V1337" s="502">
        <v>1</v>
      </c>
      <c r="W1337" s="453">
        <f t="shared" si="357"/>
        <v>4000</v>
      </c>
      <c r="X1337" s="748">
        <f t="shared" si="358"/>
        <v>0.83073727933541019</v>
      </c>
      <c r="Y1337" s="451" t="str">
        <f>IFERROR(VLOOKUP(E:E,'Item Data Support Sheet'!A:J,6,0),0)</f>
        <v>Silicon</v>
      </c>
      <c r="Z1337" s="428">
        <f>IFERROR(VLOOKUP(E:E,'Item Data Support Sheet'!A:O,4,0),0)</f>
        <v>6.8</v>
      </c>
      <c r="AA1337" s="428">
        <f t="shared" si="359"/>
        <v>28.213199999999997</v>
      </c>
      <c r="AB1337" s="429">
        <f t="shared" si="360"/>
        <v>0.96408773198361064</v>
      </c>
      <c r="AC1337" s="424">
        <f t="shared" si="361"/>
        <v>1.3563501849568433E-2</v>
      </c>
      <c r="AD1337" s="371">
        <f t="shared" si="362"/>
        <v>1.6591609386110453E-2</v>
      </c>
      <c r="AE1337" s="748">
        <f t="shared" si="363"/>
        <v>0.98674379368522536</v>
      </c>
      <c r="AF1337" s="417">
        <f t="shared" si="364"/>
        <v>0</v>
      </c>
      <c r="AG1337" s="416">
        <f t="shared" si="365"/>
        <v>8</v>
      </c>
      <c r="AH1337" s="372">
        <f t="shared" si="366"/>
        <v>1</v>
      </c>
      <c r="AI1337" s="373">
        <f t="shared" si="367"/>
        <v>500</v>
      </c>
      <c r="AJ1337" s="418">
        <f>VLOOKUP(D1337,'Standard Cycle time'!C:D,2,0)</f>
        <v>5.25</v>
      </c>
      <c r="AK1337" s="418">
        <f t="shared" si="368"/>
        <v>7.2</v>
      </c>
      <c r="AL1337" s="374">
        <f t="shared" si="369"/>
        <v>0.72916666666666663</v>
      </c>
      <c r="AM1337" s="372">
        <f t="shared" si="370"/>
        <v>0.71950068289547675</v>
      </c>
      <c r="AN1337" s="799">
        <v>0.71950068289547675</v>
      </c>
      <c r="AO1337" s="448"/>
      <c r="AP1337" s="440">
        <v>0</v>
      </c>
      <c r="AQ1337" s="440">
        <v>0</v>
      </c>
      <c r="AR1337" s="440">
        <v>0</v>
      </c>
      <c r="AS1337" s="440">
        <v>0</v>
      </c>
      <c r="AT1337" s="440">
        <v>0</v>
      </c>
      <c r="AU1337" s="440">
        <v>0</v>
      </c>
      <c r="AV1337" s="440">
        <v>0</v>
      </c>
      <c r="AW1337" s="440">
        <v>0</v>
      </c>
      <c r="AX1337" s="440">
        <v>0</v>
      </c>
      <c r="AY1337" s="440">
        <v>0</v>
      </c>
      <c r="AZ1337" s="440">
        <v>0</v>
      </c>
      <c r="BA1337" s="440">
        <v>0</v>
      </c>
      <c r="BB1337" s="440">
        <v>0</v>
      </c>
      <c r="BC1337" s="440">
        <v>0</v>
      </c>
      <c r="BD1337" s="440">
        <v>0</v>
      </c>
      <c r="BE1337" s="440">
        <v>0</v>
      </c>
      <c r="BF1337" s="440">
        <v>0</v>
      </c>
      <c r="BG1337" s="440">
        <v>0</v>
      </c>
      <c r="BH1337" s="440">
        <v>0</v>
      </c>
      <c r="BI1337" s="440">
        <v>0</v>
      </c>
      <c r="BJ1337" s="440">
        <v>0</v>
      </c>
      <c r="BK1337" s="440">
        <v>0</v>
      </c>
      <c r="BL1337" s="440">
        <v>0</v>
      </c>
      <c r="BM1337" s="440">
        <v>0</v>
      </c>
      <c r="BN1337" s="440">
        <v>0</v>
      </c>
      <c r="BO1337" s="440">
        <v>0</v>
      </c>
      <c r="BP1337" s="440">
        <v>0</v>
      </c>
      <c r="BQ1337" s="440">
        <v>0</v>
      </c>
      <c r="BR1337" s="415">
        <v>0</v>
      </c>
      <c r="BS1337" s="415">
        <v>0</v>
      </c>
      <c r="BT1337" s="935"/>
      <c r="BU1337" s="935"/>
      <c r="BV1337" s="935"/>
      <c r="BW1337" s="935"/>
      <c r="BX1337" s="935"/>
      <c r="BY1337" s="935"/>
      <c r="BZ1337" s="935"/>
      <c r="CA1337" s="935"/>
      <c r="CB1337" s="935"/>
      <c r="CC1337" s="935"/>
      <c r="CD1337" s="935"/>
      <c r="CE1337" s="935"/>
      <c r="CF1337" s="935"/>
      <c r="CG1337" s="935"/>
      <c r="CH1337" s="935"/>
      <c r="CI1337" s="935"/>
      <c r="CJ1337" s="935"/>
      <c r="CK1337" s="935"/>
      <c r="CL1337" s="935"/>
      <c r="CM1337" s="935"/>
      <c r="CN1337" s="935"/>
      <c r="CO1337" s="935"/>
      <c r="CP1337" s="935"/>
      <c r="CQ1337" s="935"/>
      <c r="CR1337" s="935"/>
      <c r="CS1337" s="935"/>
      <c r="CT1337" s="935"/>
      <c r="CU1337" s="935"/>
      <c r="CV1337" s="935"/>
    </row>
    <row r="1338" spans="1:100" s="441" customFormat="1">
      <c r="A1338" s="375">
        <f t="shared" si="356"/>
        <v>11</v>
      </c>
      <c r="B1338" s="862">
        <v>44522</v>
      </c>
      <c r="C1338" s="493" t="s">
        <v>1980</v>
      </c>
      <c r="D1338" s="376" t="str">
        <f>IFERROR(VLOOKUP(E:E,'Item Data Support Sheet'!A:O,7,0),"")</f>
        <v>BOTTLE MOLDED</v>
      </c>
      <c r="E1338" s="447" t="s">
        <v>139</v>
      </c>
      <c r="F1338" s="500" t="s">
        <v>1682</v>
      </c>
      <c r="G1338" s="497" t="s">
        <v>1665</v>
      </c>
      <c r="H1338" s="602" t="str">
        <f>IFERROR(VLOOKUP(E:E,'Item Data Support Sheet'!A:O,2,0),"")</f>
        <v>RPP 120ML BLUE BOTTLE MOLDED (WM3GB)</v>
      </c>
      <c r="I1338" s="501" t="s">
        <v>4110</v>
      </c>
      <c r="J1338" s="501" t="s">
        <v>2811</v>
      </c>
      <c r="K1338" s="499">
        <v>8</v>
      </c>
      <c r="L1338" s="499">
        <v>2574</v>
      </c>
      <c r="M1338" s="366">
        <v>321.75</v>
      </c>
      <c r="N1338" s="367">
        <f t="shared" si="355"/>
        <v>1383</v>
      </c>
      <c r="O1338" s="61">
        <v>1260</v>
      </c>
      <c r="P1338" s="368">
        <v>0</v>
      </c>
      <c r="Q1338" s="368">
        <v>70</v>
      </c>
      <c r="R1338" s="494">
        <v>0</v>
      </c>
      <c r="S1338" s="493">
        <v>0</v>
      </c>
      <c r="T1338" s="494">
        <v>45</v>
      </c>
      <c r="U1338" s="493">
        <v>8</v>
      </c>
      <c r="V1338" s="502">
        <v>1</v>
      </c>
      <c r="W1338" s="453">
        <f t="shared" si="357"/>
        <v>1260</v>
      </c>
      <c r="X1338" s="748">
        <f t="shared" si="358"/>
        <v>0.48951048951048953</v>
      </c>
      <c r="Y1338" s="451" t="str">
        <f>IFERROR(VLOOKUP(E:E,'Item Data Support Sheet'!A:J,6,0),0)</f>
        <v>WMG3B</v>
      </c>
      <c r="Z1338" s="428">
        <f>IFERROR(VLOOKUP(E:E,'Item Data Support Sheet'!A:O,4,0),0)</f>
        <v>22.7</v>
      </c>
      <c r="AA1338" s="428">
        <f t="shared" si="359"/>
        <v>31.394099999999998</v>
      </c>
      <c r="AB1338" s="429">
        <f t="shared" si="360"/>
        <v>0.91106290672451185</v>
      </c>
      <c r="AC1338" s="424">
        <f t="shared" si="361"/>
        <v>3.4482758620689655E-2</v>
      </c>
      <c r="AD1338" s="371">
        <f t="shared" si="362"/>
        <v>4.817618719889883E-2</v>
      </c>
      <c r="AE1338" s="748">
        <f t="shared" si="363"/>
        <v>0.96746203904555317</v>
      </c>
      <c r="AF1338" s="417">
        <f t="shared" si="364"/>
        <v>4</v>
      </c>
      <c r="AG1338" s="416">
        <f t="shared" si="365"/>
        <v>4</v>
      </c>
      <c r="AH1338" s="372">
        <f t="shared" si="366"/>
        <v>0.5</v>
      </c>
      <c r="AI1338" s="373">
        <f t="shared" si="367"/>
        <v>157.5</v>
      </c>
      <c r="AJ1338" s="418">
        <f>VLOOKUP(D1338,'Standard Cycle time'!C:D,2,0)</f>
        <v>9</v>
      </c>
      <c r="AK1338" s="418">
        <f t="shared" si="368"/>
        <v>11.428571428571429</v>
      </c>
      <c r="AL1338" s="374">
        <f t="shared" si="369"/>
        <v>0.78749999999999998</v>
      </c>
      <c r="AM1338" s="372">
        <f t="shared" si="370"/>
        <v>0.38093817787418655</v>
      </c>
      <c r="AN1338" s="799">
        <v>0.38093817787418655</v>
      </c>
      <c r="AO1338" s="448"/>
      <c r="AP1338" s="440">
        <v>0</v>
      </c>
      <c r="AQ1338" s="440">
        <v>0</v>
      </c>
      <c r="AR1338" s="440">
        <v>70</v>
      </c>
      <c r="AS1338" s="440">
        <v>0</v>
      </c>
      <c r="AT1338" s="440">
        <v>0</v>
      </c>
      <c r="AU1338" s="440">
        <v>0</v>
      </c>
      <c r="AV1338" s="440">
        <v>0</v>
      </c>
      <c r="AW1338" s="440">
        <v>50</v>
      </c>
      <c r="AX1338" s="440">
        <v>0</v>
      </c>
      <c r="AY1338" s="440">
        <v>0</v>
      </c>
      <c r="AZ1338" s="440">
        <v>60</v>
      </c>
      <c r="BA1338" s="440">
        <v>0</v>
      </c>
      <c r="BB1338" s="440">
        <v>60</v>
      </c>
      <c r="BC1338" s="440">
        <v>0</v>
      </c>
      <c r="BD1338" s="440">
        <v>0</v>
      </c>
      <c r="BE1338" s="440">
        <v>0</v>
      </c>
      <c r="BF1338" s="440">
        <v>0</v>
      </c>
      <c r="BG1338" s="440">
        <v>0</v>
      </c>
      <c r="BH1338" s="440">
        <v>0</v>
      </c>
      <c r="BI1338" s="440">
        <v>0</v>
      </c>
      <c r="BJ1338" s="440">
        <v>0</v>
      </c>
      <c r="BK1338" s="440">
        <v>0</v>
      </c>
      <c r="BL1338" s="440">
        <v>0</v>
      </c>
      <c r="BM1338" s="440">
        <v>0</v>
      </c>
      <c r="BN1338" s="440">
        <v>0</v>
      </c>
      <c r="BO1338" s="440">
        <v>0</v>
      </c>
      <c r="BP1338" s="440">
        <v>0</v>
      </c>
      <c r="BQ1338" s="440">
        <v>0</v>
      </c>
      <c r="BR1338" s="415">
        <v>4</v>
      </c>
      <c r="BS1338" s="415">
        <v>4</v>
      </c>
      <c r="BT1338" s="935"/>
      <c r="BU1338" s="935"/>
      <c r="BV1338" s="935"/>
      <c r="BW1338" s="935"/>
      <c r="BX1338" s="935"/>
      <c r="BY1338" s="935"/>
      <c r="BZ1338" s="935"/>
      <c r="CA1338" s="935"/>
      <c r="CB1338" s="935"/>
      <c r="CC1338" s="935"/>
      <c r="CD1338" s="935"/>
      <c r="CE1338" s="935"/>
      <c r="CF1338" s="935"/>
      <c r="CG1338" s="935"/>
      <c r="CH1338" s="935"/>
      <c r="CI1338" s="935"/>
      <c r="CJ1338" s="935"/>
      <c r="CK1338" s="935"/>
      <c r="CL1338" s="935"/>
      <c r="CM1338" s="935"/>
      <c r="CN1338" s="935"/>
      <c r="CO1338" s="935"/>
      <c r="CP1338" s="935"/>
      <c r="CQ1338" s="935"/>
      <c r="CR1338" s="935"/>
      <c r="CS1338" s="935"/>
      <c r="CT1338" s="935"/>
      <c r="CU1338" s="935"/>
      <c r="CV1338" s="935"/>
    </row>
    <row r="1339" spans="1:100" s="441" customFormat="1">
      <c r="A1339" s="375">
        <f t="shared" si="356"/>
        <v>11</v>
      </c>
      <c r="B1339" s="862">
        <v>44522</v>
      </c>
      <c r="C1339" s="493" t="s">
        <v>2000</v>
      </c>
      <c r="D1339" s="376" t="str">
        <f>IFERROR(VLOOKUP(E:E,'Item Data Support Sheet'!A:O,7,0),"")</f>
        <v>NIPPLE PUNCH INSPECTED</v>
      </c>
      <c r="E1339" s="447" t="s">
        <v>1820</v>
      </c>
      <c r="F1339" s="500"/>
      <c r="G1339" s="497"/>
      <c r="H1339" s="602" t="str">
        <f>IFERROR(VLOOKUP(E:E,'Item Data Support Sheet'!A:O,2,0),"")</f>
        <v>NIPPLE S TYPE L SIZE PUNCHED INSPECTED</v>
      </c>
      <c r="I1339" s="501" t="s">
        <v>4104</v>
      </c>
      <c r="J1339" s="501" t="s">
        <v>2811</v>
      </c>
      <c r="K1339" s="499">
        <v>8</v>
      </c>
      <c r="L1339" s="499">
        <v>14000</v>
      </c>
      <c r="M1339" s="366">
        <v>1750</v>
      </c>
      <c r="N1339" s="367">
        <f t="shared" si="355"/>
        <v>8200</v>
      </c>
      <c r="O1339" s="61">
        <v>8181</v>
      </c>
      <c r="P1339" s="368">
        <v>0</v>
      </c>
      <c r="Q1339" s="368">
        <v>0</v>
      </c>
      <c r="R1339" s="494">
        <v>0</v>
      </c>
      <c r="S1339" s="493">
        <v>0</v>
      </c>
      <c r="T1339" s="494">
        <v>19</v>
      </c>
      <c r="U1339" s="493">
        <v>0</v>
      </c>
      <c r="V1339" s="502">
        <v>1</v>
      </c>
      <c r="W1339" s="453">
        <f t="shared" si="357"/>
        <v>8181</v>
      </c>
      <c r="X1339" s="748">
        <f t="shared" si="358"/>
        <v>0.58435714285714291</v>
      </c>
      <c r="Y1339" s="451" t="str">
        <f>IFERROR(VLOOKUP(E:E,'Item Data Support Sheet'!A:J,6,0),0)</f>
        <v>FO106</v>
      </c>
      <c r="Z1339" s="428">
        <f>IFERROR(VLOOKUP(E:E,'Item Data Support Sheet'!A:O,4,0),0)</f>
        <v>0</v>
      </c>
      <c r="AA1339" s="428">
        <f t="shared" si="359"/>
        <v>0</v>
      </c>
      <c r="AB1339" s="429" t="str">
        <f t="shared" si="360"/>
        <v xml:space="preserve"> </v>
      </c>
      <c r="AC1339" s="424">
        <f t="shared" si="361"/>
        <v>2.3170731707317072E-3</v>
      </c>
      <c r="AD1339" s="371">
        <f t="shared" si="362"/>
        <v>0</v>
      </c>
      <c r="AE1339" s="748">
        <f t="shared" si="363"/>
        <v>0.99768292682926829</v>
      </c>
      <c r="AF1339" s="417">
        <f t="shared" si="364"/>
        <v>0.83333333333333337</v>
      </c>
      <c r="AG1339" s="416">
        <f t="shared" si="365"/>
        <v>7.166666666666667</v>
      </c>
      <c r="AH1339" s="372">
        <f t="shared" si="366"/>
        <v>0.89583333333333337</v>
      </c>
      <c r="AI1339" s="373">
        <f t="shared" si="367"/>
        <v>1022.625</v>
      </c>
      <c r="AJ1339" s="418">
        <f>VLOOKUP(D1339,'Standard Cycle time'!C:D,2,0)</f>
        <v>4</v>
      </c>
      <c r="AK1339" s="418">
        <f t="shared" si="368"/>
        <v>3.1536486982031535</v>
      </c>
      <c r="AL1339" s="374">
        <f t="shared" si="369"/>
        <v>1.2683720930232558</v>
      </c>
      <c r="AM1339" s="372">
        <f t="shared" si="370"/>
        <v>1.1336172256097561</v>
      </c>
      <c r="AN1339" s="799">
        <v>1.1336172256097561</v>
      </c>
      <c r="AO1339" s="448" t="s">
        <v>4111</v>
      </c>
      <c r="AP1339" s="440">
        <v>50</v>
      </c>
      <c r="AQ1339" s="440">
        <v>0</v>
      </c>
      <c r="AR1339" s="440">
        <v>0</v>
      </c>
      <c r="AS1339" s="440">
        <v>0</v>
      </c>
      <c r="AT1339" s="440">
        <v>0</v>
      </c>
      <c r="AU1339" s="440">
        <v>0</v>
      </c>
      <c r="AV1339" s="440">
        <v>0</v>
      </c>
      <c r="AW1339" s="440">
        <v>0</v>
      </c>
      <c r="AX1339" s="440">
        <v>0</v>
      </c>
      <c r="AY1339" s="440">
        <v>0</v>
      </c>
      <c r="AZ1339" s="440">
        <v>0</v>
      </c>
      <c r="BA1339" s="440">
        <v>0</v>
      </c>
      <c r="BB1339" s="440">
        <v>0</v>
      </c>
      <c r="BC1339" s="440">
        <v>0</v>
      </c>
      <c r="BD1339" s="440">
        <v>0</v>
      </c>
      <c r="BE1339" s="440">
        <v>0</v>
      </c>
      <c r="BF1339" s="440">
        <v>0</v>
      </c>
      <c r="BG1339" s="440">
        <v>0</v>
      </c>
      <c r="BH1339" s="440">
        <v>0</v>
      </c>
      <c r="BI1339" s="440">
        <v>0</v>
      </c>
      <c r="BJ1339" s="440">
        <v>0</v>
      </c>
      <c r="BK1339" s="440">
        <v>0</v>
      </c>
      <c r="BL1339" s="440">
        <v>0</v>
      </c>
      <c r="BM1339" s="440">
        <v>0</v>
      </c>
      <c r="BN1339" s="440">
        <v>0</v>
      </c>
      <c r="BO1339" s="440">
        <v>0</v>
      </c>
      <c r="BP1339" s="440">
        <v>0</v>
      </c>
      <c r="BQ1339" s="440">
        <v>0</v>
      </c>
      <c r="BR1339" s="415">
        <v>0.83333333333333337</v>
      </c>
      <c r="BS1339" s="415">
        <v>0.83333333333333337</v>
      </c>
      <c r="BT1339" s="935"/>
      <c r="BU1339" s="935"/>
      <c r="BV1339" s="935"/>
      <c r="BW1339" s="935"/>
      <c r="BX1339" s="935"/>
      <c r="BY1339" s="935"/>
      <c r="BZ1339" s="935"/>
      <c r="CA1339" s="935"/>
      <c r="CB1339" s="935"/>
      <c r="CC1339" s="935"/>
      <c r="CD1339" s="935"/>
      <c r="CE1339" s="935"/>
      <c r="CF1339" s="935"/>
      <c r="CG1339" s="935"/>
      <c r="CH1339" s="935"/>
      <c r="CI1339" s="935"/>
      <c r="CJ1339" s="935"/>
      <c r="CK1339" s="935"/>
      <c r="CL1339" s="935"/>
      <c r="CM1339" s="935"/>
      <c r="CN1339" s="935"/>
      <c r="CO1339" s="935"/>
      <c r="CP1339" s="935"/>
      <c r="CQ1339" s="935"/>
      <c r="CR1339" s="935"/>
      <c r="CS1339" s="935"/>
      <c r="CT1339" s="935"/>
      <c r="CU1339" s="935"/>
      <c r="CV1339" s="935"/>
    </row>
    <row r="1340" spans="1:100" s="441" customFormat="1">
      <c r="A1340" s="375">
        <f t="shared" si="356"/>
        <v>11</v>
      </c>
      <c r="B1340" s="862">
        <v>44522</v>
      </c>
      <c r="C1340" s="493" t="s">
        <v>2000</v>
      </c>
      <c r="D1340" s="376" t="str">
        <f>IFERROR(VLOOKUP(E:E,'Item Data Support Sheet'!A:O,7,0),"")</f>
        <v>BOTTLE PRINTED</v>
      </c>
      <c r="E1340" s="447" t="s">
        <v>1891</v>
      </c>
      <c r="F1340" s="500"/>
      <c r="G1340" s="497"/>
      <c r="H1340" s="602" t="str">
        <f>IFERROR(VLOOKUP(E:E,'Item Data Support Sheet'!A:O,2,0),"")</f>
        <v>50 ML RPP BOTTLE PRINTED - BIRDS</v>
      </c>
      <c r="I1340" s="501" t="s">
        <v>4112</v>
      </c>
      <c r="J1340" s="501" t="s">
        <v>2811</v>
      </c>
      <c r="K1340" s="499">
        <v>8</v>
      </c>
      <c r="L1340" s="499">
        <v>3400</v>
      </c>
      <c r="M1340" s="366">
        <v>425</v>
      </c>
      <c r="N1340" s="367">
        <f t="shared" si="355"/>
        <v>1981</v>
      </c>
      <c r="O1340" s="61">
        <v>1950</v>
      </c>
      <c r="P1340" s="368">
        <v>0</v>
      </c>
      <c r="Q1340" s="368">
        <v>0</v>
      </c>
      <c r="R1340" s="494">
        <v>72</v>
      </c>
      <c r="S1340" s="493">
        <v>0</v>
      </c>
      <c r="T1340" s="494">
        <v>31</v>
      </c>
      <c r="U1340" s="493">
        <v>0</v>
      </c>
      <c r="V1340" s="502">
        <v>5</v>
      </c>
      <c r="W1340" s="453">
        <f t="shared" si="357"/>
        <v>390</v>
      </c>
      <c r="X1340" s="748">
        <f t="shared" si="358"/>
        <v>0.57352941176470584</v>
      </c>
      <c r="Y1340" s="451" t="str">
        <f>IFERROR(VLOOKUP(E:E,'Item Data Support Sheet'!A:J,6,0),0)</f>
        <v>FO112</v>
      </c>
      <c r="Z1340" s="428">
        <f>IFERROR(VLOOKUP(E:E,'Item Data Support Sheet'!A:O,4,0),0)</f>
        <v>17.015000000000001</v>
      </c>
      <c r="AA1340" s="428">
        <f t="shared" si="359"/>
        <v>33.706714999999996</v>
      </c>
      <c r="AB1340" s="429">
        <f t="shared" si="360"/>
        <v>0.98435133770822814</v>
      </c>
      <c r="AC1340" s="424">
        <f t="shared" si="361"/>
        <v>1.5648662291771833E-2</v>
      </c>
      <c r="AD1340" s="371">
        <f t="shared" si="362"/>
        <v>0</v>
      </c>
      <c r="AE1340" s="748">
        <f t="shared" si="363"/>
        <v>0.98435133770822814</v>
      </c>
      <c r="AF1340" s="417">
        <f t="shared" si="364"/>
        <v>0.83333333333333337</v>
      </c>
      <c r="AG1340" s="416">
        <f t="shared" si="365"/>
        <v>7.166666666666667</v>
      </c>
      <c r="AH1340" s="372">
        <f t="shared" si="366"/>
        <v>0.89583333333333337</v>
      </c>
      <c r="AI1340" s="373">
        <f t="shared" si="367"/>
        <v>243.75</v>
      </c>
      <c r="AJ1340" s="418">
        <f>VLOOKUP(D1340,'Standard Cycle time'!C:D,2,0)</f>
        <v>32.4</v>
      </c>
      <c r="AK1340" s="418">
        <f t="shared" si="368"/>
        <v>66.15384615384616</v>
      </c>
      <c r="AL1340" s="374">
        <f t="shared" si="369"/>
        <v>0.48976744186046506</v>
      </c>
      <c r="AM1340" s="372">
        <f t="shared" si="370"/>
        <v>0.43188414941948505</v>
      </c>
      <c r="AN1340" s="799">
        <v>0.43188414941948505</v>
      </c>
      <c r="AO1340" s="448" t="s">
        <v>4113</v>
      </c>
      <c r="AP1340" s="440">
        <v>50</v>
      </c>
      <c r="AQ1340" s="440">
        <v>0</v>
      </c>
      <c r="AR1340" s="440">
        <v>0</v>
      </c>
      <c r="AS1340" s="440">
        <v>0</v>
      </c>
      <c r="AT1340" s="440">
        <v>0</v>
      </c>
      <c r="AU1340" s="440">
        <v>0</v>
      </c>
      <c r="AV1340" s="440">
        <v>0</v>
      </c>
      <c r="AW1340" s="440">
        <v>0</v>
      </c>
      <c r="AX1340" s="440">
        <v>0</v>
      </c>
      <c r="AY1340" s="440">
        <v>0</v>
      </c>
      <c r="AZ1340" s="440">
        <v>0</v>
      </c>
      <c r="BA1340" s="440">
        <v>0</v>
      </c>
      <c r="BB1340" s="440">
        <v>0</v>
      </c>
      <c r="BC1340" s="440">
        <v>0</v>
      </c>
      <c r="BD1340" s="440">
        <v>0</v>
      </c>
      <c r="BE1340" s="440">
        <v>0</v>
      </c>
      <c r="BF1340" s="440">
        <v>0</v>
      </c>
      <c r="BG1340" s="440">
        <v>0</v>
      </c>
      <c r="BH1340" s="440">
        <v>0</v>
      </c>
      <c r="BI1340" s="440">
        <v>0</v>
      </c>
      <c r="BJ1340" s="440">
        <v>0</v>
      </c>
      <c r="BK1340" s="440">
        <v>0</v>
      </c>
      <c r="BL1340" s="440">
        <v>0</v>
      </c>
      <c r="BM1340" s="440">
        <v>0</v>
      </c>
      <c r="BN1340" s="440">
        <v>0</v>
      </c>
      <c r="BO1340" s="440">
        <v>0</v>
      </c>
      <c r="BP1340" s="440">
        <v>0</v>
      </c>
      <c r="BQ1340" s="440">
        <v>0</v>
      </c>
      <c r="BR1340" s="415">
        <v>0.83333333333333337</v>
      </c>
      <c r="BS1340" s="415">
        <v>0.83333333333333337</v>
      </c>
      <c r="BT1340" s="935"/>
      <c r="BU1340" s="935"/>
      <c r="BV1340" s="935"/>
      <c r="BW1340" s="935"/>
      <c r="BX1340" s="935"/>
      <c r="BY1340" s="935"/>
      <c r="BZ1340" s="935"/>
      <c r="CA1340" s="935"/>
      <c r="CB1340" s="935"/>
      <c r="CC1340" s="935"/>
      <c r="CD1340" s="935"/>
      <c r="CE1340" s="935"/>
      <c r="CF1340" s="935"/>
      <c r="CG1340" s="935"/>
      <c r="CH1340" s="935"/>
      <c r="CI1340" s="935"/>
      <c r="CJ1340" s="935"/>
      <c r="CK1340" s="935"/>
      <c r="CL1340" s="935"/>
      <c r="CM1340" s="935"/>
      <c r="CN1340" s="935"/>
      <c r="CO1340" s="935"/>
      <c r="CP1340" s="935"/>
      <c r="CQ1340" s="935"/>
      <c r="CR1340" s="935"/>
      <c r="CS1340" s="935"/>
      <c r="CT1340" s="935"/>
      <c r="CU1340" s="935"/>
      <c r="CV1340" s="935"/>
    </row>
    <row r="1341" spans="1:100" s="441" customFormat="1">
      <c r="A1341" s="375">
        <f t="shared" si="356"/>
        <v>11</v>
      </c>
      <c r="B1341" s="862">
        <v>44522</v>
      </c>
      <c r="C1341" s="493" t="s">
        <v>2001</v>
      </c>
      <c r="D1341" s="376" t="str">
        <f>IFERROR(VLOOKUP(E:E,'Item Data Support Sheet'!A:O,7,0),"")</f>
        <v>BOTTLE MOLDED</v>
      </c>
      <c r="E1341" s="447" t="s">
        <v>139</v>
      </c>
      <c r="F1341" s="500" t="s">
        <v>1682</v>
      </c>
      <c r="G1341" s="497" t="s">
        <v>1665</v>
      </c>
      <c r="H1341" s="602" t="str">
        <f>IFERROR(VLOOKUP(E:E,'Item Data Support Sheet'!A:O,2,0),"")</f>
        <v>RPP 120ML BLUE BOTTLE MOLDED (WM3GB)</v>
      </c>
      <c r="I1341" s="501" t="s">
        <v>4114</v>
      </c>
      <c r="J1341" s="501" t="s">
        <v>2811</v>
      </c>
      <c r="K1341" s="499">
        <v>8</v>
      </c>
      <c r="L1341" s="499">
        <v>2574</v>
      </c>
      <c r="M1341" s="366">
        <v>321.75</v>
      </c>
      <c r="N1341" s="367">
        <f t="shared" si="355"/>
        <v>2600</v>
      </c>
      <c r="O1341" s="61">
        <v>2520</v>
      </c>
      <c r="P1341" s="368">
        <v>0.1</v>
      </c>
      <c r="Q1341" s="368">
        <v>35</v>
      </c>
      <c r="R1341" s="494">
        <v>0</v>
      </c>
      <c r="S1341" s="493">
        <v>0</v>
      </c>
      <c r="T1341" s="494">
        <v>45</v>
      </c>
      <c r="U1341" s="493">
        <v>0</v>
      </c>
      <c r="V1341" s="502">
        <v>1</v>
      </c>
      <c r="W1341" s="453">
        <f t="shared" si="357"/>
        <v>2520</v>
      </c>
      <c r="X1341" s="748">
        <f t="shared" si="358"/>
        <v>0.97902097902097907</v>
      </c>
      <c r="Y1341" s="451" t="str">
        <f>IFERROR(VLOOKUP(E:E,'Item Data Support Sheet'!A:J,6,0),0)</f>
        <v>WMG3B</v>
      </c>
      <c r="Z1341" s="428">
        <f>IFERROR(VLOOKUP(E:E,'Item Data Support Sheet'!A:O,4,0),0)</f>
        <v>22.7</v>
      </c>
      <c r="AA1341" s="428">
        <f t="shared" si="359"/>
        <v>59.12</v>
      </c>
      <c r="AB1341" s="429">
        <f t="shared" si="360"/>
        <v>0.96759133964817312</v>
      </c>
      <c r="AC1341" s="424">
        <f t="shared" si="361"/>
        <v>1.7543859649122806E-2</v>
      </c>
      <c r="AD1341" s="371">
        <f t="shared" si="362"/>
        <v>1.3282732447817837E-2</v>
      </c>
      <c r="AE1341" s="748">
        <f t="shared" si="363"/>
        <v>0.98269230769230764</v>
      </c>
      <c r="AF1341" s="417">
        <f t="shared" si="364"/>
        <v>0.5</v>
      </c>
      <c r="AG1341" s="416">
        <f t="shared" si="365"/>
        <v>7.5</v>
      </c>
      <c r="AH1341" s="372">
        <f t="shared" si="366"/>
        <v>0.9375</v>
      </c>
      <c r="AI1341" s="373">
        <f t="shared" si="367"/>
        <v>315</v>
      </c>
      <c r="AJ1341" s="418">
        <f>VLOOKUP(D1341,'Standard Cycle time'!C:D,2,0)</f>
        <v>9</v>
      </c>
      <c r="AK1341" s="418">
        <f t="shared" si="368"/>
        <v>10.714285714285714</v>
      </c>
      <c r="AL1341" s="374">
        <f t="shared" si="369"/>
        <v>0.84000000000000008</v>
      </c>
      <c r="AM1341" s="372">
        <f t="shared" si="370"/>
        <v>0.77387019230769227</v>
      </c>
      <c r="AN1341" s="799">
        <v>0.77387019230769227</v>
      </c>
      <c r="AO1341" s="448"/>
      <c r="AP1341" s="440">
        <v>0</v>
      </c>
      <c r="AQ1341" s="440">
        <v>0</v>
      </c>
      <c r="AR1341" s="440">
        <v>0</v>
      </c>
      <c r="AS1341" s="440">
        <v>0</v>
      </c>
      <c r="AT1341" s="440">
        <v>0</v>
      </c>
      <c r="AU1341" s="440">
        <v>0</v>
      </c>
      <c r="AV1341" s="440" t="s">
        <v>107</v>
      </c>
      <c r="AW1341" s="440">
        <v>30</v>
      </c>
      <c r="AX1341" s="440">
        <v>0</v>
      </c>
      <c r="AY1341" s="440">
        <v>0</v>
      </c>
      <c r="AZ1341" s="440">
        <v>0</v>
      </c>
      <c r="BA1341" s="440">
        <v>0</v>
      </c>
      <c r="BB1341" s="440">
        <v>0</v>
      </c>
      <c r="BC1341" s="440">
        <v>0</v>
      </c>
      <c r="BD1341" s="440">
        <v>0</v>
      </c>
      <c r="BE1341" s="440">
        <v>0</v>
      </c>
      <c r="BF1341" s="440">
        <v>0</v>
      </c>
      <c r="BG1341" s="440">
        <v>0</v>
      </c>
      <c r="BH1341" s="440">
        <v>0</v>
      </c>
      <c r="BI1341" s="440">
        <v>0</v>
      </c>
      <c r="BJ1341" s="440">
        <v>0</v>
      </c>
      <c r="BK1341" s="440">
        <v>0</v>
      </c>
      <c r="BL1341" s="440">
        <v>0</v>
      </c>
      <c r="BM1341" s="440">
        <v>0</v>
      </c>
      <c r="BN1341" s="440">
        <v>0</v>
      </c>
      <c r="BO1341" s="440">
        <v>0</v>
      </c>
      <c r="BP1341" s="440">
        <v>0</v>
      </c>
      <c r="BQ1341" s="440">
        <v>0</v>
      </c>
      <c r="BR1341" s="415">
        <v>0.5</v>
      </c>
      <c r="BS1341" s="415">
        <v>0.5</v>
      </c>
      <c r="BT1341" s="935"/>
      <c r="BU1341" s="935"/>
      <c r="BV1341" s="935"/>
      <c r="BW1341" s="935"/>
      <c r="BX1341" s="935"/>
      <c r="BY1341" s="935"/>
      <c r="BZ1341" s="935"/>
      <c r="CA1341" s="935"/>
      <c r="CB1341" s="935"/>
      <c r="CC1341" s="935"/>
      <c r="CD1341" s="935"/>
      <c r="CE1341" s="935"/>
      <c r="CF1341" s="935"/>
      <c r="CG1341" s="935"/>
      <c r="CH1341" s="935"/>
      <c r="CI1341" s="935"/>
      <c r="CJ1341" s="935"/>
      <c r="CK1341" s="935"/>
      <c r="CL1341" s="935"/>
      <c r="CM1341" s="935"/>
      <c r="CN1341" s="935"/>
      <c r="CO1341" s="935"/>
      <c r="CP1341" s="935"/>
      <c r="CQ1341" s="935"/>
      <c r="CR1341" s="935"/>
      <c r="CS1341" s="935"/>
      <c r="CT1341" s="935"/>
      <c r="CU1341" s="935"/>
      <c r="CV1341" s="935"/>
    </row>
    <row r="1342" spans="1:100" s="441" customFormat="1">
      <c r="A1342" s="375">
        <f t="shared" si="356"/>
        <v>11</v>
      </c>
      <c r="B1342" s="862">
        <v>44522</v>
      </c>
      <c r="C1342" s="493" t="s">
        <v>2001</v>
      </c>
      <c r="D1342" s="376" t="str">
        <f>IFERROR(VLOOKUP(E:E,'Item Data Support Sheet'!A:O,7,0),"")</f>
        <v>HOOD MOLDED</v>
      </c>
      <c r="E1342" s="447" t="s">
        <v>1987</v>
      </c>
      <c r="F1342" s="500"/>
      <c r="G1342" s="497" t="s">
        <v>2729</v>
      </c>
      <c r="H1342" s="602" t="str">
        <f>IFERROR(VLOOKUP(E:E,'Item Data Support Sheet'!A:O,2,0),"")</f>
        <v>HOOD S TYPE MOLDED</v>
      </c>
      <c r="I1342" s="501" t="s">
        <v>4115</v>
      </c>
      <c r="J1342" s="501" t="s">
        <v>2811</v>
      </c>
      <c r="K1342" s="499">
        <v>8</v>
      </c>
      <c r="L1342" s="499">
        <v>4137</v>
      </c>
      <c r="M1342" s="366">
        <v>517.125</v>
      </c>
      <c r="N1342" s="367">
        <f t="shared" si="355"/>
        <v>4230</v>
      </c>
      <c r="O1342" s="61">
        <v>4200</v>
      </c>
      <c r="P1342" s="368">
        <v>0</v>
      </c>
      <c r="Q1342" s="368">
        <v>20</v>
      </c>
      <c r="R1342" s="494">
        <v>0</v>
      </c>
      <c r="S1342" s="493">
        <v>0</v>
      </c>
      <c r="T1342" s="494">
        <v>10</v>
      </c>
      <c r="U1342" s="493">
        <v>0</v>
      </c>
      <c r="V1342" s="502">
        <v>1</v>
      </c>
      <c r="W1342" s="453">
        <f t="shared" si="357"/>
        <v>4200</v>
      </c>
      <c r="X1342" s="748">
        <f t="shared" si="358"/>
        <v>1.015228426395939</v>
      </c>
      <c r="Y1342" s="451" t="str">
        <f>IFERROR(VLOOKUP(E:E,'Item Data Support Sheet'!A:J,6,0),0)</f>
        <v>HMC</v>
      </c>
      <c r="Z1342" s="428">
        <f>IFERROR(VLOOKUP(E:E,'Item Data Support Sheet'!A:O,4,0),0)</f>
        <v>8.6</v>
      </c>
      <c r="AA1342" s="428">
        <f t="shared" si="359"/>
        <v>36.378</v>
      </c>
      <c r="AB1342" s="429">
        <f t="shared" si="360"/>
        <v>0.9929078014184396</v>
      </c>
      <c r="AC1342" s="424">
        <f t="shared" si="361"/>
        <v>2.3752969121140144E-3</v>
      </c>
      <c r="AD1342" s="371">
        <f t="shared" si="362"/>
        <v>4.7058823529411761E-3</v>
      </c>
      <c r="AE1342" s="748">
        <f t="shared" si="363"/>
        <v>0.99763593380614657</v>
      </c>
      <c r="AF1342" s="417">
        <f t="shared" si="364"/>
        <v>0</v>
      </c>
      <c r="AG1342" s="416">
        <f t="shared" si="365"/>
        <v>8</v>
      </c>
      <c r="AH1342" s="372">
        <f t="shared" si="366"/>
        <v>1</v>
      </c>
      <c r="AI1342" s="373">
        <f t="shared" si="367"/>
        <v>525</v>
      </c>
      <c r="AJ1342" s="418">
        <f>VLOOKUP(D1342,'Standard Cycle time'!C:D,2,0)</f>
        <v>6</v>
      </c>
      <c r="AK1342" s="418">
        <f t="shared" si="368"/>
        <v>6.8571428571428568</v>
      </c>
      <c r="AL1342" s="374">
        <f t="shared" si="369"/>
        <v>0.875</v>
      </c>
      <c r="AM1342" s="372">
        <f t="shared" si="370"/>
        <v>0.87293144208037821</v>
      </c>
      <c r="AN1342" s="799">
        <v>0.87293144208037821</v>
      </c>
      <c r="AO1342" s="448"/>
      <c r="AP1342" s="440">
        <v>0</v>
      </c>
      <c r="AQ1342" s="440">
        <v>0</v>
      </c>
      <c r="AR1342" s="440">
        <v>0</v>
      </c>
      <c r="AS1342" s="440">
        <v>0</v>
      </c>
      <c r="AT1342" s="440">
        <v>0</v>
      </c>
      <c r="AU1342" s="440">
        <v>0</v>
      </c>
      <c r="AV1342" s="440">
        <v>0</v>
      </c>
      <c r="AW1342" s="440">
        <v>0</v>
      </c>
      <c r="AX1342" s="440">
        <v>0</v>
      </c>
      <c r="AY1342" s="440">
        <v>0</v>
      </c>
      <c r="AZ1342" s="440">
        <v>0</v>
      </c>
      <c r="BA1342" s="440">
        <v>0</v>
      </c>
      <c r="BB1342" s="440">
        <v>0</v>
      </c>
      <c r="BC1342" s="440">
        <v>0</v>
      </c>
      <c r="BD1342" s="440">
        <v>0</v>
      </c>
      <c r="BE1342" s="440">
        <v>0</v>
      </c>
      <c r="BF1342" s="440">
        <v>0</v>
      </c>
      <c r="BG1342" s="440">
        <v>0</v>
      </c>
      <c r="BH1342" s="440">
        <v>0</v>
      </c>
      <c r="BI1342" s="440">
        <v>0</v>
      </c>
      <c r="BJ1342" s="440">
        <v>0</v>
      </c>
      <c r="BK1342" s="440">
        <v>0</v>
      </c>
      <c r="BL1342" s="440">
        <v>0</v>
      </c>
      <c r="BM1342" s="440">
        <v>0</v>
      </c>
      <c r="BN1342" s="440">
        <v>0</v>
      </c>
      <c r="BO1342" s="440">
        <v>0</v>
      </c>
      <c r="BP1342" s="440">
        <v>0</v>
      </c>
      <c r="BQ1342" s="440">
        <v>0</v>
      </c>
      <c r="BR1342" s="415">
        <v>0</v>
      </c>
      <c r="BS1342" s="415">
        <v>0</v>
      </c>
      <c r="BT1342" s="935"/>
      <c r="BU1342" s="935"/>
      <c r="BV1342" s="935"/>
      <c r="BW1342" s="935"/>
      <c r="BX1342" s="935"/>
      <c r="BY1342" s="935"/>
      <c r="BZ1342" s="935"/>
      <c r="CA1342" s="935"/>
      <c r="CB1342" s="935"/>
      <c r="CC1342" s="935"/>
      <c r="CD1342" s="935"/>
      <c r="CE1342" s="935"/>
      <c r="CF1342" s="935"/>
      <c r="CG1342" s="935"/>
      <c r="CH1342" s="935"/>
      <c r="CI1342" s="935"/>
      <c r="CJ1342" s="935"/>
      <c r="CK1342" s="935"/>
      <c r="CL1342" s="935"/>
      <c r="CM1342" s="935"/>
      <c r="CN1342" s="935"/>
      <c r="CO1342" s="935"/>
      <c r="CP1342" s="935"/>
      <c r="CQ1342" s="935"/>
      <c r="CR1342" s="935"/>
      <c r="CS1342" s="935"/>
      <c r="CT1342" s="935"/>
      <c r="CU1342" s="935"/>
      <c r="CV1342" s="935"/>
    </row>
    <row r="1343" spans="1:100" s="441" customFormat="1">
      <c r="A1343" s="375">
        <f t="shared" si="356"/>
        <v>11</v>
      </c>
      <c r="B1343" s="862">
        <v>44522</v>
      </c>
      <c r="C1343" s="493" t="s">
        <v>2001</v>
      </c>
      <c r="D1343" s="376" t="str">
        <f>IFERROR(VLOOKUP(E:E,'Item Data Support Sheet'!A:O,7,0),"")</f>
        <v>NIPPLE MOLDED</v>
      </c>
      <c r="E1343" s="447" t="s">
        <v>73</v>
      </c>
      <c r="F1343" s="500" t="s">
        <v>1677</v>
      </c>
      <c r="G1343" s="497" t="s">
        <v>1690</v>
      </c>
      <c r="H1343" s="602" t="str">
        <f>IFERROR(VLOOKUP(E:E,'Item Data Support Sheet'!A:O,2,0),"")</f>
        <v>NIPPLE S TYPE M SIZE INJECTION</v>
      </c>
      <c r="I1343" s="501" t="s">
        <v>4116</v>
      </c>
      <c r="J1343" s="501" t="s">
        <v>2811</v>
      </c>
      <c r="K1343" s="499">
        <v>8</v>
      </c>
      <c r="L1343" s="499">
        <v>3611</v>
      </c>
      <c r="M1343" s="366">
        <v>451.375</v>
      </c>
      <c r="N1343" s="367">
        <f t="shared" si="355"/>
        <v>4100</v>
      </c>
      <c r="O1343" s="61">
        <v>4000</v>
      </c>
      <c r="P1343" s="368">
        <v>0</v>
      </c>
      <c r="Q1343" s="368">
        <v>30</v>
      </c>
      <c r="R1343" s="494">
        <v>0</v>
      </c>
      <c r="S1343" s="493">
        <v>0</v>
      </c>
      <c r="T1343" s="494">
        <v>70</v>
      </c>
      <c r="U1343" s="493">
        <v>0</v>
      </c>
      <c r="V1343" s="502">
        <v>1</v>
      </c>
      <c r="W1343" s="453">
        <f t="shared" si="357"/>
        <v>4000</v>
      </c>
      <c r="X1343" s="748">
        <f t="shared" si="358"/>
        <v>1.1077263915812794</v>
      </c>
      <c r="Y1343" s="451" t="str">
        <f>IFERROR(VLOOKUP(E:E,'Item Data Support Sheet'!A:J,6,0),0)</f>
        <v>Silicon</v>
      </c>
      <c r="Z1343" s="428">
        <f>IFERROR(VLOOKUP(E:E,'Item Data Support Sheet'!A:O,4,0),0)</f>
        <v>6.8</v>
      </c>
      <c r="AA1343" s="428">
        <f t="shared" si="359"/>
        <v>27.88</v>
      </c>
      <c r="AB1343" s="429">
        <f t="shared" si="360"/>
        <v>0.97560975609756095</v>
      </c>
      <c r="AC1343" s="424">
        <f t="shared" si="361"/>
        <v>1.7199017199017199E-2</v>
      </c>
      <c r="AD1343" s="371">
        <f t="shared" si="362"/>
        <v>7.2639225181598066E-3</v>
      </c>
      <c r="AE1343" s="748">
        <f t="shared" si="363"/>
        <v>0.98292682926829267</v>
      </c>
      <c r="AF1343" s="417">
        <f t="shared" si="364"/>
        <v>0</v>
      </c>
      <c r="AG1343" s="416">
        <f t="shared" si="365"/>
        <v>8</v>
      </c>
      <c r="AH1343" s="372">
        <f t="shared" si="366"/>
        <v>1</v>
      </c>
      <c r="AI1343" s="373">
        <f t="shared" si="367"/>
        <v>500</v>
      </c>
      <c r="AJ1343" s="418">
        <f>VLOOKUP(D1343,'Standard Cycle time'!C:D,2,0)</f>
        <v>5.25</v>
      </c>
      <c r="AK1343" s="418">
        <f t="shared" si="368"/>
        <v>7.2</v>
      </c>
      <c r="AL1343" s="374">
        <f t="shared" si="369"/>
        <v>0.72916666666666663</v>
      </c>
      <c r="AM1343" s="372">
        <f t="shared" si="370"/>
        <v>0.71671747967479671</v>
      </c>
      <c r="AN1343" s="799">
        <v>0.71671747967479671</v>
      </c>
      <c r="AO1343" s="448"/>
      <c r="AP1343" s="440">
        <v>0</v>
      </c>
      <c r="AQ1343" s="440">
        <v>0</v>
      </c>
      <c r="AR1343" s="440">
        <v>0</v>
      </c>
      <c r="AS1343" s="440">
        <v>0</v>
      </c>
      <c r="AT1343" s="440">
        <v>0</v>
      </c>
      <c r="AU1343" s="440">
        <v>0</v>
      </c>
      <c r="AV1343" s="440">
        <v>0</v>
      </c>
      <c r="AW1343" s="440">
        <v>0</v>
      </c>
      <c r="AX1343" s="440">
        <v>0</v>
      </c>
      <c r="AY1343" s="440">
        <v>0</v>
      </c>
      <c r="AZ1343" s="440">
        <v>0</v>
      </c>
      <c r="BA1343" s="440">
        <v>0</v>
      </c>
      <c r="BB1343" s="440">
        <v>0</v>
      </c>
      <c r="BC1343" s="440">
        <v>0</v>
      </c>
      <c r="BD1343" s="440">
        <v>0</v>
      </c>
      <c r="BE1343" s="440">
        <v>0</v>
      </c>
      <c r="BF1343" s="440">
        <v>0</v>
      </c>
      <c r="BG1343" s="440">
        <v>0</v>
      </c>
      <c r="BH1343" s="440">
        <v>0</v>
      </c>
      <c r="BI1343" s="440">
        <v>0</v>
      </c>
      <c r="BJ1343" s="440">
        <v>0</v>
      </c>
      <c r="BK1343" s="440">
        <v>0</v>
      </c>
      <c r="BL1343" s="440">
        <v>0</v>
      </c>
      <c r="BM1343" s="440">
        <v>0</v>
      </c>
      <c r="BN1343" s="440">
        <v>0</v>
      </c>
      <c r="BO1343" s="440">
        <v>0</v>
      </c>
      <c r="BP1343" s="440">
        <v>0</v>
      </c>
      <c r="BQ1343" s="440">
        <v>0</v>
      </c>
      <c r="BR1343" s="415">
        <v>0</v>
      </c>
      <c r="BS1343" s="415">
        <v>0</v>
      </c>
      <c r="BT1343" s="935"/>
      <c r="BU1343" s="935"/>
      <c r="BV1343" s="935"/>
      <c r="BW1343" s="935"/>
      <c r="BX1343" s="935"/>
      <c r="BY1343" s="935"/>
      <c r="BZ1343" s="935"/>
      <c r="CA1343" s="935"/>
      <c r="CB1343" s="935"/>
      <c r="CC1343" s="935"/>
      <c r="CD1343" s="935"/>
      <c r="CE1343" s="935"/>
      <c r="CF1343" s="935"/>
      <c r="CG1343" s="935"/>
      <c r="CH1343" s="935"/>
      <c r="CI1343" s="935"/>
      <c r="CJ1343" s="935"/>
      <c r="CK1343" s="935"/>
      <c r="CL1343" s="935"/>
      <c r="CM1343" s="935"/>
      <c r="CN1343" s="935"/>
      <c r="CO1343" s="935"/>
      <c r="CP1343" s="935"/>
      <c r="CQ1343" s="935"/>
      <c r="CR1343" s="935"/>
      <c r="CS1343" s="935"/>
      <c r="CT1343" s="935"/>
      <c r="CU1343" s="935"/>
      <c r="CV1343" s="935"/>
    </row>
    <row r="1344" spans="1:100" s="441" customFormat="1">
      <c r="A1344" s="375">
        <f t="shared" si="356"/>
        <v>11</v>
      </c>
      <c r="B1344" s="862">
        <v>44522</v>
      </c>
      <c r="C1344" s="493" t="s">
        <v>2001</v>
      </c>
      <c r="D1344" s="376" t="str">
        <f>IFERROR(VLOOKUP(E:E,'Item Data Support Sheet'!A:O,7,0),"")</f>
        <v>NIPPLE MOLDED</v>
      </c>
      <c r="E1344" s="447" t="s">
        <v>74</v>
      </c>
      <c r="F1344" s="500" t="s">
        <v>1678</v>
      </c>
      <c r="G1344" s="497" t="s">
        <v>1691</v>
      </c>
      <c r="H1344" s="602" t="str">
        <f>IFERROR(VLOOKUP(E:E,'Item Data Support Sheet'!A:O,2,0),"")</f>
        <v>NIPPLE S TYPE L SIZE INJECTION</v>
      </c>
      <c r="I1344" s="501" t="s">
        <v>4116</v>
      </c>
      <c r="J1344" s="501" t="s">
        <v>2811</v>
      </c>
      <c r="K1344" s="499">
        <v>8</v>
      </c>
      <c r="L1344" s="499">
        <v>4815</v>
      </c>
      <c r="M1344" s="366">
        <v>601.875</v>
      </c>
      <c r="N1344" s="367">
        <f t="shared" si="355"/>
        <v>5720</v>
      </c>
      <c r="O1344" s="61">
        <v>5600</v>
      </c>
      <c r="P1344" s="368">
        <v>0</v>
      </c>
      <c r="Q1344" s="368">
        <v>80</v>
      </c>
      <c r="R1344" s="494">
        <v>0</v>
      </c>
      <c r="S1344" s="493">
        <v>0</v>
      </c>
      <c r="T1344" s="494">
        <v>40</v>
      </c>
      <c r="U1344" s="493">
        <v>0</v>
      </c>
      <c r="V1344" s="502">
        <v>1</v>
      </c>
      <c r="W1344" s="453">
        <f t="shared" si="357"/>
        <v>5600</v>
      </c>
      <c r="X1344" s="748">
        <f t="shared" si="358"/>
        <v>1.1630321910695742</v>
      </c>
      <c r="Y1344" s="451" t="str">
        <f>IFERROR(VLOOKUP(E:E,'Item Data Support Sheet'!A:J,6,0),0)</f>
        <v>Silicon</v>
      </c>
      <c r="Z1344" s="428">
        <f>IFERROR(VLOOKUP(E:E,'Item Data Support Sheet'!A:O,4,0),0)</f>
        <v>6.8</v>
      </c>
      <c r="AA1344" s="428">
        <f t="shared" si="359"/>
        <v>38.896000000000001</v>
      </c>
      <c r="AB1344" s="429">
        <f t="shared" si="360"/>
        <v>0.97902097902097895</v>
      </c>
      <c r="AC1344" s="424">
        <f t="shared" si="361"/>
        <v>7.0921985815602835E-3</v>
      </c>
      <c r="AD1344" s="371">
        <f t="shared" si="362"/>
        <v>1.3793103448275862E-2</v>
      </c>
      <c r="AE1344" s="748">
        <f t="shared" si="363"/>
        <v>0.99300699300699302</v>
      </c>
      <c r="AF1344" s="417">
        <f t="shared" si="364"/>
        <v>0</v>
      </c>
      <c r="AG1344" s="416">
        <f t="shared" si="365"/>
        <v>8</v>
      </c>
      <c r="AH1344" s="372">
        <f t="shared" si="366"/>
        <v>1</v>
      </c>
      <c r="AI1344" s="373">
        <f t="shared" si="367"/>
        <v>700</v>
      </c>
      <c r="AJ1344" s="418">
        <f>VLOOKUP(D1344,'Standard Cycle time'!C:D,2,0)</f>
        <v>5.25</v>
      </c>
      <c r="AK1344" s="418">
        <f t="shared" si="368"/>
        <v>5.1428571428571432</v>
      </c>
      <c r="AL1344" s="374">
        <f t="shared" si="369"/>
        <v>1.0208333333333333</v>
      </c>
      <c r="AM1344" s="372">
        <f t="shared" si="370"/>
        <v>1.0136946386946386</v>
      </c>
      <c r="AN1344" s="799">
        <v>1.0136946386946386</v>
      </c>
      <c r="AO1344" s="448"/>
      <c r="AP1344" s="440">
        <v>0</v>
      </c>
      <c r="AQ1344" s="440">
        <v>0</v>
      </c>
      <c r="AR1344" s="440">
        <v>0</v>
      </c>
      <c r="AS1344" s="440">
        <v>0</v>
      </c>
      <c r="AT1344" s="440">
        <v>0</v>
      </c>
      <c r="AU1344" s="440">
        <v>0</v>
      </c>
      <c r="AV1344" s="440">
        <v>0</v>
      </c>
      <c r="AW1344" s="440">
        <v>0</v>
      </c>
      <c r="AX1344" s="440">
        <v>0</v>
      </c>
      <c r="AY1344" s="440">
        <v>0</v>
      </c>
      <c r="AZ1344" s="440">
        <v>0</v>
      </c>
      <c r="BA1344" s="440">
        <v>0</v>
      </c>
      <c r="BB1344" s="440">
        <v>0</v>
      </c>
      <c r="BC1344" s="440">
        <v>0</v>
      </c>
      <c r="BD1344" s="440">
        <v>0</v>
      </c>
      <c r="BE1344" s="440">
        <v>0</v>
      </c>
      <c r="BF1344" s="440">
        <v>0</v>
      </c>
      <c r="BG1344" s="440">
        <v>0</v>
      </c>
      <c r="BH1344" s="440">
        <v>0</v>
      </c>
      <c r="BI1344" s="440">
        <v>0</v>
      </c>
      <c r="BJ1344" s="440">
        <v>0</v>
      </c>
      <c r="BK1344" s="440">
        <v>0</v>
      </c>
      <c r="BL1344" s="440">
        <v>0</v>
      </c>
      <c r="BM1344" s="440">
        <v>0</v>
      </c>
      <c r="BN1344" s="440">
        <v>0</v>
      </c>
      <c r="BO1344" s="440">
        <v>0</v>
      </c>
      <c r="BP1344" s="440">
        <v>0</v>
      </c>
      <c r="BQ1344" s="440">
        <v>0</v>
      </c>
      <c r="BR1344" s="415">
        <v>0</v>
      </c>
      <c r="BS1344" s="415">
        <v>0</v>
      </c>
      <c r="BT1344" s="935"/>
      <c r="BU1344" s="935"/>
      <c r="BV1344" s="935"/>
      <c r="BW1344" s="935"/>
      <c r="BX1344" s="935"/>
      <c r="BY1344" s="935"/>
      <c r="BZ1344" s="935"/>
      <c r="CA1344" s="935"/>
      <c r="CB1344" s="935"/>
      <c r="CC1344" s="935"/>
      <c r="CD1344" s="935"/>
      <c r="CE1344" s="935"/>
      <c r="CF1344" s="935"/>
      <c r="CG1344" s="935"/>
      <c r="CH1344" s="935"/>
      <c r="CI1344" s="935"/>
      <c r="CJ1344" s="935"/>
      <c r="CK1344" s="935"/>
      <c r="CL1344" s="935"/>
      <c r="CM1344" s="935"/>
      <c r="CN1344" s="935"/>
      <c r="CO1344" s="935"/>
      <c r="CP1344" s="935"/>
      <c r="CQ1344" s="935"/>
      <c r="CR1344" s="935"/>
      <c r="CS1344" s="935"/>
      <c r="CT1344" s="935"/>
      <c r="CU1344" s="935"/>
      <c r="CV1344" s="935"/>
    </row>
    <row r="1345" spans="1:100" s="441" customFormat="1">
      <c r="A1345" s="375">
        <f t="shared" si="356"/>
        <v>11</v>
      </c>
      <c r="B1345" s="862">
        <v>44522</v>
      </c>
      <c r="C1345" s="493" t="s">
        <v>2001</v>
      </c>
      <c r="D1345" s="376" t="str">
        <f>IFERROR(VLOOKUP(E:E,'Item Data Support Sheet'!A:O,7,0),"")</f>
        <v>NIPPLE PUNCH</v>
      </c>
      <c r="E1345" s="447" t="s">
        <v>82</v>
      </c>
      <c r="F1345" s="500"/>
      <c r="G1345" s="497" t="s">
        <v>1692</v>
      </c>
      <c r="H1345" s="602" t="str">
        <f>IFERROR(VLOOKUP(E:E,'Item Data Support Sheet'!A:O,2,0),"")</f>
        <v>NIPPLE S TYPE L SIZE PUNCHED</v>
      </c>
      <c r="I1345" s="501" t="s">
        <v>4117</v>
      </c>
      <c r="J1345" s="501" t="s">
        <v>2811</v>
      </c>
      <c r="K1345" s="499">
        <v>8</v>
      </c>
      <c r="L1345" s="499">
        <v>7000</v>
      </c>
      <c r="M1345" s="366">
        <v>875</v>
      </c>
      <c r="N1345" s="367">
        <f t="shared" si="355"/>
        <v>4250</v>
      </c>
      <c r="O1345" s="61">
        <v>4250</v>
      </c>
      <c r="P1345" s="368">
        <v>0</v>
      </c>
      <c r="Q1345" s="368">
        <v>0</v>
      </c>
      <c r="R1345" s="494">
        <v>0</v>
      </c>
      <c r="S1345" s="493">
        <v>0</v>
      </c>
      <c r="T1345" s="494">
        <v>0</v>
      </c>
      <c r="U1345" s="493">
        <v>0</v>
      </c>
      <c r="V1345" s="502">
        <v>1</v>
      </c>
      <c r="W1345" s="453">
        <f t="shared" si="357"/>
        <v>4250</v>
      </c>
      <c r="X1345" s="748">
        <f t="shared" si="358"/>
        <v>0.6071428571428571</v>
      </c>
      <c r="Y1345" s="451" t="str">
        <f>IFERROR(VLOOKUP(E:E,'Item Data Support Sheet'!A:J,6,0),0)</f>
        <v>FO017</v>
      </c>
      <c r="Z1345" s="428">
        <f>IFERROR(VLOOKUP(E:E,'Item Data Support Sheet'!A:O,4,0),0)</f>
        <v>0</v>
      </c>
      <c r="AA1345" s="428">
        <f t="shared" si="359"/>
        <v>0</v>
      </c>
      <c r="AB1345" s="429" t="str">
        <f t="shared" si="360"/>
        <v xml:space="preserve"> </v>
      </c>
      <c r="AC1345" s="424">
        <f t="shared" si="361"/>
        <v>0</v>
      </c>
      <c r="AD1345" s="371">
        <f t="shared" si="362"/>
        <v>0</v>
      </c>
      <c r="AE1345" s="748">
        <f t="shared" si="363"/>
        <v>1</v>
      </c>
      <c r="AF1345" s="417">
        <f t="shared" si="364"/>
        <v>0.66666666666666663</v>
      </c>
      <c r="AG1345" s="416">
        <f t="shared" si="365"/>
        <v>7.333333333333333</v>
      </c>
      <c r="AH1345" s="372">
        <f t="shared" si="366"/>
        <v>0.91666666666666663</v>
      </c>
      <c r="AI1345" s="373">
        <f t="shared" si="367"/>
        <v>531.25</v>
      </c>
      <c r="AJ1345" s="418">
        <f>VLOOKUP(D1345,'Standard Cycle time'!C:D,2,0)</f>
        <v>3.5</v>
      </c>
      <c r="AK1345" s="418">
        <f t="shared" si="368"/>
        <v>6.2117647058823531</v>
      </c>
      <c r="AL1345" s="374">
        <f t="shared" si="369"/>
        <v>0.56344696969696972</v>
      </c>
      <c r="AM1345" s="372">
        <f t="shared" si="370"/>
        <v>0.51649305555555558</v>
      </c>
      <c r="AN1345" s="799" t="s">
        <v>1859</v>
      </c>
      <c r="AO1345" s="448"/>
      <c r="AP1345" s="440">
        <v>40</v>
      </c>
      <c r="AQ1345" s="440">
        <v>0</v>
      </c>
      <c r="AR1345" s="440">
        <v>0</v>
      </c>
      <c r="AS1345" s="440">
        <v>0</v>
      </c>
      <c r="AT1345" s="440">
        <v>0</v>
      </c>
      <c r="AU1345" s="440">
        <v>0</v>
      </c>
      <c r="AV1345" s="440">
        <v>0</v>
      </c>
      <c r="AW1345" s="440">
        <v>0</v>
      </c>
      <c r="AX1345" s="440">
        <v>0</v>
      </c>
      <c r="AY1345" s="440">
        <v>0</v>
      </c>
      <c r="AZ1345" s="440">
        <v>0</v>
      </c>
      <c r="BA1345" s="440">
        <v>0</v>
      </c>
      <c r="BB1345" s="440">
        <v>0</v>
      </c>
      <c r="BC1345" s="440">
        <v>0</v>
      </c>
      <c r="BD1345" s="440">
        <v>0</v>
      </c>
      <c r="BE1345" s="440">
        <v>0</v>
      </c>
      <c r="BF1345" s="440">
        <v>0</v>
      </c>
      <c r="BG1345" s="440">
        <v>0</v>
      </c>
      <c r="BH1345" s="440">
        <v>0</v>
      </c>
      <c r="BI1345" s="440">
        <v>0</v>
      </c>
      <c r="BJ1345" s="440">
        <v>0</v>
      </c>
      <c r="BK1345" s="440">
        <v>0</v>
      </c>
      <c r="BL1345" s="440">
        <v>0</v>
      </c>
      <c r="BM1345" s="440">
        <v>0</v>
      </c>
      <c r="BN1345" s="440">
        <v>0</v>
      </c>
      <c r="BO1345" s="440">
        <v>0</v>
      </c>
      <c r="BP1345" s="440">
        <v>0</v>
      </c>
      <c r="BQ1345" s="440">
        <v>0</v>
      </c>
      <c r="BR1345" s="415">
        <v>0.66666666666666663</v>
      </c>
      <c r="BS1345" s="415">
        <v>0.66666666666666663</v>
      </c>
      <c r="BT1345" s="935"/>
      <c r="BU1345" s="935"/>
      <c r="BV1345" s="935"/>
      <c r="BW1345" s="935"/>
      <c r="BX1345" s="935"/>
      <c r="BY1345" s="935"/>
      <c r="BZ1345" s="935"/>
      <c r="CA1345" s="935"/>
      <c r="CB1345" s="935"/>
      <c r="CC1345" s="935"/>
      <c r="CD1345" s="935"/>
      <c r="CE1345" s="935"/>
      <c r="CF1345" s="935"/>
      <c r="CG1345" s="935"/>
      <c r="CH1345" s="935"/>
      <c r="CI1345" s="935"/>
      <c r="CJ1345" s="935"/>
      <c r="CK1345" s="935"/>
      <c r="CL1345" s="935"/>
      <c r="CM1345" s="935"/>
      <c r="CN1345" s="935"/>
      <c r="CO1345" s="935"/>
      <c r="CP1345" s="935"/>
      <c r="CQ1345" s="935"/>
      <c r="CR1345" s="935"/>
      <c r="CS1345" s="935"/>
      <c r="CT1345" s="935"/>
      <c r="CU1345" s="935"/>
      <c r="CV1345" s="935"/>
    </row>
    <row r="1346" spans="1:100" s="441" customFormat="1">
      <c r="A1346" s="375">
        <f t="shared" si="356"/>
        <v>11</v>
      </c>
      <c r="B1346" s="862">
        <v>44522</v>
      </c>
      <c r="C1346" s="493" t="s">
        <v>2001</v>
      </c>
      <c r="D1346" s="376" t="str">
        <f>IFERROR(VLOOKUP(E:E,'Item Data Support Sheet'!A:O,7,0),"")</f>
        <v>NIPPLE LASER MARKING</v>
      </c>
      <c r="E1346" s="447" t="s">
        <v>1816</v>
      </c>
      <c r="F1346" s="500"/>
      <c r="G1346" s="497" t="s">
        <v>1812</v>
      </c>
      <c r="H1346" s="602" t="str">
        <f>IFERROR(VLOOKUP(E:E,'Item Data Support Sheet'!A:O,2,0),"")</f>
        <v>NIPPLE S TYPE L SIZE PUNCHED LASER MARKED</v>
      </c>
      <c r="I1346" s="501" t="s">
        <v>4118</v>
      </c>
      <c r="J1346" s="501" t="s">
        <v>2811</v>
      </c>
      <c r="K1346" s="499">
        <v>8</v>
      </c>
      <c r="L1346" s="499">
        <v>7000</v>
      </c>
      <c r="M1346" s="366">
        <v>875</v>
      </c>
      <c r="N1346" s="367">
        <f t="shared" si="355"/>
        <v>6500</v>
      </c>
      <c r="O1346" s="61">
        <v>6500</v>
      </c>
      <c r="P1346" s="368">
        <v>0</v>
      </c>
      <c r="Q1346" s="368">
        <v>0</v>
      </c>
      <c r="R1346" s="494">
        <v>0</v>
      </c>
      <c r="S1346" s="493">
        <v>0</v>
      </c>
      <c r="T1346" s="494">
        <v>0</v>
      </c>
      <c r="U1346" s="493">
        <v>0</v>
      </c>
      <c r="V1346" s="502">
        <v>1</v>
      </c>
      <c r="W1346" s="453">
        <f t="shared" si="357"/>
        <v>6500</v>
      </c>
      <c r="X1346" s="748">
        <f t="shared" si="358"/>
        <v>0.9285714285714286</v>
      </c>
      <c r="Y1346" s="451" t="str">
        <f>IFERROR(VLOOKUP(E:E,'Item Data Support Sheet'!A:J,6,0),0)</f>
        <v>FO021</v>
      </c>
      <c r="Z1346" s="428">
        <f>IFERROR(VLOOKUP(E:E,'Item Data Support Sheet'!A:O,4,0),0)</f>
        <v>0</v>
      </c>
      <c r="AA1346" s="428">
        <f t="shared" si="359"/>
        <v>0</v>
      </c>
      <c r="AB1346" s="429" t="str">
        <f t="shared" si="360"/>
        <v xml:space="preserve"> </v>
      </c>
      <c r="AC1346" s="424">
        <f t="shared" si="361"/>
        <v>0</v>
      </c>
      <c r="AD1346" s="371">
        <f t="shared" si="362"/>
        <v>0</v>
      </c>
      <c r="AE1346" s="748">
        <f t="shared" si="363"/>
        <v>1</v>
      </c>
      <c r="AF1346" s="417">
        <f t="shared" si="364"/>
        <v>0.66666666666666663</v>
      </c>
      <c r="AG1346" s="416">
        <f t="shared" si="365"/>
        <v>7.333333333333333</v>
      </c>
      <c r="AH1346" s="372">
        <f t="shared" si="366"/>
        <v>0.91666666666666663</v>
      </c>
      <c r="AI1346" s="373">
        <f t="shared" si="367"/>
        <v>812.5</v>
      </c>
      <c r="AJ1346" s="418">
        <f>VLOOKUP(D1346,'Standard Cycle time'!C:D,2,0)</f>
        <v>3.5</v>
      </c>
      <c r="AK1346" s="418">
        <f t="shared" si="368"/>
        <v>4.0615384615384613</v>
      </c>
      <c r="AL1346" s="374">
        <f t="shared" si="369"/>
        <v>0.86174242424242431</v>
      </c>
      <c r="AM1346" s="372">
        <f t="shared" si="370"/>
        <v>0.78993055555555558</v>
      </c>
      <c r="AN1346" s="799">
        <v>0.78993055555555558</v>
      </c>
      <c r="AO1346" s="448" t="s">
        <v>4111</v>
      </c>
      <c r="AP1346" s="440">
        <v>40</v>
      </c>
      <c r="AQ1346" s="440">
        <v>0</v>
      </c>
      <c r="AR1346" s="440">
        <v>0</v>
      </c>
      <c r="AS1346" s="440">
        <v>0</v>
      </c>
      <c r="AT1346" s="440">
        <v>0</v>
      </c>
      <c r="AU1346" s="440">
        <v>0</v>
      </c>
      <c r="AV1346" s="440">
        <v>0</v>
      </c>
      <c r="AW1346" s="440">
        <v>0</v>
      </c>
      <c r="AX1346" s="440">
        <v>0</v>
      </c>
      <c r="AY1346" s="440">
        <v>0</v>
      </c>
      <c r="AZ1346" s="440">
        <v>0</v>
      </c>
      <c r="BA1346" s="440">
        <v>0</v>
      </c>
      <c r="BB1346" s="440">
        <v>0</v>
      </c>
      <c r="BC1346" s="440">
        <v>0</v>
      </c>
      <c r="BD1346" s="440">
        <v>0</v>
      </c>
      <c r="BE1346" s="440">
        <v>0</v>
      </c>
      <c r="BF1346" s="440">
        <v>0</v>
      </c>
      <c r="BG1346" s="440">
        <v>0</v>
      </c>
      <c r="BH1346" s="440">
        <v>0</v>
      </c>
      <c r="BI1346" s="440">
        <v>0</v>
      </c>
      <c r="BJ1346" s="440">
        <v>0</v>
      </c>
      <c r="BK1346" s="440">
        <v>0</v>
      </c>
      <c r="BL1346" s="440">
        <v>0</v>
      </c>
      <c r="BM1346" s="440">
        <v>0</v>
      </c>
      <c r="BN1346" s="440">
        <v>0</v>
      </c>
      <c r="BO1346" s="440">
        <v>0</v>
      </c>
      <c r="BP1346" s="440">
        <v>0</v>
      </c>
      <c r="BQ1346" s="440">
        <v>0</v>
      </c>
      <c r="BR1346" s="415">
        <v>0.66666666666666663</v>
      </c>
      <c r="BS1346" s="415">
        <v>0.66666666666666663</v>
      </c>
      <c r="BT1346" s="935"/>
      <c r="BU1346" s="935"/>
      <c r="BV1346" s="935"/>
      <c r="BW1346" s="935"/>
      <c r="BX1346" s="935"/>
      <c r="BY1346" s="935"/>
      <c r="BZ1346" s="935"/>
      <c r="CA1346" s="935"/>
      <c r="CB1346" s="935"/>
      <c r="CC1346" s="935"/>
      <c r="CD1346" s="935"/>
      <c r="CE1346" s="935"/>
      <c r="CF1346" s="935"/>
      <c r="CG1346" s="935"/>
      <c r="CH1346" s="935"/>
      <c r="CI1346" s="935"/>
      <c r="CJ1346" s="935"/>
      <c r="CK1346" s="935"/>
      <c r="CL1346" s="935"/>
      <c r="CM1346" s="935"/>
      <c r="CN1346" s="935"/>
      <c r="CO1346" s="935"/>
      <c r="CP1346" s="935"/>
      <c r="CQ1346" s="935"/>
      <c r="CR1346" s="935"/>
      <c r="CS1346" s="935"/>
      <c r="CT1346" s="935"/>
      <c r="CU1346" s="935"/>
      <c r="CV1346" s="935"/>
    </row>
    <row r="1347" spans="1:100" s="441" customFormat="1">
      <c r="A1347" s="375">
        <f t="shared" si="356"/>
        <v>11</v>
      </c>
      <c r="B1347" s="862">
        <v>44522</v>
      </c>
      <c r="C1347" s="493" t="s">
        <v>2053</v>
      </c>
      <c r="D1347" s="376" t="str">
        <f>IFERROR(VLOOKUP(E:E,'Item Data Support Sheet'!A:O,7,0),"")</f>
        <v>BOTTLE MOLDED</v>
      </c>
      <c r="E1347" s="447" t="s">
        <v>139</v>
      </c>
      <c r="F1347" s="500" t="s">
        <v>1682</v>
      </c>
      <c r="G1347" s="497" t="s">
        <v>1665</v>
      </c>
      <c r="H1347" s="602" t="str">
        <f>IFERROR(VLOOKUP(E:E,'Item Data Support Sheet'!A:O,2,0),"")</f>
        <v>RPP 120ML BLUE BOTTLE MOLDED (WM3GB)</v>
      </c>
      <c r="I1347" s="501" t="s">
        <v>4119</v>
      </c>
      <c r="J1347" s="501" t="s">
        <v>2808</v>
      </c>
      <c r="K1347" s="499">
        <v>8</v>
      </c>
      <c r="L1347" s="499">
        <v>1000</v>
      </c>
      <c r="M1347" s="366">
        <v>125</v>
      </c>
      <c r="N1347" s="367">
        <f t="shared" si="355"/>
        <v>614</v>
      </c>
      <c r="O1347" s="61">
        <v>600</v>
      </c>
      <c r="P1347" s="368">
        <v>0</v>
      </c>
      <c r="Q1347" s="368">
        <v>0</v>
      </c>
      <c r="R1347" s="494">
        <v>0</v>
      </c>
      <c r="S1347" s="493">
        <v>0</v>
      </c>
      <c r="T1347" s="494">
        <v>14</v>
      </c>
      <c r="U1347" s="493">
        <v>0</v>
      </c>
      <c r="V1347" s="502">
        <v>1</v>
      </c>
      <c r="W1347" s="453">
        <f t="shared" si="357"/>
        <v>600</v>
      </c>
      <c r="X1347" s="748">
        <f t="shared" si="358"/>
        <v>0.6</v>
      </c>
      <c r="Y1347" s="451" t="str">
        <f>IFERROR(VLOOKUP(E:E,'Item Data Support Sheet'!A:J,6,0),0)</f>
        <v>WMG3B</v>
      </c>
      <c r="Z1347" s="428">
        <f>IFERROR(VLOOKUP(E:E,'Item Data Support Sheet'!A:O,4,0),0)</f>
        <v>22.7</v>
      </c>
      <c r="AA1347" s="428">
        <f t="shared" si="359"/>
        <v>13.937799999999999</v>
      </c>
      <c r="AB1347" s="429">
        <f t="shared" si="360"/>
        <v>0.9771986970684039</v>
      </c>
      <c r="AC1347" s="424">
        <f t="shared" si="361"/>
        <v>2.2801302931596091E-2</v>
      </c>
      <c r="AD1347" s="371">
        <f t="shared" si="362"/>
        <v>0</v>
      </c>
      <c r="AE1347" s="748">
        <f t="shared" si="363"/>
        <v>0.9771986970684039</v>
      </c>
      <c r="AF1347" s="417">
        <f t="shared" si="364"/>
        <v>6.166666666666667</v>
      </c>
      <c r="AG1347" s="416">
        <f t="shared" si="365"/>
        <v>1.833333333333333</v>
      </c>
      <c r="AH1347" s="372">
        <f t="shared" si="366"/>
        <v>0.22916666666666663</v>
      </c>
      <c r="AI1347" s="373">
        <f t="shared" si="367"/>
        <v>75</v>
      </c>
      <c r="AJ1347" s="418">
        <f>VLOOKUP(D1347,'Standard Cycle time'!C:D,2,0)</f>
        <v>9</v>
      </c>
      <c r="AK1347" s="418">
        <f t="shared" si="368"/>
        <v>10.999999999999998</v>
      </c>
      <c r="AL1347" s="374">
        <f t="shared" si="369"/>
        <v>0.81818181818181834</v>
      </c>
      <c r="AM1347" s="372">
        <f t="shared" si="370"/>
        <v>0.18322475570032576</v>
      </c>
      <c r="AN1347" s="799">
        <v>0.18322475570032576</v>
      </c>
      <c r="AO1347" s="448" t="s">
        <v>4120</v>
      </c>
      <c r="AP1347" s="440">
        <v>0</v>
      </c>
      <c r="AQ1347" s="440">
        <v>170</v>
      </c>
      <c r="AR1347" s="440">
        <v>0</v>
      </c>
      <c r="AS1347" s="440">
        <v>0</v>
      </c>
      <c r="AT1347" s="440">
        <v>0</v>
      </c>
      <c r="AU1347" s="440">
        <v>0</v>
      </c>
      <c r="AV1347" s="440">
        <v>0</v>
      </c>
      <c r="AW1347" s="440">
        <v>0</v>
      </c>
      <c r="AX1347" s="440">
        <v>0</v>
      </c>
      <c r="AY1347" s="440">
        <v>0</v>
      </c>
      <c r="AZ1347" s="440">
        <v>0</v>
      </c>
      <c r="BA1347" s="440">
        <v>0</v>
      </c>
      <c r="BB1347" s="440">
        <v>0</v>
      </c>
      <c r="BC1347" s="440">
        <v>0</v>
      </c>
      <c r="BD1347" s="440">
        <v>0</v>
      </c>
      <c r="BE1347" s="440">
        <v>200</v>
      </c>
      <c r="BF1347" s="440">
        <v>0</v>
      </c>
      <c r="BG1347" s="440">
        <v>0</v>
      </c>
      <c r="BH1347" s="440">
        <v>0</v>
      </c>
      <c r="BI1347" s="440">
        <v>0</v>
      </c>
      <c r="BJ1347" s="440">
        <v>0</v>
      </c>
      <c r="BK1347" s="440">
        <v>0</v>
      </c>
      <c r="BL1347" s="440">
        <v>0</v>
      </c>
      <c r="BM1347" s="440">
        <v>0</v>
      </c>
      <c r="BN1347" s="440">
        <v>0</v>
      </c>
      <c r="BO1347" s="440">
        <v>0</v>
      </c>
      <c r="BP1347" s="440">
        <v>0</v>
      </c>
      <c r="BQ1347" s="440">
        <v>0</v>
      </c>
      <c r="BR1347" s="415">
        <v>6.166666666666667</v>
      </c>
      <c r="BS1347" s="415">
        <v>6.166666666666667</v>
      </c>
      <c r="BT1347" s="935"/>
      <c r="BU1347" s="935"/>
      <c r="BV1347" s="935"/>
      <c r="BW1347" s="935"/>
      <c r="BX1347" s="935"/>
      <c r="BY1347" s="935"/>
      <c r="BZ1347" s="935"/>
      <c r="CA1347" s="935"/>
      <c r="CB1347" s="935"/>
      <c r="CC1347" s="935"/>
      <c r="CD1347" s="935"/>
      <c r="CE1347" s="935"/>
      <c r="CF1347" s="935"/>
      <c r="CG1347" s="935"/>
      <c r="CH1347" s="935"/>
      <c r="CI1347" s="935"/>
      <c r="CJ1347" s="935"/>
      <c r="CK1347" s="935"/>
      <c r="CL1347" s="935"/>
      <c r="CM1347" s="935"/>
      <c r="CN1347" s="935"/>
      <c r="CO1347" s="935"/>
      <c r="CP1347" s="935"/>
      <c r="CQ1347" s="935"/>
      <c r="CR1347" s="935"/>
      <c r="CS1347" s="935"/>
      <c r="CT1347" s="935"/>
      <c r="CU1347" s="935"/>
      <c r="CV1347" s="935"/>
    </row>
    <row r="1348" spans="1:100" s="441" customFormat="1">
      <c r="A1348" s="375">
        <f t="shared" si="356"/>
        <v>11</v>
      </c>
      <c r="B1348" s="862">
        <v>44522</v>
      </c>
      <c r="C1348" s="493" t="s">
        <v>2053</v>
      </c>
      <c r="D1348" s="376" t="str">
        <f>IFERROR(VLOOKUP(E:E,'Item Data Support Sheet'!A:O,7,0),"")</f>
        <v>HOOD MOLDED</v>
      </c>
      <c r="E1348" s="447" t="s">
        <v>1987</v>
      </c>
      <c r="F1348" s="500"/>
      <c r="G1348" s="497" t="s">
        <v>2729</v>
      </c>
      <c r="H1348" s="602" t="str">
        <f>IFERROR(VLOOKUP(E:E,'Item Data Support Sheet'!A:O,2,0),"")</f>
        <v>HOOD S TYPE MOLDED</v>
      </c>
      <c r="I1348" s="501" t="s">
        <v>4108</v>
      </c>
      <c r="J1348" s="501" t="s">
        <v>2808</v>
      </c>
      <c r="K1348" s="499">
        <v>8</v>
      </c>
      <c r="L1348" s="499">
        <v>4137</v>
      </c>
      <c r="M1348" s="366">
        <v>517.125</v>
      </c>
      <c r="N1348" s="367">
        <f t="shared" ref="N1348:N1411" si="371">+O1348+Q1348+T1348+U1348</f>
        <v>4012</v>
      </c>
      <c r="O1348" s="61">
        <v>4000</v>
      </c>
      <c r="P1348" s="368">
        <v>0</v>
      </c>
      <c r="Q1348" s="368">
        <v>0</v>
      </c>
      <c r="R1348" s="494">
        <v>0</v>
      </c>
      <c r="S1348" s="493">
        <v>0</v>
      </c>
      <c r="T1348" s="494">
        <v>4</v>
      </c>
      <c r="U1348" s="493">
        <v>8</v>
      </c>
      <c r="V1348" s="502">
        <v>1</v>
      </c>
      <c r="W1348" s="453">
        <f t="shared" si="357"/>
        <v>4000</v>
      </c>
      <c r="X1348" s="748">
        <f t="shared" si="358"/>
        <v>0.96688421561518012</v>
      </c>
      <c r="Y1348" s="451" t="str">
        <f>IFERROR(VLOOKUP(E:E,'Item Data Support Sheet'!A:J,6,0),0)</f>
        <v>HMC</v>
      </c>
      <c r="Z1348" s="428">
        <f>IFERROR(VLOOKUP(E:E,'Item Data Support Sheet'!A:O,4,0),0)</f>
        <v>8.6</v>
      </c>
      <c r="AA1348" s="428">
        <f t="shared" si="359"/>
        <v>34.5032</v>
      </c>
      <c r="AB1348" s="429">
        <f t="shared" si="360"/>
        <v>0.99700897308075764</v>
      </c>
      <c r="AC1348" s="424">
        <f t="shared" si="361"/>
        <v>9.99000999000999E-4</v>
      </c>
      <c r="AD1348" s="371">
        <f t="shared" si="362"/>
        <v>0</v>
      </c>
      <c r="AE1348" s="748">
        <f t="shared" si="363"/>
        <v>0.99900299102691925</v>
      </c>
      <c r="AF1348" s="417">
        <f t="shared" si="364"/>
        <v>0</v>
      </c>
      <c r="AG1348" s="416">
        <f t="shared" si="365"/>
        <v>8</v>
      </c>
      <c r="AH1348" s="372">
        <f t="shared" si="366"/>
        <v>1</v>
      </c>
      <c r="AI1348" s="373">
        <f t="shared" si="367"/>
        <v>500</v>
      </c>
      <c r="AJ1348" s="418">
        <f>VLOOKUP(D1348,'Standard Cycle time'!C:D,2,0)</f>
        <v>6</v>
      </c>
      <c r="AK1348" s="418">
        <f t="shared" si="368"/>
        <v>7.2</v>
      </c>
      <c r="AL1348" s="374">
        <f t="shared" si="369"/>
        <v>0.83333333333333326</v>
      </c>
      <c r="AM1348" s="372">
        <f t="shared" si="370"/>
        <v>0.83250249252243269</v>
      </c>
      <c r="AN1348" s="799">
        <v>0.83250249252243269</v>
      </c>
      <c r="AO1348" s="448" t="s">
        <v>2454</v>
      </c>
      <c r="AP1348" s="440">
        <v>0</v>
      </c>
      <c r="AQ1348" s="440">
        <v>0</v>
      </c>
      <c r="AR1348" s="440">
        <v>0</v>
      </c>
      <c r="AS1348" s="440">
        <v>0</v>
      </c>
      <c r="AT1348" s="440">
        <v>0</v>
      </c>
      <c r="AU1348" s="440">
        <v>0</v>
      </c>
      <c r="AV1348" s="440">
        <v>0</v>
      </c>
      <c r="AW1348" s="440">
        <v>0</v>
      </c>
      <c r="AX1348" s="440">
        <v>0</v>
      </c>
      <c r="AY1348" s="440">
        <v>0</v>
      </c>
      <c r="AZ1348" s="440">
        <v>0</v>
      </c>
      <c r="BA1348" s="440">
        <v>0</v>
      </c>
      <c r="BB1348" s="440">
        <v>0</v>
      </c>
      <c r="BC1348" s="440">
        <v>0</v>
      </c>
      <c r="BD1348" s="440">
        <v>0</v>
      </c>
      <c r="BE1348" s="440">
        <v>0</v>
      </c>
      <c r="BF1348" s="440">
        <v>0</v>
      </c>
      <c r="BG1348" s="440">
        <v>0</v>
      </c>
      <c r="BH1348" s="440">
        <v>0</v>
      </c>
      <c r="BI1348" s="440">
        <v>0</v>
      </c>
      <c r="BJ1348" s="440">
        <v>0</v>
      </c>
      <c r="BK1348" s="440">
        <v>0</v>
      </c>
      <c r="BL1348" s="440">
        <v>0</v>
      </c>
      <c r="BM1348" s="440">
        <v>0</v>
      </c>
      <c r="BN1348" s="440">
        <v>0</v>
      </c>
      <c r="BO1348" s="440">
        <v>0</v>
      </c>
      <c r="BP1348" s="440">
        <v>0</v>
      </c>
      <c r="BQ1348" s="440">
        <v>0</v>
      </c>
      <c r="BR1348" s="415">
        <v>0</v>
      </c>
      <c r="BS1348" s="415">
        <v>0</v>
      </c>
      <c r="BT1348" s="935"/>
      <c r="BU1348" s="935"/>
      <c r="BV1348" s="935"/>
      <c r="BW1348" s="935"/>
      <c r="BX1348" s="935"/>
      <c r="BY1348" s="935"/>
      <c r="BZ1348" s="935"/>
      <c r="CA1348" s="935"/>
      <c r="CB1348" s="935"/>
      <c r="CC1348" s="935"/>
      <c r="CD1348" s="935"/>
      <c r="CE1348" s="935"/>
      <c r="CF1348" s="935"/>
      <c r="CG1348" s="935"/>
      <c r="CH1348" s="935"/>
      <c r="CI1348" s="935"/>
      <c r="CJ1348" s="935"/>
      <c r="CK1348" s="935"/>
      <c r="CL1348" s="935"/>
      <c r="CM1348" s="935"/>
      <c r="CN1348" s="935"/>
      <c r="CO1348" s="935"/>
      <c r="CP1348" s="935"/>
      <c r="CQ1348" s="935"/>
      <c r="CR1348" s="935"/>
      <c r="CS1348" s="935"/>
      <c r="CT1348" s="935"/>
      <c r="CU1348" s="935"/>
      <c r="CV1348" s="935"/>
    </row>
    <row r="1349" spans="1:100" s="441" customFormat="1">
      <c r="A1349" s="375">
        <f t="shared" ref="A1349:A1412" si="372">MONTH(B1349)</f>
        <v>11</v>
      </c>
      <c r="B1349" s="862">
        <v>44522</v>
      </c>
      <c r="C1349" s="493" t="s">
        <v>2053</v>
      </c>
      <c r="D1349" s="376" t="str">
        <f>IFERROR(VLOOKUP(E:E,'Item Data Support Sheet'!A:O,7,0),"")</f>
        <v>NIPPLE MOLDED</v>
      </c>
      <c r="E1349" s="447" t="s">
        <v>73</v>
      </c>
      <c r="F1349" s="500" t="s">
        <v>1677</v>
      </c>
      <c r="G1349" s="497" t="s">
        <v>1690</v>
      </c>
      <c r="H1349" s="602" t="str">
        <f>IFERROR(VLOOKUP(E:E,'Item Data Support Sheet'!A:O,2,0),"")</f>
        <v>NIPPLE S TYPE M SIZE INJECTION</v>
      </c>
      <c r="I1349" s="501" t="s">
        <v>4121</v>
      </c>
      <c r="J1349" s="501" t="s">
        <v>2808</v>
      </c>
      <c r="K1349" s="499">
        <v>8</v>
      </c>
      <c r="L1349" s="499">
        <v>3611</v>
      </c>
      <c r="M1349" s="366">
        <v>451.375</v>
      </c>
      <c r="N1349" s="367">
        <f t="shared" si="371"/>
        <v>1239</v>
      </c>
      <c r="O1349" s="61">
        <v>1220</v>
      </c>
      <c r="P1349" s="368">
        <v>0</v>
      </c>
      <c r="Q1349" s="368">
        <v>0</v>
      </c>
      <c r="R1349" s="494">
        <v>0</v>
      </c>
      <c r="S1349" s="493">
        <v>0</v>
      </c>
      <c r="T1349" s="494">
        <v>19</v>
      </c>
      <c r="U1349" s="493">
        <v>0</v>
      </c>
      <c r="V1349" s="502">
        <v>1</v>
      </c>
      <c r="W1349" s="453">
        <f t="shared" ref="W1349:W1412" si="373">IFERROR(O1349/V1349,0)</f>
        <v>1220</v>
      </c>
      <c r="X1349" s="748">
        <f t="shared" ref="X1349:X1412" si="374">O1349/L1349</f>
        <v>0.33785654943229021</v>
      </c>
      <c r="Y1349" s="451" t="str">
        <f>IFERROR(VLOOKUP(E:E,'Item Data Support Sheet'!A:J,6,0),0)</f>
        <v>Silicon</v>
      </c>
      <c r="Z1349" s="428">
        <f>IFERROR(VLOOKUP(E:E,'Item Data Support Sheet'!A:O,4,0),0)</f>
        <v>6.8</v>
      </c>
      <c r="AA1349" s="428">
        <f t="shared" ref="AA1349:AA1412" si="375">IFERROR(((N1349)*(Z1349/1000))+P1349,0)</f>
        <v>8.4252000000000002</v>
      </c>
      <c r="AB1349" s="429">
        <f t="shared" ref="AB1349:AB1412" si="376">IFERROR((O1349*(Z1349/1000)/(AA1349))," ")</f>
        <v>0.98466505246166258</v>
      </c>
      <c r="AC1349" s="424">
        <f t="shared" ref="AC1349:AC1412" si="377">IFERROR((T1349)/((T1349)+O1349),0)</f>
        <v>1.5334947538337369E-2</v>
      </c>
      <c r="AD1349" s="371">
        <f t="shared" ref="AD1349:AD1412" si="378">IFERROR(Q1349/(Q1349+N1349),0)</f>
        <v>0</v>
      </c>
      <c r="AE1349" s="748">
        <f t="shared" ref="AE1349:AE1412" si="379">(N1349-T1349)/N1349</f>
        <v>0.98466505246166258</v>
      </c>
      <c r="AF1349" s="417">
        <f t="shared" ref="AF1349:AF1412" si="380">BR1349</f>
        <v>6</v>
      </c>
      <c r="AG1349" s="416">
        <f t="shared" ref="AG1349:AG1412" si="381">K1349-AF1349</f>
        <v>2</v>
      </c>
      <c r="AH1349" s="372">
        <f t="shared" ref="AH1349:AH1412" si="382">IFERROR(AG1349/K1349," ")</f>
        <v>0.25</v>
      </c>
      <c r="AI1349" s="373">
        <f t="shared" ref="AI1349:AI1412" si="383">IFERROR(O1349/K1349,0)</f>
        <v>152.5</v>
      </c>
      <c r="AJ1349" s="418">
        <f>VLOOKUP(D1349,'Standard Cycle time'!C:D,2,0)</f>
        <v>5.25</v>
      </c>
      <c r="AK1349" s="418">
        <f t="shared" ref="AK1349:AK1412" si="384">AG1349*V1349*3600/O1349</f>
        <v>5.9016393442622954</v>
      </c>
      <c r="AL1349" s="374">
        <f t="shared" ref="AL1349:AL1412" si="385">AJ1349/AK1349</f>
        <v>0.88958333333333328</v>
      </c>
      <c r="AM1349" s="372">
        <f t="shared" ref="AM1349:AM1412" si="386">AE1349*AL1349*AH1349</f>
        <v>0.21898540489642182</v>
      </c>
      <c r="AN1349" s="799">
        <v>0.21898540489642182</v>
      </c>
      <c r="AO1349" s="448" t="s">
        <v>4122</v>
      </c>
      <c r="AP1349" s="440">
        <v>0</v>
      </c>
      <c r="AQ1349" s="440">
        <v>0</v>
      </c>
      <c r="AR1349" s="440">
        <v>0</v>
      </c>
      <c r="AS1349" s="440">
        <v>0</v>
      </c>
      <c r="AT1349" s="440">
        <v>0</v>
      </c>
      <c r="AU1349" s="440">
        <v>0</v>
      </c>
      <c r="AV1349" s="440">
        <v>0</v>
      </c>
      <c r="AW1349" s="440">
        <v>0</v>
      </c>
      <c r="AX1349" s="440">
        <v>0</v>
      </c>
      <c r="AY1349" s="440">
        <v>0</v>
      </c>
      <c r="AZ1349" s="440">
        <v>0</v>
      </c>
      <c r="BA1349" s="440">
        <v>0</v>
      </c>
      <c r="BB1349" s="440">
        <v>0</v>
      </c>
      <c r="BC1349" s="440">
        <v>0</v>
      </c>
      <c r="BD1349" s="440">
        <v>0</v>
      </c>
      <c r="BE1349" s="440">
        <v>0</v>
      </c>
      <c r="BF1349" s="440">
        <v>0</v>
      </c>
      <c r="BG1349" s="440">
        <v>0</v>
      </c>
      <c r="BH1349" s="440">
        <v>0</v>
      </c>
      <c r="BI1349" s="440">
        <v>0</v>
      </c>
      <c r="BJ1349" s="440">
        <v>0</v>
      </c>
      <c r="BK1349" s="440">
        <v>360</v>
      </c>
      <c r="BL1349" s="440">
        <v>0</v>
      </c>
      <c r="BM1349" s="440">
        <v>0</v>
      </c>
      <c r="BN1349" s="440">
        <v>0</v>
      </c>
      <c r="BO1349" s="440">
        <v>0</v>
      </c>
      <c r="BP1349" s="440">
        <v>0</v>
      </c>
      <c r="BQ1349" s="440">
        <v>0</v>
      </c>
      <c r="BR1349" s="415">
        <v>6</v>
      </c>
      <c r="BS1349" s="415">
        <v>6</v>
      </c>
      <c r="BT1349" s="935"/>
      <c r="BU1349" s="935"/>
      <c r="BV1349" s="935"/>
      <c r="BW1349" s="935"/>
      <c r="BX1349" s="935"/>
      <c r="BY1349" s="935"/>
      <c r="BZ1349" s="935"/>
      <c r="CA1349" s="935"/>
      <c r="CB1349" s="935"/>
      <c r="CC1349" s="935"/>
      <c r="CD1349" s="935"/>
      <c r="CE1349" s="935"/>
      <c r="CF1349" s="935"/>
      <c r="CG1349" s="935"/>
      <c r="CH1349" s="935"/>
      <c r="CI1349" s="935"/>
      <c r="CJ1349" s="935"/>
      <c r="CK1349" s="935"/>
      <c r="CL1349" s="935"/>
      <c r="CM1349" s="935"/>
      <c r="CN1349" s="935"/>
      <c r="CO1349" s="935"/>
      <c r="CP1349" s="935"/>
      <c r="CQ1349" s="935"/>
      <c r="CR1349" s="935"/>
      <c r="CS1349" s="935"/>
      <c r="CT1349" s="935"/>
      <c r="CU1349" s="935"/>
      <c r="CV1349" s="935"/>
    </row>
    <row r="1350" spans="1:100" s="441" customFormat="1">
      <c r="A1350" s="375">
        <f t="shared" si="372"/>
        <v>11</v>
      </c>
      <c r="B1350" s="862">
        <v>44522</v>
      </c>
      <c r="C1350" s="493" t="s">
        <v>2053</v>
      </c>
      <c r="D1350" s="376" t="str">
        <f>IFERROR(VLOOKUP(E:E,'Item Data Support Sheet'!A:O,7,0),"")</f>
        <v>NIPPLE MOLDED</v>
      </c>
      <c r="E1350" s="447" t="s">
        <v>74</v>
      </c>
      <c r="F1350" s="500" t="s">
        <v>1678</v>
      </c>
      <c r="G1350" s="497" t="s">
        <v>1691</v>
      </c>
      <c r="H1350" s="602" t="str">
        <f>IFERROR(VLOOKUP(E:E,'Item Data Support Sheet'!A:O,2,0),"")</f>
        <v>NIPPLE S TYPE L SIZE INJECTION</v>
      </c>
      <c r="I1350" s="501" t="s">
        <v>4121</v>
      </c>
      <c r="J1350" s="501" t="s">
        <v>2808</v>
      </c>
      <c r="K1350" s="499">
        <v>8</v>
      </c>
      <c r="L1350" s="499">
        <v>4815</v>
      </c>
      <c r="M1350" s="366">
        <v>601.875</v>
      </c>
      <c r="N1350" s="367">
        <f t="shared" si="371"/>
        <v>5659</v>
      </c>
      <c r="O1350" s="61">
        <v>5600</v>
      </c>
      <c r="P1350" s="368">
        <v>0</v>
      </c>
      <c r="Q1350" s="368">
        <v>0</v>
      </c>
      <c r="R1350" s="494">
        <v>0</v>
      </c>
      <c r="S1350" s="493">
        <v>0</v>
      </c>
      <c r="T1350" s="494">
        <v>51</v>
      </c>
      <c r="U1350" s="493">
        <v>8</v>
      </c>
      <c r="V1350" s="502">
        <v>1</v>
      </c>
      <c r="W1350" s="453">
        <f t="shared" si="373"/>
        <v>5600</v>
      </c>
      <c r="X1350" s="748">
        <f t="shared" si="374"/>
        <v>1.1630321910695742</v>
      </c>
      <c r="Y1350" s="451" t="str">
        <f>IFERROR(VLOOKUP(E:E,'Item Data Support Sheet'!A:J,6,0),0)</f>
        <v>Silicon</v>
      </c>
      <c r="Z1350" s="428">
        <f>IFERROR(VLOOKUP(E:E,'Item Data Support Sheet'!A:O,4,0),0)</f>
        <v>6.8</v>
      </c>
      <c r="AA1350" s="428">
        <f t="shared" si="375"/>
        <v>38.481200000000001</v>
      </c>
      <c r="AB1350" s="429">
        <f t="shared" si="376"/>
        <v>0.98957412970489478</v>
      </c>
      <c r="AC1350" s="424">
        <f t="shared" si="377"/>
        <v>9.024951336046718E-3</v>
      </c>
      <c r="AD1350" s="371">
        <f t="shared" si="378"/>
        <v>0</v>
      </c>
      <c r="AE1350" s="748">
        <f t="shared" si="379"/>
        <v>0.99098780703304468</v>
      </c>
      <c r="AF1350" s="417">
        <f t="shared" si="380"/>
        <v>0</v>
      </c>
      <c r="AG1350" s="416">
        <f t="shared" si="381"/>
        <v>8</v>
      </c>
      <c r="AH1350" s="372">
        <f t="shared" si="382"/>
        <v>1</v>
      </c>
      <c r="AI1350" s="373">
        <f t="shared" si="383"/>
        <v>700</v>
      </c>
      <c r="AJ1350" s="418">
        <f>VLOOKUP(D1350,'Standard Cycle time'!C:D,2,0)</f>
        <v>5.25</v>
      </c>
      <c r="AK1350" s="418">
        <f t="shared" si="384"/>
        <v>5.1428571428571432</v>
      </c>
      <c r="AL1350" s="374">
        <f t="shared" si="385"/>
        <v>1.0208333333333333</v>
      </c>
      <c r="AM1350" s="372">
        <f t="shared" si="386"/>
        <v>1.011633386346233</v>
      </c>
      <c r="AN1350" s="799">
        <v>1.011633386346233</v>
      </c>
      <c r="AO1350" s="448"/>
      <c r="AP1350" s="440">
        <v>0</v>
      </c>
      <c r="AQ1350" s="440">
        <v>0</v>
      </c>
      <c r="AR1350" s="440">
        <v>0</v>
      </c>
      <c r="AS1350" s="440">
        <v>0</v>
      </c>
      <c r="AT1350" s="440">
        <v>0</v>
      </c>
      <c r="AU1350" s="440">
        <v>0</v>
      </c>
      <c r="AV1350" s="440">
        <v>0</v>
      </c>
      <c r="AW1350" s="440">
        <v>0</v>
      </c>
      <c r="AX1350" s="440">
        <v>0</v>
      </c>
      <c r="AY1350" s="440">
        <v>0</v>
      </c>
      <c r="AZ1350" s="440">
        <v>0</v>
      </c>
      <c r="BA1350" s="440">
        <v>0</v>
      </c>
      <c r="BB1350" s="440">
        <v>0</v>
      </c>
      <c r="BC1350" s="440">
        <v>0</v>
      </c>
      <c r="BD1350" s="440">
        <v>0</v>
      </c>
      <c r="BE1350" s="440">
        <v>0</v>
      </c>
      <c r="BF1350" s="440">
        <v>0</v>
      </c>
      <c r="BG1350" s="440">
        <v>0</v>
      </c>
      <c r="BH1350" s="440">
        <v>0</v>
      </c>
      <c r="BI1350" s="440">
        <v>0</v>
      </c>
      <c r="BJ1350" s="440">
        <v>0</v>
      </c>
      <c r="BK1350" s="440">
        <v>0</v>
      </c>
      <c r="BL1350" s="440">
        <v>0</v>
      </c>
      <c r="BM1350" s="440">
        <v>0</v>
      </c>
      <c r="BN1350" s="440">
        <v>0</v>
      </c>
      <c r="BO1350" s="440">
        <v>0</v>
      </c>
      <c r="BP1350" s="440">
        <v>0</v>
      </c>
      <c r="BQ1350" s="440">
        <v>0</v>
      </c>
      <c r="BR1350" s="415">
        <v>0</v>
      </c>
      <c r="BS1350" s="415">
        <v>0</v>
      </c>
      <c r="BT1350" s="935"/>
      <c r="BU1350" s="935"/>
      <c r="BV1350" s="935"/>
      <c r="BW1350" s="935"/>
      <c r="BX1350" s="935"/>
      <c r="BY1350" s="935"/>
      <c r="BZ1350" s="935"/>
      <c r="CA1350" s="935"/>
      <c r="CB1350" s="935"/>
      <c r="CC1350" s="935"/>
      <c r="CD1350" s="935"/>
      <c r="CE1350" s="935"/>
      <c r="CF1350" s="935"/>
      <c r="CG1350" s="935"/>
      <c r="CH1350" s="935"/>
      <c r="CI1350" s="935"/>
      <c r="CJ1350" s="935"/>
      <c r="CK1350" s="935"/>
      <c r="CL1350" s="935"/>
      <c r="CM1350" s="935"/>
      <c r="CN1350" s="935"/>
      <c r="CO1350" s="935"/>
      <c r="CP1350" s="935"/>
      <c r="CQ1350" s="935"/>
      <c r="CR1350" s="935"/>
      <c r="CS1350" s="935"/>
      <c r="CT1350" s="935"/>
      <c r="CU1350" s="935"/>
      <c r="CV1350" s="935"/>
    </row>
    <row r="1351" spans="1:100" s="441" customFormat="1">
      <c r="A1351" s="375">
        <f t="shared" si="372"/>
        <v>11</v>
      </c>
      <c r="B1351" s="862">
        <v>44522</v>
      </c>
      <c r="C1351" s="493" t="s">
        <v>2053</v>
      </c>
      <c r="D1351" s="376" t="str">
        <f>IFERROR(VLOOKUP(E:E,'Item Data Support Sheet'!A:O,7,0),"")</f>
        <v>NIPPLE PUNCH</v>
      </c>
      <c r="E1351" s="447" t="s">
        <v>82</v>
      </c>
      <c r="F1351" s="500"/>
      <c r="G1351" s="497" t="s">
        <v>1692</v>
      </c>
      <c r="H1351" s="602" t="str">
        <f>IFERROR(VLOOKUP(E:E,'Item Data Support Sheet'!A:O,2,0),"")</f>
        <v>NIPPLE S TYPE L SIZE PUNCHED</v>
      </c>
      <c r="I1351" s="501" t="s">
        <v>4123</v>
      </c>
      <c r="J1351" s="501" t="s">
        <v>2808</v>
      </c>
      <c r="K1351" s="499">
        <v>8</v>
      </c>
      <c r="L1351" s="499">
        <v>7000</v>
      </c>
      <c r="M1351" s="366">
        <v>875</v>
      </c>
      <c r="N1351" s="367">
        <f t="shared" si="371"/>
        <v>3000</v>
      </c>
      <c r="O1351" s="61">
        <v>3000</v>
      </c>
      <c r="P1351" s="368">
        <v>0</v>
      </c>
      <c r="Q1351" s="368">
        <v>0</v>
      </c>
      <c r="R1351" s="494">
        <v>0</v>
      </c>
      <c r="S1351" s="493">
        <v>0</v>
      </c>
      <c r="T1351" s="494">
        <v>0</v>
      </c>
      <c r="U1351" s="493">
        <v>0</v>
      </c>
      <c r="V1351" s="502">
        <v>1</v>
      </c>
      <c r="W1351" s="453">
        <f t="shared" si="373"/>
        <v>3000</v>
      </c>
      <c r="X1351" s="748">
        <f t="shared" si="374"/>
        <v>0.42857142857142855</v>
      </c>
      <c r="Y1351" s="451" t="str">
        <f>IFERROR(VLOOKUP(E:E,'Item Data Support Sheet'!A:J,6,0),0)</f>
        <v>FO017</v>
      </c>
      <c r="Z1351" s="428">
        <f>IFERROR(VLOOKUP(E:E,'Item Data Support Sheet'!A:O,4,0),0)</f>
        <v>0</v>
      </c>
      <c r="AA1351" s="428">
        <f t="shared" si="375"/>
        <v>0</v>
      </c>
      <c r="AB1351" s="429" t="str">
        <f t="shared" si="376"/>
        <v xml:space="preserve"> </v>
      </c>
      <c r="AC1351" s="424">
        <f t="shared" si="377"/>
        <v>0</v>
      </c>
      <c r="AD1351" s="371">
        <f t="shared" si="378"/>
        <v>0</v>
      </c>
      <c r="AE1351" s="748">
        <f t="shared" si="379"/>
        <v>1</v>
      </c>
      <c r="AF1351" s="417">
        <f t="shared" si="380"/>
        <v>4.333333333333333</v>
      </c>
      <c r="AG1351" s="416">
        <f t="shared" si="381"/>
        <v>3.666666666666667</v>
      </c>
      <c r="AH1351" s="372">
        <f t="shared" si="382"/>
        <v>0.45833333333333337</v>
      </c>
      <c r="AI1351" s="373">
        <f t="shared" si="383"/>
        <v>375</v>
      </c>
      <c r="AJ1351" s="418">
        <f>VLOOKUP(D1351,'Standard Cycle time'!C:D,2,0)</f>
        <v>3.5</v>
      </c>
      <c r="AK1351" s="418">
        <f t="shared" si="384"/>
        <v>4.4000000000000004</v>
      </c>
      <c r="AL1351" s="374">
        <f t="shared" si="385"/>
        <v>0.79545454545454541</v>
      </c>
      <c r="AM1351" s="372">
        <f t="shared" si="386"/>
        <v>0.36458333333333337</v>
      </c>
      <c r="AN1351" s="799">
        <v>0.36458333333333337</v>
      </c>
      <c r="AO1351" s="448" t="s">
        <v>4124</v>
      </c>
      <c r="AP1351" s="440">
        <v>20</v>
      </c>
      <c r="AQ1351" s="440">
        <v>0</v>
      </c>
      <c r="AR1351" s="440">
        <v>0</v>
      </c>
      <c r="AS1351" s="440">
        <v>0</v>
      </c>
      <c r="AT1351" s="440">
        <v>240</v>
      </c>
      <c r="AU1351" s="440">
        <v>0</v>
      </c>
      <c r="AV1351" s="440">
        <v>0</v>
      </c>
      <c r="AW1351" s="440">
        <v>0</v>
      </c>
      <c r="AX1351" s="440">
        <v>0</v>
      </c>
      <c r="AY1351" s="440">
        <v>0</v>
      </c>
      <c r="AZ1351" s="440">
        <v>0</v>
      </c>
      <c r="BA1351" s="440">
        <v>0</v>
      </c>
      <c r="BB1351" s="440">
        <v>0</v>
      </c>
      <c r="BC1351" s="440">
        <v>0</v>
      </c>
      <c r="BD1351" s="440">
        <v>0</v>
      </c>
      <c r="BE1351" s="440">
        <v>0</v>
      </c>
      <c r="BF1351" s="440">
        <v>0</v>
      </c>
      <c r="BG1351" s="440">
        <v>0</v>
      </c>
      <c r="BH1351" s="440">
        <v>0</v>
      </c>
      <c r="BI1351" s="440">
        <v>0</v>
      </c>
      <c r="BJ1351" s="440">
        <v>0</v>
      </c>
      <c r="BK1351" s="440">
        <v>0</v>
      </c>
      <c r="BL1351" s="440">
        <v>0</v>
      </c>
      <c r="BM1351" s="440">
        <v>0</v>
      </c>
      <c r="BN1351" s="440">
        <v>0</v>
      </c>
      <c r="BO1351" s="440">
        <v>0</v>
      </c>
      <c r="BP1351" s="440">
        <v>0</v>
      </c>
      <c r="BQ1351" s="440">
        <v>0</v>
      </c>
      <c r="BR1351" s="415">
        <v>4.333333333333333</v>
      </c>
      <c r="BS1351" s="415">
        <v>4.333333333333333</v>
      </c>
      <c r="BT1351" s="935"/>
      <c r="BU1351" s="935"/>
      <c r="BV1351" s="935"/>
      <c r="BW1351" s="935"/>
      <c r="BX1351" s="935"/>
      <c r="BY1351" s="935"/>
      <c r="BZ1351" s="935"/>
      <c r="CA1351" s="935"/>
      <c r="CB1351" s="935"/>
      <c r="CC1351" s="935"/>
      <c r="CD1351" s="935"/>
      <c r="CE1351" s="935"/>
      <c r="CF1351" s="935"/>
      <c r="CG1351" s="935"/>
      <c r="CH1351" s="935"/>
      <c r="CI1351" s="935"/>
      <c r="CJ1351" s="935"/>
      <c r="CK1351" s="935"/>
      <c r="CL1351" s="935"/>
      <c r="CM1351" s="935"/>
      <c r="CN1351" s="935"/>
      <c r="CO1351" s="935"/>
      <c r="CP1351" s="935"/>
      <c r="CQ1351" s="935"/>
      <c r="CR1351" s="935"/>
      <c r="CS1351" s="935"/>
      <c r="CT1351" s="935"/>
      <c r="CU1351" s="935"/>
      <c r="CV1351" s="935"/>
    </row>
    <row r="1352" spans="1:100" s="441" customFormat="1">
      <c r="A1352" s="375">
        <f t="shared" si="372"/>
        <v>11</v>
      </c>
      <c r="B1352" s="862">
        <v>44522</v>
      </c>
      <c r="C1352" s="493" t="s">
        <v>2053</v>
      </c>
      <c r="D1352" s="376" t="str">
        <f>IFERROR(VLOOKUP(E:E,'Item Data Support Sheet'!A:O,7,0),"")</f>
        <v>NIPPLE LASER MARKING</v>
      </c>
      <c r="E1352" s="447" t="s">
        <v>1816</v>
      </c>
      <c r="F1352" s="500"/>
      <c r="G1352" s="497" t="s">
        <v>1812</v>
      </c>
      <c r="H1352" s="602" t="str">
        <f>IFERROR(VLOOKUP(E:E,'Item Data Support Sheet'!A:O,2,0),"")</f>
        <v>NIPPLE S TYPE L SIZE PUNCHED LASER MARKED</v>
      </c>
      <c r="I1352" s="501" t="s">
        <v>4125</v>
      </c>
      <c r="J1352" s="501" t="s">
        <v>2808</v>
      </c>
      <c r="K1352" s="499">
        <v>8</v>
      </c>
      <c r="L1352" s="499">
        <v>7000</v>
      </c>
      <c r="M1352" s="366">
        <v>875</v>
      </c>
      <c r="N1352" s="367">
        <f t="shared" si="371"/>
        <v>4698</v>
      </c>
      <c r="O1352" s="61">
        <v>4698</v>
      </c>
      <c r="P1352" s="368">
        <v>0</v>
      </c>
      <c r="Q1352" s="368">
        <v>0</v>
      </c>
      <c r="R1352" s="494">
        <v>0</v>
      </c>
      <c r="S1352" s="493">
        <v>0</v>
      </c>
      <c r="T1352" s="494">
        <v>0</v>
      </c>
      <c r="U1352" s="493">
        <v>0</v>
      </c>
      <c r="V1352" s="502">
        <v>1</v>
      </c>
      <c r="W1352" s="453">
        <f t="shared" si="373"/>
        <v>4698</v>
      </c>
      <c r="X1352" s="748">
        <f t="shared" si="374"/>
        <v>0.67114285714285715</v>
      </c>
      <c r="Y1352" s="451" t="str">
        <f>IFERROR(VLOOKUP(E:E,'Item Data Support Sheet'!A:J,6,0),0)</f>
        <v>FO021</v>
      </c>
      <c r="Z1352" s="428">
        <f>IFERROR(VLOOKUP(E:E,'Item Data Support Sheet'!A:O,4,0),0)</f>
        <v>0</v>
      </c>
      <c r="AA1352" s="428">
        <f t="shared" si="375"/>
        <v>0</v>
      </c>
      <c r="AB1352" s="429" t="str">
        <f t="shared" si="376"/>
        <v xml:space="preserve"> </v>
      </c>
      <c r="AC1352" s="424">
        <f t="shared" si="377"/>
        <v>0</v>
      </c>
      <c r="AD1352" s="371">
        <f t="shared" si="378"/>
        <v>0</v>
      </c>
      <c r="AE1352" s="748">
        <f t="shared" si="379"/>
        <v>1</v>
      </c>
      <c r="AF1352" s="417">
        <f t="shared" si="380"/>
        <v>0.33333333333333331</v>
      </c>
      <c r="AG1352" s="416">
        <f t="shared" si="381"/>
        <v>7.666666666666667</v>
      </c>
      <c r="AH1352" s="372">
        <f t="shared" si="382"/>
        <v>0.95833333333333337</v>
      </c>
      <c r="AI1352" s="373">
        <f t="shared" si="383"/>
        <v>587.25</v>
      </c>
      <c r="AJ1352" s="418">
        <f>VLOOKUP(D1352,'Standard Cycle time'!C:D,2,0)</f>
        <v>3.5</v>
      </c>
      <c r="AK1352" s="418">
        <f t="shared" si="384"/>
        <v>5.8748403575989787</v>
      </c>
      <c r="AL1352" s="374">
        <f t="shared" si="385"/>
        <v>0.59576086956521734</v>
      </c>
      <c r="AM1352" s="372">
        <f t="shared" si="386"/>
        <v>0.57093749999999999</v>
      </c>
      <c r="AN1352" s="799">
        <v>0.57093749999999999</v>
      </c>
      <c r="AO1352" s="448" t="s">
        <v>4126</v>
      </c>
      <c r="AP1352" s="440">
        <v>20</v>
      </c>
      <c r="AQ1352" s="440">
        <v>0</v>
      </c>
      <c r="AR1352" s="440">
        <v>0</v>
      </c>
      <c r="AS1352" s="440">
        <v>0</v>
      </c>
      <c r="AT1352" s="440">
        <v>0</v>
      </c>
      <c r="AU1352" s="440">
        <v>0</v>
      </c>
      <c r="AV1352" s="440">
        <v>0</v>
      </c>
      <c r="AW1352" s="440">
        <v>0</v>
      </c>
      <c r="AX1352" s="440">
        <v>0</v>
      </c>
      <c r="AY1352" s="440">
        <v>0</v>
      </c>
      <c r="AZ1352" s="440">
        <v>0</v>
      </c>
      <c r="BA1352" s="440">
        <v>0</v>
      </c>
      <c r="BB1352" s="440">
        <v>0</v>
      </c>
      <c r="BC1352" s="440">
        <v>0</v>
      </c>
      <c r="BD1352" s="440">
        <v>0</v>
      </c>
      <c r="BE1352" s="440">
        <v>0</v>
      </c>
      <c r="BF1352" s="440">
        <v>0</v>
      </c>
      <c r="BG1352" s="440">
        <v>0</v>
      </c>
      <c r="BH1352" s="440">
        <v>0</v>
      </c>
      <c r="BI1352" s="440">
        <v>0</v>
      </c>
      <c r="BJ1352" s="440">
        <v>0</v>
      </c>
      <c r="BK1352" s="440">
        <v>0</v>
      </c>
      <c r="BL1352" s="440">
        <v>0</v>
      </c>
      <c r="BM1352" s="440">
        <v>0</v>
      </c>
      <c r="BN1352" s="440">
        <v>0</v>
      </c>
      <c r="BO1352" s="440">
        <v>0</v>
      </c>
      <c r="BP1352" s="440">
        <v>0</v>
      </c>
      <c r="BQ1352" s="440">
        <v>0</v>
      </c>
      <c r="BR1352" s="415">
        <v>0.33333333333333331</v>
      </c>
      <c r="BS1352" s="415">
        <v>0.33333333333333331</v>
      </c>
      <c r="BT1352" s="935"/>
      <c r="BU1352" s="935"/>
      <c r="BV1352" s="935"/>
      <c r="BW1352" s="935"/>
      <c r="BX1352" s="935"/>
      <c r="BY1352" s="935"/>
      <c r="BZ1352" s="935"/>
      <c r="CA1352" s="935"/>
      <c r="CB1352" s="935"/>
      <c r="CC1352" s="935"/>
      <c r="CD1352" s="935"/>
      <c r="CE1352" s="935"/>
      <c r="CF1352" s="935"/>
      <c r="CG1352" s="935"/>
      <c r="CH1352" s="935"/>
      <c r="CI1352" s="935"/>
      <c r="CJ1352" s="935"/>
      <c r="CK1352" s="935"/>
      <c r="CL1352" s="935"/>
      <c r="CM1352" s="935"/>
      <c r="CN1352" s="935"/>
      <c r="CO1352" s="935"/>
      <c r="CP1352" s="935"/>
      <c r="CQ1352" s="935"/>
      <c r="CR1352" s="935"/>
      <c r="CS1352" s="935"/>
      <c r="CT1352" s="935"/>
      <c r="CU1352" s="935"/>
      <c r="CV1352" s="935"/>
    </row>
    <row r="1353" spans="1:100" s="441" customFormat="1">
      <c r="A1353" s="375">
        <f t="shared" si="372"/>
        <v>11</v>
      </c>
      <c r="B1353" s="862">
        <v>44523</v>
      </c>
      <c r="C1353" s="493" t="s">
        <v>1980</v>
      </c>
      <c r="D1353" s="376" t="str">
        <f>IFERROR(VLOOKUP(E:E,'Item Data Support Sheet'!A:O,7,0),"")</f>
        <v>NIPPLE MOLDED</v>
      </c>
      <c r="E1353" s="447" t="s">
        <v>74</v>
      </c>
      <c r="F1353" s="500" t="s">
        <v>1678</v>
      </c>
      <c r="G1353" s="497" t="s">
        <v>1691</v>
      </c>
      <c r="H1353" s="602" t="str">
        <f>IFERROR(VLOOKUP(E:E,'Item Data Support Sheet'!A:O,2,0),"")</f>
        <v>NIPPLE S TYPE L SIZE INJECTION</v>
      </c>
      <c r="I1353" s="501" t="s">
        <v>4127</v>
      </c>
      <c r="J1353" s="501" t="s">
        <v>2811</v>
      </c>
      <c r="K1353" s="499">
        <v>8</v>
      </c>
      <c r="L1353" s="499">
        <v>4815</v>
      </c>
      <c r="M1353" s="366">
        <v>601.875</v>
      </c>
      <c r="N1353" s="367">
        <f t="shared" si="371"/>
        <v>5649</v>
      </c>
      <c r="O1353" s="61">
        <v>5600</v>
      </c>
      <c r="P1353" s="368">
        <v>0</v>
      </c>
      <c r="Q1353" s="368">
        <v>0</v>
      </c>
      <c r="R1353" s="494">
        <v>0</v>
      </c>
      <c r="S1353" s="493">
        <v>0</v>
      </c>
      <c r="T1353" s="494">
        <v>41</v>
      </c>
      <c r="U1353" s="493">
        <v>8</v>
      </c>
      <c r="V1353" s="502">
        <v>1</v>
      </c>
      <c r="W1353" s="453">
        <f t="shared" si="373"/>
        <v>5600</v>
      </c>
      <c r="X1353" s="748">
        <f t="shared" si="374"/>
        <v>1.1630321910695742</v>
      </c>
      <c r="Y1353" s="451" t="str">
        <f>IFERROR(VLOOKUP(E:E,'Item Data Support Sheet'!A:J,6,0),0)</f>
        <v>Silicon</v>
      </c>
      <c r="Z1353" s="428">
        <f>IFERROR(VLOOKUP(E:E,'Item Data Support Sheet'!A:O,4,0),0)</f>
        <v>6.8</v>
      </c>
      <c r="AA1353" s="428">
        <f t="shared" si="375"/>
        <v>38.413199999999996</v>
      </c>
      <c r="AB1353" s="429">
        <f t="shared" si="376"/>
        <v>0.99132589838909546</v>
      </c>
      <c r="AC1353" s="424">
        <f t="shared" si="377"/>
        <v>7.2682148555220701E-3</v>
      </c>
      <c r="AD1353" s="371">
        <f t="shared" si="378"/>
        <v>0</v>
      </c>
      <c r="AE1353" s="748">
        <f t="shared" si="379"/>
        <v>0.99274207824393701</v>
      </c>
      <c r="AF1353" s="417">
        <f t="shared" si="380"/>
        <v>0</v>
      </c>
      <c r="AG1353" s="416">
        <f t="shared" si="381"/>
        <v>8</v>
      </c>
      <c r="AH1353" s="372">
        <f t="shared" si="382"/>
        <v>1</v>
      </c>
      <c r="AI1353" s="373">
        <f t="shared" si="383"/>
        <v>700</v>
      </c>
      <c r="AJ1353" s="418">
        <f>VLOOKUP(D1353,'Standard Cycle time'!C:D,2,0)</f>
        <v>5.25</v>
      </c>
      <c r="AK1353" s="418">
        <f t="shared" si="384"/>
        <v>5.1428571428571432</v>
      </c>
      <c r="AL1353" s="374">
        <f t="shared" si="385"/>
        <v>1.0208333333333333</v>
      </c>
      <c r="AM1353" s="372">
        <f t="shared" si="386"/>
        <v>1.013424204874019</v>
      </c>
      <c r="AN1353" s="799">
        <v>1.013424204874019</v>
      </c>
      <c r="AO1353" s="448"/>
      <c r="AP1353" s="440">
        <v>0</v>
      </c>
      <c r="AQ1353" s="440">
        <v>0</v>
      </c>
      <c r="AR1353" s="440">
        <v>0</v>
      </c>
      <c r="AS1353" s="440">
        <v>0</v>
      </c>
      <c r="AT1353" s="440">
        <v>0</v>
      </c>
      <c r="AU1353" s="440">
        <v>0</v>
      </c>
      <c r="AV1353" s="440">
        <v>0</v>
      </c>
      <c r="AW1353" s="440">
        <v>0</v>
      </c>
      <c r="AX1353" s="440">
        <v>0</v>
      </c>
      <c r="AY1353" s="440">
        <v>0</v>
      </c>
      <c r="AZ1353" s="440">
        <v>0</v>
      </c>
      <c r="BA1353" s="440">
        <v>0</v>
      </c>
      <c r="BB1353" s="440">
        <v>0</v>
      </c>
      <c r="BC1353" s="440">
        <v>0</v>
      </c>
      <c r="BD1353" s="440">
        <v>0</v>
      </c>
      <c r="BE1353" s="440">
        <v>0</v>
      </c>
      <c r="BF1353" s="440">
        <v>0</v>
      </c>
      <c r="BG1353" s="440">
        <v>0</v>
      </c>
      <c r="BH1353" s="440">
        <v>0</v>
      </c>
      <c r="BI1353" s="440">
        <v>0</v>
      </c>
      <c r="BJ1353" s="440">
        <v>0</v>
      </c>
      <c r="BK1353" s="440">
        <v>0</v>
      </c>
      <c r="BL1353" s="440">
        <v>0</v>
      </c>
      <c r="BM1353" s="440">
        <v>0</v>
      </c>
      <c r="BN1353" s="440">
        <v>0</v>
      </c>
      <c r="BO1353" s="440">
        <v>0</v>
      </c>
      <c r="BP1353" s="440">
        <v>0</v>
      </c>
      <c r="BQ1353" s="440">
        <v>0</v>
      </c>
      <c r="BR1353" s="415">
        <v>0</v>
      </c>
      <c r="BS1353" s="415">
        <v>0</v>
      </c>
      <c r="BT1353" s="935"/>
      <c r="BU1353" s="935"/>
      <c r="BV1353" s="935"/>
      <c r="BW1353" s="935"/>
      <c r="BX1353" s="935"/>
      <c r="BY1353" s="935"/>
      <c r="BZ1353" s="935"/>
      <c r="CA1353" s="935"/>
      <c r="CB1353" s="935"/>
      <c r="CC1353" s="935"/>
      <c r="CD1353" s="935"/>
      <c r="CE1353" s="935"/>
      <c r="CF1353" s="935"/>
      <c r="CG1353" s="935"/>
      <c r="CH1353" s="935"/>
      <c r="CI1353" s="935"/>
      <c r="CJ1353" s="935"/>
      <c r="CK1353" s="935"/>
      <c r="CL1353" s="935"/>
      <c r="CM1353" s="935"/>
      <c r="CN1353" s="935"/>
      <c r="CO1353" s="935"/>
      <c r="CP1353" s="935"/>
      <c r="CQ1353" s="935"/>
      <c r="CR1353" s="935"/>
      <c r="CS1353" s="935"/>
      <c r="CT1353" s="935"/>
      <c r="CU1353" s="935"/>
      <c r="CV1353" s="935"/>
    </row>
    <row r="1354" spans="1:100" s="441" customFormat="1">
      <c r="A1354" s="375">
        <f t="shared" si="372"/>
        <v>11</v>
      </c>
      <c r="B1354" s="862">
        <v>44523</v>
      </c>
      <c r="C1354" s="493" t="s">
        <v>1980</v>
      </c>
      <c r="D1354" s="376" t="str">
        <f>IFERROR(VLOOKUP(E:E,'Item Data Support Sheet'!A:O,7,0),"")</f>
        <v>NIPPLE PUNCH</v>
      </c>
      <c r="E1354" s="447" t="s">
        <v>82</v>
      </c>
      <c r="F1354" s="500"/>
      <c r="G1354" s="497" t="s">
        <v>1692</v>
      </c>
      <c r="H1354" s="602" t="str">
        <f>IFERROR(VLOOKUP(E:E,'Item Data Support Sheet'!A:O,2,0),"")</f>
        <v>NIPPLE S TYPE L SIZE PUNCHED</v>
      </c>
      <c r="I1354" s="501" t="s">
        <v>4128</v>
      </c>
      <c r="J1354" s="501" t="s">
        <v>2811</v>
      </c>
      <c r="K1354" s="499">
        <v>8</v>
      </c>
      <c r="L1354" s="499">
        <v>7000</v>
      </c>
      <c r="M1354" s="366">
        <v>875</v>
      </c>
      <c r="N1354" s="367">
        <f t="shared" si="371"/>
        <v>2000</v>
      </c>
      <c r="O1354" s="61">
        <v>2000</v>
      </c>
      <c r="P1354" s="368">
        <v>0</v>
      </c>
      <c r="Q1354" s="368">
        <v>0</v>
      </c>
      <c r="R1354" s="494">
        <v>0</v>
      </c>
      <c r="S1354" s="493">
        <v>0</v>
      </c>
      <c r="T1354" s="494">
        <v>0</v>
      </c>
      <c r="U1354" s="493">
        <v>0</v>
      </c>
      <c r="V1354" s="502">
        <v>1</v>
      </c>
      <c r="W1354" s="453">
        <f t="shared" si="373"/>
        <v>2000</v>
      </c>
      <c r="X1354" s="748">
        <f t="shared" si="374"/>
        <v>0.2857142857142857</v>
      </c>
      <c r="Y1354" s="451" t="str">
        <f>IFERROR(VLOOKUP(E:E,'Item Data Support Sheet'!A:J,6,0),0)</f>
        <v>FO017</v>
      </c>
      <c r="Z1354" s="428">
        <f>IFERROR(VLOOKUP(E:E,'Item Data Support Sheet'!A:O,4,0),0)</f>
        <v>0</v>
      </c>
      <c r="AA1354" s="428">
        <f t="shared" si="375"/>
        <v>0</v>
      </c>
      <c r="AB1354" s="429" t="str">
        <f t="shared" si="376"/>
        <v xml:space="preserve"> </v>
      </c>
      <c r="AC1354" s="424">
        <f t="shared" si="377"/>
        <v>0</v>
      </c>
      <c r="AD1354" s="371">
        <f t="shared" si="378"/>
        <v>0</v>
      </c>
      <c r="AE1354" s="748">
        <f t="shared" si="379"/>
        <v>1</v>
      </c>
      <c r="AF1354" s="417">
        <f t="shared" si="380"/>
        <v>0.66666666666666663</v>
      </c>
      <c r="AG1354" s="416">
        <f t="shared" si="381"/>
        <v>7.333333333333333</v>
      </c>
      <c r="AH1354" s="372">
        <f t="shared" si="382"/>
        <v>0.91666666666666663</v>
      </c>
      <c r="AI1354" s="373">
        <f t="shared" si="383"/>
        <v>250</v>
      </c>
      <c r="AJ1354" s="418">
        <f>VLOOKUP(D1354,'Standard Cycle time'!C:D,2,0)</f>
        <v>3.5</v>
      </c>
      <c r="AK1354" s="418">
        <f t="shared" si="384"/>
        <v>13.2</v>
      </c>
      <c r="AL1354" s="374">
        <f t="shared" si="385"/>
        <v>0.26515151515151514</v>
      </c>
      <c r="AM1354" s="372">
        <f t="shared" si="386"/>
        <v>0.24305555555555552</v>
      </c>
      <c r="AN1354" s="799">
        <v>0.24305555555555552</v>
      </c>
      <c r="AO1354" s="448"/>
      <c r="AP1354" s="440">
        <v>40</v>
      </c>
      <c r="AQ1354" s="440">
        <v>0</v>
      </c>
      <c r="AR1354" s="440">
        <v>0</v>
      </c>
      <c r="AS1354" s="440">
        <v>0</v>
      </c>
      <c r="AT1354" s="440">
        <v>0</v>
      </c>
      <c r="AU1354" s="440">
        <v>0</v>
      </c>
      <c r="AV1354" s="440">
        <v>0</v>
      </c>
      <c r="AW1354" s="440">
        <v>0</v>
      </c>
      <c r="AX1354" s="440">
        <v>0</v>
      </c>
      <c r="AY1354" s="440">
        <v>0</v>
      </c>
      <c r="AZ1354" s="440">
        <v>0</v>
      </c>
      <c r="BA1354" s="440">
        <v>0</v>
      </c>
      <c r="BB1354" s="440">
        <v>0</v>
      </c>
      <c r="BC1354" s="440">
        <v>0</v>
      </c>
      <c r="BD1354" s="440">
        <v>0</v>
      </c>
      <c r="BE1354" s="440">
        <v>0</v>
      </c>
      <c r="BF1354" s="440">
        <v>0</v>
      </c>
      <c r="BG1354" s="440">
        <v>0</v>
      </c>
      <c r="BH1354" s="440">
        <v>0</v>
      </c>
      <c r="BI1354" s="440">
        <v>0</v>
      </c>
      <c r="BJ1354" s="440">
        <v>0</v>
      </c>
      <c r="BK1354" s="440">
        <v>0</v>
      </c>
      <c r="BL1354" s="440">
        <v>0</v>
      </c>
      <c r="BM1354" s="440">
        <v>0</v>
      </c>
      <c r="BN1354" s="440">
        <v>0</v>
      </c>
      <c r="BO1354" s="440">
        <v>0</v>
      </c>
      <c r="BP1354" s="440">
        <v>0</v>
      </c>
      <c r="BQ1354" s="440">
        <v>0</v>
      </c>
      <c r="BR1354" s="415">
        <v>0.66666666666666663</v>
      </c>
      <c r="BS1354" s="415">
        <v>0.66666666666666663</v>
      </c>
      <c r="BT1354" s="935"/>
      <c r="BU1354" s="935"/>
      <c r="BV1354" s="935"/>
      <c r="BW1354" s="935"/>
      <c r="BX1354" s="935"/>
      <c r="BY1354" s="935"/>
      <c r="BZ1354" s="935"/>
      <c r="CA1354" s="935"/>
      <c r="CB1354" s="935"/>
      <c r="CC1354" s="935"/>
      <c r="CD1354" s="935"/>
      <c r="CE1354" s="935"/>
      <c r="CF1354" s="935"/>
      <c r="CG1354" s="935"/>
      <c r="CH1354" s="935"/>
      <c r="CI1354" s="935"/>
      <c r="CJ1354" s="935"/>
      <c r="CK1354" s="935"/>
      <c r="CL1354" s="935"/>
      <c r="CM1354" s="935"/>
      <c r="CN1354" s="935"/>
      <c r="CO1354" s="935"/>
      <c r="CP1354" s="935"/>
      <c r="CQ1354" s="935"/>
      <c r="CR1354" s="935"/>
      <c r="CS1354" s="935"/>
      <c r="CT1354" s="935"/>
      <c r="CU1354" s="935"/>
      <c r="CV1354" s="935"/>
    </row>
    <row r="1355" spans="1:100" s="441" customFormat="1">
      <c r="A1355" s="375">
        <f t="shared" si="372"/>
        <v>11</v>
      </c>
      <c r="B1355" s="862">
        <v>44523</v>
      </c>
      <c r="C1355" s="493" t="s">
        <v>1980</v>
      </c>
      <c r="D1355" s="376" t="str">
        <f>IFERROR(VLOOKUP(E:E,'Item Data Support Sheet'!A:O,7,0),"")</f>
        <v>NIPPLE LASER MARKING</v>
      </c>
      <c r="E1355" s="447" t="s">
        <v>1816</v>
      </c>
      <c r="F1355" s="500"/>
      <c r="G1355" s="497" t="s">
        <v>1812</v>
      </c>
      <c r="H1355" s="602" t="str">
        <f>IFERROR(VLOOKUP(E:E,'Item Data Support Sheet'!A:O,2,0),"")</f>
        <v>NIPPLE S TYPE L SIZE PUNCHED LASER MARKED</v>
      </c>
      <c r="I1355" s="501" t="s">
        <v>4129</v>
      </c>
      <c r="J1355" s="501" t="s">
        <v>2811</v>
      </c>
      <c r="K1355" s="499">
        <v>8</v>
      </c>
      <c r="L1355" s="499">
        <v>3500</v>
      </c>
      <c r="M1355" s="366">
        <v>437.5</v>
      </c>
      <c r="N1355" s="367">
        <f t="shared" si="371"/>
        <v>3000</v>
      </c>
      <c r="O1355" s="61">
        <v>3000</v>
      </c>
      <c r="P1355" s="368">
        <v>0</v>
      </c>
      <c r="Q1355" s="368">
        <v>0</v>
      </c>
      <c r="R1355" s="494">
        <v>0</v>
      </c>
      <c r="S1355" s="493">
        <v>0</v>
      </c>
      <c r="T1355" s="494">
        <v>0</v>
      </c>
      <c r="U1355" s="493">
        <v>0</v>
      </c>
      <c r="V1355" s="502">
        <v>1</v>
      </c>
      <c r="W1355" s="453">
        <f t="shared" si="373"/>
        <v>3000</v>
      </c>
      <c r="X1355" s="748">
        <f t="shared" si="374"/>
        <v>0.8571428571428571</v>
      </c>
      <c r="Y1355" s="451" t="str">
        <f>IFERROR(VLOOKUP(E:E,'Item Data Support Sheet'!A:J,6,0),0)</f>
        <v>FO021</v>
      </c>
      <c r="Z1355" s="428">
        <f>IFERROR(VLOOKUP(E:E,'Item Data Support Sheet'!A:O,4,0),0)</f>
        <v>0</v>
      </c>
      <c r="AA1355" s="428">
        <f t="shared" si="375"/>
        <v>0</v>
      </c>
      <c r="AB1355" s="429" t="str">
        <f t="shared" si="376"/>
        <v xml:space="preserve"> </v>
      </c>
      <c r="AC1355" s="424">
        <f t="shared" si="377"/>
        <v>0</v>
      </c>
      <c r="AD1355" s="371">
        <f t="shared" si="378"/>
        <v>0</v>
      </c>
      <c r="AE1355" s="748">
        <f t="shared" si="379"/>
        <v>1</v>
      </c>
      <c r="AF1355" s="417">
        <f t="shared" si="380"/>
        <v>4.666666666666667</v>
      </c>
      <c r="AG1355" s="416">
        <f t="shared" si="381"/>
        <v>3.333333333333333</v>
      </c>
      <c r="AH1355" s="372">
        <f t="shared" si="382"/>
        <v>0.41666666666666663</v>
      </c>
      <c r="AI1355" s="373">
        <f t="shared" si="383"/>
        <v>375</v>
      </c>
      <c r="AJ1355" s="418">
        <f>VLOOKUP(D1355,'Standard Cycle time'!C:D,2,0)</f>
        <v>3.5</v>
      </c>
      <c r="AK1355" s="418">
        <f t="shared" si="384"/>
        <v>3.9999999999999996</v>
      </c>
      <c r="AL1355" s="374">
        <f t="shared" si="385"/>
        <v>0.87500000000000011</v>
      </c>
      <c r="AM1355" s="372">
        <f t="shared" si="386"/>
        <v>0.36458333333333337</v>
      </c>
      <c r="AN1355" s="799">
        <v>0.36458333333333337</v>
      </c>
      <c r="AO1355" s="448" t="s">
        <v>3643</v>
      </c>
      <c r="AP1355" s="440">
        <v>40</v>
      </c>
      <c r="AQ1355" s="440">
        <v>0</v>
      </c>
      <c r="AR1355" s="440">
        <v>0</v>
      </c>
      <c r="AS1355" s="440">
        <v>0</v>
      </c>
      <c r="AT1355" s="440">
        <v>240</v>
      </c>
      <c r="AU1355" s="440">
        <v>0</v>
      </c>
      <c r="AV1355" s="440">
        <v>0</v>
      </c>
      <c r="AW1355" s="440">
        <v>0</v>
      </c>
      <c r="AX1355" s="440">
        <v>0</v>
      </c>
      <c r="AY1355" s="440">
        <v>0</v>
      </c>
      <c r="AZ1355" s="440">
        <v>0</v>
      </c>
      <c r="BA1355" s="440">
        <v>0</v>
      </c>
      <c r="BB1355" s="440">
        <v>0</v>
      </c>
      <c r="BC1355" s="440">
        <v>0</v>
      </c>
      <c r="BD1355" s="440">
        <v>0</v>
      </c>
      <c r="BE1355" s="440">
        <v>0</v>
      </c>
      <c r="BF1355" s="440">
        <v>0</v>
      </c>
      <c r="BG1355" s="440">
        <v>0</v>
      </c>
      <c r="BH1355" s="440">
        <v>0</v>
      </c>
      <c r="BI1355" s="440">
        <v>0</v>
      </c>
      <c r="BJ1355" s="440">
        <v>0</v>
      </c>
      <c r="BK1355" s="440">
        <v>0</v>
      </c>
      <c r="BL1355" s="440">
        <v>0</v>
      </c>
      <c r="BM1355" s="440">
        <v>0</v>
      </c>
      <c r="BN1355" s="440">
        <v>0</v>
      </c>
      <c r="BO1355" s="440">
        <v>0</v>
      </c>
      <c r="BP1355" s="440">
        <v>0</v>
      </c>
      <c r="BQ1355" s="440">
        <v>0</v>
      </c>
      <c r="BR1355" s="415">
        <v>4.666666666666667</v>
      </c>
      <c r="BS1355" s="415">
        <v>4.666666666666667</v>
      </c>
      <c r="BT1355" s="935"/>
      <c r="BU1355" s="935"/>
      <c r="BV1355" s="935"/>
      <c r="BW1355" s="935"/>
      <c r="BX1355" s="935"/>
      <c r="BY1355" s="935"/>
      <c r="BZ1355" s="935"/>
      <c r="CA1355" s="935"/>
      <c r="CB1355" s="935"/>
      <c r="CC1355" s="935"/>
      <c r="CD1355" s="935"/>
      <c r="CE1355" s="935"/>
      <c r="CF1355" s="935"/>
      <c r="CG1355" s="935"/>
      <c r="CH1355" s="935"/>
      <c r="CI1355" s="935"/>
      <c r="CJ1355" s="935"/>
      <c r="CK1355" s="935"/>
      <c r="CL1355" s="935"/>
      <c r="CM1355" s="935"/>
      <c r="CN1355" s="935"/>
      <c r="CO1355" s="935"/>
      <c r="CP1355" s="935"/>
      <c r="CQ1355" s="935"/>
      <c r="CR1355" s="935"/>
      <c r="CS1355" s="935"/>
      <c r="CT1355" s="935"/>
      <c r="CU1355" s="935"/>
      <c r="CV1355" s="935"/>
    </row>
    <row r="1356" spans="1:100" s="441" customFormat="1">
      <c r="A1356" s="375">
        <f t="shared" si="372"/>
        <v>11</v>
      </c>
      <c r="B1356" s="862">
        <v>44523</v>
      </c>
      <c r="C1356" s="493" t="s">
        <v>2000</v>
      </c>
      <c r="D1356" s="376" t="str">
        <f>IFERROR(VLOOKUP(E:E,'Item Data Support Sheet'!A:O,7,0),"")</f>
        <v>NIPPLE PUNCH INSPECTED</v>
      </c>
      <c r="E1356" s="447" t="s">
        <v>1820</v>
      </c>
      <c r="F1356" s="500"/>
      <c r="G1356" s="497"/>
      <c r="H1356" s="602" t="str">
        <f>IFERROR(VLOOKUP(E:E,'Item Data Support Sheet'!A:O,2,0),"")</f>
        <v>NIPPLE S TYPE L SIZE PUNCHED INSPECTED</v>
      </c>
      <c r="I1356" s="501" t="s">
        <v>4130</v>
      </c>
      <c r="J1356" s="501" t="s">
        <v>2811</v>
      </c>
      <c r="K1356" s="499">
        <v>8</v>
      </c>
      <c r="L1356" s="499">
        <v>19000</v>
      </c>
      <c r="M1356" s="366">
        <v>2375</v>
      </c>
      <c r="N1356" s="367">
        <f t="shared" si="371"/>
        <v>13948</v>
      </c>
      <c r="O1356" s="61">
        <v>13893</v>
      </c>
      <c r="P1356" s="368">
        <v>0</v>
      </c>
      <c r="Q1356" s="368">
        <v>0</v>
      </c>
      <c r="R1356" s="494">
        <v>0</v>
      </c>
      <c r="S1356" s="493">
        <v>0</v>
      </c>
      <c r="T1356" s="494">
        <v>55</v>
      </c>
      <c r="U1356" s="493">
        <v>0</v>
      </c>
      <c r="V1356" s="502">
        <v>2</v>
      </c>
      <c r="W1356" s="453">
        <f t="shared" si="373"/>
        <v>6946.5</v>
      </c>
      <c r="X1356" s="748">
        <f t="shared" si="374"/>
        <v>0.73121052631578942</v>
      </c>
      <c r="Y1356" s="451" t="str">
        <f>IFERROR(VLOOKUP(E:E,'Item Data Support Sheet'!A:J,6,0),0)</f>
        <v>FO106</v>
      </c>
      <c r="Z1356" s="428">
        <f>IFERROR(VLOOKUP(E:E,'Item Data Support Sheet'!A:O,4,0),0)</f>
        <v>0</v>
      </c>
      <c r="AA1356" s="428">
        <f t="shared" si="375"/>
        <v>0</v>
      </c>
      <c r="AB1356" s="429" t="str">
        <f t="shared" si="376"/>
        <v xml:space="preserve"> </v>
      </c>
      <c r="AC1356" s="424">
        <f t="shared" si="377"/>
        <v>3.9432176656151417E-3</v>
      </c>
      <c r="AD1356" s="371">
        <f t="shared" si="378"/>
        <v>0</v>
      </c>
      <c r="AE1356" s="748">
        <f t="shared" si="379"/>
        <v>0.99605678233438488</v>
      </c>
      <c r="AF1356" s="417">
        <f t="shared" si="380"/>
        <v>0.83333333333333337</v>
      </c>
      <c r="AG1356" s="416">
        <f t="shared" si="381"/>
        <v>7.166666666666667</v>
      </c>
      <c r="AH1356" s="372">
        <f t="shared" si="382"/>
        <v>0.89583333333333337</v>
      </c>
      <c r="AI1356" s="373">
        <f t="shared" si="383"/>
        <v>1736.625</v>
      </c>
      <c r="AJ1356" s="418">
        <f>VLOOKUP(D1356,'Standard Cycle time'!C:D,2,0)</f>
        <v>4</v>
      </c>
      <c r="AK1356" s="418">
        <f t="shared" si="384"/>
        <v>3.7141006262146403</v>
      </c>
      <c r="AL1356" s="374">
        <f t="shared" si="385"/>
        <v>1.0769767441860465</v>
      </c>
      <c r="AM1356" s="372">
        <f t="shared" si="386"/>
        <v>0.9609872831230285</v>
      </c>
      <c r="AN1356" s="799">
        <v>0.9609872831230285</v>
      </c>
      <c r="AO1356" s="448" t="s">
        <v>4131</v>
      </c>
      <c r="AP1356" s="440">
        <v>50</v>
      </c>
      <c r="AQ1356" s="440">
        <v>0</v>
      </c>
      <c r="AR1356" s="440">
        <v>0</v>
      </c>
      <c r="AS1356" s="440">
        <v>0</v>
      </c>
      <c r="AT1356" s="440">
        <v>0</v>
      </c>
      <c r="AU1356" s="440">
        <v>0</v>
      </c>
      <c r="AV1356" s="440">
        <v>0</v>
      </c>
      <c r="AW1356" s="440">
        <v>0</v>
      </c>
      <c r="AX1356" s="440">
        <v>0</v>
      </c>
      <c r="AY1356" s="440">
        <v>0</v>
      </c>
      <c r="AZ1356" s="440">
        <v>0</v>
      </c>
      <c r="BA1356" s="440">
        <v>0</v>
      </c>
      <c r="BB1356" s="440">
        <v>0</v>
      </c>
      <c r="BC1356" s="440">
        <v>0</v>
      </c>
      <c r="BD1356" s="440">
        <v>0</v>
      </c>
      <c r="BE1356" s="440">
        <v>0</v>
      </c>
      <c r="BF1356" s="440">
        <v>0</v>
      </c>
      <c r="BG1356" s="440">
        <v>0</v>
      </c>
      <c r="BH1356" s="440">
        <v>0</v>
      </c>
      <c r="BI1356" s="440">
        <v>0</v>
      </c>
      <c r="BJ1356" s="440">
        <v>0</v>
      </c>
      <c r="BK1356" s="440">
        <v>0</v>
      </c>
      <c r="BL1356" s="440">
        <v>0</v>
      </c>
      <c r="BM1356" s="440">
        <v>0</v>
      </c>
      <c r="BN1356" s="440">
        <v>0</v>
      </c>
      <c r="BO1356" s="440">
        <v>0</v>
      </c>
      <c r="BP1356" s="440">
        <v>0</v>
      </c>
      <c r="BQ1356" s="440">
        <v>0</v>
      </c>
      <c r="BR1356" s="415">
        <v>0.83333333333333337</v>
      </c>
      <c r="BS1356" s="415">
        <v>0.83333333333333337</v>
      </c>
      <c r="BT1356" s="935"/>
      <c r="BU1356" s="935"/>
      <c r="BV1356" s="935"/>
      <c r="BW1356" s="935"/>
      <c r="BX1356" s="935"/>
      <c r="BY1356" s="935"/>
      <c r="BZ1356" s="935"/>
      <c r="CA1356" s="935"/>
      <c r="CB1356" s="935"/>
      <c r="CC1356" s="935"/>
      <c r="CD1356" s="935"/>
      <c r="CE1356" s="935"/>
      <c r="CF1356" s="935"/>
      <c r="CG1356" s="935"/>
      <c r="CH1356" s="935"/>
      <c r="CI1356" s="935"/>
      <c r="CJ1356" s="935"/>
      <c r="CK1356" s="935"/>
      <c r="CL1356" s="935"/>
      <c r="CM1356" s="935"/>
      <c r="CN1356" s="935"/>
      <c r="CO1356" s="935"/>
      <c r="CP1356" s="935"/>
      <c r="CQ1356" s="935"/>
      <c r="CR1356" s="935"/>
      <c r="CS1356" s="935"/>
      <c r="CT1356" s="935"/>
      <c r="CU1356" s="935"/>
      <c r="CV1356" s="935"/>
    </row>
    <row r="1357" spans="1:100" s="441" customFormat="1">
      <c r="A1357" s="375">
        <f t="shared" si="372"/>
        <v>11</v>
      </c>
      <c r="B1357" s="862">
        <v>44523</v>
      </c>
      <c r="C1357" s="493" t="s">
        <v>2000</v>
      </c>
      <c r="D1357" s="376" t="str">
        <f>IFERROR(VLOOKUP(E:E,'Item Data Support Sheet'!A:O,7,0),"")</f>
        <v>BOTTLE PRINTED</v>
      </c>
      <c r="E1357" s="447" t="s">
        <v>1893</v>
      </c>
      <c r="F1357" s="500"/>
      <c r="G1357" s="497"/>
      <c r="H1357" s="602" t="str">
        <f>IFERROR(VLOOKUP(E:E,'Item Data Support Sheet'!A:O,2,0),"")</f>
        <v>50 ML RPP BOTTLE PRINTED - WHALES</v>
      </c>
      <c r="I1357" s="501" t="s">
        <v>4132</v>
      </c>
      <c r="J1357" s="501" t="s">
        <v>2811</v>
      </c>
      <c r="K1357" s="499">
        <v>8</v>
      </c>
      <c r="L1357" s="499">
        <v>2600</v>
      </c>
      <c r="M1357" s="366">
        <v>325</v>
      </c>
      <c r="N1357" s="367">
        <f t="shared" si="371"/>
        <v>2006</v>
      </c>
      <c r="O1357" s="61">
        <v>1970</v>
      </c>
      <c r="P1357" s="368">
        <v>0</v>
      </c>
      <c r="Q1357" s="368">
        <v>0</v>
      </c>
      <c r="R1357" s="494">
        <v>42</v>
      </c>
      <c r="S1357" s="493">
        <v>0</v>
      </c>
      <c r="T1357" s="494">
        <v>36</v>
      </c>
      <c r="U1357" s="493">
        <v>0</v>
      </c>
      <c r="V1357" s="502">
        <v>5</v>
      </c>
      <c r="W1357" s="453">
        <f t="shared" si="373"/>
        <v>394</v>
      </c>
      <c r="X1357" s="748">
        <f t="shared" si="374"/>
        <v>0.75769230769230766</v>
      </c>
      <c r="Y1357" s="451" t="str">
        <f>IFERROR(VLOOKUP(E:E,'Item Data Support Sheet'!A:J,6,0),0)</f>
        <v>FO112</v>
      </c>
      <c r="Z1357" s="428">
        <f>IFERROR(VLOOKUP(E:E,'Item Data Support Sheet'!A:O,4,0),0)</f>
        <v>17.015000000000001</v>
      </c>
      <c r="AA1357" s="428">
        <f t="shared" si="375"/>
        <v>34.132089999999998</v>
      </c>
      <c r="AB1357" s="429">
        <f t="shared" si="376"/>
        <v>0.9820538384845463</v>
      </c>
      <c r="AC1357" s="424">
        <f t="shared" si="377"/>
        <v>1.794616151545364E-2</v>
      </c>
      <c r="AD1357" s="371">
        <f t="shared" si="378"/>
        <v>0</v>
      </c>
      <c r="AE1357" s="748">
        <f t="shared" si="379"/>
        <v>0.98205383848454642</v>
      </c>
      <c r="AF1357" s="417">
        <f t="shared" si="380"/>
        <v>3.1666666666666665</v>
      </c>
      <c r="AG1357" s="416">
        <f t="shared" si="381"/>
        <v>4.8333333333333339</v>
      </c>
      <c r="AH1357" s="372">
        <f t="shared" si="382"/>
        <v>0.60416666666666674</v>
      </c>
      <c r="AI1357" s="373">
        <f t="shared" si="383"/>
        <v>246.25</v>
      </c>
      <c r="AJ1357" s="418">
        <f>VLOOKUP(D1357,'Standard Cycle time'!C:D,2,0)</f>
        <v>32.4</v>
      </c>
      <c r="AK1357" s="418">
        <f t="shared" si="384"/>
        <v>44.162436548223354</v>
      </c>
      <c r="AL1357" s="374">
        <f t="shared" si="385"/>
        <v>0.73365517241379297</v>
      </c>
      <c r="AM1357" s="372">
        <f t="shared" si="386"/>
        <v>0.43529536390827517</v>
      </c>
      <c r="AN1357" s="799">
        <v>0.43529536390827517</v>
      </c>
      <c r="AO1357" s="448" t="s">
        <v>4133</v>
      </c>
      <c r="AP1357" s="440">
        <v>50</v>
      </c>
      <c r="AQ1357" s="440">
        <v>140</v>
      </c>
      <c r="AR1357" s="440">
        <v>0</v>
      </c>
      <c r="AS1357" s="440">
        <v>0</v>
      </c>
      <c r="AT1357" s="440">
        <v>0</v>
      </c>
      <c r="AU1357" s="440">
        <v>0</v>
      </c>
      <c r="AV1357" s="440">
        <v>0</v>
      </c>
      <c r="AW1357" s="440">
        <v>0</v>
      </c>
      <c r="AX1357" s="440">
        <v>0</v>
      </c>
      <c r="AY1357" s="440">
        <v>0</v>
      </c>
      <c r="AZ1357" s="440">
        <v>0</v>
      </c>
      <c r="BA1357" s="440">
        <v>0</v>
      </c>
      <c r="BB1357" s="440">
        <v>0</v>
      </c>
      <c r="BC1357" s="440">
        <v>0</v>
      </c>
      <c r="BD1357" s="440">
        <v>0</v>
      </c>
      <c r="BE1357" s="440">
        <v>0</v>
      </c>
      <c r="BF1357" s="440">
        <v>0</v>
      </c>
      <c r="BG1357" s="440">
        <v>0</v>
      </c>
      <c r="BH1357" s="440">
        <v>0</v>
      </c>
      <c r="BI1357" s="440">
        <v>0</v>
      </c>
      <c r="BJ1357" s="440">
        <v>0</v>
      </c>
      <c r="BK1357" s="440">
        <v>0</v>
      </c>
      <c r="BL1357" s="440">
        <v>0</v>
      </c>
      <c r="BM1357" s="440">
        <v>0</v>
      </c>
      <c r="BN1357" s="440">
        <v>0</v>
      </c>
      <c r="BO1357" s="440">
        <v>0</v>
      </c>
      <c r="BP1357" s="440">
        <v>0</v>
      </c>
      <c r="BQ1357" s="440">
        <v>0</v>
      </c>
      <c r="BR1357" s="415">
        <v>3.1666666666666665</v>
      </c>
      <c r="BS1357" s="415">
        <v>3.1666666666666665</v>
      </c>
      <c r="BT1357" s="935"/>
      <c r="BU1357" s="935"/>
      <c r="BV1357" s="935"/>
      <c r="BW1357" s="935"/>
      <c r="BX1357" s="935"/>
      <c r="BY1357" s="935"/>
      <c r="BZ1357" s="935"/>
      <c r="CA1357" s="935"/>
      <c r="CB1357" s="935"/>
      <c r="CC1357" s="935"/>
      <c r="CD1357" s="935"/>
      <c r="CE1357" s="935"/>
      <c r="CF1357" s="935"/>
      <c r="CG1357" s="935"/>
      <c r="CH1357" s="935"/>
      <c r="CI1357" s="935"/>
      <c r="CJ1357" s="935"/>
      <c r="CK1357" s="935"/>
      <c r="CL1357" s="935"/>
      <c r="CM1357" s="935"/>
      <c r="CN1357" s="935"/>
      <c r="CO1357" s="935"/>
      <c r="CP1357" s="935"/>
      <c r="CQ1357" s="935"/>
      <c r="CR1357" s="935"/>
      <c r="CS1357" s="935"/>
      <c r="CT1357" s="935"/>
      <c r="CU1357" s="935"/>
      <c r="CV1357" s="935"/>
    </row>
    <row r="1358" spans="1:100" s="441" customFormat="1">
      <c r="A1358" s="375">
        <f t="shared" si="372"/>
        <v>11</v>
      </c>
      <c r="B1358" s="862">
        <v>44523</v>
      </c>
      <c r="C1358" s="493" t="s">
        <v>2001</v>
      </c>
      <c r="D1358" s="376" t="str">
        <f>IFERROR(VLOOKUP(E:E,'Item Data Support Sheet'!A:O,7,0),"")</f>
        <v>NIPPLE PUNCH</v>
      </c>
      <c r="E1358" s="447" t="s">
        <v>82</v>
      </c>
      <c r="F1358" s="500"/>
      <c r="G1358" s="497" t="s">
        <v>1692</v>
      </c>
      <c r="H1358" s="602" t="str">
        <f>IFERROR(VLOOKUP(E:E,'Item Data Support Sheet'!A:O,2,0),"")</f>
        <v>NIPPLE S TYPE L SIZE PUNCHED</v>
      </c>
      <c r="I1358" s="501" t="s">
        <v>4134</v>
      </c>
      <c r="J1358" s="501" t="s">
        <v>2811</v>
      </c>
      <c r="K1358" s="499">
        <v>4</v>
      </c>
      <c r="L1358" s="499">
        <v>3500</v>
      </c>
      <c r="M1358" s="366">
        <v>875</v>
      </c>
      <c r="N1358" s="367">
        <f t="shared" si="371"/>
        <v>2000</v>
      </c>
      <c r="O1358" s="61">
        <v>2000</v>
      </c>
      <c r="P1358" s="368">
        <v>0</v>
      </c>
      <c r="Q1358" s="368">
        <v>0</v>
      </c>
      <c r="R1358" s="494">
        <v>0</v>
      </c>
      <c r="S1358" s="493">
        <v>0</v>
      </c>
      <c r="T1358" s="494">
        <v>0</v>
      </c>
      <c r="U1358" s="493">
        <v>0</v>
      </c>
      <c r="V1358" s="502">
        <v>1</v>
      </c>
      <c r="W1358" s="453">
        <f t="shared" si="373"/>
        <v>2000</v>
      </c>
      <c r="X1358" s="748">
        <f t="shared" si="374"/>
        <v>0.5714285714285714</v>
      </c>
      <c r="Y1358" s="451" t="str">
        <f>IFERROR(VLOOKUP(E:E,'Item Data Support Sheet'!A:J,6,0),0)</f>
        <v>FO017</v>
      </c>
      <c r="Z1358" s="428">
        <f>IFERROR(VLOOKUP(E:E,'Item Data Support Sheet'!A:O,4,0),0)</f>
        <v>0</v>
      </c>
      <c r="AA1358" s="428">
        <f t="shared" si="375"/>
        <v>0</v>
      </c>
      <c r="AB1358" s="429" t="str">
        <f t="shared" si="376"/>
        <v xml:space="preserve"> </v>
      </c>
      <c r="AC1358" s="424">
        <f t="shared" si="377"/>
        <v>0</v>
      </c>
      <c r="AD1358" s="371">
        <f t="shared" si="378"/>
        <v>0</v>
      </c>
      <c r="AE1358" s="748">
        <f t="shared" si="379"/>
        <v>1</v>
      </c>
      <c r="AF1358" s="417">
        <f t="shared" si="380"/>
        <v>0.66666666666666663</v>
      </c>
      <c r="AG1358" s="416">
        <f t="shared" si="381"/>
        <v>3.3333333333333335</v>
      </c>
      <c r="AH1358" s="372">
        <f t="shared" si="382"/>
        <v>0.83333333333333337</v>
      </c>
      <c r="AI1358" s="373">
        <f t="shared" si="383"/>
        <v>500</v>
      </c>
      <c r="AJ1358" s="418">
        <f>VLOOKUP(D1358,'Standard Cycle time'!C:D,2,0)</f>
        <v>3.5</v>
      </c>
      <c r="AK1358" s="418">
        <f t="shared" si="384"/>
        <v>6</v>
      </c>
      <c r="AL1358" s="374">
        <f t="shared" si="385"/>
        <v>0.58333333333333337</v>
      </c>
      <c r="AM1358" s="372">
        <f t="shared" si="386"/>
        <v>0.48611111111111116</v>
      </c>
      <c r="AN1358" s="799">
        <v>0.48611111111111116</v>
      </c>
      <c r="AO1358" s="448" t="s">
        <v>4135</v>
      </c>
      <c r="AP1358" s="440"/>
      <c r="AQ1358" s="440"/>
      <c r="AR1358" s="440">
        <v>0</v>
      </c>
      <c r="AS1358" s="440">
        <v>0</v>
      </c>
      <c r="AT1358" s="440">
        <v>0</v>
      </c>
      <c r="AU1358" s="440">
        <v>0</v>
      </c>
      <c r="AV1358" s="440">
        <v>0</v>
      </c>
      <c r="AW1358" s="440">
        <v>0</v>
      </c>
      <c r="AX1358" s="440">
        <v>0</v>
      </c>
      <c r="AY1358" s="440">
        <v>0</v>
      </c>
      <c r="AZ1358" s="440">
        <v>0</v>
      </c>
      <c r="BA1358" s="440">
        <v>0</v>
      </c>
      <c r="BB1358" s="440">
        <v>0</v>
      </c>
      <c r="BC1358" s="440">
        <v>0</v>
      </c>
      <c r="BD1358" s="440">
        <v>0</v>
      </c>
      <c r="BE1358" s="440">
        <v>0</v>
      </c>
      <c r="BF1358" s="440">
        <v>0</v>
      </c>
      <c r="BG1358" s="440">
        <v>0</v>
      </c>
      <c r="BH1358" s="440">
        <v>0</v>
      </c>
      <c r="BI1358" s="440">
        <v>0</v>
      </c>
      <c r="BJ1358" s="440">
        <v>0</v>
      </c>
      <c r="BK1358" s="440">
        <v>0</v>
      </c>
      <c r="BL1358" s="440">
        <v>40</v>
      </c>
      <c r="BM1358" s="440">
        <v>0</v>
      </c>
      <c r="BN1358" s="440">
        <v>0</v>
      </c>
      <c r="BO1358" s="440">
        <v>0</v>
      </c>
      <c r="BP1358" s="440">
        <v>0</v>
      </c>
      <c r="BQ1358" s="440">
        <v>0</v>
      </c>
      <c r="BR1358" s="415">
        <v>0.66666666666666663</v>
      </c>
      <c r="BS1358" s="415">
        <v>0.66666666666666663</v>
      </c>
      <c r="BT1358" s="935"/>
      <c r="BU1358" s="935"/>
      <c r="BV1358" s="935"/>
      <c r="BW1358" s="935"/>
      <c r="BX1358" s="935"/>
      <c r="BY1358" s="935"/>
      <c r="BZ1358" s="935"/>
      <c r="CA1358" s="935"/>
      <c r="CB1358" s="935"/>
      <c r="CC1358" s="935"/>
      <c r="CD1358" s="935"/>
      <c r="CE1358" s="935"/>
      <c r="CF1358" s="935"/>
      <c r="CG1358" s="935"/>
      <c r="CH1358" s="935"/>
      <c r="CI1358" s="935"/>
      <c r="CJ1358" s="935"/>
      <c r="CK1358" s="935"/>
      <c r="CL1358" s="935"/>
      <c r="CM1358" s="935"/>
      <c r="CN1358" s="935"/>
      <c r="CO1358" s="935"/>
      <c r="CP1358" s="935"/>
      <c r="CQ1358" s="935"/>
      <c r="CR1358" s="935"/>
      <c r="CS1358" s="935"/>
      <c r="CT1358" s="935"/>
      <c r="CU1358" s="935"/>
      <c r="CV1358" s="935"/>
    </row>
    <row r="1359" spans="1:100" s="441" customFormat="1">
      <c r="A1359" s="375">
        <f t="shared" si="372"/>
        <v>11</v>
      </c>
      <c r="B1359" s="862">
        <v>44523</v>
      </c>
      <c r="C1359" s="493" t="s">
        <v>2001</v>
      </c>
      <c r="D1359" s="376" t="str">
        <f>IFERROR(VLOOKUP(E:E,'Item Data Support Sheet'!A:O,7,0),"")</f>
        <v>NIPPLE LASER MARKING</v>
      </c>
      <c r="E1359" s="447" t="s">
        <v>1816</v>
      </c>
      <c r="F1359" s="500"/>
      <c r="G1359" s="497" t="s">
        <v>1812</v>
      </c>
      <c r="H1359" s="602" t="str">
        <f>IFERROR(VLOOKUP(E:E,'Item Data Support Sheet'!A:O,2,0),"")</f>
        <v>NIPPLE S TYPE L SIZE PUNCHED LASER MARKED</v>
      </c>
      <c r="I1359" s="501" t="s">
        <v>4129</v>
      </c>
      <c r="J1359" s="501" t="s">
        <v>2811</v>
      </c>
      <c r="K1359" s="499">
        <v>4</v>
      </c>
      <c r="L1359" s="499">
        <v>3500</v>
      </c>
      <c r="M1359" s="366">
        <v>875</v>
      </c>
      <c r="N1359" s="367">
        <f t="shared" si="371"/>
        <v>4250</v>
      </c>
      <c r="O1359" s="61">
        <v>4250</v>
      </c>
      <c r="P1359" s="368">
        <v>0</v>
      </c>
      <c r="Q1359" s="368">
        <v>0</v>
      </c>
      <c r="R1359" s="494">
        <v>0</v>
      </c>
      <c r="S1359" s="493">
        <v>0</v>
      </c>
      <c r="T1359" s="494">
        <v>0</v>
      </c>
      <c r="U1359" s="493">
        <v>0</v>
      </c>
      <c r="V1359" s="502">
        <v>1</v>
      </c>
      <c r="W1359" s="453">
        <f t="shared" si="373"/>
        <v>4250</v>
      </c>
      <c r="X1359" s="748">
        <f t="shared" si="374"/>
        <v>1.2142857142857142</v>
      </c>
      <c r="Y1359" s="451" t="str">
        <f>IFERROR(VLOOKUP(E:E,'Item Data Support Sheet'!A:J,6,0),0)</f>
        <v>FO021</v>
      </c>
      <c r="Z1359" s="428">
        <f>IFERROR(VLOOKUP(E:E,'Item Data Support Sheet'!A:O,4,0),0)</f>
        <v>0</v>
      </c>
      <c r="AA1359" s="428">
        <f t="shared" si="375"/>
        <v>0</v>
      </c>
      <c r="AB1359" s="429" t="str">
        <f t="shared" si="376"/>
        <v xml:space="preserve"> </v>
      </c>
      <c r="AC1359" s="424">
        <f t="shared" si="377"/>
        <v>0</v>
      </c>
      <c r="AD1359" s="371">
        <f t="shared" si="378"/>
        <v>0</v>
      </c>
      <c r="AE1359" s="748">
        <f t="shared" si="379"/>
        <v>1</v>
      </c>
      <c r="AF1359" s="417">
        <f t="shared" si="380"/>
        <v>0</v>
      </c>
      <c r="AG1359" s="416">
        <f t="shared" si="381"/>
        <v>4</v>
      </c>
      <c r="AH1359" s="372">
        <f t="shared" si="382"/>
        <v>1</v>
      </c>
      <c r="AI1359" s="373">
        <f t="shared" si="383"/>
        <v>1062.5</v>
      </c>
      <c r="AJ1359" s="418">
        <f>VLOOKUP(D1359,'Standard Cycle time'!C:D,2,0)</f>
        <v>3.5</v>
      </c>
      <c r="AK1359" s="418">
        <f t="shared" si="384"/>
        <v>3.388235294117647</v>
      </c>
      <c r="AL1359" s="374">
        <f t="shared" si="385"/>
        <v>1.0329861111111112</v>
      </c>
      <c r="AM1359" s="372">
        <f t="shared" si="386"/>
        <v>1.0329861111111112</v>
      </c>
      <c r="AN1359" s="799">
        <v>1.0329861111111112</v>
      </c>
      <c r="AO1359" s="448" t="s">
        <v>2835</v>
      </c>
      <c r="AP1359" s="440">
        <v>0</v>
      </c>
      <c r="AQ1359" s="440">
        <v>0</v>
      </c>
      <c r="AR1359" s="440">
        <v>0</v>
      </c>
      <c r="AS1359" s="440">
        <v>0</v>
      </c>
      <c r="AT1359" s="440">
        <v>0</v>
      </c>
      <c r="AU1359" s="440">
        <v>0</v>
      </c>
      <c r="AV1359" s="440">
        <v>0</v>
      </c>
      <c r="AW1359" s="440">
        <v>0</v>
      </c>
      <c r="AX1359" s="440">
        <v>0</v>
      </c>
      <c r="AY1359" s="440">
        <v>0</v>
      </c>
      <c r="AZ1359" s="440">
        <v>0</v>
      </c>
      <c r="BA1359" s="440">
        <v>0</v>
      </c>
      <c r="BB1359" s="440">
        <v>0</v>
      </c>
      <c r="BC1359" s="440">
        <v>0</v>
      </c>
      <c r="BD1359" s="440">
        <v>0</v>
      </c>
      <c r="BE1359" s="440">
        <v>0</v>
      </c>
      <c r="BF1359" s="440">
        <v>0</v>
      </c>
      <c r="BG1359" s="440">
        <v>0</v>
      </c>
      <c r="BH1359" s="440">
        <v>0</v>
      </c>
      <c r="BI1359" s="440">
        <v>0</v>
      </c>
      <c r="BJ1359" s="440">
        <v>0</v>
      </c>
      <c r="BK1359" s="440">
        <v>0</v>
      </c>
      <c r="BL1359" s="440">
        <v>0</v>
      </c>
      <c r="BM1359" s="440">
        <v>0</v>
      </c>
      <c r="BN1359" s="440">
        <v>0</v>
      </c>
      <c r="BO1359" s="440">
        <v>0</v>
      </c>
      <c r="BP1359" s="440">
        <v>0</v>
      </c>
      <c r="BQ1359" s="440">
        <v>0</v>
      </c>
      <c r="BR1359" s="415">
        <v>0</v>
      </c>
      <c r="BS1359" s="415">
        <v>0</v>
      </c>
      <c r="BT1359" s="935"/>
      <c r="BU1359" s="935"/>
      <c r="BV1359" s="935"/>
      <c r="BW1359" s="935"/>
      <c r="BX1359" s="935"/>
      <c r="BY1359" s="935"/>
      <c r="BZ1359" s="935"/>
      <c r="CA1359" s="935"/>
      <c r="CB1359" s="935"/>
      <c r="CC1359" s="935"/>
      <c r="CD1359" s="935"/>
      <c r="CE1359" s="935"/>
      <c r="CF1359" s="935"/>
      <c r="CG1359" s="935"/>
      <c r="CH1359" s="935"/>
      <c r="CI1359" s="935"/>
      <c r="CJ1359" s="935"/>
      <c r="CK1359" s="935"/>
      <c r="CL1359" s="935"/>
      <c r="CM1359" s="935"/>
      <c r="CN1359" s="935"/>
      <c r="CO1359" s="935"/>
      <c r="CP1359" s="935"/>
      <c r="CQ1359" s="935"/>
      <c r="CR1359" s="935"/>
      <c r="CS1359" s="935"/>
      <c r="CT1359" s="935"/>
      <c r="CU1359" s="935"/>
      <c r="CV1359" s="935"/>
    </row>
    <row r="1360" spans="1:100" s="441" customFormat="1">
      <c r="A1360" s="375">
        <f t="shared" si="372"/>
        <v>11</v>
      </c>
      <c r="B1360" s="862">
        <v>44523</v>
      </c>
      <c r="C1360" s="493" t="s">
        <v>2001</v>
      </c>
      <c r="D1360" s="376" t="str">
        <f>IFERROR(VLOOKUP(E:E,'Item Data Support Sheet'!A:O,7,0),"")</f>
        <v>NIPPLE PUNCH</v>
      </c>
      <c r="E1360" s="447" t="s">
        <v>81</v>
      </c>
      <c r="F1360" s="500"/>
      <c r="G1360" s="497" t="s">
        <v>1692</v>
      </c>
      <c r="H1360" s="602" t="str">
        <f>IFERROR(VLOOKUP(E:E,'Item Data Support Sheet'!A:O,2,0),"")</f>
        <v>NIPPLE S TYPE M SIZE PUNCHED</v>
      </c>
      <c r="I1360" s="501" t="s">
        <v>4136</v>
      </c>
      <c r="J1360" s="501" t="s">
        <v>2811</v>
      </c>
      <c r="K1360" s="499">
        <v>4</v>
      </c>
      <c r="L1360" s="499">
        <v>3500</v>
      </c>
      <c r="M1360" s="366">
        <v>875</v>
      </c>
      <c r="N1360" s="367">
        <f t="shared" si="371"/>
        <v>2000</v>
      </c>
      <c r="O1360" s="61">
        <v>2000</v>
      </c>
      <c r="P1360" s="368">
        <v>0</v>
      </c>
      <c r="Q1360" s="368">
        <v>0</v>
      </c>
      <c r="R1360" s="494">
        <v>0</v>
      </c>
      <c r="S1360" s="493">
        <v>0</v>
      </c>
      <c r="T1360" s="494">
        <v>0</v>
      </c>
      <c r="U1360" s="493">
        <v>0</v>
      </c>
      <c r="V1360" s="502">
        <v>1</v>
      </c>
      <c r="W1360" s="453">
        <f t="shared" si="373"/>
        <v>2000</v>
      </c>
      <c r="X1360" s="748">
        <f t="shared" si="374"/>
        <v>0.5714285714285714</v>
      </c>
      <c r="Y1360" s="451" t="str">
        <f>IFERROR(VLOOKUP(E:E,'Item Data Support Sheet'!A:J,6,0),0)</f>
        <v>FO016</v>
      </c>
      <c r="Z1360" s="428">
        <f>IFERROR(VLOOKUP(E:E,'Item Data Support Sheet'!A:O,4,0),0)</f>
        <v>0</v>
      </c>
      <c r="AA1360" s="428">
        <f t="shared" si="375"/>
        <v>0</v>
      </c>
      <c r="AB1360" s="429" t="str">
        <f t="shared" si="376"/>
        <v xml:space="preserve"> </v>
      </c>
      <c r="AC1360" s="424">
        <f t="shared" si="377"/>
        <v>0</v>
      </c>
      <c r="AD1360" s="371">
        <f t="shared" si="378"/>
        <v>0</v>
      </c>
      <c r="AE1360" s="748">
        <f t="shared" si="379"/>
        <v>1</v>
      </c>
      <c r="AF1360" s="417">
        <f t="shared" si="380"/>
        <v>0.66666666666666663</v>
      </c>
      <c r="AG1360" s="416">
        <f t="shared" si="381"/>
        <v>3.3333333333333335</v>
      </c>
      <c r="AH1360" s="372">
        <f t="shared" si="382"/>
        <v>0.83333333333333337</v>
      </c>
      <c r="AI1360" s="373">
        <f t="shared" si="383"/>
        <v>500</v>
      </c>
      <c r="AJ1360" s="418">
        <f>VLOOKUP(D1360,'Standard Cycle time'!C:D,2,0)</f>
        <v>3.5</v>
      </c>
      <c r="AK1360" s="418">
        <f t="shared" si="384"/>
        <v>6</v>
      </c>
      <c r="AL1360" s="374">
        <f t="shared" si="385"/>
        <v>0.58333333333333337</v>
      </c>
      <c r="AM1360" s="372">
        <f t="shared" si="386"/>
        <v>0.48611111111111116</v>
      </c>
      <c r="AN1360" s="799">
        <v>0.48611111111111116</v>
      </c>
      <c r="AO1360" s="448" t="s">
        <v>4137</v>
      </c>
      <c r="AP1360" s="440">
        <v>40</v>
      </c>
      <c r="AQ1360" s="440">
        <v>0</v>
      </c>
      <c r="AR1360" s="440">
        <v>0</v>
      </c>
      <c r="AS1360" s="440">
        <v>0</v>
      </c>
      <c r="AT1360" s="440">
        <v>0</v>
      </c>
      <c r="AU1360" s="440">
        <v>0</v>
      </c>
      <c r="AV1360" s="440">
        <v>0</v>
      </c>
      <c r="AW1360" s="440">
        <v>0</v>
      </c>
      <c r="AX1360" s="440">
        <v>0</v>
      </c>
      <c r="AY1360" s="440">
        <v>0</v>
      </c>
      <c r="AZ1360" s="440">
        <v>0</v>
      </c>
      <c r="BA1360" s="440">
        <v>0</v>
      </c>
      <c r="BB1360" s="440">
        <v>0</v>
      </c>
      <c r="BC1360" s="440">
        <v>0</v>
      </c>
      <c r="BD1360" s="440">
        <v>0</v>
      </c>
      <c r="BE1360" s="440">
        <v>0</v>
      </c>
      <c r="BF1360" s="440">
        <v>0</v>
      </c>
      <c r="BG1360" s="440">
        <v>0</v>
      </c>
      <c r="BH1360" s="440">
        <v>0</v>
      </c>
      <c r="BI1360" s="440">
        <v>0</v>
      </c>
      <c r="BJ1360" s="440">
        <v>0</v>
      </c>
      <c r="BK1360" s="440">
        <v>0</v>
      </c>
      <c r="BL1360" s="440">
        <v>0</v>
      </c>
      <c r="BM1360" s="440">
        <v>0</v>
      </c>
      <c r="BN1360" s="440">
        <v>0</v>
      </c>
      <c r="BO1360" s="440">
        <v>0</v>
      </c>
      <c r="BP1360" s="440">
        <v>0</v>
      </c>
      <c r="BQ1360" s="440">
        <v>0</v>
      </c>
      <c r="BR1360" s="415">
        <v>0.66666666666666663</v>
      </c>
      <c r="BS1360" s="415">
        <v>0.66666666666666663</v>
      </c>
      <c r="BT1360" s="935"/>
      <c r="BU1360" s="935"/>
      <c r="BV1360" s="935"/>
      <c r="BW1360" s="935"/>
      <c r="BX1360" s="935"/>
      <c r="BY1360" s="935"/>
      <c r="BZ1360" s="935"/>
      <c r="CA1360" s="935"/>
      <c r="CB1360" s="935"/>
      <c r="CC1360" s="935"/>
      <c r="CD1360" s="935"/>
      <c r="CE1360" s="935"/>
      <c r="CF1360" s="935"/>
      <c r="CG1360" s="935"/>
      <c r="CH1360" s="935"/>
      <c r="CI1360" s="935"/>
      <c r="CJ1360" s="935"/>
      <c r="CK1360" s="935"/>
      <c r="CL1360" s="935"/>
      <c r="CM1360" s="935"/>
      <c r="CN1360" s="935"/>
      <c r="CO1360" s="935"/>
      <c r="CP1360" s="935"/>
      <c r="CQ1360" s="935"/>
      <c r="CR1360" s="935"/>
      <c r="CS1360" s="935"/>
      <c r="CT1360" s="935"/>
      <c r="CU1360" s="935"/>
      <c r="CV1360" s="935"/>
    </row>
    <row r="1361" spans="1:100" s="441" customFormat="1">
      <c r="A1361" s="375">
        <f t="shared" si="372"/>
        <v>11</v>
      </c>
      <c r="B1361" s="862">
        <v>44523</v>
      </c>
      <c r="C1361" s="493" t="s">
        <v>2001</v>
      </c>
      <c r="D1361" s="376" t="str">
        <f>IFERROR(VLOOKUP(E:E,'Item Data Support Sheet'!A:O,7,0),"")</f>
        <v>NIPPLE LASER MARKING</v>
      </c>
      <c r="E1361" s="447" t="s">
        <v>1815</v>
      </c>
      <c r="F1361" s="500"/>
      <c r="G1361" s="497" t="s">
        <v>1812</v>
      </c>
      <c r="H1361" s="602" t="str">
        <f>IFERROR(VLOOKUP(E:E,'Item Data Support Sheet'!A:O,2,0),"")</f>
        <v>NIPPLE S TYPE M SIZE PUNCHED LASER MARKED</v>
      </c>
      <c r="I1361" s="501" t="s">
        <v>4138</v>
      </c>
      <c r="J1361" s="501" t="s">
        <v>2811</v>
      </c>
      <c r="K1361" s="499">
        <v>4</v>
      </c>
      <c r="L1361" s="499">
        <v>3500</v>
      </c>
      <c r="M1361" s="366">
        <v>875</v>
      </c>
      <c r="N1361" s="367">
        <f t="shared" si="371"/>
        <v>2000</v>
      </c>
      <c r="O1361" s="61">
        <v>2000</v>
      </c>
      <c r="P1361" s="368">
        <v>0</v>
      </c>
      <c r="Q1361" s="368">
        <v>0</v>
      </c>
      <c r="R1361" s="494">
        <v>0</v>
      </c>
      <c r="S1361" s="493">
        <v>0</v>
      </c>
      <c r="T1361" s="494">
        <v>0</v>
      </c>
      <c r="U1361" s="493">
        <v>0</v>
      </c>
      <c r="V1361" s="502">
        <v>1</v>
      </c>
      <c r="W1361" s="453">
        <f t="shared" si="373"/>
        <v>2000</v>
      </c>
      <c r="X1361" s="748">
        <f t="shared" si="374"/>
        <v>0.5714285714285714</v>
      </c>
      <c r="Y1361" s="451" t="str">
        <f>IFERROR(VLOOKUP(E:E,'Item Data Support Sheet'!A:J,6,0),0)</f>
        <v>FO020</v>
      </c>
      <c r="Z1361" s="428">
        <f>IFERROR(VLOOKUP(E:E,'Item Data Support Sheet'!A:O,4,0),0)</f>
        <v>0</v>
      </c>
      <c r="AA1361" s="428">
        <f t="shared" si="375"/>
        <v>0</v>
      </c>
      <c r="AB1361" s="429" t="str">
        <f t="shared" si="376"/>
        <v xml:space="preserve"> </v>
      </c>
      <c r="AC1361" s="424">
        <f t="shared" si="377"/>
        <v>0</v>
      </c>
      <c r="AD1361" s="371">
        <f t="shared" si="378"/>
        <v>0</v>
      </c>
      <c r="AE1361" s="748">
        <f t="shared" si="379"/>
        <v>1</v>
      </c>
      <c r="AF1361" s="417">
        <f t="shared" si="380"/>
        <v>0.66666666666666663</v>
      </c>
      <c r="AG1361" s="416">
        <f t="shared" si="381"/>
        <v>3.3333333333333335</v>
      </c>
      <c r="AH1361" s="372">
        <f t="shared" si="382"/>
        <v>0.83333333333333337</v>
      </c>
      <c r="AI1361" s="373">
        <f t="shared" si="383"/>
        <v>500</v>
      </c>
      <c r="AJ1361" s="418">
        <f>VLOOKUP(D1361,'Standard Cycle time'!C:D,2,0)</f>
        <v>3.5</v>
      </c>
      <c r="AK1361" s="418">
        <f t="shared" si="384"/>
        <v>6</v>
      </c>
      <c r="AL1361" s="374">
        <f t="shared" si="385"/>
        <v>0.58333333333333337</v>
      </c>
      <c r="AM1361" s="372">
        <f t="shared" si="386"/>
        <v>0.48611111111111116</v>
      </c>
      <c r="AN1361" s="799">
        <v>0.48611111111111116</v>
      </c>
      <c r="AO1361" s="448" t="s">
        <v>2835</v>
      </c>
      <c r="AP1361" s="440">
        <v>40</v>
      </c>
      <c r="AQ1361" s="440">
        <v>0</v>
      </c>
      <c r="AR1361" s="440">
        <v>0</v>
      </c>
      <c r="AS1361" s="440">
        <v>0</v>
      </c>
      <c r="AT1361" s="440">
        <v>0</v>
      </c>
      <c r="AU1361" s="440">
        <v>0</v>
      </c>
      <c r="AV1361" s="440">
        <v>0</v>
      </c>
      <c r="AW1361" s="440">
        <v>0</v>
      </c>
      <c r="AX1361" s="440">
        <v>0</v>
      </c>
      <c r="AY1361" s="440">
        <v>0</v>
      </c>
      <c r="AZ1361" s="440">
        <v>0</v>
      </c>
      <c r="BA1361" s="440">
        <v>0</v>
      </c>
      <c r="BB1361" s="440">
        <v>0</v>
      </c>
      <c r="BC1361" s="440">
        <v>0</v>
      </c>
      <c r="BD1361" s="440">
        <v>0</v>
      </c>
      <c r="BE1361" s="440">
        <v>0</v>
      </c>
      <c r="BF1361" s="440">
        <v>0</v>
      </c>
      <c r="BG1361" s="440">
        <v>0</v>
      </c>
      <c r="BH1361" s="440">
        <v>0</v>
      </c>
      <c r="BI1361" s="440">
        <v>0</v>
      </c>
      <c r="BJ1361" s="440">
        <v>0</v>
      </c>
      <c r="BK1361" s="440">
        <v>0</v>
      </c>
      <c r="BL1361" s="440">
        <v>0</v>
      </c>
      <c r="BM1361" s="440">
        <v>0</v>
      </c>
      <c r="BN1361" s="440">
        <v>0</v>
      </c>
      <c r="BO1361" s="440">
        <v>0</v>
      </c>
      <c r="BP1361" s="440">
        <v>0</v>
      </c>
      <c r="BQ1361" s="440">
        <v>0</v>
      </c>
      <c r="BR1361" s="415">
        <v>0.66666666666666663</v>
      </c>
      <c r="BS1361" s="415">
        <v>0.66666666666666663</v>
      </c>
      <c r="BT1361" s="935"/>
      <c r="BU1361" s="935"/>
      <c r="BV1361" s="935"/>
      <c r="BW1361" s="935"/>
      <c r="BX1361" s="935"/>
      <c r="BY1361" s="935"/>
      <c r="BZ1361" s="935"/>
      <c r="CA1361" s="935"/>
      <c r="CB1361" s="935"/>
      <c r="CC1361" s="935"/>
      <c r="CD1361" s="935"/>
      <c r="CE1361" s="935"/>
      <c r="CF1361" s="935"/>
      <c r="CG1361" s="935"/>
      <c r="CH1361" s="935"/>
      <c r="CI1361" s="935"/>
      <c r="CJ1361" s="935"/>
      <c r="CK1361" s="935"/>
      <c r="CL1361" s="935"/>
      <c r="CM1361" s="935"/>
      <c r="CN1361" s="935"/>
      <c r="CO1361" s="935"/>
      <c r="CP1361" s="935"/>
      <c r="CQ1361" s="935"/>
      <c r="CR1361" s="935"/>
      <c r="CS1361" s="935"/>
      <c r="CT1361" s="935"/>
      <c r="CU1361" s="935"/>
      <c r="CV1361" s="935"/>
    </row>
    <row r="1362" spans="1:100" s="441" customFormat="1">
      <c r="A1362" s="375">
        <f t="shared" si="372"/>
        <v>11</v>
      </c>
      <c r="B1362" s="862">
        <v>44523</v>
      </c>
      <c r="C1362" s="493" t="s">
        <v>2001</v>
      </c>
      <c r="D1362" s="376" t="str">
        <f>IFERROR(VLOOKUP(E:E,'Item Data Support Sheet'!A:O,7,0),"")</f>
        <v>NIPPLE MOLDED</v>
      </c>
      <c r="E1362" s="447" t="s">
        <v>74</v>
      </c>
      <c r="F1362" s="500" t="s">
        <v>1678</v>
      </c>
      <c r="G1362" s="497" t="s">
        <v>1691</v>
      </c>
      <c r="H1362" s="602" t="str">
        <f>IFERROR(VLOOKUP(E:E,'Item Data Support Sheet'!A:O,2,0),"")</f>
        <v>NIPPLE S TYPE L SIZE INJECTION</v>
      </c>
      <c r="I1362" s="501" t="s">
        <v>4139</v>
      </c>
      <c r="J1362" s="501" t="s">
        <v>2811</v>
      </c>
      <c r="K1362" s="499">
        <v>8</v>
      </c>
      <c r="L1362" s="499">
        <v>4815</v>
      </c>
      <c r="M1362" s="366">
        <v>602</v>
      </c>
      <c r="N1362" s="367">
        <f t="shared" si="371"/>
        <v>5310</v>
      </c>
      <c r="O1362" s="61">
        <v>5200</v>
      </c>
      <c r="P1362" s="368">
        <v>0</v>
      </c>
      <c r="Q1362" s="368">
        <v>44</v>
      </c>
      <c r="R1362" s="494">
        <v>0</v>
      </c>
      <c r="S1362" s="493">
        <v>0</v>
      </c>
      <c r="T1362" s="494">
        <v>66</v>
      </c>
      <c r="U1362" s="493">
        <v>0</v>
      </c>
      <c r="V1362" s="502">
        <v>1</v>
      </c>
      <c r="W1362" s="453">
        <f t="shared" si="373"/>
        <v>5200</v>
      </c>
      <c r="X1362" s="748">
        <f t="shared" si="374"/>
        <v>1.0799584631360333</v>
      </c>
      <c r="Y1362" s="451" t="str">
        <f>IFERROR(VLOOKUP(E:E,'Item Data Support Sheet'!A:J,6,0),0)</f>
        <v>Silicon</v>
      </c>
      <c r="Z1362" s="428">
        <f>IFERROR(VLOOKUP(E:E,'Item Data Support Sheet'!A:O,4,0),0)</f>
        <v>6.8</v>
      </c>
      <c r="AA1362" s="428">
        <f t="shared" si="375"/>
        <v>36.107999999999997</v>
      </c>
      <c r="AB1362" s="429">
        <f t="shared" si="376"/>
        <v>0.97928436911487771</v>
      </c>
      <c r="AC1362" s="424">
        <f t="shared" si="377"/>
        <v>1.2533232054690467E-2</v>
      </c>
      <c r="AD1362" s="371">
        <f t="shared" si="378"/>
        <v>8.2181546507284278E-3</v>
      </c>
      <c r="AE1362" s="748">
        <f t="shared" si="379"/>
        <v>0.9875706214689266</v>
      </c>
      <c r="AF1362" s="417">
        <f t="shared" si="380"/>
        <v>0</v>
      </c>
      <c r="AG1362" s="416">
        <f t="shared" si="381"/>
        <v>8</v>
      </c>
      <c r="AH1362" s="372">
        <f t="shared" si="382"/>
        <v>1</v>
      </c>
      <c r="AI1362" s="373">
        <f t="shared" si="383"/>
        <v>650</v>
      </c>
      <c r="AJ1362" s="418">
        <f>VLOOKUP(D1362,'Standard Cycle time'!C:D,2,0)</f>
        <v>5.25</v>
      </c>
      <c r="AK1362" s="418">
        <f t="shared" si="384"/>
        <v>5.5384615384615383</v>
      </c>
      <c r="AL1362" s="374">
        <f t="shared" si="385"/>
        <v>0.94791666666666674</v>
      </c>
      <c r="AM1362" s="372">
        <f t="shared" si="386"/>
        <v>0.93613465160075338</v>
      </c>
      <c r="AN1362" s="799">
        <v>0.93613465160075338</v>
      </c>
      <c r="AO1362" s="448"/>
      <c r="AP1362" s="440">
        <v>0</v>
      </c>
      <c r="AQ1362" s="440">
        <v>0</v>
      </c>
      <c r="AR1362" s="440">
        <v>0</v>
      </c>
      <c r="AS1362" s="440">
        <v>0</v>
      </c>
      <c r="AT1362" s="440">
        <v>0</v>
      </c>
      <c r="AU1362" s="440">
        <v>0</v>
      </c>
      <c r="AV1362" s="440">
        <v>0</v>
      </c>
      <c r="AW1362" s="440">
        <v>0</v>
      </c>
      <c r="AX1362" s="440">
        <v>0</v>
      </c>
      <c r="AY1362" s="440">
        <v>0</v>
      </c>
      <c r="AZ1362" s="440">
        <v>0</v>
      </c>
      <c r="BA1362" s="440">
        <v>0</v>
      </c>
      <c r="BB1362" s="440">
        <v>0</v>
      </c>
      <c r="BC1362" s="440">
        <v>0</v>
      </c>
      <c r="BD1362" s="440">
        <v>0</v>
      </c>
      <c r="BE1362" s="440">
        <v>0</v>
      </c>
      <c r="BF1362" s="440">
        <v>0</v>
      </c>
      <c r="BG1362" s="440">
        <v>0</v>
      </c>
      <c r="BH1362" s="440">
        <v>0</v>
      </c>
      <c r="BI1362" s="440">
        <v>0</v>
      </c>
      <c r="BJ1362" s="440">
        <v>0</v>
      </c>
      <c r="BK1362" s="440">
        <v>0</v>
      </c>
      <c r="BL1362" s="440">
        <v>0</v>
      </c>
      <c r="BM1362" s="440">
        <v>0</v>
      </c>
      <c r="BN1362" s="440">
        <v>0</v>
      </c>
      <c r="BO1362" s="440">
        <v>0</v>
      </c>
      <c r="BP1362" s="440">
        <v>0</v>
      </c>
      <c r="BQ1362" s="440">
        <v>0</v>
      </c>
      <c r="BR1362" s="415">
        <v>0</v>
      </c>
      <c r="BS1362" s="415">
        <v>0</v>
      </c>
      <c r="BT1362" s="935"/>
      <c r="BU1362" s="935"/>
      <c r="BV1362" s="935"/>
      <c r="BW1362" s="935"/>
      <c r="BX1362" s="935"/>
      <c r="BY1362" s="935"/>
      <c r="BZ1362" s="935"/>
      <c r="CA1362" s="935"/>
      <c r="CB1362" s="935"/>
      <c r="CC1362" s="935"/>
      <c r="CD1362" s="935"/>
      <c r="CE1362" s="935"/>
      <c r="CF1362" s="935"/>
      <c r="CG1362" s="935"/>
      <c r="CH1362" s="935"/>
      <c r="CI1362" s="935"/>
      <c r="CJ1362" s="935"/>
      <c r="CK1362" s="935"/>
      <c r="CL1362" s="935"/>
      <c r="CM1362" s="935"/>
      <c r="CN1362" s="935"/>
      <c r="CO1362" s="935"/>
      <c r="CP1362" s="935"/>
      <c r="CQ1362" s="935"/>
      <c r="CR1362" s="935"/>
      <c r="CS1362" s="935"/>
      <c r="CT1362" s="935"/>
      <c r="CU1362" s="935"/>
      <c r="CV1362" s="935"/>
    </row>
    <row r="1363" spans="1:100" s="441" customFormat="1">
      <c r="A1363" s="375">
        <f t="shared" si="372"/>
        <v>11</v>
      </c>
      <c r="B1363" s="862">
        <v>44523</v>
      </c>
      <c r="C1363" s="493" t="s">
        <v>2001</v>
      </c>
      <c r="D1363" s="376" t="str">
        <f>IFERROR(VLOOKUP(E:E,'Item Data Support Sheet'!A:O,7,0),"")</f>
        <v>NIPPLE MOLDED</v>
      </c>
      <c r="E1363" s="447" t="s">
        <v>2484</v>
      </c>
      <c r="F1363" s="500" t="s">
        <v>1677</v>
      </c>
      <c r="G1363" s="497" t="s">
        <v>1690</v>
      </c>
      <c r="H1363" s="602" t="str">
        <f>IFERROR(VLOOKUP(E:E,'Item Data Support Sheet'!A:O,2,0),"")</f>
        <v>NIPPLE S TYPE LL SIZE INJECTION</v>
      </c>
      <c r="I1363" s="501" t="s">
        <v>4139</v>
      </c>
      <c r="J1363" s="501" t="s">
        <v>2811</v>
      </c>
      <c r="K1363" s="499">
        <v>8</v>
      </c>
      <c r="L1363" s="499">
        <v>3611</v>
      </c>
      <c r="M1363" s="366">
        <v>451.375</v>
      </c>
      <c r="N1363" s="367">
        <f t="shared" si="371"/>
        <v>4254</v>
      </c>
      <c r="O1363" s="61">
        <v>4000</v>
      </c>
      <c r="P1363" s="368">
        <v>0</v>
      </c>
      <c r="Q1363" s="368">
        <v>150</v>
      </c>
      <c r="R1363" s="494">
        <v>0</v>
      </c>
      <c r="S1363" s="493">
        <v>0</v>
      </c>
      <c r="T1363" s="494">
        <v>104</v>
      </c>
      <c r="U1363" s="493">
        <v>0</v>
      </c>
      <c r="V1363" s="502">
        <v>1</v>
      </c>
      <c r="W1363" s="453">
        <f t="shared" si="373"/>
        <v>4000</v>
      </c>
      <c r="X1363" s="748">
        <f t="shared" si="374"/>
        <v>1.1077263915812794</v>
      </c>
      <c r="Y1363" s="451" t="str">
        <f>IFERROR(VLOOKUP(E:E,'Item Data Support Sheet'!A:J,6,0),0)</f>
        <v>FO148</v>
      </c>
      <c r="Z1363" s="428">
        <f>IFERROR(VLOOKUP(E:E,'Item Data Support Sheet'!A:O,4,0),0)</f>
        <v>6.8</v>
      </c>
      <c r="AA1363" s="428">
        <f t="shared" si="375"/>
        <v>28.927199999999999</v>
      </c>
      <c r="AB1363" s="429">
        <f t="shared" si="376"/>
        <v>0.94029149036201221</v>
      </c>
      <c r="AC1363" s="424">
        <f t="shared" si="377"/>
        <v>2.5341130604288498E-2</v>
      </c>
      <c r="AD1363" s="371">
        <f t="shared" si="378"/>
        <v>3.4059945504087197E-2</v>
      </c>
      <c r="AE1363" s="748">
        <f t="shared" si="379"/>
        <v>0.97555242125058772</v>
      </c>
      <c r="AF1363" s="417">
        <f t="shared" si="380"/>
        <v>0</v>
      </c>
      <c r="AG1363" s="416">
        <f t="shared" si="381"/>
        <v>8</v>
      </c>
      <c r="AH1363" s="372">
        <f t="shared" si="382"/>
        <v>1</v>
      </c>
      <c r="AI1363" s="373">
        <f t="shared" si="383"/>
        <v>500</v>
      </c>
      <c r="AJ1363" s="418">
        <f>VLOOKUP(D1363,'Standard Cycle time'!C:D,2,0)</f>
        <v>5.25</v>
      </c>
      <c r="AK1363" s="418">
        <f t="shared" si="384"/>
        <v>7.2</v>
      </c>
      <c r="AL1363" s="374">
        <f t="shared" si="385"/>
        <v>0.72916666666666663</v>
      </c>
      <c r="AM1363" s="372">
        <f t="shared" si="386"/>
        <v>0.7113403071618869</v>
      </c>
      <c r="AN1363" s="799">
        <v>0.7113403071618869</v>
      </c>
      <c r="AO1363" s="448"/>
      <c r="AP1363" s="440">
        <v>0</v>
      </c>
      <c r="AQ1363" s="440">
        <v>0</v>
      </c>
      <c r="AR1363" s="440">
        <v>0</v>
      </c>
      <c r="AS1363" s="440">
        <v>0</v>
      </c>
      <c r="AT1363" s="440">
        <v>0</v>
      </c>
      <c r="AU1363" s="440">
        <v>0</v>
      </c>
      <c r="AV1363" s="440">
        <v>0</v>
      </c>
      <c r="AW1363" s="440">
        <v>0</v>
      </c>
      <c r="AX1363" s="440">
        <v>0</v>
      </c>
      <c r="AY1363" s="440">
        <v>0</v>
      </c>
      <c r="AZ1363" s="440">
        <v>0</v>
      </c>
      <c r="BA1363" s="440">
        <v>0</v>
      </c>
      <c r="BB1363" s="440">
        <v>0</v>
      </c>
      <c r="BC1363" s="440">
        <v>0</v>
      </c>
      <c r="BD1363" s="440">
        <v>0</v>
      </c>
      <c r="BE1363" s="440">
        <v>0</v>
      </c>
      <c r="BF1363" s="440">
        <v>0</v>
      </c>
      <c r="BG1363" s="440">
        <v>0</v>
      </c>
      <c r="BH1363" s="440">
        <v>0</v>
      </c>
      <c r="BI1363" s="440">
        <v>0</v>
      </c>
      <c r="BJ1363" s="440">
        <v>0</v>
      </c>
      <c r="BK1363" s="440">
        <v>0</v>
      </c>
      <c r="BL1363" s="440">
        <v>0</v>
      </c>
      <c r="BM1363" s="440">
        <v>0</v>
      </c>
      <c r="BN1363" s="440">
        <v>0</v>
      </c>
      <c r="BO1363" s="440">
        <v>0</v>
      </c>
      <c r="BP1363" s="440">
        <v>0</v>
      </c>
      <c r="BQ1363" s="440">
        <v>0</v>
      </c>
      <c r="BR1363" s="415">
        <v>0</v>
      </c>
      <c r="BS1363" s="415">
        <v>0</v>
      </c>
      <c r="BT1363" s="935"/>
      <c r="BU1363" s="935"/>
      <c r="BV1363" s="935"/>
      <c r="BW1363" s="935"/>
      <c r="BX1363" s="935"/>
      <c r="BY1363" s="935"/>
      <c r="BZ1363" s="935"/>
      <c r="CA1363" s="935"/>
      <c r="CB1363" s="935"/>
      <c r="CC1363" s="935"/>
      <c r="CD1363" s="935"/>
      <c r="CE1363" s="935"/>
      <c r="CF1363" s="935"/>
      <c r="CG1363" s="935"/>
      <c r="CH1363" s="935"/>
      <c r="CI1363" s="935"/>
      <c r="CJ1363" s="935"/>
      <c r="CK1363" s="935"/>
      <c r="CL1363" s="935"/>
      <c r="CM1363" s="935"/>
      <c r="CN1363" s="935"/>
      <c r="CO1363" s="935"/>
      <c r="CP1363" s="935"/>
      <c r="CQ1363" s="935"/>
      <c r="CR1363" s="935"/>
      <c r="CS1363" s="935"/>
      <c r="CT1363" s="935"/>
      <c r="CU1363" s="935"/>
      <c r="CV1363" s="935"/>
    </row>
    <row r="1364" spans="1:100" s="441" customFormat="1">
      <c r="A1364" s="375">
        <f t="shared" si="372"/>
        <v>11</v>
      </c>
      <c r="B1364" s="862">
        <v>44523</v>
      </c>
      <c r="C1364" s="493" t="s">
        <v>2001</v>
      </c>
      <c r="D1364" s="376" t="str">
        <f>IFERROR(VLOOKUP(E:E,'Item Data Support Sheet'!A:O,7,0),"")</f>
        <v>CAP MOLDED</v>
      </c>
      <c r="E1364" s="447" t="s">
        <v>2106</v>
      </c>
      <c r="F1364" s="500" t="s">
        <v>4140</v>
      </c>
      <c r="G1364" s="497" t="s">
        <v>2729</v>
      </c>
      <c r="H1364" s="602" t="str">
        <f>IFERROR(VLOOKUP(E:E,'Item Data Support Sheet'!A:O,2,0),"")</f>
        <v>CAP S TYPE MOLDED RED</v>
      </c>
      <c r="I1364" s="501" t="s">
        <v>4141</v>
      </c>
      <c r="J1364" s="501" t="s">
        <v>2811</v>
      </c>
      <c r="K1364" s="499">
        <v>8</v>
      </c>
      <c r="L1364" s="499">
        <v>4137</v>
      </c>
      <c r="M1364" s="366">
        <v>517.125</v>
      </c>
      <c r="N1364" s="367">
        <f t="shared" si="371"/>
        <v>4504</v>
      </c>
      <c r="O1364" s="61">
        <v>4500</v>
      </c>
      <c r="P1364" s="368">
        <v>0</v>
      </c>
      <c r="Q1364" s="368">
        <v>2</v>
      </c>
      <c r="R1364" s="494">
        <v>0</v>
      </c>
      <c r="S1364" s="493">
        <v>0</v>
      </c>
      <c r="T1364" s="494">
        <v>2</v>
      </c>
      <c r="U1364" s="493">
        <v>0</v>
      </c>
      <c r="V1364" s="502">
        <v>1</v>
      </c>
      <c r="W1364" s="453">
        <f t="shared" si="373"/>
        <v>4500</v>
      </c>
      <c r="X1364" s="748">
        <f t="shared" si="374"/>
        <v>1.0877447425670776</v>
      </c>
      <c r="Y1364" s="451" t="str">
        <f>IFERROR(VLOOKUP(E:E,'Item Data Support Sheet'!A:J,6,0),0)</f>
        <v>FO153</v>
      </c>
      <c r="Z1364" s="428">
        <f>IFERROR(VLOOKUP(E:E,'Item Data Support Sheet'!A:O,4,0),0)</f>
        <v>7.3</v>
      </c>
      <c r="AA1364" s="428">
        <f t="shared" si="375"/>
        <v>32.879199999999997</v>
      </c>
      <c r="AB1364" s="429">
        <f t="shared" si="376"/>
        <v>0.99911190053285981</v>
      </c>
      <c r="AC1364" s="424">
        <f t="shared" si="377"/>
        <v>4.4424700133274098E-4</v>
      </c>
      <c r="AD1364" s="371">
        <f t="shared" si="378"/>
        <v>4.4385264092321349E-4</v>
      </c>
      <c r="AE1364" s="748">
        <f t="shared" si="379"/>
        <v>0.99955595026642985</v>
      </c>
      <c r="AF1364" s="417">
        <f t="shared" si="380"/>
        <v>0</v>
      </c>
      <c r="AG1364" s="416">
        <f t="shared" si="381"/>
        <v>8</v>
      </c>
      <c r="AH1364" s="372">
        <f t="shared" si="382"/>
        <v>1</v>
      </c>
      <c r="AI1364" s="373">
        <f t="shared" si="383"/>
        <v>562.5</v>
      </c>
      <c r="AJ1364" s="418">
        <f>VLOOKUP(D1364,'Standard Cycle time'!C:D,2,0)</f>
        <v>6</v>
      </c>
      <c r="AK1364" s="418">
        <f t="shared" si="384"/>
        <v>6.4</v>
      </c>
      <c r="AL1364" s="374">
        <f t="shared" si="385"/>
        <v>0.9375</v>
      </c>
      <c r="AM1364" s="372">
        <f t="shared" si="386"/>
        <v>0.93708370337477798</v>
      </c>
      <c r="AN1364" s="799">
        <v>0.93708370337477798</v>
      </c>
      <c r="AO1364" s="448"/>
      <c r="AP1364" s="440">
        <v>0</v>
      </c>
      <c r="AQ1364" s="440">
        <v>0</v>
      </c>
      <c r="AR1364" s="440">
        <v>0</v>
      </c>
      <c r="AS1364" s="440">
        <v>0</v>
      </c>
      <c r="AT1364" s="440">
        <v>0</v>
      </c>
      <c r="AU1364" s="440">
        <v>0</v>
      </c>
      <c r="AV1364" s="440">
        <v>0</v>
      </c>
      <c r="AW1364" s="440">
        <v>0</v>
      </c>
      <c r="AX1364" s="440">
        <v>0</v>
      </c>
      <c r="AY1364" s="440">
        <v>0</v>
      </c>
      <c r="AZ1364" s="440">
        <v>0</v>
      </c>
      <c r="BA1364" s="440">
        <v>0</v>
      </c>
      <c r="BB1364" s="440">
        <v>0</v>
      </c>
      <c r="BC1364" s="440">
        <v>0</v>
      </c>
      <c r="BD1364" s="440">
        <v>0</v>
      </c>
      <c r="BE1364" s="440">
        <v>0</v>
      </c>
      <c r="BF1364" s="440">
        <v>0</v>
      </c>
      <c r="BG1364" s="440">
        <v>0</v>
      </c>
      <c r="BH1364" s="440">
        <v>0</v>
      </c>
      <c r="BI1364" s="440">
        <v>0</v>
      </c>
      <c r="BJ1364" s="440">
        <v>0</v>
      </c>
      <c r="BK1364" s="440">
        <v>0</v>
      </c>
      <c r="BL1364" s="440">
        <v>0</v>
      </c>
      <c r="BM1364" s="440">
        <v>0</v>
      </c>
      <c r="BN1364" s="440">
        <v>0</v>
      </c>
      <c r="BO1364" s="440">
        <v>0</v>
      </c>
      <c r="BP1364" s="440">
        <v>0</v>
      </c>
      <c r="BQ1364" s="440">
        <v>0</v>
      </c>
      <c r="BR1364" s="415">
        <v>0</v>
      </c>
      <c r="BS1364" s="415">
        <v>0</v>
      </c>
      <c r="BT1364" s="935"/>
      <c r="BU1364" s="935"/>
      <c r="BV1364" s="935"/>
      <c r="BW1364" s="935"/>
      <c r="BX1364" s="935"/>
      <c r="BY1364" s="935"/>
      <c r="BZ1364" s="935"/>
      <c r="CA1364" s="935"/>
      <c r="CB1364" s="935"/>
      <c r="CC1364" s="935"/>
      <c r="CD1364" s="935"/>
      <c r="CE1364" s="935"/>
      <c r="CF1364" s="935"/>
      <c r="CG1364" s="935"/>
      <c r="CH1364" s="935"/>
      <c r="CI1364" s="935"/>
      <c r="CJ1364" s="935"/>
      <c r="CK1364" s="935"/>
      <c r="CL1364" s="935"/>
      <c r="CM1364" s="935"/>
      <c r="CN1364" s="935"/>
      <c r="CO1364" s="935"/>
      <c r="CP1364" s="935"/>
      <c r="CQ1364" s="935"/>
      <c r="CR1364" s="935"/>
      <c r="CS1364" s="935"/>
      <c r="CT1364" s="935"/>
      <c r="CU1364" s="935"/>
      <c r="CV1364" s="935"/>
    </row>
    <row r="1365" spans="1:100" s="441" customFormat="1">
      <c r="A1365" s="375">
        <f t="shared" si="372"/>
        <v>11</v>
      </c>
      <c r="B1365" s="862">
        <v>44523</v>
      </c>
      <c r="C1365" s="493" t="s">
        <v>2053</v>
      </c>
      <c r="D1365" s="376" t="str">
        <f>IFERROR(VLOOKUP(E:E,'Item Data Support Sheet'!A:O,7,0),"")</f>
        <v>NIPPLE MOLDED</v>
      </c>
      <c r="E1365" s="447" t="s">
        <v>2484</v>
      </c>
      <c r="F1365" s="500" t="s">
        <v>1677</v>
      </c>
      <c r="G1365" s="497" t="s">
        <v>1690</v>
      </c>
      <c r="H1365" s="602" t="str">
        <f>IFERROR(VLOOKUP(E:E,'Item Data Support Sheet'!A:O,2,0),"")</f>
        <v>NIPPLE S TYPE LL SIZE INJECTION</v>
      </c>
      <c r="I1365" s="501" t="s">
        <v>4142</v>
      </c>
      <c r="J1365" s="501" t="s">
        <v>2808</v>
      </c>
      <c r="K1365" s="499">
        <v>8</v>
      </c>
      <c r="L1365" s="499">
        <v>3611</v>
      </c>
      <c r="M1365" s="366">
        <v>451.375</v>
      </c>
      <c r="N1365" s="367">
        <f t="shared" si="371"/>
        <v>4051</v>
      </c>
      <c r="O1365" s="61">
        <v>4000</v>
      </c>
      <c r="P1365" s="368">
        <v>0</v>
      </c>
      <c r="Q1365" s="368">
        <v>0</v>
      </c>
      <c r="R1365" s="494">
        <v>0</v>
      </c>
      <c r="S1365" s="493">
        <v>0</v>
      </c>
      <c r="T1365" s="494">
        <v>45</v>
      </c>
      <c r="U1365" s="493">
        <v>6</v>
      </c>
      <c r="V1365" s="502">
        <v>1</v>
      </c>
      <c r="W1365" s="453">
        <f t="shared" si="373"/>
        <v>4000</v>
      </c>
      <c r="X1365" s="748">
        <f t="shared" si="374"/>
        <v>1.1077263915812794</v>
      </c>
      <c r="Y1365" s="451" t="str">
        <f>IFERROR(VLOOKUP(E:E,'Item Data Support Sheet'!A:J,6,0),0)</f>
        <v>FO148</v>
      </c>
      <c r="Z1365" s="428">
        <f>IFERROR(VLOOKUP(E:E,'Item Data Support Sheet'!A:O,4,0),0)</f>
        <v>6.8</v>
      </c>
      <c r="AA1365" s="428">
        <f t="shared" si="375"/>
        <v>27.546799999999998</v>
      </c>
      <c r="AB1365" s="429">
        <f t="shared" si="376"/>
        <v>0.98741051592199458</v>
      </c>
      <c r="AC1365" s="424">
        <f t="shared" si="377"/>
        <v>1.1124845488257108E-2</v>
      </c>
      <c r="AD1365" s="371">
        <f t="shared" si="378"/>
        <v>0</v>
      </c>
      <c r="AE1365" s="748">
        <f t="shared" si="379"/>
        <v>0.98889163169587757</v>
      </c>
      <c r="AF1365" s="417">
        <f t="shared" si="380"/>
        <v>0</v>
      </c>
      <c r="AG1365" s="416">
        <f t="shared" si="381"/>
        <v>8</v>
      </c>
      <c r="AH1365" s="372">
        <f t="shared" si="382"/>
        <v>1</v>
      </c>
      <c r="AI1365" s="373">
        <f t="shared" si="383"/>
        <v>500</v>
      </c>
      <c r="AJ1365" s="418">
        <f>VLOOKUP(D1365,'Standard Cycle time'!C:D,2,0)</f>
        <v>5.25</v>
      </c>
      <c r="AK1365" s="418">
        <f t="shared" si="384"/>
        <v>7.2</v>
      </c>
      <c r="AL1365" s="374">
        <f t="shared" si="385"/>
        <v>0.72916666666666663</v>
      </c>
      <c r="AM1365" s="372">
        <f t="shared" si="386"/>
        <v>0.72106681477824408</v>
      </c>
      <c r="AN1365" s="799">
        <v>0.72106681477824408</v>
      </c>
      <c r="AO1365" s="448"/>
      <c r="AP1365" s="440">
        <v>0</v>
      </c>
      <c r="AQ1365" s="440">
        <v>0</v>
      </c>
      <c r="AR1365" s="440">
        <v>0</v>
      </c>
      <c r="AS1365" s="440">
        <v>0</v>
      </c>
      <c r="AT1365" s="440">
        <v>0</v>
      </c>
      <c r="AU1365" s="440">
        <v>0</v>
      </c>
      <c r="AV1365" s="440">
        <v>0</v>
      </c>
      <c r="AW1365" s="440">
        <v>0</v>
      </c>
      <c r="AX1365" s="440">
        <v>0</v>
      </c>
      <c r="AY1365" s="440">
        <v>0</v>
      </c>
      <c r="AZ1365" s="440">
        <v>0</v>
      </c>
      <c r="BA1365" s="440">
        <v>0</v>
      </c>
      <c r="BB1365" s="440">
        <v>0</v>
      </c>
      <c r="BC1365" s="440">
        <v>0</v>
      </c>
      <c r="BD1365" s="440">
        <v>0</v>
      </c>
      <c r="BE1365" s="440">
        <v>0</v>
      </c>
      <c r="BF1365" s="440">
        <v>0</v>
      </c>
      <c r="BG1365" s="440">
        <v>0</v>
      </c>
      <c r="BH1365" s="440">
        <v>0</v>
      </c>
      <c r="BI1365" s="440">
        <v>0</v>
      </c>
      <c r="BJ1365" s="440">
        <v>0</v>
      </c>
      <c r="BK1365" s="440">
        <v>0</v>
      </c>
      <c r="BL1365" s="440">
        <v>0</v>
      </c>
      <c r="BM1365" s="440">
        <v>0</v>
      </c>
      <c r="BN1365" s="440">
        <v>0</v>
      </c>
      <c r="BO1365" s="440">
        <v>0</v>
      </c>
      <c r="BP1365" s="440">
        <v>0</v>
      </c>
      <c r="BQ1365" s="440">
        <v>0</v>
      </c>
      <c r="BR1365" s="415">
        <v>0</v>
      </c>
      <c r="BS1365" s="415">
        <v>0</v>
      </c>
      <c r="BT1365" s="935"/>
      <c r="BU1365" s="935"/>
      <c r="BV1365" s="935"/>
      <c r="BW1365" s="935"/>
      <c r="BX1365" s="935"/>
      <c r="BY1365" s="935"/>
      <c r="BZ1365" s="935"/>
      <c r="CA1365" s="935"/>
      <c r="CB1365" s="935"/>
      <c r="CC1365" s="935"/>
      <c r="CD1365" s="935"/>
      <c r="CE1365" s="935"/>
      <c r="CF1365" s="935"/>
      <c r="CG1365" s="935"/>
      <c r="CH1365" s="935"/>
      <c r="CI1365" s="935"/>
      <c r="CJ1365" s="935"/>
      <c r="CK1365" s="935"/>
      <c r="CL1365" s="935"/>
      <c r="CM1365" s="935"/>
      <c r="CN1365" s="935"/>
      <c r="CO1365" s="935"/>
      <c r="CP1365" s="935"/>
      <c r="CQ1365" s="935"/>
      <c r="CR1365" s="935"/>
      <c r="CS1365" s="935"/>
      <c r="CT1365" s="935"/>
      <c r="CU1365" s="935"/>
      <c r="CV1365" s="935"/>
    </row>
    <row r="1366" spans="1:100" s="441" customFormat="1">
      <c r="A1366" s="375">
        <f t="shared" si="372"/>
        <v>11</v>
      </c>
      <c r="B1366" s="862">
        <v>44523</v>
      </c>
      <c r="C1366" s="493" t="s">
        <v>2053</v>
      </c>
      <c r="D1366" s="376" t="str">
        <f>IFERROR(VLOOKUP(E:E,'Item Data Support Sheet'!A:O,7,0),"")</f>
        <v>NIPPLE MOLDED</v>
      </c>
      <c r="E1366" s="447" t="s">
        <v>74</v>
      </c>
      <c r="F1366" s="500" t="s">
        <v>1678</v>
      </c>
      <c r="G1366" s="497" t="s">
        <v>1691</v>
      </c>
      <c r="H1366" s="602" t="str">
        <f>IFERROR(VLOOKUP(E:E,'Item Data Support Sheet'!A:O,2,0),"")</f>
        <v>NIPPLE S TYPE L SIZE INJECTION</v>
      </c>
      <c r="I1366" s="501" t="s">
        <v>4142</v>
      </c>
      <c r="J1366" s="501" t="s">
        <v>2808</v>
      </c>
      <c r="K1366" s="499">
        <v>8</v>
      </c>
      <c r="L1366" s="499">
        <v>4815</v>
      </c>
      <c r="M1366" s="366">
        <v>601.875</v>
      </c>
      <c r="N1366" s="367">
        <f t="shared" si="371"/>
        <v>4418</v>
      </c>
      <c r="O1366" s="61">
        <v>4300</v>
      </c>
      <c r="P1366" s="368">
        <v>5.91</v>
      </c>
      <c r="Q1366" s="368">
        <v>70</v>
      </c>
      <c r="R1366" s="494">
        <v>0</v>
      </c>
      <c r="S1366" s="493">
        <v>0</v>
      </c>
      <c r="T1366" s="494">
        <v>40</v>
      </c>
      <c r="U1366" s="493">
        <v>8</v>
      </c>
      <c r="V1366" s="502">
        <v>1</v>
      </c>
      <c r="W1366" s="453">
        <f t="shared" si="373"/>
        <v>4300</v>
      </c>
      <c r="X1366" s="748">
        <f t="shared" si="374"/>
        <v>0.89304257528556596</v>
      </c>
      <c r="Y1366" s="451" t="str">
        <f>IFERROR(VLOOKUP(E:E,'Item Data Support Sheet'!A:J,6,0),0)</f>
        <v>Silicon</v>
      </c>
      <c r="Z1366" s="428">
        <f>IFERROR(VLOOKUP(E:E,'Item Data Support Sheet'!A:O,4,0),0)</f>
        <v>6.8</v>
      </c>
      <c r="AA1366" s="428">
        <f t="shared" si="375"/>
        <v>35.952399999999997</v>
      </c>
      <c r="AB1366" s="429">
        <f t="shared" si="376"/>
        <v>0.81329758235889682</v>
      </c>
      <c r="AC1366" s="424">
        <f t="shared" si="377"/>
        <v>9.2165898617511521E-3</v>
      </c>
      <c r="AD1366" s="371">
        <f t="shared" si="378"/>
        <v>1.5597147950089126E-2</v>
      </c>
      <c r="AE1366" s="748">
        <f t="shared" si="379"/>
        <v>0.99094612947034855</v>
      </c>
      <c r="AF1366" s="417">
        <f t="shared" si="380"/>
        <v>0</v>
      </c>
      <c r="AG1366" s="416">
        <f t="shared" si="381"/>
        <v>8</v>
      </c>
      <c r="AH1366" s="372">
        <f t="shared" si="382"/>
        <v>1</v>
      </c>
      <c r="AI1366" s="373">
        <f t="shared" si="383"/>
        <v>537.5</v>
      </c>
      <c r="AJ1366" s="418">
        <f>VLOOKUP(D1366,'Standard Cycle time'!C:D,2,0)</f>
        <v>5.25</v>
      </c>
      <c r="AK1366" s="418">
        <f t="shared" si="384"/>
        <v>6.6976744186046515</v>
      </c>
      <c r="AL1366" s="374">
        <f t="shared" si="385"/>
        <v>0.78385416666666663</v>
      </c>
      <c r="AM1366" s="372">
        <f t="shared" si="386"/>
        <v>0.7767572525275388</v>
      </c>
      <c r="AN1366" s="799">
        <v>0.7767572525275388</v>
      </c>
      <c r="AO1366" s="448" t="s">
        <v>3161</v>
      </c>
      <c r="AP1366" s="440">
        <v>0</v>
      </c>
      <c r="AQ1366" s="440">
        <v>0</v>
      </c>
      <c r="AR1366" s="440">
        <v>0</v>
      </c>
      <c r="AS1366" s="440">
        <v>0</v>
      </c>
      <c r="AT1366" s="440">
        <v>0</v>
      </c>
      <c r="AU1366" s="440">
        <v>0</v>
      </c>
      <c r="AV1366" s="440">
        <v>0</v>
      </c>
      <c r="AW1366" s="440">
        <v>0</v>
      </c>
      <c r="AX1366" s="440">
        <v>0</v>
      </c>
      <c r="AY1366" s="440">
        <v>0</v>
      </c>
      <c r="AZ1366" s="440">
        <v>0</v>
      </c>
      <c r="BA1366" s="440">
        <v>0</v>
      </c>
      <c r="BB1366" s="440">
        <v>0</v>
      </c>
      <c r="BC1366" s="440">
        <v>0</v>
      </c>
      <c r="BD1366" s="440">
        <v>0</v>
      </c>
      <c r="BE1366" s="440">
        <v>0</v>
      </c>
      <c r="BF1366" s="440">
        <v>0</v>
      </c>
      <c r="BG1366" s="440">
        <v>0</v>
      </c>
      <c r="BH1366" s="440">
        <v>0</v>
      </c>
      <c r="BI1366" s="440">
        <v>0</v>
      </c>
      <c r="BJ1366" s="440">
        <v>0</v>
      </c>
      <c r="BK1366" s="440">
        <v>0</v>
      </c>
      <c r="BL1366" s="440">
        <v>0</v>
      </c>
      <c r="BM1366" s="440">
        <v>0</v>
      </c>
      <c r="BN1366" s="440">
        <v>0</v>
      </c>
      <c r="BO1366" s="440">
        <v>0</v>
      </c>
      <c r="BP1366" s="440">
        <v>0</v>
      </c>
      <c r="BQ1366" s="440">
        <v>0</v>
      </c>
      <c r="BR1366" s="415">
        <v>0</v>
      </c>
      <c r="BS1366" s="415">
        <v>0</v>
      </c>
      <c r="BT1366" s="935"/>
      <c r="BU1366" s="935"/>
      <c r="BV1366" s="935"/>
      <c r="BW1366" s="935"/>
      <c r="BX1366" s="935"/>
      <c r="BY1366" s="935"/>
      <c r="BZ1366" s="935"/>
      <c r="CA1366" s="935"/>
      <c r="CB1366" s="935"/>
      <c r="CC1366" s="935"/>
      <c r="CD1366" s="935"/>
      <c r="CE1366" s="935"/>
      <c r="CF1366" s="935"/>
      <c r="CG1366" s="935"/>
      <c r="CH1366" s="935"/>
      <c r="CI1366" s="935"/>
      <c r="CJ1366" s="935"/>
      <c r="CK1366" s="935"/>
      <c r="CL1366" s="935"/>
      <c r="CM1366" s="935"/>
      <c r="CN1366" s="935"/>
      <c r="CO1366" s="935"/>
      <c r="CP1366" s="935"/>
      <c r="CQ1366" s="935"/>
      <c r="CR1366" s="935"/>
      <c r="CS1366" s="935"/>
      <c r="CT1366" s="935"/>
      <c r="CU1366" s="935"/>
      <c r="CV1366" s="935"/>
    </row>
    <row r="1367" spans="1:100" s="441" customFormat="1">
      <c r="A1367" s="375">
        <f t="shared" si="372"/>
        <v>11</v>
      </c>
      <c r="B1367" s="862">
        <v>44523</v>
      </c>
      <c r="C1367" s="493" t="s">
        <v>2053</v>
      </c>
      <c r="D1367" s="376" t="str">
        <f>IFERROR(VLOOKUP(E:E,'Item Data Support Sheet'!A:O,7,0),"")</f>
        <v>NIPPLE PUNCH</v>
      </c>
      <c r="E1367" s="447" t="s">
        <v>81</v>
      </c>
      <c r="F1367" s="500"/>
      <c r="G1367" s="497" t="s">
        <v>1692</v>
      </c>
      <c r="H1367" s="602" t="str">
        <f>IFERROR(VLOOKUP(E:E,'Item Data Support Sheet'!A:O,2,0),"")</f>
        <v>NIPPLE S TYPE M SIZE PUNCHED</v>
      </c>
      <c r="I1367" s="501" t="s">
        <v>4143</v>
      </c>
      <c r="J1367" s="501" t="s">
        <v>2808</v>
      </c>
      <c r="K1367" s="499">
        <v>8</v>
      </c>
      <c r="L1367" s="499">
        <v>7000</v>
      </c>
      <c r="M1367" s="366">
        <v>875</v>
      </c>
      <c r="N1367" s="367">
        <f t="shared" si="371"/>
        <v>5924</v>
      </c>
      <c r="O1367" s="61">
        <v>5924</v>
      </c>
      <c r="P1367" s="368">
        <v>0</v>
      </c>
      <c r="Q1367" s="368">
        <v>0</v>
      </c>
      <c r="R1367" s="494">
        <v>0</v>
      </c>
      <c r="S1367" s="493">
        <v>0</v>
      </c>
      <c r="T1367" s="494">
        <v>0</v>
      </c>
      <c r="U1367" s="493">
        <v>0</v>
      </c>
      <c r="V1367" s="502">
        <v>1</v>
      </c>
      <c r="W1367" s="453">
        <f t="shared" si="373"/>
        <v>5924</v>
      </c>
      <c r="X1367" s="748">
        <f t="shared" si="374"/>
        <v>0.84628571428571431</v>
      </c>
      <c r="Y1367" s="451" t="str">
        <f>IFERROR(VLOOKUP(E:E,'Item Data Support Sheet'!A:J,6,0),0)</f>
        <v>FO016</v>
      </c>
      <c r="Z1367" s="428">
        <f>IFERROR(VLOOKUP(E:E,'Item Data Support Sheet'!A:O,4,0),0)</f>
        <v>0</v>
      </c>
      <c r="AA1367" s="428">
        <f t="shared" si="375"/>
        <v>0</v>
      </c>
      <c r="AB1367" s="429" t="str">
        <f t="shared" si="376"/>
        <v xml:space="preserve"> </v>
      </c>
      <c r="AC1367" s="424">
        <f t="shared" si="377"/>
        <v>0</v>
      </c>
      <c r="AD1367" s="371">
        <f t="shared" si="378"/>
        <v>0</v>
      </c>
      <c r="AE1367" s="748">
        <f t="shared" si="379"/>
        <v>1</v>
      </c>
      <c r="AF1367" s="417">
        <f t="shared" si="380"/>
        <v>0</v>
      </c>
      <c r="AG1367" s="416">
        <f t="shared" si="381"/>
        <v>8</v>
      </c>
      <c r="AH1367" s="372">
        <f t="shared" si="382"/>
        <v>1</v>
      </c>
      <c r="AI1367" s="373">
        <f t="shared" si="383"/>
        <v>740.5</v>
      </c>
      <c r="AJ1367" s="418">
        <f>VLOOKUP(D1367,'Standard Cycle time'!C:D,2,0)</f>
        <v>3.5</v>
      </c>
      <c r="AK1367" s="418">
        <f t="shared" si="384"/>
        <v>4.8615800135043887</v>
      </c>
      <c r="AL1367" s="374">
        <f t="shared" si="385"/>
        <v>0.71993055555555563</v>
      </c>
      <c r="AM1367" s="372">
        <f t="shared" si="386"/>
        <v>0.71993055555555563</v>
      </c>
      <c r="AN1367" s="799">
        <v>0.71993055555555563</v>
      </c>
      <c r="AO1367" s="448" t="s">
        <v>4144</v>
      </c>
      <c r="AP1367" s="440">
        <v>0</v>
      </c>
      <c r="AQ1367" s="440">
        <v>0</v>
      </c>
      <c r="AR1367" s="440">
        <v>0</v>
      </c>
      <c r="AS1367" s="440">
        <v>0</v>
      </c>
      <c r="AT1367" s="440">
        <v>0</v>
      </c>
      <c r="AU1367" s="440">
        <v>0</v>
      </c>
      <c r="AV1367" s="440">
        <v>0</v>
      </c>
      <c r="AW1367" s="440">
        <v>0</v>
      </c>
      <c r="AX1367" s="440">
        <v>0</v>
      </c>
      <c r="AY1367" s="440">
        <v>0</v>
      </c>
      <c r="AZ1367" s="440">
        <v>0</v>
      </c>
      <c r="BA1367" s="440">
        <v>0</v>
      </c>
      <c r="BB1367" s="440">
        <v>0</v>
      </c>
      <c r="BC1367" s="440">
        <v>0</v>
      </c>
      <c r="BD1367" s="440">
        <v>0</v>
      </c>
      <c r="BE1367" s="440">
        <v>0</v>
      </c>
      <c r="BF1367" s="440">
        <v>0</v>
      </c>
      <c r="BG1367" s="440">
        <v>0</v>
      </c>
      <c r="BH1367" s="440">
        <v>0</v>
      </c>
      <c r="BI1367" s="440">
        <v>0</v>
      </c>
      <c r="BJ1367" s="440">
        <v>0</v>
      </c>
      <c r="BK1367" s="440">
        <v>0</v>
      </c>
      <c r="BL1367" s="440">
        <v>0</v>
      </c>
      <c r="BM1367" s="440">
        <v>0</v>
      </c>
      <c r="BN1367" s="440">
        <v>0</v>
      </c>
      <c r="BO1367" s="440">
        <v>0</v>
      </c>
      <c r="BP1367" s="440">
        <v>0</v>
      </c>
      <c r="BQ1367" s="440">
        <v>0</v>
      </c>
      <c r="BR1367" s="415"/>
      <c r="BS1367" s="415"/>
      <c r="BT1367" s="935"/>
      <c r="BU1367" s="935"/>
      <c r="BV1367" s="935"/>
      <c r="BW1367" s="935"/>
      <c r="BX1367" s="935"/>
      <c r="BY1367" s="935"/>
      <c r="BZ1367" s="935"/>
      <c r="CA1367" s="935"/>
      <c r="CB1367" s="935"/>
      <c r="CC1367" s="935"/>
      <c r="CD1367" s="935"/>
      <c r="CE1367" s="935"/>
      <c r="CF1367" s="935"/>
      <c r="CG1367" s="935"/>
      <c r="CH1367" s="935"/>
      <c r="CI1367" s="935"/>
      <c r="CJ1367" s="935"/>
      <c r="CK1367" s="935"/>
      <c r="CL1367" s="935"/>
      <c r="CM1367" s="935"/>
      <c r="CN1367" s="935"/>
      <c r="CO1367" s="935"/>
      <c r="CP1367" s="935"/>
      <c r="CQ1367" s="935"/>
      <c r="CR1367" s="935"/>
      <c r="CS1367" s="935"/>
      <c r="CT1367" s="935"/>
      <c r="CU1367" s="935"/>
      <c r="CV1367" s="935"/>
    </row>
    <row r="1368" spans="1:100" s="441" customFormat="1">
      <c r="A1368" s="375">
        <f t="shared" si="372"/>
        <v>11</v>
      </c>
      <c r="B1368" s="862">
        <v>44523</v>
      </c>
      <c r="C1368" s="493" t="s">
        <v>2053</v>
      </c>
      <c r="D1368" s="376" t="str">
        <f>IFERROR(VLOOKUP(E:E,'Item Data Support Sheet'!A:O,7,0),"")</f>
        <v>NIPPLE LASER MARKING</v>
      </c>
      <c r="E1368" s="447" t="s">
        <v>1815</v>
      </c>
      <c r="F1368" s="500"/>
      <c r="G1368" s="497" t="s">
        <v>1812</v>
      </c>
      <c r="H1368" s="602" t="str">
        <f>IFERROR(VLOOKUP(E:E,'Item Data Support Sheet'!A:O,2,0),"")</f>
        <v>NIPPLE S TYPE M SIZE PUNCHED LASER MARKED</v>
      </c>
      <c r="I1368" s="501" t="s">
        <v>4145</v>
      </c>
      <c r="J1368" s="501" t="s">
        <v>2808</v>
      </c>
      <c r="K1368" s="499">
        <v>8</v>
      </c>
      <c r="L1368" s="499">
        <v>7000</v>
      </c>
      <c r="M1368" s="366">
        <v>875</v>
      </c>
      <c r="N1368" s="367">
        <f t="shared" si="371"/>
        <v>4924</v>
      </c>
      <c r="O1368" s="61">
        <v>4924</v>
      </c>
      <c r="P1368" s="368">
        <v>0</v>
      </c>
      <c r="Q1368" s="368">
        <v>0</v>
      </c>
      <c r="R1368" s="494">
        <v>0</v>
      </c>
      <c r="S1368" s="493">
        <v>0</v>
      </c>
      <c r="T1368" s="494">
        <v>0</v>
      </c>
      <c r="U1368" s="493">
        <v>0</v>
      </c>
      <c r="V1368" s="502">
        <v>1</v>
      </c>
      <c r="W1368" s="453">
        <f t="shared" si="373"/>
        <v>4924</v>
      </c>
      <c r="X1368" s="748">
        <f t="shared" si="374"/>
        <v>0.7034285714285714</v>
      </c>
      <c r="Y1368" s="451" t="str">
        <f>IFERROR(VLOOKUP(E:E,'Item Data Support Sheet'!A:J,6,0),0)</f>
        <v>FO020</v>
      </c>
      <c r="Z1368" s="428">
        <f>IFERROR(VLOOKUP(E:E,'Item Data Support Sheet'!A:O,4,0),0)</f>
        <v>0</v>
      </c>
      <c r="AA1368" s="428">
        <f t="shared" si="375"/>
        <v>0</v>
      </c>
      <c r="AB1368" s="429" t="str">
        <f t="shared" si="376"/>
        <v xml:space="preserve"> </v>
      </c>
      <c r="AC1368" s="424">
        <f t="shared" si="377"/>
        <v>0</v>
      </c>
      <c r="AD1368" s="371">
        <f t="shared" si="378"/>
        <v>0</v>
      </c>
      <c r="AE1368" s="748">
        <f t="shared" si="379"/>
        <v>1</v>
      </c>
      <c r="AF1368" s="417">
        <f t="shared" si="380"/>
        <v>0</v>
      </c>
      <c r="AG1368" s="416">
        <f t="shared" si="381"/>
        <v>8</v>
      </c>
      <c r="AH1368" s="372">
        <f t="shared" si="382"/>
        <v>1</v>
      </c>
      <c r="AI1368" s="373">
        <f t="shared" si="383"/>
        <v>615.5</v>
      </c>
      <c r="AJ1368" s="418">
        <f>VLOOKUP(D1368,'Standard Cycle time'!C:D,2,0)</f>
        <v>3.5</v>
      </c>
      <c r="AK1368" s="418">
        <f t="shared" si="384"/>
        <v>5.8489033306255074</v>
      </c>
      <c r="AL1368" s="374">
        <f t="shared" si="385"/>
        <v>0.59840277777777784</v>
      </c>
      <c r="AM1368" s="372">
        <f t="shared" si="386"/>
        <v>0.59840277777777784</v>
      </c>
      <c r="AN1368" s="799">
        <v>0.59840277777777784</v>
      </c>
      <c r="AO1368" s="448" t="s">
        <v>4126</v>
      </c>
      <c r="AP1368" s="440">
        <v>0</v>
      </c>
      <c r="AQ1368" s="440">
        <v>0</v>
      </c>
      <c r="AR1368" s="440">
        <v>0</v>
      </c>
      <c r="AS1368" s="440">
        <v>0</v>
      </c>
      <c r="AT1368" s="440">
        <v>0</v>
      </c>
      <c r="AU1368" s="440">
        <v>0</v>
      </c>
      <c r="AV1368" s="440">
        <v>0</v>
      </c>
      <c r="AW1368" s="440">
        <v>0</v>
      </c>
      <c r="AX1368" s="440">
        <v>0</v>
      </c>
      <c r="AY1368" s="440">
        <v>0</v>
      </c>
      <c r="AZ1368" s="440">
        <v>0</v>
      </c>
      <c r="BA1368" s="440">
        <v>0</v>
      </c>
      <c r="BB1368" s="440">
        <v>0</v>
      </c>
      <c r="BC1368" s="440">
        <v>0</v>
      </c>
      <c r="BD1368" s="440">
        <v>0</v>
      </c>
      <c r="BE1368" s="440">
        <v>0</v>
      </c>
      <c r="BF1368" s="440">
        <v>0</v>
      </c>
      <c r="BG1368" s="440">
        <v>0</v>
      </c>
      <c r="BH1368" s="440">
        <v>0</v>
      </c>
      <c r="BI1368" s="440">
        <v>0</v>
      </c>
      <c r="BJ1368" s="440">
        <v>0</v>
      </c>
      <c r="BK1368" s="440">
        <v>0</v>
      </c>
      <c r="BL1368" s="440">
        <v>0</v>
      </c>
      <c r="BM1368" s="440">
        <v>0</v>
      </c>
      <c r="BN1368" s="440">
        <v>0</v>
      </c>
      <c r="BO1368" s="440">
        <v>0</v>
      </c>
      <c r="BP1368" s="440">
        <v>0</v>
      </c>
      <c r="BQ1368" s="440">
        <v>0</v>
      </c>
      <c r="BR1368" s="415"/>
      <c r="BS1368" s="415"/>
      <c r="BT1368" s="935"/>
      <c r="BU1368" s="935"/>
      <c r="BV1368" s="935"/>
      <c r="BW1368" s="935"/>
      <c r="BX1368" s="935"/>
      <c r="BY1368" s="935"/>
      <c r="BZ1368" s="935"/>
      <c r="CA1368" s="935"/>
      <c r="CB1368" s="935"/>
      <c r="CC1368" s="935"/>
      <c r="CD1368" s="935"/>
      <c r="CE1368" s="935"/>
      <c r="CF1368" s="935"/>
      <c r="CG1368" s="935"/>
      <c r="CH1368" s="935"/>
      <c r="CI1368" s="935"/>
      <c r="CJ1368" s="935"/>
      <c r="CK1368" s="935"/>
      <c r="CL1368" s="935"/>
      <c r="CM1368" s="935"/>
      <c r="CN1368" s="935"/>
      <c r="CO1368" s="935"/>
      <c r="CP1368" s="935"/>
      <c r="CQ1368" s="935"/>
      <c r="CR1368" s="935"/>
      <c r="CS1368" s="935"/>
      <c r="CT1368" s="935"/>
      <c r="CU1368" s="935"/>
      <c r="CV1368" s="935"/>
    </row>
    <row r="1369" spans="1:100" s="441" customFormat="1">
      <c r="A1369" s="375">
        <f t="shared" si="372"/>
        <v>11</v>
      </c>
      <c r="B1369" s="862">
        <v>44523</v>
      </c>
      <c r="C1369" s="493" t="s">
        <v>2053</v>
      </c>
      <c r="D1369" s="376" t="str">
        <f>IFERROR(VLOOKUP(E:E,'Item Data Support Sheet'!A:O,7,0),"")</f>
        <v>CAP MOLDED</v>
      </c>
      <c r="E1369" s="447" t="s">
        <v>2106</v>
      </c>
      <c r="F1369" s="500" t="s">
        <v>4140</v>
      </c>
      <c r="G1369" s="497" t="s">
        <v>2729</v>
      </c>
      <c r="H1369" s="602" t="str">
        <f>IFERROR(VLOOKUP(E:E,'Item Data Support Sheet'!A:O,2,0),"")</f>
        <v>CAP S TYPE MOLDED RED</v>
      </c>
      <c r="I1369" s="501" t="s">
        <v>4146</v>
      </c>
      <c r="J1369" s="501" t="s">
        <v>2808</v>
      </c>
      <c r="K1369" s="499">
        <v>8</v>
      </c>
      <c r="L1369" s="499">
        <v>4137</v>
      </c>
      <c r="M1369" s="366">
        <v>517.125</v>
      </c>
      <c r="N1369" s="367">
        <f t="shared" si="371"/>
        <v>3400</v>
      </c>
      <c r="O1369" s="61">
        <v>3400</v>
      </c>
      <c r="P1369" s="368">
        <v>0</v>
      </c>
      <c r="Q1369" s="368">
        <v>0</v>
      </c>
      <c r="R1369" s="494">
        <v>0</v>
      </c>
      <c r="S1369" s="493">
        <v>0</v>
      </c>
      <c r="T1369" s="494">
        <v>0</v>
      </c>
      <c r="U1369" s="493">
        <v>0</v>
      </c>
      <c r="V1369" s="502">
        <v>1</v>
      </c>
      <c r="W1369" s="453">
        <f t="shared" si="373"/>
        <v>3400</v>
      </c>
      <c r="X1369" s="748">
        <f t="shared" si="374"/>
        <v>0.82185158327290309</v>
      </c>
      <c r="Y1369" s="451" t="str">
        <f>IFERROR(VLOOKUP(E:E,'Item Data Support Sheet'!A:J,6,0),0)</f>
        <v>FO153</v>
      </c>
      <c r="Z1369" s="428">
        <f>IFERROR(VLOOKUP(E:E,'Item Data Support Sheet'!A:O,4,0),0)</f>
        <v>7.3</v>
      </c>
      <c r="AA1369" s="428">
        <f t="shared" si="375"/>
        <v>24.82</v>
      </c>
      <c r="AB1369" s="429">
        <f t="shared" si="376"/>
        <v>1</v>
      </c>
      <c r="AC1369" s="424">
        <f t="shared" si="377"/>
        <v>0</v>
      </c>
      <c r="AD1369" s="371">
        <f t="shared" si="378"/>
        <v>0</v>
      </c>
      <c r="AE1369" s="748">
        <f t="shared" si="379"/>
        <v>1</v>
      </c>
      <c r="AF1369" s="417">
        <f t="shared" si="380"/>
        <v>2</v>
      </c>
      <c r="AG1369" s="416">
        <f t="shared" si="381"/>
        <v>6</v>
      </c>
      <c r="AH1369" s="372">
        <f t="shared" si="382"/>
        <v>0.75</v>
      </c>
      <c r="AI1369" s="373">
        <f t="shared" si="383"/>
        <v>425</v>
      </c>
      <c r="AJ1369" s="418">
        <f>VLOOKUP(D1369,'Standard Cycle time'!C:D,2,0)</f>
        <v>6</v>
      </c>
      <c r="AK1369" s="418">
        <f t="shared" si="384"/>
        <v>6.3529411764705879</v>
      </c>
      <c r="AL1369" s="374">
        <f t="shared" si="385"/>
        <v>0.94444444444444453</v>
      </c>
      <c r="AM1369" s="372">
        <f t="shared" si="386"/>
        <v>0.70833333333333337</v>
      </c>
      <c r="AN1369" s="799">
        <v>0.70833333333333337</v>
      </c>
      <c r="AO1369" s="448" t="s">
        <v>4147</v>
      </c>
      <c r="AP1369" s="440">
        <v>0</v>
      </c>
      <c r="AQ1369" s="440">
        <v>0</v>
      </c>
      <c r="AR1369" s="440">
        <v>0</v>
      </c>
      <c r="AS1369" s="440">
        <v>0</v>
      </c>
      <c r="AT1369" s="440">
        <v>0</v>
      </c>
      <c r="AU1369" s="440">
        <v>0</v>
      </c>
      <c r="AV1369" s="440">
        <v>0</v>
      </c>
      <c r="AW1369" s="440">
        <v>0</v>
      </c>
      <c r="AX1369" s="440">
        <v>0</v>
      </c>
      <c r="AY1369" s="440">
        <v>0</v>
      </c>
      <c r="AZ1369" s="440">
        <v>0</v>
      </c>
      <c r="BA1369" s="440">
        <v>0</v>
      </c>
      <c r="BB1369" s="440">
        <v>0</v>
      </c>
      <c r="BC1369" s="440">
        <v>0</v>
      </c>
      <c r="BD1369" s="440">
        <v>0</v>
      </c>
      <c r="BE1369" s="440">
        <v>0</v>
      </c>
      <c r="BF1369" s="440">
        <v>0</v>
      </c>
      <c r="BG1369" s="440">
        <v>0</v>
      </c>
      <c r="BH1369" s="440">
        <v>0</v>
      </c>
      <c r="BI1369" s="440">
        <v>0</v>
      </c>
      <c r="BJ1369" s="440">
        <v>0</v>
      </c>
      <c r="BK1369" s="440">
        <v>120</v>
      </c>
      <c r="BL1369" s="440">
        <v>0</v>
      </c>
      <c r="BM1369" s="440">
        <v>0</v>
      </c>
      <c r="BN1369" s="440">
        <v>0</v>
      </c>
      <c r="BO1369" s="440">
        <v>0</v>
      </c>
      <c r="BP1369" s="440">
        <v>0</v>
      </c>
      <c r="BQ1369" s="440">
        <v>0</v>
      </c>
      <c r="BR1369" s="415">
        <v>2</v>
      </c>
      <c r="BS1369" s="415">
        <v>2</v>
      </c>
      <c r="BT1369" s="935"/>
      <c r="BU1369" s="935"/>
      <c r="BV1369" s="935"/>
      <c r="BW1369" s="935"/>
      <c r="BX1369" s="935"/>
      <c r="BY1369" s="935"/>
      <c r="BZ1369" s="935"/>
      <c r="CA1369" s="935"/>
      <c r="CB1369" s="935"/>
      <c r="CC1369" s="935"/>
      <c r="CD1369" s="935"/>
      <c r="CE1369" s="935"/>
      <c r="CF1369" s="935"/>
      <c r="CG1369" s="935"/>
      <c r="CH1369" s="935"/>
      <c r="CI1369" s="935"/>
      <c r="CJ1369" s="935"/>
      <c r="CK1369" s="935"/>
      <c r="CL1369" s="935"/>
      <c r="CM1369" s="935"/>
      <c r="CN1369" s="935"/>
      <c r="CO1369" s="935"/>
      <c r="CP1369" s="935"/>
      <c r="CQ1369" s="935"/>
      <c r="CR1369" s="935"/>
      <c r="CS1369" s="935"/>
      <c r="CT1369" s="935"/>
      <c r="CU1369" s="935"/>
      <c r="CV1369" s="935"/>
    </row>
    <row r="1370" spans="1:100" s="441" customFormat="1">
      <c r="A1370" s="375">
        <f t="shared" si="372"/>
        <v>11</v>
      </c>
      <c r="B1370" s="862">
        <v>44524</v>
      </c>
      <c r="C1370" s="493" t="s">
        <v>1980</v>
      </c>
      <c r="D1370" s="376" t="str">
        <f>IFERROR(VLOOKUP(E:E,'Item Data Support Sheet'!A:O,7,0),"")</f>
        <v>NIPPLE MOLDED</v>
      </c>
      <c r="E1370" s="447" t="s">
        <v>74</v>
      </c>
      <c r="F1370" s="500" t="s">
        <v>1678</v>
      </c>
      <c r="G1370" s="497" t="s">
        <v>1691</v>
      </c>
      <c r="H1370" s="602" t="str">
        <f>IFERROR(VLOOKUP(E:E,'Item Data Support Sheet'!A:O,2,0),"")</f>
        <v>NIPPLE S TYPE L SIZE INJECTION</v>
      </c>
      <c r="I1370" s="501" t="s">
        <v>4148</v>
      </c>
      <c r="J1370" s="501" t="s">
        <v>2809</v>
      </c>
      <c r="K1370" s="499">
        <v>8</v>
      </c>
      <c r="L1370" s="499">
        <v>4815</v>
      </c>
      <c r="M1370" s="366">
        <v>601.875</v>
      </c>
      <c r="N1370" s="367">
        <f t="shared" si="371"/>
        <v>5525</v>
      </c>
      <c r="O1370" s="61">
        <v>5400</v>
      </c>
      <c r="P1370" s="368">
        <v>0</v>
      </c>
      <c r="Q1370" s="368">
        <v>40</v>
      </c>
      <c r="R1370" s="494">
        <v>0</v>
      </c>
      <c r="S1370" s="493">
        <v>0</v>
      </c>
      <c r="T1370" s="494">
        <v>77</v>
      </c>
      <c r="U1370" s="493">
        <v>8</v>
      </c>
      <c r="V1370" s="502">
        <v>1</v>
      </c>
      <c r="W1370" s="453">
        <f t="shared" si="373"/>
        <v>5400</v>
      </c>
      <c r="X1370" s="748">
        <f t="shared" si="374"/>
        <v>1.1214953271028036</v>
      </c>
      <c r="Y1370" s="451" t="str">
        <f>IFERROR(VLOOKUP(E:E,'Item Data Support Sheet'!A:J,6,0),0)</f>
        <v>Silicon</v>
      </c>
      <c r="Z1370" s="428">
        <f>IFERROR(VLOOKUP(E:E,'Item Data Support Sheet'!A:O,4,0),0)</f>
        <v>6.8</v>
      </c>
      <c r="AA1370" s="428">
        <f t="shared" si="375"/>
        <v>37.57</v>
      </c>
      <c r="AB1370" s="429">
        <f t="shared" si="376"/>
        <v>0.9773755656108597</v>
      </c>
      <c r="AC1370" s="424">
        <f t="shared" si="377"/>
        <v>1.4058791309110827E-2</v>
      </c>
      <c r="AD1370" s="371">
        <f t="shared" si="378"/>
        <v>7.1877807726864335E-3</v>
      </c>
      <c r="AE1370" s="748">
        <f t="shared" si="379"/>
        <v>0.98606334841628962</v>
      </c>
      <c r="AF1370" s="417">
        <f t="shared" si="380"/>
        <v>0</v>
      </c>
      <c r="AG1370" s="416">
        <f t="shared" si="381"/>
        <v>8</v>
      </c>
      <c r="AH1370" s="372">
        <f t="shared" si="382"/>
        <v>1</v>
      </c>
      <c r="AI1370" s="373">
        <f t="shared" si="383"/>
        <v>675</v>
      </c>
      <c r="AJ1370" s="418">
        <f>VLOOKUP(D1370,'Standard Cycle time'!C:D,2,0)</f>
        <v>5.25</v>
      </c>
      <c r="AK1370" s="418">
        <f t="shared" si="384"/>
        <v>5.333333333333333</v>
      </c>
      <c r="AL1370" s="374">
        <f t="shared" si="385"/>
        <v>0.984375</v>
      </c>
      <c r="AM1370" s="372">
        <f t="shared" si="386"/>
        <v>0.97065610859728513</v>
      </c>
      <c r="AN1370" s="799">
        <v>0.97065610859728513</v>
      </c>
      <c r="AO1370" s="448"/>
      <c r="AP1370" s="440">
        <v>0</v>
      </c>
      <c r="AQ1370" s="440">
        <v>0</v>
      </c>
      <c r="AR1370" s="440">
        <v>0</v>
      </c>
      <c r="AS1370" s="440">
        <v>0</v>
      </c>
      <c r="AT1370" s="440">
        <v>0</v>
      </c>
      <c r="AU1370" s="440">
        <v>0</v>
      </c>
      <c r="AV1370" s="440">
        <v>0</v>
      </c>
      <c r="AW1370" s="440">
        <v>0</v>
      </c>
      <c r="AX1370" s="440">
        <v>0</v>
      </c>
      <c r="AY1370" s="440">
        <v>0</v>
      </c>
      <c r="AZ1370" s="440">
        <v>0</v>
      </c>
      <c r="BA1370" s="440">
        <v>0</v>
      </c>
      <c r="BB1370" s="440">
        <v>0</v>
      </c>
      <c r="BC1370" s="440">
        <v>0</v>
      </c>
      <c r="BD1370" s="440">
        <v>0</v>
      </c>
      <c r="BE1370" s="440">
        <v>0</v>
      </c>
      <c r="BF1370" s="440">
        <v>0</v>
      </c>
      <c r="BG1370" s="440">
        <v>0</v>
      </c>
      <c r="BH1370" s="440">
        <v>0</v>
      </c>
      <c r="BI1370" s="440">
        <v>0</v>
      </c>
      <c r="BJ1370" s="440">
        <v>0</v>
      </c>
      <c r="BK1370" s="440">
        <v>0</v>
      </c>
      <c r="BL1370" s="440">
        <v>0</v>
      </c>
      <c r="BM1370" s="440">
        <v>0</v>
      </c>
      <c r="BN1370" s="440">
        <v>0</v>
      </c>
      <c r="BO1370" s="440">
        <v>0</v>
      </c>
      <c r="BP1370" s="440">
        <v>0</v>
      </c>
      <c r="BQ1370" s="440">
        <v>0</v>
      </c>
      <c r="BR1370" s="415">
        <v>0</v>
      </c>
      <c r="BS1370" s="415">
        <v>0</v>
      </c>
      <c r="BT1370" s="935"/>
      <c r="BU1370" s="935"/>
      <c r="BV1370" s="935"/>
      <c r="BW1370" s="935"/>
      <c r="BX1370" s="935"/>
      <c r="BY1370" s="935"/>
      <c r="BZ1370" s="935"/>
      <c r="CA1370" s="935"/>
      <c r="CB1370" s="935"/>
      <c r="CC1370" s="935"/>
      <c r="CD1370" s="935"/>
      <c r="CE1370" s="935"/>
      <c r="CF1370" s="935"/>
      <c r="CG1370" s="935"/>
      <c r="CH1370" s="935"/>
      <c r="CI1370" s="935"/>
      <c r="CJ1370" s="935"/>
      <c r="CK1370" s="935"/>
      <c r="CL1370" s="935"/>
      <c r="CM1370" s="935"/>
      <c r="CN1370" s="935"/>
      <c r="CO1370" s="935"/>
      <c r="CP1370" s="935"/>
      <c r="CQ1370" s="935"/>
      <c r="CR1370" s="935"/>
      <c r="CS1370" s="935"/>
      <c r="CT1370" s="935"/>
      <c r="CU1370" s="935"/>
      <c r="CV1370" s="935"/>
    </row>
    <row r="1371" spans="1:100" s="441" customFormat="1">
      <c r="A1371" s="375">
        <f t="shared" si="372"/>
        <v>11</v>
      </c>
      <c r="B1371" s="862">
        <v>44524</v>
      </c>
      <c r="C1371" s="493" t="s">
        <v>1980</v>
      </c>
      <c r="D1371" s="376" t="str">
        <f>IFERROR(VLOOKUP(E:E,'Item Data Support Sheet'!A:O,7,0),"")</f>
        <v>NIPPLE MOLDED</v>
      </c>
      <c r="E1371" s="447" t="s">
        <v>2484</v>
      </c>
      <c r="F1371" s="500" t="s">
        <v>1677</v>
      </c>
      <c r="G1371" s="497" t="s">
        <v>1690</v>
      </c>
      <c r="H1371" s="602" t="str">
        <f>IFERROR(VLOOKUP(E:E,'Item Data Support Sheet'!A:O,2,0),"")</f>
        <v>NIPPLE S TYPE LL SIZE INJECTION</v>
      </c>
      <c r="I1371" s="501" t="s">
        <v>4148</v>
      </c>
      <c r="J1371" s="501" t="s">
        <v>2809</v>
      </c>
      <c r="K1371" s="499">
        <v>8</v>
      </c>
      <c r="L1371" s="499">
        <v>3611</v>
      </c>
      <c r="M1371" s="366">
        <v>451.375</v>
      </c>
      <c r="N1371" s="367">
        <f t="shared" si="371"/>
        <v>3138</v>
      </c>
      <c r="O1371" s="61">
        <v>3000</v>
      </c>
      <c r="P1371" s="368">
        <v>6.1</v>
      </c>
      <c r="Q1371" s="368">
        <v>40</v>
      </c>
      <c r="R1371" s="494">
        <v>0</v>
      </c>
      <c r="S1371" s="493">
        <v>0</v>
      </c>
      <c r="T1371" s="494">
        <v>90</v>
      </c>
      <c r="U1371" s="493">
        <v>8</v>
      </c>
      <c r="V1371" s="502">
        <v>1</v>
      </c>
      <c r="W1371" s="453">
        <f t="shared" si="373"/>
        <v>3000</v>
      </c>
      <c r="X1371" s="748">
        <f t="shared" si="374"/>
        <v>0.83079479368595954</v>
      </c>
      <c r="Y1371" s="451" t="str">
        <f>IFERROR(VLOOKUP(E:E,'Item Data Support Sheet'!A:J,6,0),0)</f>
        <v>FO148</v>
      </c>
      <c r="Z1371" s="428">
        <f>IFERROR(VLOOKUP(E:E,'Item Data Support Sheet'!A:O,4,0),0)</f>
        <v>6.8</v>
      </c>
      <c r="AA1371" s="428">
        <f t="shared" si="375"/>
        <v>27.438400000000001</v>
      </c>
      <c r="AB1371" s="429">
        <f t="shared" si="376"/>
        <v>0.74348358504869083</v>
      </c>
      <c r="AC1371" s="424">
        <f t="shared" si="377"/>
        <v>2.9126213592233011E-2</v>
      </c>
      <c r="AD1371" s="371">
        <f t="shared" si="378"/>
        <v>1.2586532410320957E-2</v>
      </c>
      <c r="AE1371" s="748">
        <f t="shared" si="379"/>
        <v>0.97131931166347996</v>
      </c>
      <c r="AF1371" s="417">
        <f t="shared" si="380"/>
        <v>0</v>
      </c>
      <c r="AG1371" s="416">
        <f t="shared" si="381"/>
        <v>8</v>
      </c>
      <c r="AH1371" s="372">
        <f t="shared" si="382"/>
        <v>1</v>
      </c>
      <c r="AI1371" s="373">
        <f t="shared" si="383"/>
        <v>375</v>
      </c>
      <c r="AJ1371" s="418">
        <f>VLOOKUP(D1371,'Standard Cycle time'!C:D,2,0)</f>
        <v>5.25</v>
      </c>
      <c r="AK1371" s="418">
        <f t="shared" si="384"/>
        <v>9.6</v>
      </c>
      <c r="AL1371" s="374">
        <f t="shared" si="385"/>
        <v>0.546875</v>
      </c>
      <c r="AM1371" s="372">
        <f t="shared" si="386"/>
        <v>0.53119024856596564</v>
      </c>
      <c r="AN1371" s="799">
        <v>0.53119024856596564</v>
      </c>
      <c r="AO1371" s="448" t="s">
        <v>4149</v>
      </c>
      <c r="AP1371" s="440">
        <v>0</v>
      </c>
      <c r="AQ1371" s="440">
        <v>0</v>
      </c>
      <c r="AR1371" s="440">
        <v>0</v>
      </c>
      <c r="AS1371" s="440">
        <v>0</v>
      </c>
      <c r="AT1371" s="440">
        <v>0</v>
      </c>
      <c r="AU1371" s="440">
        <v>0</v>
      </c>
      <c r="AV1371" s="440">
        <v>0</v>
      </c>
      <c r="AW1371" s="440">
        <v>0</v>
      </c>
      <c r="AX1371" s="440">
        <v>0</v>
      </c>
      <c r="AY1371" s="440">
        <v>0</v>
      </c>
      <c r="AZ1371" s="440">
        <v>0</v>
      </c>
      <c r="BA1371" s="440">
        <v>0</v>
      </c>
      <c r="BB1371" s="440">
        <v>0</v>
      </c>
      <c r="BC1371" s="440">
        <v>0</v>
      </c>
      <c r="BD1371" s="440">
        <v>0</v>
      </c>
      <c r="BE1371" s="440">
        <v>0</v>
      </c>
      <c r="BF1371" s="440">
        <v>0</v>
      </c>
      <c r="BG1371" s="440">
        <v>0</v>
      </c>
      <c r="BH1371" s="440">
        <v>0</v>
      </c>
      <c r="BI1371" s="440">
        <v>0</v>
      </c>
      <c r="BJ1371" s="440">
        <v>0</v>
      </c>
      <c r="BK1371" s="440">
        <v>0</v>
      </c>
      <c r="BL1371" s="440">
        <v>0</v>
      </c>
      <c r="BM1371" s="440">
        <v>0</v>
      </c>
      <c r="BN1371" s="440">
        <v>0</v>
      </c>
      <c r="BO1371" s="440">
        <v>0</v>
      </c>
      <c r="BP1371" s="440">
        <v>0</v>
      </c>
      <c r="BQ1371" s="440">
        <v>0</v>
      </c>
      <c r="BR1371" s="415">
        <v>0</v>
      </c>
      <c r="BS1371" s="415">
        <v>0</v>
      </c>
      <c r="BT1371" s="935"/>
      <c r="BU1371" s="935"/>
      <c r="BV1371" s="935"/>
      <c r="BW1371" s="935"/>
      <c r="BX1371" s="935"/>
      <c r="BY1371" s="935"/>
      <c r="BZ1371" s="935"/>
      <c r="CA1371" s="935"/>
      <c r="CB1371" s="935"/>
      <c r="CC1371" s="935"/>
      <c r="CD1371" s="935"/>
      <c r="CE1371" s="935"/>
      <c r="CF1371" s="935"/>
      <c r="CG1371" s="935"/>
      <c r="CH1371" s="935"/>
      <c r="CI1371" s="935"/>
      <c r="CJ1371" s="935"/>
      <c r="CK1371" s="935"/>
      <c r="CL1371" s="935"/>
      <c r="CM1371" s="935"/>
      <c r="CN1371" s="935"/>
      <c r="CO1371" s="935"/>
      <c r="CP1371" s="935"/>
      <c r="CQ1371" s="935"/>
      <c r="CR1371" s="935"/>
      <c r="CS1371" s="935"/>
      <c r="CT1371" s="935"/>
      <c r="CU1371" s="935"/>
      <c r="CV1371" s="935"/>
    </row>
    <row r="1372" spans="1:100" s="441" customFormat="1">
      <c r="A1372" s="375">
        <f t="shared" si="372"/>
        <v>11</v>
      </c>
      <c r="B1372" s="862">
        <v>44524</v>
      </c>
      <c r="C1372" s="493" t="s">
        <v>1980</v>
      </c>
      <c r="D1372" s="376" t="str">
        <f>IFERROR(VLOOKUP(E:E,'Item Data Support Sheet'!A:O,7,0),"")</f>
        <v>CAP MOLDED</v>
      </c>
      <c r="E1372" s="447" t="s">
        <v>2106</v>
      </c>
      <c r="F1372" s="500" t="s">
        <v>4140</v>
      </c>
      <c r="G1372" s="497" t="s">
        <v>2729</v>
      </c>
      <c r="H1372" s="602" t="str">
        <f>IFERROR(VLOOKUP(E:E,'Item Data Support Sheet'!A:O,2,0),"")</f>
        <v>CAP S TYPE MOLDED RED</v>
      </c>
      <c r="I1372" s="501" t="s">
        <v>4150</v>
      </c>
      <c r="J1372" s="501" t="s">
        <v>2809</v>
      </c>
      <c r="K1372" s="499">
        <v>8</v>
      </c>
      <c r="L1372" s="499">
        <v>4137</v>
      </c>
      <c r="M1372" s="366">
        <v>517.125</v>
      </c>
      <c r="N1372" s="367">
        <f t="shared" si="371"/>
        <v>3608</v>
      </c>
      <c r="O1372" s="61">
        <v>3600</v>
      </c>
      <c r="P1372" s="368">
        <v>0</v>
      </c>
      <c r="Q1372" s="368">
        <v>0</v>
      </c>
      <c r="R1372" s="494">
        <v>0</v>
      </c>
      <c r="S1372" s="493">
        <v>0</v>
      </c>
      <c r="T1372" s="494">
        <v>0</v>
      </c>
      <c r="U1372" s="493">
        <v>8</v>
      </c>
      <c r="V1372" s="502">
        <v>1</v>
      </c>
      <c r="W1372" s="453">
        <f t="shared" si="373"/>
        <v>3600</v>
      </c>
      <c r="X1372" s="748">
        <f t="shared" si="374"/>
        <v>0.8701957940536621</v>
      </c>
      <c r="Y1372" s="451" t="str">
        <f>IFERROR(VLOOKUP(E:E,'Item Data Support Sheet'!A:J,6,0),0)</f>
        <v>FO153</v>
      </c>
      <c r="Z1372" s="428">
        <f>IFERROR(VLOOKUP(E:E,'Item Data Support Sheet'!A:O,4,0),0)</f>
        <v>7.3</v>
      </c>
      <c r="AA1372" s="428">
        <f t="shared" si="375"/>
        <v>26.3384</v>
      </c>
      <c r="AB1372" s="429">
        <f t="shared" si="376"/>
        <v>0.99778270509977829</v>
      </c>
      <c r="AC1372" s="424">
        <f t="shared" si="377"/>
        <v>0</v>
      </c>
      <c r="AD1372" s="371">
        <f t="shared" si="378"/>
        <v>0</v>
      </c>
      <c r="AE1372" s="748">
        <f t="shared" si="379"/>
        <v>1</v>
      </c>
      <c r="AF1372" s="417">
        <f t="shared" si="380"/>
        <v>0</v>
      </c>
      <c r="AG1372" s="416">
        <f t="shared" si="381"/>
        <v>8</v>
      </c>
      <c r="AH1372" s="372">
        <f t="shared" si="382"/>
        <v>1</v>
      </c>
      <c r="AI1372" s="373">
        <f t="shared" si="383"/>
        <v>450</v>
      </c>
      <c r="AJ1372" s="418">
        <f>VLOOKUP(D1372,'Standard Cycle time'!C:D,2,0)</f>
        <v>6</v>
      </c>
      <c r="AK1372" s="418">
        <f t="shared" si="384"/>
        <v>8</v>
      </c>
      <c r="AL1372" s="374">
        <f t="shared" si="385"/>
        <v>0.75</v>
      </c>
      <c r="AM1372" s="372">
        <f t="shared" si="386"/>
        <v>0.75</v>
      </c>
      <c r="AN1372" s="799">
        <v>0.75</v>
      </c>
      <c r="AO1372" s="448"/>
      <c r="AP1372" s="440">
        <v>0</v>
      </c>
      <c r="AQ1372" s="440">
        <v>0</v>
      </c>
      <c r="AR1372" s="440">
        <v>0</v>
      </c>
      <c r="AS1372" s="440">
        <v>0</v>
      </c>
      <c r="AT1372" s="440">
        <v>0</v>
      </c>
      <c r="AU1372" s="440">
        <v>0</v>
      </c>
      <c r="AV1372" s="440">
        <v>0</v>
      </c>
      <c r="AW1372" s="440">
        <v>0</v>
      </c>
      <c r="AX1372" s="440">
        <v>0</v>
      </c>
      <c r="AY1372" s="440">
        <v>0</v>
      </c>
      <c r="AZ1372" s="440">
        <v>0</v>
      </c>
      <c r="BA1372" s="440">
        <v>0</v>
      </c>
      <c r="BB1372" s="440">
        <v>0</v>
      </c>
      <c r="BC1372" s="440">
        <v>0</v>
      </c>
      <c r="BD1372" s="440">
        <v>0</v>
      </c>
      <c r="BE1372" s="440">
        <v>0</v>
      </c>
      <c r="BF1372" s="440">
        <v>0</v>
      </c>
      <c r="BG1372" s="440">
        <v>0</v>
      </c>
      <c r="BH1372" s="440">
        <v>0</v>
      </c>
      <c r="BI1372" s="440">
        <v>0</v>
      </c>
      <c r="BJ1372" s="440">
        <v>0</v>
      </c>
      <c r="BK1372" s="440">
        <v>0</v>
      </c>
      <c r="BL1372" s="440">
        <v>0</v>
      </c>
      <c r="BM1372" s="440">
        <v>0</v>
      </c>
      <c r="BN1372" s="440">
        <v>0</v>
      </c>
      <c r="BO1372" s="440">
        <v>0</v>
      </c>
      <c r="BP1372" s="440">
        <v>0</v>
      </c>
      <c r="BQ1372" s="440">
        <v>0</v>
      </c>
      <c r="BR1372" s="415">
        <v>0</v>
      </c>
      <c r="BS1372" s="415">
        <v>0</v>
      </c>
      <c r="BT1372" s="935"/>
      <c r="BU1372" s="935"/>
      <c r="BV1372" s="935"/>
      <c r="BW1372" s="935"/>
      <c r="BX1372" s="935"/>
      <c r="BY1372" s="935"/>
      <c r="BZ1372" s="935"/>
      <c r="CA1372" s="935"/>
      <c r="CB1372" s="935"/>
      <c r="CC1372" s="935"/>
      <c r="CD1372" s="935"/>
      <c r="CE1372" s="935"/>
      <c r="CF1372" s="935"/>
      <c r="CG1372" s="935"/>
      <c r="CH1372" s="935"/>
      <c r="CI1372" s="935"/>
      <c r="CJ1372" s="935"/>
      <c r="CK1372" s="935"/>
      <c r="CL1372" s="935"/>
      <c r="CM1372" s="935"/>
      <c r="CN1372" s="935"/>
      <c r="CO1372" s="935"/>
      <c r="CP1372" s="935"/>
      <c r="CQ1372" s="935"/>
      <c r="CR1372" s="935"/>
      <c r="CS1372" s="935"/>
      <c r="CT1372" s="935"/>
      <c r="CU1372" s="935"/>
      <c r="CV1372" s="935"/>
    </row>
    <row r="1373" spans="1:100" s="441" customFormat="1">
      <c r="A1373" s="375">
        <f t="shared" si="372"/>
        <v>11</v>
      </c>
      <c r="B1373" s="862">
        <v>44524</v>
      </c>
      <c r="C1373" s="493" t="s">
        <v>1980</v>
      </c>
      <c r="D1373" s="376" t="str">
        <f>IFERROR(VLOOKUP(E:E,'Item Data Support Sheet'!A:O,7,0),"")</f>
        <v>BOTTLE MOLDED</v>
      </c>
      <c r="E1373" s="447" t="s">
        <v>65</v>
      </c>
      <c r="F1373" s="500" t="s">
        <v>1677</v>
      </c>
      <c r="G1373" s="497" t="s">
        <v>1665</v>
      </c>
      <c r="H1373" s="602" t="str">
        <f>IFERROR(VLOOKUP(E:E,'Item Data Support Sheet'!A:O,2,0),"")</f>
        <v>KPP 120 ML BOTTLE MOLDED</v>
      </c>
      <c r="I1373" s="501" t="s">
        <v>4151</v>
      </c>
      <c r="J1373" s="501" t="s">
        <v>2809</v>
      </c>
      <c r="K1373" s="499">
        <v>8</v>
      </c>
      <c r="L1373" s="499">
        <v>2574</v>
      </c>
      <c r="M1373" s="366">
        <v>321.75</v>
      </c>
      <c r="N1373" s="367">
        <f t="shared" si="371"/>
        <v>945</v>
      </c>
      <c r="O1373" s="61">
        <v>720</v>
      </c>
      <c r="P1373" s="368">
        <v>0</v>
      </c>
      <c r="Q1373" s="368">
        <v>167</v>
      </c>
      <c r="R1373" s="494">
        <v>0</v>
      </c>
      <c r="S1373" s="493">
        <v>0</v>
      </c>
      <c r="T1373" s="494">
        <v>40</v>
      </c>
      <c r="U1373" s="493">
        <v>18</v>
      </c>
      <c r="V1373" s="502">
        <v>1</v>
      </c>
      <c r="W1373" s="453">
        <f t="shared" si="373"/>
        <v>720</v>
      </c>
      <c r="X1373" s="748">
        <f t="shared" si="374"/>
        <v>0.27972027972027974</v>
      </c>
      <c r="Y1373" s="451" t="str">
        <f>IFERROR(VLOOKUP(E:E,'Item Data Support Sheet'!A:J,6,0),0)</f>
        <v>HMC</v>
      </c>
      <c r="Z1373" s="428">
        <f>IFERROR(VLOOKUP(E:E,'Item Data Support Sheet'!A:O,4,0),0)</f>
        <v>21.3</v>
      </c>
      <c r="AA1373" s="428">
        <f t="shared" si="375"/>
        <v>20.128499999999999</v>
      </c>
      <c r="AB1373" s="429">
        <f t="shared" si="376"/>
        <v>0.76190476190476197</v>
      </c>
      <c r="AC1373" s="424">
        <f t="shared" si="377"/>
        <v>5.2631578947368418E-2</v>
      </c>
      <c r="AD1373" s="371">
        <f t="shared" si="378"/>
        <v>0.15017985611510792</v>
      </c>
      <c r="AE1373" s="748">
        <f t="shared" si="379"/>
        <v>0.95767195767195767</v>
      </c>
      <c r="AF1373" s="417">
        <f t="shared" si="380"/>
        <v>0</v>
      </c>
      <c r="AG1373" s="416">
        <f t="shared" si="381"/>
        <v>8</v>
      </c>
      <c r="AH1373" s="372">
        <f t="shared" si="382"/>
        <v>1</v>
      </c>
      <c r="AI1373" s="373">
        <f t="shared" si="383"/>
        <v>90</v>
      </c>
      <c r="AJ1373" s="418">
        <f>VLOOKUP(D1373,'Standard Cycle time'!C:D,2,0)</f>
        <v>9</v>
      </c>
      <c r="AK1373" s="418">
        <f t="shared" si="384"/>
        <v>40</v>
      </c>
      <c r="AL1373" s="374">
        <f t="shared" si="385"/>
        <v>0.22500000000000001</v>
      </c>
      <c r="AM1373" s="372">
        <f t="shared" si="386"/>
        <v>0.21547619047619049</v>
      </c>
      <c r="AN1373" s="799">
        <v>0.21547619047619049</v>
      </c>
      <c r="AO1373" s="448" t="s">
        <v>4152</v>
      </c>
      <c r="AP1373" s="440">
        <v>0</v>
      </c>
      <c r="AQ1373" s="440">
        <v>0</v>
      </c>
      <c r="AR1373" s="440">
        <v>0</v>
      </c>
      <c r="AS1373" s="440">
        <v>0</v>
      </c>
      <c r="AT1373" s="440">
        <v>0</v>
      </c>
      <c r="AU1373" s="440">
        <v>0</v>
      </c>
      <c r="AV1373" s="440">
        <v>0</v>
      </c>
      <c r="AW1373" s="440">
        <v>0</v>
      </c>
      <c r="AX1373" s="440">
        <v>0</v>
      </c>
      <c r="AY1373" s="440">
        <v>0</v>
      </c>
      <c r="AZ1373" s="440">
        <v>0</v>
      </c>
      <c r="BA1373" s="440">
        <v>0</v>
      </c>
      <c r="BB1373" s="440">
        <v>0</v>
      </c>
      <c r="BC1373" s="440">
        <v>0</v>
      </c>
      <c r="BD1373" s="440">
        <v>0</v>
      </c>
      <c r="BE1373" s="440">
        <v>0</v>
      </c>
      <c r="BF1373" s="440">
        <v>0</v>
      </c>
      <c r="BG1373" s="440">
        <v>0</v>
      </c>
      <c r="BH1373" s="440">
        <v>0</v>
      </c>
      <c r="BI1373" s="440">
        <v>0</v>
      </c>
      <c r="BJ1373" s="440">
        <v>0</v>
      </c>
      <c r="BK1373" s="440">
        <v>0</v>
      </c>
      <c r="BL1373" s="440">
        <v>0</v>
      </c>
      <c r="BM1373" s="440">
        <v>0</v>
      </c>
      <c r="BN1373" s="440">
        <v>0</v>
      </c>
      <c r="BO1373" s="440">
        <v>0</v>
      </c>
      <c r="BP1373" s="440">
        <v>0</v>
      </c>
      <c r="BQ1373" s="440">
        <v>0</v>
      </c>
      <c r="BR1373" s="415">
        <v>0</v>
      </c>
      <c r="BS1373" s="415">
        <v>0</v>
      </c>
      <c r="BT1373" s="935"/>
      <c r="BU1373" s="935"/>
      <c r="BV1373" s="935"/>
      <c r="BW1373" s="935"/>
      <c r="BX1373" s="935"/>
      <c r="BY1373" s="935"/>
      <c r="BZ1373" s="935"/>
      <c r="CA1373" s="935"/>
      <c r="CB1373" s="935"/>
      <c r="CC1373" s="935"/>
      <c r="CD1373" s="935"/>
      <c r="CE1373" s="935"/>
      <c r="CF1373" s="935"/>
      <c r="CG1373" s="935"/>
      <c r="CH1373" s="935"/>
      <c r="CI1373" s="935"/>
      <c r="CJ1373" s="935"/>
      <c r="CK1373" s="935"/>
      <c r="CL1373" s="935"/>
      <c r="CM1373" s="935"/>
      <c r="CN1373" s="935"/>
      <c r="CO1373" s="935"/>
      <c r="CP1373" s="935"/>
      <c r="CQ1373" s="935"/>
      <c r="CR1373" s="935"/>
      <c r="CS1373" s="935"/>
      <c r="CT1373" s="935"/>
      <c r="CU1373" s="935"/>
      <c r="CV1373" s="935"/>
    </row>
    <row r="1374" spans="1:100" s="441" customFormat="1">
      <c r="A1374" s="375">
        <f t="shared" si="372"/>
        <v>11</v>
      </c>
      <c r="B1374" s="862">
        <v>44524</v>
      </c>
      <c r="C1374" s="493" t="s">
        <v>1980</v>
      </c>
      <c r="D1374" s="376" t="str">
        <f>IFERROR(VLOOKUP(E:E,'Item Data Support Sheet'!A:O,7,0),"")</f>
        <v>NIPPLE PUNCH</v>
      </c>
      <c r="E1374" s="447" t="s">
        <v>81</v>
      </c>
      <c r="F1374" s="500"/>
      <c r="G1374" s="497" t="s">
        <v>1692</v>
      </c>
      <c r="H1374" s="602" t="str">
        <f>IFERROR(VLOOKUP(E:E,'Item Data Support Sheet'!A:O,2,0),"")</f>
        <v>NIPPLE S TYPE M SIZE PUNCHED</v>
      </c>
      <c r="I1374" s="501" t="s">
        <v>4153</v>
      </c>
      <c r="J1374" s="501" t="s">
        <v>2809</v>
      </c>
      <c r="K1374" s="499">
        <v>8</v>
      </c>
      <c r="L1374" s="499">
        <v>7000</v>
      </c>
      <c r="M1374" s="366">
        <v>875</v>
      </c>
      <c r="N1374" s="367">
        <f t="shared" si="371"/>
        <v>4946</v>
      </c>
      <c r="O1374" s="61">
        <v>4936</v>
      </c>
      <c r="P1374" s="368">
        <v>0</v>
      </c>
      <c r="Q1374" s="368">
        <v>0</v>
      </c>
      <c r="R1374" s="494">
        <v>0</v>
      </c>
      <c r="S1374" s="493">
        <v>0</v>
      </c>
      <c r="T1374" s="494">
        <v>10</v>
      </c>
      <c r="U1374" s="493">
        <v>0</v>
      </c>
      <c r="V1374" s="502">
        <v>1</v>
      </c>
      <c r="W1374" s="453">
        <f t="shared" si="373"/>
        <v>4936</v>
      </c>
      <c r="X1374" s="748">
        <f t="shared" si="374"/>
        <v>0.70514285714285718</v>
      </c>
      <c r="Y1374" s="451" t="str">
        <f>IFERROR(VLOOKUP(E:E,'Item Data Support Sheet'!A:J,6,0),0)</f>
        <v>FO016</v>
      </c>
      <c r="Z1374" s="428">
        <f>IFERROR(VLOOKUP(E:E,'Item Data Support Sheet'!A:O,4,0),0)</f>
        <v>0</v>
      </c>
      <c r="AA1374" s="428">
        <f t="shared" si="375"/>
        <v>0</v>
      </c>
      <c r="AB1374" s="429" t="str">
        <f t="shared" si="376"/>
        <v xml:space="preserve"> </v>
      </c>
      <c r="AC1374" s="424">
        <f t="shared" si="377"/>
        <v>2.0218358269308533E-3</v>
      </c>
      <c r="AD1374" s="371">
        <f t="shared" si="378"/>
        <v>0</v>
      </c>
      <c r="AE1374" s="748">
        <f t="shared" si="379"/>
        <v>0.99797816417306917</v>
      </c>
      <c r="AF1374" s="417">
        <f t="shared" si="380"/>
        <v>0.71666666666666667</v>
      </c>
      <c r="AG1374" s="416">
        <f t="shared" si="381"/>
        <v>7.2833333333333332</v>
      </c>
      <c r="AH1374" s="372">
        <f t="shared" si="382"/>
        <v>0.91041666666666665</v>
      </c>
      <c r="AI1374" s="373">
        <f t="shared" si="383"/>
        <v>617</v>
      </c>
      <c r="AJ1374" s="418">
        <f>VLOOKUP(D1374,'Standard Cycle time'!C:D,2,0)</f>
        <v>3.5</v>
      </c>
      <c r="AK1374" s="418">
        <f t="shared" si="384"/>
        <v>5.3119935170178278</v>
      </c>
      <c r="AL1374" s="374">
        <f t="shared" si="385"/>
        <v>0.658886346300534</v>
      </c>
      <c r="AM1374" s="372">
        <f t="shared" si="386"/>
        <v>0.59864829042548418</v>
      </c>
      <c r="AN1374" s="799">
        <v>0.59864829042548418</v>
      </c>
      <c r="AO1374" s="448" t="s">
        <v>4154</v>
      </c>
      <c r="AP1374" s="440">
        <v>40</v>
      </c>
      <c r="AQ1374" s="440">
        <v>0</v>
      </c>
      <c r="AR1374" s="440">
        <v>0</v>
      </c>
      <c r="AS1374" s="440">
        <v>0</v>
      </c>
      <c r="AT1374" s="440">
        <v>0</v>
      </c>
      <c r="AU1374" s="440">
        <v>0</v>
      </c>
      <c r="AV1374" s="440">
        <v>0</v>
      </c>
      <c r="AW1374" s="440">
        <v>0</v>
      </c>
      <c r="AX1374" s="440">
        <v>0</v>
      </c>
      <c r="AY1374" s="440">
        <v>0</v>
      </c>
      <c r="AZ1374" s="440">
        <v>0</v>
      </c>
      <c r="BA1374" s="440">
        <v>0</v>
      </c>
      <c r="BB1374" s="440">
        <v>0</v>
      </c>
      <c r="BC1374" s="440">
        <v>0</v>
      </c>
      <c r="BD1374" s="440">
        <v>0</v>
      </c>
      <c r="BE1374" s="440">
        <v>0</v>
      </c>
      <c r="BF1374" s="440">
        <v>0</v>
      </c>
      <c r="BG1374" s="440">
        <v>0</v>
      </c>
      <c r="BH1374" s="440">
        <v>0</v>
      </c>
      <c r="BI1374" s="440">
        <v>0</v>
      </c>
      <c r="BJ1374" s="440">
        <v>0</v>
      </c>
      <c r="BK1374" s="440">
        <v>0</v>
      </c>
      <c r="BL1374" s="440">
        <v>0</v>
      </c>
      <c r="BM1374" s="440">
        <v>0</v>
      </c>
      <c r="BN1374" s="440">
        <v>0</v>
      </c>
      <c r="BO1374" s="440">
        <v>0</v>
      </c>
      <c r="BP1374" s="440">
        <v>0</v>
      </c>
      <c r="BQ1374" s="440">
        <v>3</v>
      </c>
      <c r="BR1374" s="415">
        <v>0.71666666666666667</v>
      </c>
      <c r="BS1374" s="415">
        <v>0.71666666666666667</v>
      </c>
      <c r="BT1374" s="935"/>
      <c r="BU1374" s="935"/>
      <c r="BV1374" s="935"/>
      <c r="BW1374" s="935"/>
      <c r="BX1374" s="935"/>
      <c r="BY1374" s="935"/>
      <c r="BZ1374" s="935"/>
      <c r="CA1374" s="935"/>
      <c r="CB1374" s="935"/>
      <c r="CC1374" s="935"/>
      <c r="CD1374" s="935"/>
      <c r="CE1374" s="935"/>
      <c r="CF1374" s="935"/>
      <c r="CG1374" s="935"/>
      <c r="CH1374" s="935"/>
      <c r="CI1374" s="935"/>
      <c r="CJ1374" s="935"/>
      <c r="CK1374" s="935"/>
      <c r="CL1374" s="935"/>
      <c r="CM1374" s="935"/>
      <c r="CN1374" s="935"/>
      <c r="CO1374" s="935"/>
      <c r="CP1374" s="935"/>
      <c r="CQ1374" s="935"/>
      <c r="CR1374" s="935"/>
      <c r="CS1374" s="935"/>
      <c r="CT1374" s="935"/>
      <c r="CU1374" s="935"/>
      <c r="CV1374" s="935"/>
    </row>
    <row r="1375" spans="1:100" s="441" customFormat="1">
      <c r="A1375" s="375">
        <f t="shared" si="372"/>
        <v>11</v>
      </c>
      <c r="B1375" s="862">
        <v>44524</v>
      </c>
      <c r="C1375" s="493" t="s">
        <v>1980</v>
      </c>
      <c r="D1375" s="376" t="str">
        <f>IFERROR(VLOOKUP(E:E,'Item Data Support Sheet'!A:O,7,0),"")</f>
        <v>NIPPLE LASER MARKING</v>
      </c>
      <c r="E1375" s="447" t="s">
        <v>1815</v>
      </c>
      <c r="F1375" s="500"/>
      <c r="G1375" s="497" t="s">
        <v>1812</v>
      </c>
      <c r="H1375" s="602" t="str">
        <f>IFERROR(VLOOKUP(E:E,'Item Data Support Sheet'!A:O,2,0),"")</f>
        <v>NIPPLE S TYPE M SIZE PUNCHED LASER MARKED</v>
      </c>
      <c r="I1375" s="501" t="s">
        <v>4155</v>
      </c>
      <c r="J1375" s="501" t="s">
        <v>2809</v>
      </c>
      <c r="K1375" s="499">
        <v>8</v>
      </c>
      <c r="L1375" s="499">
        <v>7000</v>
      </c>
      <c r="M1375" s="366">
        <v>875</v>
      </c>
      <c r="N1375" s="367">
        <f t="shared" si="371"/>
        <v>4000</v>
      </c>
      <c r="O1375" s="61">
        <v>4000</v>
      </c>
      <c r="P1375" s="368">
        <v>0</v>
      </c>
      <c r="Q1375" s="368">
        <v>0</v>
      </c>
      <c r="R1375" s="494">
        <v>0</v>
      </c>
      <c r="S1375" s="493">
        <v>0</v>
      </c>
      <c r="T1375" s="494">
        <v>0</v>
      </c>
      <c r="U1375" s="493">
        <v>0</v>
      </c>
      <c r="V1375" s="502">
        <v>1</v>
      </c>
      <c r="W1375" s="453">
        <f t="shared" si="373"/>
        <v>4000</v>
      </c>
      <c r="X1375" s="748">
        <f t="shared" si="374"/>
        <v>0.5714285714285714</v>
      </c>
      <c r="Y1375" s="451" t="str">
        <f>IFERROR(VLOOKUP(E:E,'Item Data Support Sheet'!A:J,6,0),0)</f>
        <v>FO020</v>
      </c>
      <c r="Z1375" s="428">
        <f>IFERROR(VLOOKUP(E:E,'Item Data Support Sheet'!A:O,4,0),0)</f>
        <v>0</v>
      </c>
      <c r="AA1375" s="428">
        <f t="shared" si="375"/>
        <v>0</v>
      </c>
      <c r="AB1375" s="429" t="str">
        <f t="shared" si="376"/>
        <v xml:space="preserve"> </v>
      </c>
      <c r="AC1375" s="424">
        <f t="shared" si="377"/>
        <v>0</v>
      </c>
      <c r="AD1375" s="371">
        <f t="shared" si="378"/>
        <v>0</v>
      </c>
      <c r="AE1375" s="748">
        <f t="shared" si="379"/>
        <v>1</v>
      </c>
      <c r="AF1375" s="417">
        <f t="shared" si="380"/>
        <v>0.66666666666666663</v>
      </c>
      <c r="AG1375" s="416">
        <f t="shared" si="381"/>
        <v>7.333333333333333</v>
      </c>
      <c r="AH1375" s="372">
        <f t="shared" si="382"/>
        <v>0.91666666666666663</v>
      </c>
      <c r="AI1375" s="373">
        <f t="shared" si="383"/>
        <v>500</v>
      </c>
      <c r="AJ1375" s="418">
        <f>VLOOKUP(D1375,'Standard Cycle time'!C:D,2,0)</f>
        <v>3.5</v>
      </c>
      <c r="AK1375" s="418">
        <f t="shared" si="384"/>
        <v>6.6</v>
      </c>
      <c r="AL1375" s="374">
        <f t="shared" si="385"/>
        <v>0.53030303030303028</v>
      </c>
      <c r="AM1375" s="372">
        <f t="shared" si="386"/>
        <v>0.48611111111111105</v>
      </c>
      <c r="AN1375" s="799">
        <v>0.48611111111111105</v>
      </c>
      <c r="AO1375" s="448" t="s">
        <v>4156</v>
      </c>
      <c r="AP1375" s="440">
        <v>40</v>
      </c>
      <c r="AQ1375" s="440">
        <v>0</v>
      </c>
      <c r="AR1375" s="440">
        <v>0</v>
      </c>
      <c r="AS1375" s="440">
        <v>0</v>
      </c>
      <c r="AT1375" s="440">
        <v>0</v>
      </c>
      <c r="AU1375" s="440">
        <v>0</v>
      </c>
      <c r="AV1375" s="440">
        <v>0</v>
      </c>
      <c r="AW1375" s="440">
        <v>0</v>
      </c>
      <c r="AX1375" s="440">
        <v>0</v>
      </c>
      <c r="AY1375" s="440">
        <v>0</v>
      </c>
      <c r="AZ1375" s="440">
        <v>0</v>
      </c>
      <c r="BA1375" s="440">
        <v>0</v>
      </c>
      <c r="BB1375" s="440">
        <v>0</v>
      </c>
      <c r="BC1375" s="440">
        <v>0</v>
      </c>
      <c r="BD1375" s="440">
        <v>0</v>
      </c>
      <c r="BE1375" s="440">
        <v>0</v>
      </c>
      <c r="BF1375" s="440">
        <v>0</v>
      </c>
      <c r="BG1375" s="440">
        <v>0</v>
      </c>
      <c r="BH1375" s="440">
        <v>0</v>
      </c>
      <c r="BI1375" s="440">
        <v>0</v>
      </c>
      <c r="BJ1375" s="440">
        <v>0</v>
      </c>
      <c r="BK1375" s="440">
        <v>0</v>
      </c>
      <c r="BL1375" s="440">
        <v>0</v>
      </c>
      <c r="BM1375" s="440">
        <v>0</v>
      </c>
      <c r="BN1375" s="440">
        <v>0</v>
      </c>
      <c r="BO1375" s="440">
        <v>0</v>
      </c>
      <c r="BP1375" s="440">
        <v>0</v>
      </c>
      <c r="BQ1375" s="440">
        <v>0</v>
      </c>
      <c r="BR1375" s="415">
        <v>0.66666666666666663</v>
      </c>
      <c r="BS1375" s="415">
        <v>0.66666666666666663</v>
      </c>
      <c r="BT1375" s="935"/>
      <c r="BU1375" s="935"/>
      <c r="BV1375" s="935"/>
      <c r="BW1375" s="935"/>
      <c r="BX1375" s="935"/>
      <c r="BY1375" s="935"/>
      <c r="BZ1375" s="935"/>
      <c r="CA1375" s="935"/>
      <c r="CB1375" s="935"/>
      <c r="CC1375" s="935"/>
      <c r="CD1375" s="935"/>
      <c r="CE1375" s="935"/>
      <c r="CF1375" s="935"/>
      <c r="CG1375" s="935"/>
      <c r="CH1375" s="935"/>
      <c r="CI1375" s="935"/>
      <c r="CJ1375" s="935"/>
      <c r="CK1375" s="935"/>
      <c r="CL1375" s="935"/>
      <c r="CM1375" s="935"/>
      <c r="CN1375" s="935"/>
      <c r="CO1375" s="935"/>
      <c r="CP1375" s="935"/>
      <c r="CQ1375" s="935"/>
      <c r="CR1375" s="935"/>
      <c r="CS1375" s="935"/>
      <c r="CT1375" s="935"/>
      <c r="CU1375" s="935"/>
      <c r="CV1375" s="935"/>
    </row>
    <row r="1376" spans="1:100" s="441" customFormat="1">
      <c r="A1376" s="375">
        <f t="shared" si="372"/>
        <v>11</v>
      </c>
      <c r="B1376" s="862">
        <v>44524</v>
      </c>
      <c r="C1376" s="493" t="s">
        <v>2000</v>
      </c>
      <c r="D1376" s="376" t="str">
        <f>IFERROR(VLOOKUP(E:E,'Item Data Support Sheet'!A:O,7,0),"")</f>
        <v>NIPPLE PUNCH INSPECTED</v>
      </c>
      <c r="E1376" s="447" t="s">
        <v>1820</v>
      </c>
      <c r="F1376" s="500"/>
      <c r="G1376" s="497"/>
      <c r="H1376" s="602" t="str">
        <f>IFERROR(VLOOKUP(E:E,'Item Data Support Sheet'!A:O,2,0),"")</f>
        <v>NIPPLE S TYPE L SIZE PUNCHED INSPECTED</v>
      </c>
      <c r="I1376" s="501" t="s">
        <v>4157</v>
      </c>
      <c r="J1376" s="501" t="s">
        <v>2812</v>
      </c>
      <c r="K1376" s="499">
        <v>1</v>
      </c>
      <c r="L1376" s="499">
        <v>1750</v>
      </c>
      <c r="M1376" s="366">
        <v>1750</v>
      </c>
      <c r="N1376" s="367">
        <f t="shared" si="371"/>
        <v>2000</v>
      </c>
      <c r="O1376" s="61">
        <v>1983</v>
      </c>
      <c r="P1376" s="368">
        <v>0</v>
      </c>
      <c r="Q1376" s="368">
        <v>0</v>
      </c>
      <c r="R1376" s="494">
        <v>0</v>
      </c>
      <c r="S1376" s="493">
        <v>0</v>
      </c>
      <c r="T1376" s="494">
        <v>17</v>
      </c>
      <c r="U1376" s="493">
        <v>0</v>
      </c>
      <c r="V1376" s="502">
        <v>2</v>
      </c>
      <c r="W1376" s="453">
        <f t="shared" si="373"/>
        <v>991.5</v>
      </c>
      <c r="X1376" s="748">
        <f t="shared" si="374"/>
        <v>1.1331428571428572</v>
      </c>
      <c r="Y1376" s="451" t="str">
        <f>IFERROR(VLOOKUP(E:E,'Item Data Support Sheet'!A:J,6,0),0)</f>
        <v>FO106</v>
      </c>
      <c r="Z1376" s="428">
        <f>IFERROR(VLOOKUP(E:E,'Item Data Support Sheet'!A:O,4,0),0)</f>
        <v>0</v>
      </c>
      <c r="AA1376" s="428">
        <f t="shared" si="375"/>
        <v>0</v>
      </c>
      <c r="AB1376" s="429" t="str">
        <f t="shared" si="376"/>
        <v xml:space="preserve"> </v>
      </c>
      <c r="AC1376" s="424">
        <f t="shared" si="377"/>
        <v>8.5000000000000006E-3</v>
      </c>
      <c r="AD1376" s="371">
        <f t="shared" si="378"/>
        <v>0</v>
      </c>
      <c r="AE1376" s="748">
        <f t="shared" si="379"/>
        <v>0.99150000000000005</v>
      </c>
      <c r="AF1376" s="417">
        <f t="shared" si="380"/>
        <v>0</v>
      </c>
      <c r="AG1376" s="416">
        <f t="shared" si="381"/>
        <v>1</v>
      </c>
      <c r="AH1376" s="372">
        <f t="shared" si="382"/>
        <v>1</v>
      </c>
      <c r="AI1376" s="373">
        <f t="shared" si="383"/>
        <v>1983</v>
      </c>
      <c r="AJ1376" s="418">
        <f>VLOOKUP(D1376,'Standard Cycle time'!C:D,2,0)</f>
        <v>4</v>
      </c>
      <c r="AK1376" s="418">
        <f t="shared" si="384"/>
        <v>3.6308623298033282</v>
      </c>
      <c r="AL1376" s="374">
        <f t="shared" si="385"/>
        <v>1.1016666666666668</v>
      </c>
      <c r="AM1376" s="372">
        <f t="shared" si="386"/>
        <v>1.0923025000000002</v>
      </c>
      <c r="AN1376" s="799">
        <v>1.0923025000000002</v>
      </c>
      <c r="AO1376" s="448"/>
      <c r="AP1376" s="440">
        <v>0</v>
      </c>
      <c r="AQ1376" s="440">
        <v>0</v>
      </c>
      <c r="AR1376" s="440">
        <v>0</v>
      </c>
      <c r="AS1376" s="440">
        <v>0</v>
      </c>
      <c r="AT1376" s="440">
        <v>0</v>
      </c>
      <c r="AU1376" s="440">
        <v>0</v>
      </c>
      <c r="AV1376" s="440">
        <v>0</v>
      </c>
      <c r="AW1376" s="440">
        <v>0</v>
      </c>
      <c r="AX1376" s="440">
        <v>0</v>
      </c>
      <c r="AY1376" s="440">
        <v>0</v>
      </c>
      <c r="AZ1376" s="440">
        <v>0</v>
      </c>
      <c r="BA1376" s="440">
        <v>0</v>
      </c>
      <c r="BB1376" s="440">
        <v>0</v>
      </c>
      <c r="BC1376" s="440">
        <v>0</v>
      </c>
      <c r="BD1376" s="440">
        <v>0</v>
      </c>
      <c r="BE1376" s="440">
        <v>0</v>
      </c>
      <c r="BF1376" s="440">
        <v>0</v>
      </c>
      <c r="BG1376" s="440">
        <v>0</v>
      </c>
      <c r="BH1376" s="440">
        <v>0</v>
      </c>
      <c r="BI1376" s="440">
        <v>0</v>
      </c>
      <c r="BJ1376" s="440">
        <v>0</v>
      </c>
      <c r="BK1376" s="440">
        <v>0</v>
      </c>
      <c r="BL1376" s="440">
        <v>0</v>
      </c>
      <c r="BM1376" s="440">
        <v>0</v>
      </c>
      <c r="BN1376" s="440">
        <v>0</v>
      </c>
      <c r="BO1376" s="440">
        <v>0</v>
      </c>
      <c r="BP1376" s="440">
        <v>0</v>
      </c>
      <c r="BQ1376" s="440">
        <v>0</v>
      </c>
      <c r="BR1376" s="415">
        <v>0</v>
      </c>
      <c r="BS1376" s="415">
        <v>0</v>
      </c>
      <c r="BT1376" s="935"/>
      <c r="BU1376" s="935"/>
      <c r="BV1376" s="935"/>
      <c r="BW1376" s="935"/>
      <c r="BX1376" s="935"/>
      <c r="BY1376" s="935"/>
      <c r="BZ1376" s="935"/>
      <c r="CA1376" s="935"/>
      <c r="CB1376" s="935"/>
      <c r="CC1376" s="935"/>
      <c r="CD1376" s="935"/>
      <c r="CE1376" s="935"/>
      <c r="CF1376" s="935"/>
      <c r="CG1376" s="935"/>
      <c r="CH1376" s="935"/>
      <c r="CI1376" s="935"/>
      <c r="CJ1376" s="935"/>
      <c r="CK1376" s="935"/>
      <c r="CL1376" s="935"/>
      <c r="CM1376" s="935"/>
      <c r="CN1376" s="935"/>
      <c r="CO1376" s="935"/>
      <c r="CP1376" s="935"/>
      <c r="CQ1376" s="935"/>
      <c r="CR1376" s="935"/>
      <c r="CS1376" s="935"/>
      <c r="CT1376" s="935"/>
      <c r="CU1376" s="935"/>
      <c r="CV1376" s="935"/>
    </row>
    <row r="1377" spans="1:100" s="441" customFormat="1">
      <c r="A1377" s="375">
        <f t="shared" si="372"/>
        <v>11</v>
      </c>
      <c r="B1377" s="862">
        <v>44524</v>
      </c>
      <c r="C1377" s="493" t="s">
        <v>2000</v>
      </c>
      <c r="D1377" s="376" t="str">
        <f>IFERROR(VLOOKUP(E:E,'Item Data Support Sheet'!A:O,7,0),"")</f>
        <v>NIPPLE PUNCH INSPECTED</v>
      </c>
      <c r="E1377" s="447" t="s">
        <v>1819</v>
      </c>
      <c r="F1377" s="500"/>
      <c r="G1377" s="497"/>
      <c r="H1377" s="602" t="str">
        <f>IFERROR(VLOOKUP(E:E,'Item Data Support Sheet'!A:O,2,0),"")</f>
        <v>NIPPLE S TYPE M SIZE PUNCHED INSPECTED</v>
      </c>
      <c r="I1377" s="501" t="s">
        <v>4158</v>
      </c>
      <c r="J1377" s="501" t="s">
        <v>2812</v>
      </c>
      <c r="K1377" s="499">
        <v>7</v>
      </c>
      <c r="L1377" s="499">
        <v>12250</v>
      </c>
      <c r="M1377" s="366">
        <v>1750</v>
      </c>
      <c r="N1377" s="367">
        <f t="shared" si="371"/>
        <v>13860</v>
      </c>
      <c r="O1377" s="61">
        <v>13791</v>
      </c>
      <c r="P1377" s="368">
        <v>0</v>
      </c>
      <c r="Q1377" s="368">
        <v>0</v>
      </c>
      <c r="R1377" s="494">
        <v>0</v>
      </c>
      <c r="S1377" s="493">
        <v>0</v>
      </c>
      <c r="T1377" s="494">
        <v>69</v>
      </c>
      <c r="U1377" s="493">
        <v>0</v>
      </c>
      <c r="V1377" s="502">
        <v>2</v>
      </c>
      <c r="W1377" s="453">
        <f t="shared" si="373"/>
        <v>6895.5</v>
      </c>
      <c r="X1377" s="748">
        <f t="shared" si="374"/>
        <v>1.1257959183673469</v>
      </c>
      <c r="Y1377" s="451" t="str">
        <f>IFERROR(VLOOKUP(E:E,'Item Data Support Sheet'!A:J,6,0),0)</f>
        <v>FO105</v>
      </c>
      <c r="Z1377" s="428">
        <f>IFERROR(VLOOKUP(E:E,'Item Data Support Sheet'!A:O,4,0),0)</f>
        <v>0</v>
      </c>
      <c r="AA1377" s="428">
        <f t="shared" si="375"/>
        <v>0</v>
      </c>
      <c r="AB1377" s="429" t="str">
        <f t="shared" si="376"/>
        <v xml:space="preserve"> </v>
      </c>
      <c r="AC1377" s="424">
        <f t="shared" si="377"/>
        <v>4.9783549783549786E-3</v>
      </c>
      <c r="AD1377" s="371">
        <f t="shared" si="378"/>
        <v>0</v>
      </c>
      <c r="AE1377" s="748">
        <f t="shared" si="379"/>
        <v>0.99502164502164503</v>
      </c>
      <c r="AF1377" s="417">
        <f t="shared" si="380"/>
        <v>0.83333333333333337</v>
      </c>
      <c r="AG1377" s="416">
        <f t="shared" si="381"/>
        <v>6.166666666666667</v>
      </c>
      <c r="AH1377" s="372">
        <f t="shared" si="382"/>
        <v>0.88095238095238104</v>
      </c>
      <c r="AI1377" s="373">
        <f t="shared" si="383"/>
        <v>1970.1428571428571</v>
      </c>
      <c r="AJ1377" s="418">
        <f>VLOOKUP(D1377,'Standard Cycle time'!C:D,2,0)</f>
        <v>4</v>
      </c>
      <c r="AK1377" s="418">
        <f t="shared" si="384"/>
        <v>3.2194909723732867</v>
      </c>
      <c r="AL1377" s="374">
        <f t="shared" si="385"/>
        <v>1.2424324324324325</v>
      </c>
      <c r="AM1377" s="372">
        <f t="shared" si="386"/>
        <v>1.0890748814677387</v>
      </c>
      <c r="AN1377" s="799">
        <v>1.0890748814677387</v>
      </c>
      <c r="AO1377" s="448"/>
      <c r="AP1377" s="440">
        <v>50</v>
      </c>
      <c r="AQ1377" s="440">
        <v>0</v>
      </c>
      <c r="AR1377" s="440">
        <v>0</v>
      </c>
      <c r="AS1377" s="440">
        <v>0</v>
      </c>
      <c r="AT1377" s="440">
        <v>0</v>
      </c>
      <c r="AU1377" s="440">
        <v>0</v>
      </c>
      <c r="AV1377" s="440">
        <v>0</v>
      </c>
      <c r="AW1377" s="440">
        <v>0</v>
      </c>
      <c r="AX1377" s="440">
        <v>0</v>
      </c>
      <c r="AY1377" s="440">
        <v>0</v>
      </c>
      <c r="AZ1377" s="440">
        <v>0</v>
      </c>
      <c r="BA1377" s="440">
        <v>0</v>
      </c>
      <c r="BB1377" s="440">
        <v>0</v>
      </c>
      <c r="BC1377" s="440">
        <v>0</v>
      </c>
      <c r="BD1377" s="440">
        <v>0</v>
      </c>
      <c r="BE1377" s="440">
        <v>0</v>
      </c>
      <c r="BF1377" s="440">
        <v>0</v>
      </c>
      <c r="BG1377" s="440">
        <v>0</v>
      </c>
      <c r="BH1377" s="440">
        <v>0</v>
      </c>
      <c r="BI1377" s="440">
        <v>0</v>
      </c>
      <c r="BJ1377" s="440">
        <v>0</v>
      </c>
      <c r="BK1377" s="440">
        <v>0</v>
      </c>
      <c r="BL1377" s="440">
        <v>0</v>
      </c>
      <c r="BM1377" s="440">
        <v>0</v>
      </c>
      <c r="BN1377" s="440">
        <v>0</v>
      </c>
      <c r="BO1377" s="440">
        <v>0</v>
      </c>
      <c r="BP1377" s="440">
        <v>0</v>
      </c>
      <c r="BQ1377" s="440">
        <v>0</v>
      </c>
      <c r="BR1377" s="415">
        <v>0.83333333333333337</v>
      </c>
      <c r="BS1377" s="415">
        <v>0.83333333333333337</v>
      </c>
      <c r="BT1377" s="935"/>
      <c r="BU1377" s="935"/>
      <c r="BV1377" s="935"/>
      <c r="BW1377" s="935"/>
      <c r="BX1377" s="935"/>
      <c r="BY1377" s="935"/>
      <c r="BZ1377" s="935"/>
      <c r="CA1377" s="935"/>
      <c r="CB1377" s="935"/>
      <c r="CC1377" s="935"/>
      <c r="CD1377" s="935"/>
      <c r="CE1377" s="935"/>
      <c r="CF1377" s="935"/>
      <c r="CG1377" s="935"/>
      <c r="CH1377" s="935"/>
      <c r="CI1377" s="935"/>
      <c r="CJ1377" s="935"/>
      <c r="CK1377" s="935"/>
      <c r="CL1377" s="935"/>
      <c r="CM1377" s="935"/>
      <c r="CN1377" s="935"/>
      <c r="CO1377" s="935"/>
      <c r="CP1377" s="935"/>
      <c r="CQ1377" s="935"/>
      <c r="CR1377" s="935"/>
      <c r="CS1377" s="935"/>
      <c r="CT1377" s="935"/>
      <c r="CU1377" s="935"/>
      <c r="CV1377" s="935"/>
    </row>
    <row r="1378" spans="1:100" s="441" customFormat="1">
      <c r="A1378" s="375">
        <f t="shared" si="372"/>
        <v>11</v>
      </c>
      <c r="B1378" s="862">
        <v>44524</v>
      </c>
      <c r="C1378" s="493" t="s">
        <v>2000</v>
      </c>
      <c r="D1378" s="376" t="str">
        <f>IFERROR(VLOOKUP(E:E,'Item Data Support Sheet'!A:O,7,0),"")</f>
        <v>BOTTLE PRINTED</v>
      </c>
      <c r="E1378" s="447" t="s">
        <v>1894</v>
      </c>
      <c r="F1378" s="500"/>
      <c r="G1378" s="497"/>
      <c r="H1378" s="602" t="str">
        <f>IFERROR(VLOOKUP(E:E,'Item Data Support Sheet'!A:O,2,0),"")</f>
        <v>50 ML RPP BOTTLE PRINTED - RABBIT</v>
      </c>
      <c r="I1378" s="501" t="s">
        <v>4159</v>
      </c>
      <c r="J1378" s="501" t="s">
        <v>2813</v>
      </c>
      <c r="K1378" s="499">
        <v>8</v>
      </c>
      <c r="L1378" s="499">
        <v>3400</v>
      </c>
      <c r="M1378" s="366">
        <v>425</v>
      </c>
      <c r="N1378" s="367">
        <f t="shared" si="371"/>
        <v>2280</v>
      </c>
      <c r="O1378" s="61">
        <v>2248</v>
      </c>
      <c r="P1378" s="368">
        <v>0</v>
      </c>
      <c r="Q1378" s="368">
        <v>0</v>
      </c>
      <c r="R1378" s="494">
        <v>41</v>
      </c>
      <c r="S1378" s="493">
        <v>0</v>
      </c>
      <c r="T1378" s="494">
        <v>32</v>
      </c>
      <c r="U1378" s="493">
        <v>0</v>
      </c>
      <c r="V1378" s="502">
        <v>5</v>
      </c>
      <c r="W1378" s="453">
        <f t="shared" si="373"/>
        <v>449.6</v>
      </c>
      <c r="X1378" s="748">
        <f t="shared" si="374"/>
        <v>0.66117647058823525</v>
      </c>
      <c r="Y1378" s="451" t="str">
        <f>IFERROR(VLOOKUP(E:E,'Item Data Support Sheet'!A:J,6,0),0)</f>
        <v>FO112</v>
      </c>
      <c r="Z1378" s="428">
        <f>IFERROR(VLOOKUP(E:E,'Item Data Support Sheet'!A:O,4,0),0)</f>
        <v>17.015000000000001</v>
      </c>
      <c r="AA1378" s="428">
        <f t="shared" si="375"/>
        <v>38.794199999999996</v>
      </c>
      <c r="AB1378" s="429">
        <f t="shared" si="376"/>
        <v>0.98596491228070171</v>
      </c>
      <c r="AC1378" s="424">
        <f t="shared" si="377"/>
        <v>1.4035087719298246E-2</v>
      </c>
      <c r="AD1378" s="371">
        <f t="shared" si="378"/>
        <v>0</v>
      </c>
      <c r="AE1378" s="748">
        <f t="shared" si="379"/>
        <v>0.98596491228070171</v>
      </c>
      <c r="AF1378" s="417">
        <f t="shared" si="380"/>
        <v>0.83333333333333337</v>
      </c>
      <c r="AG1378" s="416">
        <f t="shared" si="381"/>
        <v>7.166666666666667</v>
      </c>
      <c r="AH1378" s="372">
        <f t="shared" si="382"/>
        <v>0.89583333333333337</v>
      </c>
      <c r="AI1378" s="373">
        <f t="shared" si="383"/>
        <v>281</v>
      </c>
      <c r="AJ1378" s="418">
        <f>VLOOKUP(D1378,'Standard Cycle time'!C:D,2,0)</f>
        <v>32.4</v>
      </c>
      <c r="AK1378" s="418">
        <f t="shared" si="384"/>
        <v>57.384341637010685</v>
      </c>
      <c r="AL1378" s="374">
        <f t="shared" si="385"/>
        <v>0.56461395348837196</v>
      </c>
      <c r="AM1378" s="372">
        <f t="shared" si="386"/>
        <v>0.49870105263157882</v>
      </c>
      <c r="AN1378" s="799">
        <v>0.49870105263157882</v>
      </c>
      <c r="AO1378" s="448" t="s">
        <v>4160</v>
      </c>
      <c r="AP1378" s="440">
        <v>50</v>
      </c>
      <c r="AQ1378" s="440">
        <v>0</v>
      </c>
      <c r="AR1378" s="440">
        <v>0</v>
      </c>
      <c r="AS1378" s="440">
        <v>0</v>
      </c>
      <c r="AT1378" s="440">
        <v>0</v>
      </c>
      <c r="AU1378" s="440">
        <v>0</v>
      </c>
      <c r="AV1378" s="440">
        <v>0</v>
      </c>
      <c r="AW1378" s="440">
        <v>0</v>
      </c>
      <c r="AX1378" s="440">
        <v>0</v>
      </c>
      <c r="AY1378" s="440">
        <v>0</v>
      </c>
      <c r="AZ1378" s="440">
        <v>0</v>
      </c>
      <c r="BA1378" s="440">
        <v>0</v>
      </c>
      <c r="BB1378" s="440">
        <v>0</v>
      </c>
      <c r="BC1378" s="440">
        <v>0</v>
      </c>
      <c r="BD1378" s="440">
        <v>0</v>
      </c>
      <c r="BE1378" s="440">
        <v>0</v>
      </c>
      <c r="BF1378" s="440">
        <v>0</v>
      </c>
      <c r="BG1378" s="440">
        <v>0</v>
      </c>
      <c r="BH1378" s="440">
        <v>0</v>
      </c>
      <c r="BI1378" s="440">
        <v>0</v>
      </c>
      <c r="BJ1378" s="440">
        <v>0</v>
      </c>
      <c r="BK1378" s="440">
        <v>0</v>
      </c>
      <c r="BL1378" s="440">
        <v>0</v>
      </c>
      <c r="BM1378" s="440">
        <v>0</v>
      </c>
      <c r="BN1378" s="440">
        <v>0</v>
      </c>
      <c r="BO1378" s="440">
        <v>0</v>
      </c>
      <c r="BP1378" s="440">
        <v>0</v>
      </c>
      <c r="BQ1378" s="440">
        <v>0</v>
      </c>
      <c r="BR1378" s="415">
        <v>0.83333333333333337</v>
      </c>
      <c r="BS1378" s="415">
        <v>0.83333333333333337</v>
      </c>
      <c r="BT1378" s="935"/>
      <c r="BU1378" s="935"/>
      <c r="BV1378" s="935"/>
      <c r="BW1378" s="935"/>
      <c r="BX1378" s="935"/>
      <c r="BY1378" s="935"/>
      <c r="BZ1378" s="935"/>
      <c r="CA1378" s="935"/>
      <c r="CB1378" s="935"/>
      <c r="CC1378" s="935"/>
      <c r="CD1378" s="935"/>
      <c r="CE1378" s="935"/>
      <c r="CF1378" s="935"/>
      <c r="CG1378" s="935"/>
      <c r="CH1378" s="935"/>
      <c r="CI1378" s="935"/>
      <c r="CJ1378" s="935"/>
      <c r="CK1378" s="935"/>
      <c r="CL1378" s="935"/>
      <c r="CM1378" s="935"/>
      <c r="CN1378" s="935"/>
      <c r="CO1378" s="935"/>
      <c r="CP1378" s="935"/>
      <c r="CQ1378" s="935"/>
      <c r="CR1378" s="935"/>
      <c r="CS1378" s="935"/>
      <c r="CT1378" s="935"/>
      <c r="CU1378" s="935"/>
      <c r="CV1378" s="935"/>
    </row>
    <row r="1379" spans="1:100" s="441" customFormat="1">
      <c r="A1379" s="375">
        <f t="shared" si="372"/>
        <v>11</v>
      </c>
      <c r="B1379" s="862">
        <v>44524</v>
      </c>
      <c r="C1379" s="493" t="s">
        <v>2001</v>
      </c>
      <c r="D1379" s="376" t="str">
        <f>IFERROR(VLOOKUP(E:E,'Item Data Support Sheet'!A:O,7,0),"")</f>
        <v>NIPPLE PUNCH</v>
      </c>
      <c r="E1379" s="447" t="s">
        <v>81</v>
      </c>
      <c r="F1379" s="500"/>
      <c r="G1379" s="497" t="s">
        <v>1692</v>
      </c>
      <c r="H1379" s="602" t="str">
        <f>IFERROR(VLOOKUP(E:E,'Item Data Support Sheet'!A:O,2,0),"")</f>
        <v>NIPPLE S TYPE M SIZE PUNCHED</v>
      </c>
      <c r="I1379" s="501" t="s">
        <v>4161</v>
      </c>
      <c r="J1379" s="501" t="s">
        <v>2811</v>
      </c>
      <c r="K1379" s="499">
        <v>8</v>
      </c>
      <c r="L1379" s="499">
        <v>7000</v>
      </c>
      <c r="M1379" s="366">
        <v>875</v>
      </c>
      <c r="N1379" s="367">
        <f t="shared" si="371"/>
        <v>5013</v>
      </c>
      <c r="O1379" s="61">
        <v>5013</v>
      </c>
      <c r="P1379" s="368">
        <v>0</v>
      </c>
      <c r="Q1379" s="368">
        <v>0</v>
      </c>
      <c r="R1379" s="494">
        <v>0</v>
      </c>
      <c r="S1379" s="493">
        <v>0</v>
      </c>
      <c r="T1379" s="494">
        <v>0</v>
      </c>
      <c r="U1379" s="493">
        <v>0</v>
      </c>
      <c r="V1379" s="502">
        <v>1</v>
      </c>
      <c r="W1379" s="453">
        <f t="shared" si="373"/>
        <v>5013</v>
      </c>
      <c r="X1379" s="748">
        <f t="shared" si="374"/>
        <v>0.71614285714285719</v>
      </c>
      <c r="Y1379" s="451" t="str">
        <f>IFERROR(VLOOKUP(E:E,'Item Data Support Sheet'!A:J,6,0),0)</f>
        <v>FO016</v>
      </c>
      <c r="Z1379" s="428">
        <f>IFERROR(VLOOKUP(E:E,'Item Data Support Sheet'!A:O,4,0),0)</f>
        <v>0</v>
      </c>
      <c r="AA1379" s="428">
        <f t="shared" si="375"/>
        <v>0</v>
      </c>
      <c r="AB1379" s="429" t="str">
        <f t="shared" si="376"/>
        <v xml:space="preserve"> </v>
      </c>
      <c r="AC1379" s="424">
        <f t="shared" si="377"/>
        <v>0</v>
      </c>
      <c r="AD1379" s="371">
        <f t="shared" si="378"/>
        <v>0</v>
      </c>
      <c r="AE1379" s="748">
        <f t="shared" si="379"/>
        <v>1</v>
      </c>
      <c r="AF1379" s="417">
        <f t="shared" si="380"/>
        <v>2.6666666666666665</v>
      </c>
      <c r="AG1379" s="416">
        <f t="shared" si="381"/>
        <v>5.3333333333333339</v>
      </c>
      <c r="AH1379" s="372">
        <f t="shared" si="382"/>
        <v>0.66666666666666674</v>
      </c>
      <c r="AI1379" s="373">
        <f t="shared" si="383"/>
        <v>626.625</v>
      </c>
      <c r="AJ1379" s="418">
        <f>VLOOKUP(D1379,'Standard Cycle time'!C:D,2,0)</f>
        <v>3.5</v>
      </c>
      <c r="AK1379" s="418">
        <f t="shared" si="384"/>
        <v>3.8300418910831846</v>
      </c>
      <c r="AL1379" s="374">
        <f t="shared" si="385"/>
        <v>0.91382812499999977</v>
      </c>
      <c r="AM1379" s="372">
        <f t="shared" si="386"/>
        <v>0.60921874999999992</v>
      </c>
      <c r="AN1379" s="799">
        <v>0.60921874999999992</v>
      </c>
      <c r="AO1379" s="448" t="s">
        <v>4162</v>
      </c>
      <c r="AP1379" s="440">
        <v>40</v>
      </c>
      <c r="AQ1379" s="440">
        <v>0</v>
      </c>
      <c r="AR1379" s="440">
        <v>0</v>
      </c>
      <c r="AS1379" s="440">
        <v>0</v>
      </c>
      <c r="AT1379" s="440">
        <v>0</v>
      </c>
      <c r="AU1379" s="440">
        <v>0</v>
      </c>
      <c r="AV1379" s="440">
        <v>0</v>
      </c>
      <c r="AW1379" s="440">
        <v>0</v>
      </c>
      <c r="AX1379" s="440">
        <v>0</v>
      </c>
      <c r="AY1379" s="440">
        <v>0</v>
      </c>
      <c r="AZ1379" s="440">
        <v>0</v>
      </c>
      <c r="BA1379" s="440">
        <v>0</v>
      </c>
      <c r="BB1379" s="440">
        <v>0</v>
      </c>
      <c r="BC1379" s="440">
        <v>0</v>
      </c>
      <c r="BD1379" s="440">
        <v>0</v>
      </c>
      <c r="BE1379" s="440">
        <v>0</v>
      </c>
      <c r="BF1379" s="440">
        <v>0</v>
      </c>
      <c r="BG1379" s="440">
        <v>0</v>
      </c>
      <c r="BH1379" s="440">
        <v>0</v>
      </c>
      <c r="BI1379" s="440">
        <v>0</v>
      </c>
      <c r="BJ1379" s="440">
        <v>0</v>
      </c>
      <c r="BK1379" s="440">
        <v>0</v>
      </c>
      <c r="BL1379" s="440">
        <v>120</v>
      </c>
      <c r="BM1379" s="440">
        <v>0</v>
      </c>
      <c r="BN1379" s="440">
        <v>0</v>
      </c>
      <c r="BO1379" s="440">
        <v>0</v>
      </c>
      <c r="BP1379" s="440">
        <v>0</v>
      </c>
      <c r="BQ1379" s="440">
        <v>0</v>
      </c>
      <c r="BR1379" s="415">
        <v>2.6666666666666665</v>
      </c>
      <c r="BS1379" s="415">
        <v>2.6666666666666665</v>
      </c>
      <c r="BT1379" s="935"/>
      <c r="BU1379" s="935"/>
      <c r="BV1379" s="935"/>
      <c r="BW1379" s="935"/>
      <c r="BX1379" s="935"/>
      <c r="BY1379" s="935"/>
      <c r="BZ1379" s="935"/>
      <c r="CA1379" s="935"/>
      <c r="CB1379" s="935"/>
      <c r="CC1379" s="935"/>
      <c r="CD1379" s="935"/>
      <c r="CE1379" s="935"/>
      <c r="CF1379" s="935"/>
      <c r="CG1379" s="935"/>
      <c r="CH1379" s="935"/>
      <c r="CI1379" s="935"/>
      <c r="CJ1379" s="935"/>
      <c r="CK1379" s="935"/>
      <c r="CL1379" s="935"/>
      <c r="CM1379" s="935"/>
      <c r="CN1379" s="935"/>
      <c r="CO1379" s="935"/>
      <c r="CP1379" s="935"/>
      <c r="CQ1379" s="935"/>
      <c r="CR1379" s="935"/>
      <c r="CS1379" s="935"/>
      <c r="CT1379" s="935"/>
      <c r="CU1379" s="935"/>
      <c r="CV1379" s="935"/>
    </row>
    <row r="1380" spans="1:100" s="441" customFormat="1">
      <c r="A1380" s="375">
        <f t="shared" si="372"/>
        <v>11</v>
      </c>
      <c r="B1380" s="862">
        <v>44524</v>
      </c>
      <c r="C1380" s="493" t="s">
        <v>2001</v>
      </c>
      <c r="D1380" s="376" t="str">
        <f>IFERROR(VLOOKUP(E:E,'Item Data Support Sheet'!A:O,7,0),"")</f>
        <v>NIPPLE LASER MARKING</v>
      </c>
      <c r="E1380" s="447" t="s">
        <v>1815</v>
      </c>
      <c r="F1380" s="500"/>
      <c r="G1380" s="497" t="s">
        <v>1812</v>
      </c>
      <c r="H1380" s="602" t="str">
        <f>IFERROR(VLOOKUP(E:E,'Item Data Support Sheet'!A:O,2,0),"")</f>
        <v>NIPPLE S TYPE M SIZE PUNCHED LASER MARKED</v>
      </c>
      <c r="I1380" s="501" t="s">
        <v>4163</v>
      </c>
      <c r="J1380" s="501" t="s">
        <v>2811</v>
      </c>
      <c r="K1380" s="499">
        <v>8</v>
      </c>
      <c r="L1380" s="499">
        <v>7000</v>
      </c>
      <c r="M1380" s="366">
        <v>875</v>
      </c>
      <c r="N1380" s="367">
        <f t="shared" si="371"/>
        <v>6949</v>
      </c>
      <c r="O1380" s="61">
        <v>6949</v>
      </c>
      <c r="P1380" s="368">
        <v>0</v>
      </c>
      <c r="Q1380" s="368">
        <v>0</v>
      </c>
      <c r="R1380" s="494">
        <v>0</v>
      </c>
      <c r="S1380" s="493">
        <v>0</v>
      </c>
      <c r="T1380" s="494">
        <v>0</v>
      </c>
      <c r="U1380" s="493">
        <v>0</v>
      </c>
      <c r="V1380" s="502">
        <v>1</v>
      </c>
      <c r="W1380" s="453">
        <f t="shared" si="373"/>
        <v>6949</v>
      </c>
      <c r="X1380" s="748">
        <f t="shared" si="374"/>
        <v>0.99271428571428566</v>
      </c>
      <c r="Y1380" s="451" t="str">
        <f>IFERROR(VLOOKUP(E:E,'Item Data Support Sheet'!A:J,6,0),0)</f>
        <v>FO020</v>
      </c>
      <c r="Z1380" s="428">
        <f>IFERROR(VLOOKUP(E:E,'Item Data Support Sheet'!A:O,4,0),0)</f>
        <v>0</v>
      </c>
      <c r="AA1380" s="428">
        <f t="shared" si="375"/>
        <v>0</v>
      </c>
      <c r="AB1380" s="429" t="str">
        <f t="shared" si="376"/>
        <v xml:space="preserve"> </v>
      </c>
      <c r="AC1380" s="424">
        <f t="shared" si="377"/>
        <v>0</v>
      </c>
      <c r="AD1380" s="371">
        <f t="shared" si="378"/>
        <v>0</v>
      </c>
      <c r="AE1380" s="748">
        <f t="shared" si="379"/>
        <v>1</v>
      </c>
      <c r="AF1380" s="417">
        <f t="shared" si="380"/>
        <v>0.66666666666666663</v>
      </c>
      <c r="AG1380" s="416">
        <f t="shared" si="381"/>
        <v>7.333333333333333</v>
      </c>
      <c r="AH1380" s="372">
        <f t="shared" si="382"/>
        <v>0.91666666666666663</v>
      </c>
      <c r="AI1380" s="373">
        <f t="shared" si="383"/>
        <v>868.625</v>
      </c>
      <c r="AJ1380" s="418">
        <f>VLOOKUP(D1380,'Standard Cycle time'!C:D,2,0)</f>
        <v>3.5</v>
      </c>
      <c r="AK1380" s="418">
        <f t="shared" si="384"/>
        <v>3.7991077852928479</v>
      </c>
      <c r="AL1380" s="374">
        <f t="shared" si="385"/>
        <v>0.92126893939393939</v>
      </c>
      <c r="AM1380" s="372">
        <f t="shared" si="386"/>
        <v>0.84449652777777773</v>
      </c>
      <c r="AN1380" s="799">
        <v>0.84449652777777773</v>
      </c>
      <c r="AO1380" s="448"/>
      <c r="AP1380" s="440">
        <v>40</v>
      </c>
      <c r="AQ1380" s="440">
        <v>0</v>
      </c>
      <c r="AR1380" s="440">
        <v>0</v>
      </c>
      <c r="AS1380" s="440">
        <v>0</v>
      </c>
      <c r="AT1380" s="440">
        <v>0</v>
      </c>
      <c r="AU1380" s="440">
        <v>0</v>
      </c>
      <c r="AV1380" s="440">
        <v>0</v>
      </c>
      <c r="AW1380" s="440">
        <v>0</v>
      </c>
      <c r="AX1380" s="440">
        <v>0</v>
      </c>
      <c r="AY1380" s="440">
        <v>0</v>
      </c>
      <c r="AZ1380" s="440">
        <v>0</v>
      </c>
      <c r="BA1380" s="440">
        <v>0</v>
      </c>
      <c r="BB1380" s="440">
        <v>0</v>
      </c>
      <c r="BC1380" s="440">
        <v>0</v>
      </c>
      <c r="BD1380" s="440">
        <v>0</v>
      </c>
      <c r="BE1380" s="440">
        <v>0</v>
      </c>
      <c r="BF1380" s="440">
        <v>0</v>
      </c>
      <c r="BG1380" s="440">
        <v>0</v>
      </c>
      <c r="BH1380" s="440">
        <v>0</v>
      </c>
      <c r="BI1380" s="440">
        <v>0</v>
      </c>
      <c r="BJ1380" s="440">
        <v>0</v>
      </c>
      <c r="BK1380" s="440">
        <v>0</v>
      </c>
      <c r="BL1380" s="440">
        <v>0</v>
      </c>
      <c r="BM1380" s="440">
        <v>0</v>
      </c>
      <c r="BN1380" s="440">
        <v>0</v>
      </c>
      <c r="BO1380" s="440">
        <v>0</v>
      </c>
      <c r="BP1380" s="440">
        <v>0</v>
      </c>
      <c r="BQ1380" s="440">
        <v>0</v>
      </c>
      <c r="BR1380" s="415">
        <v>0.66666666666666663</v>
      </c>
      <c r="BS1380" s="415">
        <v>0.66666666666666663</v>
      </c>
      <c r="BT1380" s="935"/>
      <c r="BU1380" s="935"/>
      <c r="BV1380" s="935"/>
      <c r="BW1380" s="935"/>
      <c r="BX1380" s="935"/>
      <c r="BY1380" s="935"/>
      <c r="BZ1380" s="935"/>
      <c r="CA1380" s="935"/>
      <c r="CB1380" s="935"/>
      <c r="CC1380" s="935"/>
      <c r="CD1380" s="935"/>
      <c r="CE1380" s="935"/>
      <c r="CF1380" s="935"/>
      <c r="CG1380" s="935"/>
      <c r="CH1380" s="935"/>
      <c r="CI1380" s="935"/>
      <c r="CJ1380" s="935"/>
      <c r="CK1380" s="935"/>
      <c r="CL1380" s="935"/>
      <c r="CM1380" s="935"/>
      <c r="CN1380" s="935"/>
      <c r="CO1380" s="935"/>
      <c r="CP1380" s="935"/>
      <c r="CQ1380" s="935"/>
      <c r="CR1380" s="935"/>
      <c r="CS1380" s="935"/>
      <c r="CT1380" s="935"/>
      <c r="CU1380" s="935"/>
      <c r="CV1380" s="935"/>
    </row>
    <row r="1381" spans="1:100" s="441" customFormat="1">
      <c r="A1381" s="375">
        <f t="shared" si="372"/>
        <v>11</v>
      </c>
      <c r="B1381" s="862">
        <v>44524</v>
      </c>
      <c r="C1381" s="493" t="s">
        <v>2001</v>
      </c>
      <c r="D1381" s="376" t="str">
        <f>IFERROR(VLOOKUP(E:E,'Item Data Support Sheet'!A:O,7,0),"")</f>
        <v>CAP MOLDED</v>
      </c>
      <c r="E1381" s="447" t="s">
        <v>2106</v>
      </c>
      <c r="F1381" s="500" t="s">
        <v>4140</v>
      </c>
      <c r="G1381" s="497" t="s">
        <v>2729</v>
      </c>
      <c r="H1381" s="602" t="str">
        <f>IFERROR(VLOOKUP(E:E,'Item Data Support Sheet'!A:O,2,0),"")</f>
        <v>CAP S TYPE MOLDED RED</v>
      </c>
      <c r="I1381" s="501" t="s">
        <v>4164</v>
      </c>
      <c r="J1381" s="501" t="s">
        <v>2811</v>
      </c>
      <c r="K1381" s="499">
        <v>8</v>
      </c>
      <c r="L1381" s="499">
        <v>4137</v>
      </c>
      <c r="M1381" s="366">
        <v>517.125</v>
      </c>
      <c r="N1381" s="367">
        <f t="shared" si="371"/>
        <v>4015</v>
      </c>
      <c r="O1381" s="61">
        <v>4000</v>
      </c>
      <c r="P1381" s="368">
        <v>0</v>
      </c>
      <c r="Q1381" s="368">
        <v>5</v>
      </c>
      <c r="R1381" s="494">
        <v>0</v>
      </c>
      <c r="S1381" s="493">
        <v>0</v>
      </c>
      <c r="T1381" s="494">
        <v>10</v>
      </c>
      <c r="U1381" s="493">
        <v>0</v>
      </c>
      <c r="V1381" s="502">
        <v>1</v>
      </c>
      <c r="W1381" s="453">
        <f t="shared" si="373"/>
        <v>4000</v>
      </c>
      <c r="X1381" s="748">
        <f t="shared" si="374"/>
        <v>0.96688421561518012</v>
      </c>
      <c r="Y1381" s="451" t="str">
        <f>IFERROR(VLOOKUP(E:E,'Item Data Support Sheet'!A:J,6,0),0)</f>
        <v>FO153</v>
      </c>
      <c r="Z1381" s="428">
        <f>IFERROR(VLOOKUP(E:E,'Item Data Support Sheet'!A:O,4,0),0)</f>
        <v>7.3</v>
      </c>
      <c r="AA1381" s="428">
        <f t="shared" si="375"/>
        <v>29.3095</v>
      </c>
      <c r="AB1381" s="429">
        <f t="shared" si="376"/>
        <v>0.99626400996264008</v>
      </c>
      <c r="AC1381" s="424">
        <f t="shared" si="377"/>
        <v>2.4937655860349127E-3</v>
      </c>
      <c r="AD1381" s="371">
        <f t="shared" si="378"/>
        <v>1.2437810945273632E-3</v>
      </c>
      <c r="AE1381" s="748">
        <f t="shared" si="379"/>
        <v>0.99750933997509339</v>
      </c>
      <c r="AF1381" s="417">
        <f t="shared" si="380"/>
        <v>0</v>
      </c>
      <c r="AG1381" s="416">
        <f t="shared" si="381"/>
        <v>8</v>
      </c>
      <c r="AH1381" s="372">
        <f t="shared" si="382"/>
        <v>1</v>
      </c>
      <c r="AI1381" s="373">
        <f t="shared" si="383"/>
        <v>500</v>
      </c>
      <c r="AJ1381" s="418">
        <f>VLOOKUP(D1381,'Standard Cycle time'!C:D,2,0)</f>
        <v>6</v>
      </c>
      <c r="AK1381" s="418">
        <f t="shared" si="384"/>
        <v>7.2</v>
      </c>
      <c r="AL1381" s="374">
        <f t="shared" si="385"/>
        <v>0.83333333333333326</v>
      </c>
      <c r="AM1381" s="372">
        <f t="shared" si="386"/>
        <v>0.83125778331257771</v>
      </c>
      <c r="AN1381" s="799">
        <v>0.83125778331257771</v>
      </c>
      <c r="AO1381" s="448"/>
      <c r="AP1381" s="440">
        <v>0</v>
      </c>
      <c r="AQ1381" s="440">
        <v>0</v>
      </c>
      <c r="AR1381" s="440">
        <v>0</v>
      </c>
      <c r="AS1381" s="440">
        <v>0</v>
      </c>
      <c r="AT1381" s="440">
        <v>0</v>
      </c>
      <c r="AU1381" s="440">
        <v>0</v>
      </c>
      <c r="AV1381" s="440">
        <v>0</v>
      </c>
      <c r="AW1381" s="440">
        <v>0</v>
      </c>
      <c r="AX1381" s="440">
        <v>0</v>
      </c>
      <c r="AY1381" s="440">
        <v>0</v>
      </c>
      <c r="AZ1381" s="440">
        <v>0</v>
      </c>
      <c r="BA1381" s="440">
        <v>0</v>
      </c>
      <c r="BB1381" s="440">
        <v>0</v>
      </c>
      <c r="BC1381" s="440">
        <v>0</v>
      </c>
      <c r="BD1381" s="440">
        <v>0</v>
      </c>
      <c r="BE1381" s="440">
        <v>0</v>
      </c>
      <c r="BF1381" s="440">
        <v>0</v>
      </c>
      <c r="BG1381" s="440">
        <v>0</v>
      </c>
      <c r="BH1381" s="440">
        <v>0</v>
      </c>
      <c r="BI1381" s="440">
        <v>0</v>
      </c>
      <c r="BJ1381" s="440">
        <v>0</v>
      </c>
      <c r="BK1381" s="440">
        <v>0</v>
      </c>
      <c r="BL1381" s="440">
        <v>0</v>
      </c>
      <c r="BM1381" s="440">
        <v>0</v>
      </c>
      <c r="BN1381" s="440">
        <v>0</v>
      </c>
      <c r="BO1381" s="440">
        <v>0</v>
      </c>
      <c r="BP1381" s="440">
        <v>0</v>
      </c>
      <c r="BQ1381" s="440">
        <v>0</v>
      </c>
      <c r="BR1381" s="415">
        <v>0</v>
      </c>
      <c r="BS1381" s="415">
        <v>0</v>
      </c>
      <c r="BT1381" s="935"/>
      <c r="BU1381" s="935"/>
      <c r="BV1381" s="935"/>
      <c r="BW1381" s="935"/>
      <c r="BX1381" s="935"/>
      <c r="BY1381" s="935"/>
      <c r="BZ1381" s="935"/>
      <c r="CA1381" s="935"/>
      <c r="CB1381" s="935"/>
      <c r="CC1381" s="935"/>
      <c r="CD1381" s="935"/>
      <c r="CE1381" s="935"/>
      <c r="CF1381" s="935"/>
      <c r="CG1381" s="935"/>
      <c r="CH1381" s="935"/>
      <c r="CI1381" s="935"/>
      <c r="CJ1381" s="935"/>
      <c r="CK1381" s="935"/>
      <c r="CL1381" s="935"/>
      <c r="CM1381" s="935"/>
      <c r="CN1381" s="935"/>
      <c r="CO1381" s="935"/>
      <c r="CP1381" s="935"/>
      <c r="CQ1381" s="935"/>
      <c r="CR1381" s="935"/>
      <c r="CS1381" s="935"/>
      <c r="CT1381" s="935"/>
      <c r="CU1381" s="935"/>
      <c r="CV1381" s="935"/>
    </row>
    <row r="1382" spans="1:100" s="441" customFormat="1">
      <c r="A1382" s="375">
        <f t="shared" si="372"/>
        <v>11</v>
      </c>
      <c r="B1382" s="862">
        <v>44524</v>
      </c>
      <c r="C1382" s="493" t="s">
        <v>2001</v>
      </c>
      <c r="D1382" s="376" t="str">
        <f>IFERROR(VLOOKUP(E:E,'Item Data Support Sheet'!A:O,7,0),"")</f>
        <v>NIPPLE MOLDED</v>
      </c>
      <c r="E1382" s="447" t="s">
        <v>2484</v>
      </c>
      <c r="F1382" s="500" t="s">
        <v>1677</v>
      </c>
      <c r="G1382" s="497" t="s">
        <v>1690</v>
      </c>
      <c r="H1382" s="602" t="str">
        <f>IFERROR(VLOOKUP(E:E,'Item Data Support Sheet'!A:O,2,0),"")</f>
        <v>NIPPLE S TYPE LL SIZE INJECTION</v>
      </c>
      <c r="I1382" s="501" t="s">
        <v>4165</v>
      </c>
      <c r="J1382" s="501" t="s">
        <v>2811</v>
      </c>
      <c r="K1382" s="499">
        <v>8</v>
      </c>
      <c r="L1382" s="499">
        <v>3611</v>
      </c>
      <c r="M1382" s="366">
        <v>451.375</v>
      </c>
      <c r="N1382" s="367">
        <f t="shared" si="371"/>
        <v>3150</v>
      </c>
      <c r="O1382" s="61">
        <v>3000</v>
      </c>
      <c r="P1382" s="368">
        <v>0</v>
      </c>
      <c r="Q1382" s="368">
        <v>70</v>
      </c>
      <c r="R1382" s="494">
        <v>0</v>
      </c>
      <c r="S1382" s="493">
        <v>0</v>
      </c>
      <c r="T1382" s="494">
        <v>80</v>
      </c>
      <c r="U1382" s="493">
        <v>0</v>
      </c>
      <c r="V1382" s="502">
        <v>1</v>
      </c>
      <c r="W1382" s="453">
        <f t="shared" si="373"/>
        <v>3000</v>
      </c>
      <c r="X1382" s="748">
        <f t="shared" si="374"/>
        <v>0.83079479368595954</v>
      </c>
      <c r="Y1382" s="451" t="str">
        <f>IFERROR(VLOOKUP(E:E,'Item Data Support Sheet'!A:J,6,0),0)</f>
        <v>FO148</v>
      </c>
      <c r="Z1382" s="428">
        <f>IFERROR(VLOOKUP(E:E,'Item Data Support Sheet'!A:O,4,0),0)</f>
        <v>6.8</v>
      </c>
      <c r="AA1382" s="428">
        <f t="shared" si="375"/>
        <v>21.419999999999998</v>
      </c>
      <c r="AB1382" s="429">
        <f t="shared" si="376"/>
        <v>0.95238095238095244</v>
      </c>
      <c r="AC1382" s="424">
        <f t="shared" si="377"/>
        <v>2.5974025974025976E-2</v>
      </c>
      <c r="AD1382" s="371">
        <f t="shared" si="378"/>
        <v>2.1739130434782608E-2</v>
      </c>
      <c r="AE1382" s="748">
        <f t="shared" si="379"/>
        <v>0.97460317460317458</v>
      </c>
      <c r="AF1382" s="417">
        <f t="shared" si="380"/>
        <v>0</v>
      </c>
      <c r="AG1382" s="416">
        <f t="shared" si="381"/>
        <v>8</v>
      </c>
      <c r="AH1382" s="372">
        <f t="shared" si="382"/>
        <v>1</v>
      </c>
      <c r="AI1382" s="373">
        <f t="shared" si="383"/>
        <v>375</v>
      </c>
      <c r="AJ1382" s="418">
        <f>VLOOKUP(D1382,'Standard Cycle time'!C:D,2,0)</f>
        <v>5.25</v>
      </c>
      <c r="AK1382" s="418">
        <f t="shared" si="384"/>
        <v>9.6</v>
      </c>
      <c r="AL1382" s="374">
        <f t="shared" si="385"/>
        <v>0.546875</v>
      </c>
      <c r="AM1382" s="372">
        <f t="shared" si="386"/>
        <v>0.53298611111111105</v>
      </c>
      <c r="AN1382" s="799">
        <v>0.53298611111111105</v>
      </c>
      <c r="AO1382" s="448"/>
      <c r="AP1382" s="440">
        <v>0</v>
      </c>
      <c r="AQ1382" s="440">
        <v>0</v>
      </c>
      <c r="AR1382" s="440">
        <v>0</v>
      </c>
      <c r="AS1382" s="440">
        <v>0</v>
      </c>
      <c r="AT1382" s="440">
        <v>0</v>
      </c>
      <c r="AU1382" s="440">
        <v>0</v>
      </c>
      <c r="AV1382" s="440">
        <v>0</v>
      </c>
      <c r="AW1382" s="440">
        <v>0</v>
      </c>
      <c r="AX1382" s="440">
        <v>0</v>
      </c>
      <c r="AY1382" s="440">
        <v>0</v>
      </c>
      <c r="AZ1382" s="440">
        <v>0</v>
      </c>
      <c r="BA1382" s="440">
        <v>0</v>
      </c>
      <c r="BB1382" s="440">
        <v>0</v>
      </c>
      <c r="BC1382" s="440">
        <v>0</v>
      </c>
      <c r="BD1382" s="440">
        <v>0</v>
      </c>
      <c r="BE1382" s="440">
        <v>0</v>
      </c>
      <c r="BF1382" s="440">
        <v>0</v>
      </c>
      <c r="BG1382" s="440">
        <v>0</v>
      </c>
      <c r="BH1382" s="440">
        <v>0</v>
      </c>
      <c r="BI1382" s="440">
        <v>0</v>
      </c>
      <c r="BJ1382" s="440">
        <v>0</v>
      </c>
      <c r="BK1382" s="440">
        <v>0</v>
      </c>
      <c r="BL1382" s="440">
        <v>0</v>
      </c>
      <c r="BM1382" s="440">
        <v>0</v>
      </c>
      <c r="BN1382" s="440">
        <v>0</v>
      </c>
      <c r="BO1382" s="440">
        <v>0</v>
      </c>
      <c r="BP1382" s="440">
        <v>0</v>
      </c>
      <c r="BQ1382" s="440">
        <v>0</v>
      </c>
      <c r="BR1382" s="415">
        <v>0</v>
      </c>
      <c r="BS1382" s="415">
        <v>0</v>
      </c>
      <c r="BT1382" s="935"/>
      <c r="BU1382" s="935"/>
      <c r="BV1382" s="935"/>
      <c r="BW1382" s="935"/>
      <c r="BX1382" s="935"/>
      <c r="BY1382" s="935"/>
      <c r="BZ1382" s="935"/>
      <c r="CA1382" s="935"/>
      <c r="CB1382" s="935"/>
      <c r="CC1382" s="935"/>
      <c r="CD1382" s="935"/>
      <c r="CE1382" s="935"/>
      <c r="CF1382" s="935"/>
      <c r="CG1382" s="935"/>
      <c r="CH1382" s="935"/>
      <c r="CI1382" s="935"/>
      <c r="CJ1382" s="935"/>
      <c r="CK1382" s="935"/>
      <c r="CL1382" s="935"/>
      <c r="CM1382" s="935"/>
      <c r="CN1382" s="935"/>
      <c r="CO1382" s="935"/>
      <c r="CP1382" s="935"/>
      <c r="CQ1382" s="935"/>
      <c r="CR1382" s="935"/>
      <c r="CS1382" s="935"/>
      <c r="CT1382" s="935"/>
      <c r="CU1382" s="935"/>
      <c r="CV1382" s="935"/>
    </row>
    <row r="1383" spans="1:100" s="441" customFormat="1">
      <c r="A1383" s="375">
        <f t="shared" si="372"/>
        <v>11</v>
      </c>
      <c r="B1383" s="862">
        <v>44524</v>
      </c>
      <c r="C1383" s="493" t="s">
        <v>2001</v>
      </c>
      <c r="D1383" s="376" t="str">
        <f>IFERROR(VLOOKUP(E:E,'Item Data Support Sheet'!A:O,7,0),"")</f>
        <v>NIPPLE MOLDED</v>
      </c>
      <c r="E1383" s="447" t="s">
        <v>74</v>
      </c>
      <c r="F1383" s="500" t="s">
        <v>1678</v>
      </c>
      <c r="G1383" s="497" t="s">
        <v>1691</v>
      </c>
      <c r="H1383" s="602" t="str">
        <f>IFERROR(VLOOKUP(E:E,'Item Data Support Sheet'!A:O,2,0),"")</f>
        <v>NIPPLE S TYPE L SIZE INJECTION</v>
      </c>
      <c r="I1383" s="501" t="s">
        <v>4165</v>
      </c>
      <c r="J1383" s="501" t="s">
        <v>2811</v>
      </c>
      <c r="K1383" s="499">
        <v>8</v>
      </c>
      <c r="L1383" s="499">
        <v>4815</v>
      </c>
      <c r="M1383" s="366">
        <v>601.875</v>
      </c>
      <c r="N1383" s="367">
        <f t="shared" si="371"/>
        <v>5482</v>
      </c>
      <c r="O1383" s="61">
        <v>5400</v>
      </c>
      <c r="P1383" s="368">
        <v>0</v>
      </c>
      <c r="Q1383" s="368">
        <v>20</v>
      </c>
      <c r="R1383" s="494">
        <v>0</v>
      </c>
      <c r="S1383" s="493">
        <v>0</v>
      </c>
      <c r="T1383" s="494">
        <v>62</v>
      </c>
      <c r="U1383" s="493">
        <v>0</v>
      </c>
      <c r="V1383" s="502">
        <v>1</v>
      </c>
      <c r="W1383" s="453">
        <f t="shared" si="373"/>
        <v>5400</v>
      </c>
      <c r="X1383" s="748">
        <f t="shared" si="374"/>
        <v>1.1214953271028036</v>
      </c>
      <c r="Y1383" s="451" t="str">
        <f>IFERROR(VLOOKUP(E:E,'Item Data Support Sheet'!A:J,6,0),0)</f>
        <v>Silicon</v>
      </c>
      <c r="Z1383" s="428">
        <f>IFERROR(VLOOKUP(E:E,'Item Data Support Sheet'!A:O,4,0),0)</f>
        <v>6.8</v>
      </c>
      <c r="AA1383" s="428">
        <f t="shared" si="375"/>
        <v>37.2776</v>
      </c>
      <c r="AB1383" s="429">
        <f t="shared" si="376"/>
        <v>0.98504195549069684</v>
      </c>
      <c r="AC1383" s="424">
        <f t="shared" si="377"/>
        <v>1.1351153423654338E-2</v>
      </c>
      <c r="AD1383" s="371">
        <f t="shared" si="378"/>
        <v>3.6350418029807343E-3</v>
      </c>
      <c r="AE1383" s="748">
        <f t="shared" si="379"/>
        <v>0.98869025902955121</v>
      </c>
      <c r="AF1383" s="417">
        <f t="shared" si="380"/>
        <v>0</v>
      </c>
      <c r="AG1383" s="416">
        <f t="shared" si="381"/>
        <v>8</v>
      </c>
      <c r="AH1383" s="372">
        <f t="shared" si="382"/>
        <v>1</v>
      </c>
      <c r="AI1383" s="373">
        <f t="shared" si="383"/>
        <v>675</v>
      </c>
      <c r="AJ1383" s="418">
        <f>VLOOKUP(D1383,'Standard Cycle time'!C:D,2,0)</f>
        <v>5.25</v>
      </c>
      <c r="AK1383" s="418">
        <f t="shared" si="384"/>
        <v>5.333333333333333</v>
      </c>
      <c r="AL1383" s="374">
        <f t="shared" si="385"/>
        <v>0.984375</v>
      </c>
      <c r="AM1383" s="372">
        <f t="shared" si="386"/>
        <v>0.97324197373221444</v>
      </c>
      <c r="AN1383" s="799">
        <v>0.97324197373221444</v>
      </c>
      <c r="AO1383" s="448"/>
      <c r="AP1383" s="440">
        <v>0</v>
      </c>
      <c r="AQ1383" s="440">
        <v>0</v>
      </c>
      <c r="AR1383" s="440">
        <v>0</v>
      </c>
      <c r="AS1383" s="440">
        <v>0</v>
      </c>
      <c r="AT1383" s="440">
        <v>0</v>
      </c>
      <c r="AU1383" s="440">
        <v>0</v>
      </c>
      <c r="AV1383" s="440">
        <v>0</v>
      </c>
      <c r="AW1383" s="440">
        <v>0</v>
      </c>
      <c r="AX1383" s="440">
        <v>0</v>
      </c>
      <c r="AY1383" s="440">
        <v>0</v>
      </c>
      <c r="AZ1383" s="440">
        <v>0</v>
      </c>
      <c r="BA1383" s="440">
        <v>0</v>
      </c>
      <c r="BB1383" s="440">
        <v>0</v>
      </c>
      <c r="BC1383" s="440">
        <v>0</v>
      </c>
      <c r="BD1383" s="440">
        <v>0</v>
      </c>
      <c r="BE1383" s="440">
        <v>0</v>
      </c>
      <c r="BF1383" s="440">
        <v>0</v>
      </c>
      <c r="BG1383" s="440">
        <v>0</v>
      </c>
      <c r="BH1383" s="440">
        <v>0</v>
      </c>
      <c r="BI1383" s="440">
        <v>0</v>
      </c>
      <c r="BJ1383" s="440">
        <v>0</v>
      </c>
      <c r="BK1383" s="440">
        <v>0</v>
      </c>
      <c r="BL1383" s="440">
        <v>0</v>
      </c>
      <c r="BM1383" s="440">
        <v>0</v>
      </c>
      <c r="BN1383" s="440">
        <v>0</v>
      </c>
      <c r="BO1383" s="440">
        <v>0</v>
      </c>
      <c r="BP1383" s="440">
        <v>0</v>
      </c>
      <c r="BQ1383" s="440">
        <v>0</v>
      </c>
      <c r="BR1383" s="415">
        <v>0</v>
      </c>
      <c r="BS1383" s="415">
        <v>0</v>
      </c>
      <c r="BT1383" s="935"/>
      <c r="BU1383" s="935"/>
      <c r="BV1383" s="935"/>
      <c r="BW1383" s="935"/>
      <c r="BX1383" s="935"/>
      <c r="BY1383" s="935"/>
      <c r="BZ1383" s="935"/>
      <c r="CA1383" s="935"/>
      <c r="CB1383" s="935"/>
      <c r="CC1383" s="935"/>
      <c r="CD1383" s="935"/>
      <c r="CE1383" s="935"/>
      <c r="CF1383" s="935"/>
      <c r="CG1383" s="935"/>
      <c r="CH1383" s="935"/>
      <c r="CI1383" s="935"/>
      <c r="CJ1383" s="935"/>
      <c r="CK1383" s="935"/>
      <c r="CL1383" s="935"/>
      <c r="CM1383" s="935"/>
      <c r="CN1383" s="935"/>
      <c r="CO1383" s="935"/>
      <c r="CP1383" s="935"/>
      <c r="CQ1383" s="935"/>
      <c r="CR1383" s="935"/>
      <c r="CS1383" s="935"/>
      <c r="CT1383" s="935"/>
      <c r="CU1383" s="935"/>
      <c r="CV1383" s="935"/>
    </row>
    <row r="1384" spans="1:100" s="441" customFormat="1">
      <c r="A1384" s="375">
        <f t="shared" si="372"/>
        <v>11</v>
      </c>
      <c r="B1384" s="862">
        <v>44524</v>
      </c>
      <c r="C1384" s="493" t="s">
        <v>2053</v>
      </c>
      <c r="D1384" s="376" t="str">
        <f>IFERROR(VLOOKUP(E:E,'Item Data Support Sheet'!A:O,7,0),"")</f>
        <v>NIPPLE MOLDED</v>
      </c>
      <c r="E1384" s="447" t="s">
        <v>2484</v>
      </c>
      <c r="F1384" s="500" t="s">
        <v>1677</v>
      </c>
      <c r="G1384" s="497" t="s">
        <v>1690</v>
      </c>
      <c r="H1384" s="602" t="str">
        <f>IFERROR(VLOOKUP(E:E,'Item Data Support Sheet'!A:O,2,0),"")</f>
        <v>NIPPLE S TYPE LL SIZE INJECTION</v>
      </c>
      <c r="I1384" s="501" t="s">
        <v>4166</v>
      </c>
      <c r="J1384" s="501" t="s">
        <v>2808</v>
      </c>
      <c r="K1384" s="499">
        <v>8</v>
      </c>
      <c r="L1384" s="499">
        <v>3611</v>
      </c>
      <c r="M1384" s="366">
        <v>451.375</v>
      </c>
      <c r="N1384" s="367">
        <f t="shared" si="371"/>
        <v>3990</v>
      </c>
      <c r="O1384" s="61">
        <v>3900</v>
      </c>
      <c r="P1384" s="368">
        <v>0</v>
      </c>
      <c r="Q1384" s="368">
        <v>0</v>
      </c>
      <c r="R1384" s="494">
        <v>0</v>
      </c>
      <c r="S1384" s="493">
        <v>0</v>
      </c>
      <c r="T1384" s="494">
        <v>74</v>
      </c>
      <c r="U1384" s="493">
        <v>16</v>
      </c>
      <c r="V1384" s="502">
        <v>1</v>
      </c>
      <c r="W1384" s="453">
        <f t="shared" si="373"/>
        <v>3900</v>
      </c>
      <c r="X1384" s="748">
        <f t="shared" si="374"/>
        <v>1.0800332317917474</v>
      </c>
      <c r="Y1384" s="451" t="str">
        <f>IFERROR(VLOOKUP(E:E,'Item Data Support Sheet'!A:J,6,0),0)</f>
        <v>FO148</v>
      </c>
      <c r="Z1384" s="428">
        <f>IFERROR(VLOOKUP(E:E,'Item Data Support Sheet'!A:O,4,0),0)</f>
        <v>6.8</v>
      </c>
      <c r="AA1384" s="428">
        <f t="shared" si="375"/>
        <v>27.131999999999998</v>
      </c>
      <c r="AB1384" s="429">
        <f t="shared" si="376"/>
        <v>0.97744360902255645</v>
      </c>
      <c r="AC1384" s="424">
        <f t="shared" si="377"/>
        <v>1.8621036738802214E-2</v>
      </c>
      <c r="AD1384" s="371">
        <f t="shared" si="378"/>
        <v>0</v>
      </c>
      <c r="AE1384" s="748">
        <f t="shared" si="379"/>
        <v>0.98145363408521302</v>
      </c>
      <c r="AF1384" s="417">
        <f t="shared" si="380"/>
        <v>0</v>
      </c>
      <c r="AG1384" s="416">
        <f t="shared" si="381"/>
        <v>8</v>
      </c>
      <c r="AH1384" s="372">
        <f t="shared" si="382"/>
        <v>1</v>
      </c>
      <c r="AI1384" s="373">
        <f t="shared" si="383"/>
        <v>487.5</v>
      </c>
      <c r="AJ1384" s="418">
        <f>VLOOKUP(D1384,'Standard Cycle time'!C:D,2,0)</f>
        <v>5.25</v>
      </c>
      <c r="AK1384" s="418">
        <f t="shared" si="384"/>
        <v>7.384615384615385</v>
      </c>
      <c r="AL1384" s="374">
        <f t="shared" si="385"/>
        <v>0.7109375</v>
      </c>
      <c r="AM1384" s="372">
        <f t="shared" si="386"/>
        <v>0.69775219298245617</v>
      </c>
      <c r="AN1384" s="799">
        <v>0.69775219298245617</v>
      </c>
      <c r="AO1384" s="448"/>
      <c r="AP1384" s="440">
        <v>0</v>
      </c>
      <c r="AQ1384" s="440">
        <v>0</v>
      </c>
      <c r="AR1384" s="440">
        <v>0</v>
      </c>
      <c r="AS1384" s="440">
        <v>0</v>
      </c>
      <c r="AT1384" s="440">
        <v>0</v>
      </c>
      <c r="AU1384" s="440">
        <v>0</v>
      </c>
      <c r="AV1384" s="440">
        <v>0</v>
      </c>
      <c r="AW1384" s="440">
        <v>0</v>
      </c>
      <c r="AX1384" s="440">
        <v>0</v>
      </c>
      <c r="AY1384" s="440">
        <v>0</v>
      </c>
      <c r="AZ1384" s="440">
        <v>0</v>
      </c>
      <c r="BA1384" s="440">
        <v>0</v>
      </c>
      <c r="BB1384" s="440">
        <v>0</v>
      </c>
      <c r="BC1384" s="440">
        <v>0</v>
      </c>
      <c r="BD1384" s="440">
        <v>0</v>
      </c>
      <c r="BE1384" s="440">
        <v>0</v>
      </c>
      <c r="BF1384" s="440">
        <v>0</v>
      </c>
      <c r="BG1384" s="440">
        <v>0</v>
      </c>
      <c r="BH1384" s="440">
        <v>0</v>
      </c>
      <c r="BI1384" s="440">
        <v>0</v>
      </c>
      <c r="BJ1384" s="440">
        <v>0</v>
      </c>
      <c r="BK1384" s="440">
        <v>0</v>
      </c>
      <c r="BL1384" s="440">
        <v>0</v>
      </c>
      <c r="BM1384" s="440">
        <v>0</v>
      </c>
      <c r="BN1384" s="440">
        <v>0</v>
      </c>
      <c r="BO1384" s="440">
        <v>0</v>
      </c>
      <c r="BP1384" s="440">
        <v>0</v>
      </c>
      <c r="BQ1384" s="440">
        <v>0</v>
      </c>
      <c r="BR1384" s="415">
        <v>0</v>
      </c>
      <c r="BS1384" s="415">
        <v>0</v>
      </c>
      <c r="BT1384" s="935"/>
      <c r="BU1384" s="935"/>
      <c r="BV1384" s="935"/>
      <c r="BW1384" s="935"/>
      <c r="BX1384" s="935"/>
      <c r="BY1384" s="935"/>
      <c r="BZ1384" s="935"/>
      <c r="CA1384" s="935"/>
      <c r="CB1384" s="935"/>
      <c r="CC1384" s="935"/>
      <c r="CD1384" s="935"/>
      <c r="CE1384" s="935"/>
      <c r="CF1384" s="935"/>
      <c r="CG1384" s="935"/>
      <c r="CH1384" s="935"/>
      <c r="CI1384" s="935"/>
      <c r="CJ1384" s="935"/>
      <c r="CK1384" s="935"/>
      <c r="CL1384" s="935"/>
      <c r="CM1384" s="935"/>
      <c r="CN1384" s="935"/>
      <c r="CO1384" s="935"/>
      <c r="CP1384" s="935"/>
      <c r="CQ1384" s="935"/>
      <c r="CR1384" s="935"/>
      <c r="CS1384" s="935"/>
      <c r="CT1384" s="935"/>
      <c r="CU1384" s="935"/>
      <c r="CV1384" s="935"/>
    </row>
    <row r="1385" spans="1:100" s="441" customFormat="1">
      <c r="A1385" s="375">
        <f t="shared" si="372"/>
        <v>11</v>
      </c>
      <c r="B1385" s="862">
        <v>44524</v>
      </c>
      <c r="C1385" s="493" t="s">
        <v>2053</v>
      </c>
      <c r="D1385" s="376" t="str">
        <f>IFERROR(VLOOKUP(E:E,'Item Data Support Sheet'!A:O,7,0),"")</f>
        <v>NIPPLE MOLDED</v>
      </c>
      <c r="E1385" s="447" t="s">
        <v>74</v>
      </c>
      <c r="F1385" s="500" t="s">
        <v>1678</v>
      </c>
      <c r="G1385" s="497" t="s">
        <v>1691</v>
      </c>
      <c r="H1385" s="602" t="str">
        <f>IFERROR(VLOOKUP(E:E,'Item Data Support Sheet'!A:O,2,0),"")</f>
        <v>NIPPLE S TYPE L SIZE INJECTION</v>
      </c>
      <c r="I1385" s="501" t="s">
        <v>4166</v>
      </c>
      <c r="J1385" s="501" t="s">
        <v>2808</v>
      </c>
      <c r="K1385" s="499">
        <v>8</v>
      </c>
      <c r="L1385" s="499">
        <v>4815</v>
      </c>
      <c r="M1385" s="366">
        <v>601.875</v>
      </c>
      <c r="N1385" s="367">
        <f t="shared" si="371"/>
        <v>5516</v>
      </c>
      <c r="O1385" s="61">
        <v>5400</v>
      </c>
      <c r="P1385" s="368">
        <v>0</v>
      </c>
      <c r="Q1385" s="368">
        <v>30</v>
      </c>
      <c r="R1385" s="494">
        <v>0</v>
      </c>
      <c r="S1385" s="493">
        <v>0</v>
      </c>
      <c r="T1385" s="494">
        <v>70</v>
      </c>
      <c r="U1385" s="493">
        <v>16</v>
      </c>
      <c r="V1385" s="502">
        <v>1</v>
      </c>
      <c r="W1385" s="453">
        <f t="shared" si="373"/>
        <v>5400</v>
      </c>
      <c r="X1385" s="748">
        <f t="shared" si="374"/>
        <v>1.1214953271028036</v>
      </c>
      <c r="Y1385" s="451" t="str">
        <f>IFERROR(VLOOKUP(E:E,'Item Data Support Sheet'!A:J,6,0),0)</f>
        <v>Silicon</v>
      </c>
      <c r="Z1385" s="428">
        <f>IFERROR(VLOOKUP(E:E,'Item Data Support Sheet'!A:O,4,0),0)</f>
        <v>6.8</v>
      </c>
      <c r="AA1385" s="428">
        <f t="shared" si="375"/>
        <v>37.508800000000001</v>
      </c>
      <c r="AB1385" s="429">
        <f t="shared" si="376"/>
        <v>0.97897026831036982</v>
      </c>
      <c r="AC1385" s="424">
        <f t="shared" si="377"/>
        <v>1.2797074954296161E-2</v>
      </c>
      <c r="AD1385" s="371">
        <f t="shared" si="378"/>
        <v>5.4093040028849624E-3</v>
      </c>
      <c r="AE1385" s="748">
        <f t="shared" si="379"/>
        <v>0.98730964467005078</v>
      </c>
      <c r="AF1385" s="417">
        <f t="shared" si="380"/>
        <v>0</v>
      </c>
      <c r="AG1385" s="416">
        <f t="shared" si="381"/>
        <v>8</v>
      </c>
      <c r="AH1385" s="372">
        <f t="shared" si="382"/>
        <v>1</v>
      </c>
      <c r="AI1385" s="373">
        <f t="shared" si="383"/>
        <v>675</v>
      </c>
      <c r="AJ1385" s="418">
        <f>VLOOKUP(D1385,'Standard Cycle time'!C:D,2,0)</f>
        <v>5.25</v>
      </c>
      <c r="AK1385" s="418">
        <f t="shared" si="384"/>
        <v>5.333333333333333</v>
      </c>
      <c r="AL1385" s="374">
        <f t="shared" si="385"/>
        <v>0.984375</v>
      </c>
      <c r="AM1385" s="372">
        <f t="shared" si="386"/>
        <v>0.97188293147208127</v>
      </c>
      <c r="AN1385" s="799">
        <v>0.97188293147208127</v>
      </c>
      <c r="AO1385" s="448"/>
      <c r="AP1385" s="440">
        <v>0</v>
      </c>
      <c r="AQ1385" s="440">
        <v>0</v>
      </c>
      <c r="AR1385" s="440">
        <v>0</v>
      </c>
      <c r="AS1385" s="440">
        <v>0</v>
      </c>
      <c r="AT1385" s="440">
        <v>0</v>
      </c>
      <c r="AU1385" s="440">
        <v>0</v>
      </c>
      <c r="AV1385" s="440">
        <v>0</v>
      </c>
      <c r="AW1385" s="440">
        <v>0</v>
      </c>
      <c r="AX1385" s="440">
        <v>0</v>
      </c>
      <c r="AY1385" s="440">
        <v>0</v>
      </c>
      <c r="AZ1385" s="440">
        <v>0</v>
      </c>
      <c r="BA1385" s="440">
        <v>0</v>
      </c>
      <c r="BB1385" s="440">
        <v>0</v>
      </c>
      <c r="BC1385" s="440">
        <v>0</v>
      </c>
      <c r="BD1385" s="440">
        <v>0</v>
      </c>
      <c r="BE1385" s="440">
        <v>0</v>
      </c>
      <c r="BF1385" s="440">
        <v>0</v>
      </c>
      <c r="BG1385" s="440">
        <v>0</v>
      </c>
      <c r="BH1385" s="440">
        <v>0</v>
      </c>
      <c r="BI1385" s="440">
        <v>0</v>
      </c>
      <c r="BJ1385" s="440">
        <v>0</v>
      </c>
      <c r="BK1385" s="440">
        <v>0</v>
      </c>
      <c r="BL1385" s="440">
        <v>0</v>
      </c>
      <c r="BM1385" s="440">
        <v>0</v>
      </c>
      <c r="BN1385" s="440">
        <v>0</v>
      </c>
      <c r="BO1385" s="440">
        <v>0</v>
      </c>
      <c r="BP1385" s="440">
        <v>0</v>
      </c>
      <c r="BQ1385" s="440">
        <v>0</v>
      </c>
      <c r="BR1385" s="415">
        <v>0</v>
      </c>
      <c r="BS1385" s="415">
        <v>0</v>
      </c>
      <c r="BT1385" s="935"/>
      <c r="BU1385" s="935"/>
      <c r="BV1385" s="935"/>
      <c r="BW1385" s="935"/>
      <c r="BX1385" s="935"/>
      <c r="BY1385" s="935"/>
      <c r="BZ1385" s="935"/>
      <c r="CA1385" s="935"/>
      <c r="CB1385" s="935"/>
      <c r="CC1385" s="935"/>
      <c r="CD1385" s="935"/>
      <c r="CE1385" s="935"/>
      <c r="CF1385" s="935"/>
      <c r="CG1385" s="935"/>
      <c r="CH1385" s="935"/>
      <c r="CI1385" s="935"/>
      <c r="CJ1385" s="935"/>
      <c r="CK1385" s="935"/>
      <c r="CL1385" s="935"/>
      <c r="CM1385" s="935"/>
      <c r="CN1385" s="935"/>
      <c r="CO1385" s="935"/>
      <c r="CP1385" s="935"/>
      <c r="CQ1385" s="935"/>
      <c r="CR1385" s="935"/>
      <c r="CS1385" s="935"/>
      <c r="CT1385" s="935"/>
      <c r="CU1385" s="935"/>
      <c r="CV1385" s="935"/>
    </row>
    <row r="1386" spans="1:100" s="441" customFormat="1">
      <c r="A1386" s="375">
        <f t="shared" si="372"/>
        <v>11</v>
      </c>
      <c r="B1386" s="862">
        <v>44524</v>
      </c>
      <c r="C1386" s="493" t="s">
        <v>2053</v>
      </c>
      <c r="D1386" s="376" t="str">
        <f>IFERROR(VLOOKUP(E:E,'Item Data Support Sheet'!A:O,7,0),"")</f>
        <v>NIPPLE PUNCH</v>
      </c>
      <c r="E1386" s="447" t="s">
        <v>81</v>
      </c>
      <c r="F1386" s="500"/>
      <c r="G1386" s="497" t="s">
        <v>1692</v>
      </c>
      <c r="H1386" s="602" t="str">
        <f>IFERROR(VLOOKUP(E:E,'Item Data Support Sheet'!A:O,2,0),"")</f>
        <v>NIPPLE S TYPE M SIZE PUNCHED</v>
      </c>
      <c r="I1386" s="501" t="s">
        <v>4167</v>
      </c>
      <c r="J1386" s="501" t="s">
        <v>2808</v>
      </c>
      <c r="K1386" s="499">
        <v>6</v>
      </c>
      <c r="L1386" s="499">
        <v>5000</v>
      </c>
      <c r="M1386" s="366">
        <v>833.33333333333337</v>
      </c>
      <c r="N1386" s="367">
        <f t="shared" si="371"/>
        <v>4820</v>
      </c>
      <c r="O1386" s="61">
        <v>4820</v>
      </c>
      <c r="P1386" s="368">
        <v>0</v>
      </c>
      <c r="Q1386" s="368">
        <v>0</v>
      </c>
      <c r="R1386" s="494">
        <v>0</v>
      </c>
      <c r="S1386" s="493">
        <v>0</v>
      </c>
      <c r="T1386" s="494">
        <v>0</v>
      </c>
      <c r="U1386" s="493">
        <v>0</v>
      </c>
      <c r="V1386" s="502">
        <v>1</v>
      </c>
      <c r="W1386" s="453">
        <f t="shared" si="373"/>
        <v>4820</v>
      </c>
      <c r="X1386" s="748">
        <f t="shared" si="374"/>
        <v>0.96399999999999997</v>
      </c>
      <c r="Y1386" s="451" t="str">
        <f>IFERROR(VLOOKUP(E:E,'Item Data Support Sheet'!A:J,6,0),0)</f>
        <v>FO016</v>
      </c>
      <c r="Z1386" s="428">
        <f>IFERROR(VLOOKUP(E:E,'Item Data Support Sheet'!A:O,4,0),0)</f>
        <v>0</v>
      </c>
      <c r="AA1386" s="428">
        <f t="shared" si="375"/>
        <v>0</v>
      </c>
      <c r="AB1386" s="429" t="str">
        <f t="shared" si="376"/>
        <v xml:space="preserve"> </v>
      </c>
      <c r="AC1386" s="424">
        <f t="shared" si="377"/>
        <v>0</v>
      </c>
      <c r="AD1386" s="371">
        <f t="shared" si="378"/>
        <v>0</v>
      </c>
      <c r="AE1386" s="748">
        <f t="shared" si="379"/>
        <v>1</v>
      </c>
      <c r="AF1386" s="417">
        <f t="shared" si="380"/>
        <v>0.66666666666666663</v>
      </c>
      <c r="AG1386" s="416">
        <f t="shared" si="381"/>
        <v>5.333333333333333</v>
      </c>
      <c r="AH1386" s="372">
        <f t="shared" si="382"/>
        <v>0.88888888888888884</v>
      </c>
      <c r="AI1386" s="373">
        <f t="shared" si="383"/>
        <v>803.33333333333337</v>
      </c>
      <c r="AJ1386" s="418">
        <f>VLOOKUP(D1386,'Standard Cycle time'!C:D,2,0)</f>
        <v>3.5</v>
      </c>
      <c r="AK1386" s="418">
        <f t="shared" si="384"/>
        <v>3.9834024896265561</v>
      </c>
      <c r="AL1386" s="374">
        <f t="shared" si="385"/>
        <v>0.87864583333333335</v>
      </c>
      <c r="AM1386" s="372">
        <f t="shared" si="386"/>
        <v>0.78101851851851845</v>
      </c>
      <c r="AN1386" s="799">
        <v>0.78101851851851845</v>
      </c>
      <c r="AO1386" s="448"/>
      <c r="AP1386" s="440">
        <v>40</v>
      </c>
      <c r="AQ1386" s="440">
        <v>0</v>
      </c>
      <c r="AR1386" s="440">
        <v>0</v>
      </c>
      <c r="AS1386" s="440">
        <v>0</v>
      </c>
      <c r="AT1386" s="440">
        <v>0</v>
      </c>
      <c r="AU1386" s="440">
        <v>0</v>
      </c>
      <c r="AV1386" s="440">
        <v>0</v>
      </c>
      <c r="AW1386" s="440">
        <v>0</v>
      </c>
      <c r="AX1386" s="440">
        <v>0</v>
      </c>
      <c r="AY1386" s="440">
        <v>0</v>
      </c>
      <c r="AZ1386" s="440">
        <v>0</v>
      </c>
      <c r="BA1386" s="440">
        <v>0</v>
      </c>
      <c r="BB1386" s="440">
        <v>0</v>
      </c>
      <c r="BC1386" s="440">
        <v>0</v>
      </c>
      <c r="BD1386" s="440">
        <v>0</v>
      </c>
      <c r="BE1386" s="440">
        <v>0</v>
      </c>
      <c r="BF1386" s="440">
        <v>0</v>
      </c>
      <c r="BG1386" s="440">
        <v>0</v>
      </c>
      <c r="BH1386" s="440">
        <v>0</v>
      </c>
      <c r="BI1386" s="440">
        <v>0</v>
      </c>
      <c r="BJ1386" s="440">
        <v>0</v>
      </c>
      <c r="BK1386" s="440">
        <v>0</v>
      </c>
      <c r="BL1386" s="440">
        <v>0</v>
      </c>
      <c r="BM1386" s="440">
        <v>0</v>
      </c>
      <c r="BN1386" s="440">
        <v>0</v>
      </c>
      <c r="BO1386" s="440">
        <v>0</v>
      </c>
      <c r="BP1386" s="440">
        <v>0</v>
      </c>
      <c r="BQ1386" s="440">
        <v>0</v>
      </c>
      <c r="BR1386" s="415">
        <v>0.66666666666666663</v>
      </c>
      <c r="BS1386" s="415">
        <v>0.66666666666666663</v>
      </c>
      <c r="BT1386" s="935"/>
      <c r="BU1386" s="935"/>
      <c r="BV1386" s="935"/>
      <c r="BW1386" s="935"/>
      <c r="BX1386" s="935"/>
      <c r="BY1386" s="935"/>
      <c r="BZ1386" s="935"/>
      <c r="CA1386" s="935"/>
      <c r="CB1386" s="935"/>
      <c r="CC1386" s="935"/>
      <c r="CD1386" s="935"/>
      <c r="CE1386" s="935"/>
      <c r="CF1386" s="935"/>
      <c r="CG1386" s="935"/>
      <c r="CH1386" s="935"/>
      <c r="CI1386" s="935"/>
      <c r="CJ1386" s="935"/>
      <c r="CK1386" s="935"/>
      <c r="CL1386" s="935"/>
      <c r="CM1386" s="935"/>
      <c r="CN1386" s="935"/>
      <c r="CO1386" s="935"/>
      <c r="CP1386" s="935"/>
      <c r="CQ1386" s="935"/>
      <c r="CR1386" s="935"/>
      <c r="CS1386" s="935"/>
      <c r="CT1386" s="935"/>
      <c r="CU1386" s="935"/>
      <c r="CV1386" s="935"/>
    </row>
    <row r="1387" spans="1:100" s="441" customFormat="1">
      <c r="A1387" s="375">
        <f t="shared" si="372"/>
        <v>11</v>
      </c>
      <c r="B1387" s="862">
        <v>44524</v>
      </c>
      <c r="C1387" s="493" t="s">
        <v>2053</v>
      </c>
      <c r="D1387" s="376" t="str">
        <f>IFERROR(VLOOKUP(E:E,'Item Data Support Sheet'!A:O,7,0),"")</f>
        <v>NIPPLE PUNCH</v>
      </c>
      <c r="E1387" s="447" t="s">
        <v>82</v>
      </c>
      <c r="F1387" s="500"/>
      <c r="G1387" s="497" t="s">
        <v>1692</v>
      </c>
      <c r="H1387" s="602" t="str">
        <f>IFERROR(VLOOKUP(E:E,'Item Data Support Sheet'!A:O,2,0),"")</f>
        <v>NIPPLE S TYPE L SIZE PUNCHED</v>
      </c>
      <c r="I1387" s="501" t="s">
        <v>4168</v>
      </c>
      <c r="J1387" s="501" t="s">
        <v>2808</v>
      </c>
      <c r="K1387" s="499">
        <v>2</v>
      </c>
      <c r="L1387" s="499">
        <v>2000</v>
      </c>
      <c r="M1387" s="366">
        <v>1000</v>
      </c>
      <c r="N1387" s="367">
        <f t="shared" si="371"/>
        <v>2000</v>
      </c>
      <c r="O1387" s="61">
        <v>2000</v>
      </c>
      <c r="P1387" s="368">
        <v>0</v>
      </c>
      <c r="Q1387" s="368">
        <v>0</v>
      </c>
      <c r="R1387" s="494">
        <v>0</v>
      </c>
      <c r="S1387" s="493">
        <v>0</v>
      </c>
      <c r="T1387" s="494">
        <v>0</v>
      </c>
      <c r="U1387" s="493">
        <v>0</v>
      </c>
      <c r="V1387" s="502">
        <v>1</v>
      </c>
      <c r="W1387" s="453">
        <f t="shared" si="373"/>
        <v>2000</v>
      </c>
      <c r="X1387" s="748">
        <f t="shared" si="374"/>
        <v>1</v>
      </c>
      <c r="Y1387" s="451" t="str">
        <f>IFERROR(VLOOKUP(E:E,'Item Data Support Sheet'!A:J,6,0),0)</f>
        <v>FO017</v>
      </c>
      <c r="Z1387" s="428">
        <f>IFERROR(VLOOKUP(E:E,'Item Data Support Sheet'!A:O,4,0),0)</f>
        <v>0</v>
      </c>
      <c r="AA1387" s="428">
        <f t="shared" si="375"/>
        <v>0</v>
      </c>
      <c r="AB1387" s="429" t="str">
        <f t="shared" si="376"/>
        <v xml:space="preserve"> </v>
      </c>
      <c r="AC1387" s="424">
        <f t="shared" si="377"/>
        <v>0</v>
      </c>
      <c r="AD1387" s="371">
        <f t="shared" si="378"/>
        <v>0</v>
      </c>
      <c r="AE1387" s="748">
        <f t="shared" si="379"/>
        <v>1</v>
      </c>
      <c r="AF1387" s="417">
        <f t="shared" si="380"/>
        <v>0.33333333333333331</v>
      </c>
      <c r="AG1387" s="416">
        <f t="shared" si="381"/>
        <v>1.6666666666666667</v>
      </c>
      <c r="AH1387" s="372">
        <f t="shared" si="382"/>
        <v>0.83333333333333337</v>
      </c>
      <c r="AI1387" s="373">
        <f t="shared" si="383"/>
        <v>1000</v>
      </c>
      <c r="AJ1387" s="418">
        <f>VLOOKUP(D1387,'Standard Cycle time'!C:D,2,0)</f>
        <v>3.5</v>
      </c>
      <c r="AK1387" s="418">
        <f t="shared" si="384"/>
        <v>3</v>
      </c>
      <c r="AL1387" s="374">
        <f t="shared" si="385"/>
        <v>1.1666666666666667</v>
      </c>
      <c r="AM1387" s="372">
        <f t="shared" si="386"/>
        <v>0.97222222222222232</v>
      </c>
      <c r="AN1387" s="799">
        <v>0.97222222222222232</v>
      </c>
      <c r="AO1387" s="448" t="s">
        <v>4169</v>
      </c>
      <c r="AP1387" s="440">
        <v>0</v>
      </c>
      <c r="AQ1387" s="440">
        <v>20</v>
      </c>
      <c r="AR1387" s="440">
        <v>0</v>
      </c>
      <c r="AS1387" s="440">
        <v>0</v>
      </c>
      <c r="AT1387" s="440">
        <v>0</v>
      </c>
      <c r="AU1387" s="440">
        <v>0</v>
      </c>
      <c r="AV1387" s="440">
        <v>0</v>
      </c>
      <c r="AW1387" s="440">
        <v>0</v>
      </c>
      <c r="AX1387" s="440">
        <v>0</v>
      </c>
      <c r="AY1387" s="440">
        <v>0</v>
      </c>
      <c r="AZ1387" s="440">
        <v>0</v>
      </c>
      <c r="BA1387" s="440">
        <v>0</v>
      </c>
      <c r="BB1387" s="440">
        <v>0</v>
      </c>
      <c r="BC1387" s="440">
        <v>0</v>
      </c>
      <c r="BD1387" s="440">
        <v>0</v>
      </c>
      <c r="BE1387" s="440">
        <v>0</v>
      </c>
      <c r="BF1387" s="440">
        <v>0</v>
      </c>
      <c r="BG1387" s="440">
        <v>0</v>
      </c>
      <c r="BH1387" s="440">
        <v>0</v>
      </c>
      <c r="BI1387" s="440">
        <v>0</v>
      </c>
      <c r="BJ1387" s="440">
        <v>0</v>
      </c>
      <c r="BK1387" s="440">
        <v>0</v>
      </c>
      <c r="BL1387" s="440">
        <v>0</v>
      </c>
      <c r="BM1387" s="440">
        <v>0</v>
      </c>
      <c r="BN1387" s="440">
        <v>0</v>
      </c>
      <c r="BO1387" s="440">
        <v>0</v>
      </c>
      <c r="BP1387" s="440">
        <v>0</v>
      </c>
      <c r="BQ1387" s="440">
        <v>0</v>
      </c>
      <c r="BR1387" s="415">
        <v>0.33333333333333331</v>
      </c>
      <c r="BS1387" s="415">
        <v>0.33333333333333331</v>
      </c>
      <c r="BT1387" s="935"/>
      <c r="BU1387" s="935"/>
      <c r="BV1387" s="935"/>
      <c r="BW1387" s="935"/>
      <c r="BX1387" s="935"/>
      <c r="BY1387" s="935"/>
      <c r="BZ1387" s="935"/>
      <c r="CA1387" s="935"/>
      <c r="CB1387" s="935"/>
      <c r="CC1387" s="935"/>
      <c r="CD1387" s="935"/>
      <c r="CE1387" s="935"/>
      <c r="CF1387" s="935"/>
      <c r="CG1387" s="935"/>
      <c r="CH1387" s="935"/>
      <c r="CI1387" s="935"/>
      <c r="CJ1387" s="935"/>
      <c r="CK1387" s="935"/>
      <c r="CL1387" s="935"/>
      <c r="CM1387" s="935"/>
      <c r="CN1387" s="935"/>
      <c r="CO1387" s="935"/>
      <c r="CP1387" s="935"/>
      <c r="CQ1387" s="935"/>
      <c r="CR1387" s="935"/>
      <c r="CS1387" s="935"/>
      <c r="CT1387" s="935"/>
      <c r="CU1387" s="935"/>
      <c r="CV1387" s="935"/>
    </row>
    <row r="1388" spans="1:100" s="441" customFormat="1">
      <c r="A1388" s="375">
        <f t="shared" si="372"/>
        <v>11</v>
      </c>
      <c r="B1388" s="862">
        <v>44524</v>
      </c>
      <c r="C1388" s="493" t="s">
        <v>2053</v>
      </c>
      <c r="D1388" s="376" t="str">
        <f>IFERROR(VLOOKUP(E:E,'Item Data Support Sheet'!A:O,7,0),"")</f>
        <v>NIPPLE LASER MARKING</v>
      </c>
      <c r="E1388" s="447" t="s">
        <v>1815</v>
      </c>
      <c r="F1388" s="500"/>
      <c r="G1388" s="497" t="s">
        <v>1812</v>
      </c>
      <c r="H1388" s="602" t="str">
        <f>IFERROR(VLOOKUP(E:E,'Item Data Support Sheet'!A:O,2,0),"")</f>
        <v>NIPPLE S TYPE M SIZE PUNCHED LASER MARKED</v>
      </c>
      <c r="I1388" s="501" t="s">
        <v>4158</v>
      </c>
      <c r="J1388" s="501" t="s">
        <v>2808</v>
      </c>
      <c r="K1388" s="499">
        <v>6</v>
      </c>
      <c r="L1388" s="499">
        <v>5000</v>
      </c>
      <c r="M1388" s="366">
        <v>833.33333333333337</v>
      </c>
      <c r="N1388" s="367">
        <f t="shared" si="371"/>
        <v>4820</v>
      </c>
      <c r="O1388" s="61">
        <v>4820</v>
      </c>
      <c r="P1388" s="368">
        <v>0</v>
      </c>
      <c r="Q1388" s="368">
        <v>0</v>
      </c>
      <c r="R1388" s="494">
        <v>0</v>
      </c>
      <c r="S1388" s="493">
        <v>0</v>
      </c>
      <c r="T1388" s="494">
        <v>0</v>
      </c>
      <c r="U1388" s="493">
        <v>0</v>
      </c>
      <c r="V1388" s="502">
        <v>1</v>
      </c>
      <c r="W1388" s="453">
        <f t="shared" si="373"/>
        <v>4820</v>
      </c>
      <c r="X1388" s="748">
        <f t="shared" si="374"/>
        <v>0.96399999999999997</v>
      </c>
      <c r="Y1388" s="451" t="str">
        <f>IFERROR(VLOOKUP(E:E,'Item Data Support Sheet'!A:J,6,0),0)</f>
        <v>FO020</v>
      </c>
      <c r="Z1388" s="428">
        <f>IFERROR(VLOOKUP(E:E,'Item Data Support Sheet'!A:O,4,0),0)</f>
        <v>0</v>
      </c>
      <c r="AA1388" s="428">
        <f t="shared" si="375"/>
        <v>0</v>
      </c>
      <c r="AB1388" s="429" t="str">
        <f t="shared" si="376"/>
        <v xml:space="preserve"> </v>
      </c>
      <c r="AC1388" s="424">
        <f t="shared" si="377"/>
        <v>0</v>
      </c>
      <c r="AD1388" s="371">
        <f t="shared" si="378"/>
        <v>0</v>
      </c>
      <c r="AE1388" s="748">
        <f t="shared" si="379"/>
        <v>1</v>
      </c>
      <c r="AF1388" s="417">
        <f t="shared" si="380"/>
        <v>0</v>
      </c>
      <c r="AG1388" s="416">
        <f t="shared" si="381"/>
        <v>6</v>
      </c>
      <c r="AH1388" s="372">
        <f t="shared" si="382"/>
        <v>1</v>
      </c>
      <c r="AI1388" s="373">
        <f t="shared" si="383"/>
        <v>803.33333333333337</v>
      </c>
      <c r="AJ1388" s="418">
        <f>VLOOKUP(D1388,'Standard Cycle time'!C:D,2,0)</f>
        <v>3.5</v>
      </c>
      <c r="AK1388" s="418">
        <f t="shared" si="384"/>
        <v>4.4813278008298756</v>
      </c>
      <c r="AL1388" s="374">
        <f t="shared" si="385"/>
        <v>0.78101851851851856</v>
      </c>
      <c r="AM1388" s="372">
        <f t="shared" si="386"/>
        <v>0.78101851851851856</v>
      </c>
      <c r="AN1388" s="799">
        <v>0.78101851851851856</v>
      </c>
      <c r="AO1388" s="448"/>
      <c r="AP1388" s="440">
        <v>0</v>
      </c>
      <c r="AQ1388" s="440">
        <v>0</v>
      </c>
      <c r="AR1388" s="440">
        <v>0</v>
      </c>
      <c r="AS1388" s="440">
        <v>0</v>
      </c>
      <c r="AT1388" s="440">
        <v>0</v>
      </c>
      <c r="AU1388" s="440">
        <v>0</v>
      </c>
      <c r="AV1388" s="440">
        <v>0</v>
      </c>
      <c r="AW1388" s="440">
        <v>0</v>
      </c>
      <c r="AX1388" s="440">
        <v>0</v>
      </c>
      <c r="AY1388" s="440">
        <v>0</v>
      </c>
      <c r="AZ1388" s="440">
        <v>0</v>
      </c>
      <c r="BA1388" s="440">
        <v>0</v>
      </c>
      <c r="BB1388" s="440">
        <v>0</v>
      </c>
      <c r="BC1388" s="440">
        <v>0</v>
      </c>
      <c r="BD1388" s="440">
        <v>0</v>
      </c>
      <c r="BE1388" s="440">
        <v>0</v>
      </c>
      <c r="BF1388" s="440">
        <v>0</v>
      </c>
      <c r="BG1388" s="440">
        <v>0</v>
      </c>
      <c r="BH1388" s="440">
        <v>0</v>
      </c>
      <c r="BI1388" s="440">
        <v>0</v>
      </c>
      <c r="BJ1388" s="440">
        <v>0</v>
      </c>
      <c r="BK1388" s="440">
        <v>0</v>
      </c>
      <c r="BL1388" s="440">
        <v>0</v>
      </c>
      <c r="BM1388" s="440">
        <v>0</v>
      </c>
      <c r="BN1388" s="440">
        <v>0</v>
      </c>
      <c r="BO1388" s="440">
        <v>0</v>
      </c>
      <c r="BP1388" s="440">
        <v>0</v>
      </c>
      <c r="BQ1388" s="440">
        <v>0</v>
      </c>
      <c r="BR1388" s="415">
        <v>0</v>
      </c>
      <c r="BS1388" s="415">
        <v>0</v>
      </c>
      <c r="BT1388" s="935"/>
      <c r="BU1388" s="935"/>
      <c r="BV1388" s="935"/>
      <c r="BW1388" s="935"/>
      <c r="BX1388" s="935"/>
      <c r="BY1388" s="935"/>
      <c r="BZ1388" s="935"/>
      <c r="CA1388" s="935"/>
      <c r="CB1388" s="935"/>
      <c r="CC1388" s="935"/>
      <c r="CD1388" s="935"/>
      <c r="CE1388" s="935"/>
      <c r="CF1388" s="935"/>
      <c r="CG1388" s="935"/>
      <c r="CH1388" s="935"/>
      <c r="CI1388" s="935"/>
      <c r="CJ1388" s="935"/>
      <c r="CK1388" s="935"/>
      <c r="CL1388" s="935"/>
      <c r="CM1388" s="935"/>
      <c r="CN1388" s="935"/>
      <c r="CO1388" s="935"/>
      <c r="CP1388" s="935"/>
      <c r="CQ1388" s="935"/>
      <c r="CR1388" s="935"/>
      <c r="CS1388" s="935"/>
      <c r="CT1388" s="935"/>
      <c r="CU1388" s="935"/>
      <c r="CV1388" s="935"/>
    </row>
    <row r="1389" spans="1:100" s="441" customFormat="1">
      <c r="A1389" s="375">
        <f t="shared" si="372"/>
        <v>11</v>
      </c>
      <c r="B1389" s="862">
        <v>44524</v>
      </c>
      <c r="C1389" s="493" t="s">
        <v>2053</v>
      </c>
      <c r="D1389" s="376" t="str">
        <f>IFERROR(VLOOKUP(E:E,'Item Data Support Sheet'!A:O,7,0),"")</f>
        <v>NIPPLE LASER MARKING</v>
      </c>
      <c r="E1389" s="447" t="s">
        <v>1816</v>
      </c>
      <c r="F1389" s="500"/>
      <c r="G1389" s="497" t="s">
        <v>1812</v>
      </c>
      <c r="H1389" s="602" t="str">
        <f>IFERROR(VLOOKUP(E:E,'Item Data Support Sheet'!A:O,2,0),"")</f>
        <v>NIPPLE S TYPE L SIZE PUNCHED LASER MARKED</v>
      </c>
      <c r="I1389" s="501" t="s">
        <v>4157</v>
      </c>
      <c r="J1389" s="501" t="s">
        <v>2808</v>
      </c>
      <c r="K1389" s="499">
        <v>2</v>
      </c>
      <c r="L1389" s="499">
        <v>2000</v>
      </c>
      <c r="M1389" s="366">
        <v>1000</v>
      </c>
      <c r="N1389" s="367">
        <f t="shared" si="371"/>
        <v>1000</v>
      </c>
      <c r="O1389" s="61">
        <v>1000</v>
      </c>
      <c r="P1389" s="368">
        <v>0</v>
      </c>
      <c r="Q1389" s="368">
        <v>0</v>
      </c>
      <c r="R1389" s="494">
        <v>0</v>
      </c>
      <c r="S1389" s="493">
        <v>0</v>
      </c>
      <c r="T1389" s="494">
        <v>0</v>
      </c>
      <c r="U1389" s="493">
        <v>0</v>
      </c>
      <c r="V1389" s="502">
        <v>1</v>
      </c>
      <c r="W1389" s="453">
        <f t="shared" si="373"/>
        <v>1000</v>
      </c>
      <c r="X1389" s="748">
        <f t="shared" si="374"/>
        <v>0.5</v>
      </c>
      <c r="Y1389" s="451" t="str">
        <f>IFERROR(VLOOKUP(E:E,'Item Data Support Sheet'!A:J,6,0),0)</f>
        <v>FO021</v>
      </c>
      <c r="Z1389" s="428">
        <f>IFERROR(VLOOKUP(E:E,'Item Data Support Sheet'!A:O,4,0),0)</f>
        <v>0</v>
      </c>
      <c r="AA1389" s="428">
        <f t="shared" si="375"/>
        <v>0</v>
      </c>
      <c r="AB1389" s="429" t="str">
        <f t="shared" si="376"/>
        <v xml:space="preserve"> </v>
      </c>
      <c r="AC1389" s="424">
        <f t="shared" si="377"/>
        <v>0</v>
      </c>
      <c r="AD1389" s="371">
        <f t="shared" si="378"/>
        <v>0</v>
      </c>
      <c r="AE1389" s="748">
        <f t="shared" si="379"/>
        <v>1</v>
      </c>
      <c r="AF1389" s="417">
        <f t="shared" si="380"/>
        <v>0.66666666666666663</v>
      </c>
      <c r="AG1389" s="416">
        <f t="shared" si="381"/>
        <v>1.3333333333333335</v>
      </c>
      <c r="AH1389" s="372">
        <f t="shared" si="382"/>
        <v>0.66666666666666674</v>
      </c>
      <c r="AI1389" s="373">
        <f t="shared" si="383"/>
        <v>500</v>
      </c>
      <c r="AJ1389" s="418">
        <f>VLOOKUP(D1389,'Standard Cycle time'!C:D,2,0)</f>
        <v>3.5</v>
      </c>
      <c r="AK1389" s="418">
        <f t="shared" si="384"/>
        <v>4.8000000000000007</v>
      </c>
      <c r="AL1389" s="374">
        <f t="shared" si="385"/>
        <v>0.72916666666666652</v>
      </c>
      <c r="AM1389" s="372">
        <f t="shared" si="386"/>
        <v>0.48611111111111105</v>
      </c>
      <c r="AN1389" s="799">
        <v>0.48611111111111105</v>
      </c>
      <c r="AO1389" s="448"/>
      <c r="AP1389" s="440">
        <v>40</v>
      </c>
      <c r="AQ1389" s="440">
        <v>0</v>
      </c>
      <c r="AR1389" s="440">
        <v>0</v>
      </c>
      <c r="AS1389" s="440">
        <v>0</v>
      </c>
      <c r="AT1389" s="440">
        <v>0</v>
      </c>
      <c r="AU1389" s="440">
        <v>0</v>
      </c>
      <c r="AV1389" s="440">
        <v>0</v>
      </c>
      <c r="AW1389" s="440">
        <v>0</v>
      </c>
      <c r="AX1389" s="440">
        <v>0</v>
      </c>
      <c r="AY1389" s="440">
        <v>0</v>
      </c>
      <c r="AZ1389" s="440">
        <v>0</v>
      </c>
      <c r="BA1389" s="440">
        <v>0</v>
      </c>
      <c r="BB1389" s="440">
        <v>0</v>
      </c>
      <c r="BC1389" s="440">
        <v>0</v>
      </c>
      <c r="BD1389" s="440">
        <v>0</v>
      </c>
      <c r="BE1389" s="440">
        <v>0</v>
      </c>
      <c r="BF1389" s="440">
        <v>0</v>
      </c>
      <c r="BG1389" s="440">
        <v>0</v>
      </c>
      <c r="BH1389" s="440">
        <v>0</v>
      </c>
      <c r="BI1389" s="440">
        <v>0</v>
      </c>
      <c r="BJ1389" s="440">
        <v>0</v>
      </c>
      <c r="BK1389" s="440">
        <v>0</v>
      </c>
      <c r="BL1389" s="440">
        <v>0</v>
      </c>
      <c r="BM1389" s="440">
        <v>0</v>
      </c>
      <c r="BN1389" s="440">
        <v>0</v>
      </c>
      <c r="BO1389" s="440">
        <v>0</v>
      </c>
      <c r="BP1389" s="440">
        <v>0</v>
      </c>
      <c r="BQ1389" s="440">
        <v>0</v>
      </c>
      <c r="BR1389" s="415">
        <v>0.66666666666666663</v>
      </c>
      <c r="BS1389" s="415">
        <v>0.66666666666666663</v>
      </c>
      <c r="BT1389" s="935"/>
      <c r="BU1389" s="935"/>
      <c r="BV1389" s="935"/>
      <c r="BW1389" s="935"/>
      <c r="BX1389" s="935"/>
      <c r="BY1389" s="935"/>
      <c r="BZ1389" s="935"/>
      <c r="CA1389" s="935"/>
      <c r="CB1389" s="935"/>
      <c r="CC1389" s="935"/>
      <c r="CD1389" s="935"/>
      <c r="CE1389" s="935"/>
      <c r="CF1389" s="935"/>
      <c r="CG1389" s="935"/>
      <c r="CH1389" s="935"/>
      <c r="CI1389" s="935"/>
      <c r="CJ1389" s="935"/>
      <c r="CK1389" s="935"/>
      <c r="CL1389" s="935"/>
      <c r="CM1389" s="935"/>
      <c r="CN1389" s="935"/>
      <c r="CO1389" s="935"/>
      <c r="CP1389" s="935"/>
      <c r="CQ1389" s="935"/>
      <c r="CR1389" s="935"/>
      <c r="CS1389" s="935"/>
      <c r="CT1389" s="935"/>
      <c r="CU1389" s="935"/>
      <c r="CV1389" s="935"/>
    </row>
    <row r="1390" spans="1:100" s="441" customFormat="1">
      <c r="A1390" s="375">
        <f t="shared" si="372"/>
        <v>11</v>
      </c>
      <c r="B1390" s="862">
        <v>44524</v>
      </c>
      <c r="C1390" s="493" t="s">
        <v>2053</v>
      </c>
      <c r="D1390" s="376" t="str">
        <f>IFERROR(VLOOKUP(E:E,'Item Data Support Sheet'!A:O,7,0),"")</f>
        <v>CAP MOLDED</v>
      </c>
      <c r="E1390" s="447" t="s">
        <v>2106</v>
      </c>
      <c r="F1390" s="500" t="s">
        <v>4140</v>
      </c>
      <c r="G1390" s="497" t="s">
        <v>2729</v>
      </c>
      <c r="H1390" s="602" t="str">
        <f>IFERROR(VLOOKUP(E:E,'Item Data Support Sheet'!A:O,2,0),"")</f>
        <v>CAP S TYPE MOLDED RED</v>
      </c>
      <c r="I1390" s="501" t="s">
        <v>4170</v>
      </c>
      <c r="J1390" s="501" t="s">
        <v>2808</v>
      </c>
      <c r="K1390" s="499">
        <v>8</v>
      </c>
      <c r="L1390" s="499">
        <v>4137</v>
      </c>
      <c r="M1390" s="366">
        <v>517.125</v>
      </c>
      <c r="N1390" s="367">
        <f t="shared" si="371"/>
        <v>4010</v>
      </c>
      <c r="O1390" s="61">
        <v>4000</v>
      </c>
      <c r="P1390" s="368">
        <v>0</v>
      </c>
      <c r="Q1390" s="368">
        <v>0</v>
      </c>
      <c r="R1390" s="494">
        <v>0</v>
      </c>
      <c r="S1390" s="493">
        <v>0</v>
      </c>
      <c r="T1390" s="494">
        <v>2</v>
      </c>
      <c r="U1390" s="493">
        <v>8</v>
      </c>
      <c r="V1390" s="502">
        <v>1</v>
      </c>
      <c r="W1390" s="453">
        <f t="shared" si="373"/>
        <v>4000</v>
      </c>
      <c r="X1390" s="748">
        <f t="shared" si="374"/>
        <v>0.96688421561518012</v>
      </c>
      <c r="Y1390" s="451" t="str">
        <f>IFERROR(VLOOKUP(E:E,'Item Data Support Sheet'!A:J,6,0),0)</f>
        <v>FO153</v>
      </c>
      <c r="Z1390" s="428">
        <f>IFERROR(VLOOKUP(E:E,'Item Data Support Sheet'!A:O,4,0),0)</f>
        <v>7.3</v>
      </c>
      <c r="AA1390" s="428">
        <f t="shared" si="375"/>
        <v>29.273</v>
      </c>
      <c r="AB1390" s="429">
        <f t="shared" si="376"/>
        <v>0.99750623441396502</v>
      </c>
      <c r="AC1390" s="424">
        <f t="shared" si="377"/>
        <v>4.9975012493753122E-4</v>
      </c>
      <c r="AD1390" s="371">
        <f t="shared" si="378"/>
        <v>0</v>
      </c>
      <c r="AE1390" s="748">
        <f t="shared" si="379"/>
        <v>0.99950124688279307</v>
      </c>
      <c r="AF1390" s="417">
        <f t="shared" si="380"/>
        <v>0</v>
      </c>
      <c r="AG1390" s="416">
        <f t="shared" si="381"/>
        <v>8</v>
      </c>
      <c r="AH1390" s="372">
        <f t="shared" si="382"/>
        <v>1</v>
      </c>
      <c r="AI1390" s="373">
        <f t="shared" si="383"/>
        <v>500</v>
      </c>
      <c r="AJ1390" s="418">
        <f>VLOOKUP(D1390,'Standard Cycle time'!C:D,2,0)</f>
        <v>6</v>
      </c>
      <c r="AK1390" s="418">
        <f t="shared" si="384"/>
        <v>7.2</v>
      </c>
      <c r="AL1390" s="374">
        <f t="shared" si="385"/>
        <v>0.83333333333333326</v>
      </c>
      <c r="AM1390" s="372">
        <f t="shared" si="386"/>
        <v>0.83291770573566082</v>
      </c>
      <c r="AN1390" s="799">
        <v>0.83291770573566082</v>
      </c>
      <c r="AO1390" s="448" t="s">
        <v>4171</v>
      </c>
      <c r="AP1390" s="440">
        <v>0</v>
      </c>
      <c r="AQ1390" s="440">
        <v>0</v>
      </c>
      <c r="AR1390" s="440">
        <v>0</v>
      </c>
      <c r="AS1390" s="440">
        <v>0</v>
      </c>
      <c r="AT1390" s="440">
        <v>0</v>
      </c>
      <c r="AU1390" s="440">
        <v>0</v>
      </c>
      <c r="AV1390" s="440">
        <v>0</v>
      </c>
      <c r="AW1390" s="440">
        <v>0</v>
      </c>
      <c r="AX1390" s="440">
        <v>0</v>
      </c>
      <c r="AY1390" s="440">
        <v>0</v>
      </c>
      <c r="AZ1390" s="440">
        <v>0</v>
      </c>
      <c r="BA1390" s="440">
        <v>0</v>
      </c>
      <c r="BB1390" s="440">
        <v>0</v>
      </c>
      <c r="BC1390" s="440">
        <v>0</v>
      </c>
      <c r="BD1390" s="440">
        <v>0</v>
      </c>
      <c r="BE1390" s="440">
        <v>0</v>
      </c>
      <c r="BF1390" s="440">
        <v>0</v>
      </c>
      <c r="BG1390" s="440">
        <v>0</v>
      </c>
      <c r="BH1390" s="440">
        <v>0</v>
      </c>
      <c r="BI1390" s="440">
        <v>0</v>
      </c>
      <c r="BJ1390" s="440">
        <v>0</v>
      </c>
      <c r="BK1390" s="440">
        <v>0</v>
      </c>
      <c r="BL1390" s="440">
        <v>0</v>
      </c>
      <c r="BM1390" s="440">
        <v>0</v>
      </c>
      <c r="BN1390" s="440">
        <v>0</v>
      </c>
      <c r="BO1390" s="440">
        <v>0</v>
      </c>
      <c r="BP1390" s="440">
        <v>0</v>
      </c>
      <c r="BQ1390" s="440">
        <v>0</v>
      </c>
      <c r="BR1390" s="415">
        <v>0</v>
      </c>
      <c r="BS1390" s="415">
        <v>0</v>
      </c>
      <c r="BT1390" s="935"/>
      <c r="BU1390" s="935"/>
      <c r="BV1390" s="935"/>
      <c r="BW1390" s="935"/>
      <c r="BX1390" s="935"/>
      <c r="BY1390" s="935"/>
      <c r="BZ1390" s="935"/>
      <c r="CA1390" s="935"/>
      <c r="CB1390" s="935"/>
      <c r="CC1390" s="935"/>
      <c r="CD1390" s="935"/>
      <c r="CE1390" s="935"/>
      <c r="CF1390" s="935"/>
      <c r="CG1390" s="935"/>
      <c r="CH1390" s="935"/>
      <c r="CI1390" s="935"/>
      <c r="CJ1390" s="935"/>
      <c r="CK1390" s="935"/>
      <c r="CL1390" s="935"/>
      <c r="CM1390" s="935"/>
      <c r="CN1390" s="935"/>
      <c r="CO1390" s="935"/>
      <c r="CP1390" s="935"/>
      <c r="CQ1390" s="935"/>
      <c r="CR1390" s="935"/>
      <c r="CS1390" s="935"/>
      <c r="CT1390" s="935"/>
      <c r="CU1390" s="935"/>
      <c r="CV1390" s="935"/>
    </row>
    <row r="1391" spans="1:100" s="441" customFormat="1">
      <c r="A1391" s="375">
        <f t="shared" si="372"/>
        <v>11</v>
      </c>
      <c r="B1391" s="862">
        <v>44525</v>
      </c>
      <c r="C1391" s="493" t="s">
        <v>1980</v>
      </c>
      <c r="D1391" s="376" t="str">
        <f>IFERROR(VLOOKUP(E:E,'Item Data Support Sheet'!A:O,7,0),"")</f>
        <v>CAP MOLDED</v>
      </c>
      <c r="E1391" s="447" t="s">
        <v>2106</v>
      </c>
      <c r="F1391" s="500" t="s">
        <v>4140</v>
      </c>
      <c r="G1391" s="497" t="s">
        <v>2729</v>
      </c>
      <c r="H1391" s="602" t="str">
        <f>IFERROR(VLOOKUP(E:E,'Item Data Support Sheet'!A:O,2,0),"")</f>
        <v>CAP S TYPE MOLDED RED</v>
      </c>
      <c r="I1391" s="501" t="s">
        <v>4172</v>
      </c>
      <c r="J1391" s="501" t="s">
        <v>2809</v>
      </c>
      <c r="K1391" s="499">
        <v>8</v>
      </c>
      <c r="L1391" s="499">
        <v>4137</v>
      </c>
      <c r="M1391" s="366">
        <v>517.125</v>
      </c>
      <c r="N1391" s="367">
        <f t="shared" si="371"/>
        <v>4508</v>
      </c>
      <c r="O1391" s="61">
        <v>4500</v>
      </c>
      <c r="P1391" s="368">
        <v>0</v>
      </c>
      <c r="Q1391" s="368">
        <v>0</v>
      </c>
      <c r="R1391" s="494">
        <v>0</v>
      </c>
      <c r="S1391" s="493">
        <v>0</v>
      </c>
      <c r="T1391" s="494">
        <v>0</v>
      </c>
      <c r="U1391" s="493">
        <v>8</v>
      </c>
      <c r="V1391" s="502">
        <v>1</v>
      </c>
      <c r="W1391" s="453">
        <f t="shared" si="373"/>
        <v>4500</v>
      </c>
      <c r="X1391" s="748">
        <f t="shared" si="374"/>
        <v>1.0877447425670776</v>
      </c>
      <c r="Y1391" s="451" t="str">
        <f>IFERROR(VLOOKUP(E:E,'Item Data Support Sheet'!A:J,6,0),0)</f>
        <v>FO153</v>
      </c>
      <c r="Z1391" s="428">
        <f>IFERROR(VLOOKUP(E:E,'Item Data Support Sheet'!A:O,4,0),0)</f>
        <v>7.3</v>
      </c>
      <c r="AA1391" s="428">
        <f t="shared" si="375"/>
        <v>32.9084</v>
      </c>
      <c r="AB1391" s="429">
        <f t="shared" si="376"/>
        <v>0.9982253771073647</v>
      </c>
      <c r="AC1391" s="424">
        <f t="shared" si="377"/>
        <v>0</v>
      </c>
      <c r="AD1391" s="371">
        <f t="shared" si="378"/>
        <v>0</v>
      </c>
      <c r="AE1391" s="748">
        <f t="shared" si="379"/>
        <v>1</v>
      </c>
      <c r="AF1391" s="417">
        <f t="shared" si="380"/>
        <v>0</v>
      </c>
      <c r="AG1391" s="416">
        <f t="shared" si="381"/>
        <v>8</v>
      </c>
      <c r="AH1391" s="372">
        <f t="shared" si="382"/>
        <v>1</v>
      </c>
      <c r="AI1391" s="373">
        <f t="shared" si="383"/>
        <v>562.5</v>
      </c>
      <c r="AJ1391" s="418">
        <f>VLOOKUP(D1391,'Standard Cycle time'!C:D,2,0)</f>
        <v>6</v>
      </c>
      <c r="AK1391" s="418">
        <f t="shared" si="384"/>
        <v>6.4</v>
      </c>
      <c r="AL1391" s="374">
        <f t="shared" si="385"/>
        <v>0.9375</v>
      </c>
      <c r="AM1391" s="372">
        <f t="shared" si="386"/>
        <v>0.9375</v>
      </c>
      <c r="AN1391" s="799">
        <v>0.9375</v>
      </c>
      <c r="AO1391" s="448"/>
      <c r="AP1391" s="440">
        <v>0</v>
      </c>
      <c r="AQ1391" s="440">
        <v>0</v>
      </c>
      <c r="AR1391" s="440">
        <v>0</v>
      </c>
      <c r="AS1391" s="440">
        <v>0</v>
      </c>
      <c r="AT1391" s="440">
        <v>0</v>
      </c>
      <c r="AU1391" s="440">
        <v>0</v>
      </c>
      <c r="AV1391" s="440">
        <v>0</v>
      </c>
      <c r="AW1391" s="440">
        <v>0</v>
      </c>
      <c r="AX1391" s="440">
        <v>0</v>
      </c>
      <c r="AY1391" s="440">
        <v>0</v>
      </c>
      <c r="AZ1391" s="440">
        <v>0</v>
      </c>
      <c r="BA1391" s="440">
        <v>0</v>
      </c>
      <c r="BB1391" s="440">
        <v>0</v>
      </c>
      <c r="BC1391" s="440">
        <v>0</v>
      </c>
      <c r="BD1391" s="440">
        <v>0</v>
      </c>
      <c r="BE1391" s="440">
        <v>0</v>
      </c>
      <c r="BF1391" s="440">
        <v>0</v>
      </c>
      <c r="BG1391" s="440">
        <v>0</v>
      </c>
      <c r="BH1391" s="440">
        <v>0</v>
      </c>
      <c r="BI1391" s="440">
        <v>0</v>
      </c>
      <c r="BJ1391" s="440">
        <v>0</v>
      </c>
      <c r="BK1391" s="440">
        <v>0</v>
      </c>
      <c r="BL1391" s="440">
        <v>0</v>
      </c>
      <c r="BM1391" s="440">
        <v>0</v>
      </c>
      <c r="BN1391" s="440">
        <v>0</v>
      </c>
      <c r="BO1391" s="440">
        <v>0</v>
      </c>
      <c r="BP1391" s="440">
        <v>0</v>
      </c>
      <c r="BQ1391" s="440">
        <v>0</v>
      </c>
      <c r="BR1391" s="415">
        <v>0</v>
      </c>
      <c r="BS1391" s="415">
        <v>0</v>
      </c>
      <c r="BT1391" s="935"/>
      <c r="BU1391" s="935"/>
      <c r="BV1391" s="935"/>
      <c r="BW1391" s="935"/>
      <c r="BX1391" s="935"/>
      <c r="BY1391" s="935"/>
      <c r="BZ1391" s="935"/>
      <c r="CA1391" s="935"/>
      <c r="CB1391" s="935"/>
      <c r="CC1391" s="935"/>
      <c r="CD1391" s="935"/>
      <c r="CE1391" s="935"/>
      <c r="CF1391" s="935"/>
      <c r="CG1391" s="935"/>
      <c r="CH1391" s="935"/>
      <c r="CI1391" s="935"/>
      <c r="CJ1391" s="935"/>
      <c r="CK1391" s="935"/>
      <c r="CL1391" s="935"/>
      <c r="CM1391" s="935"/>
      <c r="CN1391" s="935"/>
      <c r="CO1391" s="935"/>
      <c r="CP1391" s="935"/>
      <c r="CQ1391" s="935"/>
      <c r="CR1391" s="935"/>
      <c r="CS1391" s="935"/>
      <c r="CT1391" s="935"/>
      <c r="CU1391" s="935"/>
      <c r="CV1391" s="935"/>
    </row>
    <row r="1392" spans="1:100" s="441" customFormat="1">
      <c r="A1392" s="375">
        <f t="shared" si="372"/>
        <v>11</v>
      </c>
      <c r="B1392" s="862">
        <v>44525</v>
      </c>
      <c r="C1392" s="493" t="s">
        <v>1980</v>
      </c>
      <c r="D1392" s="376" t="str">
        <f>IFERROR(VLOOKUP(E:E,'Item Data Support Sheet'!A:O,7,0),"")</f>
        <v>NIPPLE MOLDED</v>
      </c>
      <c r="E1392" s="447" t="s">
        <v>2484</v>
      </c>
      <c r="F1392" s="500" t="s">
        <v>1677</v>
      </c>
      <c r="G1392" s="497" t="s">
        <v>1690</v>
      </c>
      <c r="H1392" s="602" t="str">
        <f>IFERROR(VLOOKUP(E:E,'Item Data Support Sheet'!A:O,2,0),"")</f>
        <v>NIPPLE S TYPE LL SIZE INJECTION</v>
      </c>
      <c r="I1392" s="501" t="s">
        <v>4173</v>
      </c>
      <c r="J1392" s="501" t="s">
        <v>2809</v>
      </c>
      <c r="K1392" s="499">
        <v>8</v>
      </c>
      <c r="L1392" s="499">
        <v>3611</v>
      </c>
      <c r="M1392" s="366">
        <v>451.375</v>
      </c>
      <c r="N1392" s="367">
        <f t="shared" si="371"/>
        <v>3160</v>
      </c>
      <c r="O1392" s="61">
        <v>3000</v>
      </c>
      <c r="P1392" s="368">
        <v>0</v>
      </c>
      <c r="Q1392" s="368">
        <v>100</v>
      </c>
      <c r="R1392" s="494">
        <v>0</v>
      </c>
      <c r="S1392" s="493">
        <v>0</v>
      </c>
      <c r="T1392" s="494">
        <v>48</v>
      </c>
      <c r="U1392" s="493">
        <v>12</v>
      </c>
      <c r="V1392" s="502">
        <v>1</v>
      </c>
      <c r="W1392" s="453">
        <f t="shared" si="373"/>
        <v>3000</v>
      </c>
      <c r="X1392" s="748">
        <f t="shared" si="374"/>
        <v>0.83079479368595954</v>
      </c>
      <c r="Y1392" s="451" t="str">
        <f>IFERROR(VLOOKUP(E:E,'Item Data Support Sheet'!A:J,6,0),0)</f>
        <v>FO148</v>
      </c>
      <c r="Z1392" s="428">
        <f>IFERROR(VLOOKUP(E:E,'Item Data Support Sheet'!A:O,4,0),0)</f>
        <v>6.8</v>
      </c>
      <c r="AA1392" s="428">
        <f t="shared" si="375"/>
        <v>21.488</v>
      </c>
      <c r="AB1392" s="429">
        <f t="shared" si="376"/>
        <v>0.94936708860759489</v>
      </c>
      <c r="AC1392" s="424">
        <f t="shared" si="377"/>
        <v>1.5748031496062992E-2</v>
      </c>
      <c r="AD1392" s="371">
        <f t="shared" si="378"/>
        <v>3.0674846625766871E-2</v>
      </c>
      <c r="AE1392" s="748">
        <f t="shared" si="379"/>
        <v>0.98481012658227851</v>
      </c>
      <c r="AF1392" s="417">
        <f t="shared" si="380"/>
        <v>0</v>
      </c>
      <c r="AG1392" s="416">
        <f t="shared" si="381"/>
        <v>8</v>
      </c>
      <c r="AH1392" s="372">
        <f t="shared" si="382"/>
        <v>1</v>
      </c>
      <c r="AI1392" s="373">
        <f t="shared" si="383"/>
        <v>375</v>
      </c>
      <c r="AJ1392" s="418">
        <f>VLOOKUP(D1392,'Standard Cycle time'!C:D,2,0)</f>
        <v>5.25</v>
      </c>
      <c r="AK1392" s="418">
        <f t="shared" si="384"/>
        <v>9.6</v>
      </c>
      <c r="AL1392" s="374">
        <f t="shared" si="385"/>
        <v>0.546875</v>
      </c>
      <c r="AM1392" s="372">
        <f t="shared" si="386"/>
        <v>0.53856803797468356</v>
      </c>
      <c r="AN1392" s="799">
        <v>0.53856803797468356</v>
      </c>
      <c r="AO1392" s="448"/>
      <c r="AP1392" s="440">
        <v>0</v>
      </c>
      <c r="AQ1392" s="440">
        <v>0</v>
      </c>
      <c r="AR1392" s="440">
        <v>0</v>
      </c>
      <c r="AS1392" s="440">
        <v>0</v>
      </c>
      <c r="AT1392" s="440">
        <v>0</v>
      </c>
      <c r="AU1392" s="440">
        <v>0</v>
      </c>
      <c r="AV1392" s="440">
        <v>0</v>
      </c>
      <c r="AW1392" s="440">
        <v>0</v>
      </c>
      <c r="AX1392" s="440">
        <v>0</v>
      </c>
      <c r="AY1392" s="440">
        <v>0</v>
      </c>
      <c r="AZ1392" s="440">
        <v>0</v>
      </c>
      <c r="BA1392" s="440">
        <v>0</v>
      </c>
      <c r="BB1392" s="440">
        <v>0</v>
      </c>
      <c r="BC1392" s="440">
        <v>0</v>
      </c>
      <c r="BD1392" s="440">
        <v>0</v>
      </c>
      <c r="BE1392" s="440">
        <v>0</v>
      </c>
      <c r="BF1392" s="440">
        <v>0</v>
      </c>
      <c r="BG1392" s="440">
        <v>0</v>
      </c>
      <c r="BH1392" s="440">
        <v>0</v>
      </c>
      <c r="BI1392" s="440">
        <v>0</v>
      </c>
      <c r="BJ1392" s="440">
        <v>0</v>
      </c>
      <c r="BK1392" s="440">
        <v>0</v>
      </c>
      <c r="BL1392" s="440">
        <v>0</v>
      </c>
      <c r="BM1392" s="440">
        <v>0</v>
      </c>
      <c r="BN1392" s="440">
        <v>0</v>
      </c>
      <c r="BO1392" s="440">
        <v>0</v>
      </c>
      <c r="BP1392" s="440">
        <v>0</v>
      </c>
      <c r="BQ1392" s="440">
        <v>0</v>
      </c>
      <c r="BR1392" s="415">
        <v>0</v>
      </c>
      <c r="BS1392" s="415">
        <v>0</v>
      </c>
      <c r="BT1392" s="935"/>
      <c r="BU1392" s="935"/>
      <c r="BV1392" s="935"/>
      <c r="BW1392" s="935"/>
      <c r="BX1392" s="935"/>
      <c r="BY1392" s="935"/>
      <c r="BZ1392" s="935"/>
      <c r="CA1392" s="935"/>
      <c r="CB1392" s="935"/>
      <c r="CC1392" s="935"/>
      <c r="CD1392" s="935"/>
      <c r="CE1392" s="935"/>
      <c r="CF1392" s="935"/>
      <c r="CG1392" s="935"/>
      <c r="CH1392" s="935"/>
      <c r="CI1392" s="935"/>
      <c r="CJ1392" s="935"/>
      <c r="CK1392" s="935"/>
      <c r="CL1392" s="935"/>
      <c r="CM1392" s="935"/>
      <c r="CN1392" s="935"/>
      <c r="CO1392" s="935"/>
      <c r="CP1392" s="935"/>
      <c r="CQ1392" s="935"/>
      <c r="CR1392" s="935"/>
      <c r="CS1392" s="935"/>
      <c r="CT1392" s="935"/>
      <c r="CU1392" s="935"/>
      <c r="CV1392" s="935"/>
    </row>
    <row r="1393" spans="1:100" s="441" customFormat="1">
      <c r="A1393" s="375">
        <f t="shared" si="372"/>
        <v>11</v>
      </c>
      <c r="B1393" s="862">
        <v>44525</v>
      </c>
      <c r="C1393" s="493" t="s">
        <v>1980</v>
      </c>
      <c r="D1393" s="376" t="str">
        <f>IFERROR(VLOOKUP(E:E,'Item Data Support Sheet'!A:O,7,0),"")</f>
        <v>NIPPLE MOLDED</v>
      </c>
      <c r="E1393" s="447" t="s">
        <v>74</v>
      </c>
      <c r="F1393" s="500" t="s">
        <v>1678</v>
      </c>
      <c r="G1393" s="497" t="s">
        <v>1691</v>
      </c>
      <c r="H1393" s="602" t="str">
        <f>IFERROR(VLOOKUP(E:E,'Item Data Support Sheet'!A:O,2,0),"")</f>
        <v>NIPPLE S TYPE L SIZE INJECTION</v>
      </c>
      <c r="I1393" s="501" t="s">
        <v>4173</v>
      </c>
      <c r="J1393" s="501" t="s">
        <v>2809</v>
      </c>
      <c r="K1393" s="499">
        <v>8</v>
      </c>
      <c r="L1393" s="499">
        <v>4815</v>
      </c>
      <c r="M1393" s="366">
        <v>601.875</v>
      </c>
      <c r="N1393" s="367">
        <f t="shared" si="371"/>
        <v>4741</v>
      </c>
      <c r="O1393" s="61">
        <v>4600</v>
      </c>
      <c r="P1393" s="368">
        <v>0</v>
      </c>
      <c r="Q1393" s="368">
        <v>80</v>
      </c>
      <c r="R1393" s="494">
        <v>0</v>
      </c>
      <c r="S1393" s="493">
        <v>0</v>
      </c>
      <c r="T1393" s="494">
        <v>45</v>
      </c>
      <c r="U1393" s="493">
        <v>16</v>
      </c>
      <c r="V1393" s="502">
        <v>1</v>
      </c>
      <c r="W1393" s="453">
        <f t="shared" si="373"/>
        <v>4600</v>
      </c>
      <c r="X1393" s="748">
        <f t="shared" si="374"/>
        <v>0.95534787123572174</v>
      </c>
      <c r="Y1393" s="451" t="str">
        <f>IFERROR(VLOOKUP(E:E,'Item Data Support Sheet'!A:J,6,0),0)</f>
        <v>Silicon</v>
      </c>
      <c r="Z1393" s="428">
        <f>IFERROR(VLOOKUP(E:E,'Item Data Support Sheet'!A:O,4,0),0)</f>
        <v>6.8</v>
      </c>
      <c r="AA1393" s="428">
        <f t="shared" si="375"/>
        <v>32.238799999999998</v>
      </c>
      <c r="AB1393" s="429">
        <f t="shared" si="376"/>
        <v>0.97025943893693312</v>
      </c>
      <c r="AC1393" s="424">
        <f t="shared" si="377"/>
        <v>9.6878363832077503E-3</v>
      </c>
      <c r="AD1393" s="371">
        <f t="shared" si="378"/>
        <v>1.6594067620825555E-2</v>
      </c>
      <c r="AE1393" s="748">
        <f t="shared" si="379"/>
        <v>0.99050833157561691</v>
      </c>
      <c r="AF1393" s="417">
        <f t="shared" si="380"/>
        <v>0</v>
      </c>
      <c r="AG1393" s="416">
        <f t="shared" si="381"/>
        <v>8</v>
      </c>
      <c r="AH1393" s="372">
        <f t="shared" si="382"/>
        <v>1</v>
      </c>
      <c r="AI1393" s="373">
        <f t="shared" si="383"/>
        <v>575</v>
      </c>
      <c r="AJ1393" s="418">
        <f>VLOOKUP(D1393,'Standard Cycle time'!C:D,2,0)</f>
        <v>5.25</v>
      </c>
      <c r="AK1393" s="418">
        <f t="shared" si="384"/>
        <v>6.2608695652173916</v>
      </c>
      <c r="AL1393" s="374">
        <f t="shared" si="385"/>
        <v>0.83854166666666663</v>
      </c>
      <c r="AM1393" s="372">
        <f t="shared" si="386"/>
        <v>0.83058250720663707</v>
      </c>
      <c r="AN1393" s="799">
        <v>0.83058250720663707</v>
      </c>
      <c r="AO1393" s="448"/>
      <c r="AP1393" s="440">
        <v>0</v>
      </c>
      <c r="AQ1393" s="440">
        <v>0</v>
      </c>
      <c r="AR1393" s="440">
        <v>0</v>
      </c>
      <c r="AS1393" s="440">
        <v>0</v>
      </c>
      <c r="AT1393" s="440">
        <v>0</v>
      </c>
      <c r="AU1393" s="440">
        <v>0</v>
      </c>
      <c r="AV1393" s="440">
        <v>0</v>
      </c>
      <c r="AW1393" s="440">
        <v>0</v>
      </c>
      <c r="AX1393" s="440">
        <v>0</v>
      </c>
      <c r="AY1393" s="440">
        <v>0</v>
      </c>
      <c r="AZ1393" s="440">
        <v>0</v>
      </c>
      <c r="BA1393" s="440">
        <v>0</v>
      </c>
      <c r="BB1393" s="440">
        <v>0</v>
      </c>
      <c r="BC1393" s="440">
        <v>0</v>
      </c>
      <c r="BD1393" s="440">
        <v>0</v>
      </c>
      <c r="BE1393" s="440">
        <v>0</v>
      </c>
      <c r="BF1393" s="440">
        <v>0</v>
      </c>
      <c r="BG1393" s="440">
        <v>0</v>
      </c>
      <c r="BH1393" s="440">
        <v>0</v>
      </c>
      <c r="BI1393" s="440">
        <v>0</v>
      </c>
      <c r="BJ1393" s="440">
        <v>0</v>
      </c>
      <c r="BK1393" s="440">
        <v>0</v>
      </c>
      <c r="BL1393" s="440">
        <v>0</v>
      </c>
      <c r="BM1393" s="440">
        <v>0</v>
      </c>
      <c r="BN1393" s="440">
        <v>0</v>
      </c>
      <c r="BO1393" s="440">
        <v>0</v>
      </c>
      <c r="BP1393" s="440">
        <v>0</v>
      </c>
      <c r="BQ1393" s="440">
        <v>0</v>
      </c>
      <c r="BR1393" s="415">
        <v>0</v>
      </c>
      <c r="BS1393" s="415">
        <v>0</v>
      </c>
      <c r="BT1393" s="935"/>
      <c r="BU1393" s="935"/>
      <c r="BV1393" s="935"/>
      <c r="BW1393" s="935"/>
      <c r="BX1393" s="935"/>
      <c r="BY1393" s="935"/>
      <c r="BZ1393" s="935"/>
      <c r="CA1393" s="935"/>
      <c r="CB1393" s="935"/>
      <c r="CC1393" s="935"/>
      <c r="CD1393" s="935"/>
      <c r="CE1393" s="935"/>
      <c r="CF1393" s="935"/>
      <c r="CG1393" s="935"/>
      <c r="CH1393" s="935"/>
      <c r="CI1393" s="935"/>
      <c r="CJ1393" s="935"/>
      <c r="CK1393" s="935"/>
      <c r="CL1393" s="935"/>
      <c r="CM1393" s="935"/>
      <c r="CN1393" s="935"/>
      <c r="CO1393" s="935"/>
      <c r="CP1393" s="935"/>
      <c r="CQ1393" s="935"/>
      <c r="CR1393" s="935"/>
      <c r="CS1393" s="935"/>
      <c r="CT1393" s="935"/>
      <c r="CU1393" s="935"/>
      <c r="CV1393" s="935"/>
    </row>
    <row r="1394" spans="1:100" s="441" customFormat="1">
      <c r="A1394" s="375">
        <f t="shared" si="372"/>
        <v>11</v>
      </c>
      <c r="B1394" s="862">
        <v>44525</v>
      </c>
      <c r="C1394" s="493" t="s">
        <v>1980</v>
      </c>
      <c r="D1394" s="376" t="str">
        <f>IFERROR(VLOOKUP(E:E,'Item Data Support Sheet'!A:O,7,0),"")</f>
        <v>BOTTLE MOLDED</v>
      </c>
      <c r="E1394" s="447" t="s">
        <v>66</v>
      </c>
      <c r="F1394" s="500" t="s">
        <v>1664</v>
      </c>
      <c r="G1394" s="497" t="s">
        <v>1888</v>
      </c>
      <c r="H1394" s="602" t="str">
        <f>IFERROR(VLOOKUP(E:E,'Item Data Support Sheet'!A:O,2,0),"")</f>
        <v>KPP 200 ML BOTTLE MOLDED</v>
      </c>
      <c r="I1394" s="501" t="s">
        <v>4174</v>
      </c>
      <c r="J1394" s="501" t="s">
        <v>2809</v>
      </c>
      <c r="K1394" s="499">
        <v>8</v>
      </c>
      <c r="L1394" s="499">
        <v>2574</v>
      </c>
      <c r="M1394" s="366">
        <v>321.75</v>
      </c>
      <c r="N1394" s="367">
        <f t="shared" si="371"/>
        <v>3360</v>
      </c>
      <c r="O1394" s="61">
        <v>3240</v>
      </c>
      <c r="P1394" s="368">
        <v>0.92</v>
      </c>
      <c r="Q1394" s="368">
        <v>70</v>
      </c>
      <c r="R1394" s="494">
        <v>0</v>
      </c>
      <c r="S1394" s="493">
        <v>0</v>
      </c>
      <c r="T1394" s="494">
        <v>42</v>
      </c>
      <c r="U1394" s="493">
        <v>8</v>
      </c>
      <c r="V1394" s="502">
        <v>1</v>
      </c>
      <c r="W1394" s="453">
        <f t="shared" si="373"/>
        <v>3240</v>
      </c>
      <c r="X1394" s="748">
        <f t="shared" si="374"/>
        <v>1.2587412587412588</v>
      </c>
      <c r="Y1394" s="451" t="str">
        <f>IFERROR(VLOOKUP(E:E,'Item Data Support Sheet'!A:J,6,0),0)</f>
        <v>HMC</v>
      </c>
      <c r="Z1394" s="428">
        <f>IFERROR(VLOOKUP(E:E,'Item Data Support Sheet'!A:O,4,0),0)</f>
        <v>28.1</v>
      </c>
      <c r="AA1394" s="428">
        <f t="shared" si="375"/>
        <v>95.335999999999999</v>
      </c>
      <c r="AB1394" s="429">
        <f t="shared" si="376"/>
        <v>0.95498028027188053</v>
      </c>
      <c r="AC1394" s="424">
        <f t="shared" si="377"/>
        <v>1.2797074954296161E-2</v>
      </c>
      <c r="AD1394" s="371">
        <f t="shared" si="378"/>
        <v>2.0408163265306121E-2</v>
      </c>
      <c r="AE1394" s="748">
        <f t="shared" si="379"/>
        <v>0.98750000000000004</v>
      </c>
      <c r="AF1394" s="417">
        <f t="shared" si="380"/>
        <v>0</v>
      </c>
      <c r="AG1394" s="416">
        <f t="shared" si="381"/>
        <v>8</v>
      </c>
      <c r="AH1394" s="372">
        <f t="shared" si="382"/>
        <v>1</v>
      </c>
      <c r="AI1394" s="373">
        <f t="shared" si="383"/>
        <v>405</v>
      </c>
      <c r="AJ1394" s="418">
        <f>VLOOKUP(D1394,'Standard Cycle time'!C:D,2,0)</f>
        <v>9</v>
      </c>
      <c r="AK1394" s="418">
        <f t="shared" si="384"/>
        <v>8.8888888888888893</v>
      </c>
      <c r="AL1394" s="374">
        <f t="shared" si="385"/>
        <v>1.0125</v>
      </c>
      <c r="AM1394" s="372">
        <f t="shared" si="386"/>
        <v>0.99984375000000003</v>
      </c>
      <c r="AN1394" s="799">
        <v>0.99984375000000003</v>
      </c>
      <c r="AO1394" s="448"/>
      <c r="AP1394" s="440">
        <v>0</v>
      </c>
      <c r="AQ1394" s="440">
        <v>0</v>
      </c>
      <c r="AR1394" s="440">
        <v>0</v>
      </c>
      <c r="AS1394" s="440">
        <v>0</v>
      </c>
      <c r="AT1394" s="440">
        <v>0</v>
      </c>
      <c r="AU1394" s="440">
        <v>0</v>
      </c>
      <c r="AV1394" s="440">
        <v>0</v>
      </c>
      <c r="AW1394" s="440">
        <v>0</v>
      </c>
      <c r="AX1394" s="440">
        <v>0</v>
      </c>
      <c r="AY1394" s="440">
        <v>0</v>
      </c>
      <c r="AZ1394" s="440">
        <v>0</v>
      </c>
      <c r="BA1394" s="440">
        <v>0</v>
      </c>
      <c r="BB1394" s="440">
        <v>0</v>
      </c>
      <c r="BC1394" s="440">
        <v>0</v>
      </c>
      <c r="BD1394" s="440">
        <v>0</v>
      </c>
      <c r="BE1394" s="440">
        <v>0</v>
      </c>
      <c r="BF1394" s="440">
        <v>0</v>
      </c>
      <c r="BG1394" s="440">
        <v>0</v>
      </c>
      <c r="BH1394" s="440">
        <v>0</v>
      </c>
      <c r="BI1394" s="440">
        <v>0</v>
      </c>
      <c r="BJ1394" s="440">
        <v>0</v>
      </c>
      <c r="BK1394" s="440">
        <v>0</v>
      </c>
      <c r="BL1394" s="440">
        <v>0</v>
      </c>
      <c r="BM1394" s="440">
        <v>0</v>
      </c>
      <c r="BN1394" s="440">
        <v>0</v>
      </c>
      <c r="BO1394" s="440">
        <v>0</v>
      </c>
      <c r="BP1394" s="440">
        <v>0</v>
      </c>
      <c r="BQ1394" s="440">
        <v>0</v>
      </c>
      <c r="BR1394" s="415">
        <v>0</v>
      </c>
      <c r="BS1394" s="415">
        <v>0</v>
      </c>
      <c r="BT1394" s="935"/>
      <c r="BU1394" s="935"/>
      <c r="BV1394" s="935"/>
      <c r="BW1394" s="935"/>
      <c r="BX1394" s="935"/>
      <c r="BY1394" s="935"/>
      <c r="BZ1394" s="935"/>
      <c r="CA1394" s="935"/>
      <c r="CB1394" s="935"/>
      <c r="CC1394" s="935"/>
      <c r="CD1394" s="935"/>
      <c r="CE1394" s="935"/>
      <c r="CF1394" s="935"/>
      <c r="CG1394" s="935"/>
      <c r="CH1394" s="935"/>
      <c r="CI1394" s="935"/>
      <c r="CJ1394" s="935"/>
      <c r="CK1394" s="935"/>
      <c r="CL1394" s="935"/>
      <c r="CM1394" s="935"/>
      <c r="CN1394" s="935"/>
      <c r="CO1394" s="935"/>
      <c r="CP1394" s="935"/>
      <c r="CQ1394" s="935"/>
      <c r="CR1394" s="935"/>
      <c r="CS1394" s="935"/>
      <c r="CT1394" s="935"/>
      <c r="CU1394" s="935"/>
      <c r="CV1394" s="935"/>
    </row>
    <row r="1395" spans="1:100" s="441" customFormat="1">
      <c r="A1395" s="375">
        <f t="shared" si="372"/>
        <v>11</v>
      </c>
      <c r="B1395" s="862">
        <v>44525</v>
      </c>
      <c r="C1395" s="493" t="s">
        <v>1980</v>
      </c>
      <c r="D1395" s="376" t="str">
        <f>IFERROR(VLOOKUP(E:E,'Item Data Support Sheet'!A:O,7,0),"")</f>
        <v>NIPPLE PUNCH</v>
      </c>
      <c r="E1395" s="447" t="s">
        <v>82</v>
      </c>
      <c r="F1395" s="500"/>
      <c r="G1395" s="497" t="s">
        <v>1692</v>
      </c>
      <c r="H1395" s="602" t="str">
        <f>IFERROR(VLOOKUP(E:E,'Item Data Support Sheet'!A:O,2,0),"")</f>
        <v>NIPPLE S TYPE L SIZE PUNCHED</v>
      </c>
      <c r="I1395" s="501" t="s">
        <v>4175</v>
      </c>
      <c r="J1395" s="501" t="s">
        <v>2809</v>
      </c>
      <c r="K1395" s="499">
        <v>4</v>
      </c>
      <c r="L1395" s="499">
        <v>3500</v>
      </c>
      <c r="M1395" s="366">
        <v>875</v>
      </c>
      <c r="N1395" s="367">
        <f t="shared" si="371"/>
        <v>3600</v>
      </c>
      <c r="O1395" s="61">
        <v>3580</v>
      </c>
      <c r="P1395" s="368">
        <v>0</v>
      </c>
      <c r="Q1395" s="368">
        <v>0</v>
      </c>
      <c r="R1395" s="494">
        <v>0</v>
      </c>
      <c r="S1395" s="493">
        <v>0</v>
      </c>
      <c r="T1395" s="494">
        <v>20</v>
      </c>
      <c r="U1395" s="493">
        <v>0</v>
      </c>
      <c r="V1395" s="502">
        <v>1</v>
      </c>
      <c r="W1395" s="453">
        <f t="shared" si="373"/>
        <v>3580</v>
      </c>
      <c r="X1395" s="748">
        <f t="shared" si="374"/>
        <v>1.0228571428571429</v>
      </c>
      <c r="Y1395" s="451" t="str">
        <f>IFERROR(VLOOKUP(E:E,'Item Data Support Sheet'!A:J,6,0),0)</f>
        <v>FO017</v>
      </c>
      <c r="Z1395" s="428">
        <f>IFERROR(VLOOKUP(E:E,'Item Data Support Sheet'!A:O,4,0),0)</f>
        <v>0</v>
      </c>
      <c r="AA1395" s="428">
        <f t="shared" si="375"/>
        <v>0</v>
      </c>
      <c r="AB1395" s="429" t="str">
        <f t="shared" si="376"/>
        <v xml:space="preserve"> </v>
      </c>
      <c r="AC1395" s="424">
        <f t="shared" si="377"/>
        <v>5.5555555555555558E-3</v>
      </c>
      <c r="AD1395" s="371">
        <f t="shared" si="378"/>
        <v>0</v>
      </c>
      <c r="AE1395" s="748">
        <f t="shared" si="379"/>
        <v>0.99444444444444446</v>
      </c>
      <c r="AF1395" s="417">
        <f t="shared" si="380"/>
        <v>0</v>
      </c>
      <c r="AG1395" s="416">
        <f t="shared" si="381"/>
        <v>4</v>
      </c>
      <c r="AH1395" s="372">
        <f t="shared" si="382"/>
        <v>1</v>
      </c>
      <c r="AI1395" s="373">
        <f t="shared" si="383"/>
        <v>895</v>
      </c>
      <c r="AJ1395" s="418">
        <f>VLOOKUP(D1395,'Standard Cycle time'!C:D,2,0)</f>
        <v>3.5</v>
      </c>
      <c r="AK1395" s="418">
        <f t="shared" si="384"/>
        <v>4.022346368715084</v>
      </c>
      <c r="AL1395" s="374">
        <f t="shared" si="385"/>
        <v>0.8701388888888888</v>
      </c>
      <c r="AM1395" s="372">
        <f t="shared" si="386"/>
        <v>0.86530478395061716</v>
      </c>
      <c r="AN1395" s="799">
        <v>0.86530478395061716</v>
      </c>
      <c r="AO1395" s="448"/>
      <c r="AP1395" s="440">
        <v>0</v>
      </c>
      <c r="AQ1395" s="440">
        <v>0</v>
      </c>
      <c r="AR1395" s="440">
        <v>0</v>
      </c>
      <c r="AS1395" s="440">
        <v>0</v>
      </c>
      <c r="AT1395" s="440">
        <v>0</v>
      </c>
      <c r="AU1395" s="440">
        <v>0</v>
      </c>
      <c r="AV1395" s="440">
        <v>0</v>
      </c>
      <c r="AW1395" s="440">
        <v>0</v>
      </c>
      <c r="AX1395" s="440">
        <v>0</v>
      </c>
      <c r="AY1395" s="440">
        <v>0</v>
      </c>
      <c r="AZ1395" s="440">
        <v>0</v>
      </c>
      <c r="BA1395" s="440">
        <v>0</v>
      </c>
      <c r="BB1395" s="440">
        <v>0</v>
      </c>
      <c r="BC1395" s="440">
        <v>0</v>
      </c>
      <c r="BD1395" s="440">
        <v>0</v>
      </c>
      <c r="BE1395" s="440">
        <v>0</v>
      </c>
      <c r="BF1395" s="440">
        <v>0</v>
      </c>
      <c r="BG1395" s="440">
        <v>0</v>
      </c>
      <c r="BH1395" s="440">
        <v>0</v>
      </c>
      <c r="BI1395" s="440">
        <v>0</v>
      </c>
      <c r="BJ1395" s="440">
        <v>0</v>
      </c>
      <c r="BK1395" s="440">
        <v>0</v>
      </c>
      <c r="BL1395" s="440">
        <v>0</v>
      </c>
      <c r="BM1395" s="440">
        <v>0</v>
      </c>
      <c r="BN1395" s="440">
        <v>0</v>
      </c>
      <c r="BO1395" s="440">
        <v>0</v>
      </c>
      <c r="BP1395" s="440">
        <v>0</v>
      </c>
      <c r="BQ1395" s="440">
        <v>0</v>
      </c>
      <c r="BR1395" s="415">
        <v>0</v>
      </c>
      <c r="BS1395" s="415">
        <v>0</v>
      </c>
      <c r="BT1395" s="935"/>
      <c r="BU1395" s="935"/>
      <c r="BV1395" s="935"/>
      <c r="BW1395" s="935"/>
      <c r="BX1395" s="935"/>
      <c r="BY1395" s="935"/>
      <c r="BZ1395" s="935"/>
      <c r="CA1395" s="935"/>
      <c r="CB1395" s="935"/>
      <c r="CC1395" s="935"/>
      <c r="CD1395" s="935"/>
      <c r="CE1395" s="935"/>
      <c r="CF1395" s="935"/>
      <c r="CG1395" s="935"/>
      <c r="CH1395" s="935"/>
      <c r="CI1395" s="935"/>
      <c r="CJ1395" s="935"/>
      <c r="CK1395" s="935"/>
      <c r="CL1395" s="935"/>
      <c r="CM1395" s="935"/>
      <c r="CN1395" s="935"/>
      <c r="CO1395" s="935"/>
      <c r="CP1395" s="935"/>
      <c r="CQ1395" s="935"/>
      <c r="CR1395" s="935"/>
      <c r="CS1395" s="935"/>
      <c r="CT1395" s="935"/>
      <c r="CU1395" s="935"/>
      <c r="CV1395" s="935"/>
    </row>
    <row r="1396" spans="1:100" s="441" customFormat="1">
      <c r="A1396" s="375">
        <f t="shared" si="372"/>
        <v>11</v>
      </c>
      <c r="B1396" s="862">
        <v>44525</v>
      </c>
      <c r="C1396" s="493" t="s">
        <v>1980</v>
      </c>
      <c r="D1396" s="376" t="str">
        <f>IFERROR(VLOOKUP(E:E,'Item Data Support Sheet'!A:O,7,0),"")</f>
        <v>NIPPLE PUNCH</v>
      </c>
      <c r="E1396" s="447" t="s">
        <v>2486</v>
      </c>
      <c r="F1396" s="500"/>
      <c r="G1396" s="497" t="s">
        <v>1692</v>
      </c>
      <c r="H1396" s="602" t="str">
        <f>IFERROR(VLOOKUP(E:E,'Item Data Support Sheet'!A:O,2,0),"")</f>
        <v>NIPPLE S TYPE LL SIZE PUNCHED</v>
      </c>
      <c r="I1396" s="501" t="s">
        <v>4176</v>
      </c>
      <c r="J1396" s="501" t="s">
        <v>2809</v>
      </c>
      <c r="K1396" s="499">
        <v>4</v>
      </c>
      <c r="L1396" s="499">
        <v>3500</v>
      </c>
      <c r="M1396" s="366">
        <v>875</v>
      </c>
      <c r="N1396" s="367">
        <f t="shared" si="371"/>
        <v>2000</v>
      </c>
      <c r="O1396" s="61">
        <v>2000</v>
      </c>
      <c r="P1396" s="368">
        <v>0</v>
      </c>
      <c r="Q1396" s="368">
        <v>0</v>
      </c>
      <c r="R1396" s="494">
        <v>0</v>
      </c>
      <c r="S1396" s="493">
        <v>0</v>
      </c>
      <c r="T1396" s="494">
        <v>0</v>
      </c>
      <c r="U1396" s="493">
        <v>0</v>
      </c>
      <c r="V1396" s="502">
        <v>1</v>
      </c>
      <c r="W1396" s="453">
        <f t="shared" si="373"/>
        <v>2000</v>
      </c>
      <c r="X1396" s="748">
        <f t="shared" si="374"/>
        <v>0.5714285714285714</v>
      </c>
      <c r="Y1396" s="451" t="str">
        <f>IFERROR(VLOOKUP(E:E,'Item Data Support Sheet'!A:J,6,0),0)</f>
        <v>FO150</v>
      </c>
      <c r="Z1396" s="428">
        <f>IFERROR(VLOOKUP(E:E,'Item Data Support Sheet'!A:O,4,0),0)</f>
        <v>0</v>
      </c>
      <c r="AA1396" s="428">
        <f t="shared" si="375"/>
        <v>0</v>
      </c>
      <c r="AB1396" s="429" t="str">
        <f t="shared" si="376"/>
        <v xml:space="preserve"> </v>
      </c>
      <c r="AC1396" s="424">
        <f t="shared" si="377"/>
        <v>0</v>
      </c>
      <c r="AD1396" s="371">
        <f t="shared" si="378"/>
        <v>0</v>
      </c>
      <c r="AE1396" s="748">
        <f t="shared" si="379"/>
        <v>1</v>
      </c>
      <c r="AF1396" s="417">
        <f t="shared" si="380"/>
        <v>0.66666666666666663</v>
      </c>
      <c r="AG1396" s="416">
        <f t="shared" si="381"/>
        <v>3.3333333333333335</v>
      </c>
      <c r="AH1396" s="372">
        <f t="shared" si="382"/>
        <v>0.83333333333333337</v>
      </c>
      <c r="AI1396" s="373">
        <f t="shared" si="383"/>
        <v>500</v>
      </c>
      <c r="AJ1396" s="418">
        <f>VLOOKUP(D1396,'Standard Cycle time'!C:D,2,0)</f>
        <v>3.5</v>
      </c>
      <c r="AK1396" s="418">
        <f t="shared" si="384"/>
        <v>6</v>
      </c>
      <c r="AL1396" s="374">
        <f t="shared" si="385"/>
        <v>0.58333333333333337</v>
      </c>
      <c r="AM1396" s="372">
        <f t="shared" si="386"/>
        <v>0.48611111111111116</v>
      </c>
      <c r="AN1396" s="799">
        <v>0.48611111111111116</v>
      </c>
      <c r="AO1396" s="448" t="s">
        <v>4177</v>
      </c>
      <c r="AP1396" s="440">
        <v>40</v>
      </c>
      <c r="AQ1396" s="440">
        <v>0</v>
      </c>
      <c r="AR1396" s="440">
        <v>0</v>
      </c>
      <c r="AS1396" s="440">
        <v>0</v>
      </c>
      <c r="AT1396" s="440">
        <v>0</v>
      </c>
      <c r="AU1396" s="440">
        <v>0</v>
      </c>
      <c r="AV1396" s="440">
        <v>0</v>
      </c>
      <c r="AW1396" s="440">
        <v>0</v>
      </c>
      <c r="AX1396" s="440">
        <v>0</v>
      </c>
      <c r="AY1396" s="440">
        <v>0</v>
      </c>
      <c r="AZ1396" s="440">
        <v>0</v>
      </c>
      <c r="BA1396" s="440">
        <v>0</v>
      </c>
      <c r="BB1396" s="440">
        <v>0</v>
      </c>
      <c r="BC1396" s="440">
        <v>0</v>
      </c>
      <c r="BD1396" s="440">
        <v>0</v>
      </c>
      <c r="BE1396" s="440">
        <v>0</v>
      </c>
      <c r="BF1396" s="440">
        <v>0</v>
      </c>
      <c r="BG1396" s="440">
        <v>0</v>
      </c>
      <c r="BH1396" s="440">
        <v>0</v>
      </c>
      <c r="BI1396" s="440">
        <v>0</v>
      </c>
      <c r="BJ1396" s="440">
        <v>0</v>
      </c>
      <c r="BK1396" s="440">
        <v>0</v>
      </c>
      <c r="BL1396" s="440">
        <v>0</v>
      </c>
      <c r="BM1396" s="440">
        <v>0</v>
      </c>
      <c r="BN1396" s="440">
        <v>0</v>
      </c>
      <c r="BO1396" s="440">
        <v>0</v>
      </c>
      <c r="BP1396" s="440">
        <v>0</v>
      </c>
      <c r="BQ1396" s="440">
        <v>0</v>
      </c>
      <c r="BR1396" s="415">
        <v>0.66666666666666663</v>
      </c>
      <c r="BS1396" s="415">
        <v>0.66666666666666663</v>
      </c>
      <c r="BT1396" s="935"/>
      <c r="BU1396" s="935"/>
      <c r="BV1396" s="935"/>
      <c r="BW1396" s="935"/>
      <c r="BX1396" s="935"/>
      <c r="BY1396" s="935"/>
      <c r="BZ1396" s="935"/>
      <c r="CA1396" s="935"/>
      <c r="CB1396" s="935"/>
      <c r="CC1396" s="935"/>
      <c r="CD1396" s="935"/>
      <c r="CE1396" s="935"/>
      <c r="CF1396" s="935"/>
      <c r="CG1396" s="935"/>
      <c r="CH1396" s="935"/>
      <c r="CI1396" s="935"/>
      <c r="CJ1396" s="935"/>
      <c r="CK1396" s="935"/>
      <c r="CL1396" s="935"/>
      <c r="CM1396" s="935"/>
      <c r="CN1396" s="935"/>
      <c r="CO1396" s="935"/>
      <c r="CP1396" s="935"/>
      <c r="CQ1396" s="935"/>
      <c r="CR1396" s="935"/>
      <c r="CS1396" s="935"/>
      <c r="CT1396" s="935"/>
      <c r="CU1396" s="935"/>
      <c r="CV1396" s="935"/>
    </row>
    <row r="1397" spans="1:100" s="441" customFormat="1">
      <c r="A1397" s="375">
        <f t="shared" si="372"/>
        <v>11</v>
      </c>
      <c r="B1397" s="862">
        <v>44525</v>
      </c>
      <c r="C1397" s="493" t="s">
        <v>1980</v>
      </c>
      <c r="D1397" s="376" t="str">
        <f>IFERROR(VLOOKUP(E:E,'Item Data Support Sheet'!A:O,7,0),"")</f>
        <v>NIPPLE LASER MARKING</v>
      </c>
      <c r="E1397" s="447" t="s">
        <v>1816</v>
      </c>
      <c r="F1397" s="500"/>
      <c r="G1397" s="497" t="s">
        <v>1812</v>
      </c>
      <c r="H1397" s="602" t="str">
        <f>IFERROR(VLOOKUP(E:E,'Item Data Support Sheet'!A:O,2,0),"")</f>
        <v>NIPPLE S TYPE L SIZE PUNCHED LASER MARKED</v>
      </c>
      <c r="I1397" s="501" t="s">
        <v>4178</v>
      </c>
      <c r="J1397" s="501" t="s">
        <v>2809</v>
      </c>
      <c r="K1397" s="499">
        <v>7</v>
      </c>
      <c r="L1397" s="499">
        <v>6125</v>
      </c>
      <c r="M1397" s="366">
        <v>875</v>
      </c>
      <c r="N1397" s="367">
        <f t="shared" si="371"/>
        <v>5000</v>
      </c>
      <c r="O1397" s="61">
        <v>5000</v>
      </c>
      <c r="P1397" s="368">
        <v>0</v>
      </c>
      <c r="Q1397" s="368">
        <v>0</v>
      </c>
      <c r="R1397" s="494">
        <v>0</v>
      </c>
      <c r="S1397" s="493">
        <v>0</v>
      </c>
      <c r="T1397" s="494">
        <v>0</v>
      </c>
      <c r="U1397" s="493">
        <v>0</v>
      </c>
      <c r="V1397" s="502">
        <v>1</v>
      </c>
      <c r="W1397" s="453">
        <f t="shared" si="373"/>
        <v>5000</v>
      </c>
      <c r="X1397" s="748">
        <f t="shared" si="374"/>
        <v>0.81632653061224492</v>
      </c>
      <c r="Y1397" s="451" t="str">
        <f>IFERROR(VLOOKUP(E:E,'Item Data Support Sheet'!A:J,6,0),0)</f>
        <v>FO021</v>
      </c>
      <c r="Z1397" s="428">
        <f>IFERROR(VLOOKUP(E:E,'Item Data Support Sheet'!A:O,4,0),0)</f>
        <v>0</v>
      </c>
      <c r="AA1397" s="428">
        <f t="shared" si="375"/>
        <v>0</v>
      </c>
      <c r="AB1397" s="429" t="str">
        <f t="shared" si="376"/>
        <v xml:space="preserve"> </v>
      </c>
      <c r="AC1397" s="424">
        <f t="shared" si="377"/>
        <v>0</v>
      </c>
      <c r="AD1397" s="371">
        <f t="shared" si="378"/>
        <v>0</v>
      </c>
      <c r="AE1397" s="748">
        <f t="shared" si="379"/>
        <v>1</v>
      </c>
      <c r="AF1397" s="417">
        <f t="shared" si="380"/>
        <v>0.66666666666666663</v>
      </c>
      <c r="AG1397" s="416">
        <f t="shared" si="381"/>
        <v>6.333333333333333</v>
      </c>
      <c r="AH1397" s="372">
        <f t="shared" si="382"/>
        <v>0.90476190476190477</v>
      </c>
      <c r="AI1397" s="373">
        <f t="shared" si="383"/>
        <v>714.28571428571433</v>
      </c>
      <c r="AJ1397" s="418">
        <f>VLOOKUP(D1397,'Standard Cycle time'!C:D,2,0)</f>
        <v>3.5</v>
      </c>
      <c r="AK1397" s="418">
        <f t="shared" si="384"/>
        <v>4.5599999999999996</v>
      </c>
      <c r="AL1397" s="374">
        <f t="shared" si="385"/>
        <v>0.76754385964912286</v>
      </c>
      <c r="AM1397" s="372">
        <f t="shared" si="386"/>
        <v>0.69444444444444453</v>
      </c>
      <c r="AN1397" s="799">
        <v>0.69444444444444453</v>
      </c>
      <c r="AO1397" s="448"/>
      <c r="AP1397" s="440">
        <v>40</v>
      </c>
      <c r="AQ1397" s="440">
        <v>0</v>
      </c>
      <c r="AR1397" s="440">
        <v>0</v>
      </c>
      <c r="AS1397" s="440">
        <v>0</v>
      </c>
      <c r="AT1397" s="440">
        <v>0</v>
      </c>
      <c r="AU1397" s="440">
        <v>0</v>
      </c>
      <c r="AV1397" s="440">
        <v>0</v>
      </c>
      <c r="AW1397" s="440">
        <v>0</v>
      </c>
      <c r="AX1397" s="440">
        <v>0</v>
      </c>
      <c r="AY1397" s="440">
        <v>0</v>
      </c>
      <c r="AZ1397" s="440">
        <v>0</v>
      </c>
      <c r="BA1397" s="440">
        <v>0</v>
      </c>
      <c r="BB1397" s="440">
        <v>0</v>
      </c>
      <c r="BC1397" s="440">
        <v>0</v>
      </c>
      <c r="BD1397" s="440">
        <v>0</v>
      </c>
      <c r="BE1397" s="440">
        <v>0</v>
      </c>
      <c r="BF1397" s="440">
        <v>0</v>
      </c>
      <c r="BG1397" s="440">
        <v>0</v>
      </c>
      <c r="BH1397" s="440">
        <v>0</v>
      </c>
      <c r="BI1397" s="440">
        <v>0</v>
      </c>
      <c r="BJ1397" s="440">
        <v>0</v>
      </c>
      <c r="BK1397" s="440">
        <v>0</v>
      </c>
      <c r="BL1397" s="440">
        <v>0</v>
      </c>
      <c r="BM1397" s="440">
        <v>0</v>
      </c>
      <c r="BN1397" s="440">
        <v>0</v>
      </c>
      <c r="BO1397" s="440">
        <v>0</v>
      </c>
      <c r="BP1397" s="440">
        <v>0</v>
      </c>
      <c r="BQ1397" s="440">
        <v>0</v>
      </c>
      <c r="BR1397" s="415">
        <v>0.66666666666666663</v>
      </c>
      <c r="BS1397" s="415">
        <v>0.66666666666666663</v>
      </c>
      <c r="BT1397" s="935"/>
      <c r="BU1397" s="935"/>
      <c r="BV1397" s="935"/>
      <c r="BW1397" s="935"/>
      <c r="BX1397" s="935"/>
      <c r="BY1397" s="935"/>
      <c r="BZ1397" s="935"/>
      <c r="CA1397" s="935"/>
      <c r="CB1397" s="935"/>
      <c r="CC1397" s="935"/>
      <c r="CD1397" s="935"/>
      <c r="CE1397" s="935"/>
      <c r="CF1397" s="935"/>
      <c r="CG1397" s="935"/>
      <c r="CH1397" s="935"/>
      <c r="CI1397" s="935"/>
      <c r="CJ1397" s="935"/>
      <c r="CK1397" s="935"/>
      <c r="CL1397" s="935"/>
      <c r="CM1397" s="935"/>
      <c r="CN1397" s="935"/>
      <c r="CO1397" s="935"/>
      <c r="CP1397" s="935"/>
      <c r="CQ1397" s="935"/>
      <c r="CR1397" s="935"/>
      <c r="CS1397" s="935"/>
      <c r="CT1397" s="935"/>
      <c r="CU1397" s="935"/>
      <c r="CV1397" s="935"/>
    </row>
    <row r="1398" spans="1:100" s="441" customFormat="1">
      <c r="A1398" s="375">
        <f t="shared" si="372"/>
        <v>11</v>
      </c>
      <c r="B1398" s="862">
        <v>44525</v>
      </c>
      <c r="C1398" s="493" t="s">
        <v>1980</v>
      </c>
      <c r="D1398" s="376" t="str">
        <f>IFERROR(VLOOKUP(E:E,'Item Data Support Sheet'!A:O,7,0),"")</f>
        <v>NIPPLE LASER MARKING</v>
      </c>
      <c r="E1398" s="447" t="s">
        <v>2487</v>
      </c>
      <c r="F1398" s="500"/>
      <c r="G1398" s="497" t="s">
        <v>1812</v>
      </c>
      <c r="H1398" s="602" t="str">
        <f>IFERROR(VLOOKUP(E:E,'Item Data Support Sheet'!A:O,2,0),"")</f>
        <v>NIPPLE S TYPE LL SIZE LASER MARKED</v>
      </c>
      <c r="I1398" s="501" t="s">
        <v>4179</v>
      </c>
      <c r="J1398" s="501" t="s">
        <v>2809</v>
      </c>
      <c r="K1398" s="499">
        <v>1</v>
      </c>
      <c r="L1398" s="499">
        <v>875</v>
      </c>
      <c r="M1398" s="366">
        <v>875</v>
      </c>
      <c r="N1398" s="367">
        <f t="shared" si="371"/>
        <v>1000</v>
      </c>
      <c r="O1398" s="61">
        <v>1000</v>
      </c>
      <c r="P1398" s="368">
        <v>0</v>
      </c>
      <c r="Q1398" s="368">
        <v>0</v>
      </c>
      <c r="R1398" s="494">
        <v>0</v>
      </c>
      <c r="S1398" s="493">
        <v>0</v>
      </c>
      <c r="T1398" s="494">
        <v>0</v>
      </c>
      <c r="U1398" s="493">
        <v>0</v>
      </c>
      <c r="V1398" s="502">
        <v>1</v>
      </c>
      <c r="W1398" s="453">
        <f t="shared" si="373"/>
        <v>1000</v>
      </c>
      <c r="X1398" s="748">
        <f t="shared" si="374"/>
        <v>1.1428571428571428</v>
      </c>
      <c r="Y1398" s="451" t="str">
        <f>IFERROR(VLOOKUP(E:E,'Item Data Support Sheet'!A:J,6,0),0)</f>
        <v>FO151</v>
      </c>
      <c r="Z1398" s="428">
        <f>IFERROR(VLOOKUP(E:E,'Item Data Support Sheet'!A:O,4,0),0)</f>
        <v>0</v>
      </c>
      <c r="AA1398" s="428">
        <f t="shared" si="375"/>
        <v>0</v>
      </c>
      <c r="AB1398" s="429" t="str">
        <f t="shared" si="376"/>
        <v xml:space="preserve"> </v>
      </c>
      <c r="AC1398" s="424">
        <f t="shared" si="377"/>
        <v>0</v>
      </c>
      <c r="AD1398" s="371">
        <f t="shared" si="378"/>
        <v>0</v>
      </c>
      <c r="AE1398" s="748">
        <f t="shared" si="379"/>
        <v>1</v>
      </c>
      <c r="AF1398" s="417">
        <f t="shared" si="380"/>
        <v>0</v>
      </c>
      <c r="AG1398" s="416">
        <f t="shared" si="381"/>
        <v>1</v>
      </c>
      <c r="AH1398" s="372">
        <f t="shared" si="382"/>
        <v>1</v>
      </c>
      <c r="AI1398" s="373">
        <f t="shared" si="383"/>
        <v>1000</v>
      </c>
      <c r="AJ1398" s="418">
        <f>VLOOKUP(D1398,'Standard Cycle time'!C:D,2,0)</f>
        <v>3.5</v>
      </c>
      <c r="AK1398" s="418">
        <f t="shared" si="384"/>
        <v>3.6</v>
      </c>
      <c r="AL1398" s="374">
        <f t="shared" si="385"/>
        <v>0.97222222222222221</v>
      </c>
      <c r="AM1398" s="372">
        <f t="shared" si="386"/>
        <v>0.97222222222222221</v>
      </c>
      <c r="AN1398" s="799">
        <v>0.97222222222222221</v>
      </c>
      <c r="AO1398" s="448"/>
      <c r="AP1398" s="440">
        <v>0</v>
      </c>
      <c r="AQ1398" s="440">
        <v>0</v>
      </c>
      <c r="AR1398" s="440">
        <v>0</v>
      </c>
      <c r="AS1398" s="440">
        <v>0</v>
      </c>
      <c r="AT1398" s="440">
        <v>0</v>
      </c>
      <c r="AU1398" s="440">
        <v>0</v>
      </c>
      <c r="AV1398" s="440">
        <v>0</v>
      </c>
      <c r="AW1398" s="440">
        <v>0</v>
      </c>
      <c r="AX1398" s="440">
        <v>0</v>
      </c>
      <c r="AY1398" s="440">
        <v>0</v>
      </c>
      <c r="AZ1398" s="440">
        <v>0</v>
      </c>
      <c r="BA1398" s="440">
        <v>0</v>
      </c>
      <c r="BB1398" s="440">
        <v>0</v>
      </c>
      <c r="BC1398" s="440">
        <v>0</v>
      </c>
      <c r="BD1398" s="440">
        <v>0</v>
      </c>
      <c r="BE1398" s="440">
        <v>0</v>
      </c>
      <c r="BF1398" s="440">
        <v>0</v>
      </c>
      <c r="BG1398" s="440">
        <v>0</v>
      </c>
      <c r="BH1398" s="440">
        <v>0</v>
      </c>
      <c r="BI1398" s="440">
        <v>0</v>
      </c>
      <c r="BJ1398" s="440">
        <v>0</v>
      </c>
      <c r="BK1398" s="440">
        <v>0</v>
      </c>
      <c r="BL1398" s="440">
        <v>0</v>
      </c>
      <c r="BM1398" s="440">
        <v>0</v>
      </c>
      <c r="BN1398" s="440">
        <v>0</v>
      </c>
      <c r="BO1398" s="440">
        <v>0</v>
      </c>
      <c r="BP1398" s="440">
        <v>0</v>
      </c>
      <c r="BQ1398" s="440">
        <v>0</v>
      </c>
      <c r="BR1398" s="415">
        <v>0</v>
      </c>
      <c r="BS1398" s="415">
        <v>0</v>
      </c>
      <c r="BT1398" s="935"/>
      <c r="BU1398" s="935"/>
      <c r="BV1398" s="935"/>
      <c r="BW1398" s="935"/>
      <c r="BX1398" s="935"/>
      <c r="BY1398" s="935"/>
      <c r="BZ1398" s="935"/>
      <c r="CA1398" s="935"/>
      <c r="CB1398" s="935"/>
      <c r="CC1398" s="935"/>
      <c r="CD1398" s="935"/>
      <c r="CE1398" s="935"/>
      <c r="CF1398" s="935"/>
      <c r="CG1398" s="935"/>
      <c r="CH1398" s="935"/>
      <c r="CI1398" s="935"/>
      <c r="CJ1398" s="935"/>
      <c r="CK1398" s="935"/>
      <c r="CL1398" s="935"/>
      <c r="CM1398" s="935"/>
      <c r="CN1398" s="935"/>
      <c r="CO1398" s="935"/>
      <c r="CP1398" s="935"/>
      <c r="CQ1398" s="935"/>
      <c r="CR1398" s="935"/>
      <c r="CS1398" s="935"/>
      <c r="CT1398" s="935"/>
      <c r="CU1398" s="935"/>
      <c r="CV1398" s="935"/>
    </row>
    <row r="1399" spans="1:100" s="441" customFormat="1">
      <c r="A1399" s="375">
        <f t="shared" si="372"/>
        <v>11</v>
      </c>
      <c r="B1399" s="862">
        <v>44525</v>
      </c>
      <c r="C1399" s="493" t="s">
        <v>2000</v>
      </c>
      <c r="D1399" s="376" t="str">
        <f>IFERROR(VLOOKUP(E:E,'Item Data Support Sheet'!A:O,7,0),"")</f>
        <v>NIPPLE PUNCH INSPECTED</v>
      </c>
      <c r="E1399" s="447" t="s">
        <v>1819</v>
      </c>
      <c r="F1399" s="500"/>
      <c r="G1399" s="497"/>
      <c r="H1399" s="602" t="str">
        <f>IFERROR(VLOOKUP(E:E,'Item Data Support Sheet'!A:O,2,0),"")</f>
        <v>NIPPLE S TYPE M SIZE PUNCHED INSPECTED</v>
      </c>
      <c r="I1399" s="501" t="s">
        <v>4180</v>
      </c>
      <c r="J1399" s="501" t="s">
        <v>2811</v>
      </c>
      <c r="K1399" s="499">
        <v>3</v>
      </c>
      <c r="L1399" s="499">
        <v>7125</v>
      </c>
      <c r="M1399" s="366">
        <v>2375</v>
      </c>
      <c r="N1399" s="367">
        <f t="shared" si="371"/>
        <v>8833</v>
      </c>
      <c r="O1399" s="61">
        <v>8782</v>
      </c>
      <c r="P1399" s="368">
        <v>0</v>
      </c>
      <c r="Q1399" s="368">
        <v>0</v>
      </c>
      <c r="R1399" s="494">
        <v>0</v>
      </c>
      <c r="S1399" s="493">
        <v>0</v>
      </c>
      <c r="T1399" s="494">
        <v>51</v>
      </c>
      <c r="U1399" s="493">
        <v>0</v>
      </c>
      <c r="V1399" s="502">
        <v>1</v>
      </c>
      <c r="W1399" s="453">
        <f t="shared" si="373"/>
        <v>8782</v>
      </c>
      <c r="X1399" s="748">
        <f t="shared" si="374"/>
        <v>1.232561403508772</v>
      </c>
      <c r="Y1399" s="451" t="str">
        <f>IFERROR(VLOOKUP(E:E,'Item Data Support Sheet'!A:J,6,0),0)</f>
        <v>FO105</v>
      </c>
      <c r="Z1399" s="428">
        <f>IFERROR(VLOOKUP(E:E,'Item Data Support Sheet'!A:O,4,0),0)</f>
        <v>0</v>
      </c>
      <c r="AA1399" s="428">
        <f t="shared" si="375"/>
        <v>0</v>
      </c>
      <c r="AB1399" s="429" t="str">
        <f t="shared" si="376"/>
        <v xml:space="preserve"> </v>
      </c>
      <c r="AC1399" s="424">
        <f t="shared" si="377"/>
        <v>5.7738027850107549E-3</v>
      </c>
      <c r="AD1399" s="371">
        <f t="shared" si="378"/>
        <v>0</v>
      </c>
      <c r="AE1399" s="748">
        <f t="shared" si="379"/>
        <v>0.99422619721498928</v>
      </c>
      <c r="AF1399" s="417">
        <f t="shared" si="380"/>
        <v>0</v>
      </c>
      <c r="AG1399" s="416">
        <f t="shared" si="381"/>
        <v>3</v>
      </c>
      <c r="AH1399" s="372">
        <f t="shared" si="382"/>
        <v>1</v>
      </c>
      <c r="AI1399" s="373">
        <f t="shared" si="383"/>
        <v>2927.3333333333335</v>
      </c>
      <c r="AJ1399" s="418">
        <f>VLOOKUP(D1399,'Standard Cycle time'!C:D,2,0)</f>
        <v>4</v>
      </c>
      <c r="AK1399" s="418">
        <f t="shared" si="384"/>
        <v>1.229788203142792</v>
      </c>
      <c r="AL1399" s="374">
        <f t="shared" si="385"/>
        <v>3.2525925925925927</v>
      </c>
      <c r="AM1399" s="372">
        <f t="shared" si="386"/>
        <v>3.2338127644229764</v>
      </c>
      <c r="AN1399" s="799">
        <v>3.2338127644229764</v>
      </c>
      <c r="AO1399" s="448"/>
      <c r="AP1399" s="440"/>
      <c r="AQ1399" s="440">
        <v>0</v>
      </c>
      <c r="AR1399" s="440">
        <v>0</v>
      </c>
      <c r="AS1399" s="440">
        <v>0</v>
      </c>
      <c r="AT1399" s="440">
        <v>0</v>
      </c>
      <c r="AU1399" s="440">
        <v>0</v>
      </c>
      <c r="AV1399" s="440">
        <v>0</v>
      </c>
      <c r="AW1399" s="440">
        <v>0</v>
      </c>
      <c r="AX1399" s="440">
        <v>0</v>
      </c>
      <c r="AY1399" s="440">
        <v>0</v>
      </c>
      <c r="AZ1399" s="440">
        <v>0</v>
      </c>
      <c r="BA1399" s="440">
        <v>0</v>
      </c>
      <c r="BB1399" s="440">
        <v>0</v>
      </c>
      <c r="BC1399" s="440">
        <v>0</v>
      </c>
      <c r="BD1399" s="440">
        <v>0</v>
      </c>
      <c r="BE1399" s="440">
        <v>0</v>
      </c>
      <c r="BF1399" s="440">
        <v>0</v>
      </c>
      <c r="BG1399" s="440">
        <v>0</v>
      </c>
      <c r="BH1399" s="440">
        <v>0</v>
      </c>
      <c r="BI1399" s="440">
        <v>0</v>
      </c>
      <c r="BJ1399" s="440">
        <v>0</v>
      </c>
      <c r="BK1399" s="440">
        <v>0</v>
      </c>
      <c r="BL1399" s="440">
        <v>0</v>
      </c>
      <c r="BM1399" s="440">
        <v>0</v>
      </c>
      <c r="BN1399" s="440">
        <v>0</v>
      </c>
      <c r="BO1399" s="440">
        <v>0</v>
      </c>
      <c r="BP1399" s="440">
        <v>0</v>
      </c>
      <c r="BQ1399" s="440">
        <v>0</v>
      </c>
      <c r="BR1399" s="415">
        <v>0</v>
      </c>
      <c r="BS1399" s="415">
        <v>0</v>
      </c>
      <c r="BT1399" s="935"/>
      <c r="BU1399" s="935"/>
      <c r="BV1399" s="935"/>
      <c r="BW1399" s="935"/>
      <c r="BX1399" s="935"/>
      <c r="BY1399" s="935"/>
      <c r="BZ1399" s="935"/>
      <c r="CA1399" s="935"/>
      <c r="CB1399" s="935"/>
      <c r="CC1399" s="935"/>
      <c r="CD1399" s="935"/>
      <c r="CE1399" s="935"/>
      <c r="CF1399" s="935"/>
      <c r="CG1399" s="935"/>
      <c r="CH1399" s="935"/>
      <c r="CI1399" s="935"/>
      <c r="CJ1399" s="935"/>
      <c r="CK1399" s="935"/>
      <c r="CL1399" s="935"/>
      <c r="CM1399" s="935"/>
      <c r="CN1399" s="935"/>
      <c r="CO1399" s="935"/>
      <c r="CP1399" s="935"/>
      <c r="CQ1399" s="935"/>
      <c r="CR1399" s="935"/>
      <c r="CS1399" s="935"/>
      <c r="CT1399" s="935"/>
      <c r="CU1399" s="935"/>
      <c r="CV1399" s="935"/>
    </row>
    <row r="1400" spans="1:100" s="441" customFormat="1">
      <c r="A1400" s="375">
        <f t="shared" si="372"/>
        <v>11</v>
      </c>
      <c r="B1400" s="862">
        <v>44525</v>
      </c>
      <c r="C1400" s="493" t="s">
        <v>2000</v>
      </c>
      <c r="D1400" s="376" t="str">
        <f>IFERROR(VLOOKUP(E:E,'Item Data Support Sheet'!A:O,7,0),"")</f>
        <v>NIPPLE PUNCH INSPECTED</v>
      </c>
      <c r="E1400" s="447" t="s">
        <v>1820</v>
      </c>
      <c r="F1400" s="500"/>
      <c r="G1400" s="497"/>
      <c r="H1400" s="602" t="str">
        <f>IFERROR(VLOOKUP(E:E,'Item Data Support Sheet'!A:O,2,0),"")</f>
        <v>NIPPLE S TYPE L SIZE PUNCHED INSPECTED</v>
      </c>
      <c r="I1400" s="501" t="s">
        <v>4157</v>
      </c>
      <c r="J1400" s="501" t="s">
        <v>2811</v>
      </c>
      <c r="K1400" s="499">
        <v>3</v>
      </c>
      <c r="L1400" s="499">
        <v>7125</v>
      </c>
      <c r="M1400" s="366">
        <v>2375</v>
      </c>
      <c r="N1400" s="367">
        <f t="shared" si="371"/>
        <v>6000</v>
      </c>
      <c r="O1400" s="61">
        <v>5934</v>
      </c>
      <c r="P1400" s="368">
        <v>0</v>
      </c>
      <c r="Q1400" s="368">
        <v>0</v>
      </c>
      <c r="R1400" s="494">
        <v>0</v>
      </c>
      <c r="S1400" s="493">
        <v>0</v>
      </c>
      <c r="T1400" s="494">
        <v>66</v>
      </c>
      <c r="U1400" s="493">
        <v>0</v>
      </c>
      <c r="V1400" s="502">
        <v>1</v>
      </c>
      <c r="W1400" s="453">
        <f t="shared" si="373"/>
        <v>5934</v>
      </c>
      <c r="X1400" s="748">
        <f t="shared" si="374"/>
        <v>0.83284210526315794</v>
      </c>
      <c r="Y1400" s="451" t="str">
        <f>IFERROR(VLOOKUP(E:E,'Item Data Support Sheet'!A:J,6,0),0)</f>
        <v>FO106</v>
      </c>
      <c r="Z1400" s="428">
        <f>IFERROR(VLOOKUP(E:E,'Item Data Support Sheet'!A:O,4,0),0)</f>
        <v>0</v>
      </c>
      <c r="AA1400" s="428">
        <f t="shared" si="375"/>
        <v>0</v>
      </c>
      <c r="AB1400" s="429" t="str">
        <f t="shared" si="376"/>
        <v xml:space="preserve"> </v>
      </c>
      <c r="AC1400" s="424">
        <f t="shared" si="377"/>
        <v>1.0999999999999999E-2</v>
      </c>
      <c r="AD1400" s="371">
        <f t="shared" si="378"/>
        <v>0</v>
      </c>
      <c r="AE1400" s="748">
        <f t="shared" si="379"/>
        <v>0.98899999999999999</v>
      </c>
      <c r="AF1400" s="417">
        <f t="shared" si="380"/>
        <v>0.83333333333333337</v>
      </c>
      <c r="AG1400" s="416">
        <f t="shared" si="381"/>
        <v>2.1666666666666665</v>
      </c>
      <c r="AH1400" s="372">
        <f t="shared" si="382"/>
        <v>0.72222222222222221</v>
      </c>
      <c r="AI1400" s="373">
        <f t="shared" si="383"/>
        <v>1978</v>
      </c>
      <c r="AJ1400" s="418">
        <f>VLOOKUP(D1400,'Standard Cycle time'!C:D,2,0)</f>
        <v>4</v>
      </c>
      <c r="AK1400" s="418">
        <f t="shared" si="384"/>
        <v>1.3144590495449948</v>
      </c>
      <c r="AL1400" s="374">
        <f t="shared" si="385"/>
        <v>3.0430769230769235</v>
      </c>
      <c r="AM1400" s="372">
        <f t="shared" si="386"/>
        <v>2.1736022222222222</v>
      </c>
      <c r="AN1400" s="799">
        <v>2.1736022222222222</v>
      </c>
      <c r="AO1400" s="448"/>
      <c r="AP1400" s="440">
        <v>50</v>
      </c>
      <c r="AQ1400" s="440">
        <v>0</v>
      </c>
      <c r="AR1400" s="440">
        <v>0</v>
      </c>
      <c r="AS1400" s="440">
        <v>0</v>
      </c>
      <c r="AT1400" s="440">
        <v>0</v>
      </c>
      <c r="AU1400" s="440">
        <v>0</v>
      </c>
      <c r="AV1400" s="440">
        <v>0</v>
      </c>
      <c r="AW1400" s="440">
        <v>0</v>
      </c>
      <c r="AX1400" s="440">
        <v>0</v>
      </c>
      <c r="AY1400" s="440">
        <v>0</v>
      </c>
      <c r="AZ1400" s="440">
        <v>0</v>
      </c>
      <c r="BA1400" s="440">
        <v>0</v>
      </c>
      <c r="BB1400" s="440">
        <v>0</v>
      </c>
      <c r="BC1400" s="440">
        <v>0</v>
      </c>
      <c r="BD1400" s="440">
        <v>0</v>
      </c>
      <c r="BE1400" s="440">
        <v>0</v>
      </c>
      <c r="BF1400" s="440">
        <v>0</v>
      </c>
      <c r="BG1400" s="440">
        <v>0</v>
      </c>
      <c r="BH1400" s="440">
        <v>0</v>
      </c>
      <c r="BI1400" s="440">
        <v>0</v>
      </c>
      <c r="BJ1400" s="440">
        <v>0</v>
      </c>
      <c r="BK1400" s="440">
        <v>0</v>
      </c>
      <c r="BL1400" s="440">
        <v>0</v>
      </c>
      <c r="BM1400" s="440">
        <v>0</v>
      </c>
      <c r="BN1400" s="440">
        <v>0</v>
      </c>
      <c r="BO1400" s="440">
        <v>0</v>
      </c>
      <c r="BP1400" s="440">
        <v>0</v>
      </c>
      <c r="BQ1400" s="440">
        <v>0</v>
      </c>
      <c r="BR1400" s="415">
        <v>0.83333333333333337</v>
      </c>
      <c r="BS1400" s="415">
        <v>0.83333333333333337</v>
      </c>
      <c r="BT1400" s="935"/>
      <c r="BU1400" s="935"/>
      <c r="BV1400" s="935"/>
      <c r="BW1400" s="935"/>
      <c r="BX1400" s="935"/>
      <c r="BY1400" s="935"/>
      <c r="BZ1400" s="935"/>
      <c r="CA1400" s="935"/>
      <c r="CB1400" s="935"/>
      <c r="CC1400" s="935"/>
      <c r="CD1400" s="935"/>
      <c r="CE1400" s="935"/>
      <c r="CF1400" s="935"/>
      <c r="CG1400" s="935"/>
      <c r="CH1400" s="935"/>
      <c r="CI1400" s="935"/>
      <c r="CJ1400" s="935"/>
      <c r="CK1400" s="935"/>
      <c r="CL1400" s="935"/>
      <c r="CM1400" s="935"/>
      <c r="CN1400" s="935"/>
      <c r="CO1400" s="935"/>
      <c r="CP1400" s="935"/>
      <c r="CQ1400" s="935"/>
      <c r="CR1400" s="935"/>
      <c r="CS1400" s="935"/>
      <c r="CT1400" s="935"/>
      <c r="CU1400" s="935"/>
      <c r="CV1400" s="935"/>
    </row>
    <row r="1401" spans="1:100" s="441" customFormat="1">
      <c r="A1401" s="375">
        <f t="shared" si="372"/>
        <v>11</v>
      </c>
      <c r="B1401" s="862">
        <v>44525</v>
      </c>
      <c r="C1401" s="493" t="s">
        <v>2000</v>
      </c>
      <c r="D1401" s="376" t="str">
        <f>IFERROR(VLOOKUP(E:E,'Item Data Support Sheet'!A:O,7,0),"")</f>
        <v>NIPPLE PUNCH INSPECTED</v>
      </c>
      <c r="E1401" s="447" t="s">
        <v>2488</v>
      </c>
      <c r="F1401" s="500"/>
      <c r="G1401" s="497"/>
      <c r="H1401" s="602" t="str">
        <f>IFERROR(VLOOKUP(E:E,'Item Data Support Sheet'!A:O,2,0),"")</f>
        <v>NIPPLE S TYPE LL SIZE INSPECTED</v>
      </c>
      <c r="I1401" s="501" t="s">
        <v>4179</v>
      </c>
      <c r="J1401" s="501" t="s">
        <v>2811</v>
      </c>
      <c r="K1401" s="499">
        <v>2</v>
      </c>
      <c r="L1401" s="499">
        <v>4750</v>
      </c>
      <c r="M1401" s="366">
        <v>2375</v>
      </c>
      <c r="N1401" s="367">
        <f t="shared" si="371"/>
        <v>4000</v>
      </c>
      <c r="O1401" s="61">
        <v>3984</v>
      </c>
      <c r="P1401" s="368">
        <v>0</v>
      </c>
      <c r="Q1401" s="368">
        <v>0</v>
      </c>
      <c r="R1401" s="494">
        <v>0</v>
      </c>
      <c r="S1401" s="493">
        <v>0</v>
      </c>
      <c r="T1401" s="494">
        <v>16</v>
      </c>
      <c r="U1401" s="493">
        <v>0</v>
      </c>
      <c r="V1401" s="502">
        <v>1</v>
      </c>
      <c r="W1401" s="453">
        <f t="shared" si="373"/>
        <v>3984</v>
      </c>
      <c r="X1401" s="748">
        <f t="shared" si="374"/>
        <v>0.83873684210526311</v>
      </c>
      <c r="Y1401" s="451" t="str">
        <f>IFERROR(VLOOKUP(E:E,'Item Data Support Sheet'!A:J,6,0),0)</f>
        <v>FO152</v>
      </c>
      <c r="Z1401" s="428">
        <f>IFERROR(VLOOKUP(E:E,'Item Data Support Sheet'!A:O,4,0),0)</f>
        <v>0</v>
      </c>
      <c r="AA1401" s="428">
        <f t="shared" si="375"/>
        <v>0</v>
      </c>
      <c r="AB1401" s="429" t="str">
        <f t="shared" si="376"/>
        <v xml:space="preserve"> </v>
      </c>
      <c r="AC1401" s="424">
        <f t="shared" si="377"/>
        <v>4.0000000000000001E-3</v>
      </c>
      <c r="AD1401" s="371">
        <f t="shared" si="378"/>
        <v>0</v>
      </c>
      <c r="AE1401" s="748">
        <f t="shared" si="379"/>
        <v>0.996</v>
      </c>
      <c r="AF1401" s="417">
        <f t="shared" si="380"/>
        <v>0</v>
      </c>
      <c r="AG1401" s="416">
        <f t="shared" si="381"/>
        <v>2</v>
      </c>
      <c r="AH1401" s="372">
        <f t="shared" si="382"/>
        <v>1</v>
      </c>
      <c r="AI1401" s="373">
        <f t="shared" si="383"/>
        <v>1992</v>
      </c>
      <c r="AJ1401" s="418">
        <f>VLOOKUP(D1401,'Standard Cycle time'!C:D,2,0)</f>
        <v>4</v>
      </c>
      <c r="AK1401" s="418">
        <f t="shared" si="384"/>
        <v>1.8072289156626506</v>
      </c>
      <c r="AL1401" s="374">
        <f t="shared" si="385"/>
        <v>2.2133333333333334</v>
      </c>
      <c r="AM1401" s="372">
        <f t="shared" si="386"/>
        <v>2.2044800000000002</v>
      </c>
      <c r="AN1401" s="799">
        <v>2.2044800000000002</v>
      </c>
      <c r="AO1401" s="448"/>
      <c r="AP1401" s="440">
        <v>0</v>
      </c>
      <c r="AQ1401" s="440">
        <v>0</v>
      </c>
      <c r="AR1401" s="440">
        <v>0</v>
      </c>
      <c r="AS1401" s="440">
        <v>0</v>
      </c>
      <c r="AT1401" s="440">
        <v>0</v>
      </c>
      <c r="AU1401" s="440">
        <v>0</v>
      </c>
      <c r="AV1401" s="440">
        <v>0</v>
      </c>
      <c r="AW1401" s="440">
        <v>0</v>
      </c>
      <c r="AX1401" s="440">
        <v>0</v>
      </c>
      <c r="AY1401" s="440">
        <v>0</v>
      </c>
      <c r="AZ1401" s="440">
        <v>0</v>
      </c>
      <c r="BA1401" s="440">
        <v>0</v>
      </c>
      <c r="BB1401" s="440">
        <v>0</v>
      </c>
      <c r="BC1401" s="440">
        <v>0</v>
      </c>
      <c r="BD1401" s="440">
        <v>0</v>
      </c>
      <c r="BE1401" s="440">
        <v>0</v>
      </c>
      <c r="BF1401" s="440">
        <v>0</v>
      </c>
      <c r="BG1401" s="440">
        <v>0</v>
      </c>
      <c r="BH1401" s="440">
        <v>0</v>
      </c>
      <c r="BI1401" s="440">
        <v>0</v>
      </c>
      <c r="BJ1401" s="440">
        <v>0</v>
      </c>
      <c r="BK1401" s="440">
        <v>0</v>
      </c>
      <c r="BL1401" s="440">
        <v>0</v>
      </c>
      <c r="BM1401" s="440">
        <v>0</v>
      </c>
      <c r="BN1401" s="440">
        <v>0</v>
      </c>
      <c r="BO1401" s="440">
        <v>0</v>
      </c>
      <c r="BP1401" s="440">
        <v>0</v>
      </c>
      <c r="BQ1401" s="440">
        <v>0</v>
      </c>
      <c r="BR1401" s="415">
        <v>0</v>
      </c>
      <c r="BS1401" s="415">
        <v>0</v>
      </c>
      <c r="BT1401" s="935"/>
      <c r="BU1401" s="935"/>
      <c r="BV1401" s="935"/>
      <c r="BW1401" s="935"/>
      <c r="BX1401" s="935"/>
      <c r="BY1401" s="935"/>
      <c r="BZ1401" s="935"/>
      <c r="CA1401" s="935"/>
      <c r="CB1401" s="935"/>
      <c r="CC1401" s="935"/>
      <c r="CD1401" s="935"/>
      <c r="CE1401" s="935"/>
      <c r="CF1401" s="935"/>
      <c r="CG1401" s="935"/>
      <c r="CH1401" s="935"/>
      <c r="CI1401" s="935"/>
      <c r="CJ1401" s="935"/>
      <c r="CK1401" s="935"/>
      <c r="CL1401" s="935"/>
      <c r="CM1401" s="935"/>
      <c r="CN1401" s="935"/>
      <c r="CO1401" s="935"/>
      <c r="CP1401" s="935"/>
      <c r="CQ1401" s="935"/>
      <c r="CR1401" s="935"/>
      <c r="CS1401" s="935"/>
      <c r="CT1401" s="935"/>
      <c r="CU1401" s="935"/>
      <c r="CV1401" s="935"/>
    </row>
    <row r="1402" spans="1:100" s="441" customFormat="1">
      <c r="A1402" s="375">
        <f t="shared" si="372"/>
        <v>11</v>
      </c>
      <c r="B1402" s="862">
        <v>44525</v>
      </c>
      <c r="C1402" s="493" t="s">
        <v>2000</v>
      </c>
      <c r="D1402" s="376" t="str">
        <f>IFERROR(VLOOKUP(E:E,'Item Data Support Sheet'!A:O,7,0),"")</f>
        <v>NIPPLE WRAP PRINTED</v>
      </c>
      <c r="E1402" s="447" t="s">
        <v>109</v>
      </c>
      <c r="F1402" s="500"/>
      <c r="G1402" s="497" t="s">
        <v>1693</v>
      </c>
      <c r="H1402" s="602" t="str">
        <f>IFERROR(VLOOKUP(E:E,'Item Data Support Sheet'!A:O,2,0),"")</f>
        <v>NIPPLE S TYPE M SIZE WITH PRINTED WRAP</v>
      </c>
      <c r="I1402" s="501" t="s">
        <v>4181</v>
      </c>
      <c r="J1402" s="501" t="s">
        <v>2811</v>
      </c>
      <c r="K1402" s="499">
        <v>8</v>
      </c>
      <c r="L1402" s="499">
        <v>10000</v>
      </c>
      <c r="M1402" s="366">
        <v>1250</v>
      </c>
      <c r="N1402" s="367">
        <f t="shared" si="371"/>
        <v>4405</v>
      </c>
      <c r="O1402" s="61">
        <v>4405</v>
      </c>
      <c r="P1402" s="368">
        <v>0</v>
      </c>
      <c r="Q1402" s="368">
        <v>0</v>
      </c>
      <c r="R1402" s="494"/>
      <c r="S1402" s="493">
        <v>0</v>
      </c>
      <c r="T1402" s="494">
        <v>0</v>
      </c>
      <c r="U1402" s="493">
        <v>0</v>
      </c>
      <c r="V1402" s="502">
        <v>2</v>
      </c>
      <c r="W1402" s="453">
        <f t="shared" si="373"/>
        <v>2202.5</v>
      </c>
      <c r="X1402" s="748">
        <f t="shared" si="374"/>
        <v>0.4405</v>
      </c>
      <c r="Y1402" s="451" t="str">
        <f>IFERROR(VLOOKUP(E:E,'Item Data Support Sheet'!A:J,6,0),0)</f>
        <v>FO020</v>
      </c>
      <c r="Z1402" s="428">
        <f>IFERROR(VLOOKUP(E:E,'Item Data Support Sheet'!A:O,4,0),0)</f>
        <v>0</v>
      </c>
      <c r="AA1402" s="428">
        <f t="shared" si="375"/>
        <v>0</v>
      </c>
      <c r="AB1402" s="429" t="str">
        <f t="shared" si="376"/>
        <v xml:space="preserve"> </v>
      </c>
      <c r="AC1402" s="424">
        <f t="shared" si="377"/>
        <v>0</v>
      </c>
      <c r="AD1402" s="371">
        <f t="shared" si="378"/>
        <v>0</v>
      </c>
      <c r="AE1402" s="748">
        <f t="shared" si="379"/>
        <v>1</v>
      </c>
      <c r="AF1402" s="417">
        <f t="shared" si="380"/>
        <v>0.83333333333333337</v>
      </c>
      <c r="AG1402" s="416">
        <f t="shared" si="381"/>
        <v>7.166666666666667</v>
      </c>
      <c r="AH1402" s="372">
        <f t="shared" si="382"/>
        <v>0.89583333333333337</v>
      </c>
      <c r="AI1402" s="373">
        <f t="shared" si="383"/>
        <v>550.625</v>
      </c>
      <c r="AJ1402" s="418">
        <f>VLOOKUP(D1402,'Standard Cycle time'!C:D,2,0)</f>
        <v>2.5</v>
      </c>
      <c r="AK1402" s="418">
        <f t="shared" si="384"/>
        <v>11.713961407491487</v>
      </c>
      <c r="AL1402" s="374">
        <f t="shared" si="385"/>
        <v>0.21342054263565891</v>
      </c>
      <c r="AM1402" s="372">
        <f t="shared" si="386"/>
        <v>0.1911892361111111</v>
      </c>
      <c r="AN1402" s="799">
        <v>0.1911892361111111</v>
      </c>
      <c r="AO1402" s="448"/>
      <c r="AP1402" s="440">
        <v>50</v>
      </c>
      <c r="AQ1402" s="440"/>
      <c r="AR1402" s="440">
        <v>0</v>
      </c>
      <c r="AS1402" s="440">
        <v>0</v>
      </c>
      <c r="AT1402" s="440">
        <v>0</v>
      </c>
      <c r="AU1402" s="440">
        <v>0</v>
      </c>
      <c r="AV1402" s="440">
        <v>0</v>
      </c>
      <c r="AW1402" s="440">
        <v>0</v>
      </c>
      <c r="AX1402" s="440">
        <v>0</v>
      </c>
      <c r="AY1402" s="440">
        <v>0</v>
      </c>
      <c r="AZ1402" s="440">
        <v>0</v>
      </c>
      <c r="BA1402" s="440">
        <v>0</v>
      </c>
      <c r="BB1402" s="440">
        <v>0</v>
      </c>
      <c r="BC1402" s="440">
        <v>0</v>
      </c>
      <c r="BD1402" s="440">
        <v>0</v>
      </c>
      <c r="BE1402" s="440">
        <v>0</v>
      </c>
      <c r="BF1402" s="440">
        <v>0</v>
      </c>
      <c r="BG1402" s="440">
        <v>0</v>
      </c>
      <c r="BH1402" s="440">
        <v>0</v>
      </c>
      <c r="BI1402" s="440">
        <v>0</v>
      </c>
      <c r="BJ1402" s="440">
        <v>0</v>
      </c>
      <c r="BK1402" s="440">
        <v>0</v>
      </c>
      <c r="BL1402" s="440">
        <v>0</v>
      </c>
      <c r="BM1402" s="440">
        <v>0</v>
      </c>
      <c r="BN1402" s="440">
        <v>0</v>
      </c>
      <c r="BO1402" s="440">
        <v>0</v>
      </c>
      <c r="BP1402" s="440">
        <v>0</v>
      </c>
      <c r="BQ1402" s="440">
        <v>0</v>
      </c>
      <c r="BR1402" s="415">
        <v>0.83333333333333337</v>
      </c>
      <c r="BS1402" s="415">
        <v>0.83333333333333337</v>
      </c>
      <c r="BT1402" s="935"/>
      <c r="BU1402" s="935"/>
      <c r="BV1402" s="935"/>
      <c r="BW1402" s="935"/>
      <c r="BX1402" s="935"/>
      <c r="BY1402" s="935"/>
      <c r="BZ1402" s="935"/>
      <c r="CA1402" s="935"/>
      <c r="CB1402" s="935"/>
      <c r="CC1402" s="935"/>
      <c r="CD1402" s="935"/>
      <c r="CE1402" s="935"/>
      <c r="CF1402" s="935"/>
      <c r="CG1402" s="935"/>
      <c r="CH1402" s="935"/>
      <c r="CI1402" s="935"/>
      <c r="CJ1402" s="935"/>
      <c r="CK1402" s="935"/>
      <c r="CL1402" s="935"/>
      <c r="CM1402" s="935"/>
      <c r="CN1402" s="935"/>
      <c r="CO1402" s="935"/>
      <c r="CP1402" s="935"/>
      <c r="CQ1402" s="935"/>
      <c r="CR1402" s="935"/>
      <c r="CS1402" s="935"/>
      <c r="CT1402" s="935"/>
      <c r="CU1402" s="935"/>
      <c r="CV1402" s="935"/>
    </row>
    <row r="1403" spans="1:100" s="441" customFormat="1">
      <c r="A1403" s="375">
        <f t="shared" si="372"/>
        <v>11</v>
      </c>
      <c r="B1403" s="862">
        <v>44525</v>
      </c>
      <c r="C1403" s="493" t="s">
        <v>2000</v>
      </c>
      <c r="D1403" s="376" t="str">
        <f>IFERROR(VLOOKUP(E:E,'Item Data Support Sheet'!A:O,7,0),"")</f>
        <v>BOTTLE PRINTED</v>
      </c>
      <c r="E1403" s="447" t="s">
        <v>369</v>
      </c>
      <c r="F1403" s="500"/>
      <c r="G1403" s="497"/>
      <c r="H1403" s="602" t="str">
        <f>IFERROR(VLOOKUP(E:E,'Item Data Support Sheet'!A:O,2,0),"")</f>
        <v>RPP 120ML ABSTRCT BLU BOTLE PNTD WM3GB W/BIS LOGO</v>
      </c>
      <c r="I1403" s="501" t="s">
        <v>4182</v>
      </c>
      <c r="J1403" s="501" t="s">
        <v>2811</v>
      </c>
      <c r="K1403" s="499">
        <v>2</v>
      </c>
      <c r="L1403" s="499">
        <v>992</v>
      </c>
      <c r="M1403" s="366">
        <v>496</v>
      </c>
      <c r="N1403" s="367">
        <f t="shared" si="371"/>
        <v>552</v>
      </c>
      <c r="O1403" s="61">
        <v>542</v>
      </c>
      <c r="P1403" s="368">
        <v>0</v>
      </c>
      <c r="Q1403" s="368">
        <v>0</v>
      </c>
      <c r="R1403" s="494">
        <v>12</v>
      </c>
      <c r="S1403" s="493">
        <v>0</v>
      </c>
      <c r="T1403" s="494">
        <v>10</v>
      </c>
      <c r="U1403" s="493">
        <v>0</v>
      </c>
      <c r="V1403" s="502">
        <v>5</v>
      </c>
      <c r="W1403" s="453">
        <f t="shared" si="373"/>
        <v>108.4</v>
      </c>
      <c r="X1403" s="748">
        <f t="shared" si="374"/>
        <v>0.5463709677419355</v>
      </c>
      <c r="Y1403" s="451" t="str">
        <f>IFERROR(VLOOKUP(E:E,'Item Data Support Sheet'!A:J,6,0),0)</f>
        <v>FO054</v>
      </c>
      <c r="Z1403" s="428">
        <f>IFERROR(VLOOKUP(E:E,'Item Data Support Sheet'!A:O,4,0),0)</f>
        <v>0</v>
      </c>
      <c r="AA1403" s="428">
        <f t="shared" si="375"/>
        <v>0</v>
      </c>
      <c r="AB1403" s="429" t="str">
        <f t="shared" si="376"/>
        <v xml:space="preserve"> </v>
      </c>
      <c r="AC1403" s="424">
        <f t="shared" si="377"/>
        <v>1.8115942028985508E-2</v>
      </c>
      <c r="AD1403" s="371">
        <f t="shared" si="378"/>
        <v>0</v>
      </c>
      <c r="AE1403" s="748">
        <f t="shared" si="379"/>
        <v>0.98188405797101452</v>
      </c>
      <c r="AF1403" s="417">
        <f t="shared" si="380"/>
        <v>1</v>
      </c>
      <c r="AG1403" s="416">
        <f t="shared" si="381"/>
        <v>1</v>
      </c>
      <c r="AH1403" s="372">
        <f t="shared" si="382"/>
        <v>0.5</v>
      </c>
      <c r="AI1403" s="373">
        <f t="shared" si="383"/>
        <v>271</v>
      </c>
      <c r="AJ1403" s="418">
        <f>VLOOKUP(D1403,'Standard Cycle time'!C:D,2,0)</f>
        <v>32.4</v>
      </c>
      <c r="AK1403" s="418">
        <f t="shared" si="384"/>
        <v>33.210332103321036</v>
      </c>
      <c r="AL1403" s="374">
        <f t="shared" si="385"/>
        <v>0.97559999999999991</v>
      </c>
      <c r="AM1403" s="372">
        <f t="shared" si="386"/>
        <v>0.47896304347826085</v>
      </c>
      <c r="AN1403" s="799">
        <v>0.47896304347826085</v>
      </c>
      <c r="AO1403" s="448" t="s">
        <v>4183</v>
      </c>
      <c r="AP1403" s="440">
        <v>0</v>
      </c>
      <c r="AQ1403" s="440">
        <v>60</v>
      </c>
      <c r="AR1403" s="440">
        <v>0</v>
      </c>
      <c r="AS1403" s="440">
        <v>0</v>
      </c>
      <c r="AT1403" s="440">
        <v>0</v>
      </c>
      <c r="AU1403" s="440">
        <v>0</v>
      </c>
      <c r="AV1403" s="440">
        <v>0</v>
      </c>
      <c r="AW1403" s="440">
        <v>0</v>
      </c>
      <c r="AX1403" s="440">
        <v>0</v>
      </c>
      <c r="AY1403" s="440">
        <v>0</v>
      </c>
      <c r="AZ1403" s="440">
        <v>0</v>
      </c>
      <c r="BA1403" s="440">
        <v>0</v>
      </c>
      <c r="BB1403" s="440">
        <v>0</v>
      </c>
      <c r="BC1403" s="440">
        <v>0</v>
      </c>
      <c r="BD1403" s="440">
        <v>0</v>
      </c>
      <c r="BE1403" s="440">
        <v>0</v>
      </c>
      <c r="BF1403" s="440">
        <v>0</v>
      </c>
      <c r="BG1403" s="440">
        <v>0</v>
      </c>
      <c r="BH1403" s="440">
        <v>0</v>
      </c>
      <c r="BI1403" s="440">
        <v>0</v>
      </c>
      <c r="BJ1403" s="440">
        <v>0</v>
      </c>
      <c r="BK1403" s="440">
        <v>0</v>
      </c>
      <c r="BL1403" s="440">
        <v>0</v>
      </c>
      <c r="BM1403" s="440">
        <v>0</v>
      </c>
      <c r="BN1403" s="440">
        <v>0</v>
      </c>
      <c r="BO1403" s="440">
        <v>0</v>
      </c>
      <c r="BP1403" s="440">
        <v>0</v>
      </c>
      <c r="BQ1403" s="440">
        <v>0</v>
      </c>
      <c r="BR1403" s="415">
        <v>1</v>
      </c>
      <c r="BS1403" s="415">
        <v>1</v>
      </c>
      <c r="BT1403" s="935"/>
      <c r="BU1403" s="935"/>
      <c r="BV1403" s="935"/>
      <c r="BW1403" s="935"/>
      <c r="BX1403" s="935"/>
      <c r="BY1403" s="935"/>
      <c r="BZ1403" s="935"/>
      <c r="CA1403" s="935"/>
      <c r="CB1403" s="935"/>
      <c r="CC1403" s="935"/>
      <c r="CD1403" s="935"/>
      <c r="CE1403" s="935"/>
      <c r="CF1403" s="935"/>
      <c r="CG1403" s="935"/>
      <c r="CH1403" s="935"/>
      <c r="CI1403" s="935"/>
      <c r="CJ1403" s="935"/>
      <c r="CK1403" s="935"/>
      <c r="CL1403" s="935"/>
      <c r="CM1403" s="935"/>
      <c r="CN1403" s="935"/>
      <c r="CO1403" s="935"/>
      <c r="CP1403" s="935"/>
      <c r="CQ1403" s="935"/>
      <c r="CR1403" s="935"/>
      <c r="CS1403" s="935"/>
      <c r="CT1403" s="935"/>
      <c r="CU1403" s="935"/>
      <c r="CV1403" s="935"/>
    </row>
    <row r="1404" spans="1:100" s="441" customFormat="1">
      <c r="A1404" s="375">
        <f t="shared" si="372"/>
        <v>11</v>
      </c>
      <c r="B1404" s="862">
        <v>44525</v>
      </c>
      <c r="C1404" s="493" t="s">
        <v>2000</v>
      </c>
      <c r="D1404" s="376" t="str">
        <f>IFERROR(VLOOKUP(E:E,'Item Data Support Sheet'!A:O,7,0),"")</f>
        <v>BOTTLE PRINTED</v>
      </c>
      <c r="E1404" s="447" t="s">
        <v>1904</v>
      </c>
      <c r="F1404" s="500"/>
      <c r="G1404" s="497"/>
      <c r="H1404" s="602" t="str">
        <f>IFERROR(VLOOKUP(E:E,'Item Data Support Sheet'!A:O,2,0),"")</f>
        <v>RPP 240 ML RPP PRINTED ELEPHANT</v>
      </c>
      <c r="I1404" s="501" t="s">
        <v>4184</v>
      </c>
      <c r="J1404" s="501" t="s">
        <v>2811</v>
      </c>
      <c r="K1404" s="499">
        <v>2</v>
      </c>
      <c r="L1404" s="499">
        <v>850</v>
      </c>
      <c r="M1404" s="366">
        <v>425</v>
      </c>
      <c r="N1404" s="367">
        <f t="shared" si="371"/>
        <v>418</v>
      </c>
      <c r="O1404" s="61">
        <v>410</v>
      </c>
      <c r="P1404" s="368">
        <v>0</v>
      </c>
      <c r="Q1404" s="368">
        <v>0</v>
      </c>
      <c r="R1404" s="494">
        <v>16</v>
      </c>
      <c r="S1404" s="493">
        <v>0</v>
      </c>
      <c r="T1404" s="494">
        <v>8</v>
      </c>
      <c r="U1404" s="493">
        <v>0</v>
      </c>
      <c r="V1404" s="502">
        <v>5</v>
      </c>
      <c r="W1404" s="453">
        <f t="shared" si="373"/>
        <v>82</v>
      </c>
      <c r="X1404" s="748">
        <f t="shared" si="374"/>
        <v>0.4823529411764706</v>
      </c>
      <c r="Y1404" s="451" t="str">
        <f>IFERROR(VLOOKUP(E:E,'Item Data Support Sheet'!A:J,6,0),0)</f>
        <v>FO005</v>
      </c>
      <c r="Z1404" s="428">
        <f>IFERROR(VLOOKUP(E:E,'Item Data Support Sheet'!A:O,4,0),0)</f>
        <v>32</v>
      </c>
      <c r="AA1404" s="428">
        <f t="shared" si="375"/>
        <v>13.375999999999999</v>
      </c>
      <c r="AB1404" s="429">
        <f t="shared" si="376"/>
        <v>0.98086124401913888</v>
      </c>
      <c r="AC1404" s="424">
        <f t="shared" si="377"/>
        <v>1.9138755980861243E-2</v>
      </c>
      <c r="AD1404" s="371">
        <f t="shared" si="378"/>
        <v>0</v>
      </c>
      <c r="AE1404" s="748">
        <f t="shared" si="379"/>
        <v>0.98086124401913877</v>
      </c>
      <c r="AF1404" s="417">
        <f t="shared" si="380"/>
        <v>1.1666666666666667</v>
      </c>
      <c r="AG1404" s="416">
        <f t="shared" si="381"/>
        <v>0.83333333333333326</v>
      </c>
      <c r="AH1404" s="372">
        <f t="shared" si="382"/>
        <v>0.41666666666666663</v>
      </c>
      <c r="AI1404" s="373">
        <f t="shared" si="383"/>
        <v>205</v>
      </c>
      <c r="AJ1404" s="418">
        <f>VLOOKUP(D1404,'Standard Cycle time'!C:D,2,0)</f>
        <v>32.4</v>
      </c>
      <c r="AK1404" s="418">
        <f t="shared" si="384"/>
        <v>36.58536585365853</v>
      </c>
      <c r="AL1404" s="374">
        <f t="shared" si="385"/>
        <v>0.88560000000000016</v>
      </c>
      <c r="AM1404" s="372">
        <f t="shared" si="386"/>
        <v>0.36193779904306222</v>
      </c>
      <c r="AN1404" s="799">
        <v>0.36193779904306222</v>
      </c>
      <c r="AO1404" s="448" t="s">
        <v>4183</v>
      </c>
      <c r="AP1404" s="440">
        <v>0</v>
      </c>
      <c r="AQ1404" s="440">
        <v>70</v>
      </c>
      <c r="AR1404" s="440">
        <v>0</v>
      </c>
      <c r="AS1404" s="440">
        <v>0</v>
      </c>
      <c r="AT1404" s="440">
        <v>0</v>
      </c>
      <c r="AU1404" s="440">
        <v>0</v>
      </c>
      <c r="AV1404" s="440">
        <v>0</v>
      </c>
      <c r="AW1404" s="440">
        <v>0</v>
      </c>
      <c r="AX1404" s="440">
        <v>0</v>
      </c>
      <c r="AY1404" s="440">
        <v>0</v>
      </c>
      <c r="AZ1404" s="440">
        <v>0</v>
      </c>
      <c r="BA1404" s="440">
        <v>0</v>
      </c>
      <c r="BB1404" s="440">
        <v>0</v>
      </c>
      <c r="BC1404" s="440">
        <v>0</v>
      </c>
      <c r="BD1404" s="440">
        <v>0</v>
      </c>
      <c r="BE1404" s="440">
        <v>0</v>
      </c>
      <c r="BF1404" s="440">
        <v>0</v>
      </c>
      <c r="BG1404" s="440">
        <v>0</v>
      </c>
      <c r="BH1404" s="440">
        <v>0</v>
      </c>
      <c r="BI1404" s="440">
        <v>0</v>
      </c>
      <c r="BJ1404" s="440">
        <v>0</v>
      </c>
      <c r="BK1404" s="440">
        <v>0</v>
      </c>
      <c r="BL1404" s="440">
        <v>0</v>
      </c>
      <c r="BM1404" s="440">
        <v>0</v>
      </c>
      <c r="BN1404" s="440">
        <v>0</v>
      </c>
      <c r="BO1404" s="440">
        <v>0</v>
      </c>
      <c r="BP1404" s="440">
        <v>0</v>
      </c>
      <c r="BQ1404" s="440">
        <v>0</v>
      </c>
      <c r="BR1404" s="415">
        <v>1.1666666666666667</v>
      </c>
      <c r="BS1404" s="415">
        <v>1.1666666666666667</v>
      </c>
      <c r="BT1404" s="935"/>
      <c r="BU1404" s="935"/>
      <c r="BV1404" s="935"/>
      <c r="BW1404" s="935"/>
      <c r="BX1404" s="935"/>
      <c r="BY1404" s="935"/>
      <c r="BZ1404" s="935"/>
      <c r="CA1404" s="935"/>
      <c r="CB1404" s="935"/>
      <c r="CC1404" s="935"/>
      <c r="CD1404" s="935"/>
      <c r="CE1404" s="935"/>
      <c r="CF1404" s="935"/>
      <c r="CG1404" s="935"/>
      <c r="CH1404" s="935"/>
      <c r="CI1404" s="935"/>
      <c r="CJ1404" s="935"/>
      <c r="CK1404" s="935"/>
      <c r="CL1404" s="935"/>
      <c r="CM1404" s="935"/>
      <c r="CN1404" s="935"/>
      <c r="CO1404" s="935"/>
      <c r="CP1404" s="935"/>
      <c r="CQ1404" s="935"/>
      <c r="CR1404" s="935"/>
      <c r="CS1404" s="935"/>
      <c r="CT1404" s="935"/>
      <c r="CU1404" s="935"/>
      <c r="CV1404" s="935"/>
    </row>
    <row r="1405" spans="1:100" s="441" customFormat="1">
      <c r="A1405" s="375">
        <f t="shared" si="372"/>
        <v>11</v>
      </c>
      <c r="B1405" s="862">
        <v>44525</v>
      </c>
      <c r="C1405" s="493" t="s">
        <v>2000</v>
      </c>
      <c r="D1405" s="376" t="str">
        <f>IFERROR(VLOOKUP(E:E,'Item Data Support Sheet'!A:O,7,0),"")</f>
        <v>BOTTLE PRINTED</v>
      </c>
      <c r="E1405" s="447" t="s">
        <v>232</v>
      </c>
      <c r="F1405" s="500"/>
      <c r="G1405" s="497"/>
      <c r="H1405" s="602" t="str">
        <f>IFERROR(VLOOKUP(E:E,'Item Data Support Sheet'!A:O,2,0),"")</f>
        <v>RPP 120ML BOY BLUE BOTLE PNTD WM3GB W/BIS LOGO</v>
      </c>
      <c r="I1405" s="501" t="s">
        <v>4185</v>
      </c>
      <c r="J1405" s="501" t="s">
        <v>2811</v>
      </c>
      <c r="K1405" s="499">
        <v>4</v>
      </c>
      <c r="L1405" s="499">
        <v>1558</v>
      </c>
      <c r="M1405" s="366">
        <v>389.5</v>
      </c>
      <c r="N1405" s="367">
        <f t="shared" si="371"/>
        <v>1045</v>
      </c>
      <c r="O1405" s="61">
        <v>1032</v>
      </c>
      <c r="P1405" s="368">
        <v>0</v>
      </c>
      <c r="Q1405" s="368">
        <v>0</v>
      </c>
      <c r="R1405" s="494">
        <v>0</v>
      </c>
      <c r="S1405" s="493">
        <v>0</v>
      </c>
      <c r="T1405" s="494">
        <v>13</v>
      </c>
      <c r="U1405" s="493">
        <v>0</v>
      </c>
      <c r="V1405" s="502">
        <v>5</v>
      </c>
      <c r="W1405" s="453">
        <f t="shared" si="373"/>
        <v>206.4</v>
      </c>
      <c r="X1405" s="748">
        <f t="shared" si="374"/>
        <v>0.66238767650834407</v>
      </c>
      <c r="Y1405" s="451" t="str">
        <f>IFERROR(VLOOKUP(E:E,'Item Data Support Sheet'!A:J,6,0),0)</f>
        <v>FO054</v>
      </c>
      <c r="Z1405" s="428">
        <f>IFERROR(VLOOKUP(E:E,'Item Data Support Sheet'!A:O,4,0),0)</f>
        <v>0</v>
      </c>
      <c r="AA1405" s="428">
        <f t="shared" si="375"/>
        <v>0</v>
      </c>
      <c r="AB1405" s="429" t="str">
        <f t="shared" si="376"/>
        <v xml:space="preserve"> </v>
      </c>
      <c r="AC1405" s="424">
        <f t="shared" si="377"/>
        <v>1.2440191387559809E-2</v>
      </c>
      <c r="AD1405" s="371">
        <f t="shared" si="378"/>
        <v>0</v>
      </c>
      <c r="AE1405" s="748">
        <f t="shared" si="379"/>
        <v>0.98755980861244019</v>
      </c>
      <c r="AF1405" s="417">
        <f t="shared" si="380"/>
        <v>2.5</v>
      </c>
      <c r="AG1405" s="416">
        <f t="shared" si="381"/>
        <v>1.5</v>
      </c>
      <c r="AH1405" s="372">
        <f t="shared" si="382"/>
        <v>0.375</v>
      </c>
      <c r="AI1405" s="373">
        <f t="shared" si="383"/>
        <v>258</v>
      </c>
      <c r="AJ1405" s="418">
        <f>VLOOKUP(D1405,'Standard Cycle time'!C:D,2,0)</f>
        <v>32.4</v>
      </c>
      <c r="AK1405" s="418">
        <f t="shared" si="384"/>
        <v>26.162790697674417</v>
      </c>
      <c r="AL1405" s="374">
        <f t="shared" si="385"/>
        <v>1.2383999999999999</v>
      </c>
      <c r="AM1405" s="372">
        <f t="shared" si="386"/>
        <v>0.45862277511961719</v>
      </c>
      <c r="AN1405" s="799">
        <v>0.45862277511961719</v>
      </c>
      <c r="AO1405" s="448" t="s">
        <v>4183</v>
      </c>
      <c r="AP1405" s="440">
        <v>0</v>
      </c>
      <c r="AQ1405" s="440">
        <v>150</v>
      </c>
      <c r="AR1405" s="440">
        <v>0</v>
      </c>
      <c r="AS1405" s="440">
        <v>0</v>
      </c>
      <c r="AT1405" s="440">
        <v>0</v>
      </c>
      <c r="AU1405" s="440">
        <v>0</v>
      </c>
      <c r="AV1405" s="440">
        <v>0</v>
      </c>
      <c r="AW1405" s="440">
        <v>0</v>
      </c>
      <c r="AX1405" s="440">
        <v>0</v>
      </c>
      <c r="AY1405" s="440">
        <v>0</v>
      </c>
      <c r="AZ1405" s="440">
        <v>0</v>
      </c>
      <c r="BA1405" s="440">
        <v>0</v>
      </c>
      <c r="BB1405" s="440">
        <v>0</v>
      </c>
      <c r="BC1405" s="440">
        <v>0</v>
      </c>
      <c r="BD1405" s="440">
        <v>0</v>
      </c>
      <c r="BE1405" s="440">
        <v>0</v>
      </c>
      <c r="BF1405" s="440">
        <v>0</v>
      </c>
      <c r="BG1405" s="440">
        <v>0</v>
      </c>
      <c r="BH1405" s="440">
        <v>0</v>
      </c>
      <c r="BI1405" s="440">
        <v>0</v>
      </c>
      <c r="BJ1405" s="440">
        <v>0</v>
      </c>
      <c r="BK1405" s="440">
        <v>0</v>
      </c>
      <c r="BL1405" s="440">
        <v>0</v>
      </c>
      <c r="BM1405" s="440">
        <v>0</v>
      </c>
      <c r="BN1405" s="440">
        <v>0</v>
      </c>
      <c r="BO1405" s="440">
        <v>0</v>
      </c>
      <c r="BP1405" s="440">
        <v>0</v>
      </c>
      <c r="BQ1405" s="440">
        <v>0</v>
      </c>
      <c r="BR1405" s="415">
        <v>2.5</v>
      </c>
      <c r="BS1405" s="415">
        <v>2.5</v>
      </c>
      <c r="BT1405" s="935"/>
      <c r="BU1405" s="935"/>
      <c r="BV1405" s="935"/>
      <c r="BW1405" s="935"/>
      <c r="BX1405" s="935"/>
      <c r="BY1405" s="935"/>
      <c r="BZ1405" s="935"/>
      <c r="CA1405" s="935"/>
      <c r="CB1405" s="935"/>
      <c r="CC1405" s="935"/>
      <c r="CD1405" s="935"/>
      <c r="CE1405" s="935"/>
      <c r="CF1405" s="935"/>
      <c r="CG1405" s="935"/>
      <c r="CH1405" s="935"/>
      <c r="CI1405" s="935"/>
      <c r="CJ1405" s="935"/>
      <c r="CK1405" s="935"/>
      <c r="CL1405" s="935"/>
      <c r="CM1405" s="935"/>
      <c r="CN1405" s="935"/>
      <c r="CO1405" s="935"/>
      <c r="CP1405" s="935"/>
      <c r="CQ1405" s="935"/>
      <c r="CR1405" s="935"/>
      <c r="CS1405" s="935"/>
      <c r="CT1405" s="935"/>
      <c r="CU1405" s="935"/>
      <c r="CV1405" s="935"/>
    </row>
    <row r="1406" spans="1:100" s="441" customFormat="1">
      <c r="A1406" s="375">
        <f t="shared" si="372"/>
        <v>11</v>
      </c>
      <c r="B1406" s="862">
        <v>44525</v>
      </c>
      <c r="C1406" s="493" t="s">
        <v>2001</v>
      </c>
      <c r="D1406" s="376" t="str">
        <f>IFERROR(VLOOKUP(E:E,'Item Data Support Sheet'!A:O,7,0),"")</f>
        <v>CAP MOLDED</v>
      </c>
      <c r="E1406" s="447" t="s">
        <v>2106</v>
      </c>
      <c r="F1406" s="500" t="s">
        <v>4140</v>
      </c>
      <c r="G1406" s="497" t="s">
        <v>2729</v>
      </c>
      <c r="H1406" s="602" t="str">
        <f>IFERROR(VLOOKUP(E:E,'Item Data Support Sheet'!A:O,2,0),"")</f>
        <v>CAP S TYPE MOLDED RED</v>
      </c>
      <c r="I1406" s="501" t="s">
        <v>4172</v>
      </c>
      <c r="J1406" s="501" t="s">
        <v>2811</v>
      </c>
      <c r="K1406" s="499">
        <v>8</v>
      </c>
      <c r="L1406" s="499">
        <v>4137</v>
      </c>
      <c r="M1406" s="366">
        <v>517.125</v>
      </c>
      <c r="N1406" s="367">
        <f t="shared" si="371"/>
        <v>4516</v>
      </c>
      <c r="O1406" s="61">
        <v>4500</v>
      </c>
      <c r="P1406" s="368">
        <v>0</v>
      </c>
      <c r="Q1406" s="368">
        <v>8</v>
      </c>
      <c r="R1406" s="494">
        <v>0</v>
      </c>
      <c r="S1406" s="493">
        <v>0</v>
      </c>
      <c r="T1406" s="494">
        <v>8</v>
      </c>
      <c r="U1406" s="493">
        <v>0</v>
      </c>
      <c r="V1406" s="502">
        <v>1</v>
      </c>
      <c r="W1406" s="453">
        <f t="shared" si="373"/>
        <v>4500</v>
      </c>
      <c r="X1406" s="748">
        <f t="shared" si="374"/>
        <v>1.0877447425670776</v>
      </c>
      <c r="Y1406" s="451" t="str">
        <f>IFERROR(VLOOKUP(E:E,'Item Data Support Sheet'!A:J,6,0),0)</f>
        <v>FO153</v>
      </c>
      <c r="Z1406" s="428">
        <f>IFERROR(VLOOKUP(E:E,'Item Data Support Sheet'!A:O,4,0),0)</f>
        <v>7.3</v>
      </c>
      <c r="AA1406" s="428">
        <f t="shared" si="375"/>
        <v>32.966799999999999</v>
      </c>
      <c r="AB1406" s="429">
        <f t="shared" si="376"/>
        <v>0.9964570416297609</v>
      </c>
      <c r="AC1406" s="424">
        <f t="shared" si="377"/>
        <v>1.7746228926353151E-3</v>
      </c>
      <c r="AD1406" s="371">
        <f t="shared" si="378"/>
        <v>1.7683465959328027E-3</v>
      </c>
      <c r="AE1406" s="748">
        <f t="shared" si="379"/>
        <v>0.99822852081488045</v>
      </c>
      <c r="AF1406" s="417">
        <f t="shared" si="380"/>
        <v>0</v>
      </c>
      <c r="AG1406" s="416">
        <f t="shared" si="381"/>
        <v>8</v>
      </c>
      <c r="AH1406" s="372">
        <f t="shared" si="382"/>
        <v>1</v>
      </c>
      <c r="AI1406" s="373">
        <f t="shared" si="383"/>
        <v>562.5</v>
      </c>
      <c r="AJ1406" s="418">
        <f>VLOOKUP(D1406,'Standard Cycle time'!C:D,2,0)</f>
        <v>6</v>
      </c>
      <c r="AK1406" s="418">
        <f t="shared" si="384"/>
        <v>6.4</v>
      </c>
      <c r="AL1406" s="374">
        <f t="shared" si="385"/>
        <v>0.9375</v>
      </c>
      <c r="AM1406" s="372">
        <f t="shared" si="386"/>
        <v>0.93583923826395043</v>
      </c>
      <c r="AN1406" s="799">
        <v>0.93583923826395043</v>
      </c>
      <c r="AO1406" s="448"/>
      <c r="AP1406" s="440">
        <v>0</v>
      </c>
      <c r="AQ1406" s="440">
        <v>0</v>
      </c>
      <c r="AR1406" s="440">
        <v>0</v>
      </c>
      <c r="AS1406" s="440">
        <v>0</v>
      </c>
      <c r="AT1406" s="440">
        <v>0</v>
      </c>
      <c r="AU1406" s="440">
        <v>0</v>
      </c>
      <c r="AV1406" s="440">
        <v>0</v>
      </c>
      <c r="AW1406" s="440">
        <v>0</v>
      </c>
      <c r="AX1406" s="440">
        <v>0</v>
      </c>
      <c r="AY1406" s="440">
        <v>0</v>
      </c>
      <c r="AZ1406" s="440">
        <v>0</v>
      </c>
      <c r="BA1406" s="440">
        <v>0</v>
      </c>
      <c r="BB1406" s="440">
        <v>0</v>
      </c>
      <c r="BC1406" s="440">
        <v>0</v>
      </c>
      <c r="BD1406" s="440">
        <v>0</v>
      </c>
      <c r="BE1406" s="440">
        <v>0</v>
      </c>
      <c r="BF1406" s="440">
        <v>0</v>
      </c>
      <c r="BG1406" s="440">
        <v>0</v>
      </c>
      <c r="BH1406" s="440">
        <v>0</v>
      </c>
      <c r="BI1406" s="440">
        <v>0</v>
      </c>
      <c r="BJ1406" s="440">
        <v>0</v>
      </c>
      <c r="BK1406" s="440">
        <v>0</v>
      </c>
      <c r="BL1406" s="440">
        <v>0</v>
      </c>
      <c r="BM1406" s="440">
        <v>0</v>
      </c>
      <c r="BN1406" s="440">
        <v>0</v>
      </c>
      <c r="BO1406" s="440">
        <v>0</v>
      </c>
      <c r="BP1406" s="440">
        <v>0</v>
      </c>
      <c r="BQ1406" s="440">
        <v>0</v>
      </c>
      <c r="BR1406" s="415">
        <v>0</v>
      </c>
      <c r="BS1406" s="415">
        <v>0</v>
      </c>
      <c r="BT1406" s="935"/>
      <c r="BU1406" s="935"/>
      <c r="BV1406" s="935"/>
      <c r="BW1406" s="935"/>
      <c r="BX1406" s="935"/>
      <c r="BY1406" s="935"/>
      <c r="BZ1406" s="935"/>
      <c r="CA1406" s="935"/>
      <c r="CB1406" s="935"/>
      <c r="CC1406" s="935"/>
      <c r="CD1406" s="935"/>
      <c r="CE1406" s="935"/>
      <c r="CF1406" s="935"/>
      <c r="CG1406" s="935"/>
      <c r="CH1406" s="935"/>
      <c r="CI1406" s="935"/>
      <c r="CJ1406" s="935"/>
      <c r="CK1406" s="935"/>
      <c r="CL1406" s="935"/>
      <c r="CM1406" s="935"/>
      <c r="CN1406" s="935"/>
      <c r="CO1406" s="935"/>
      <c r="CP1406" s="935"/>
      <c r="CQ1406" s="935"/>
      <c r="CR1406" s="935"/>
      <c r="CS1406" s="935"/>
      <c r="CT1406" s="935"/>
      <c r="CU1406" s="935"/>
      <c r="CV1406" s="935"/>
    </row>
    <row r="1407" spans="1:100" s="441" customFormat="1">
      <c r="A1407" s="375">
        <f t="shared" si="372"/>
        <v>11</v>
      </c>
      <c r="B1407" s="862">
        <v>44525</v>
      </c>
      <c r="C1407" s="493" t="s">
        <v>2001</v>
      </c>
      <c r="D1407" s="376" t="str">
        <f>IFERROR(VLOOKUP(E:E,'Item Data Support Sheet'!A:O,7,0),"")</f>
        <v>NIPPLE MOLDED</v>
      </c>
      <c r="E1407" s="447" t="s">
        <v>74</v>
      </c>
      <c r="F1407" s="500" t="s">
        <v>1678</v>
      </c>
      <c r="G1407" s="497" t="s">
        <v>1691</v>
      </c>
      <c r="H1407" s="602" t="str">
        <f>IFERROR(VLOOKUP(E:E,'Item Data Support Sheet'!A:O,2,0),"")</f>
        <v>NIPPLE S TYPE L SIZE INJECTION</v>
      </c>
      <c r="I1407" s="501" t="s">
        <v>4186</v>
      </c>
      <c r="J1407" s="501" t="s">
        <v>2811</v>
      </c>
      <c r="K1407" s="499">
        <v>8</v>
      </c>
      <c r="L1407" s="499">
        <v>4815</v>
      </c>
      <c r="M1407" s="366">
        <v>601.875</v>
      </c>
      <c r="N1407" s="367">
        <f t="shared" si="371"/>
        <v>5310</v>
      </c>
      <c r="O1407" s="61">
        <v>5200</v>
      </c>
      <c r="P1407" s="368">
        <v>0</v>
      </c>
      <c r="Q1407" s="368">
        <v>40</v>
      </c>
      <c r="R1407" s="494">
        <v>0</v>
      </c>
      <c r="S1407" s="493">
        <v>0</v>
      </c>
      <c r="T1407" s="494">
        <v>70</v>
      </c>
      <c r="U1407" s="493">
        <v>0</v>
      </c>
      <c r="V1407" s="502">
        <v>1</v>
      </c>
      <c r="W1407" s="453">
        <f t="shared" si="373"/>
        <v>5200</v>
      </c>
      <c r="X1407" s="748">
        <f t="shared" si="374"/>
        <v>1.0799584631360333</v>
      </c>
      <c r="Y1407" s="451" t="str">
        <f>IFERROR(VLOOKUP(E:E,'Item Data Support Sheet'!A:J,6,0),0)</f>
        <v>Silicon</v>
      </c>
      <c r="Z1407" s="428">
        <f>IFERROR(VLOOKUP(E:E,'Item Data Support Sheet'!A:O,4,0),0)</f>
        <v>6.8</v>
      </c>
      <c r="AA1407" s="428">
        <f t="shared" si="375"/>
        <v>36.107999999999997</v>
      </c>
      <c r="AB1407" s="429">
        <f t="shared" si="376"/>
        <v>0.97928436911487771</v>
      </c>
      <c r="AC1407" s="424">
        <f t="shared" si="377"/>
        <v>1.3282732447817837E-2</v>
      </c>
      <c r="AD1407" s="371">
        <f t="shared" si="378"/>
        <v>7.4766355140186919E-3</v>
      </c>
      <c r="AE1407" s="748">
        <f t="shared" si="379"/>
        <v>0.98681732580037662</v>
      </c>
      <c r="AF1407" s="417">
        <f t="shared" si="380"/>
        <v>0</v>
      </c>
      <c r="AG1407" s="416">
        <f t="shared" si="381"/>
        <v>8</v>
      </c>
      <c r="AH1407" s="372">
        <f t="shared" si="382"/>
        <v>1</v>
      </c>
      <c r="AI1407" s="373">
        <f t="shared" si="383"/>
        <v>650</v>
      </c>
      <c r="AJ1407" s="418">
        <f>VLOOKUP(D1407,'Standard Cycle time'!C:D,2,0)</f>
        <v>5.25</v>
      </c>
      <c r="AK1407" s="418">
        <f t="shared" si="384"/>
        <v>5.5384615384615383</v>
      </c>
      <c r="AL1407" s="374">
        <f t="shared" si="385"/>
        <v>0.94791666666666674</v>
      </c>
      <c r="AM1407" s="372">
        <f t="shared" si="386"/>
        <v>0.93542059008160705</v>
      </c>
      <c r="AN1407" s="799">
        <v>0.93542059008160705</v>
      </c>
      <c r="AO1407" s="448"/>
      <c r="AP1407" s="440">
        <v>0</v>
      </c>
      <c r="AQ1407" s="440">
        <v>0</v>
      </c>
      <c r="AR1407" s="440">
        <v>0</v>
      </c>
      <c r="AS1407" s="440">
        <v>0</v>
      </c>
      <c r="AT1407" s="440">
        <v>0</v>
      </c>
      <c r="AU1407" s="440">
        <v>0</v>
      </c>
      <c r="AV1407" s="440">
        <v>0</v>
      </c>
      <c r="AW1407" s="440">
        <v>0</v>
      </c>
      <c r="AX1407" s="440">
        <v>0</v>
      </c>
      <c r="AY1407" s="440">
        <v>0</v>
      </c>
      <c r="AZ1407" s="440">
        <v>0</v>
      </c>
      <c r="BA1407" s="440">
        <v>0</v>
      </c>
      <c r="BB1407" s="440">
        <v>0</v>
      </c>
      <c r="BC1407" s="440">
        <v>0</v>
      </c>
      <c r="BD1407" s="440">
        <v>0</v>
      </c>
      <c r="BE1407" s="440">
        <v>0</v>
      </c>
      <c r="BF1407" s="440">
        <v>0</v>
      </c>
      <c r="BG1407" s="440">
        <v>0</v>
      </c>
      <c r="BH1407" s="440">
        <v>0</v>
      </c>
      <c r="BI1407" s="440">
        <v>0</v>
      </c>
      <c r="BJ1407" s="440">
        <v>0</v>
      </c>
      <c r="BK1407" s="440">
        <v>0</v>
      </c>
      <c r="BL1407" s="440">
        <v>0</v>
      </c>
      <c r="BM1407" s="440">
        <v>0</v>
      </c>
      <c r="BN1407" s="440">
        <v>0</v>
      </c>
      <c r="BO1407" s="440">
        <v>0</v>
      </c>
      <c r="BP1407" s="440">
        <v>0</v>
      </c>
      <c r="BQ1407" s="440">
        <v>0</v>
      </c>
      <c r="BR1407" s="415">
        <v>0</v>
      </c>
      <c r="BS1407" s="415">
        <v>0</v>
      </c>
      <c r="BT1407" s="935"/>
      <c r="BU1407" s="935"/>
      <c r="BV1407" s="935"/>
      <c r="BW1407" s="935"/>
      <c r="BX1407" s="935"/>
      <c r="BY1407" s="935"/>
      <c r="BZ1407" s="935"/>
      <c r="CA1407" s="935"/>
      <c r="CB1407" s="935"/>
      <c r="CC1407" s="935"/>
      <c r="CD1407" s="935"/>
      <c r="CE1407" s="935"/>
      <c r="CF1407" s="935"/>
      <c r="CG1407" s="935"/>
      <c r="CH1407" s="935"/>
      <c r="CI1407" s="935"/>
      <c r="CJ1407" s="935"/>
      <c r="CK1407" s="935"/>
      <c r="CL1407" s="935"/>
      <c r="CM1407" s="935"/>
      <c r="CN1407" s="935"/>
      <c r="CO1407" s="935"/>
      <c r="CP1407" s="935"/>
      <c r="CQ1407" s="935"/>
      <c r="CR1407" s="935"/>
      <c r="CS1407" s="935"/>
      <c r="CT1407" s="935"/>
      <c r="CU1407" s="935"/>
      <c r="CV1407" s="935"/>
    </row>
    <row r="1408" spans="1:100" s="441" customFormat="1">
      <c r="A1408" s="375">
        <f t="shared" si="372"/>
        <v>11</v>
      </c>
      <c r="B1408" s="862">
        <v>44525</v>
      </c>
      <c r="C1408" s="493" t="s">
        <v>2001</v>
      </c>
      <c r="D1408" s="376" t="str">
        <f>IFERROR(VLOOKUP(E:E,'Item Data Support Sheet'!A:O,7,0),"")</f>
        <v>NIPPLE MOLDED</v>
      </c>
      <c r="E1408" s="447" t="s">
        <v>2484</v>
      </c>
      <c r="F1408" s="500" t="s">
        <v>1677</v>
      </c>
      <c r="G1408" s="497" t="s">
        <v>1690</v>
      </c>
      <c r="H1408" s="602" t="str">
        <f>IFERROR(VLOOKUP(E:E,'Item Data Support Sheet'!A:O,2,0),"")</f>
        <v>NIPPLE S TYPE LL SIZE INJECTION</v>
      </c>
      <c r="I1408" s="501" t="s">
        <v>4186</v>
      </c>
      <c r="J1408" s="501" t="s">
        <v>2811</v>
      </c>
      <c r="K1408" s="499">
        <v>8</v>
      </c>
      <c r="L1408" s="499">
        <v>3611</v>
      </c>
      <c r="M1408" s="366">
        <v>451.375</v>
      </c>
      <c r="N1408" s="367">
        <f t="shared" si="371"/>
        <v>2670</v>
      </c>
      <c r="O1408" s="61">
        <v>2500</v>
      </c>
      <c r="P1408" s="368">
        <v>0</v>
      </c>
      <c r="Q1408" s="368">
        <v>102</v>
      </c>
      <c r="R1408" s="494">
        <v>0</v>
      </c>
      <c r="S1408" s="493">
        <v>0</v>
      </c>
      <c r="T1408" s="494">
        <v>68</v>
      </c>
      <c r="U1408" s="493">
        <v>0</v>
      </c>
      <c r="V1408" s="502">
        <v>1</v>
      </c>
      <c r="W1408" s="453">
        <f t="shared" si="373"/>
        <v>2500</v>
      </c>
      <c r="X1408" s="748">
        <f t="shared" si="374"/>
        <v>0.69232899473829967</v>
      </c>
      <c r="Y1408" s="451" t="str">
        <f>IFERROR(VLOOKUP(E:E,'Item Data Support Sheet'!A:J,6,0),0)</f>
        <v>FO148</v>
      </c>
      <c r="Z1408" s="428">
        <f>IFERROR(VLOOKUP(E:E,'Item Data Support Sheet'!A:O,4,0),0)</f>
        <v>6.8</v>
      </c>
      <c r="AA1408" s="428">
        <f t="shared" si="375"/>
        <v>18.155999999999999</v>
      </c>
      <c r="AB1408" s="429">
        <f t="shared" si="376"/>
        <v>0.93632958801498134</v>
      </c>
      <c r="AC1408" s="424">
        <f t="shared" si="377"/>
        <v>2.6479750778816199E-2</v>
      </c>
      <c r="AD1408" s="371">
        <f t="shared" si="378"/>
        <v>3.67965367965368E-2</v>
      </c>
      <c r="AE1408" s="748">
        <f t="shared" si="379"/>
        <v>0.97453183520599251</v>
      </c>
      <c r="AF1408" s="417">
        <f t="shared" si="380"/>
        <v>0</v>
      </c>
      <c r="AG1408" s="416">
        <f t="shared" si="381"/>
        <v>8</v>
      </c>
      <c r="AH1408" s="372">
        <f t="shared" si="382"/>
        <v>1</v>
      </c>
      <c r="AI1408" s="373">
        <f t="shared" si="383"/>
        <v>312.5</v>
      </c>
      <c r="AJ1408" s="418">
        <f>VLOOKUP(D1408,'Standard Cycle time'!C:D,2,0)</f>
        <v>5.25</v>
      </c>
      <c r="AK1408" s="418">
        <f t="shared" si="384"/>
        <v>11.52</v>
      </c>
      <c r="AL1408" s="374">
        <f t="shared" si="385"/>
        <v>0.45572916666666669</v>
      </c>
      <c r="AM1408" s="372">
        <f t="shared" si="386"/>
        <v>0.44412258114856429</v>
      </c>
      <c r="AN1408" s="799">
        <v>0.44412258114856429</v>
      </c>
      <c r="AO1408" s="448"/>
      <c r="AP1408" s="440">
        <v>0</v>
      </c>
      <c r="AQ1408" s="440">
        <v>0</v>
      </c>
      <c r="AR1408" s="440">
        <v>0</v>
      </c>
      <c r="AS1408" s="440">
        <v>0</v>
      </c>
      <c r="AT1408" s="440">
        <v>0</v>
      </c>
      <c r="AU1408" s="440">
        <v>0</v>
      </c>
      <c r="AV1408" s="440">
        <v>0</v>
      </c>
      <c r="AW1408" s="440">
        <v>0</v>
      </c>
      <c r="AX1408" s="440">
        <v>0</v>
      </c>
      <c r="AY1408" s="440">
        <v>0</v>
      </c>
      <c r="AZ1408" s="440">
        <v>0</v>
      </c>
      <c r="BA1408" s="440">
        <v>0</v>
      </c>
      <c r="BB1408" s="440">
        <v>0</v>
      </c>
      <c r="BC1408" s="440">
        <v>0</v>
      </c>
      <c r="BD1408" s="440">
        <v>0</v>
      </c>
      <c r="BE1408" s="440">
        <v>0</v>
      </c>
      <c r="BF1408" s="440">
        <v>0</v>
      </c>
      <c r="BG1408" s="440">
        <v>0</v>
      </c>
      <c r="BH1408" s="440">
        <v>0</v>
      </c>
      <c r="BI1408" s="440">
        <v>0</v>
      </c>
      <c r="BJ1408" s="440">
        <v>0</v>
      </c>
      <c r="BK1408" s="440">
        <v>0</v>
      </c>
      <c r="BL1408" s="440">
        <v>0</v>
      </c>
      <c r="BM1408" s="440">
        <v>0</v>
      </c>
      <c r="BN1408" s="440">
        <v>0</v>
      </c>
      <c r="BO1408" s="440">
        <v>0</v>
      </c>
      <c r="BP1408" s="440">
        <v>0</v>
      </c>
      <c r="BQ1408" s="440">
        <v>0</v>
      </c>
      <c r="BR1408" s="415">
        <v>0</v>
      </c>
      <c r="BS1408" s="415">
        <v>0</v>
      </c>
      <c r="BT1408" s="935"/>
      <c r="BU1408" s="935"/>
      <c r="BV1408" s="935"/>
      <c r="BW1408" s="935"/>
      <c r="BX1408" s="935"/>
      <c r="BY1408" s="935"/>
      <c r="BZ1408" s="935"/>
      <c r="CA1408" s="935"/>
      <c r="CB1408" s="935"/>
      <c r="CC1408" s="935"/>
      <c r="CD1408" s="935"/>
      <c r="CE1408" s="935"/>
      <c r="CF1408" s="935"/>
      <c r="CG1408" s="935"/>
      <c r="CH1408" s="935"/>
      <c r="CI1408" s="935"/>
      <c r="CJ1408" s="935"/>
      <c r="CK1408" s="935"/>
      <c r="CL1408" s="935"/>
      <c r="CM1408" s="935"/>
      <c r="CN1408" s="935"/>
      <c r="CO1408" s="935"/>
      <c r="CP1408" s="935"/>
      <c r="CQ1408" s="935"/>
      <c r="CR1408" s="935"/>
      <c r="CS1408" s="935"/>
      <c r="CT1408" s="935"/>
      <c r="CU1408" s="935"/>
      <c r="CV1408" s="935"/>
    </row>
    <row r="1409" spans="1:100" s="441" customFormat="1">
      <c r="A1409" s="375">
        <f t="shared" si="372"/>
        <v>11</v>
      </c>
      <c r="B1409" s="862">
        <v>44525</v>
      </c>
      <c r="C1409" s="493" t="s">
        <v>2001</v>
      </c>
      <c r="D1409" s="376" t="str">
        <f>IFERROR(VLOOKUP(E:E,'Item Data Support Sheet'!A:O,7,0),"")</f>
        <v>BOTTLE MOLDED</v>
      </c>
      <c r="E1409" s="447" t="s">
        <v>66</v>
      </c>
      <c r="F1409" s="500" t="s">
        <v>1664</v>
      </c>
      <c r="G1409" s="497" t="s">
        <v>1888</v>
      </c>
      <c r="H1409" s="602" t="str">
        <f>IFERROR(VLOOKUP(E:E,'Item Data Support Sheet'!A:O,2,0),"")</f>
        <v>KPP 200 ML BOTTLE MOLDED</v>
      </c>
      <c r="I1409" s="501" t="s">
        <v>4187</v>
      </c>
      <c r="J1409" s="501" t="s">
        <v>2811</v>
      </c>
      <c r="K1409" s="499">
        <v>8</v>
      </c>
      <c r="L1409" s="499">
        <v>2574</v>
      </c>
      <c r="M1409" s="366">
        <v>321.75</v>
      </c>
      <c r="N1409" s="367">
        <f t="shared" si="371"/>
        <v>2976</v>
      </c>
      <c r="O1409" s="61">
        <v>2916</v>
      </c>
      <c r="P1409" s="368">
        <v>0.4</v>
      </c>
      <c r="Q1409" s="368">
        <v>20</v>
      </c>
      <c r="R1409" s="494">
        <v>0</v>
      </c>
      <c r="S1409" s="493">
        <v>0</v>
      </c>
      <c r="T1409" s="494">
        <v>40</v>
      </c>
      <c r="U1409" s="493">
        <v>0</v>
      </c>
      <c r="V1409" s="502">
        <v>1</v>
      </c>
      <c r="W1409" s="453">
        <f t="shared" si="373"/>
        <v>2916</v>
      </c>
      <c r="X1409" s="748">
        <f t="shared" si="374"/>
        <v>1.1328671328671329</v>
      </c>
      <c r="Y1409" s="451" t="str">
        <f>IFERROR(VLOOKUP(E:E,'Item Data Support Sheet'!A:J,6,0),0)</f>
        <v>HMC</v>
      </c>
      <c r="Z1409" s="428">
        <f>IFERROR(VLOOKUP(E:E,'Item Data Support Sheet'!A:O,4,0),0)</f>
        <v>28.1</v>
      </c>
      <c r="AA1409" s="428">
        <f t="shared" si="375"/>
        <v>84.025600000000011</v>
      </c>
      <c r="AB1409" s="429">
        <f t="shared" si="376"/>
        <v>0.97517423261482206</v>
      </c>
      <c r="AC1409" s="424">
        <f t="shared" si="377"/>
        <v>1.3531799729364006E-2</v>
      </c>
      <c r="AD1409" s="371">
        <f t="shared" si="378"/>
        <v>6.6755674232309749E-3</v>
      </c>
      <c r="AE1409" s="748">
        <f t="shared" si="379"/>
        <v>0.98655913978494625</v>
      </c>
      <c r="AF1409" s="417">
        <f t="shared" si="380"/>
        <v>0</v>
      </c>
      <c r="AG1409" s="416">
        <f t="shared" si="381"/>
        <v>8</v>
      </c>
      <c r="AH1409" s="372">
        <f t="shared" si="382"/>
        <v>1</v>
      </c>
      <c r="AI1409" s="373">
        <f t="shared" si="383"/>
        <v>364.5</v>
      </c>
      <c r="AJ1409" s="418">
        <f>VLOOKUP(D1409,'Standard Cycle time'!C:D,2,0)</f>
        <v>9</v>
      </c>
      <c r="AK1409" s="418">
        <f t="shared" si="384"/>
        <v>9.8765432098765427</v>
      </c>
      <c r="AL1409" s="374">
        <f t="shared" si="385"/>
        <v>0.91125</v>
      </c>
      <c r="AM1409" s="372">
        <f t="shared" si="386"/>
        <v>0.8990020161290323</v>
      </c>
      <c r="AN1409" s="799">
        <v>0.8990020161290323</v>
      </c>
      <c r="AO1409" s="448"/>
      <c r="AP1409" s="440">
        <v>0</v>
      </c>
      <c r="AQ1409" s="440">
        <v>0</v>
      </c>
      <c r="AR1409" s="440">
        <v>0</v>
      </c>
      <c r="AS1409" s="440">
        <v>0</v>
      </c>
      <c r="AT1409" s="440">
        <v>0</v>
      </c>
      <c r="AU1409" s="440">
        <v>0</v>
      </c>
      <c r="AV1409" s="440">
        <v>0</v>
      </c>
      <c r="AW1409" s="440">
        <v>0</v>
      </c>
      <c r="AX1409" s="440">
        <v>0</v>
      </c>
      <c r="AY1409" s="440">
        <v>0</v>
      </c>
      <c r="AZ1409" s="440">
        <v>0</v>
      </c>
      <c r="BA1409" s="440">
        <v>0</v>
      </c>
      <c r="BB1409" s="440">
        <v>0</v>
      </c>
      <c r="BC1409" s="440">
        <v>0</v>
      </c>
      <c r="BD1409" s="440">
        <v>0</v>
      </c>
      <c r="BE1409" s="440">
        <v>0</v>
      </c>
      <c r="BF1409" s="440">
        <v>0</v>
      </c>
      <c r="BG1409" s="440">
        <v>0</v>
      </c>
      <c r="BH1409" s="440">
        <v>0</v>
      </c>
      <c r="BI1409" s="440">
        <v>0</v>
      </c>
      <c r="BJ1409" s="440">
        <v>0</v>
      </c>
      <c r="BK1409" s="440">
        <v>0</v>
      </c>
      <c r="BL1409" s="440">
        <v>0</v>
      </c>
      <c r="BM1409" s="440">
        <v>0</v>
      </c>
      <c r="BN1409" s="440">
        <v>0</v>
      </c>
      <c r="BO1409" s="440">
        <v>0</v>
      </c>
      <c r="BP1409" s="440">
        <v>0</v>
      </c>
      <c r="BQ1409" s="440">
        <v>0</v>
      </c>
      <c r="BR1409" s="415">
        <v>0</v>
      </c>
      <c r="BS1409" s="415">
        <v>0</v>
      </c>
      <c r="BT1409" s="935"/>
      <c r="BU1409" s="935"/>
      <c r="BV1409" s="935"/>
      <c r="BW1409" s="935"/>
      <c r="BX1409" s="935"/>
      <c r="BY1409" s="935"/>
      <c r="BZ1409" s="935"/>
      <c r="CA1409" s="935"/>
      <c r="CB1409" s="935"/>
      <c r="CC1409" s="935"/>
      <c r="CD1409" s="935"/>
      <c r="CE1409" s="935"/>
      <c r="CF1409" s="935"/>
      <c r="CG1409" s="935"/>
      <c r="CH1409" s="935"/>
      <c r="CI1409" s="935"/>
      <c r="CJ1409" s="935"/>
      <c r="CK1409" s="935"/>
      <c r="CL1409" s="935"/>
      <c r="CM1409" s="935"/>
      <c r="CN1409" s="935"/>
      <c r="CO1409" s="935"/>
      <c r="CP1409" s="935"/>
      <c r="CQ1409" s="935"/>
      <c r="CR1409" s="935"/>
      <c r="CS1409" s="935"/>
      <c r="CT1409" s="935"/>
      <c r="CU1409" s="935"/>
      <c r="CV1409" s="935"/>
    </row>
    <row r="1410" spans="1:100" s="441" customFormat="1">
      <c r="A1410" s="375">
        <f t="shared" si="372"/>
        <v>11</v>
      </c>
      <c r="B1410" s="862">
        <v>44525</v>
      </c>
      <c r="C1410" s="493" t="s">
        <v>2001</v>
      </c>
      <c r="D1410" s="376" t="str">
        <f>IFERROR(VLOOKUP(E:E,'Item Data Support Sheet'!A:O,7,0),"")</f>
        <v>NIPPLE PUNCH</v>
      </c>
      <c r="E1410" s="447" t="s">
        <v>2486</v>
      </c>
      <c r="F1410" s="500"/>
      <c r="G1410" s="497" t="s">
        <v>1692</v>
      </c>
      <c r="H1410" s="602" t="str">
        <f>IFERROR(VLOOKUP(E:E,'Item Data Support Sheet'!A:O,2,0),"")</f>
        <v>NIPPLE S TYPE LL SIZE PUNCHED</v>
      </c>
      <c r="I1410" s="501" t="s">
        <v>4188</v>
      </c>
      <c r="J1410" s="501" t="s">
        <v>2811</v>
      </c>
      <c r="K1410" s="499">
        <v>8</v>
      </c>
      <c r="L1410" s="499">
        <v>7000</v>
      </c>
      <c r="M1410" s="366">
        <v>875</v>
      </c>
      <c r="N1410" s="367">
        <f t="shared" si="371"/>
        <v>7000</v>
      </c>
      <c r="O1410" s="61">
        <v>7000</v>
      </c>
      <c r="P1410" s="368">
        <v>0</v>
      </c>
      <c r="Q1410" s="368">
        <v>0</v>
      </c>
      <c r="R1410" s="494">
        <v>0</v>
      </c>
      <c r="S1410" s="493">
        <v>0</v>
      </c>
      <c r="T1410" s="494">
        <v>0</v>
      </c>
      <c r="U1410" s="493">
        <v>0</v>
      </c>
      <c r="V1410" s="502">
        <v>1</v>
      </c>
      <c r="W1410" s="453">
        <f t="shared" si="373"/>
        <v>7000</v>
      </c>
      <c r="X1410" s="748">
        <f t="shared" si="374"/>
        <v>1</v>
      </c>
      <c r="Y1410" s="451" t="str">
        <f>IFERROR(VLOOKUP(E:E,'Item Data Support Sheet'!A:J,6,0),0)</f>
        <v>FO150</v>
      </c>
      <c r="Z1410" s="428">
        <f>IFERROR(VLOOKUP(E:E,'Item Data Support Sheet'!A:O,4,0),0)</f>
        <v>0</v>
      </c>
      <c r="AA1410" s="428">
        <f t="shared" si="375"/>
        <v>0</v>
      </c>
      <c r="AB1410" s="429" t="str">
        <f t="shared" si="376"/>
        <v xml:space="preserve"> </v>
      </c>
      <c r="AC1410" s="424">
        <f t="shared" si="377"/>
        <v>0</v>
      </c>
      <c r="AD1410" s="371">
        <f t="shared" si="378"/>
        <v>0</v>
      </c>
      <c r="AE1410" s="748">
        <f t="shared" si="379"/>
        <v>1</v>
      </c>
      <c r="AF1410" s="417">
        <f t="shared" si="380"/>
        <v>0.66666666666666663</v>
      </c>
      <c r="AG1410" s="416">
        <f t="shared" si="381"/>
        <v>7.333333333333333</v>
      </c>
      <c r="AH1410" s="372">
        <f t="shared" si="382"/>
        <v>0.91666666666666663</v>
      </c>
      <c r="AI1410" s="373">
        <f t="shared" si="383"/>
        <v>875</v>
      </c>
      <c r="AJ1410" s="418">
        <f>VLOOKUP(D1410,'Standard Cycle time'!C:D,2,0)</f>
        <v>3.5</v>
      </c>
      <c r="AK1410" s="418">
        <f t="shared" si="384"/>
        <v>3.7714285714285714</v>
      </c>
      <c r="AL1410" s="374">
        <f t="shared" si="385"/>
        <v>0.92803030303030309</v>
      </c>
      <c r="AM1410" s="372">
        <f t="shared" si="386"/>
        <v>0.85069444444444442</v>
      </c>
      <c r="AN1410" s="799">
        <v>0.85069444444444442</v>
      </c>
      <c r="AO1410" s="448"/>
      <c r="AP1410" s="440">
        <v>40</v>
      </c>
      <c r="AQ1410" s="440">
        <v>0</v>
      </c>
      <c r="AR1410" s="440">
        <v>0</v>
      </c>
      <c r="AS1410" s="440">
        <v>0</v>
      </c>
      <c r="AT1410" s="440">
        <v>0</v>
      </c>
      <c r="AU1410" s="440">
        <v>0</v>
      </c>
      <c r="AV1410" s="440">
        <v>0</v>
      </c>
      <c r="AW1410" s="440">
        <v>0</v>
      </c>
      <c r="AX1410" s="440">
        <v>0</v>
      </c>
      <c r="AY1410" s="440">
        <v>0</v>
      </c>
      <c r="AZ1410" s="440">
        <v>0</v>
      </c>
      <c r="BA1410" s="440">
        <v>0</v>
      </c>
      <c r="BB1410" s="440">
        <v>0</v>
      </c>
      <c r="BC1410" s="440">
        <v>0</v>
      </c>
      <c r="BD1410" s="440">
        <v>0</v>
      </c>
      <c r="BE1410" s="440">
        <v>0</v>
      </c>
      <c r="BF1410" s="440">
        <v>0</v>
      </c>
      <c r="BG1410" s="440">
        <v>0</v>
      </c>
      <c r="BH1410" s="440">
        <v>0</v>
      </c>
      <c r="BI1410" s="440">
        <v>0</v>
      </c>
      <c r="BJ1410" s="440">
        <v>0</v>
      </c>
      <c r="BK1410" s="440">
        <v>0</v>
      </c>
      <c r="BL1410" s="440">
        <v>0</v>
      </c>
      <c r="BM1410" s="440">
        <v>0</v>
      </c>
      <c r="BN1410" s="440">
        <v>0</v>
      </c>
      <c r="BO1410" s="440">
        <v>0</v>
      </c>
      <c r="BP1410" s="440">
        <v>0</v>
      </c>
      <c r="BQ1410" s="440">
        <v>0</v>
      </c>
      <c r="BR1410" s="415">
        <v>0.66666666666666663</v>
      </c>
      <c r="BS1410" s="415">
        <v>0.66666666666666663</v>
      </c>
      <c r="BT1410" s="935"/>
      <c r="BU1410" s="935"/>
      <c r="BV1410" s="935"/>
      <c r="BW1410" s="935"/>
      <c r="BX1410" s="935"/>
      <c r="BY1410" s="935"/>
      <c r="BZ1410" s="935"/>
      <c r="CA1410" s="935"/>
      <c r="CB1410" s="935"/>
      <c r="CC1410" s="935"/>
      <c r="CD1410" s="935"/>
      <c r="CE1410" s="935"/>
      <c r="CF1410" s="935"/>
      <c r="CG1410" s="935"/>
      <c r="CH1410" s="935"/>
      <c r="CI1410" s="935"/>
      <c r="CJ1410" s="935"/>
      <c r="CK1410" s="935"/>
      <c r="CL1410" s="935"/>
      <c r="CM1410" s="935"/>
      <c r="CN1410" s="935"/>
      <c r="CO1410" s="935"/>
      <c r="CP1410" s="935"/>
      <c r="CQ1410" s="935"/>
      <c r="CR1410" s="935"/>
      <c r="CS1410" s="935"/>
      <c r="CT1410" s="935"/>
      <c r="CU1410" s="935"/>
      <c r="CV1410" s="935"/>
    </row>
    <row r="1411" spans="1:100" s="441" customFormat="1">
      <c r="A1411" s="375">
        <f t="shared" si="372"/>
        <v>11</v>
      </c>
      <c r="B1411" s="862">
        <v>44525</v>
      </c>
      <c r="C1411" s="493" t="s">
        <v>2001</v>
      </c>
      <c r="D1411" s="376" t="str">
        <f>IFERROR(VLOOKUP(E:E,'Item Data Support Sheet'!A:O,7,0),"")</f>
        <v>NIPPLE LASER MARKING</v>
      </c>
      <c r="E1411" s="447" t="s">
        <v>2487</v>
      </c>
      <c r="F1411" s="500"/>
      <c r="G1411" s="497" t="s">
        <v>1812</v>
      </c>
      <c r="H1411" s="602" t="str">
        <f>IFERROR(VLOOKUP(E:E,'Item Data Support Sheet'!A:O,2,0),"")</f>
        <v>NIPPLE S TYPE LL SIZE LASER MARKED</v>
      </c>
      <c r="I1411" s="501" t="s">
        <v>4179</v>
      </c>
      <c r="J1411" s="501" t="s">
        <v>2811</v>
      </c>
      <c r="K1411" s="499">
        <v>8</v>
      </c>
      <c r="L1411" s="499">
        <v>7000</v>
      </c>
      <c r="M1411" s="366">
        <v>875</v>
      </c>
      <c r="N1411" s="367">
        <f t="shared" si="371"/>
        <v>7000</v>
      </c>
      <c r="O1411" s="61">
        <v>7000</v>
      </c>
      <c r="P1411" s="368">
        <v>0</v>
      </c>
      <c r="Q1411" s="368">
        <v>0</v>
      </c>
      <c r="R1411" s="494">
        <v>0</v>
      </c>
      <c r="S1411" s="493">
        <v>0</v>
      </c>
      <c r="T1411" s="494">
        <v>0</v>
      </c>
      <c r="U1411" s="493">
        <v>0</v>
      </c>
      <c r="V1411" s="502">
        <v>1</v>
      </c>
      <c r="W1411" s="453">
        <f t="shared" si="373"/>
        <v>7000</v>
      </c>
      <c r="X1411" s="748">
        <f t="shared" si="374"/>
        <v>1</v>
      </c>
      <c r="Y1411" s="451" t="str">
        <f>IFERROR(VLOOKUP(E:E,'Item Data Support Sheet'!A:J,6,0),0)</f>
        <v>FO151</v>
      </c>
      <c r="Z1411" s="428">
        <f>IFERROR(VLOOKUP(E:E,'Item Data Support Sheet'!A:O,4,0),0)</f>
        <v>0</v>
      </c>
      <c r="AA1411" s="428">
        <f t="shared" si="375"/>
        <v>0</v>
      </c>
      <c r="AB1411" s="429" t="str">
        <f t="shared" si="376"/>
        <v xml:space="preserve"> </v>
      </c>
      <c r="AC1411" s="424">
        <f t="shared" si="377"/>
        <v>0</v>
      </c>
      <c r="AD1411" s="371">
        <f t="shared" si="378"/>
        <v>0</v>
      </c>
      <c r="AE1411" s="748">
        <f t="shared" si="379"/>
        <v>1</v>
      </c>
      <c r="AF1411" s="417">
        <f t="shared" si="380"/>
        <v>0.66666666666666663</v>
      </c>
      <c r="AG1411" s="416">
        <f t="shared" si="381"/>
        <v>7.333333333333333</v>
      </c>
      <c r="AH1411" s="372">
        <f t="shared" si="382"/>
        <v>0.91666666666666663</v>
      </c>
      <c r="AI1411" s="373">
        <f t="shared" si="383"/>
        <v>875</v>
      </c>
      <c r="AJ1411" s="418">
        <f>VLOOKUP(D1411,'Standard Cycle time'!C:D,2,0)</f>
        <v>3.5</v>
      </c>
      <c r="AK1411" s="418">
        <f t="shared" si="384"/>
        <v>3.7714285714285714</v>
      </c>
      <c r="AL1411" s="374">
        <f t="shared" si="385"/>
        <v>0.92803030303030309</v>
      </c>
      <c r="AM1411" s="372">
        <f t="shared" si="386"/>
        <v>0.85069444444444442</v>
      </c>
      <c r="AN1411" s="799">
        <v>0.85069444444444442</v>
      </c>
      <c r="AO1411" s="448"/>
      <c r="AP1411" s="440">
        <v>40</v>
      </c>
      <c r="AQ1411" s="440">
        <v>0</v>
      </c>
      <c r="AR1411" s="440">
        <v>0</v>
      </c>
      <c r="AS1411" s="440">
        <v>0</v>
      </c>
      <c r="AT1411" s="440">
        <v>0</v>
      </c>
      <c r="AU1411" s="440">
        <v>0</v>
      </c>
      <c r="AV1411" s="440">
        <v>0</v>
      </c>
      <c r="AW1411" s="440">
        <v>0</v>
      </c>
      <c r="AX1411" s="440">
        <v>0</v>
      </c>
      <c r="AY1411" s="440">
        <v>0</v>
      </c>
      <c r="AZ1411" s="440">
        <v>0</v>
      </c>
      <c r="BA1411" s="440">
        <v>0</v>
      </c>
      <c r="BB1411" s="440">
        <v>0</v>
      </c>
      <c r="BC1411" s="440">
        <v>0</v>
      </c>
      <c r="BD1411" s="440">
        <v>0</v>
      </c>
      <c r="BE1411" s="440">
        <v>0</v>
      </c>
      <c r="BF1411" s="440">
        <v>0</v>
      </c>
      <c r="BG1411" s="440">
        <v>0</v>
      </c>
      <c r="BH1411" s="440">
        <v>0</v>
      </c>
      <c r="BI1411" s="440">
        <v>0</v>
      </c>
      <c r="BJ1411" s="440">
        <v>0</v>
      </c>
      <c r="BK1411" s="440">
        <v>0</v>
      </c>
      <c r="BL1411" s="440">
        <v>0</v>
      </c>
      <c r="BM1411" s="440">
        <v>0</v>
      </c>
      <c r="BN1411" s="440">
        <v>0</v>
      </c>
      <c r="BO1411" s="440">
        <v>0</v>
      </c>
      <c r="BP1411" s="440">
        <v>0</v>
      </c>
      <c r="BQ1411" s="440">
        <v>0</v>
      </c>
      <c r="BR1411" s="415">
        <v>0.66666666666666663</v>
      </c>
      <c r="BS1411" s="415">
        <v>0.66666666666666663</v>
      </c>
      <c r="BT1411" s="935"/>
      <c r="BU1411" s="935"/>
      <c r="BV1411" s="935"/>
      <c r="BW1411" s="935"/>
      <c r="BX1411" s="935"/>
      <c r="BY1411" s="935"/>
      <c r="BZ1411" s="935"/>
      <c r="CA1411" s="935"/>
      <c r="CB1411" s="935"/>
      <c r="CC1411" s="935"/>
      <c r="CD1411" s="935"/>
      <c r="CE1411" s="935"/>
      <c r="CF1411" s="935"/>
      <c r="CG1411" s="935"/>
      <c r="CH1411" s="935"/>
      <c r="CI1411" s="935"/>
      <c r="CJ1411" s="935"/>
      <c r="CK1411" s="935"/>
      <c r="CL1411" s="935"/>
      <c r="CM1411" s="935"/>
      <c r="CN1411" s="935"/>
      <c r="CO1411" s="935"/>
      <c r="CP1411" s="935"/>
      <c r="CQ1411" s="935"/>
      <c r="CR1411" s="935"/>
      <c r="CS1411" s="935"/>
      <c r="CT1411" s="935"/>
      <c r="CU1411" s="935"/>
      <c r="CV1411" s="935"/>
    </row>
    <row r="1412" spans="1:100" s="441" customFormat="1">
      <c r="A1412" s="375">
        <f t="shared" si="372"/>
        <v>11</v>
      </c>
      <c r="B1412" s="862">
        <v>44525</v>
      </c>
      <c r="C1412" s="493" t="s">
        <v>2053</v>
      </c>
      <c r="D1412" s="376" t="str">
        <f>IFERROR(VLOOKUP(E:E,'Item Data Support Sheet'!A:O,7,0),"")</f>
        <v>CAP MOLDED</v>
      </c>
      <c r="E1412" s="447" t="s">
        <v>2106</v>
      </c>
      <c r="F1412" s="500" t="s">
        <v>4140</v>
      </c>
      <c r="G1412" s="497" t="s">
        <v>2729</v>
      </c>
      <c r="H1412" s="602" t="str">
        <f>IFERROR(VLOOKUP(E:E,'Item Data Support Sheet'!A:O,2,0),"")</f>
        <v>CAP S TYPE MOLDED RED</v>
      </c>
      <c r="I1412" s="501" t="s">
        <v>4189</v>
      </c>
      <c r="J1412" s="501" t="s">
        <v>2808</v>
      </c>
      <c r="K1412" s="499">
        <v>2</v>
      </c>
      <c r="L1412" s="499">
        <v>1034</v>
      </c>
      <c r="M1412" s="366">
        <v>517</v>
      </c>
      <c r="N1412" s="367">
        <f t="shared" ref="N1412:N1475" si="387">+O1412+Q1412+T1412+U1412</f>
        <v>1400</v>
      </c>
      <c r="O1412" s="61">
        <v>1390</v>
      </c>
      <c r="P1412" s="368">
        <v>0.7</v>
      </c>
      <c r="Q1412" s="368">
        <v>0</v>
      </c>
      <c r="R1412" s="494">
        <v>0</v>
      </c>
      <c r="S1412" s="493">
        <v>0</v>
      </c>
      <c r="T1412" s="494">
        <v>2</v>
      </c>
      <c r="U1412" s="493">
        <v>8</v>
      </c>
      <c r="V1412" s="502">
        <v>1</v>
      </c>
      <c r="W1412" s="453">
        <f t="shared" si="373"/>
        <v>1390</v>
      </c>
      <c r="X1412" s="748">
        <f t="shared" si="374"/>
        <v>1.3442940038684719</v>
      </c>
      <c r="Y1412" s="451" t="str">
        <f>IFERROR(VLOOKUP(E:E,'Item Data Support Sheet'!A:J,6,0),0)</f>
        <v>FO153</v>
      </c>
      <c r="Z1412" s="428">
        <f>IFERROR(VLOOKUP(E:E,'Item Data Support Sheet'!A:O,4,0),0)</f>
        <v>7.3</v>
      </c>
      <c r="AA1412" s="428">
        <f t="shared" si="375"/>
        <v>10.92</v>
      </c>
      <c r="AB1412" s="429">
        <f t="shared" si="376"/>
        <v>0.92921245421245424</v>
      </c>
      <c r="AC1412" s="424">
        <f t="shared" si="377"/>
        <v>1.4367816091954023E-3</v>
      </c>
      <c r="AD1412" s="371">
        <f t="shared" si="378"/>
        <v>0</v>
      </c>
      <c r="AE1412" s="748">
        <f t="shared" si="379"/>
        <v>0.99857142857142855</v>
      </c>
      <c r="AF1412" s="417">
        <f t="shared" si="380"/>
        <v>0</v>
      </c>
      <c r="AG1412" s="416">
        <f t="shared" si="381"/>
        <v>2</v>
      </c>
      <c r="AH1412" s="372">
        <f t="shared" si="382"/>
        <v>1</v>
      </c>
      <c r="AI1412" s="373">
        <f t="shared" si="383"/>
        <v>695</v>
      </c>
      <c r="AJ1412" s="418">
        <f>VLOOKUP(D1412,'Standard Cycle time'!C:D,2,0)</f>
        <v>6</v>
      </c>
      <c r="AK1412" s="418">
        <f t="shared" si="384"/>
        <v>5.1798561151079134</v>
      </c>
      <c r="AL1412" s="374">
        <f t="shared" si="385"/>
        <v>1.1583333333333334</v>
      </c>
      <c r="AM1412" s="372">
        <f t="shared" si="386"/>
        <v>1.1566785714285714</v>
      </c>
      <c r="AN1412" s="799">
        <v>1.1566785714285714</v>
      </c>
      <c r="AO1412" s="448" t="s">
        <v>4190</v>
      </c>
      <c r="AP1412" s="440">
        <v>0</v>
      </c>
      <c r="AQ1412" s="440">
        <v>0</v>
      </c>
      <c r="AR1412" s="440">
        <v>0</v>
      </c>
      <c r="AS1412" s="440">
        <v>0</v>
      </c>
      <c r="AT1412" s="440">
        <v>0</v>
      </c>
      <c r="AU1412" s="440">
        <v>0</v>
      </c>
      <c r="AV1412" s="440">
        <v>0</v>
      </c>
      <c r="AW1412" s="440">
        <v>0</v>
      </c>
      <c r="AX1412" s="440">
        <v>0</v>
      </c>
      <c r="AY1412" s="440">
        <v>0</v>
      </c>
      <c r="AZ1412" s="440">
        <v>0</v>
      </c>
      <c r="BA1412" s="440">
        <v>0</v>
      </c>
      <c r="BB1412" s="440">
        <v>0</v>
      </c>
      <c r="BC1412" s="440">
        <v>0</v>
      </c>
      <c r="BD1412" s="440">
        <v>0</v>
      </c>
      <c r="BE1412" s="440">
        <v>0</v>
      </c>
      <c r="BF1412" s="440">
        <v>0</v>
      </c>
      <c r="BG1412" s="440">
        <v>0</v>
      </c>
      <c r="BH1412" s="440">
        <v>0</v>
      </c>
      <c r="BI1412" s="440">
        <v>0</v>
      </c>
      <c r="BJ1412" s="440">
        <v>0</v>
      </c>
      <c r="BK1412" s="440">
        <v>0</v>
      </c>
      <c r="BL1412" s="440">
        <v>0</v>
      </c>
      <c r="BM1412" s="440">
        <v>0</v>
      </c>
      <c r="BN1412" s="440">
        <v>0</v>
      </c>
      <c r="BO1412" s="440">
        <v>0</v>
      </c>
      <c r="BP1412" s="440">
        <v>0</v>
      </c>
      <c r="BQ1412" s="440">
        <v>0</v>
      </c>
      <c r="BR1412" s="415">
        <v>0</v>
      </c>
      <c r="BS1412" s="415">
        <v>0</v>
      </c>
      <c r="BT1412" s="935"/>
      <c r="BU1412" s="935"/>
      <c r="BV1412" s="935"/>
      <c r="BW1412" s="935"/>
      <c r="BX1412" s="935"/>
      <c r="BY1412" s="935"/>
      <c r="BZ1412" s="935"/>
      <c r="CA1412" s="935"/>
      <c r="CB1412" s="935"/>
      <c r="CC1412" s="935"/>
      <c r="CD1412" s="935"/>
      <c r="CE1412" s="935"/>
      <c r="CF1412" s="935"/>
      <c r="CG1412" s="935"/>
      <c r="CH1412" s="935"/>
      <c r="CI1412" s="935"/>
      <c r="CJ1412" s="935"/>
      <c r="CK1412" s="935"/>
      <c r="CL1412" s="935"/>
      <c r="CM1412" s="935"/>
      <c r="CN1412" s="935"/>
      <c r="CO1412" s="935"/>
      <c r="CP1412" s="935"/>
      <c r="CQ1412" s="935"/>
      <c r="CR1412" s="935"/>
      <c r="CS1412" s="935"/>
      <c r="CT1412" s="935"/>
      <c r="CU1412" s="935"/>
      <c r="CV1412" s="935"/>
    </row>
    <row r="1413" spans="1:100" s="441" customFormat="1">
      <c r="A1413" s="375">
        <f t="shared" ref="A1413:A1476" si="388">MONTH(B1413)</f>
        <v>11</v>
      </c>
      <c r="B1413" s="862">
        <v>44525</v>
      </c>
      <c r="C1413" s="493" t="s">
        <v>2053</v>
      </c>
      <c r="D1413" s="376" t="str">
        <f>IFERROR(VLOOKUP(E:E,'Item Data Support Sheet'!A:O,7,0),"")</f>
        <v>CAP MOLDED</v>
      </c>
      <c r="E1413" s="447" t="s">
        <v>2107</v>
      </c>
      <c r="F1413" s="500" t="s">
        <v>4191</v>
      </c>
      <c r="G1413" s="497" t="s">
        <v>2729</v>
      </c>
      <c r="H1413" s="602" t="str">
        <f>IFERROR(VLOOKUP(E:E,'Item Data Support Sheet'!A:O,2,0),"")</f>
        <v>CAP S TYPE MOLDED PINK</v>
      </c>
      <c r="I1413" s="501" t="s">
        <v>4192</v>
      </c>
      <c r="J1413" s="501" t="s">
        <v>2808</v>
      </c>
      <c r="K1413" s="499">
        <v>6</v>
      </c>
      <c r="L1413" s="499">
        <v>3103</v>
      </c>
      <c r="M1413" s="366">
        <v>517.16666666666663</v>
      </c>
      <c r="N1413" s="367">
        <f t="shared" si="387"/>
        <v>3616</v>
      </c>
      <c r="O1413" s="61">
        <v>3600</v>
      </c>
      <c r="P1413" s="368">
        <v>0</v>
      </c>
      <c r="Q1413" s="368">
        <v>0</v>
      </c>
      <c r="R1413" s="494">
        <v>0</v>
      </c>
      <c r="S1413" s="493">
        <v>0</v>
      </c>
      <c r="T1413" s="494">
        <v>8</v>
      </c>
      <c r="U1413" s="493">
        <v>8</v>
      </c>
      <c r="V1413" s="502">
        <v>1</v>
      </c>
      <c r="W1413" s="453">
        <f t="shared" ref="W1413:W1476" si="389">IFERROR(O1413/V1413,0)</f>
        <v>3600</v>
      </c>
      <c r="X1413" s="748">
        <f t="shared" ref="X1413:X1476" si="390">O1413/L1413</f>
        <v>1.1601675797615212</v>
      </c>
      <c r="Y1413" s="451" t="str">
        <f>IFERROR(VLOOKUP(E:E,'Item Data Support Sheet'!A:J,6,0),0)</f>
        <v>RM000123</v>
      </c>
      <c r="Z1413" s="428">
        <f>IFERROR(VLOOKUP(E:E,'Item Data Support Sheet'!A:O,4,0),0)</f>
        <v>7.3</v>
      </c>
      <c r="AA1413" s="428">
        <f t="shared" ref="AA1413:AA1476" si="391">IFERROR(((N1413)*(Z1413/1000))+P1413,0)</f>
        <v>26.396799999999999</v>
      </c>
      <c r="AB1413" s="429">
        <f t="shared" ref="AB1413:AB1476" si="392">IFERROR((O1413*(Z1413/1000)/(AA1413))," ")</f>
        <v>0.99557522123893816</v>
      </c>
      <c r="AC1413" s="424">
        <f t="shared" ref="AC1413:AC1476" si="393">IFERROR((T1413)/((T1413)+O1413),0)</f>
        <v>2.2172949002217295E-3</v>
      </c>
      <c r="AD1413" s="371">
        <f t="shared" ref="AD1413:AD1476" si="394">IFERROR(Q1413/(Q1413+N1413),0)</f>
        <v>0</v>
      </c>
      <c r="AE1413" s="748">
        <f t="shared" ref="AE1413:AE1476" si="395">(N1413-T1413)/N1413</f>
        <v>0.99778761061946908</v>
      </c>
      <c r="AF1413" s="417">
        <f t="shared" ref="AF1413:AF1476" si="396">BR1413</f>
        <v>0.91666666666666663</v>
      </c>
      <c r="AG1413" s="416">
        <f t="shared" ref="AG1413:AG1476" si="397">K1413-AF1413</f>
        <v>5.083333333333333</v>
      </c>
      <c r="AH1413" s="372">
        <f t="shared" ref="AH1413:AH1476" si="398">IFERROR(AG1413/K1413," ")</f>
        <v>0.84722222222222221</v>
      </c>
      <c r="AI1413" s="373">
        <f t="shared" ref="AI1413:AI1476" si="399">IFERROR(O1413/K1413,0)</f>
        <v>600</v>
      </c>
      <c r="AJ1413" s="418">
        <f>VLOOKUP(D1413,'Standard Cycle time'!C:D,2,0)</f>
        <v>6</v>
      </c>
      <c r="AK1413" s="418">
        <f t="shared" ref="AK1413:AK1476" si="400">AG1413*V1413*3600/O1413</f>
        <v>5.083333333333333</v>
      </c>
      <c r="AL1413" s="374">
        <f t="shared" ref="AL1413:AL1476" si="401">AJ1413/AK1413</f>
        <v>1.180327868852459</v>
      </c>
      <c r="AM1413" s="372">
        <f t="shared" ref="AM1413:AM1476" si="402">AE1413*AL1413*AH1413</f>
        <v>0.99778761061946897</v>
      </c>
      <c r="AN1413" s="799">
        <v>0.99778761061946897</v>
      </c>
      <c r="AO1413" s="448"/>
      <c r="AP1413" s="440">
        <v>0</v>
      </c>
      <c r="AQ1413" s="440">
        <v>40</v>
      </c>
      <c r="AR1413" s="440">
        <v>0</v>
      </c>
      <c r="AS1413" s="440">
        <v>0</v>
      </c>
      <c r="AT1413" s="440">
        <v>0</v>
      </c>
      <c r="AU1413" s="440">
        <v>0</v>
      </c>
      <c r="AV1413" s="440">
        <v>0</v>
      </c>
      <c r="AW1413" s="440">
        <v>0</v>
      </c>
      <c r="AX1413" s="440">
        <v>0</v>
      </c>
      <c r="AY1413" s="440">
        <v>0</v>
      </c>
      <c r="AZ1413" s="440">
        <v>15</v>
      </c>
      <c r="BA1413" s="440">
        <v>0</v>
      </c>
      <c r="BB1413" s="440">
        <v>0</v>
      </c>
      <c r="BC1413" s="440">
        <v>0</v>
      </c>
      <c r="BD1413" s="440">
        <v>0</v>
      </c>
      <c r="BE1413" s="440">
        <v>0</v>
      </c>
      <c r="BF1413" s="440">
        <v>0</v>
      </c>
      <c r="BG1413" s="440">
        <v>0</v>
      </c>
      <c r="BH1413" s="440">
        <v>0</v>
      </c>
      <c r="BI1413" s="440">
        <v>0</v>
      </c>
      <c r="BJ1413" s="440">
        <v>0</v>
      </c>
      <c r="BK1413" s="440">
        <v>0</v>
      </c>
      <c r="BL1413" s="440">
        <v>0</v>
      </c>
      <c r="BM1413" s="440">
        <v>0</v>
      </c>
      <c r="BN1413" s="440">
        <v>0</v>
      </c>
      <c r="BO1413" s="440">
        <v>0</v>
      </c>
      <c r="BP1413" s="440">
        <v>0</v>
      </c>
      <c r="BQ1413" s="440">
        <v>0</v>
      </c>
      <c r="BR1413" s="415">
        <v>0.91666666666666663</v>
      </c>
      <c r="BS1413" s="415">
        <v>0.91666666666666663</v>
      </c>
      <c r="BT1413" s="935"/>
      <c r="BU1413" s="935"/>
      <c r="BV1413" s="935"/>
      <c r="BW1413" s="935"/>
      <c r="BX1413" s="935"/>
      <c r="BY1413" s="935"/>
      <c r="BZ1413" s="935"/>
      <c r="CA1413" s="935"/>
      <c r="CB1413" s="935"/>
      <c r="CC1413" s="935"/>
      <c r="CD1413" s="935"/>
      <c r="CE1413" s="935"/>
      <c r="CF1413" s="935"/>
      <c r="CG1413" s="935"/>
      <c r="CH1413" s="935"/>
      <c r="CI1413" s="935"/>
      <c r="CJ1413" s="935"/>
      <c r="CK1413" s="935"/>
      <c r="CL1413" s="935"/>
      <c r="CM1413" s="935"/>
      <c r="CN1413" s="935"/>
      <c r="CO1413" s="935"/>
      <c r="CP1413" s="935"/>
      <c r="CQ1413" s="935"/>
      <c r="CR1413" s="935"/>
      <c r="CS1413" s="935"/>
      <c r="CT1413" s="935"/>
      <c r="CU1413" s="935"/>
      <c r="CV1413" s="935"/>
    </row>
    <row r="1414" spans="1:100" s="441" customFormat="1">
      <c r="A1414" s="375">
        <f t="shared" si="388"/>
        <v>11</v>
      </c>
      <c r="B1414" s="862">
        <v>44525</v>
      </c>
      <c r="C1414" s="493" t="s">
        <v>2053</v>
      </c>
      <c r="D1414" s="376" t="str">
        <f>IFERROR(VLOOKUP(E:E,'Item Data Support Sheet'!A:O,7,0),"")</f>
        <v>NIPPLE MOLDED</v>
      </c>
      <c r="E1414" s="447" t="s">
        <v>2484</v>
      </c>
      <c r="F1414" s="500" t="s">
        <v>1677</v>
      </c>
      <c r="G1414" s="497" t="s">
        <v>1690</v>
      </c>
      <c r="H1414" s="602" t="str">
        <f>IFERROR(VLOOKUP(E:E,'Item Data Support Sheet'!A:O,2,0),"")</f>
        <v>NIPPLE S TYPE LL SIZE INJECTION</v>
      </c>
      <c r="I1414" s="501" t="s">
        <v>4193</v>
      </c>
      <c r="J1414" s="501" t="s">
        <v>2808</v>
      </c>
      <c r="K1414" s="499">
        <v>8</v>
      </c>
      <c r="L1414" s="499">
        <v>3611</v>
      </c>
      <c r="M1414" s="366">
        <v>451.375</v>
      </c>
      <c r="N1414" s="367">
        <f t="shared" si="387"/>
        <v>4001</v>
      </c>
      <c r="O1414" s="61">
        <v>3900</v>
      </c>
      <c r="P1414" s="368">
        <v>0</v>
      </c>
      <c r="Q1414" s="368">
        <v>40</v>
      </c>
      <c r="R1414" s="494">
        <v>0</v>
      </c>
      <c r="S1414" s="493">
        <v>0</v>
      </c>
      <c r="T1414" s="494">
        <v>55</v>
      </c>
      <c r="U1414" s="493">
        <v>6</v>
      </c>
      <c r="V1414" s="502">
        <v>1</v>
      </c>
      <c r="W1414" s="453">
        <f t="shared" si="389"/>
        <v>3900</v>
      </c>
      <c r="X1414" s="748">
        <f t="shared" si="390"/>
        <v>1.0800332317917474</v>
      </c>
      <c r="Y1414" s="451" t="str">
        <f>IFERROR(VLOOKUP(E:E,'Item Data Support Sheet'!A:J,6,0),0)</f>
        <v>FO148</v>
      </c>
      <c r="Z1414" s="428">
        <f>IFERROR(VLOOKUP(E:E,'Item Data Support Sheet'!A:O,4,0),0)</f>
        <v>6.8</v>
      </c>
      <c r="AA1414" s="428">
        <f t="shared" si="391"/>
        <v>27.206799999999998</v>
      </c>
      <c r="AB1414" s="429">
        <f t="shared" si="392"/>
        <v>0.97475631092226955</v>
      </c>
      <c r="AC1414" s="424">
        <f t="shared" si="393"/>
        <v>1.3906447534766119E-2</v>
      </c>
      <c r="AD1414" s="371">
        <f t="shared" si="394"/>
        <v>9.8985399653551097E-3</v>
      </c>
      <c r="AE1414" s="748">
        <f t="shared" si="395"/>
        <v>0.98625343664083975</v>
      </c>
      <c r="AF1414" s="417">
        <f t="shared" si="396"/>
        <v>0</v>
      </c>
      <c r="AG1414" s="416">
        <f t="shared" si="397"/>
        <v>8</v>
      </c>
      <c r="AH1414" s="372">
        <f t="shared" si="398"/>
        <v>1</v>
      </c>
      <c r="AI1414" s="373">
        <f t="shared" si="399"/>
        <v>487.5</v>
      </c>
      <c r="AJ1414" s="418">
        <f>VLOOKUP(D1414,'Standard Cycle time'!C:D,2,0)</f>
        <v>5.25</v>
      </c>
      <c r="AK1414" s="418">
        <f t="shared" si="400"/>
        <v>7.384615384615385</v>
      </c>
      <c r="AL1414" s="374">
        <f t="shared" si="401"/>
        <v>0.7109375</v>
      </c>
      <c r="AM1414" s="372">
        <f t="shared" si="402"/>
        <v>0.70116455261184696</v>
      </c>
      <c r="AN1414" s="799">
        <v>0.70116455261184696</v>
      </c>
      <c r="AO1414" s="448"/>
      <c r="AP1414" s="440">
        <v>0</v>
      </c>
      <c r="AQ1414" s="440">
        <v>0</v>
      </c>
      <c r="AR1414" s="440">
        <v>0</v>
      </c>
      <c r="AS1414" s="440">
        <v>0</v>
      </c>
      <c r="AT1414" s="440">
        <v>0</v>
      </c>
      <c r="AU1414" s="440">
        <v>0</v>
      </c>
      <c r="AV1414" s="440">
        <v>0</v>
      </c>
      <c r="AW1414" s="440">
        <v>0</v>
      </c>
      <c r="AX1414" s="440">
        <v>0</v>
      </c>
      <c r="AY1414" s="440">
        <v>0</v>
      </c>
      <c r="AZ1414" s="440">
        <v>0</v>
      </c>
      <c r="BA1414" s="440">
        <v>0</v>
      </c>
      <c r="BB1414" s="440">
        <v>0</v>
      </c>
      <c r="BC1414" s="440">
        <v>0</v>
      </c>
      <c r="BD1414" s="440">
        <v>0</v>
      </c>
      <c r="BE1414" s="440">
        <v>0</v>
      </c>
      <c r="BF1414" s="440">
        <v>0</v>
      </c>
      <c r="BG1414" s="440">
        <v>0</v>
      </c>
      <c r="BH1414" s="440">
        <v>0</v>
      </c>
      <c r="BI1414" s="440">
        <v>0</v>
      </c>
      <c r="BJ1414" s="440">
        <v>0</v>
      </c>
      <c r="BK1414" s="440">
        <v>0</v>
      </c>
      <c r="BL1414" s="440">
        <v>0</v>
      </c>
      <c r="BM1414" s="440">
        <v>0</v>
      </c>
      <c r="BN1414" s="440">
        <v>0</v>
      </c>
      <c r="BO1414" s="440">
        <v>0</v>
      </c>
      <c r="BP1414" s="440">
        <v>0</v>
      </c>
      <c r="BQ1414" s="440">
        <v>0</v>
      </c>
      <c r="BR1414" s="415">
        <v>0</v>
      </c>
      <c r="BS1414" s="415">
        <v>0</v>
      </c>
      <c r="BT1414" s="935"/>
      <c r="BU1414" s="935"/>
      <c r="BV1414" s="935"/>
      <c r="BW1414" s="935"/>
      <c r="BX1414" s="935"/>
      <c r="BY1414" s="935"/>
      <c r="BZ1414" s="935"/>
      <c r="CA1414" s="935"/>
      <c r="CB1414" s="935"/>
      <c r="CC1414" s="935"/>
      <c r="CD1414" s="935"/>
      <c r="CE1414" s="935"/>
      <c r="CF1414" s="935"/>
      <c r="CG1414" s="935"/>
      <c r="CH1414" s="935"/>
      <c r="CI1414" s="935"/>
      <c r="CJ1414" s="935"/>
      <c r="CK1414" s="935"/>
      <c r="CL1414" s="935"/>
      <c r="CM1414" s="935"/>
      <c r="CN1414" s="935"/>
      <c r="CO1414" s="935"/>
      <c r="CP1414" s="935"/>
      <c r="CQ1414" s="935"/>
      <c r="CR1414" s="935"/>
      <c r="CS1414" s="935"/>
      <c r="CT1414" s="935"/>
      <c r="CU1414" s="935"/>
      <c r="CV1414" s="935"/>
    </row>
    <row r="1415" spans="1:100" s="441" customFormat="1">
      <c r="A1415" s="375">
        <f t="shared" si="388"/>
        <v>11</v>
      </c>
      <c r="B1415" s="862">
        <v>44525</v>
      </c>
      <c r="C1415" s="493" t="s">
        <v>2053</v>
      </c>
      <c r="D1415" s="376" t="str">
        <f>IFERROR(VLOOKUP(E:E,'Item Data Support Sheet'!A:O,7,0),"")</f>
        <v>NIPPLE MOLDED</v>
      </c>
      <c r="E1415" s="447" t="s">
        <v>74</v>
      </c>
      <c r="F1415" s="500" t="s">
        <v>1678</v>
      </c>
      <c r="G1415" s="497" t="s">
        <v>1691</v>
      </c>
      <c r="H1415" s="602" t="str">
        <f>IFERROR(VLOOKUP(E:E,'Item Data Support Sheet'!A:O,2,0),"")</f>
        <v>NIPPLE S TYPE L SIZE INJECTION</v>
      </c>
      <c r="I1415" s="501" t="s">
        <v>4193</v>
      </c>
      <c r="J1415" s="501" t="s">
        <v>2808</v>
      </c>
      <c r="K1415" s="499">
        <v>8</v>
      </c>
      <c r="L1415" s="499">
        <v>4815</v>
      </c>
      <c r="M1415" s="366">
        <v>601.875</v>
      </c>
      <c r="N1415" s="367">
        <f t="shared" si="387"/>
        <v>5095</v>
      </c>
      <c r="O1415" s="61">
        <v>5000</v>
      </c>
      <c r="P1415" s="368">
        <v>0</v>
      </c>
      <c r="Q1415" s="368">
        <v>35</v>
      </c>
      <c r="R1415" s="494">
        <v>0</v>
      </c>
      <c r="S1415" s="493">
        <v>0</v>
      </c>
      <c r="T1415" s="494">
        <v>52</v>
      </c>
      <c r="U1415" s="493">
        <v>8</v>
      </c>
      <c r="V1415" s="502">
        <v>1</v>
      </c>
      <c r="W1415" s="453">
        <f t="shared" si="389"/>
        <v>5000</v>
      </c>
      <c r="X1415" s="748">
        <f t="shared" si="390"/>
        <v>1.0384215991692627</v>
      </c>
      <c r="Y1415" s="451" t="str">
        <f>IFERROR(VLOOKUP(E:E,'Item Data Support Sheet'!A:J,6,0),0)</f>
        <v>Silicon</v>
      </c>
      <c r="Z1415" s="428">
        <f>IFERROR(VLOOKUP(E:E,'Item Data Support Sheet'!A:O,4,0),0)</f>
        <v>6.8</v>
      </c>
      <c r="AA1415" s="428">
        <f t="shared" si="391"/>
        <v>34.646000000000001</v>
      </c>
      <c r="AB1415" s="429">
        <f t="shared" si="392"/>
        <v>0.98135426889106969</v>
      </c>
      <c r="AC1415" s="424">
        <f t="shared" si="393"/>
        <v>1.0292953285827395E-2</v>
      </c>
      <c r="AD1415" s="371">
        <f t="shared" si="394"/>
        <v>6.8226120857699801E-3</v>
      </c>
      <c r="AE1415" s="748">
        <f t="shared" si="395"/>
        <v>0.98979391560353291</v>
      </c>
      <c r="AF1415" s="417">
        <f t="shared" si="396"/>
        <v>0</v>
      </c>
      <c r="AG1415" s="416">
        <f t="shared" si="397"/>
        <v>8</v>
      </c>
      <c r="AH1415" s="372">
        <f t="shared" si="398"/>
        <v>1</v>
      </c>
      <c r="AI1415" s="373">
        <f t="shared" si="399"/>
        <v>625</v>
      </c>
      <c r="AJ1415" s="418">
        <f>VLOOKUP(D1415,'Standard Cycle time'!C:D,2,0)</f>
        <v>5.25</v>
      </c>
      <c r="AK1415" s="418">
        <f t="shared" si="400"/>
        <v>5.76</v>
      </c>
      <c r="AL1415" s="374">
        <f t="shared" si="401"/>
        <v>0.91145833333333337</v>
      </c>
      <c r="AM1415" s="372">
        <f t="shared" si="402"/>
        <v>0.90215591265947015</v>
      </c>
      <c r="AN1415" s="799">
        <v>0.90215591265947015</v>
      </c>
      <c r="AO1415" s="448"/>
      <c r="AP1415" s="440">
        <v>0</v>
      </c>
      <c r="AQ1415" s="440">
        <v>0</v>
      </c>
      <c r="AR1415" s="440">
        <v>0</v>
      </c>
      <c r="AS1415" s="440">
        <v>0</v>
      </c>
      <c r="AT1415" s="440">
        <v>0</v>
      </c>
      <c r="AU1415" s="440">
        <v>0</v>
      </c>
      <c r="AV1415" s="440">
        <v>0</v>
      </c>
      <c r="AW1415" s="440">
        <v>0</v>
      </c>
      <c r="AX1415" s="440">
        <v>0</v>
      </c>
      <c r="AY1415" s="440">
        <v>0</v>
      </c>
      <c r="AZ1415" s="440">
        <v>0</v>
      </c>
      <c r="BA1415" s="440">
        <v>0</v>
      </c>
      <c r="BB1415" s="440">
        <v>0</v>
      </c>
      <c r="BC1415" s="440">
        <v>0</v>
      </c>
      <c r="BD1415" s="440">
        <v>0</v>
      </c>
      <c r="BE1415" s="440">
        <v>0</v>
      </c>
      <c r="BF1415" s="440">
        <v>0</v>
      </c>
      <c r="BG1415" s="440">
        <v>0</v>
      </c>
      <c r="BH1415" s="440">
        <v>0</v>
      </c>
      <c r="BI1415" s="440">
        <v>0</v>
      </c>
      <c r="BJ1415" s="440">
        <v>0</v>
      </c>
      <c r="BK1415" s="440">
        <v>0</v>
      </c>
      <c r="BL1415" s="440">
        <v>0</v>
      </c>
      <c r="BM1415" s="440">
        <v>0</v>
      </c>
      <c r="BN1415" s="440">
        <v>0</v>
      </c>
      <c r="BO1415" s="440">
        <v>0</v>
      </c>
      <c r="BP1415" s="440">
        <v>0</v>
      </c>
      <c r="BQ1415" s="440">
        <v>0</v>
      </c>
      <c r="BR1415" s="415">
        <v>0</v>
      </c>
      <c r="BS1415" s="415">
        <v>0</v>
      </c>
      <c r="BT1415" s="935"/>
      <c r="BU1415" s="935"/>
      <c r="BV1415" s="935"/>
      <c r="BW1415" s="935"/>
      <c r="BX1415" s="935"/>
      <c r="BY1415" s="935"/>
      <c r="BZ1415" s="935"/>
      <c r="CA1415" s="935"/>
      <c r="CB1415" s="935"/>
      <c r="CC1415" s="935"/>
      <c r="CD1415" s="935"/>
      <c r="CE1415" s="935"/>
      <c r="CF1415" s="935"/>
      <c r="CG1415" s="935"/>
      <c r="CH1415" s="935"/>
      <c r="CI1415" s="935"/>
      <c r="CJ1415" s="935"/>
      <c r="CK1415" s="935"/>
      <c r="CL1415" s="935"/>
      <c r="CM1415" s="935"/>
      <c r="CN1415" s="935"/>
      <c r="CO1415" s="935"/>
      <c r="CP1415" s="935"/>
      <c r="CQ1415" s="935"/>
      <c r="CR1415" s="935"/>
      <c r="CS1415" s="935"/>
      <c r="CT1415" s="935"/>
      <c r="CU1415" s="935"/>
      <c r="CV1415" s="935"/>
    </row>
    <row r="1416" spans="1:100" s="441" customFormat="1">
      <c r="A1416" s="375">
        <f t="shared" si="388"/>
        <v>11</v>
      </c>
      <c r="B1416" s="862">
        <v>44525</v>
      </c>
      <c r="C1416" s="493" t="s">
        <v>2053</v>
      </c>
      <c r="D1416" s="376" t="str">
        <f>IFERROR(VLOOKUP(E:E,'Item Data Support Sheet'!A:O,7,0),"")</f>
        <v>BOTTLE MOLDED</v>
      </c>
      <c r="E1416" s="447" t="s">
        <v>66</v>
      </c>
      <c r="F1416" s="500" t="s">
        <v>1664</v>
      </c>
      <c r="G1416" s="497" t="s">
        <v>1888</v>
      </c>
      <c r="H1416" s="602" t="str">
        <f>IFERROR(VLOOKUP(E:E,'Item Data Support Sheet'!A:O,2,0),"")</f>
        <v>KPP 200 ML BOTTLE MOLDED</v>
      </c>
      <c r="I1416" s="501" t="s">
        <v>4194</v>
      </c>
      <c r="J1416" s="501" t="s">
        <v>2808</v>
      </c>
      <c r="K1416" s="499">
        <v>8</v>
      </c>
      <c r="L1416" s="499">
        <v>2574</v>
      </c>
      <c r="M1416" s="366">
        <v>321.75</v>
      </c>
      <c r="N1416" s="367">
        <f t="shared" si="387"/>
        <v>3082</v>
      </c>
      <c r="O1416" s="61">
        <v>3024</v>
      </c>
      <c r="P1416" s="368">
        <v>0.7</v>
      </c>
      <c r="Q1416" s="368">
        <v>15</v>
      </c>
      <c r="R1416" s="494">
        <v>0</v>
      </c>
      <c r="S1416" s="493">
        <v>0</v>
      </c>
      <c r="T1416" s="494">
        <v>35</v>
      </c>
      <c r="U1416" s="493">
        <v>8</v>
      </c>
      <c r="V1416" s="502">
        <v>1</v>
      </c>
      <c r="W1416" s="453">
        <f t="shared" si="389"/>
        <v>3024</v>
      </c>
      <c r="X1416" s="748">
        <f t="shared" si="390"/>
        <v>1.1748251748251748</v>
      </c>
      <c r="Y1416" s="451" t="str">
        <f>IFERROR(VLOOKUP(E:E,'Item Data Support Sheet'!A:J,6,0),0)</f>
        <v>HMC</v>
      </c>
      <c r="Z1416" s="428">
        <f>IFERROR(VLOOKUP(E:E,'Item Data Support Sheet'!A:O,4,0),0)</f>
        <v>28.1</v>
      </c>
      <c r="AA1416" s="428">
        <f t="shared" si="391"/>
        <v>87.304200000000009</v>
      </c>
      <c r="AB1416" s="429">
        <f t="shared" si="392"/>
        <v>0.97331399863924062</v>
      </c>
      <c r="AC1416" s="424">
        <f t="shared" si="393"/>
        <v>1.1441647597254004E-2</v>
      </c>
      <c r="AD1416" s="371">
        <f t="shared" si="394"/>
        <v>4.8433968356474009E-3</v>
      </c>
      <c r="AE1416" s="748">
        <f t="shared" si="395"/>
        <v>0.9886437378325762</v>
      </c>
      <c r="AF1416" s="417">
        <f t="shared" si="396"/>
        <v>0</v>
      </c>
      <c r="AG1416" s="416">
        <f t="shared" si="397"/>
        <v>8</v>
      </c>
      <c r="AH1416" s="372">
        <f t="shared" si="398"/>
        <v>1</v>
      </c>
      <c r="AI1416" s="373">
        <f t="shared" si="399"/>
        <v>378</v>
      </c>
      <c r="AJ1416" s="418">
        <f>VLOOKUP(D1416,'Standard Cycle time'!C:D,2,0)</f>
        <v>9</v>
      </c>
      <c r="AK1416" s="418">
        <f t="shared" si="400"/>
        <v>9.5238095238095237</v>
      </c>
      <c r="AL1416" s="374">
        <f t="shared" si="401"/>
        <v>0.94500000000000006</v>
      </c>
      <c r="AM1416" s="372">
        <f t="shared" si="402"/>
        <v>0.93426833225178452</v>
      </c>
      <c r="AN1416" s="799">
        <v>0.93426833225178452</v>
      </c>
      <c r="AO1416" s="448"/>
      <c r="AP1416" s="440">
        <v>0</v>
      </c>
      <c r="AQ1416" s="440">
        <v>0</v>
      </c>
      <c r="AR1416" s="440">
        <v>0</v>
      </c>
      <c r="AS1416" s="440">
        <v>0</v>
      </c>
      <c r="AT1416" s="440">
        <v>0</v>
      </c>
      <c r="AU1416" s="440">
        <v>0</v>
      </c>
      <c r="AV1416" s="440">
        <v>0</v>
      </c>
      <c r="AW1416" s="440">
        <v>0</v>
      </c>
      <c r="AX1416" s="440">
        <v>0</v>
      </c>
      <c r="AY1416" s="440">
        <v>0</v>
      </c>
      <c r="AZ1416" s="440">
        <v>0</v>
      </c>
      <c r="BA1416" s="440">
        <v>0</v>
      </c>
      <c r="BB1416" s="440">
        <v>0</v>
      </c>
      <c r="BC1416" s="440">
        <v>0</v>
      </c>
      <c r="BD1416" s="440">
        <v>0</v>
      </c>
      <c r="BE1416" s="440">
        <v>0</v>
      </c>
      <c r="BF1416" s="440">
        <v>0</v>
      </c>
      <c r="BG1416" s="440">
        <v>0</v>
      </c>
      <c r="BH1416" s="440">
        <v>0</v>
      </c>
      <c r="BI1416" s="440">
        <v>0</v>
      </c>
      <c r="BJ1416" s="440">
        <v>0</v>
      </c>
      <c r="BK1416" s="440">
        <v>0</v>
      </c>
      <c r="BL1416" s="440">
        <v>0</v>
      </c>
      <c r="BM1416" s="440">
        <v>0</v>
      </c>
      <c r="BN1416" s="440">
        <v>0</v>
      </c>
      <c r="BO1416" s="440">
        <v>0</v>
      </c>
      <c r="BP1416" s="440">
        <v>0</v>
      </c>
      <c r="BQ1416" s="440">
        <v>0</v>
      </c>
      <c r="BR1416" s="415">
        <v>0</v>
      </c>
      <c r="BS1416" s="415">
        <v>0</v>
      </c>
      <c r="BT1416" s="935"/>
      <c r="BU1416" s="935"/>
      <c r="BV1416" s="935"/>
      <c r="BW1416" s="935"/>
      <c r="BX1416" s="935"/>
      <c r="BY1416" s="935"/>
      <c r="BZ1416" s="935"/>
      <c r="CA1416" s="935"/>
      <c r="CB1416" s="935"/>
      <c r="CC1416" s="935"/>
      <c r="CD1416" s="935"/>
      <c r="CE1416" s="935"/>
      <c r="CF1416" s="935"/>
      <c r="CG1416" s="935"/>
      <c r="CH1416" s="935"/>
      <c r="CI1416" s="935"/>
      <c r="CJ1416" s="935"/>
      <c r="CK1416" s="935"/>
      <c r="CL1416" s="935"/>
      <c r="CM1416" s="935"/>
      <c r="CN1416" s="935"/>
      <c r="CO1416" s="935"/>
      <c r="CP1416" s="935"/>
      <c r="CQ1416" s="935"/>
      <c r="CR1416" s="935"/>
      <c r="CS1416" s="935"/>
      <c r="CT1416" s="935"/>
      <c r="CU1416" s="935"/>
      <c r="CV1416" s="935"/>
    </row>
    <row r="1417" spans="1:100" s="441" customFormat="1">
      <c r="A1417" s="375">
        <f t="shared" si="388"/>
        <v>11</v>
      </c>
      <c r="B1417" s="862">
        <v>44525</v>
      </c>
      <c r="C1417" s="493" t="s">
        <v>2053</v>
      </c>
      <c r="D1417" s="376" t="str">
        <f>IFERROR(VLOOKUP(E:E,'Item Data Support Sheet'!A:O,7,0),"")</f>
        <v>NIPPLE PUNCH</v>
      </c>
      <c r="E1417" s="447" t="s">
        <v>2486</v>
      </c>
      <c r="F1417" s="500"/>
      <c r="G1417" s="497" t="s">
        <v>1692</v>
      </c>
      <c r="H1417" s="602" t="str">
        <f>IFERROR(VLOOKUP(E:E,'Item Data Support Sheet'!A:O,2,0),"")</f>
        <v>NIPPLE S TYPE LL SIZE PUNCHED</v>
      </c>
      <c r="I1417" s="501" t="s">
        <v>4195</v>
      </c>
      <c r="J1417" s="501" t="s">
        <v>2808</v>
      </c>
      <c r="K1417" s="499">
        <v>8</v>
      </c>
      <c r="L1417" s="499">
        <v>7000</v>
      </c>
      <c r="M1417" s="366">
        <v>875</v>
      </c>
      <c r="N1417" s="367">
        <f t="shared" si="387"/>
        <v>6900</v>
      </c>
      <c r="O1417" s="61">
        <v>6900</v>
      </c>
      <c r="P1417" s="368">
        <v>0</v>
      </c>
      <c r="Q1417" s="368">
        <v>0</v>
      </c>
      <c r="R1417" s="494">
        <v>0</v>
      </c>
      <c r="S1417" s="493">
        <v>0</v>
      </c>
      <c r="T1417" s="494">
        <v>0</v>
      </c>
      <c r="U1417" s="493">
        <v>0</v>
      </c>
      <c r="V1417" s="502">
        <v>1</v>
      </c>
      <c r="W1417" s="453">
        <f t="shared" si="389"/>
        <v>6900</v>
      </c>
      <c r="X1417" s="748">
        <f t="shared" si="390"/>
        <v>0.98571428571428577</v>
      </c>
      <c r="Y1417" s="451" t="str">
        <f>IFERROR(VLOOKUP(E:E,'Item Data Support Sheet'!A:J,6,0),0)</f>
        <v>FO150</v>
      </c>
      <c r="Z1417" s="428">
        <f>IFERROR(VLOOKUP(E:E,'Item Data Support Sheet'!A:O,4,0),0)</f>
        <v>0</v>
      </c>
      <c r="AA1417" s="428">
        <f t="shared" si="391"/>
        <v>0</v>
      </c>
      <c r="AB1417" s="429" t="str">
        <f t="shared" si="392"/>
        <v xml:space="preserve"> </v>
      </c>
      <c r="AC1417" s="424">
        <f t="shared" si="393"/>
        <v>0</v>
      </c>
      <c r="AD1417" s="371">
        <f t="shared" si="394"/>
        <v>0</v>
      </c>
      <c r="AE1417" s="748">
        <f t="shared" si="395"/>
        <v>1</v>
      </c>
      <c r="AF1417" s="417">
        <f t="shared" si="396"/>
        <v>0</v>
      </c>
      <c r="AG1417" s="416">
        <f t="shared" si="397"/>
        <v>8</v>
      </c>
      <c r="AH1417" s="372">
        <f t="shared" si="398"/>
        <v>1</v>
      </c>
      <c r="AI1417" s="373">
        <f t="shared" si="399"/>
        <v>862.5</v>
      </c>
      <c r="AJ1417" s="418">
        <f>VLOOKUP(D1417,'Standard Cycle time'!C:D,2,0)</f>
        <v>3.5</v>
      </c>
      <c r="AK1417" s="418">
        <f t="shared" si="400"/>
        <v>4.1739130434782608</v>
      </c>
      <c r="AL1417" s="374">
        <f t="shared" si="401"/>
        <v>0.83854166666666674</v>
      </c>
      <c r="AM1417" s="372">
        <f t="shared" si="402"/>
        <v>0.83854166666666674</v>
      </c>
      <c r="AN1417" s="799">
        <v>0.83854166666666674</v>
      </c>
      <c r="AO1417" s="448"/>
      <c r="AP1417" s="440">
        <v>0</v>
      </c>
      <c r="AQ1417" s="440">
        <v>0</v>
      </c>
      <c r="AR1417" s="440">
        <v>0</v>
      </c>
      <c r="AS1417" s="440">
        <v>0</v>
      </c>
      <c r="AT1417" s="440">
        <v>0</v>
      </c>
      <c r="AU1417" s="440">
        <v>0</v>
      </c>
      <c r="AV1417" s="440">
        <v>0</v>
      </c>
      <c r="AW1417" s="440">
        <v>0</v>
      </c>
      <c r="AX1417" s="440">
        <v>0</v>
      </c>
      <c r="AY1417" s="440">
        <v>0</v>
      </c>
      <c r="AZ1417" s="440">
        <v>0</v>
      </c>
      <c r="BA1417" s="440">
        <v>0</v>
      </c>
      <c r="BB1417" s="440">
        <v>0</v>
      </c>
      <c r="BC1417" s="440">
        <v>0</v>
      </c>
      <c r="BD1417" s="440">
        <v>0</v>
      </c>
      <c r="BE1417" s="440">
        <v>0</v>
      </c>
      <c r="BF1417" s="440">
        <v>0</v>
      </c>
      <c r="BG1417" s="440">
        <v>0</v>
      </c>
      <c r="BH1417" s="440">
        <v>0</v>
      </c>
      <c r="BI1417" s="440">
        <v>0</v>
      </c>
      <c r="BJ1417" s="440">
        <v>0</v>
      </c>
      <c r="BK1417" s="440">
        <v>0</v>
      </c>
      <c r="BL1417" s="440">
        <v>0</v>
      </c>
      <c r="BM1417" s="440">
        <v>0</v>
      </c>
      <c r="BN1417" s="440">
        <v>0</v>
      </c>
      <c r="BO1417" s="440">
        <v>0</v>
      </c>
      <c r="BP1417" s="440">
        <v>0</v>
      </c>
      <c r="BQ1417" s="440">
        <v>0</v>
      </c>
      <c r="BR1417" s="415">
        <v>0</v>
      </c>
      <c r="BS1417" s="415">
        <v>0</v>
      </c>
      <c r="BT1417" s="935"/>
      <c r="BU1417" s="935"/>
      <c r="BV1417" s="935"/>
      <c r="BW1417" s="935"/>
      <c r="BX1417" s="935"/>
      <c r="BY1417" s="935"/>
      <c r="BZ1417" s="935"/>
      <c r="CA1417" s="935"/>
      <c r="CB1417" s="935"/>
      <c r="CC1417" s="935"/>
      <c r="CD1417" s="935"/>
      <c r="CE1417" s="935"/>
      <c r="CF1417" s="935"/>
      <c r="CG1417" s="935"/>
      <c r="CH1417" s="935"/>
      <c r="CI1417" s="935"/>
      <c r="CJ1417" s="935"/>
      <c r="CK1417" s="935"/>
      <c r="CL1417" s="935"/>
      <c r="CM1417" s="935"/>
      <c r="CN1417" s="935"/>
      <c r="CO1417" s="935"/>
      <c r="CP1417" s="935"/>
      <c r="CQ1417" s="935"/>
      <c r="CR1417" s="935"/>
      <c r="CS1417" s="935"/>
      <c r="CT1417" s="935"/>
      <c r="CU1417" s="935"/>
      <c r="CV1417" s="935"/>
    </row>
    <row r="1418" spans="1:100" s="441" customFormat="1">
      <c r="A1418" s="375">
        <f t="shared" si="388"/>
        <v>11</v>
      </c>
      <c r="B1418" s="862">
        <v>44525</v>
      </c>
      <c r="C1418" s="493" t="s">
        <v>2053</v>
      </c>
      <c r="D1418" s="376" t="str">
        <f>IFERROR(VLOOKUP(E:E,'Item Data Support Sheet'!A:O,7,0),"")</f>
        <v>NIPPLE LASER MARKING</v>
      </c>
      <c r="E1418" s="447" t="s">
        <v>2487</v>
      </c>
      <c r="F1418" s="500"/>
      <c r="G1418" s="497" t="s">
        <v>1812</v>
      </c>
      <c r="H1418" s="602" t="str">
        <f>IFERROR(VLOOKUP(E:E,'Item Data Support Sheet'!A:O,2,0),"")</f>
        <v>NIPPLE S TYPE LL SIZE LASER MARKED</v>
      </c>
      <c r="I1418" s="501" t="s">
        <v>4196</v>
      </c>
      <c r="J1418" s="501" t="s">
        <v>2808</v>
      </c>
      <c r="K1418" s="499">
        <v>8</v>
      </c>
      <c r="L1418" s="499">
        <v>7000</v>
      </c>
      <c r="M1418" s="366">
        <v>875</v>
      </c>
      <c r="N1418" s="367">
        <f t="shared" si="387"/>
        <v>6000</v>
      </c>
      <c r="O1418" s="61">
        <v>6000</v>
      </c>
      <c r="P1418" s="368">
        <v>0</v>
      </c>
      <c r="Q1418" s="368">
        <v>0</v>
      </c>
      <c r="R1418" s="494">
        <v>0</v>
      </c>
      <c r="S1418" s="493">
        <v>0</v>
      </c>
      <c r="T1418" s="494">
        <v>0</v>
      </c>
      <c r="U1418" s="493">
        <v>0</v>
      </c>
      <c r="V1418" s="502">
        <v>1</v>
      </c>
      <c r="W1418" s="453">
        <f t="shared" si="389"/>
        <v>6000</v>
      </c>
      <c r="X1418" s="748">
        <f t="shared" si="390"/>
        <v>0.8571428571428571</v>
      </c>
      <c r="Y1418" s="451" t="str">
        <f>IFERROR(VLOOKUP(E:E,'Item Data Support Sheet'!A:J,6,0),0)</f>
        <v>FO151</v>
      </c>
      <c r="Z1418" s="428">
        <f>IFERROR(VLOOKUP(E:E,'Item Data Support Sheet'!A:O,4,0),0)</f>
        <v>0</v>
      </c>
      <c r="AA1418" s="428">
        <f t="shared" si="391"/>
        <v>0</v>
      </c>
      <c r="AB1418" s="429" t="str">
        <f t="shared" si="392"/>
        <v xml:space="preserve"> </v>
      </c>
      <c r="AC1418" s="424">
        <f t="shared" si="393"/>
        <v>0</v>
      </c>
      <c r="AD1418" s="371">
        <f t="shared" si="394"/>
        <v>0</v>
      </c>
      <c r="AE1418" s="748">
        <f t="shared" si="395"/>
        <v>1</v>
      </c>
      <c r="AF1418" s="417">
        <f t="shared" si="396"/>
        <v>0</v>
      </c>
      <c r="AG1418" s="416">
        <f t="shared" si="397"/>
        <v>8</v>
      </c>
      <c r="AH1418" s="372">
        <f t="shared" si="398"/>
        <v>1</v>
      </c>
      <c r="AI1418" s="373">
        <f t="shared" si="399"/>
        <v>750</v>
      </c>
      <c r="AJ1418" s="418">
        <f>VLOOKUP(D1418,'Standard Cycle time'!C:D,2,0)</f>
        <v>3.5</v>
      </c>
      <c r="AK1418" s="418">
        <f t="shared" si="400"/>
        <v>4.8</v>
      </c>
      <c r="AL1418" s="374">
        <f t="shared" si="401"/>
        <v>0.72916666666666674</v>
      </c>
      <c r="AM1418" s="372">
        <f t="shared" si="402"/>
        <v>0.72916666666666674</v>
      </c>
      <c r="AN1418" s="799">
        <v>0.72916666666666674</v>
      </c>
      <c r="AO1418" s="448"/>
      <c r="AP1418" s="440">
        <v>0</v>
      </c>
      <c r="AQ1418" s="440">
        <v>0</v>
      </c>
      <c r="AR1418" s="440">
        <v>0</v>
      </c>
      <c r="AS1418" s="440">
        <v>0</v>
      </c>
      <c r="AT1418" s="440">
        <v>0</v>
      </c>
      <c r="AU1418" s="440">
        <v>0</v>
      </c>
      <c r="AV1418" s="440">
        <v>0</v>
      </c>
      <c r="AW1418" s="440">
        <v>0</v>
      </c>
      <c r="AX1418" s="440">
        <v>0</v>
      </c>
      <c r="AY1418" s="440">
        <v>0</v>
      </c>
      <c r="AZ1418" s="440">
        <v>0</v>
      </c>
      <c r="BA1418" s="440">
        <v>0</v>
      </c>
      <c r="BB1418" s="440">
        <v>0</v>
      </c>
      <c r="BC1418" s="440">
        <v>0</v>
      </c>
      <c r="BD1418" s="440">
        <v>0</v>
      </c>
      <c r="BE1418" s="440">
        <v>0</v>
      </c>
      <c r="BF1418" s="440">
        <v>0</v>
      </c>
      <c r="BG1418" s="440">
        <v>0</v>
      </c>
      <c r="BH1418" s="440">
        <v>0</v>
      </c>
      <c r="BI1418" s="440">
        <v>0</v>
      </c>
      <c r="BJ1418" s="440">
        <v>0</v>
      </c>
      <c r="BK1418" s="440">
        <v>0</v>
      </c>
      <c r="BL1418" s="440">
        <v>0</v>
      </c>
      <c r="BM1418" s="440">
        <v>0</v>
      </c>
      <c r="BN1418" s="440">
        <v>0</v>
      </c>
      <c r="BO1418" s="440">
        <v>0</v>
      </c>
      <c r="BP1418" s="440">
        <v>0</v>
      </c>
      <c r="BQ1418" s="440">
        <v>0</v>
      </c>
      <c r="BR1418" s="415">
        <v>0</v>
      </c>
      <c r="BS1418" s="415">
        <v>0</v>
      </c>
      <c r="BT1418" s="935"/>
      <c r="BU1418" s="935"/>
      <c r="BV1418" s="935"/>
      <c r="BW1418" s="935"/>
      <c r="BX1418" s="935"/>
      <c r="BY1418" s="935"/>
      <c r="BZ1418" s="935"/>
      <c r="CA1418" s="935"/>
      <c r="CB1418" s="935"/>
      <c r="CC1418" s="935"/>
      <c r="CD1418" s="935"/>
      <c r="CE1418" s="935"/>
      <c r="CF1418" s="935"/>
      <c r="CG1418" s="935"/>
      <c r="CH1418" s="935"/>
      <c r="CI1418" s="935"/>
      <c r="CJ1418" s="935"/>
      <c r="CK1418" s="935"/>
      <c r="CL1418" s="935"/>
      <c r="CM1418" s="935"/>
      <c r="CN1418" s="935"/>
      <c r="CO1418" s="935"/>
      <c r="CP1418" s="935"/>
      <c r="CQ1418" s="935"/>
      <c r="CR1418" s="935"/>
      <c r="CS1418" s="935"/>
      <c r="CT1418" s="935"/>
      <c r="CU1418" s="935"/>
      <c r="CV1418" s="935"/>
    </row>
    <row r="1419" spans="1:100" s="441" customFormat="1">
      <c r="A1419" s="375">
        <f t="shared" si="388"/>
        <v>11</v>
      </c>
      <c r="B1419" s="862">
        <v>44526</v>
      </c>
      <c r="C1419" s="493" t="s">
        <v>1980</v>
      </c>
      <c r="D1419" s="376" t="str">
        <f>IFERROR(VLOOKUP(E:E,'Item Data Support Sheet'!A:O,7,0),"")</f>
        <v>CAP MOLDED</v>
      </c>
      <c r="E1419" s="447" t="s">
        <v>2107</v>
      </c>
      <c r="F1419" s="500" t="s">
        <v>4191</v>
      </c>
      <c r="G1419" s="497" t="s">
        <v>2729</v>
      </c>
      <c r="H1419" s="602" t="str">
        <f>IFERROR(VLOOKUP(E:E,'Item Data Support Sheet'!A:O,2,0),"")</f>
        <v>CAP S TYPE MOLDED PINK</v>
      </c>
      <c r="I1419" s="501" t="s">
        <v>4197</v>
      </c>
      <c r="J1419" s="501" t="s">
        <v>2808</v>
      </c>
      <c r="K1419" s="499">
        <v>6</v>
      </c>
      <c r="L1419" s="499">
        <v>3103</v>
      </c>
      <c r="M1419" s="366">
        <v>517.16666666666663</v>
      </c>
      <c r="N1419" s="367">
        <f t="shared" si="387"/>
        <v>3223</v>
      </c>
      <c r="O1419" s="61">
        <v>3215</v>
      </c>
      <c r="P1419" s="368">
        <v>0</v>
      </c>
      <c r="Q1419" s="368">
        <v>0</v>
      </c>
      <c r="R1419" s="494">
        <v>0</v>
      </c>
      <c r="S1419" s="493">
        <v>0</v>
      </c>
      <c r="T1419" s="494">
        <v>0</v>
      </c>
      <c r="U1419" s="493">
        <v>8</v>
      </c>
      <c r="V1419" s="502">
        <v>1</v>
      </c>
      <c r="W1419" s="453">
        <f t="shared" si="389"/>
        <v>3215</v>
      </c>
      <c r="X1419" s="748">
        <f t="shared" si="390"/>
        <v>1.0360941024814696</v>
      </c>
      <c r="Y1419" s="451" t="str">
        <f>IFERROR(VLOOKUP(E:E,'Item Data Support Sheet'!A:J,6,0),0)</f>
        <v>RM000123</v>
      </c>
      <c r="Z1419" s="428">
        <f>IFERROR(VLOOKUP(E:E,'Item Data Support Sheet'!A:O,4,0),0)</f>
        <v>7.3</v>
      </c>
      <c r="AA1419" s="428">
        <f t="shared" si="391"/>
        <v>23.527899999999999</v>
      </c>
      <c r="AB1419" s="429">
        <f t="shared" si="392"/>
        <v>0.99751784052125358</v>
      </c>
      <c r="AC1419" s="424">
        <f t="shared" si="393"/>
        <v>0</v>
      </c>
      <c r="AD1419" s="371">
        <f t="shared" si="394"/>
        <v>0</v>
      </c>
      <c r="AE1419" s="748">
        <f t="shared" si="395"/>
        <v>1</v>
      </c>
      <c r="AF1419" s="417">
        <f t="shared" si="396"/>
        <v>0</v>
      </c>
      <c r="AG1419" s="416">
        <f t="shared" si="397"/>
        <v>6</v>
      </c>
      <c r="AH1419" s="372">
        <f t="shared" si="398"/>
        <v>1</v>
      </c>
      <c r="AI1419" s="373">
        <f t="shared" si="399"/>
        <v>535.83333333333337</v>
      </c>
      <c r="AJ1419" s="418">
        <f>VLOOKUP(D1419,'Standard Cycle time'!C:D,2,0)</f>
        <v>6</v>
      </c>
      <c r="AK1419" s="418">
        <f t="shared" si="400"/>
        <v>6.7185069984447905</v>
      </c>
      <c r="AL1419" s="374">
        <f t="shared" si="401"/>
        <v>0.89305555555555549</v>
      </c>
      <c r="AM1419" s="372">
        <f t="shared" si="402"/>
        <v>0.89305555555555549</v>
      </c>
      <c r="AN1419" s="799">
        <v>0.89305555555555549</v>
      </c>
      <c r="AO1419" s="448"/>
      <c r="AP1419" s="440">
        <v>0</v>
      </c>
      <c r="AQ1419" s="440">
        <v>0</v>
      </c>
      <c r="AR1419" s="440">
        <v>0</v>
      </c>
      <c r="AS1419" s="440">
        <v>0</v>
      </c>
      <c r="AT1419" s="440">
        <v>0</v>
      </c>
      <c r="AU1419" s="440">
        <v>0</v>
      </c>
      <c r="AV1419" s="440">
        <v>0</v>
      </c>
      <c r="AW1419" s="440">
        <v>0</v>
      </c>
      <c r="AX1419" s="440">
        <v>0</v>
      </c>
      <c r="AY1419" s="440">
        <v>0</v>
      </c>
      <c r="AZ1419" s="440">
        <v>0</v>
      </c>
      <c r="BA1419" s="440">
        <v>0</v>
      </c>
      <c r="BB1419" s="440">
        <v>0</v>
      </c>
      <c r="BC1419" s="440">
        <v>0</v>
      </c>
      <c r="BD1419" s="440">
        <v>0</v>
      </c>
      <c r="BE1419" s="440">
        <v>0</v>
      </c>
      <c r="BF1419" s="440">
        <v>0</v>
      </c>
      <c r="BG1419" s="440">
        <v>0</v>
      </c>
      <c r="BH1419" s="440">
        <v>0</v>
      </c>
      <c r="BI1419" s="440">
        <v>0</v>
      </c>
      <c r="BJ1419" s="440">
        <v>0</v>
      </c>
      <c r="BK1419" s="440">
        <v>0</v>
      </c>
      <c r="BL1419" s="440">
        <v>0</v>
      </c>
      <c r="BM1419" s="440">
        <v>0</v>
      </c>
      <c r="BN1419" s="440">
        <v>0</v>
      </c>
      <c r="BO1419" s="440">
        <v>0</v>
      </c>
      <c r="BP1419" s="440">
        <v>0</v>
      </c>
      <c r="BQ1419" s="440">
        <v>0</v>
      </c>
      <c r="BR1419" s="415">
        <v>0</v>
      </c>
      <c r="BS1419" s="415">
        <v>0</v>
      </c>
      <c r="BT1419" s="935"/>
      <c r="BU1419" s="935"/>
      <c r="BV1419" s="935"/>
      <c r="BW1419" s="935"/>
      <c r="BX1419" s="935"/>
      <c r="BY1419" s="935"/>
      <c r="BZ1419" s="935"/>
      <c r="CA1419" s="935"/>
      <c r="CB1419" s="935"/>
      <c r="CC1419" s="935"/>
      <c r="CD1419" s="935"/>
      <c r="CE1419" s="935"/>
      <c r="CF1419" s="935"/>
      <c r="CG1419" s="935"/>
      <c r="CH1419" s="935"/>
      <c r="CI1419" s="935"/>
      <c r="CJ1419" s="935"/>
      <c r="CK1419" s="935"/>
      <c r="CL1419" s="935"/>
      <c r="CM1419" s="935"/>
      <c r="CN1419" s="935"/>
      <c r="CO1419" s="935"/>
      <c r="CP1419" s="935"/>
      <c r="CQ1419" s="935"/>
      <c r="CR1419" s="935"/>
      <c r="CS1419" s="935"/>
      <c r="CT1419" s="935"/>
      <c r="CU1419" s="935"/>
      <c r="CV1419" s="935"/>
    </row>
    <row r="1420" spans="1:100" s="441" customFormat="1">
      <c r="A1420" s="375">
        <f t="shared" si="388"/>
        <v>11</v>
      </c>
      <c r="B1420" s="862">
        <v>44526</v>
      </c>
      <c r="C1420" s="493" t="s">
        <v>1980</v>
      </c>
      <c r="D1420" s="376" t="str">
        <f>IFERROR(VLOOKUP(E:E,'Item Data Support Sheet'!A:O,7,0),"")</f>
        <v>CAP MOLDED</v>
      </c>
      <c r="E1420" s="447" t="s">
        <v>2107</v>
      </c>
      <c r="F1420" s="500" t="s">
        <v>4140</v>
      </c>
      <c r="G1420" s="497" t="s">
        <v>2729</v>
      </c>
      <c r="H1420" s="602" t="str">
        <f>IFERROR(VLOOKUP(E:E,'Item Data Support Sheet'!A:O,2,0),"")</f>
        <v>CAP S TYPE MOLDED PINK</v>
      </c>
      <c r="I1420" s="501" t="s">
        <v>4198</v>
      </c>
      <c r="J1420" s="501" t="s">
        <v>2808</v>
      </c>
      <c r="K1420" s="499">
        <v>2</v>
      </c>
      <c r="L1420" s="499">
        <v>1034</v>
      </c>
      <c r="M1420" s="366">
        <v>517</v>
      </c>
      <c r="N1420" s="367">
        <f t="shared" si="387"/>
        <v>1906</v>
      </c>
      <c r="O1420" s="61">
        <v>1900</v>
      </c>
      <c r="P1420" s="368">
        <v>0</v>
      </c>
      <c r="Q1420" s="368">
        <v>0</v>
      </c>
      <c r="R1420" s="494">
        <v>0</v>
      </c>
      <c r="S1420" s="493">
        <v>0</v>
      </c>
      <c r="T1420" s="494">
        <v>6</v>
      </c>
      <c r="U1420" s="493">
        <v>0</v>
      </c>
      <c r="V1420" s="502">
        <v>1</v>
      </c>
      <c r="W1420" s="453">
        <f t="shared" si="389"/>
        <v>1900</v>
      </c>
      <c r="X1420" s="748">
        <f t="shared" si="390"/>
        <v>1.8375241779497098</v>
      </c>
      <c r="Y1420" s="451" t="str">
        <f>IFERROR(VLOOKUP(E:E,'Item Data Support Sheet'!A:J,6,0),0)</f>
        <v>RM000123</v>
      </c>
      <c r="Z1420" s="428">
        <f>IFERROR(VLOOKUP(E:E,'Item Data Support Sheet'!A:O,4,0),0)</f>
        <v>7.3</v>
      </c>
      <c r="AA1420" s="428">
        <f t="shared" si="391"/>
        <v>13.9138</v>
      </c>
      <c r="AB1420" s="429">
        <f t="shared" si="392"/>
        <v>0.99685204616998957</v>
      </c>
      <c r="AC1420" s="424">
        <f t="shared" si="393"/>
        <v>3.1479538300104933E-3</v>
      </c>
      <c r="AD1420" s="371">
        <f t="shared" si="394"/>
        <v>0</v>
      </c>
      <c r="AE1420" s="748">
        <f t="shared" si="395"/>
        <v>0.99685204616998946</v>
      </c>
      <c r="AF1420" s="417">
        <f t="shared" si="396"/>
        <v>0</v>
      </c>
      <c r="AG1420" s="416">
        <f t="shared" si="397"/>
        <v>2</v>
      </c>
      <c r="AH1420" s="372">
        <f t="shared" si="398"/>
        <v>1</v>
      </c>
      <c r="AI1420" s="373">
        <f t="shared" si="399"/>
        <v>950</v>
      </c>
      <c r="AJ1420" s="418">
        <f>VLOOKUP(D1420,'Standard Cycle time'!C:D,2,0)</f>
        <v>6</v>
      </c>
      <c r="AK1420" s="418">
        <f t="shared" si="400"/>
        <v>3.7894736842105261</v>
      </c>
      <c r="AL1420" s="374">
        <f t="shared" si="401"/>
        <v>1.5833333333333335</v>
      </c>
      <c r="AM1420" s="372">
        <f t="shared" si="402"/>
        <v>1.5783490731024834</v>
      </c>
      <c r="AN1420" s="799">
        <v>1.5783490731024834</v>
      </c>
      <c r="AO1420" s="448"/>
      <c r="AP1420" s="440">
        <v>0</v>
      </c>
      <c r="AQ1420" s="440">
        <v>0</v>
      </c>
      <c r="AR1420" s="440">
        <v>0</v>
      </c>
      <c r="AS1420" s="440">
        <v>0</v>
      </c>
      <c r="AT1420" s="440">
        <v>0</v>
      </c>
      <c r="AU1420" s="440">
        <v>0</v>
      </c>
      <c r="AV1420" s="440">
        <v>0</v>
      </c>
      <c r="AW1420" s="440">
        <v>0</v>
      </c>
      <c r="AX1420" s="440">
        <v>0</v>
      </c>
      <c r="AY1420" s="440">
        <v>0</v>
      </c>
      <c r="AZ1420" s="440">
        <v>0</v>
      </c>
      <c r="BA1420" s="440">
        <v>0</v>
      </c>
      <c r="BB1420" s="440">
        <v>0</v>
      </c>
      <c r="BC1420" s="440">
        <v>0</v>
      </c>
      <c r="BD1420" s="440">
        <v>0</v>
      </c>
      <c r="BE1420" s="440">
        <v>0</v>
      </c>
      <c r="BF1420" s="440">
        <v>0</v>
      </c>
      <c r="BG1420" s="440">
        <v>0</v>
      </c>
      <c r="BH1420" s="440">
        <v>0</v>
      </c>
      <c r="BI1420" s="440">
        <v>0</v>
      </c>
      <c r="BJ1420" s="440">
        <v>0</v>
      </c>
      <c r="BK1420" s="440">
        <v>0</v>
      </c>
      <c r="BL1420" s="440">
        <v>0</v>
      </c>
      <c r="BM1420" s="440">
        <v>0</v>
      </c>
      <c r="BN1420" s="440">
        <v>0</v>
      </c>
      <c r="BO1420" s="440">
        <v>0</v>
      </c>
      <c r="BP1420" s="440">
        <v>0</v>
      </c>
      <c r="BQ1420" s="440">
        <v>0</v>
      </c>
      <c r="BR1420" s="415">
        <v>0</v>
      </c>
      <c r="BS1420" s="415">
        <v>0</v>
      </c>
      <c r="BT1420" s="935"/>
      <c r="BU1420" s="935"/>
      <c r="BV1420" s="935"/>
      <c r="BW1420" s="935"/>
      <c r="BX1420" s="935"/>
      <c r="BY1420" s="935"/>
      <c r="BZ1420" s="935"/>
      <c r="CA1420" s="935"/>
      <c r="CB1420" s="935"/>
      <c r="CC1420" s="935"/>
      <c r="CD1420" s="935"/>
      <c r="CE1420" s="935"/>
      <c r="CF1420" s="935"/>
      <c r="CG1420" s="935"/>
      <c r="CH1420" s="935"/>
      <c r="CI1420" s="935"/>
      <c r="CJ1420" s="935"/>
      <c r="CK1420" s="935"/>
      <c r="CL1420" s="935"/>
      <c r="CM1420" s="935"/>
      <c r="CN1420" s="935"/>
      <c r="CO1420" s="935"/>
      <c r="CP1420" s="935"/>
      <c r="CQ1420" s="935"/>
      <c r="CR1420" s="935"/>
      <c r="CS1420" s="935"/>
      <c r="CT1420" s="935"/>
      <c r="CU1420" s="935"/>
      <c r="CV1420" s="935"/>
    </row>
    <row r="1421" spans="1:100" s="441" customFormat="1">
      <c r="A1421" s="375">
        <f t="shared" si="388"/>
        <v>11</v>
      </c>
      <c r="B1421" s="862">
        <v>44526</v>
      </c>
      <c r="C1421" s="493" t="s">
        <v>1980</v>
      </c>
      <c r="D1421" s="376" t="str">
        <f>IFERROR(VLOOKUP(E:E,'Item Data Support Sheet'!A:O,7,0),"")</f>
        <v>NIPPLE MOLDED</v>
      </c>
      <c r="E1421" s="447" t="s">
        <v>2484</v>
      </c>
      <c r="F1421" s="500" t="s">
        <v>1677</v>
      </c>
      <c r="G1421" s="497" t="s">
        <v>1690</v>
      </c>
      <c r="H1421" s="602" t="str">
        <f>IFERROR(VLOOKUP(E:E,'Item Data Support Sheet'!A:O,2,0),"")</f>
        <v>NIPPLE S TYPE LL SIZE INJECTION</v>
      </c>
      <c r="I1421" s="501" t="s">
        <v>4199</v>
      </c>
      <c r="J1421" s="501" t="s">
        <v>2808</v>
      </c>
      <c r="K1421" s="499">
        <v>8</v>
      </c>
      <c r="L1421" s="499">
        <v>3611</v>
      </c>
      <c r="M1421" s="366">
        <v>451.375</v>
      </c>
      <c r="N1421" s="367">
        <f t="shared" si="387"/>
        <v>3686</v>
      </c>
      <c r="O1421" s="61">
        <v>3600</v>
      </c>
      <c r="P1421" s="368">
        <v>0</v>
      </c>
      <c r="Q1421" s="368">
        <v>45</v>
      </c>
      <c r="R1421" s="494">
        <v>0</v>
      </c>
      <c r="S1421" s="493">
        <v>0</v>
      </c>
      <c r="T1421" s="494">
        <v>35</v>
      </c>
      <c r="U1421" s="493">
        <v>6</v>
      </c>
      <c r="V1421" s="502">
        <v>1</v>
      </c>
      <c r="W1421" s="453">
        <f t="shared" si="389"/>
        <v>3600</v>
      </c>
      <c r="X1421" s="748">
        <f t="shared" si="390"/>
        <v>0.99695375242315143</v>
      </c>
      <c r="Y1421" s="451" t="str">
        <f>IFERROR(VLOOKUP(E:E,'Item Data Support Sheet'!A:J,6,0),0)</f>
        <v>FO148</v>
      </c>
      <c r="Z1421" s="428">
        <f>IFERROR(VLOOKUP(E:E,'Item Data Support Sheet'!A:O,4,0),0)</f>
        <v>6.8</v>
      </c>
      <c r="AA1421" s="428">
        <f t="shared" si="391"/>
        <v>25.064799999999998</v>
      </c>
      <c r="AB1421" s="429">
        <f t="shared" si="392"/>
        <v>0.9766684753119913</v>
      </c>
      <c r="AC1421" s="424">
        <f t="shared" si="393"/>
        <v>9.6286107290233843E-3</v>
      </c>
      <c r="AD1421" s="371">
        <f t="shared" si="394"/>
        <v>1.2061109622085233E-2</v>
      </c>
      <c r="AE1421" s="748">
        <f t="shared" si="395"/>
        <v>0.99050461204557783</v>
      </c>
      <c r="AF1421" s="417">
        <f t="shared" si="396"/>
        <v>0</v>
      </c>
      <c r="AG1421" s="416">
        <f t="shared" si="397"/>
        <v>8</v>
      </c>
      <c r="AH1421" s="372">
        <f t="shared" si="398"/>
        <v>1</v>
      </c>
      <c r="AI1421" s="373">
        <f t="shared" si="399"/>
        <v>450</v>
      </c>
      <c r="AJ1421" s="418">
        <f>VLOOKUP(D1421,'Standard Cycle time'!C:D,2,0)</f>
        <v>5.25</v>
      </c>
      <c r="AK1421" s="418">
        <f t="shared" si="400"/>
        <v>8</v>
      </c>
      <c r="AL1421" s="374">
        <f t="shared" si="401"/>
        <v>0.65625</v>
      </c>
      <c r="AM1421" s="372">
        <f t="shared" si="402"/>
        <v>0.65001865165491046</v>
      </c>
      <c r="AN1421" s="799">
        <v>0.65001865165491046</v>
      </c>
      <c r="AO1421" s="448"/>
      <c r="AP1421" s="440">
        <v>0</v>
      </c>
      <c r="AQ1421" s="440">
        <v>0</v>
      </c>
      <c r="AR1421" s="440">
        <v>0</v>
      </c>
      <c r="AS1421" s="440">
        <v>0</v>
      </c>
      <c r="AT1421" s="440">
        <v>0</v>
      </c>
      <c r="AU1421" s="440">
        <v>0</v>
      </c>
      <c r="AV1421" s="440">
        <v>0</v>
      </c>
      <c r="AW1421" s="440">
        <v>0</v>
      </c>
      <c r="AX1421" s="440">
        <v>0</v>
      </c>
      <c r="AY1421" s="440">
        <v>0</v>
      </c>
      <c r="AZ1421" s="440">
        <v>0</v>
      </c>
      <c r="BA1421" s="440">
        <v>0</v>
      </c>
      <c r="BB1421" s="440">
        <v>0</v>
      </c>
      <c r="BC1421" s="440">
        <v>0</v>
      </c>
      <c r="BD1421" s="440">
        <v>0</v>
      </c>
      <c r="BE1421" s="440">
        <v>0</v>
      </c>
      <c r="BF1421" s="440">
        <v>0</v>
      </c>
      <c r="BG1421" s="440">
        <v>0</v>
      </c>
      <c r="BH1421" s="440">
        <v>0</v>
      </c>
      <c r="BI1421" s="440">
        <v>0</v>
      </c>
      <c r="BJ1421" s="440">
        <v>0</v>
      </c>
      <c r="BK1421" s="440">
        <v>0</v>
      </c>
      <c r="BL1421" s="440">
        <v>0</v>
      </c>
      <c r="BM1421" s="440">
        <v>0</v>
      </c>
      <c r="BN1421" s="440">
        <v>0</v>
      </c>
      <c r="BO1421" s="440">
        <v>0</v>
      </c>
      <c r="BP1421" s="440">
        <v>0</v>
      </c>
      <c r="BQ1421" s="440">
        <v>0</v>
      </c>
      <c r="BR1421" s="415">
        <v>0</v>
      </c>
      <c r="BS1421" s="415">
        <v>0</v>
      </c>
      <c r="BT1421" s="935"/>
      <c r="BU1421" s="935"/>
      <c r="BV1421" s="935"/>
      <c r="BW1421" s="935"/>
      <c r="BX1421" s="935"/>
      <c r="BY1421" s="935"/>
      <c r="BZ1421" s="935"/>
      <c r="CA1421" s="935"/>
      <c r="CB1421" s="935"/>
      <c r="CC1421" s="935"/>
      <c r="CD1421" s="935"/>
      <c r="CE1421" s="935"/>
      <c r="CF1421" s="935"/>
      <c r="CG1421" s="935"/>
      <c r="CH1421" s="935"/>
      <c r="CI1421" s="935"/>
      <c r="CJ1421" s="935"/>
      <c r="CK1421" s="935"/>
      <c r="CL1421" s="935"/>
      <c r="CM1421" s="935"/>
      <c r="CN1421" s="935"/>
      <c r="CO1421" s="935"/>
      <c r="CP1421" s="935"/>
      <c r="CQ1421" s="935"/>
      <c r="CR1421" s="935"/>
      <c r="CS1421" s="935"/>
      <c r="CT1421" s="935"/>
      <c r="CU1421" s="935"/>
      <c r="CV1421" s="935"/>
    </row>
    <row r="1422" spans="1:100" s="441" customFormat="1">
      <c r="A1422" s="375">
        <f t="shared" si="388"/>
        <v>11</v>
      </c>
      <c r="B1422" s="862">
        <v>44526</v>
      </c>
      <c r="C1422" s="493" t="s">
        <v>1980</v>
      </c>
      <c r="D1422" s="376" t="str">
        <f>IFERROR(VLOOKUP(E:E,'Item Data Support Sheet'!A:O,7,0),"")</f>
        <v>NIPPLE MOLDED</v>
      </c>
      <c r="E1422" s="447" t="s">
        <v>74</v>
      </c>
      <c r="F1422" s="500" t="s">
        <v>1678</v>
      </c>
      <c r="G1422" s="497" t="s">
        <v>1691</v>
      </c>
      <c r="H1422" s="602" t="str">
        <f>IFERROR(VLOOKUP(E:E,'Item Data Support Sheet'!A:O,2,0),"")</f>
        <v>NIPPLE S TYPE L SIZE INJECTION</v>
      </c>
      <c r="I1422" s="501" t="s">
        <v>4199</v>
      </c>
      <c r="J1422" s="501" t="s">
        <v>2808</v>
      </c>
      <c r="K1422" s="499">
        <v>8</v>
      </c>
      <c r="L1422" s="499">
        <v>4815</v>
      </c>
      <c r="M1422" s="366">
        <v>601.875</v>
      </c>
      <c r="N1422" s="367">
        <f t="shared" si="387"/>
        <v>5358</v>
      </c>
      <c r="O1422" s="61">
        <v>5300</v>
      </c>
      <c r="P1422" s="368">
        <v>0</v>
      </c>
      <c r="Q1422" s="368">
        <v>0</v>
      </c>
      <c r="R1422" s="494">
        <v>0</v>
      </c>
      <c r="S1422" s="493">
        <v>0</v>
      </c>
      <c r="T1422" s="494">
        <v>50</v>
      </c>
      <c r="U1422" s="493">
        <v>8</v>
      </c>
      <c r="V1422" s="502">
        <v>1</v>
      </c>
      <c r="W1422" s="453">
        <f t="shared" si="389"/>
        <v>5300</v>
      </c>
      <c r="X1422" s="748">
        <f t="shared" si="390"/>
        <v>1.1007268951194185</v>
      </c>
      <c r="Y1422" s="451" t="str">
        <f>IFERROR(VLOOKUP(E:E,'Item Data Support Sheet'!A:J,6,0),0)</f>
        <v>Silicon</v>
      </c>
      <c r="Z1422" s="428">
        <f>IFERROR(VLOOKUP(E:E,'Item Data Support Sheet'!A:O,4,0),0)</f>
        <v>6.8</v>
      </c>
      <c r="AA1422" s="428">
        <f t="shared" si="391"/>
        <v>36.434399999999997</v>
      </c>
      <c r="AB1422" s="429">
        <f t="shared" si="392"/>
        <v>0.9891750653228818</v>
      </c>
      <c r="AC1422" s="424">
        <f t="shared" si="393"/>
        <v>9.3457943925233638E-3</v>
      </c>
      <c r="AD1422" s="371">
        <f t="shared" si="394"/>
        <v>0</v>
      </c>
      <c r="AE1422" s="748">
        <f t="shared" si="395"/>
        <v>0.99066815976110489</v>
      </c>
      <c r="AF1422" s="417">
        <f t="shared" si="396"/>
        <v>0</v>
      </c>
      <c r="AG1422" s="416">
        <f t="shared" si="397"/>
        <v>8</v>
      </c>
      <c r="AH1422" s="372">
        <f t="shared" si="398"/>
        <v>1</v>
      </c>
      <c r="AI1422" s="373">
        <f t="shared" si="399"/>
        <v>662.5</v>
      </c>
      <c r="AJ1422" s="418">
        <f>VLOOKUP(D1422,'Standard Cycle time'!C:D,2,0)</f>
        <v>5.25</v>
      </c>
      <c r="AK1422" s="418">
        <f t="shared" si="400"/>
        <v>5.4339622641509431</v>
      </c>
      <c r="AL1422" s="374">
        <f t="shared" si="401"/>
        <v>0.96614583333333337</v>
      </c>
      <c r="AM1422" s="372">
        <f t="shared" si="402"/>
        <v>0.95712991476919251</v>
      </c>
      <c r="AN1422" s="799">
        <v>0.95712991476919251</v>
      </c>
      <c r="AO1422" s="448"/>
      <c r="AP1422" s="440">
        <v>0</v>
      </c>
      <c r="AQ1422" s="440">
        <v>0</v>
      </c>
      <c r="AR1422" s="440">
        <v>0</v>
      </c>
      <c r="AS1422" s="440">
        <v>0</v>
      </c>
      <c r="AT1422" s="440">
        <v>0</v>
      </c>
      <c r="AU1422" s="440">
        <v>0</v>
      </c>
      <c r="AV1422" s="440">
        <v>0</v>
      </c>
      <c r="AW1422" s="440">
        <v>0</v>
      </c>
      <c r="AX1422" s="440">
        <v>0</v>
      </c>
      <c r="AY1422" s="440">
        <v>0</v>
      </c>
      <c r="AZ1422" s="440">
        <v>0</v>
      </c>
      <c r="BA1422" s="440">
        <v>0</v>
      </c>
      <c r="BB1422" s="440">
        <v>0</v>
      </c>
      <c r="BC1422" s="440">
        <v>0</v>
      </c>
      <c r="BD1422" s="440">
        <v>0</v>
      </c>
      <c r="BE1422" s="440">
        <v>0</v>
      </c>
      <c r="BF1422" s="440">
        <v>0</v>
      </c>
      <c r="BG1422" s="440">
        <v>0</v>
      </c>
      <c r="BH1422" s="440">
        <v>0</v>
      </c>
      <c r="BI1422" s="440">
        <v>0</v>
      </c>
      <c r="BJ1422" s="440">
        <v>0</v>
      </c>
      <c r="BK1422" s="440">
        <v>0</v>
      </c>
      <c r="BL1422" s="440">
        <v>0</v>
      </c>
      <c r="BM1422" s="440">
        <v>0</v>
      </c>
      <c r="BN1422" s="440">
        <v>0</v>
      </c>
      <c r="BO1422" s="440">
        <v>0</v>
      </c>
      <c r="BP1422" s="440">
        <v>0</v>
      </c>
      <c r="BQ1422" s="440">
        <v>0</v>
      </c>
      <c r="BR1422" s="415">
        <v>0</v>
      </c>
      <c r="BS1422" s="415">
        <v>0</v>
      </c>
      <c r="BT1422" s="935"/>
      <c r="BU1422" s="935"/>
      <c r="BV1422" s="935"/>
      <c r="BW1422" s="935"/>
      <c r="BX1422" s="935"/>
      <c r="BY1422" s="935"/>
      <c r="BZ1422" s="935"/>
      <c r="CA1422" s="935"/>
      <c r="CB1422" s="935"/>
      <c r="CC1422" s="935"/>
      <c r="CD1422" s="935"/>
      <c r="CE1422" s="935"/>
      <c r="CF1422" s="935"/>
      <c r="CG1422" s="935"/>
      <c r="CH1422" s="935"/>
      <c r="CI1422" s="935"/>
      <c r="CJ1422" s="935"/>
      <c r="CK1422" s="935"/>
      <c r="CL1422" s="935"/>
      <c r="CM1422" s="935"/>
      <c r="CN1422" s="935"/>
      <c r="CO1422" s="935"/>
      <c r="CP1422" s="935"/>
      <c r="CQ1422" s="935"/>
      <c r="CR1422" s="935"/>
      <c r="CS1422" s="935"/>
      <c r="CT1422" s="935"/>
      <c r="CU1422" s="935"/>
      <c r="CV1422" s="935"/>
    </row>
    <row r="1423" spans="1:100" s="441" customFormat="1">
      <c r="A1423" s="375">
        <f t="shared" si="388"/>
        <v>11</v>
      </c>
      <c r="B1423" s="862">
        <v>44526</v>
      </c>
      <c r="C1423" s="493" t="s">
        <v>1980</v>
      </c>
      <c r="D1423" s="376" t="str">
        <f>IFERROR(VLOOKUP(E:E,'Item Data Support Sheet'!A:O,7,0),"")</f>
        <v>BOTTLE MOLDED</v>
      </c>
      <c r="E1423" s="447" t="s">
        <v>66</v>
      </c>
      <c r="F1423" s="500" t="s">
        <v>1664</v>
      </c>
      <c r="G1423" s="497" t="s">
        <v>1888</v>
      </c>
      <c r="H1423" s="602" t="str">
        <f>IFERROR(VLOOKUP(E:E,'Item Data Support Sheet'!A:O,2,0),"")</f>
        <v>KPP 200 ML BOTTLE MOLDED</v>
      </c>
      <c r="I1423" s="501" t="s">
        <v>4200</v>
      </c>
      <c r="J1423" s="501" t="s">
        <v>2808</v>
      </c>
      <c r="K1423" s="499">
        <v>8</v>
      </c>
      <c r="L1423" s="499">
        <v>2574</v>
      </c>
      <c r="M1423" s="366">
        <v>321.75</v>
      </c>
      <c r="N1423" s="367">
        <f t="shared" si="387"/>
        <v>2974</v>
      </c>
      <c r="O1423" s="61">
        <v>2916</v>
      </c>
      <c r="P1423" s="368">
        <v>0.3</v>
      </c>
      <c r="Q1423" s="368">
        <v>18</v>
      </c>
      <c r="R1423" s="494">
        <v>0</v>
      </c>
      <c r="S1423" s="493">
        <v>0</v>
      </c>
      <c r="T1423" s="494">
        <v>32</v>
      </c>
      <c r="U1423" s="493">
        <v>8</v>
      </c>
      <c r="V1423" s="502">
        <v>1</v>
      </c>
      <c r="W1423" s="453">
        <f t="shared" si="389"/>
        <v>2916</v>
      </c>
      <c r="X1423" s="748">
        <f t="shared" si="390"/>
        <v>1.1328671328671329</v>
      </c>
      <c r="Y1423" s="451" t="str">
        <f>IFERROR(VLOOKUP(E:E,'Item Data Support Sheet'!A:J,6,0),0)</f>
        <v>HMC</v>
      </c>
      <c r="Z1423" s="428">
        <f>IFERROR(VLOOKUP(E:E,'Item Data Support Sheet'!A:O,4,0),0)</f>
        <v>28.1</v>
      </c>
      <c r="AA1423" s="428">
        <f t="shared" si="391"/>
        <v>83.869399999999999</v>
      </c>
      <c r="AB1423" s="429">
        <f t="shared" si="392"/>
        <v>0.97699041605162307</v>
      </c>
      <c r="AC1423" s="424">
        <f t="shared" si="393"/>
        <v>1.0854816824966078E-2</v>
      </c>
      <c r="AD1423" s="371">
        <f t="shared" si="394"/>
        <v>6.0160427807486629E-3</v>
      </c>
      <c r="AE1423" s="748">
        <f t="shared" si="395"/>
        <v>0.98924008069939473</v>
      </c>
      <c r="AF1423" s="417">
        <f t="shared" si="396"/>
        <v>0</v>
      </c>
      <c r="AG1423" s="416">
        <f t="shared" si="397"/>
        <v>8</v>
      </c>
      <c r="AH1423" s="372">
        <f t="shared" si="398"/>
        <v>1</v>
      </c>
      <c r="AI1423" s="373">
        <f t="shared" si="399"/>
        <v>364.5</v>
      </c>
      <c r="AJ1423" s="418">
        <f>VLOOKUP(D1423,'Standard Cycle time'!C:D,2,0)</f>
        <v>9</v>
      </c>
      <c r="AK1423" s="418">
        <f t="shared" si="400"/>
        <v>9.8765432098765427</v>
      </c>
      <c r="AL1423" s="374">
        <f t="shared" si="401"/>
        <v>0.91125</v>
      </c>
      <c r="AM1423" s="372">
        <f t="shared" si="402"/>
        <v>0.90144502353732348</v>
      </c>
      <c r="AN1423" s="799">
        <v>0.90144502353732348</v>
      </c>
      <c r="AO1423" s="448"/>
      <c r="AP1423" s="440">
        <v>0</v>
      </c>
      <c r="AQ1423" s="440">
        <v>0</v>
      </c>
      <c r="AR1423" s="440">
        <v>0</v>
      </c>
      <c r="AS1423" s="440">
        <v>0</v>
      </c>
      <c r="AT1423" s="440">
        <v>0</v>
      </c>
      <c r="AU1423" s="440">
        <v>0</v>
      </c>
      <c r="AV1423" s="440">
        <v>0</v>
      </c>
      <c r="AW1423" s="440">
        <v>0</v>
      </c>
      <c r="AX1423" s="440">
        <v>0</v>
      </c>
      <c r="AY1423" s="440">
        <v>0</v>
      </c>
      <c r="AZ1423" s="440">
        <v>0</v>
      </c>
      <c r="BA1423" s="440">
        <v>0</v>
      </c>
      <c r="BB1423" s="440">
        <v>0</v>
      </c>
      <c r="BC1423" s="440">
        <v>0</v>
      </c>
      <c r="BD1423" s="440">
        <v>0</v>
      </c>
      <c r="BE1423" s="440">
        <v>0</v>
      </c>
      <c r="BF1423" s="440">
        <v>0</v>
      </c>
      <c r="BG1423" s="440">
        <v>0</v>
      </c>
      <c r="BH1423" s="440">
        <v>0</v>
      </c>
      <c r="BI1423" s="440">
        <v>0</v>
      </c>
      <c r="BJ1423" s="440">
        <v>0</v>
      </c>
      <c r="BK1423" s="440">
        <v>0</v>
      </c>
      <c r="BL1423" s="440">
        <v>0</v>
      </c>
      <c r="BM1423" s="440">
        <v>0</v>
      </c>
      <c r="BN1423" s="440">
        <v>0</v>
      </c>
      <c r="BO1423" s="440">
        <v>0</v>
      </c>
      <c r="BP1423" s="440">
        <v>0</v>
      </c>
      <c r="BQ1423" s="440">
        <v>0</v>
      </c>
      <c r="BR1423" s="415">
        <v>0</v>
      </c>
      <c r="BS1423" s="415">
        <v>0</v>
      </c>
      <c r="BT1423" s="935"/>
      <c r="BU1423" s="935"/>
      <c r="BV1423" s="935"/>
      <c r="BW1423" s="935"/>
      <c r="BX1423" s="935"/>
      <c r="BY1423" s="935"/>
      <c r="BZ1423" s="935"/>
      <c r="CA1423" s="935"/>
      <c r="CB1423" s="935"/>
      <c r="CC1423" s="935"/>
      <c r="CD1423" s="935"/>
      <c r="CE1423" s="935"/>
      <c r="CF1423" s="935"/>
      <c r="CG1423" s="935"/>
      <c r="CH1423" s="935"/>
      <c r="CI1423" s="935"/>
      <c r="CJ1423" s="935"/>
      <c r="CK1423" s="935"/>
      <c r="CL1423" s="935"/>
      <c r="CM1423" s="935"/>
      <c r="CN1423" s="935"/>
      <c r="CO1423" s="935"/>
      <c r="CP1423" s="935"/>
      <c r="CQ1423" s="935"/>
      <c r="CR1423" s="935"/>
      <c r="CS1423" s="935"/>
      <c r="CT1423" s="935"/>
      <c r="CU1423" s="935"/>
      <c r="CV1423" s="935"/>
    </row>
    <row r="1424" spans="1:100" s="441" customFormat="1">
      <c r="A1424" s="375">
        <f t="shared" si="388"/>
        <v>11</v>
      </c>
      <c r="B1424" s="862">
        <v>44526</v>
      </c>
      <c r="C1424" s="493" t="s">
        <v>1980</v>
      </c>
      <c r="D1424" s="376" t="str">
        <f>IFERROR(VLOOKUP(E:E,'Item Data Support Sheet'!A:O,7,0),"")</f>
        <v>NIPPLE PUNCH</v>
      </c>
      <c r="E1424" s="447" t="s">
        <v>2486</v>
      </c>
      <c r="F1424" s="500"/>
      <c r="G1424" s="497" t="s">
        <v>1692</v>
      </c>
      <c r="H1424" s="602" t="str">
        <f>IFERROR(VLOOKUP(E:E,'Item Data Support Sheet'!A:O,2,0),"")</f>
        <v>NIPPLE S TYPE LL SIZE PUNCHED</v>
      </c>
      <c r="I1424" s="501" t="s">
        <v>4201</v>
      </c>
      <c r="J1424" s="501" t="s">
        <v>2808</v>
      </c>
      <c r="K1424" s="499">
        <v>8</v>
      </c>
      <c r="L1424" s="499">
        <v>7000</v>
      </c>
      <c r="M1424" s="366">
        <v>875</v>
      </c>
      <c r="N1424" s="367">
        <f t="shared" si="387"/>
        <v>7000</v>
      </c>
      <c r="O1424" s="61">
        <v>7000</v>
      </c>
      <c r="P1424" s="368">
        <v>0</v>
      </c>
      <c r="Q1424" s="368">
        <v>0</v>
      </c>
      <c r="R1424" s="494">
        <v>0</v>
      </c>
      <c r="S1424" s="493">
        <v>0</v>
      </c>
      <c r="T1424" s="494">
        <v>0</v>
      </c>
      <c r="U1424" s="493">
        <v>0</v>
      </c>
      <c r="V1424" s="502">
        <v>1</v>
      </c>
      <c r="W1424" s="453">
        <f t="shared" si="389"/>
        <v>7000</v>
      </c>
      <c r="X1424" s="748">
        <f t="shared" si="390"/>
        <v>1</v>
      </c>
      <c r="Y1424" s="451" t="str">
        <f>IFERROR(VLOOKUP(E:E,'Item Data Support Sheet'!A:J,6,0),0)</f>
        <v>FO150</v>
      </c>
      <c r="Z1424" s="428">
        <f>IFERROR(VLOOKUP(E:E,'Item Data Support Sheet'!A:O,4,0),0)</f>
        <v>0</v>
      </c>
      <c r="AA1424" s="428">
        <f t="shared" si="391"/>
        <v>0</v>
      </c>
      <c r="AB1424" s="429" t="str">
        <f t="shared" si="392"/>
        <v xml:space="preserve"> </v>
      </c>
      <c r="AC1424" s="424">
        <f t="shared" si="393"/>
        <v>0</v>
      </c>
      <c r="AD1424" s="371">
        <f t="shared" si="394"/>
        <v>0</v>
      </c>
      <c r="AE1424" s="748">
        <f t="shared" si="395"/>
        <v>1</v>
      </c>
      <c r="AF1424" s="417">
        <f t="shared" si="396"/>
        <v>0</v>
      </c>
      <c r="AG1424" s="416">
        <f t="shared" si="397"/>
        <v>8</v>
      </c>
      <c r="AH1424" s="372">
        <f t="shared" si="398"/>
        <v>1</v>
      </c>
      <c r="AI1424" s="373">
        <f t="shared" si="399"/>
        <v>875</v>
      </c>
      <c r="AJ1424" s="418">
        <f>VLOOKUP(D1424,'Standard Cycle time'!C:D,2,0)</f>
        <v>3.5</v>
      </c>
      <c r="AK1424" s="418">
        <f t="shared" si="400"/>
        <v>4.1142857142857139</v>
      </c>
      <c r="AL1424" s="374">
        <f t="shared" si="401"/>
        <v>0.85069444444444453</v>
      </c>
      <c r="AM1424" s="372">
        <f t="shared" si="402"/>
        <v>0.85069444444444453</v>
      </c>
      <c r="AN1424" s="799">
        <v>0.85069444444444453</v>
      </c>
      <c r="AO1424" s="448"/>
      <c r="AP1424" s="440">
        <v>0</v>
      </c>
      <c r="AQ1424" s="440">
        <v>0</v>
      </c>
      <c r="AR1424" s="440">
        <v>0</v>
      </c>
      <c r="AS1424" s="440">
        <v>0</v>
      </c>
      <c r="AT1424" s="440">
        <v>0</v>
      </c>
      <c r="AU1424" s="440">
        <v>0</v>
      </c>
      <c r="AV1424" s="440">
        <v>0</v>
      </c>
      <c r="AW1424" s="440">
        <v>0</v>
      </c>
      <c r="AX1424" s="440">
        <v>0</v>
      </c>
      <c r="AY1424" s="440">
        <v>0</v>
      </c>
      <c r="AZ1424" s="440">
        <v>0</v>
      </c>
      <c r="BA1424" s="440">
        <v>0</v>
      </c>
      <c r="BB1424" s="440">
        <v>0</v>
      </c>
      <c r="BC1424" s="440">
        <v>0</v>
      </c>
      <c r="BD1424" s="440">
        <v>0</v>
      </c>
      <c r="BE1424" s="440">
        <v>0</v>
      </c>
      <c r="BF1424" s="440">
        <v>0</v>
      </c>
      <c r="BG1424" s="440">
        <v>0</v>
      </c>
      <c r="BH1424" s="440">
        <v>0</v>
      </c>
      <c r="BI1424" s="440">
        <v>0</v>
      </c>
      <c r="BJ1424" s="440">
        <v>0</v>
      </c>
      <c r="BK1424" s="440">
        <v>0</v>
      </c>
      <c r="BL1424" s="440">
        <v>0</v>
      </c>
      <c r="BM1424" s="440">
        <v>0</v>
      </c>
      <c r="BN1424" s="440">
        <v>0</v>
      </c>
      <c r="BO1424" s="440">
        <v>0</v>
      </c>
      <c r="BP1424" s="440">
        <v>0</v>
      </c>
      <c r="BQ1424" s="440">
        <v>0</v>
      </c>
      <c r="BR1424" s="415">
        <v>0</v>
      </c>
      <c r="BS1424" s="415">
        <v>0</v>
      </c>
      <c r="BT1424" s="935"/>
      <c r="BU1424" s="935"/>
      <c r="BV1424" s="935"/>
      <c r="BW1424" s="935"/>
      <c r="BX1424" s="935"/>
      <c r="BY1424" s="935"/>
      <c r="BZ1424" s="935"/>
      <c r="CA1424" s="935"/>
      <c r="CB1424" s="935"/>
      <c r="CC1424" s="935"/>
      <c r="CD1424" s="935"/>
      <c r="CE1424" s="935"/>
      <c r="CF1424" s="935"/>
      <c r="CG1424" s="935"/>
      <c r="CH1424" s="935"/>
      <c r="CI1424" s="935"/>
      <c r="CJ1424" s="935"/>
      <c r="CK1424" s="935"/>
      <c r="CL1424" s="935"/>
      <c r="CM1424" s="935"/>
      <c r="CN1424" s="935"/>
      <c r="CO1424" s="935"/>
      <c r="CP1424" s="935"/>
      <c r="CQ1424" s="935"/>
      <c r="CR1424" s="935"/>
      <c r="CS1424" s="935"/>
      <c r="CT1424" s="935"/>
      <c r="CU1424" s="935"/>
      <c r="CV1424" s="935"/>
    </row>
    <row r="1425" spans="1:100" s="441" customFormat="1">
      <c r="A1425" s="375">
        <f t="shared" si="388"/>
        <v>11</v>
      </c>
      <c r="B1425" s="862">
        <v>44526</v>
      </c>
      <c r="C1425" s="493" t="s">
        <v>1980</v>
      </c>
      <c r="D1425" s="376" t="str">
        <f>IFERROR(VLOOKUP(E:E,'Item Data Support Sheet'!A:O,7,0),"")</f>
        <v>NIPPLE LASER MARKING</v>
      </c>
      <c r="E1425" s="447" t="s">
        <v>2487</v>
      </c>
      <c r="F1425" s="500"/>
      <c r="G1425" s="497" t="s">
        <v>1812</v>
      </c>
      <c r="H1425" s="602" t="str">
        <f>IFERROR(VLOOKUP(E:E,'Item Data Support Sheet'!A:O,2,0),"")</f>
        <v>NIPPLE S TYPE LL SIZE LASER MARKED</v>
      </c>
      <c r="I1425" s="501" t="s">
        <v>4202</v>
      </c>
      <c r="J1425" s="501" t="s">
        <v>2808</v>
      </c>
      <c r="K1425" s="499">
        <v>8</v>
      </c>
      <c r="L1425" s="499">
        <v>7000</v>
      </c>
      <c r="M1425" s="366">
        <v>875</v>
      </c>
      <c r="N1425" s="367">
        <f t="shared" si="387"/>
        <v>6900</v>
      </c>
      <c r="O1425" s="61">
        <v>6900</v>
      </c>
      <c r="P1425" s="368">
        <v>0</v>
      </c>
      <c r="Q1425" s="368">
        <v>0</v>
      </c>
      <c r="R1425" s="494">
        <v>0</v>
      </c>
      <c r="S1425" s="493">
        <v>0</v>
      </c>
      <c r="T1425" s="494">
        <v>0</v>
      </c>
      <c r="U1425" s="493">
        <v>0</v>
      </c>
      <c r="V1425" s="502">
        <v>1</v>
      </c>
      <c r="W1425" s="453">
        <f t="shared" si="389"/>
        <v>6900</v>
      </c>
      <c r="X1425" s="748">
        <f t="shared" si="390"/>
        <v>0.98571428571428577</v>
      </c>
      <c r="Y1425" s="451" t="str">
        <f>IFERROR(VLOOKUP(E:E,'Item Data Support Sheet'!A:J,6,0),0)</f>
        <v>FO151</v>
      </c>
      <c r="Z1425" s="428">
        <f>IFERROR(VLOOKUP(E:E,'Item Data Support Sheet'!A:O,4,0),0)</f>
        <v>0</v>
      </c>
      <c r="AA1425" s="428">
        <f t="shared" si="391"/>
        <v>0</v>
      </c>
      <c r="AB1425" s="429" t="str">
        <f t="shared" si="392"/>
        <v xml:space="preserve"> </v>
      </c>
      <c r="AC1425" s="424">
        <f t="shared" si="393"/>
        <v>0</v>
      </c>
      <c r="AD1425" s="371">
        <f t="shared" si="394"/>
        <v>0</v>
      </c>
      <c r="AE1425" s="748">
        <f t="shared" si="395"/>
        <v>1</v>
      </c>
      <c r="AF1425" s="417">
        <f t="shared" si="396"/>
        <v>0</v>
      </c>
      <c r="AG1425" s="416">
        <f t="shared" si="397"/>
        <v>8</v>
      </c>
      <c r="AH1425" s="372">
        <f t="shared" si="398"/>
        <v>1</v>
      </c>
      <c r="AI1425" s="373">
        <f t="shared" si="399"/>
        <v>862.5</v>
      </c>
      <c r="AJ1425" s="418">
        <f>VLOOKUP(D1425,'Standard Cycle time'!C:D,2,0)</f>
        <v>3.5</v>
      </c>
      <c r="AK1425" s="418">
        <f t="shared" si="400"/>
        <v>4.1739130434782608</v>
      </c>
      <c r="AL1425" s="374">
        <f t="shared" si="401"/>
        <v>0.83854166666666674</v>
      </c>
      <c r="AM1425" s="372">
        <f t="shared" si="402"/>
        <v>0.83854166666666674</v>
      </c>
      <c r="AN1425" s="799">
        <v>0.83854166666666674</v>
      </c>
      <c r="AO1425" s="448"/>
      <c r="AP1425" s="440">
        <v>0</v>
      </c>
      <c r="AQ1425" s="440">
        <v>0</v>
      </c>
      <c r="AR1425" s="440">
        <v>0</v>
      </c>
      <c r="AS1425" s="440">
        <v>0</v>
      </c>
      <c r="AT1425" s="440">
        <v>0</v>
      </c>
      <c r="AU1425" s="440">
        <v>0</v>
      </c>
      <c r="AV1425" s="440">
        <v>0</v>
      </c>
      <c r="AW1425" s="440">
        <v>0</v>
      </c>
      <c r="AX1425" s="440">
        <v>0</v>
      </c>
      <c r="AY1425" s="440">
        <v>0</v>
      </c>
      <c r="AZ1425" s="440">
        <v>0</v>
      </c>
      <c r="BA1425" s="440">
        <v>0</v>
      </c>
      <c r="BB1425" s="440">
        <v>0</v>
      </c>
      <c r="BC1425" s="440">
        <v>0</v>
      </c>
      <c r="BD1425" s="440">
        <v>0</v>
      </c>
      <c r="BE1425" s="440">
        <v>0</v>
      </c>
      <c r="BF1425" s="440">
        <v>0</v>
      </c>
      <c r="BG1425" s="440">
        <v>0</v>
      </c>
      <c r="BH1425" s="440">
        <v>0</v>
      </c>
      <c r="BI1425" s="440">
        <v>0</v>
      </c>
      <c r="BJ1425" s="440">
        <v>0</v>
      </c>
      <c r="BK1425" s="440">
        <v>0</v>
      </c>
      <c r="BL1425" s="440">
        <v>0</v>
      </c>
      <c r="BM1425" s="440">
        <v>0</v>
      </c>
      <c r="BN1425" s="440">
        <v>0</v>
      </c>
      <c r="BO1425" s="440">
        <v>0</v>
      </c>
      <c r="BP1425" s="440">
        <v>0</v>
      </c>
      <c r="BQ1425" s="440">
        <v>0</v>
      </c>
      <c r="BR1425" s="415">
        <v>0</v>
      </c>
      <c r="BS1425" s="415">
        <v>0</v>
      </c>
      <c r="BT1425" s="935"/>
      <c r="BU1425" s="935"/>
      <c r="BV1425" s="935"/>
      <c r="BW1425" s="935"/>
      <c r="BX1425" s="935"/>
      <c r="BY1425" s="935"/>
      <c r="BZ1425" s="935"/>
      <c r="CA1425" s="935"/>
      <c r="CB1425" s="935"/>
      <c r="CC1425" s="935"/>
      <c r="CD1425" s="935"/>
      <c r="CE1425" s="935"/>
      <c r="CF1425" s="935"/>
      <c r="CG1425" s="935"/>
      <c r="CH1425" s="935"/>
      <c r="CI1425" s="935"/>
      <c r="CJ1425" s="935"/>
      <c r="CK1425" s="935"/>
      <c r="CL1425" s="935"/>
      <c r="CM1425" s="935"/>
      <c r="CN1425" s="935"/>
      <c r="CO1425" s="935"/>
      <c r="CP1425" s="935"/>
      <c r="CQ1425" s="935"/>
      <c r="CR1425" s="935"/>
      <c r="CS1425" s="935"/>
      <c r="CT1425" s="935"/>
      <c r="CU1425" s="935"/>
      <c r="CV1425" s="935"/>
    </row>
    <row r="1426" spans="1:100" s="441" customFormat="1">
      <c r="A1426" s="375">
        <f t="shared" si="388"/>
        <v>11</v>
      </c>
      <c r="B1426" s="862">
        <v>44526</v>
      </c>
      <c r="C1426" s="493" t="s">
        <v>1980</v>
      </c>
      <c r="D1426" s="376" t="str">
        <f>IFERROR(VLOOKUP(E:E,'Item Data Support Sheet'!A:O,7,0),"")</f>
        <v>BOTTLE MOLDED</v>
      </c>
      <c r="E1426" s="447" t="s">
        <v>65</v>
      </c>
      <c r="F1426" s="500"/>
      <c r="G1426" s="497" t="s">
        <v>1665</v>
      </c>
      <c r="H1426" s="602" t="str">
        <f>IFERROR(VLOOKUP(E:E,'Item Data Support Sheet'!A:O,2,0),"")</f>
        <v>KPP 120 ML BOTTLE MOLDED</v>
      </c>
      <c r="I1426" s="501" t="s">
        <v>4203</v>
      </c>
      <c r="J1426" s="501" t="s">
        <v>2808</v>
      </c>
      <c r="K1426" s="499">
        <v>5</v>
      </c>
      <c r="L1426" s="499">
        <v>1440</v>
      </c>
      <c r="M1426" s="366">
        <v>288</v>
      </c>
      <c r="N1426" s="367">
        <f t="shared" si="387"/>
        <v>1560</v>
      </c>
      <c r="O1426" s="61">
        <v>1440</v>
      </c>
      <c r="P1426" s="368">
        <v>0.4</v>
      </c>
      <c r="Q1426" s="368">
        <v>82</v>
      </c>
      <c r="R1426" s="494">
        <v>0</v>
      </c>
      <c r="S1426" s="493">
        <v>0</v>
      </c>
      <c r="T1426" s="494">
        <v>30</v>
      </c>
      <c r="U1426" s="493">
        <v>8</v>
      </c>
      <c r="V1426" s="502">
        <v>1</v>
      </c>
      <c r="W1426" s="453">
        <f t="shared" si="389"/>
        <v>1440</v>
      </c>
      <c r="X1426" s="748">
        <f t="shared" si="390"/>
        <v>1</v>
      </c>
      <c r="Y1426" s="451" t="str">
        <f>IFERROR(VLOOKUP(E:E,'Item Data Support Sheet'!A:J,6,0),0)</f>
        <v>HMC</v>
      </c>
      <c r="Z1426" s="428">
        <f>IFERROR(VLOOKUP(E:E,'Item Data Support Sheet'!A:O,4,0),0)</f>
        <v>21.3</v>
      </c>
      <c r="AA1426" s="428">
        <f t="shared" si="391"/>
        <v>33.628</v>
      </c>
      <c r="AB1426" s="429">
        <f t="shared" si="392"/>
        <v>0.91209706197216611</v>
      </c>
      <c r="AC1426" s="424">
        <f t="shared" si="393"/>
        <v>2.0408163265306121E-2</v>
      </c>
      <c r="AD1426" s="371">
        <f t="shared" si="394"/>
        <v>4.9939098660170524E-2</v>
      </c>
      <c r="AE1426" s="748">
        <f t="shared" si="395"/>
        <v>0.98076923076923073</v>
      </c>
      <c r="AF1426" s="417">
        <f t="shared" si="396"/>
        <v>1.1666666666666667</v>
      </c>
      <c r="AG1426" s="416">
        <f t="shared" si="397"/>
        <v>3.833333333333333</v>
      </c>
      <c r="AH1426" s="372">
        <f t="shared" si="398"/>
        <v>0.76666666666666661</v>
      </c>
      <c r="AI1426" s="373">
        <f t="shared" si="399"/>
        <v>288</v>
      </c>
      <c r="AJ1426" s="418">
        <f>VLOOKUP(D1426,'Standard Cycle time'!C:D,2,0)</f>
        <v>9</v>
      </c>
      <c r="AK1426" s="418">
        <f t="shared" si="400"/>
        <v>9.5833333333333321</v>
      </c>
      <c r="AL1426" s="374">
        <f t="shared" si="401"/>
        <v>0.93913043478260883</v>
      </c>
      <c r="AM1426" s="372">
        <f t="shared" si="402"/>
        <v>0.70615384615384613</v>
      </c>
      <c r="AN1426" s="799">
        <v>0.70615384615384613</v>
      </c>
      <c r="AO1426" s="448" t="s">
        <v>4204</v>
      </c>
      <c r="AP1426" s="440">
        <v>0</v>
      </c>
      <c r="AQ1426" s="440">
        <v>70</v>
      </c>
      <c r="AR1426" s="440">
        <v>0</v>
      </c>
      <c r="AS1426" s="440">
        <v>0</v>
      </c>
      <c r="AT1426" s="440">
        <v>0</v>
      </c>
      <c r="AU1426" s="440">
        <v>0</v>
      </c>
      <c r="AV1426" s="440">
        <v>0</v>
      </c>
      <c r="AW1426" s="440">
        <v>0</v>
      </c>
      <c r="AX1426" s="440">
        <v>0</v>
      </c>
      <c r="AY1426" s="440">
        <v>0</v>
      </c>
      <c r="AZ1426" s="440">
        <v>0</v>
      </c>
      <c r="BA1426" s="440">
        <v>0</v>
      </c>
      <c r="BB1426" s="440">
        <v>0</v>
      </c>
      <c r="BC1426" s="440">
        <v>0</v>
      </c>
      <c r="BD1426" s="440">
        <v>0</v>
      </c>
      <c r="BE1426" s="440">
        <v>0</v>
      </c>
      <c r="BF1426" s="440">
        <v>0</v>
      </c>
      <c r="BG1426" s="440">
        <v>0</v>
      </c>
      <c r="BH1426" s="440">
        <v>0</v>
      </c>
      <c r="BI1426" s="440">
        <v>0</v>
      </c>
      <c r="BJ1426" s="440">
        <v>0</v>
      </c>
      <c r="BK1426" s="440">
        <v>0</v>
      </c>
      <c r="BL1426" s="440">
        <v>0</v>
      </c>
      <c r="BM1426" s="440">
        <v>0</v>
      </c>
      <c r="BN1426" s="440">
        <v>0</v>
      </c>
      <c r="BO1426" s="440">
        <v>0</v>
      </c>
      <c r="BP1426" s="440">
        <v>0</v>
      </c>
      <c r="BQ1426" s="440">
        <v>0</v>
      </c>
      <c r="BR1426" s="415">
        <v>1.1666666666666667</v>
      </c>
      <c r="BS1426" s="415">
        <v>1.1666666666666667</v>
      </c>
      <c r="BT1426" s="935"/>
      <c r="BU1426" s="935"/>
      <c r="BV1426" s="935"/>
      <c r="BW1426" s="935"/>
      <c r="BX1426" s="935"/>
      <c r="BY1426" s="935"/>
      <c r="BZ1426" s="935"/>
      <c r="CA1426" s="935"/>
      <c r="CB1426" s="935"/>
      <c r="CC1426" s="935"/>
      <c r="CD1426" s="935"/>
      <c r="CE1426" s="935"/>
      <c r="CF1426" s="935"/>
      <c r="CG1426" s="935"/>
      <c r="CH1426" s="935"/>
      <c r="CI1426" s="935"/>
      <c r="CJ1426" s="935"/>
      <c r="CK1426" s="935"/>
      <c r="CL1426" s="935"/>
      <c r="CM1426" s="935"/>
      <c r="CN1426" s="935"/>
      <c r="CO1426" s="935"/>
      <c r="CP1426" s="935"/>
      <c r="CQ1426" s="935"/>
      <c r="CR1426" s="935"/>
      <c r="CS1426" s="935"/>
      <c r="CT1426" s="935"/>
      <c r="CU1426" s="935"/>
      <c r="CV1426" s="935"/>
    </row>
    <row r="1427" spans="1:100" s="441" customFormat="1">
      <c r="A1427" s="375">
        <f t="shared" si="388"/>
        <v>11</v>
      </c>
      <c r="B1427" s="862">
        <v>44526</v>
      </c>
      <c r="C1427" s="493" t="s">
        <v>2000</v>
      </c>
      <c r="D1427" s="376" t="str">
        <f>IFERROR(VLOOKUP(E:E,'Item Data Support Sheet'!A:O,7,0),"")</f>
        <v>NIPPLE PUNCH INSPECTED</v>
      </c>
      <c r="E1427" s="447" t="s">
        <v>2488</v>
      </c>
      <c r="F1427" s="500"/>
      <c r="G1427" s="497"/>
      <c r="H1427" s="602" t="str">
        <f>IFERROR(VLOOKUP(E:E,'Item Data Support Sheet'!A:O,2,0),"")</f>
        <v>NIPPLE S TYPE LL SIZE INSPECTED</v>
      </c>
      <c r="I1427" s="501" t="s">
        <v>4205</v>
      </c>
      <c r="J1427" s="501" t="s">
        <v>2811</v>
      </c>
      <c r="K1427" s="499">
        <v>8</v>
      </c>
      <c r="L1427" s="499">
        <v>19000</v>
      </c>
      <c r="M1427" s="366">
        <v>2375</v>
      </c>
      <c r="N1427" s="367">
        <f t="shared" si="387"/>
        <v>19400</v>
      </c>
      <c r="O1427" s="61">
        <v>19200</v>
      </c>
      <c r="P1427" s="368">
        <v>0</v>
      </c>
      <c r="Q1427" s="368">
        <v>0</v>
      </c>
      <c r="R1427" s="494">
        <v>0</v>
      </c>
      <c r="S1427" s="493">
        <v>0</v>
      </c>
      <c r="T1427" s="494">
        <v>200</v>
      </c>
      <c r="U1427" s="493">
        <v>0</v>
      </c>
      <c r="V1427" s="502">
        <v>2</v>
      </c>
      <c r="W1427" s="453">
        <f t="shared" si="389"/>
        <v>9600</v>
      </c>
      <c r="X1427" s="748">
        <f t="shared" si="390"/>
        <v>1.0105263157894737</v>
      </c>
      <c r="Y1427" s="451" t="str">
        <f>IFERROR(VLOOKUP(E:E,'Item Data Support Sheet'!A:J,6,0),0)</f>
        <v>FO152</v>
      </c>
      <c r="Z1427" s="428">
        <f>IFERROR(VLOOKUP(E:E,'Item Data Support Sheet'!A:O,4,0),0)</f>
        <v>0</v>
      </c>
      <c r="AA1427" s="428">
        <f t="shared" si="391"/>
        <v>0</v>
      </c>
      <c r="AB1427" s="429" t="str">
        <f t="shared" si="392"/>
        <v xml:space="preserve"> </v>
      </c>
      <c r="AC1427" s="424">
        <f t="shared" si="393"/>
        <v>1.0309278350515464E-2</v>
      </c>
      <c r="AD1427" s="371">
        <f t="shared" si="394"/>
        <v>0</v>
      </c>
      <c r="AE1427" s="748">
        <f t="shared" si="395"/>
        <v>0.98969072164948457</v>
      </c>
      <c r="AF1427" s="417">
        <f t="shared" si="396"/>
        <v>0.83333333333333337</v>
      </c>
      <c r="AG1427" s="416">
        <f t="shared" si="397"/>
        <v>7.166666666666667</v>
      </c>
      <c r="AH1427" s="372">
        <f t="shared" si="398"/>
        <v>0.89583333333333337</v>
      </c>
      <c r="AI1427" s="373">
        <f t="shared" si="399"/>
        <v>2400</v>
      </c>
      <c r="AJ1427" s="418">
        <f>VLOOKUP(D1427,'Standard Cycle time'!C:D,2,0)</f>
        <v>4</v>
      </c>
      <c r="AK1427" s="418">
        <f t="shared" si="400"/>
        <v>2.6875</v>
      </c>
      <c r="AL1427" s="374">
        <f t="shared" si="401"/>
        <v>1.4883720930232558</v>
      </c>
      <c r="AM1427" s="372">
        <f t="shared" si="402"/>
        <v>1.3195876288659796</v>
      </c>
      <c r="AN1427" s="799">
        <v>1.3195876288659796</v>
      </c>
      <c r="AO1427" s="448"/>
      <c r="AP1427" s="440">
        <v>50</v>
      </c>
      <c r="AQ1427" s="440">
        <v>0</v>
      </c>
      <c r="AR1427" s="440">
        <v>0</v>
      </c>
      <c r="AS1427" s="440">
        <v>0</v>
      </c>
      <c r="AT1427" s="440">
        <v>0</v>
      </c>
      <c r="AU1427" s="440">
        <v>0</v>
      </c>
      <c r="AV1427" s="440">
        <v>0</v>
      </c>
      <c r="AW1427" s="440">
        <v>0</v>
      </c>
      <c r="AX1427" s="440">
        <v>0</v>
      </c>
      <c r="AY1427" s="440">
        <v>0</v>
      </c>
      <c r="AZ1427" s="440">
        <v>0</v>
      </c>
      <c r="BA1427" s="440">
        <v>0</v>
      </c>
      <c r="BB1427" s="440">
        <v>0</v>
      </c>
      <c r="BC1427" s="440">
        <v>0</v>
      </c>
      <c r="BD1427" s="440">
        <v>0</v>
      </c>
      <c r="BE1427" s="440">
        <v>0</v>
      </c>
      <c r="BF1427" s="440">
        <v>0</v>
      </c>
      <c r="BG1427" s="440">
        <v>0</v>
      </c>
      <c r="BH1427" s="440">
        <v>0</v>
      </c>
      <c r="BI1427" s="440">
        <v>0</v>
      </c>
      <c r="BJ1427" s="440">
        <v>0</v>
      </c>
      <c r="BK1427" s="440">
        <v>0</v>
      </c>
      <c r="BL1427" s="440">
        <v>0</v>
      </c>
      <c r="BM1427" s="440">
        <v>0</v>
      </c>
      <c r="BN1427" s="440">
        <v>0</v>
      </c>
      <c r="BO1427" s="440">
        <v>0</v>
      </c>
      <c r="BP1427" s="440">
        <v>0</v>
      </c>
      <c r="BQ1427" s="440">
        <v>0</v>
      </c>
      <c r="BR1427" s="415">
        <v>0.83333333333333337</v>
      </c>
      <c r="BS1427" s="415">
        <v>0.83333333333333337</v>
      </c>
      <c r="BT1427" s="935"/>
      <c r="BU1427" s="935"/>
      <c r="BV1427" s="935"/>
      <c r="BW1427" s="935"/>
      <c r="BX1427" s="935"/>
      <c r="BY1427" s="935"/>
      <c r="BZ1427" s="935"/>
      <c r="CA1427" s="935"/>
      <c r="CB1427" s="935"/>
      <c r="CC1427" s="935"/>
      <c r="CD1427" s="935"/>
      <c r="CE1427" s="935"/>
      <c r="CF1427" s="935"/>
      <c r="CG1427" s="935"/>
      <c r="CH1427" s="935"/>
      <c r="CI1427" s="935"/>
      <c r="CJ1427" s="935"/>
      <c r="CK1427" s="935"/>
      <c r="CL1427" s="935"/>
      <c r="CM1427" s="935"/>
      <c r="CN1427" s="935"/>
      <c r="CO1427" s="935"/>
      <c r="CP1427" s="935"/>
      <c r="CQ1427" s="935"/>
      <c r="CR1427" s="935"/>
      <c r="CS1427" s="935"/>
      <c r="CT1427" s="935"/>
      <c r="CU1427" s="935"/>
      <c r="CV1427" s="935"/>
    </row>
    <row r="1428" spans="1:100" s="441" customFormat="1">
      <c r="A1428" s="375">
        <f t="shared" si="388"/>
        <v>11</v>
      </c>
      <c r="B1428" s="862">
        <v>44526</v>
      </c>
      <c r="C1428" s="493" t="s">
        <v>2000</v>
      </c>
      <c r="D1428" s="376" t="str">
        <f>IFERROR(VLOOKUP(E:E,'Item Data Support Sheet'!A:O,7,0),"")</f>
        <v>BOTTLE PRINTED</v>
      </c>
      <c r="E1428" s="447" t="s">
        <v>71</v>
      </c>
      <c r="F1428" s="500"/>
      <c r="G1428" s="497"/>
      <c r="H1428" s="602" t="str">
        <f>IFERROR(VLOOKUP(E:E,'Item Data Support Sheet'!A:O,2,0),"")</f>
        <v>RPP 120 ML BOTTLE PRINTED</v>
      </c>
      <c r="I1428" s="501" t="s">
        <v>4206</v>
      </c>
      <c r="J1428" s="501" t="s">
        <v>2811</v>
      </c>
      <c r="K1428" s="499">
        <v>8</v>
      </c>
      <c r="L1428" s="499">
        <v>5800</v>
      </c>
      <c r="M1428" s="366">
        <v>725</v>
      </c>
      <c r="N1428" s="367">
        <f t="shared" si="387"/>
        <v>6189</v>
      </c>
      <c r="O1428" s="61">
        <v>6116</v>
      </c>
      <c r="P1428" s="368">
        <v>0</v>
      </c>
      <c r="Q1428" s="368">
        <v>0</v>
      </c>
      <c r="R1428" s="494">
        <v>42</v>
      </c>
      <c r="S1428" s="493">
        <v>0</v>
      </c>
      <c r="T1428" s="494">
        <v>73</v>
      </c>
      <c r="U1428" s="493">
        <v>0</v>
      </c>
      <c r="V1428" s="502">
        <v>6</v>
      </c>
      <c r="W1428" s="453">
        <f t="shared" si="389"/>
        <v>1019.3333333333334</v>
      </c>
      <c r="X1428" s="748">
        <f t="shared" si="390"/>
        <v>1.0544827586206897</v>
      </c>
      <c r="Y1428" s="451" t="str">
        <f>IFERROR(VLOOKUP(E:E,'Item Data Support Sheet'!A:J,6,0),0)</f>
        <v>FO004</v>
      </c>
      <c r="Z1428" s="428">
        <f>IFERROR(VLOOKUP(E:E,'Item Data Support Sheet'!A:O,4,0),0)</f>
        <v>0</v>
      </c>
      <c r="AA1428" s="428">
        <f t="shared" si="391"/>
        <v>0</v>
      </c>
      <c r="AB1428" s="429" t="str">
        <f t="shared" si="392"/>
        <v xml:space="preserve"> </v>
      </c>
      <c r="AC1428" s="424">
        <f t="shared" si="393"/>
        <v>1.1795120374858621E-2</v>
      </c>
      <c r="AD1428" s="371">
        <f t="shared" si="394"/>
        <v>0</v>
      </c>
      <c r="AE1428" s="748">
        <f t="shared" si="395"/>
        <v>0.98820487962514136</v>
      </c>
      <c r="AF1428" s="417">
        <f t="shared" si="396"/>
        <v>0.83333333333333337</v>
      </c>
      <c r="AG1428" s="416">
        <f t="shared" si="397"/>
        <v>7.166666666666667</v>
      </c>
      <c r="AH1428" s="372">
        <f t="shared" si="398"/>
        <v>0.89583333333333337</v>
      </c>
      <c r="AI1428" s="373">
        <f t="shared" si="399"/>
        <v>764.5</v>
      </c>
      <c r="AJ1428" s="418">
        <f>VLOOKUP(D1428,'Standard Cycle time'!C:D,2,0)</f>
        <v>32.4</v>
      </c>
      <c r="AK1428" s="418">
        <f t="shared" si="400"/>
        <v>25.310660562459123</v>
      </c>
      <c r="AL1428" s="374">
        <f t="shared" si="401"/>
        <v>1.2800930232558139</v>
      </c>
      <c r="AM1428" s="372">
        <f t="shared" si="402"/>
        <v>1.133223945710131</v>
      </c>
      <c r="AN1428" s="799">
        <v>1.133223945710131</v>
      </c>
      <c r="AO1428" s="448"/>
      <c r="AP1428" s="440">
        <v>50</v>
      </c>
      <c r="AQ1428" s="440">
        <v>0</v>
      </c>
      <c r="AR1428" s="440">
        <v>0</v>
      </c>
      <c r="AS1428" s="440">
        <v>0</v>
      </c>
      <c r="AT1428" s="440">
        <v>0</v>
      </c>
      <c r="AU1428" s="440">
        <v>0</v>
      </c>
      <c r="AV1428" s="440">
        <v>0</v>
      </c>
      <c r="AW1428" s="440">
        <v>0</v>
      </c>
      <c r="AX1428" s="440">
        <v>0</v>
      </c>
      <c r="AY1428" s="440">
        <v>0</v>
      </c>
      <c r="AZ1428" s="440">
        <v>0</v>
      </c>
      <c r="BA1428" s="440">
        <v>0</v>
      </c>
      <c r="BB1428" s="440">
        <v>0</v>
      </c>
      <c r="BC1428" s="440">
        <v>0</v>
      </c>
      <c r="BD1428" s="440">
        <v>0</v>
      </c>
      <c r="BE1428" s="440">
        <v>0</v>
      </c>
      <c r="BF1428" s="440">
        <v>0</v>
      </c>
      <c r="BG1428" s="440">
        <v>0</v>
      </c>
      <c r="BH1428" s="440">
        <v>0</v>
      </c>
      <c r="BI1428" s="440">
        <v>0</v>
      </c>
      <c r="BJ1428" s="440">
        <v>0</v>
      </c>
      <c r="BK1428" s="440">
        <v>0</v>
      </c>
      <c r="BL1428" s="440">
        <v>0</v>
      </c>
      <c r="BM1428" s="440">
        <v>0</v>
      </c>
      <c r="BN1428" s="440">
        <v>0</v>
      </c>
      <c r="BO1428" s="440">
        <v>0</v>
      </c>
      <c r="BP1428" s="440">
        <v>0</v>
      </c>
      <c r="BQ1428" s="440">
        <v>0</v>
      </c>
      <c r="BR1428" s="415">
        <v>0.83333333333333337</v>
      </c>
      <c r="BS1428" s="415">
        <v>0.83333333333333337</v>
      </c>
      <c r="BT1428" s="935"/>
      <c r="BU1428" s="935"/>
      <c r="BV1428" s="935"/>
      <c r="BW1428" s="935"/>
      <c r="BX1428" s="935"/>
      <c r="BY1428" s="935"/>
      <c r="BZ1428" s="935"/>
      <c r="CA1428" s="935"/>
      <c r="CB1428" s="935"/>
      <c r="CC1428" s="935"/>
      <c r="CD1428" s="935"/>
      <c r="CE1428" s="935"/>
      <c r="CF1428" s="935"/>
      <c r="CG1428" s="935"/>
      <c r="CH1428" s="935"/>
      <c r="CI1428" s="935"/>
      <c r="CJ1428" s="935"/>
      <c r="CK1428" s="935"/>
      <c r="CL1428" s="935"/>
      <c r="CM1428" s="935"/>
      <c r="CN1428" s="935"/>
      <c r="CO1428" s="935"/>
      <c r="CP1428" s="935"/>
      <c r="CQ1428" s="935"/>
      <c r="CR1428" s="935"/>
      <c r="CS1428" s="935"/>
      <c r="CT1428" s="935"/>
      <c r="CU1428" s="935"/>
      <c r="CV1428" s="935"/>
    </row>
    <row r="1429" spans="1:100" s="441" customFormat="1">
      <c r="A1429" s="375">
        <f t="shared" si="388"/>
        <v>11</v>
      </c>
      <c r="B1429" s="862">
        <v>44526</v>
      </c>
      <c r="C1429" s="493" t="s">
        <v>2001</v>
      </c>
      <c r="D1429" s="376" t="str">
        <f>IFERROR(VLOOKUP(E:E,'Item Data Support Sheet'!A:O,7,0),"")</f>
        <v>NIPPLE PUNCH</v>
      </c>
      <c r="E1429" s="447" t="s">
        <v>2486</v>
      </c>
      <c r="F1429" s="500"/>
      <c r="G1429" s="497" t="s">
        <v>1692</v>
      </c>
      <c r="H1429" s="602" t="str">
        <f>IFERROR(VLOOKUP(E:E,'Item Data Support Sheet'!A:O,2,0),"")</f>
        <v>NIPPLE S TYPE LL SIZE PUNCHED</v>
      </c>
      <c r="I1429" s="501" t="s">
        <v>4207</v>
      </c>
      <c r="J1429" s="501" t="s">
        <v>2811</v>
      </c>
      <c r="K1429" s="499">
        <v>8</v>
      </c>
      <c r="L1429" s="499">
        <v>7000</v>
      </c>
      <c r="M1429" s="366">
        <v>875</v>
      </c>
      <c r="N1429" s="367">
        <f t="shared" si="387"/>
        <v>7000</v>
      </c>
      <c r="O1429" s="61">
        <v>7000</v>
      </c>
      <c r="P1429" s="368">
        <v>0</v>
      </c>
      <c r="Q1429" s="368">
        <v>0</v>
      </c>
      <c r="R1429" s="494">
        <v>0</v>
      </c>
      <c r="S1429" s="493">
        <v>0</v>
      </c>
      <c r="T1429" s="494">
        <v>0</v>
      </c>
      <c r="U1429" s="493">
        <v>0</v>
      </c>
      <c r="V1429" s="502">
        <v>1</v>
      </c>
      <c r="W1429" s="453">
        <f t="shared" si="389"/>
        <v>7000</v>
      </c>
      <c r="X1429" s="748">
        <f t="shared" si="390"/>
        <v>1</v>
      </c>
      <c r="Y1429" s="451" t="str">
        <f>IFERROR(VLOOKUP(E:E,'Item Data Support Sheet'!A:J,6,0),0)</f>
        <v>FO150</v>
      </c>
      <c r="Z1429" s="428">
        <f>IFERROR(VLOOKUP(E:E,'Item Data Support Sheet'!A:O,4,0),0)</f>
        <v>0</v>
      </c>
      <c r="AA1429" s="428">
        <f t="shared" si="391"/>
        <v>0</v>
      </c>
      <c r="AB1429" s="429" t="str">
        <f t="shared" si="392"/>
        <v xml:space="preserve"> </v>
      </c>
      <c r="AC1429" s="424">
        <f t="shared" si="393"/>
        <v>0</v>
      </c>
      <c r="AD1429" s="371">
        <f t="shared" si="394"/>
        <v>0</v>
      </c>
      <c r="AE1429" s="748">
        <f t="shared" si="395"/>
        <v>1</v>
      </c>
      <c r="AF1429" s="417">
        <f t="shared" si="396"/>
        <v>0.66666666666666663</v>
      </c>
      <c r="AG1429" s="416">
        <f t="shared" si="397"/>
        <v>7.333333333333333</v>
      </c>
      <c r="AH1429" s="372">
        <f t="shared" si="398"/>
        <v>0.91666666666666663</v>
      </c>
      <c r="AI1429" s="373">
        <f t="shared" si="399"/>
        <v>875</v>
      </c>
      <c r="AJ1429" s="418">
        <f>VLOOKUP(D1429,'Standard Cycle time'!C:D,2,0)</f>
        <v>3.5</v>
      </c>
      <c r="AK1429" s="418">
        <f t="shared" si="400"/>
        <v>3.7714285714285714</v>
      </c>
      <c r="AL1429" s="374">
        <f t="shared" si="401"/>
        <v>0.92803030303030309</v>
      </c>
      <c r="AM1429" s="372">
        <f t="shared" si="402"/>
        <v>0.85069444444444442</v>
      </c>
      <c r="AN1429" s="799">
        <v>0.85069444444444442</v>
      </c>
      <c r="AO1429" s="448"/>
      <c r="AP1429" s="440">
        <v>40</v>
      </c>
      <c r="AQ1429" s="440">
        <v>0</v>
      </c>
      <c r="AR1429" s="440">
        <v>0</v>
      </c>
      <c r="AS1429" s="440">
        <v>0</v>
      </c>
      <c r="AT1429" s="440">
        <v>0</v>
      </c>
      <c r="AU1429" s="440">
        <v>0</v>
      </c>
      <c r="AV1429" s="440">
        <v>0</v>
      </c>
      <c r="AW1429" s="440">
        <v>0</v>
      </c>
      <c r="AX1429" s="440">
        <v>0</v>
      </c>
      <c r="AY1429" s="440">
        <v>0</v>
      </c>
      <c r="AZ1429" s="440">
        <v>0</v>
      </c>
      <c r="BA1429" s="440">
        <v>0</v>
      </c>
      <c r="BB1429" s="440">
        <v>0</v>
      </c>
      <c r="BC1429" s="440">
        <v>0</v>
      </c>
      <c r="BD1429" s="440">
        <v>0</v>
      </c>
      <c r="BE1429" s="440">
        <v>0</v>
      </c>
      <c r="BF1429" s="440">
        <v>0</v>
      </c>
      <c r="BG1429" s="440">
        <v>0</v>
      </c>
      <c r="BH1429" s="440">
        <v>0</v>
      </c>
      <c r="BI1429" s="440">
        <v>0</v>
      </c>
      <c r="BJ1429" s="440">
        <v>0</v>
      </c>
      <c r="BK1429" s="440">
        <v>0</v>
      </c>
      <c r="BL1429" s="440">
        <v>0</v>
      </c>
      <c r="BM1429" s="440">
        <v>0</v>
      </c>
      <c r="BN1429" s="440">
        <v>0</v>
      </c>
      <c r="BO1429" s="440">
        <v>0</v>
      </c>
      <c r="BP1429" s="440">
        <v>0</v>
      </c>
      <c r="BQ1429" s="440">
        <v>0</v>
      </c>
      <c r="BR1429" s="415">
        <v>0.66666666666666663</v>
      </c>
      <c r="BS1429" s="415">
        <v>0.66666666666666663</v>
      </c>
      <c r="BT1429" s="935"/>
      <c r="BU1429" s="935"/>
      <c r="BV1429" s="935"/>
      <c r="BW1429" s="935"/>
      <c r="BX1429" s="935"/>
      <c r="BY1429" s="935"/>
      <c r="BZ1429" s="935"/>
      <c r="CA1429" s="935"/>
      <c r="CB1429" s="935"/>
      <c r="CC1429" s="935"/>
      <c r="CD1429" s="935"/>
      <c r="CE1429" s="935"/>
      <c r="CF1429" s="935"/>
      <c r="CG1429" s="935"/>
      <c r="CH1429" s="935"/>
      <c r="CI1429" s="935"/>
      <c r="CJ1429" s="935"/>
      <c r="CK1429" s="935"/>
      <c r="CL1429" s="935"/>
      <c r="CM1429" s="935"/>
      <c r="CN1429" s="935"/>
      <c r="CO1429" s="935"/>
      <c r="CP1429" s="935"/>
      <c r="CQ1429" s="935"/>
      <c r="CR1429" s="935"/>
      <c r="CS1429" s="935"/>
      <c r="CT1429" s="935"/>
      <c r="CU1429" s="935"/>
      <c r="CV1429" s="935"/>
    </row>
    <row r="1430" spans="1:100" s="441" customFormat="1">
      <c r="A1430" s="375">
        <f t="shared" si="388"/>
        <v>11</v>
      </c>
      <c r="B1430" s="862">
        <v>44526</v>
      </c>
      <c r="C1430" s="493" t="s">
        <v>2001</v>
      </c>
      <c r="D1430" s="376" t="str">
        <f>IFERROR(VLOOKUP(E:E,'Item Data Support Sheet'!A:O,7,0),"")</f>
        <v>NIPPLE LASER MARKING</v>
      </c>
      <c r="E1430" s="447" t="s">
        <v>2487</v>
      </c>
      <c r="F1430" s="500"/>
      <c r="G1430" s="497" t="s">
        <v>1812</v>
      </c>
      <c r="H1430" s="602" t="str">
        <f>IFERROR(VLOOKUP(E:E,'Item Data Support Sheet'!A:O,2,0),"")</f>
        <v>NIPPLE S TYPE LL SIZE LASER MARKED</v>
      </c>
      <c r="I1430" s="501" t="s">
        <v>4208</v>
      </c>
      <c r="J1430" s="501" t="s">
        <v>2811</v>
      </c>
      <c r="K1430" s="499">
        <v>8</v>
      </c>
      <c r="L1430" s="499">
        <v>7000</v>
      </c>
      <c r="M1430" s="366">
        <v>875</v>
      </c>
      <c r="N1430" s="367">
        <f t="shared" si="387"/>
        <v>7000</v>
      </c>
      <c r="O1430" s="61">
        <v>7000</v>
      </c>
      <c r="P1430" s="368">
        <v>0</v>
      </c>
      <c r="Q1430" s="368">
        <v>0</v>
      </c>
      <c r="R1430" s="494">
        <v>0</v>
      </c>
      <c r="S1430" s="493">
        <v>0</v>
      </c>
      <c r="T1430" s="494">
        <v>0</v>
      </c>
      <c r="U1430" s="493">
        <v>0</v>
      </c>
      <c r="V1430" s="502">
        <v>1</v>
      </c>
      <c r="W1430" s="453">
        <f t="shared" si="389"/>
        <v>7000</v>
      </c>
      <c r="X1430" s="748">
        <f t="shared" si="390"/>
        <v>1</v>
      </c>
      <c r="Y1430" s="451" t="str">
        <f>IFERROR(VLOOKUP(E:E,'Item Data Support Sheet'!A:J,6,0),0)</f>
        <v>FO151</v>
      </c>
      <c r="Z1430" s="428">
        <f>IFERROR(VLOOKUP(E:E,'Item Data Support Sheet'!A:O,4,0),0)</f>
        <v>0</v>
      </c>
      <c r="AA1430" s="428">
        <f t="shared" si="391"/>
        <v>0</v>
      </c>
      <c r="AB1430" s="429" t="str">
        <f t="shared" si="392"/>
        <v xml:space="preserve"> </v>
      </c>
      <c r="AC1430" s="424">
        <f t="shared" si="393"/>
        <v>0</v>
      </c>
      <c r="AD1430" s="371">
        <f t="shared" si="394"/>
        <v>0</v>
      </c>
      <c r="AE1430" s="748">
        <f t="shared" si="395"/>
        <v>1</v>
      </c>
      <c r="AF1430" s="417">
        <f t="shared" si="396"/>
        <v>0.66666666666666663</v>
      </c>
      <c r="AG1430" s="416">
        <f t="shared" si="397"/>
        <v>7.333333333333333</v>
      </c>
      <c r="AH1430" s="372">
        <f t="shared" si="398"/>
        <v>0.91666666666666663</v>
      </c>
      <c r="AI1430" s="373">
        <f t="shared" si="399"/>
        <v>875</v>
      </c>
      <c r="AJ1430" s="418">
        <f>VLOOKUP(D1430,'Standard Cycle time'!C:D,2,0)</f>
        <v>3.5</v>
      </c>
      <c r="AK1430" s="418">
        <f t="shared" si="400"/>
        <v>3.7714285714285714</v>
      </c>
      <c r="AL1430" s="374">
        <f t="shared" si="401"/>
        <v>0.92803030303030309</v>
      </c>
      <c r="AM1430" s="372">
        <f t="shared" si="402"/>
        <v>0.85069444444444442</v>
      </c>
      <c r="AN1430" s="799">
        <v>0.85069444444444442</v>
      </c>
      <c r="AO1430" s="448"/>
      <c r="AP1430" s="440">
        <v>40</v>
      </c>
      <c r="AQ1430" s="440">
        <v>0</v>
      </c>
      <c r="AR1430" s="440">
        <v>0</v>
      </c>
      <c r="AS1430" s="440">
        <v>0</v>
      </c>
      <c r="AT1430" s="440">
        <v>0</v>
      </c>
      <c r="AU1430" s="440">
        <v>0</v>
      </c>
      <c r="AV1430" s="440">
        <v>0</v>
      </c>
      <c r="AW1430" s="440">
        <v>0</v>
      </c>
      <c r="AX1430" s="440">
        <v>0</v>
      </c>
      <c r="AY1430" s="440">
        <v>0</v>
      </c>
      <c r="AZ1430" s="440">
        <v>0</v>
      </c>
      <c r="BA1430" s="440">
        <v>0</v>
      </c>
      <c r="BB1430" s="440">
        <v>0</v>
      </c>
      <c r="BC1430" s="440">
        <v>0</v>
      </c>
      <c r="BD1430" s="440">
        <v>0</v>
      </c>
      <c r="BE1430" s="440">
        <v>0</v>
      </c>
      <c r="BF1430" s="440">
        <v>0</v>
      </c>
      <c r="BG1430" s="440">
        <v>0</v>
      </c>
      <c r="BH1430" s="440">
        <v>0</v>
      </c>
      <c r="BI1430" s="440">
        <v>0</v>
      </c>
      <c r="BJ1430" s="440">
        <v>0</v>
      </c>
      <c r="BK1430" s="440">
        <v>0</v>
      </c>
      <c r="BL1430" s="440">
        <v>0</v>
      </c>
      <c r="BM1430" s="440">
        <v>0</v>
      </c>
      <c r="BN1430" s="440">
        <v>0</v>
      </c>
      <c r="BO1430" s="440">
        <v>0</v>
      </c>
      <c r="BP1430" s="440">
        <v>0</v>
      </c>
      <c r="BQ1430" s="440">
        <v>0</v>
      </c>
      <c r="BR1430" s="415">
        <v>0.66666666666666663</v>
      </c>
      <c r="BS1430" s="415">
        <v>0.66666666666666663</v>
      </c>
      <c r="BT1430" s="935"/>
      <c r="BU1430" s="935"/>
      <c r="BV1430" s="935"/>
      <c r="BW1430" s="935"/>
      <c r="BX1430" s="935"/>
      <c r="BY1430" s="935"/>
      <c r="BZ1430" s="935"/>
      <c r="CA1430" s="935"/>
      <c r="CB1430" s="935"/>
      <c r="CC1430" s="935"/>
      <c r="CD1430" s="935"/>
      <c r="CE1430" s="935"/>
      <c r="CF1430" s="935"/>
      <c r="CG1430" s="935"/>
      <c r="CH1430" s="935"/>
      <c r="CI1430" s="935"/>
      <c r="CJ1430" s="935"/>
      <c r="CK1430" s="935"/>
      <c r="CL1430" s="935"/>
      <c r="CM1430" s="935"/>
      <c r="CN1430" s="935"/>
      <c r="CO1430" s="935"/>
      <c r="CP1430" s="935"/>
      <c r="CQ1430" s="935"/>
      <c r="CR1430" s="935"/>
      <c r="CS1430" s="935"/>
      <c r="CT1430" s="935"/>
      <c r="CU1430" s="935"/>
      <c r="CV1430" s="935"/>
    </row>
    <row r="1431" spans="1:100" s="441" customFormat="1">
      <c r="A1431" s="375">
        <f t="shared" si="388"/>
        <v>11</v>
      </c>
      <c r="B1431" s="862">
        <v>44526</v>
      </c>
      <c r="C1431" s="493" t="s">
        <v>2001</v>
      </c>
      <c r="D1431" s="376" t="str">
        <f>IFERROR(VLOOKUP(E:E,'Item Data Support Sheet'!A:O,7,0),"")</f>
        <v>NIPPLE MOLDED</v>
      </c>
      <c r="E1431" s="447" t="s">
        <v>74</v>
      </c>
      <c r="F1431" s="500" t="s">
        <v>1678</v>
      </c>
      <c r="G1431" s="497" t="s">
        <v>1691</v>
      </c>
      <c r="H1431" s="602" t="str">
        <f>IFERROR(VLOOKUP(E:E,'Item Data Support Sheet'!A:O,2,0),"")</f>
        <v>NIPPLE S TYPE L SIZE INJECTION</v>
      </c>
      <c r="I1431" s="501" t="s">
        <v>4209</v>
      </c>
      <c r="J1431" s="501" t="s">
        <v>2811</v>
      </c>
      <c r="K1431" s="499">
        <v>8</v>
      </c>
      <c r="L1431" s="499">
        <v>4815</v>
      </c>
      <c r="M1431" s="366">
        <v>601.875</v>
      </c>
      <c r="N1431" s="367">
        <f t="shared" si="387"/>
        <v>5660</v>
      </c>
      <c r="O1431" s="61">
        <v>5600</v>
      </c>
      <c r="P1431" s="368">
        <v>0</v>
      </c>
      <c r="Q1431" s="368">
        <v>0</v>
      </c>
      <c r="R1431" s="494">
        <v>0</v>
      </c>
      <c r="S1431" s="493">
        <v>0</v>
      </c>
      <c r="T1431" s="494">
        <v>60</v>
      </c>
      <c r="U1431" s="493">
        <v>0</v>
      </c>
      <c r="V1431" s="502">
        <v>1</v>
      </c>
      <c r="W1431" s="453">
        <f t="shared" si="389"/>
        <v>5600</v>
      </c>
      <c r="X1431" s="748">
        <f t="shared" si="390"/>
        <v>1.1630321910695742</v>
      </c>
      <c r="Y1431" s="451" t="str">
        <f>IFERROR(VLOOKUP(E:E,'Item Data Support Sheet'!A:J,6,0),0)</f>
        <v>Silicon</v>
      </c>
      <c r="Z1431" s="428">
        <f>IFERROR(VLOOKUP(E:E,'Item Data Support Sheet'!A:O,4,0),0)</f>
        <v>6.8</v>
      </c>
      <c r="AA1431" s="428">
        <f t="shared" si="391"/>
        <v>38.488</v>
      </c>
      <c r="AB1431" s="429">
        <f t="shared" si="392"/>
        <v>0.98939929328621901</v>
      </c>
      <c r="AC1431" s="424">
        <f t="shared" si="393"/>
        <v>1.0600706713780919E-2</v>
      </c>
      <c r="AD1431" s="371">
        <f t="shared" si="394"/>
        <v>0</v>
      </c>
      <c r="AE1431" s="748">
        <f t="shared" si="395"/>
        <v>0.98939929328621912</v>
      </c>
      <c r="AF1431" s="417">
        <f t="shared" si="396"/>
        <v>0</v>
      </c>
      <c r="AG1431" s="416">
        <f t="shared" si="397"/>
        <v>8</v>
      </c>
      <c r="AH1431" s="372">
        <f t="shared" si="398"/>
        <v>1</v>
      </c>
      <c r="AI1431" s="373">
        <f t="shared" si="399"/>
        <v>700</v>
      </c>
      <c r="AJ1431" s="418">
        <f>VLOOKUP(D1431,'Standard Cycle time'!C:D,2,0)</f>
        <v>5.25</v>
      </c>
      <c r="AK1431" s="418">
        <f t="shared" si="400"/>
        <v>5.1428571428571432</v>
      </c>
      <c r="AL1431" s="374">
        <f t="shared" si="401"/>
        <v>1.0208333333333333</v>
      </c>
      <c r="AM1431" s="372">
        <f t="shared" si="402"/>
        <v>1.0100117785630154</v>
      </c>
      <c r="AN1431" s="799">
        <v>1.0100117785630154</v>
      </c>
      <c r="AO1431" s="448"/>
      <c r="AP1431" s="440">
        <v>0</v>
      </c>
      <c r="AQ1431" s="440">
        <v>0</v>
      </c>
      <c r="AR1431" s="440">
        <v>0</v>
      </c>
      <c r="AS1431" s="440">
        <v>0</v>
      </c>
      <c r="AT1431" s="440">
        <v>0</v>
      </c>
      <c r="AU1431" s="440">
        <v>0</v>
      </c>
      <c r="AV1431" s="440">
        <v>0</v>
      </c>
      <c r="AW1431" s="440">
        <v>0</v>
      </c>
      <c r="AX1431" s="440">
        <v>0</v>
      </c>
      <c r="AY1431" s="440">
        <v>0</v>
      </c>
      <c r="AZ1431" s="440">
        <v>0</v>
      </c>
      <c r="BA1431" s="440">
        <v>0</v>
      </c>
      <c r="BB1431" s="440">
        <v>0</v>
      </c>
      <c r="BC1431" s="440">
        <v>0</v>
      </c>
      <c r="BD1431" s="440">
        <v>0</v>
      </c>
      <c r="BE1431" s="440">
        <v>0</v>
      </c>
      <c r="BF1431" s="440">
        <v>0</v>
      </c>
      <c r="BG1431" s="440">
        <v>0</v>
      </c>
      <c r="BH1431" s="440">
        <v>0</v>
      </c>
      <c r="BI1431" s="440">
        <v>0</v>
      </c>
      <c r="BJ1431" s="440">
        <v>0</v>
      </c>
      <c r="BK1431" s="440">
        <v>0</v>
      </c>
      <c r="BL1431" s="440">
        <v>0</v>
      </c>
      <c r="BM1431" s="440">
        <v>0</v>
      </c>
      <c r="BN1431" s="440">
        <v>0</v>
      </c>
      <c r="BO1431" s="440">
        <v>0</v>
      </c>
      <c r="BP1431" s="440">
        <v>0</v>
      </c>
      <c r="BQ1431" s="440">
        <v>0</v>
      </c>
      <c r="BR1431" s="415">
        <v>0</v>
      </c>
      <c r="BS1431" s="415">
        <v>0</v>
      </c>
      <c r="BT1431" s="935"/>
      <c r="BU1431" s="935"/>
      <c r="BV1431" s="935"/>
      <c r="BW1431" s="935"/>
      <c r="BX1431" s="935"/>
      <c r="BY1431" s="935"/>
      <c r="BZ1431" s="935"/>
      <c r="CA1431" s="935"/>
      <c r="CB1431" s="935"/>
      <c r="CC1431" s="935"/>
      <c r="CD1431" s="935"/>
      <c r="CE1431" s="935"/>
      <c r="CF1431" s="935"/>
      <c r="CG1431" s="935"/>
      <c r="CH1431" s="935"/>
      <c r="CI1431" s="935"/>
      <c r="CJ1431" s="935"/>
      <c r="CK1431" s="935"/>
      <c r="CL1431" s="935"/>
      <c r="CM1431" s="935"/>
      <c r="CN1431" s="935"/>
      <c r="CO1431" s="935"/>
      <c r="CP1431" s="935"/>
      <c r="CQ1431" s="935"/>
      <c r="CR1431" s="935"/>
      <c r="CS1431" s="935"/>
      <c r="CT1431" s="935"/>
      <c r="CU1431" s="935"/>
      <c r="CV1431" s="935"/>
    </row>
    <row r="1432" spans="1:100" s="441" customFormat="1">
      <c r="A1432" s="375">
        <f t="shared" si="388"/>
        <v>11</v>
      </c>
      <c r="B1432" s="862">
        <v>44526</v>
      </c>
      <c r="C1432" s="493" t="s">
        <v>2001</v>
      </c>
      <c r="D1432" s="376" t="str">
        <f>IFERROR(VLOOKUP(E:E,'Item Data Support Sheet'!A:O,7,0),"")</f>
        <v>CAP MOLDED</v>
      </c>
      <c r="E1432" s="447" t="s">
        <v>2107</v>
      </c>
      <c r="F1432" s="500" t="s">
        <v>4140</v>
      </c>
      <c r="G1432" s="497" t="s">
        <v>2729</v>
      </c>
      <c r="H1432" s="602" t="str">
        <f>IFERROR(VLOOKUP(E:E,'Item Data Support Sheet'!A:O,2,0),"")</f>
        <v>CAP S TYPE MOLDED PINK</v>
      </c>
      <c r="I1432" s="501" t="s">
        <v>4210</v>
      </c>
      <c r="J1432" s="501" t="s">
        <v>2811</v>
      </c>
      <c r="K1432" s="499">
        <v>8</v>
      </c>
      <c r="L1432" s="499">
        <v>4137</v>
      </c>
      <c r="M1432" s="366">
        <v>517.125</v>
      </c>
      <c r="N1432" s="367">
        <f t="shared" si="387"/>
        <v>5008</v>
      </c>
      <c r="O1432" s="61">
        <v>5000</v>
      </c>
      <c r="P1432" s="368">
        <v>0</v>
      </c>
      <c r="Q1432" s="368">
        <v>0</v>
      </c>
      <c r="R1432" s="494">
        <v>0</v>
      </c>
      <c r="S1432" s="493">
        <v>0</v>
      </c>
      <c r="T1432" s="494">
        <v>8</v>
      </c>
      <c r="U1432" s="493">
        <v>0</v>
      </c>
      <c r="V1432" s="502">
        <v>1</v>
      </c>
      <c r="W1432" s="453">
        <f t="shared" si="389"/>
        <v>5000</v>
      </c>
      <c r="X1432" s="748">
        <f t="shared" si="390"/>
        <v>1.2086052695189751</v>
      </c>
      <c r="Y1432" s="451" t="str">
        <f>IFERROR(VLOOKUP(E:E,'Item Data Support Sheet'!A:J,6,0),0)</f>
        <v>RM000123</v>
      </c>
      <c r="Z1432" s="428">
        <f>IFERROR(VLOOKUP(E:E,'Item Data Support Sheet'!A:O,4,0),0)</f>
        <v>7.3</v>
      </c>
      <c r="AA1432" s="428">
        <f t="shared" si="391"/>
        <v>36.558399999999999</v>
      </c>
      <c r="AB1432" s="429">
        <f t="shared" si="392"/>
        <v>0.99840255591054317</v>
      </c>
      <c r="AC1432" s="424">
        <f t="shared" si="393"/>
        <v>1.5974440894568689E-3</v>
      </c>
      <c r="AD1432" s="371">
        <f t="shared" si="394"/>
        <v>0</v>
      </c>
      <c r="AE1432" s="748">
        <f t="shared" si="395"/>
        <v>0.99840255591054317</v>
      </c>
      <c r="AF1432" s="417">
        <f t="shared" si="396"/>
        <v>0</v>
      </c>
      <c r="AG1432" s="416">
        <f t="shared" si="397"/>
        <v>8</v>
      </c>
      <c r="AH1432" s="372">
        <f t="shared" si="398"/>
        <v>1</v>
      </c>
      <c r="AI1432" s="373">
        <f t="shared" si="399"/>
        <v>625</v>
      </c>
      <c r="AJ1432" s="418">
        <f>VLOOKUP(D1432,'Standard Cycle time'!C:D,2,0)</f>
        <v>6</v>
      </c>
      <c r="AK1432" s="418">
        <f t="shared" si="400"/>
        <v>5.76</v>
      </c>
      <c r="AL1432" s="374">
        <f t="shared" si="401"/>
        <v>1.0416666666666667</v>
      </c>
      <c r="AM1432" s="372">
        <f t="shared" si="402"/>
        <v>1.0400026624068159</v>
      </c>
      <c r="AN1432" s="799">
        <v>1.0400026624068159</v>
      </c>
      <c r="AO1432" s="448"/>
      <c r="AP1432" s="440">
        <v>0</v>
      </c>
      <c r="AQ1432" s="440">
        <v>0</v>
      </c>
      <c r="AR1432" s="440">
        <v>0</v>
      </c>
      <c r="AS1432" s="440">
        <v>0</v>
      </c>
      <c r="AT1432" s="440">
        <v>0</v>
      </c>
      <c r="AU1432" s="440">
        <v>0</v>
      </c>
      <c r="AV1432" s="440">
        <v>0</v>
      </c>
      <c r="AW1432" s="440">
        <v>0</v>
      </c>
      <c r="AX1432" s="440">
        <v>0</v>
      </c>
      <c r="AY1432" s="440">
        <v>0</v>
      </c>
      <c r="AZ1432" s="440">
        <v>0</v>
      </c>
      <c r="BA1432" s="440">
        <v>0</v>
      </c>
      <c r="BB1432" s="440">
        <v>0</v>
      </c>
      <c r="BC1432" s="440">
        <v>0</v>
      </c>
      <c r="BD1432" s="440">
        <v>0</v>
      </c>
      <c r="BE1432" s="440">
        <v>0</v>
      </c>
      <c r="BF1432" s="440">
        <v>0</v>
      </c>
      <c r="BG1432" s="440">
        <v>0</v>
      </c>
      <c r="BH1432" s="440">
        <v>0</v>
      </c>
      <c r="BI1432" s="440">
        <v>0</v>
      </c>
      <c r="BJ1432" s="440">
        <v>0</v>
      </c>
      <c r="BK1432" s="440">
        <v>0</v>
      </c>
      <c r="BL1432" s="440">
        <v>0</v>
      </c>
      <c r="BM1432" s="440">
        <v>0</v>
      </c>
      <c r="BN1432" s="440">
        <v>0</v>
      </c>
      <c r="BO1432" s="440">
        <v>0</v>
      </c>
      <c r="BP1432" s="440">
        <v>0</v>
      </c>
      <c r="BQ1432" s="440">
        <v>0</v>
      </c>
      <c r="BR1432" s="415">
        <v>0</v>
      </c>
      <c r="BS1432" s="415">
        <v>0</v>
      </c>
      <c r="BT1432" s="935"/>
      <c r="BU1432" s="935"/>
      <c r="BV1432" s="935"/>
      <c r="BW1432" s="935"/>
      <c r="BX1432" s="935"/>
      <c r="BY1432" s="935"/>
      <c r="BZ1432" s="935"/>
      <c r="CA1432" s="935"/>
      <c r="CB1432" s="935"/>
      <c r="CC1432" s="935"/>
      <c r="CD1432" s="935"/>
      <c r="CE1432" s="935"/>
      <c r="CF1432" s="935"/>
      <c r="CG1432" s="935"/>
      <c r="CH1432" s="935"/>
      <c r="CI1432" s="935"/>
      <c r="CJ1432" s="935"/>
      <c r="CK1432" s="935"/>
      <c r="CL1432" s="935"/>
      <c r="CM1432" s="935"/>
      <c r="CN1432" s="935"/>
      <c r="CO1432" s="935"/>
      <c r="CP1432" s="935"/>
      <c r="CQ1432" s="935"/>
      <c r="CR1432" s="935"/>
      <c r="CS1432" s="935"/>
      <c r="CT1432" s="935"/>
      <c r="CU1432" s="935"/>
      <c r="CV1432" s="935"/>
    </row>
    <row r="1433" spans="1:100" s="441" customFormat="1">
      <c r="A1433" s="375">
        <f t="shared" si="388"/>
        <v>11</v>
      </c>
      <c r="B1433" s="862">
        <v>44526</v>
      </c>
      <c r="C1433" s="493" t="s">
        <v>2001</v>
      </c>
      <c r="D1433" s="376" t="str">
        <f>IFERROR(VLOOKUP(E:E,'Item Data Support Sheet'!A:O,7,0),"")</f>
        <v>BOTTLE MOLDED</v>
      </c>
      <c r="E1433" s="447" t="s">
        <v>65</v>
      </c>
      <c r="F1433" s="500" t="s">
        <v>1682</v>
      </c>
      <c r="G1433" s="497" t="s">
        <v>1665</v>
      </c>
      <c r="H1433" s="602" t="str">
        <f>IFERROR(VLOOKUP(E:E,'Item Data Support Sheet'!A:O,2,0),"")</f>
        <v>KPP 120 ML BOTTLE MOLDED</v>
      </c>
      <c r="I1433" s="501" t="s">
        <v>4211</v>
      </c>
      <c r="J1433" s="501" t="s">
        <v>2811</v>
      </c>
      <c r="K1433" s="499">
        <v>8</v>
      </c>
      <c r="L1433" s="499">
        <v>2574</v>
      </c>
      <c r="M1433" s="366">
        <v>321.75</v>
      </c>
      <c r="N1433" s="367">
        <f t="shared" si="387"/>
        <v>2770</v>
      </c>
      <c r="O1433" s="61">
        <v>2700</v>
      </c>
      <c r="P1433" s="368">
        <v>0.1</v>
      </c>
      <c r="Q1433" s="368">
        <v>30</v>
      </c>
      <c r="R1433" s="494">
        <v>0</v>
      </c>
      <c r="S1433" s="493">
        <v>0</v>
      </c>
      <c r="T1433" s="494">
        <v>40</v>
      </c>
      <c r="U1433" s="493">
        <v>0</v>
      </c>
      <c r="V1433" s="502">
        <v>1</v>
      </c>
      <c r="W1433" s="453">
        <f t="shared" si="389"/>
        <v>2700</v>
      </c>
      <c r="X1433" s="748">
        <f t="shared" si="390"/>
        <v>1.048951048951049</v>
      </c>
      <c r="Y1433" s="451" t="str">
        <f>IFERROR(VLOOKUP(E:E,'Item Data Support Sheet'!A:J,6,0),0)</f>
        <v>HMC</v>
      </c>
      <c r="Z1433" s="428">
        <f>IFERROR(VLOOKUP(E:E,'Item Data Support Sheet'!A:O,4,0),0)</f>
        <v>21.3</v>
      </c>
      <c r="AA1433" s="428">
        <f t="shared" si="391"/>
        <v>59.100999999999999</v>
      </c>
      <c r="AB1433" s="429">
        <f t="shared" si="392"/>
        <v>0.97307998172619747</v>
      </c>
      <c r="AC1433" s="424">
        <f t="shared" si="393"/>
        <v>1.4598540145985401E-2</v>
      </c>
      <c r="AD1433" s="371">
        <f t="shared" si="394"/>
        <v>1.0714285714285714E-2</v>
      </c>
      <c r="AE1433" s="748">
        <f t="shared" si="395"/>
        <v>0.98555956678700363</v>
      </c>
      <c r="AF1433" s="417">
        <f t="shared" si="396"/>
        <v>0</v>
      </c>
      <c r="AG1433" s="416">
        <f t="shared" si="397"/>
        <v>8</v>
      </c>
      <c r="AH1433" s="372">
        <f t="shared" si="398"/>
        <v>1</v>
      </c>
      <c r="AI1433" s="373">
        <f t="shared" si="399"/>
        <v>337.5</v>
      </c>
      <c r="AJ1433" s="418">
        <f>VLOOKUP(D1433,'Standard Cycle time'!C:D,2,0)</f>
        <v>9</v>
      </c>
      <c r="AK1433" s="418">
        <f t="shared" si="400"/>
        <v>10.666666666666666</v>
      </c>
      <c r="AL1433" s="374">
        <f t="shared" si="401"/>
        <v>0.84375</v>
      </c>
      <c r="AM1433" s="372">
        <f t="shared" si="402"/>
        <v>0.83156588447653434</v>
      </c>
      <c r="AN1433" s="799">
        <v>0.83156588447653434</v>
      </c>
      <c r="AO1433" s="448"/>
      <c r="AP1433" s="440">
        <v>0</v>
      </c>
      <c r="AQ1433" s="440">
        <v>0</v>
      </c>
      <c r="AR1433" s="440">
        <v>0</v>
      </c>
      <c r="AS1433" s="440">
        <v>0</v>
      </c>
      <c r="AT1433" s="440">
        <v>0</v>
      </c>
      <c r="AU1433" s="440">
        <v>0</v>
      </c>
      <c r="AV1433" s="440">
        <v>0</v>
      </c>
      <c r="AW1433" s="440">
        <v>0</v>
      </c>
      <c r="AX1433" s="440">
        <v>0</v>
      </c>
      <c r="AY1433" s="440">
        <v>0</v>
      </c>
      <c r="AZ1433" s="440">
        <v>0</v>
      </c>
      <c r="BA1433" s="440">
        <v>0</v>
      </c>
      <c r="BB1433" s="440">
        <v>0</v>
      </c>
      <c r="BC1433" s="440">
        <v>0</v>
      </c>
      <c r="BD1433" s="440">
        <v>0</v>
      </c>
      <c r="BE1433" s="440">
        <v>0</v>
      </c>
      <c r="BF1433" s="440">
        <v>0</v>
      </c>
      <c r="BG1433" s="440">
        <v>0</v>
      </c>
      <c r="BH1433" s="440">
        <v>0</v>
      </c>
      <c r="BI1433" s="440">
        <v>0</v>
      </c>
      <c r="BJ1433" s="440">
        <v>0</v>
      </c>
      <c r="BK1433" s="440">
        <v>0</v>
      </c>
      <c r="BL1433" s="440">
        <v>0</v>
      </c>
      <c r="BM1433" s="440">
        <v>0</v>
      </c>
      <c r="BN1433" s="440">
        <v>0</v>
      </c>
      <c r="BO1433" s="440">
        <v>0</v>
      </c>
      <c r="BP1433" s="440">
        <v>0</v>
      </c>
      <c r="BQ1433" s="440">
        <v>0</v>
      </c>
      <c r="BR1433" s="415">
        <v>0</v>
      </c>
      <c r="BS1433" s="415">
        <v>0</v>
      </c>
      <c r="BT1433" s="935"/>
      <c r="BU1433" s="935"/>
      <c r="BV1433" s="935"/>
      <c r="BW1433" s="935"/>
      <c r="BX1433" s="935"/>
      <c r="BY1433" s="935"/>
      <c r="BZ1433" s="935"/>
      <c r="CA1433" s="935"/>
      <c r="CB1433" s="935"/>
      <c r="CC1433" s="935"/>
      <c r="CD1433" s="935"/>
      <c r="CE1433" s="935"/>
      <c r="CF1433" s="935"/>
      <c r="CG1433" s="935"/>
      <c r="CH1433" s="935"/>
      <c r="CI1433" s="935"/>
      <c r="CJ1433" s="935"/>
      <c r="CK1433" s="935"/>
      <c r="CL1433" s="935"/>
      <c r="CM1433" s="935"/>
      <c r="CN1433" s="935"/>
      <c r="CO1433" s="935"/>
      <c r="CP1433" s="935"/>
      <c r="CQ1433" s="935"/>
      <c r="CR1433" s="935"/>
      <c r="CS1433" s="935"/>
      <c r="CT1433" s="935"/>
      <c r="CU1433" s="935"/>
      <c r="CV1433" s="935"/>
    </row>
    <row r="1434" spans="1:100" s="441" customFormat="1">
      <c r="A1434" s="375">
        <f t="shared" si="388"/>
        <v>11</v>
      </c>
      <c r="B1434" s="862">
        <v>44526</v>
      </c>
      <c r="C1434" s="493" t="s">
        <v>2001</v>
      </c>
      <c r="D1434" s="376" t="str">
        <f>IFERROR(VLOOKUP(E:E,'Item Data Support Sheet'!A:O,7,0),"")</f>
        <v>BOTTLE MOLDED</v>
      </c>
      <c r="E1434" s="447" t="s">
        <v>66</v>
      </c>
      <c r="F1434" s="500" t="s">
        <v>1664</v>
      </c>
      <c r="G1434" s="497" t="s">
        <v>1888</v>
      </c>
      <c r="H1434" s="602" t="str">
        <f>IFERROR(VLOOKUP(E:E,'Item Data Support Sheet'!A:O,2,0),"")</f>
        <v>KPP 200 ML BOTTLE MOLDED</v>
      </c>
      <c r="I1434" s="501" t="s">
        <v>4212</v>
      </c>
      <c r="J1434" s="501" t="s">
        <v>2811</v>
      </c>
      <c r="K1434" s="499">
        <v>8</v>
      </c>
      <c r="L1434" s="499">
        <v>2574</v>
      </c>
      <c r="M1434" s="366">
        <v>321.75</v>
      </c>
      <c r="N1434" s="367">
        <f t="shared" si="387"/>
        <v>3078</v>
      </c>
      <c r="O1434" s="61">
        <v>3024</v>
      </c>
      <c r="P1434" s="368">
        <v>0.6</v>
      </c>
      <c r="Q1434" s="368">
        <v>24</v>
      </c>
      <c r="R1434" s="494">
        <v>0</v>
      </c>
      <c r="S1434" s="493">
        <v>0</v>
      </c>
      <c r="T1434" s="494">
        <v>30</v>
      </c>
      <c r="U1434" s="493">
        <v>0</v>
      </c>
      <c r="V1434" s="502">
        <v>1</v>
      </c>
      <c r="W1434" s="453">
        <f t="shared" si="389"/>
        <v>3024</v>
      </c>
      <c r="X1434" s="748">
        <f t="shared" si="390"/>
        <v>1.1748251748251748</v>
      </c>
      <c r="Y1434" s="451" t="str">
        <f>IFERROR(VLOOKUP(E:E,'Item Data Support Sheet'!A:J,6,0),0)</f>
        <v>HMC</v>
      </c>
      <c r="Z1434" s="428">
        <f>IFERROR(VLOOKUP(E:E,'Item Data Support Sheet'!A:O,4,0),0)</f>
        <v>28.1</v>
      </c>
      <c r="AA1434" s="428">
        <f t="shared" si="391"/>
        <v>87.091799999999992</v>
      </c>
      <c r="AB1434" s="429">
        <f t="shared" si="392"/>
        <v>0.97568772260993586</v>
      </c>
      <c r="AC1434" s="424">
        <f t="shared" si="393"/>
        <v>9.823182711198428E-3</v>
      </c>
      <c r="AD1434" s="371">
        <f t="shared" si="394"/>
        <v>7.7369439071566732E-3</v>
      </c>
      <c r="AE1434" s="748">
        <f t="shared" si="395"/>
        <v>0.99025341130604283</v>
      </c>
      <c r="AF1434" s="417">
        <f t="shared" si="396"/>
        <v>0</v>
      </c>
      <c r="AG1434" s="416">
        <f t="shared" si="397"/>
        <v>8</v>
      </c>
      <c r="AH1434" s="372">
        <f t="shared" si="398"/>
        <v>1</v>
      </c>
      <c r="AI1434" s="373">
        <f t="shared" si="399"/>
        <v>378</v>
      </c>
      <c r="AJ1434" s="418">
        <f>VLOOKUP(D1434,'Standard Cycle time'!C:D,2,0)</f>
        <v>9</v>
      </c>
      <c r="AK1434" s="418">
        <f t="shared" si="400"/>
        <v>9.5238095238095237</v>
      </c>
      <c r="AL1434" s="374">
        <f t="shared" si="401"/>
        <v>0.94500000000000006</v>
      </c>
      <c r="AM1434" s="372">
        <f t="shared" si="402"/>
        <v>0.9357894736842105</v>
      </c>
      <c r="AN1434" s="799">
        <v>0.9357894736842105</v>
      </c>
      <c r="AO1434" s="448"/>
      <c r="AP1434" s="440">
        <v>0</v>
      </c>
      <c r="AQ1434" s="440">
        <v>0</v>
      </c>
      <c r="AR1434" s="440">
        <v>0</v>
      </c>
      <c r="AS1434" s="440">
        <v>0</v>
      </c>
      <c r="AT1434" s="440">
        <v>0</v>
      </c>
      <c r="AU1434" s="440">
        <v>0</v>
      </c>
      <c r="AV1434" s="440">
        <v>0</v>
      </c>
      <c r="AW1434" s="440">
        <v>0</v>
      </c>
      <c r="AX1434" s="440">
        <v>0</v>
      </c>
      <c r="AY1434" s="440">
        <v>0</v>
      </c>
      <c r="AZ1434" s="440">
        <v>0</v>
      </c>
      <c r="BA1434" s="440">
        <v>0</v>
      </c>
      <c r="BB1434" s="440">
        <v>0</v>
      </c>
      <c r="BC1434" s="440">
        <v>0</v>
      </c>
      <c r="BD1434" s="440">
        <v>0</v>
      </c>
      <c r="BE1434" s="440">
        <v>0</v>
      </c>
      <c r="BF1434" s="440">
        <v>0</v>
      </c>
      <c r="BG1434" s="440">
        <v>0</v>
      </c>
      <c r="BH1434" s="440">
        <v>0</v>
      </c>
      <c r="BI1434" s="440">
        <v>0</v>
      </c>
      <c r="BJ1434" s="440">
        <v>0</v>
      </c>
      <c r="BK1434" s="440">
        <v>0</v>
      </c>
      <c r="BL1434" s="440">
        <v>0</v>
      </c>
      <c r="BM1434" s="440">
        <v>0</v>
      </c>
      <c r="BN1434" s="440">
        <v>0</v>
      </c>
      <c r="BO1434" s="440">
        <v>0</v>
      </c>
      <c r="BP1434" s="440">
        <v>0</v>
      </c>
      <c r="BQ1434" s="440">
        <v>0</v>
      </c>
      <c r="BR1434" s="415">
        <v>0</v>
      </c>
      <c r="BS1434" s="415">
        <v>0</v>
      </c>
      <c r="BT1434" s="935"/>
      <c r="BU1434" s="935"/>
      <c r="BV1434" s="935"/>
      <c r="BW1434" s="935"/>
      <c r="BX1434" s="935"/>
      <c r="BY1434" s="935"/>
      <c r="BZ1434" s="935"/>
      <c r="CA1434" s="935"/>
      <c r="CB1434" s="935"/>
      <c r="CC1434" s="935"/>
      <c r="CD1434" s="935"/>
      <c r="CE1434" s="935"/>
      <c r="CF1434" s="935"/>
      <c r="CG1434" s="935"/>
      <c r="CH1434" s="935"/>
      <c r="CI1434" s="935"/>
      <c r="CJ1434" s="935"/>
      <c r="CK1434" s="935"/>
      <c r="CL1434" s="935"/>
      <c r="CM1434" s="935"/>
      <c r="CN1434" s="935"/>
      <c r="CO1434" s="935"/>
      <c r="CP1434" s="935"/>
      <c r="CQ1434" s="935"/>
      <c r="CR1434" s="935"/>
      <c r="CS1434" s="935"/>
      <c r="CT1434" s="935"/>
      <c r="CU1434" s="935"/>
      <c r="CV1434" s="935"/>
    </row>
    <row r="1435" spans="1:100" s="441" customFormat="1">
      <c r="A1435" s="375">
        <f t="shared" si="388"/>
        <v>11</v>
      </c>
      <c r="B1435" s="862">
        <v>44526</v>
      </c>
      <c r="C1435" s="493" t="s">
        <v>2001</v>
      </c>
      <c r="D1435" s="376" t="str">
        <f>IFERROR(VLOOKUP(E:E,'Item Data Support Sheet'!A:O,7,0),"")</f>
        <v>NIPPLE MOLDED</v>
      </c>
      <c r="E1435" s="447" t="s">
        <v>2484</v>
      </c>
      <c r="F1435" s="500" t="s">
        <v>1677</v>
      </c>
      <c r="G1435" s="497" t="s">
        <v>1690</v>
      </c>
      <c r="H1435" s="602" t="str">
        <f>IFERROR(VLOOKUP(E:E,'Item Data Support Sheet'!A:O,2,0),"")</f>
        <v>NIPPLE S TYPE LL SIZE INJECTION</v>
      </c>
      <c r="I1435" s="501" t="s">
        <v>4209</v>
      </c>
      <c r="J1435" s="501" t="s">
        <v>2811</v>
      </c>
      <c r="K1435" s="499">
        <v>8</v>
      </c>
      <c r="L1435" s="499">
        <v>3611</v>
      </c>
      <c r="M1435" s="366">
        <v>451.375</v>
      </c>
      <c r="N1435" s="367">
        <f t="shared" si="387"/>
        <v>4090</v>
      </c>
      <c r="O1435" s="61">
        <v>4000</v>
      </c>
      <c r="P1435" s="368">
        <v>0</v>
      </c>
      <c r="Q1435" s="368">
        <v>40</v>
      </c>
      <c r="R1435" s="494">
        <v>0</v>
      </c>
      <c r="S1435" s="493">
        <v>0</v>
      </c>
      <c r="T1435" s="494">
        <v>50</v>
      </c>
      <c r="U1435" s="493">
        <v>0</v>
      </c>
      <c r="V1435" s="502">
        <v>1</v>
      </c>
      <c r="W1435" s="453">
        <f t="shared" si="389"/>
        <v>4000</v>
      </c>
      <c r="X1435" s="748">
        <f t="shared" si="390"/>
        <v>1.1077263915812794</v>
      </c>
      <c r="Y1435" s="451" t="str">
        <f>IFERROR(VLOOKUP(E:E,'Item Data Support Sheet'!A:J,6,0),0)</f>
        <v>FO148</v>
      </c>
      <c r="Z1435" s="428">
        <f>IFERROR(VLOOKUP(E:E,'Item Data Support Sheet'!A:O,4,0),0)</f>
        <v>6.8</v>
      </c>
      <c r="AA1435" s="428">
        <f t="shared" si="391"/>
        <v>27.811999999999998</v>
      </c>
      <c r="AB1435" s="429">
        <f t="shared" si="392"/>
        <v>0.97799511002444994</v>
      </c>
      <c r="AC1435" s="424">
        <f t="shared" si="393"/>
        <v>1.2345679012345678E-2</v>
      </c>
      <c r="AD1435" s="371">
        <f t="shared" si="394"/>
        <v>9.6852300242130755E-3</v>
      </c>
      <c r="AE1435" s="748">
        <f t="shared" si="395"/>
        <v>0.98777506112469438</v>
      </c>
      <c r="AF1435" s="417">
        <f t="shared" si="396"/>
        <v>0</v>
      </c>
      <c r="AG1435" s="416">
        <f t="shared" si="397"/>
        <v>8</v>
      </c>
      <c r="AH1435" s="372">
        <f t="shared" si="398"/>
        <v>1</v>
      </c>
      <c r="AI1435" s="373">
        <f t="shared" si="399"/>
        <v>500</v>
      </c>
      <c r="AJ1435" s="418">
        <f>VLOOKUP(D1435,'Standard Cycle time'!C:D,2,0)</f>
        <v>5.25</v>
      </c>
      <c r="AK1435" s="418">
        <f t="shared" si="400"/>
        <v>7.2</v>
      </c>
      <c r="AL1435" s="374">
        <f t="shared" si="401"/>
        <v>0.72916666666666663</v>
      </c>
      <c r="AM1435" s="372">
        <f t="shared" si="402"/>
        <v>0.72025264873675632</v>
      </c>
      <c r="AN1435" s="799">
        <v>0.72025264873675632</v>
      </c>
      <c r="AO1435" s="448"/>
      <c r="AP1435" s="440">
        <v>0</v>
      </c>
      <c r="AQ1435" s="440">
        <v>0</v>
      </c>
      <c r="AR1435" s="440">
        <v>0</v>
      </c>
      <c r="AS1435" s="440">
        <v>0</v>
      </c>
      <c r="AT1435" s="440">
        <v>0</v>
      </c>
      <c r="AU1435" s="440">
        <v>0</v>
      </c>
      <c r="AV1435" s="440">
        <v>0</v>
      </c>
      <c r="AW1435" s="440">
        <v>0</v>
      </c>
      <c r="AX1435" s="440">
        <v>0</v>
      </c>
      <c r="AY1435" s="440">
        <v>0</v>
      </c>
      <c r="AZ1435" s="440">
        <v>0</v>
      </c>
      <c r="BA1435" s="440">
        <v>0</v>
      </c>
      <c r="BB1435" s="440">
        <v>0</v>
      </c>
      <c r="BC1435" s="440">
        <v>0</v>
      </c>
      <c r="BD1435" s="440">
        <v>0</v>
      </c>
      <c r="BE1435" s="440">
        <v>0</v>
      </c>
      <c r="BF1435" s="440">
        <v>0</v>
      </c>
      <c r="BG1435" s="440">
        <v>0</v>
      </c>
      <c r="BH1435" s="440">
        <v>0</v>
      </c>
      <c r="BI1435" s="440">
        <v>0</v>
      </c>
      <c r="BJ1435" s="440">
        <v>0</v>
      </c>
      <c r="BK1435" s="440">
        <v>0</v>
      </c>
      <c r="BL1435" s="440">
        <v>0</v>
      </c>
      <c r="BM1435" s="440">
        <v>0</v>
      </c>
      <c r="BN1435" s="440">
        <v>0</v>
      </c>
      <c r="BO1435" s="440">
        <v>0</v>
      </c>
      <c r="BP1435" s="440">
        <v>0</v>
      </c>
      <c r="BQ1435" s="440">
        <v>0</v>
      </c>
      <c r="BR1435" s="415">
        <v>0</v>
      </c>
      <c r="BS1435" s="415">
        <v>0</v>
      </c>
      <c r="BT1435" s="935"/>
      <c r="BU1435" s="935"/>
      <c r="BV1435" s="935"/>
      <c r="BW1435" s="935"/>
      <c r="BX1435" s="935"/>
      <c r="BY1435" s="935"/>
      <c r="BZ1435" s="935"/>
      <c r="CA1435" s="935"/>
      <c r="CB1435" s="935"/>
      <c r="CC1435" s="935"/>
      <c r="CD1435" s="935"/>
      <c r="CE1435" s="935"/>
      <c r="CF1435" s="935"/>
      <c r="CG1435" s="935"/>
      <c r="CH1435" s="935"/>
      <c r="CI1435" s="935"/>
      <c r="CJ1435" s="935"/>
      <c r="CK1435" s="935"/>
      <c r="CL1435" s="935"/>
      <c r="CM1435" s="935"/>
      <c r="CN1435" s="935"/>
      <c r="CO1435" s="935"/>
      <c r="CP1435" s="935"/>
      <c r="CQ1435" s="935"/>
      <c r="CR1435" s="935"/>
      <c r="CS1435" s="935"/>
      <c r="CT1435" s="935"/>
      <c r="CU1435" s="935"/>
      <c r="CV1435" s="935"/>
    </row>
    <row r="1436" spans="1:100" s="441" customFormat="1">
      <c r="A1436" s="375">
        <f t="shared" si="388"/>
        <v>11</v>
      </c>
      <c r="B1436" s="862">
        <v>44526</v>
      </c>
      <c r="C1436" s="493" t="s">
        <v>2053</v>
      </c>
      <c r="D1436" s="376" t="str">
        <f>IFERROR(VLOOKUP(E:E,'Item Data Support Sheet'!A:O,7,0),"")</f>
        <v>BOTTLE MOLDED</v>
      </c>
      <c r="E1436" s="447" t="s">
        <v>65</v>
      </c>
      <c r="F1436" s="500" t="s">
        <v>1679</v>
      </c>
      <c r="G1436" s="497" t="s">
        <v>1665</v>
      </c>
      <c r="H1436" s="602" t="str">
        <f>IFERROR(VLOOKUP(E:E,'Item Data Support Sheet'!A:O,2,0),"")</f>
        <v>KPP 120 ML BOTTLE MOLDED</v>
      </c>
      <c r="I1436" s="501" t="s">
        <v>4213</v>
      </c>
      <c r="J1436" s="501" t="s">
        <v>3895</v>
      </c>
      <c r="K1436" s="499">
        <v>8</v>
      </c>
      <c r="L1436" s="499">
        <v>2574</v>
      </c>
      <c r="M1436" s="366">
        <v>321.75</v>
      </c>
      <c r="N1436" s="367">
        <f t="shared" si="387"/>
        <v>956</v>
      </c>
      <c r="O1436" s="61">
        <v>900</v>
      </c>
      <c r="P1436" s="368">
        <v>0.2</v>
      </c>
      <c r="Q1436" s="368">
        <v>21</v>
      </c>
      <c r="R1436" s="494">
        <v>0</v>
      </c>
      <c r="S1436" s="493">
        <v>0</v>
      </c>
      <c r="T1436" s="494">
        <v>27</v>
      </c>
      <c r="U1436" s="493">
        <v>8</v>
      </c>
      <c r="V1436" s="502">
        <v>1</v>
      </c>
      <c r="W1436" s="453">
        <f t="shared" si="389"/>
        <v>900</v>
      </c>
      <c r="X1436" s="748">
        <f t="shared" si="390"/>
        <v>0.34965034965034963</v>
      </c>
      <c r="Y1436" s="451" t="str">
        <f>IFERROR(VLOOKUP(E:E,'Item Data Support Sheet'!A:J,6,0),0)</f>
        <v>HMC</v>
      </c>
      <c r="Z1436" s="428">
        <f>IFERROR(VLOOKUP(E:E,'Item Data Support Sheet'!A:O,4,0),0)</f>
        <v>21.3</v>
      </c>
      <c r="AA1436" s="428">
        <f t="shared" si="391"/>
        <v>20.562799999999999</v>
      </c>
      <c r="AB1436" s="429">
        <f t="shared" si="392"/>
        <v>0.93226603380862527</v>
      </c>
      <c r="AC1436" s="424">
        <f t="shared" si="393"/>
        <v>2.9126213592233011E-2</v>
      </c>
      <c r="AD1436" s="371">
        <f t="shared" si="394"/>
        <v>2.1494370522006142E-2</v>
      </c>
      <c r="AE1436" s="748">
        <f t="shared" si="395"/>
        <v>0.97175732217573219</v>
      </c>
      <c r="AF1436" s="417">
        <f t="shared" si="396"/>
        <v>5.5</v>
      </c>
      <c r="AG1436" s="416">
        <f t="shared" si="397"/>
        <v>2.5</v>
      </c>
      <c r="AH1436" s="372">
        <f t="shared" si="398"/>
        <v>0.3125</v>
      </c>
      <c r="AI1436" s="373">
        <f t="shared" si="399"/>
        <v>112.5</v>
      </c>
      <c r="AJ1436" s="418">
        <f>VLOOKUP(D1436,'Standard Cycle time'!C:D,2,0)</f>
        <v>9</v>
      </c>
      <c r="AK1436" s="418">
        <f t="shared" si="400"/>
        <v>10</v>
      </c>
      <c r="AL1436" s="374">
        <f t="shared" si="401"/>
        <v>0.9</v>
      </c>
      <c r="AM1436" s="372">
        <f t="shared" si="402"/>
        <v>0.27330674686192469</v>
      </c>
      <c r="AN1436" s="799">
        <v>0.27330674686192469</v>
      </c>
      <c r="AO1436" s="448" t="s">
        <v>4214</v>
      </c>
      <c r="AP1436" s="440">
        <v>0</v>
      </c>
      <c r="AQ1436" s="440">
        <v>0</v>
      </c>
      <c r="AR1436" s="440">
        <v>0</v>
      </c>
      <c r="AS1436" s="440">
        <v>0</v>
      </c>
      <c r="AT1436" s="440">
        <v>60</v>
      </c>
      <c r="AU1436" s="440">
        <v>0</v>
      </c>
      <c r="AV1436" s="440">
        <v>0</v>
      </c>
      <c r="AW1436" s="440">
        <v>0</v>
      </c>
      <c r="AX1436" s="440">
        <v>0</v>
      </c>
      <c r="AY1436" s="440">
        <v>0</v>
      </c>
      <c r="AZ1436" s="440">
        <v>0</v>
      </c>
      <c r="BA1436" s="440">
        <v>0</v>
      </c>
      <c r="BB1436" s="440">
        <v>0</v>
      </c>
      <c r="BC1436" s="440">
        <v>0</v>
      </c>
      <c r="BD1436" s="440">
        <v>0</v>
      </c>
      <c r="BE1436" s="440">
        <v>0</v>
      </c>
      <c r="BF1436" s="440">
        <v>0</v>
      </c>
      <c r="BG1436" s="440">
        <v>0</v>
      </c>
      <c r="BH1436" s="440">
        <v>0</v>
      </c>
      <c r="BI1436" s="440">
        <v>0</v>
      </c>
      <c r="BJ1436" s="440">
        <v>0</v>
      </c>
      <c r="BK1436" s="440">
        <v>0</v>
      </c>
      <c r="BL1436" s="440">
        <v>0</v>
      </c>
      <c r="BM1436" s="440">
        <v>0</v>
      </c>
      <c r="BN1436" s="440">
        <v>0</v>
      </c>
      <c r="BO1436" s="440">
        <v>0</v>
      </c>
      <c r="BP1436" s="440">
        <v>0</v>
      </c>
      <c r="BQ1436" s="440">
        <v>270</v>
      </c>
      <c r="BR1436" s="415">
        <v>5.5</v>
      </c>
      <c r="BS1436" s="415">
        <v>5.5</v>
      </c>
      <c r="BT1436" s="935"/>
      <c r="BU1436" s="935"/>
      <c r="BV1436" s="935"/>
      <c r="BW1436" s="935"/>
      <c r="BX1436" s="935"/>
      <c r="BY1436" s="935"/>
      <c r="BZ1436" s="935"/>
      <c r="CA1436" s="935"/>
      <c r="CB1436" s="935"/>
      <c r="CC1436" s="935"/>
      <c r="CD1436" s="935"/>
      <c r="CE1436" s="935"/>
      <c r="CF1436" s="935"/>
      <c r="CG1436" s="935"/>
      <c r="CH1436" s="935"/>
      <c r="CI1436" s="935"/>
      <c r="CJ1436" s="935"/>
      <c r="CK1436" s="935"/>
      <c r="CL1436" s="935"/>
      <c r="CM1436" s="935"/>
      <c r="CN1436" s="935"/>
      <c r="CO1436" s="935"/>
      <c r="CP1436" s="935"/>
      <c r="CQ1436" s="935"/>
      <c r="CR1436" s="935"/>
      <c r="CS1436" s="935"/>
      <c r="CT1436" s="935"/>
      <c r="CU1436" s="935"/>
      <c r="CV1436" s="935"/>
    </row>
    <row r="1437" spans="1:100" s="441" customFormat="1">
      <c r="A1437" s="375">
        <f t="shared" si="388"/>
        <v>11</v>
      </c>
      <c r="B1437" s="862">
        <v>44526</v>
      </c>
      <c r="C1437" s="493" t="s">
        <v>2053</v>
      </c>
      <c r="D1437" s="376" t="str">
        <f>IFERROR(VLOOKUP(E:E,'Item Data Support Sheet'!A:O,7,0),"")</f>
        <v>CAP MOLDED</v>
      </c>
      <c r="E1437" s="447" t="s">
        <v>2107</v>
      </c>
      <c r="F1437" s="500" t="s">
        <v>4140</v>
      </c>
      <c r="G1437" s="497"/>
      <c r="H1437" s="602" t="str">
        <f>IFERROR(VLOOKUP(E:E,'Item Data Support Sheet'!A:O,2,0),"")</f>
        <v>CAP S TYPE MOLDED PINK</v>
      </c>
      <c r="I1437" s="501" t="s">
        <v>4215</v>
      </c>
      <c r="J1437" s="501" t="s">
        <v>3895</v>
      </c>
      <c r="K1437" s="499">
        <v>2.8</v>
      </c>
      <c r="L1437" s="499">
        <v>1450</v>
      </c>
      <c r="M1437" s="366">
        <v>517.85714285714289</v>
      </c>
      <c r="N1437" s="367">
        <f t="shared" si="387"/>
        <v>1452</v>
      </c>
      <c r="O1437" s="61">
        <v>1450</v>
      </c>
      <c r="P1437" s="368">
        <v>0</v>
      </c>
      <c r="Q1437" s="368">
        <v>0</v>
      </c>
      <c r="R1437" s="494">
        <v>0</v>
      </c>
      <c r="S1437" s="493">
        <v>0</v>
      </c>
      <c r="T1437" s="494">
        <v>2</v>
      </c>
      <c r="U1437" s="493">
        <v>0</v>
      </c>
      <c r="V1437" s="502">
        <v>1</v>
      </c>
      <c r="W1437" s="453">
        <f t="shared" si="389"/>
        <v>1450</v>
      </c>
      <c r="X1437" s="748">
        <f t="shared" si="390"/>
        <v>1</v>
      </c>
      <c r="Y1437" s="451" t="str">
        <f>IFERROR(VLOOKUP(E:E,'Item Data Support Sheet'!A:J,6,0),0)</f>
        <v>RM000123</v>
      </c>
      <c r="Z1437" s="428">
        <f>IFERROR(VLOOKUP(E:E,'Item Data Support Sheet'!A:O,4,0),0)</f>
        <v>7.3</v>
      </c>
      <c r="AA1437" s="428">
        <f t="shared" si="391"/>
        <v>10.599600000000001</v>
      </c>
      <c r="AB1437" s="429">
        <f t="shared" si="392"/>
        <v>0.99862258953168048</v>
      </c>
      <c r="AC1437" s="424">
        <f t="shared" si="393"/>
        <v>1.3774104683195593E-3</v>
      </c>
      <c r="AD1437" s="371">
        <f t="shared" si="394"/>
        <v>0</v>
      </c>
      <c r="AE1437" s="748">
        <f t="shared" si="395"/>
        <v>0.99862258953168048</v>
      </c>
      <c r="AF1437" s="417">
        <f t="shared" si="396"/>
        <v>0</v>
      </c>
      <c r="AG1437" s="416">
        <f t="shared" si="397"/>
        <v>2.8</v>
      </c>
      <c r="AH1437" s="372">
        <f t="shared" si="398"/>
        <v>1</v>
      </c>
      <c r="AI1437" s="373">
        <f t="shared" si="399"/>
        <v>517.85714285714289</v>
      </c>
      <c r="AJ1437" s="418">
        <f>VLOOKUP(D1437,'Standard Cycle time'!C:D,2,0)</f>
        <v>6</v>
      </c>
      <c r="AK1437" s="418">
        <f t="shared" si="400"/>
        <v>6.9517241379310342</v>
      </c>
      <c r="AL1437" s="374">
        <f t="shared" si="401"/>
        <v>0.86309523809523814</v>
      </c>
      <c r="AM1437" s="372">
        <f t="shared" si="402"/>
        <v>0.86190640167912902</v>
      </c>
      <c r="AN1437" s="799">
        <v>0.86190640167912902</v>
      </c>
      <c r="AO1437" s="448"/>
      <c r="AP1437" s="440">
        <v>0</v>
      </c>
      <c r="AQ1437" s="440">
        <v>0</v>
      </c>
      <c r="AR1437" s="440">
        <v>0</v>
      </c>
      <c r="AS1437" s="440">
        <v>0</v>
      </c>
      <c r="AT1437" s="440">
        <v>0</v>
      </c>
      <c r="AU1437" s="440">
        <v>0</v>
      </c>
      <c r="AV1437" s="440">
        <v>0</v>
      </c>
      <c r="AW1437" s="440">
        <v>0</v>
      </c>
      <c r="AX1437" s="440">
        <v>0</v>
      </c>
      <c r="AY1437" s="440">
        <v>0</v>
      </c>
      <c r="AZ1437" s="440">
        <v>0</v>
      </c>
      <c r="BA1437" s="440">
        <v>0</v>
      </c>
      <c r="BB1437" s="440">
        <v>0</v>
      </c>
      <c r="BC1437" s="440">
        <v>0</v>
      </c>
      <c r="BD1437" s="440">
        <v>0</v>
      </c>
      <c r="BE1437" s="440">
        <v>0</v>
      </c>
      <c r="BF1437" s="440">
        <v>0</v>
      </c>
      <c r="BG1437" s="440">
        <v>0</v>
      </c>
      <c r="BH1437" s="440">
        <v>0</v>
      </c>
      <c r="BI1437" s="440">
        <v>0</v>
      </c>
      <c r="BJ1437" s="440">
        <v>0</v>
      </c>
      <c r="BK1437" s="440">
        <v>0</v>
      </c>
      <c r="BL1437" s="440">
        <v>0</v>
      </c>
      <c r="BM1437" s="440">
        <v>0</v>
      </c>
      <c r="BN1437" s="440">
        <v>0</v>
      </c>
      <c r="BO1437" s="440">
        <v>0</v>
      </c>
      <c r="BP1437" s="440">
        <v>0</v>
      </c>
      <c r="BQ1437" s="440">
        <v>0</v>
      </c>
      <c r="BR1437" s="415">
        <v>0</v>
      </c>
      <c r="BS1437" s="415">
        <v>0</v>
      </c>
      <c r="BT1437" s="935"/>
      <c r="BU1437" s="935"/>
      <c r="BV1437" s="935"/>
      <c r="BW1437" s="935"/>
      <c r="BX1437" s="935"/>
      <c r="BY1437" s="935"/>
      <c r="BZ1437" s="935"/>
      <c r="CA1437" s="935"/>
      <c r="CB1437" s="935"/>
      <c r="CC1437" s="935"/>
      <c r="CD1437" s="935"/>
      <c r="CE1437" s="935"/>
      <c r="CF1437" s="935"/>
      <c r="CG1437" s="935"/>
      <c r="CH1437" s="935"/>
      <c r="CI1437" s="935"/>
      <c r="CJ1437" s="935"/>
      <c r="CK1437" s="935"/>
      <c r="CL1437" s="935"/>
      <c r="CM1437" s="935"/>
      <c r="CN1437" s="935"/>
      <c r="CO1437" s="935"/>
      <c r="CP1437" s="935"/>
      <c r="CQ1437" s="935"/>
      <c r="CR1437" s="935"/>
      <c r="CS1437" s="935"/>
      <c r="CT1437" s="935"/>
      <c r="CU1437" s="935"/>
      <c r="CV1437" s="935"/>
    </row>
    <row r="1438" spans="1:100" s="441" customFormat="1">
      <c r="A1438" s="375">
        <f t="shared" si="388"/>
        <v>11</v>
      </c>
      <c r="B1438" s="862">
        <v>44526</v>
      </c>
      <c r="C1438" s="493" t="s">
        <v>2053</v>
      </c>
      <c r="D1438" s="376" t="str">
        <f>IFERROR(VLOOKUP(E:E,'Item Data Support Sheet'!A:O,7,0),"")</f>
        <v>NIPPLE MOLDED</v>
      </c>
      <c r="E1438" s="447" t="s">
        <v>2484</v>
      </c>
      <c r="F1438" s="500" t="s">
        <v>1677</v>
      </c>
      <c r="G1438" s="497" t="s">
        <v>1690</v>
      </c>
      <c r="H1438" s="602" t="str">
        <f>IFERROR(VLOOKUP(E:E,'Item Data Support Sheet'!A:O,2,0),"")</f>
        <v>NIPPLE S TYPE LL SIZE INJECTION</v>
      </c>
      <c r="I1438" s="501" t="s">
        <v>4216</v>
      </c>
      <c r="J1438" s="501" t="s">
        <v>3895</v>
      </c>
      <c r="K1438" s="499">
        <v>8</v>
      </c>
      <c r="L1438" s="499">
        <v>3611</v>
      </c>
      <c r="M1438" s="366">
        <v>451.375</v>
      </c>
      <c r="N1438" s="367">
        <f t="shared" si="387"/>
        <v>4060</v>
      </c>
      <c r="O1438" s="61">
        <v>4000</v>
      </c>
      <c r="P1438" s="368">
        <v>0</v>
      </c>
      <c r="Q1438" s="368">
        <v>15</v>
      </c>
      <c r="R1438" s="494">
        <v>0</v>
      </c>
      <c r="S1438" s="493">
        <v>0</v>
      </c>
      <c r="T1438" s="494">
        <v>45</v>
      </c>
      <c r="U1438" s="493">
        <v>0</v>
      </c>
      <c r="V1438" s="502">
        <v>1</v>
      </c>
      <c r="W1438" s="453">
        <f t="shared" si="389"/>
        <v>4000</v>
      </c>
      <c r="X1438" s="748">
        <f t="shared" si="390"/>
        <v>1.1077263915812794</v>
      </c>
      <c r="Y1438" s="451" t="str">
        <f>IFERROR(VLOOKUP(E:E,'Item Data Support Sheet'!A:J,6,0),0)</f>
        <v>FO148</v>
      </c>
      <c r="Z1438" s="428">
        <f>IFERROR(VLOOKUP(E:E,'Item Data Support Sheet'!A:O,4,0),0)</f>
        <v>6.8</v>
      </c>
      <c r="AA1438" s="428">
        <f t="shared" si="391"/>
        <v>27.607999999999997</v>
      </c>
      <c r="AB1438" s="429">
        <f t="shared" si="392"/>
        <v>0.98522167487684742</v>
      </c>
      <c r="AC1438" s="424">
        <f t="shared" si="393"/>
        <v>1.1124845488257108E-2</v>
      </c>
      <c r="AD1438" s="371">
        <f t="shared" si="394"/>
        <v>3.6809815950920245E-3</v>
      </c>
      <c r="AE1438" s="748">
        <f t="shared" si="395"/>
        <v>0.98891625615763545</v>
      </c>
      <c r="AF1438" s="417">
        <f t="shared" si="396"/>
        <v>0</v>
      </c>
      <c r="AG1438" s="416">
        <f t="shared" si="397"/>
        <v>8</v>
      </c>
      <c r="AH1438" s="372">
        <f t="shared" si="398"/>
        <v>1</v>
      </c>
      <c r="AI1438" s="373">
        <f t="shared" si="399"/>
        <v>500</v>
      </c>
      <c r="AJ1438" s="418">
        <f>VLOOKUP(D1438,'Standard Cycle time'!C:D,2,0)</f>
        <v>5.25</v>
      </c>
      <c r="AK1438" s="418">
        <f t="shared" si="400"/>
        <v>7.2</v>
      </c>
      <c r="AL1438" s="374">
        <f t="shared" si="401"/>
        <v>0.72916666666666663</v>
      </c>
      <c r="AM1438" s="372">
        <f t="shared" si="402"/>
        <v>0.72108477011494243</v>
      </c>
      <c r="AN1438" s="799">
        <v>0.72108477011494243</v>
      </c>
      <c r="AO1438" s="448"/>
      <c r="AP1438" s="440">
        <v>0</v>
      </c>
      <c r="AQ1438" s="440">
        <v>0</v>
      </c>
      <c r="AR1438" s="440">
        <v>0</v>
      </c>
      <c r="AS1438" s="440">
        <v>0</v>
      </c>
      <c r="AT1438" s="440">
        <v>0</v>
      </c>
      <c r="AU1438" s="440">
        <v>0</v>
      </c>
      <c r="AV1438" s="440">
        <v>0</v>
      </c>
      <c r="AW1438" s="440">
        <v>0</v>
      </c>
      <c r="AX1438" s="440">
        <v>0</v>
      </c>
      <c r="AY1438" s="440">
        <v>0</v>
      </c>
      <c r="AZ1438" s="440">
        <v>0</v>
      </c>
      <c r="BA1438" s="440">
        <v>0</v>
      </c>
      <c r="BB1438" s="440">
        <v>0</v>
      </c>
      <c r="BC1438" s="440">
        <v>0</v>
      </c>
      <c r="BD1438" s="440">
        <v>0</v>
      </c>
      <c r="BE1438" s="440">
        <v>0</v>
      </c>
      <c r="BF1438" s="440">
        <v>0</v>
      </c>
      <c r="BG1438" s="440">
        <v>0</v>
      </c>
      <c r="BH1438" s="440">
        <v>0</v>
      </c>
      <c r="BI1438" s="440">
        <v>0</v>
      </c>
      <c r="BJ1438" s="440">
        <v>0</v>
      </c>
      <c r="BK1438" s="440">
        <v>0</v>
      </c>
      <c r="BL1438" s="440">
        <v>0</v>
      </c>
      <c r="BM1438" s="440">
        <v>0</v>
      </c>
      <c r="BN1438" s="440">
        <v>0</v>
      </c>
      <c r="BO1438" s="440">
        <v>0</v>
      </c>
      <c r="BP1438" s="440">
        <v>0</v>
      </c>
      <c r="BQ1438" s="440">
        <v>0</v>
      </c>
      <c r="BR1438" s="415">
        <v>0</v>
      </c>
      <c r="BS1438" s="415">
        <v>0</v>
      </c>
      <c r="BT1438" s="935"/>
      <c r="BU1438" s="935"/>
      <c r="BV1438" s="935"/>
      <c r="BW1438" s="935"/>
      <c r="BX1438" s="935"/>
      <c r="BY1438" s="935"/>
      <c r="BZ1438" s="935"/>
      <c r="CA1438" s="935"/>
      <c r="CB1438" s="935"/>
      <c r="CC1438" s="935"/>
      <c r="CD1438" s="935"/>
      <c r="CE1438" s="935"/>
      <c r="CF1438" s="935"/>
      <c r="CG1438" s="935"/>
      <c r="CH1438" s="935"/>
      <c r="CI1438" s="935"/>
      <c r="CJ1438" s="935"/>
      <c r="CK1438" s="935"/>
      <c r="CL1438" s="935"/>
      <c r="CM1438" s="935"/>
      <c r="CN1438" s="935"/>
      <c r="CO1438" s="935"/>
      <c r="CP1438" s="935"/>
      <c r="CQ1438" s="935"/>
      <c r="CR1438" s="935"/>
      <c r="CS1438" s="935"/>
      <c r="CT1438" s="935"/>
      <c r="CU1438" s="935"/>
      <c r="CV1438" s="935"/>
    </row>
    <row r="1439" spans="1:100" s="441" customFormat="1">
      <c r="A1439" s="375">
        <f t="shared" si="388"/>
        <v>11</v>
      </c>
      <c r="B1439" s="862">
        <v>44526</v>
      </c>
      <c r="C1439" s="493" t="s">
        <v>2053</v>
      </c>
      <c r="D1439" s="376" t="str">
        <f>IFERROR(VLOOKUP(E:E,'Item Data Support Sheet'!A:O,7,0),"")</f>
        <v>NIPPLE PUNCH</v>
      </c>
      <c r="E1439" s="447" t="s">
        <v>2486</v>
      </c>
      <c r="F1439" s="500"/>
      <c r="G1439" s="497" t="s">
        <v>1692</v>
      </c>
      <c r="H1439" s="602" t="str">
        <f>IFERROR(VLOOKUP(E:E,'Item Data Support Sheet'!A:O,2,0),"")</f>
        <v>NIPPLE S TYPE LL SIZE PUNCHED</v>
      </c>
      <c r="I1439" s="501" t="s">
        <v>4217</v>
      </c>
      <c r="J1439" s="501" t="s">
        <v>3895</v>
      </c>
      <c r="K1439" s="499">
        <v>8</v>
      </c>
      <c r="L1439" s="499">
        <v>7000</v>
      </c>
      <c r="M1439" s="366">
        <v>875</v>
      </c>
      <c r="N1439" s="367">
        <f t="shared" si="387"/>
        <v>7000</v>
      </c>
      <c r="O1439" s="61">
        <v>7000</v>
      </c>
      <c r="P1439" s="368">
        <v>0</v>
      </c>
      <c r="Q1439" s="368">
        <v>0</v>
      </c>
      <c r="R1439" s="494">
        <v>0</v>
      </c>
      <c r="S1439" s="493">
        <v>0</v>
      </c>
      <c r="T1439" s="494">
        <v>0</v>
      </c>
      <c r="U1439" s="493">
        <v>0</v>
      </c>
      <c r="V1439" s="502">
        <v>1</v>
      </c>
      <c r="W1439" s="453">
        <f t="shared" si="389"/>
        <v>7000</v>
      </c>
      <c r="X1439" s="748">
        <f t="shared" si="390"/>
        <v>1</v>
      </c>
      <c r="Y1439" s="451" t="str">
        <f>IFERROR(VLOOKUP(E:E,'Item Data Support Sheet'!A:J,6,0),0)</f>
        <v>FO150</v>
      </c>
      <c r="Z1439" s="428">
        <f>IFERROR(VLOOKUP(E:E,'Item Data Support Sheet'!A:O,4,0),0)</f>
        <v>0</v>
      </c>
      <c r="AA1439" s="428">
        <f t="shared" si="391"/>
        <v>0</v>
      </c>
      <c r="AB1439" s="429" t="str">
        <f t="shared" si="392"/>
        <v xml:space="preserve"> </v>
      </c>
      <c r="AC1439" s="424">
        <f t="shared" si="393"/>
        <v>0</v>
      </c>
      <c r="AD1439" s="371">
        <f t="shared" si="394"/>
        <v>0</v>
      </c>
      <c r="AE1439" s="748">
        <f t="shared" si="395"/>
        <v>1</v>
      </c>
      <c r="AF1439" s="417">
        <f t="shared" si="396"/>
        <v>0.33333333333333331</v>
      </c>
      <c r="AG1439" s="416">
        <f t="shared" si="397"/>
        <v>7.666666666666667</v>
      </c>
      <c r="AH1439" s="372">
        <f t="shared" si="398"/>
        <v>0.95833333333333337</v>
      </c>
      <c r="AI1439" s="373">
        <f t="shared" si="399"/>
        <v>875</v>
      </c>
      <c r="AJ1439" s="418">
        <f>VLOOKUP(D1439,'Standard Cycle time'!C:D,2,0)</f>
        <v>3.5</v>
      </c>
      <c r="AK1439" s="418">
        <f t="shared" si="400"/>
        <v>3.9428571428571431</v>
      </c>
      <c r="AL1439" s="374">
        <f t="shared" si="401"/>
        <v>0.8876811594202898</v>
      </c>
      <c r="AM1439" s="372">
        <f t="shared" si="402"/>
        <v>0.85069444444444442</v>
      </c>
      <c r="AN1439" s="799">
        <v>0.85069444444444442</v>
      </c>
      <c r="AO1439" s="448"/>
      <c r="AP1439" s="440">
        <v>20</v>
      </c>
      <c r="AQ1439" s="440">
        <v>0</v>
      </c>
      <c r="AR1439" s="440">
        <v>0</v>
      </c>
      <c r="AS1439" s="440">
        <v>0</v>
      </c>
      <c r="AT1439" s="440">
        <v>0</v>
      </c>
      <c r="AU1439" s="440">
        <v>0</v>
      </c>
      <c r="AV1439" s="440">
        <v>0</v>
      </c>
      <c r="AW1439" s="440">
        <v>0</v>
      </c>
      <c r="AX1439" s="440">
        <v>0</v>
      </c>
      <c r="AY1439" s="440">
        <v>0</v>
      </c>
      <c r="AZ1439" s="440">
        <v>0</v>
      </c>
      <c r="BA1439" s="440">
        <v>0</v>
      </c>
      <c r="BB1439" s="440">
        <v>0</v>
      </c>
      <c r="BC1439" s="440">
        <v>0</v>
      </c>
      <c r="BD1439" s="440">
        <v>0</v>
      </c>
      <c r="BE1439" s="440">
        <v>0</v>
      </c>
      <c r="BF1439" s="440">
        <v>0</v>
      </c>
      <c r="BG1439" s="440">
        <v>0</v>
      </c>
      <c r="BH1439" s="440">
        <v>0</v>
      </c>
      <c r="BI1439" s="440">
        <v>0</v>
      </c>
      <c r="BJ1439" s="440">
        <v>0</v>
      </c>
      <c r="BK1439" s="440">
        <v>0</v>
      </c>
      <c r="BL1439" s="440">
        <v>0</v>
      </c>
      <c r="BM1439" s="440">
        <v>0</v>
      </c>
      <c r="BN1439" s="440">
        <v>0</v>
      </c>
      <c r="BO1439" s="440">
        <v>0</v>
      </c>
      <c r="BP1439" s="440">
        <v>0</v>
      </c>
      <c r="BQ1439" s="440">
        <v>0</v>
      </c>
      <c r="BR1439" s="415">
        <v>0.33333333333333331</v>
      </c>
      <c r="BS1439" s="415">
        <v>0.33333333333333331</v>
      </c>
      <c r="BT1439" s="935"/>
      <c r="BU1439" s="935"/>
      <c r="BV1439" s="935"/>
      <c r="BW1439" s="935"/>
      <c r="BX1439" s="935"/>
      <c r="BY1439" s="935"/>
      <c r="BZ1439" s="935"/>
      <c r="CA1439" s="935"/>
      <c r="CB1439" s="935"/>
      <c r="CC1439" s="935"/>
      <c r="CD1439" s="935"/>
      <c r="CE1439" s="935"/>
      <c r="CF1439" s="935"/>
      <c r="CG1439" s="935"/>
      <c r="CH1439" s="935"/>
      <c r="CI1439" s="935"/>
      <c r="CJ1439" s="935"/>
      <c r="CK1439" s="935"/>
      <c r="CL1439" s="935"/>
      <c r="CM1439" s="935"/>
      <c r="CN1439" s="935"/>
      <c r="CO1439" s="935"/>
      <c r="CP1439" s="935"/>
      <c r="CQ1439" s="935"/>
      <c r="CR1439" s="935"/>
      <c r="CS1439" s="935"/>
      <c r="CT1439" s="935"/>
      <c r="CU1439" s="935"/>
      <c r="CV1439" s="935"/>
    </row>
    <row r="1440" spans="1:100" s="441" customFormat="1">
      <c r="A1440" s="375">
        <f t="shared" si="388"/>
        <v>11</v>
      </c>
      <c r="B1440" s="862">
        <v>44526</v>
      </c>
      <c r="C1440" s="493" t="s">
        <v>2053</v>
      </c>
      <c r="D1440" s="376" t="str">
        <f>IFERROR(VLOOKUP(E:E,'Item Data Support Sheet'!A:O,7,0),"")</f>
        <v>NIPPLE LASER MARKING</v>
      </c>
      <c r="E1440" s="447" t="s">
        <v>2487</v>
      </c>
      <c r="F1440" s="500"/>
      <c r="G1440" s="497" t="s">
        <v>1812</v>
      </c>
      <c r="H1440" s="602" t="str">
        <f>IFERROR(VLOOKUP(E:E,'Item Data Support Sheet'!A:O,2,0),"")</f>
        <v>NIPPLE S TYPE LL SIZE LASER MARKED</v>
      </c>
      <c r="I1440" s="501" t="s">
        <v>4218</v>
      </c>
      <c r="J1440" s="501" t="s">
        <v>3895</v>
      </c>
      <c r="K1440" s="499">
        <v>8</v>
      </c>
      <c r="L1440" s="499">
        <v>7000</v>
      </c>
      <c r="M1440" s="366">
        <v>875</v>
      </c>
      <c r="N1440" s="367">
        <f t="shared" si="387"/>
        <v>6000</v>
      </c>
      <c r="O1440" s="61">
        <v>6000</v>
      </c>
      <c r="P1440" s="368">
        <v>0</v>
      </c>
      <c r="Q1440" s="368">
        <v>0</v>
      </c>
      <c r="R1440" s="494">
        <v>0</v>
      </c>
      <c r="S1440" s="493">
        <v>0</v>
      </c>
      <c r="T1440" s="494">
        <v>0</v>
      </c>
      <c r="U1440" s="493">
        <v>0</v>
      </c>
      <c r="V1440" s="502">
        <v>1</v>
      </c>
      <c r="W1440" s="453">
        <f t="shared" si="389"/>
        <v>6000</v>
      </c>
      <c r="X1440" s="748">
        <f t="shared" si="390"/>
        <v>0.8571428571428571</v>
      </c>
      <c r="Y1440" s="451" t="str">
        <f>IFERROR(VLOOKUP(E:E,'Item Data Support Sheet'!A:J,6,0),0)</f>
        <v>FO151</v>
      </c>
      <c r="Z1440" s="428">
        <f>IFERROR(VLOOKUP(E:E,'Item Data Support Sheet'!A:O,4,0),0)</f>
        <v>0</v>
      </c>
      <c r="AA1440" s="428">
        <f t="shared" si="391"/>
        <v>0</v>
      </c>
      <c r="AB1440" s="429" t="str">
        <f t="shared" si="392"/>
        <v xml:space="preserve"> </v>
      </c>
      <c r="AC1440" s="424">
        <f t="shared" si="393"/>
        <v>0</v>
      </c>
      <c r="AD1440" s="371">
        <f t="shared" si="394"/>
        <v>0</v>
      </c>
      <c r="AE1440" s="748">
        <f t="shared" si="395"/>
        <v>1</v>
      </c>
      <c r="AF1440" s="417">
        <f t="shared" si="396"/>
        <v>0.33333333333333331</v>
      </c>
      <c r="AG1440" s="416">
        <f t="shared" si="397"/>
        <v>7.666666666666667</v>
      </c>
      <c r="AH1440" s="372">
        <f t="shared" si="398"/>
        <v>0.95833333333333337</v>
      </c>
      <c r="AI1440" s="373">
        <f t="shared" si="399"/>
        <v>750</v>
      </c>
      <c r="AJ1440" s="418">
        <f>VLOOKUP(D1440,'Standard Cycle time'!C:D,2,0)</f>
        <v>3.5</v>
      </c>
      <c r="AK1440" s="418">
        <f t="shared" si="400"/>
        <v>4.5999999999999996</v>
      </c>
      <c r="AL1440" s="374">
        <f t="shared" si="401"/>
        <v>0.76086956521739135</v>
      </c>
      <c r="AM1440" s="372">
        <f t="shared" si="402"/>
        <v>0.72916666666666674</v>
      </c>
      <c r="AN1440" s="799">
        <v>0.72916666666666674</v>
      </c>
      <c r="AO1440" s="448"/>
      <c r="AP1440" s="440">
        <v>20</v>
      </c>
      <c r="AQ1440" s="440">
        <v>0</v>
      </c>
      <c r="AR1440" s="440">
        <v>0</v>
      </c>
      <c r="AS1440" s="440">
        <v>0</v>
      </c>
      <c r="AT1440" s="440">
        <v>0</v>
      </c>
      <c r="AU1440" s="440">
        <v>0</v>
      </c>
      <c r="AV1440" s="440">
        <v>0</v>
      </c>
      <c r="AW1440" s="440">
        <v>0</v>
      </c>
      <c r="AX1440" s="440">
        <v>0</v>
      </c>
      <c r="AY1440" s="440">
        <v>0</v>
      </c>
      <c r="AZ1440" s="440">
        <v>0</v>
      </c>
      <c r="BA1440" s="440">
        <v>0</v>
      </c>
      <c r="BB1440" s="440">
        <v>0</v>
      </c>
      <c r="BC1440" s="440">
        <v>0</v>
      </c>
      <c r="BD1440" s="440">
        <v>0</v>
      </c>
      <c r="BE1440" s="440">
        <v>0</v>
      </c>
      <c r="BF1440" s="440">
        <v>0</v>
      </c>
      <c r="BG1440" s="440">
        <v>0</v>
      </c>
      <c r="BH1440" s="440">
        <v>0</v>
      </c>
      <c r="BI1440" s="440">
        <v>0</v>
      </c>
      <c r="BJ1440" s="440">
        <v>0</v>
      </c>
      <c r="BK1440" s="440">
        <v>0</v>
      </c>
      <c r="BL1440" s="440">
        <v>0</v>
      </c>
      <c r="BM1440" s="440">
        <v>0</v>
      </c>
      <c r="BN1440" s="440">
        <v>0</v>
      </c>
      <c r="BO1440" s="440">
        <v>0</v>
      </c>
      <c r="BP1440" s="440">
        <v>0</v>
      </c>
      <c r="BQ1440" s="440">
        <v>0</v>
      </c>
      <c r="BR1440" s="415">
        <v>0.33333333333333331</v>
      </c>
      <c r="BS1440" s="415">
        <v>0.33333333333333331</v>
      </c>
      <c r="BT1440" s="935"/>
      <c r="BU1440" s="935"/>
      <c r="BV1440" s="935"/>
      <c r="BW1440" s="935"/>
      <c r="BX1440" s="935"/>
      <c r="BY1440" s="935"/>
      <c r="BZ1440" s="935"/>
      <c r="CA1440" s="935"/>
      <c r="CB1440" s="935"/>
      <c r="CC1440" s="935"/>
      <c r="CD1440" s="935"/>
      <c r="CE1440" s="935"/>
      <c r="CF1440" s="935"/>
      <c r="CG1440" s="935"/>
      <c r="CH1440" s="935"/>
      <c r="CI1440" s="935"/>
      <c r="CJ1440" s="935"/>
      <c r="CK1440" s="935"/>
      <c r="CL1440" s="935"/>
      <c r="CM1440" s="935"/>
      <c r="CN1440" s="935"/>
      <c r="CO1440" s="935"/>
      <c r="CP1440" s="935"/>
      <c r="CQ1440" s="935"/>
      <c r="CR1440" s="935"/>
      <c r="CS1440" s="935"/>
      <c r="CT1440" s="935"/>
      <c r="CU1440" s="935"/>
      <c r="CV1440" s="935"/>
    </row>
    <row r="1441" spans="1:100" s="441" customFormat="1">
      <c r="A1441" s="375">
        <f t="shared" si="388"/>
        <v>11</v>
      </c>
      <c r="B1441" s="862">
        <v>44526</v>
      </c>
      <c r="C1441" s="493" t="s">
        <v>2053</v>
      </c>
      <c r="D1441" s="376" t="str">
        <f>IFERROR(VLOOKUP(E:E,'Item Data Support Sheet'!A:O,7,0),"")</f>
        <v>NIPPLE MOLDED</v>
      </c>
      <c r="E1441" s="447" t="s">
        <v>74</v>
      </c>
      <c r="F1441" s="500" t="s">
        <v>1678</v>
      </c>
      <c r="G1441" s="497" t="s">
        <v>1691</v>
      </c>
      <c r="H1441" s="602" t="str">
        <f>IFERROR(VLOOKUP(E:E,'Item Data Support Sheet'!A:O,2,0),"")</f>
        <v>NIPPLE S TYPE L SIZE INJECTION</v>
      </c>
      <c r="I1441" s="501" t="s">
        <v>4216</v>
      </c>
      <c r="J1441" s="501" t="s">
        <v>3895</v>
      </c>
      <c r="K1441" s="499">
        <v>8</v>
      </c>
      <c r="L1441" s="499">
        <v>4815</v>
      </c>
      <c r="M1441" s="366">
        <v>601.875</v>
      </c>
      <c r="N1441" s="367">
        <f t="shared" si="387"/>
        <v>5665</v>
      </c>
      <c r="O1441" s="61">
        <v>5600</v>
      </c>
      <c r="P1441" s="368">
        <v>0</v>
      </c>
      <c r="Q1441" s="368">
        <v>0</v>
      </c>
      <c r="R1441" s="494">
        <v>0</v>
      </c>
      <c r="S1441" s="493">
        <v>0</v>
      </c>
      <c r="T1441" s="494">
        <v>65</v>
      </c>
      <c r="U1441" s="493">
        <v>0</v>
      </c>
      <c r="V1441" s="502">
        <v>1</v>
      </c>
      <c r="W1441" s="453">
        <f t="shared" si="389"/>
        <v>5600</v>
      </c>
      <c r="X1441" s="748">
        <f t="shared" si="390"/>
        <v>1.1630321910695742</v>
      </c>
      <c r="Y1441" s="451" t="str">
        <f>IFERROR(VLOOKUP(E:E,'Item Data Support Sheet'!A:J,6,0),0)</f>
        <v>Silicon</v>
      </c>
      <c r="Z1441" s="428">
        <f>IFERROR(VLOOKUP(E:E,'Item Data Support Sheet'!A:O,4,0),0)</f>
        <v>6.8</v>
      </c>
      <c r="AA1441" s="428">
        <f t="shared" si="391"/>
        <v>38.521999999999998</v>
      </c>
      <c r="AB1441" s="429">
        <f t="shared" si="392"/>
        <v>0.98852603706972642</v>
      </c>
      <c r="AC1441" s="424">
        <f t="shared" si="393"/>
        <v>1.1473962930273611E-2</v>
      </c>
      <c r="AD1441" s="371">
        <f t="shared" si="394"/>
        <v>0</v>
      </c>
      <c r="AE1441" s="748">
        <f t="shared" si="395"/>
        <v>0.98852603706972642</v>
      </c>
      <c r="AF1441" s="417">
        <f t="shared" si="396"/>
        <v>0</v>
      </c>
      <c r="AG1441" s="416">
        <f t="shared" si="397"/>
        <v>8</v>
      </c>
      <c r="AH1441" s="372">
        <f t="shared" si="398"/>
        <v>1</v>
      </c>
      <c r="AI1441" s="373">
        <f t="shared" si="399"/>
        <v>700</v>
      </c>
      <c r="AJ1441" s="418">
        <f>VLOOKUP(D1441,'Standard Cycle time'!C:D,2,0)</f>
        <v>5.25</v>
      </c>
      <c r="AK1441" s="418">
        <f t="shared" si="400"/>
        <v>5.1428571428571432</v>
      </c>
      <c r="AL1441" s="374">
        <f t="shared" si="401"/>
        <v>1.0208333333333333</v>
      </c>
      <c r="AM1441" s="372">
        <f t="shared" si="402"/>
        <v>1.009120329508679</v>
      </c>
      <c r="AN1441" s="799">
        <v>1.009120329508679</v>
      </c>
      <c r="AO1441" s="448"/>
      <c r="AP1441" s="440">
        <v>0</v>
      </c>
      <c r="AQ1441" s="440">
        <v>0</v>
      </c>
      <c r="AR1441" s="440">
        <v>0</v>
      </c>
      <c r="AS1441" s="440">
        <v>0</v>
      </c>
      <c r="AT1441" s="440">
        <v>0</v>
      </c>
      <c r="AU1441" s="440">
        <v>0</v>
      </c>
      <c r="AV1441" s="440">
        <v>0</v>
      </c>
      <c r="AW1441" s="440">
        <v>0</v>
      </c>
      <c r="AX1441" s="440">
        <v>0</v>
      </c>
      <c r="AY1441" s="440">
        <v>0</v>
      </c>
      <c r="AZ1441" s="440">
        <v>0</v>
      </c>
      <c r="BA1441" s="440">
        <v>0</v>
      </c>
      <c r="BB1441" s="440">
        <v>0</v>
      </c>
      <c r="BC1441" s="440">
        <v>0</v>
      </c>
      <c r="BD1441" s="440">
        <v>0</v>
      </c>
      <c r="BE1441" s="440">
        <v>0</v>
      </c>
      <c r="BF1441" s="440">
        <v>0</v>
      </c>
      <c r="BG1441" s="440">
        <v>0</v>
      </c>
      <c r="BH1441" s="440">
        <v>0</v>
      </c>
      <c r="BI1441" s="440">
        <v>0</v>
      </c>
      <c r="BJ1441" s="440">
        <v>0</v>
      </c>
      <c r="BK1441" s="440">
        <v>0</v>
      </c>
      <c r="BL1441" s="440">
        <v>0</v>
      </c>
      <c r="BM1441" s="440">
        <v>0</v>
      </c>
      <c r="BN1441" s="440">
        <v>0</v>
      </c>
      <c r="BO1441" s="440">
        <v>0</v>
      </c>
      <c r="BP1441" s="440">
        <v>0</v>
      </c>
      <c r="BQ1441" s="440">
        <v>0</v>
      </c>
      <c r="BR1441" s="415">
        <v>0</v>
      </c>
      <c r="BS1441" s="415">
        <v>0</v>
      </c>
      <c r="BT1441" s="935"/>
      <c r="BU1441" s="935"/>
      <c r="BV1441" s="935"/>
      <c r="BW1441" s="935"/>
      <c r="BX1441" s="935"/>
      <c r="BY1441" s="935"/>
      <c r="BZ1441" s="935"/>
      <c r="CA1441" s="935"/>
      <c r="CB1441" s="935"/>
      <c r="CC1441" s="935"/>
      <c r="CD1441" s="935"/>
      <c r="CE1441" s="935"/>
      <c r="CF1441" s="935"/>
      <c r="CG1441" s="935"/>
      <c r="CH1441" s="935"/>
      <c r="CI1441" s="935"/>
      <c r="CJ1441" s="935"/>
      <c r="CK1441" s="935"/>
      <c r="CL1441" s="935"/>
      <c r="CM1441" s="935"/>
      <c r="CN1441" s="935"/>
      <c r="CO1441" s="935"/>
      <c r="CP1441" s="935"/>
      <c r="CQ1441" s="935"/>
      <c r="CR1441" s="935"/>
      <c r="CS1441" s="935"/>
      <c r="CT1441" s="935"/>
      <c r="CU1441" s="935"/>
      <c r="CV1441" s="935"/>
    </row>
    <row r="1442" spans="1:100" s="441" customFormat="1">
      <c r="A1442" s="375">
        <f t="shared" si="388"/>
        <v>11</v>
      </c>
      <c r="B1442" s="862">
        <v>44526</v>
      </c>
      <c r="C1442" s="493" t="s">
        <v>2053</v>
      </c>
      <c r="D1442" s="376" t="str">
        <f>IFERROR(VLOOKUP(E:E,'Item Data Support Sheet'!A:O,7,0),"")</f>
        <v>BOTTLE MOLDED</v>
      </c>
      <c r="E1442" s="447" t="s">
        <v>66</v>
      </c>
      <c r="F1442" s="500" t="s">
        <v>1680</v>
      </c>
      <c r="G1442" s="497" t="s">
        <v>1888</v>
      </c>
      <c r="H1442" s="602" t="str">
        <f>IFERROR(VLOOKUP(E:E,'Item Data Support Sheet'!A:O,2,0),"")</f>
        <v>KPP 200 ML BOTTLE MOLDED</v>
      </c>
      <c r="I1442" s="501" t="s">
        <v>4219</v>
      </c>
      <c r="J1442" s="501" t="s">
        <v>3895</v>
      </c>
      <c r="K1442" s="499">
        <v>8</v>
      </c>
      <c r="L1442" s="499">
        <v>2574</v>
      </c>
      <c r="M1442" s="366">
        <v>321.75</v>
      </c>
      <c r="N1442" s="367">
        <f t="shared" si="387"/>
        <v>2439</v>
      </c>
      <c r="O1442" s="61">
        <v>2376</v>
      </c>
      <c r="P1442" s="368">
        <v>0.15</v>
      </c>
      <c r="Q1442" s="368">
        <v>20</v>
      </c>
      <c r="R1442" s="494">
        <v>0</v>
      </c>
      <c r="S1442" s="493">
        <v>0</v>
      </c>
      <c r="T1442" s="494">
        <v>35</v>
      </c>
      <c r="U1442" s="493">
        <v>8</v>
      </c>
      <c r="V1442" s="502">
        <v>1</v>
      </c>
      <c r="W1442" s="453">
        <f t="shared" si="389"/>
        <v>2376</v>
      </c>
      <c r="X1442" s="748">
        <f t="shared" si="390"/>
        <v>0.92307692307692313</v>
      </c>
      <c r="Y1442" s="451" t="str">
        <f>IFERROR(VLOOKUP(E:E,'Item Data Support Sheet'!A:J,6,0),0)</f>
        <v>HMC</v>
      </c>
      <c r="Z1442" s="428">
        <f>IFERROR(VLOOKUP(E:E,'Item Data Support Sheet'!A:O,4,0),0)</f>
        <v>28.1</v>
      </c>
      <c r="AA1442" s="428">
        <f t="shared" si="391"/>
        <v>68.685900000000004</v>
      </c>
      <c r="AB1442" s="429">
        <f t="shared" si="392"/>
        <v>0.97204229689062827</v>
      </c>
      <c r="AC1442" s="424">
        <f t="shared" si="393"/>
        <v>1.4516798009124844E-2</v>
      </c>
      <c r="AD1442" s="371">
        <f t="shared" si="394"/>
        <v>8.1333875559170387E-3</v>
      </c>
      <c r="AE1442" s="748">
        <f t="shared" si="395"/>
        <v>0.98564985649856496</v>
      </c>
      <c r="AF1442" s="417">
        <f t="shared" si="396"/>
        <v>0</v>
      </c>
      <c r="AG1442" s="416">
        <f t="shared" si="397"/>
        <v>8</v>
      </c>
      <c r="AH1442" s="372">
        <f t="shared" si="398"/>
        <v>1</v>
      </c>
      <c r="AI1442" s="373">
        <f t="shared" si="399"/>
        <v>297</v>
      </c>
      <c r="AJ1442" s="418">
        <f>VLOOKUP(D1442,'Standard Cycle time'!C:D,2,0)</f>
        <v>9</v>
      </c>
      <c r="AK1442" s="418">
        <f t="shared" si="400"/>
        <v>12.121212121212121</v>
      </c>
      <c r="AL1442" s="374">
        <f t="shared" si="401"/>
        <v>0.74250000000000005</v>
      </c>
      <c r="AM1442" s="372">
        <f t="shared" si="402"/>
        <v>0.73184501845018457</v>
      </c>
      <c r="AN1442" s="799">
        <v>0.73184501845018457</v>
      </c>
      <c r="AO1442" s="448"/>
      <c r="AP1442" s="440">
        <v>0</v>
      </c>
      <c r="AQ1442" s="440">
        <v>0</v>
      </c>
      <c r="AR1442" s="440">
        <v>0</v>
      </c>
      <c r="AS1442" s="440">
        <v>0</v>
      </c>
      <c r="AT1442" s="440">
        <v>0</v>
      </c>
      <c r="AU1442" s="440">
        <v>0</v>
      </c>
      <c r="AV1442" s="440">
        <v>0</v>
      </c>
      <c r="AW1442" s="440">
        <v>0</v>
      </c>
      <c r="AX1442" s="440">
        <v>0</v>
      </c>
      <c r="AY1442" s="440">
        <v>0</v>
      </c>
      <c r="AZ1442" s="440">
        <v>0</v>
      </c>
      <c r="BA1442" s="440">
        <v>0</v>
      </c>
      <c r="BB1442" s="440">
        <v>0</v>
      </c>
      <c r="BC1442" s="440">
        <v>0</v>
      </c>
      <c r="BD1442" s="440">
        <v>0</v>
      </c>
      <c r="BE1442" s="440">
        <v>0</v>
      </c>
      <c r="BF1442" s="440">
        <v>0</v>
      </c>
      <c r="BG1442" s="440">
        <v>0</v>
      </c>
      <c r="BH1442" s="440">
        <v>0</v>
      </c>
      <c r="BI1442" s="440">
        <v>0</v>
      </c>
      <c r="BJ1442" s="440">
        <v>0</v>
      </c>
      <c r="BK1442" s="440">
        <v>0</v>
      </c>
      <c r="BL1442" s="440">
        <v>0</v>
      </c>
      <c r="BM1442" s="440">
        <v>0</v>
      </c>
      <c r="BN1442" s="440">
        <v>0</v>
      </c>
      <c r="BO1442" s="440">
        <v>0</v>
      </c>
      <c r="BP1442" s="440">
        <v>0</v>
      </c>
      <c r="BQ1442" s="440">
        <v>0</v>
      </c>
      <c r="BR1442" s="415">
        <v>0</v>
      </c>
      <c r="BS1442" s="415">
        <v>0</v>
      </c>
      <c r="BT1442" s="935"/>
      <c r="BU1442" s="935"/>
      <c r="BV1442" s="935"/>
      <c r="BW1442" s="935"/>
      <c r="BX1442" s="935"/>
      <c r="BY1442" s="935"/>
      <c r="BZ1442" s="935"/>
      <c r="CA1442" s="935"/>
      <c r="CB1442" s="935"/>
      <c r="CC1442" s="935"/>
      <c r="CD1442" s="935"/>
      <c r="CE1442" s="935"/>
      <c r="CF1442" s="935"/>
      <c r="CG1442" s="935"/>
      <c r="CH1442" s="935"/>
      <c r="CI1442" s="935"/>
      <c r="CJ1442" s="935"/>
      <c r="CK1442" s="935"/>
      <c r="CL1442" s="935"/>
      <c r="CM1442" s="935"/>
      <c r="CN1442" s="935"/>
      <c r="CO1442" s="935"/>
      <c r="CP1442" s="935"/>
      <c r="CQ1442" s="935"/>
      <c r="CR1442" s="935"/>
      <c r="CS1442" s="935"/>
      <c r="CT1442" s="935"/>
      <c r="CU1442" s="935"/>
      <c r="CV1442" s="935"/>
    </row>
    <row r="1443" spans="1:100" s="441" customFormat="1">
      <c r="A1443" s="375">
        <f t="shared" si="388"/>
        <v>11</v>
      </c>
      <c r="B1443" s="862">
        <v>44526</v>
      </c>
      <c r="C1443" s="493" t="s">
        <v>2053</v>
      </c>
      <c r="D1443" s="376" t="str">
        <f>IFERROR(VLOOKUP(E:E,'Item Data Support Sheet'!A:O,7,0),"")</f>
        <v>CAP MOLDED</v>
      </c>
      <c r="E1443" s="447" t="s">
        <v>2107</v>
      </c>
      <c r="F1443" s="500" t="s">
        <v>4191</v>
      </c>
      <c r="G1443" s="497"/>
      <c r="H1443" s="602" t="str">
        <f>IFERROR(VLOOKUP(E:E,'Item Data Support Sheet'!A:O,2,0),"")</f>
        <v>CAP S TYPE MOLDED PINK</v>
      </c>
      <c r="I1443" s="501" t="s">
        <v>4220</v>
      </c>
      <c r="J1443" s="501" t="s">
        <v>3895</v>
      </c>
      <c r="K1443" s="499">
        <v>5.2</v>
      </c>
      <c r="L1443" s="499">
        <v>2687</v>
      </c>
      <c r="M1443" s="366">
        <v>516.73076923076917</v>
      </c>
      <c r="N1443" s="367">
        <f t="shared" si="387"/>
        <v>3350</v>
      </c>
      <c r="O1443" s="61">
        <v>3350</v>
      </c>
      <c r="P1443" s="368">
        <v>0</v>
      </c>
      <c r="Q1443" s="368">
        <v>0</v>
      </c>
      <c r="R1443" s="494">
        <v>0</v>
      </c>
      <c r="S1443" s="493">
        <v>0</v>
      </c>
      <c r="T1443" s="494">
        <v>0</v>
      </c>
      <c r="U1443" s="493">
        <v>0</v>
      </c>
      <c r="V1443" s="502">
        <v>1</v>
      </c>
      <c r="W1443" s="453">
        <f t="shared" si="389"/>
        <v>3350</v>
      </c>
      <c r="X1443" s="748">
        <f t="shared" si="390"/>
        <v>1.2467435802009676</v>
      </c>
      <c r="Y1443" s="451" t="str">
        <f>IFERROR(VLOOKUP(E:E,'Item Data Support Sheet'!A:J,6,0),0)</f>
        <v>RM000123</v>
      </c>
      <c r="Z1443" s="428">
        <f>IFERROR(VLOOKUP(E:E,'Item Data Support Sheet'!A:O,4,0),0)</f>
        <v>7.3</v>
      </c>
      <c r="AA1443" s="428">
        <f t="shared" si="391"/>
        <v>24.455000000000002</v>
      </c>
      <c r="AB1443" s="429">
        <f t="shared" si="392"/>
        <v>1</v>
      </c>
      <c r="AC1443" s="424">
        <f t="shared" si="393"/>
        <v>0</v>
      </c>
      <c r="AD1443" s="371">
        <f t="shared" si="394"/>
        <v>0</v>
      </c>
      <c r="AE1443" s="748">
        <f t="shared" si="395"/>
        <v>1</v>
      </c>
      <c r="AF1443" s="417">
        <f t="shared" si="396"/>
        <v>0</v>
      </c>
      <c r="AG1443" s="416">
        <f t="shared" si="397"/>
        <v>5.2</v>
      </c>
      <c r="AH1443" s="372">
        <f t="shared" si="398"/>
        <v>1</v>
      </c>
      <c r="AI1443" s="373">
        <f t="shared" si="399"/>
        <v>644.23076923076917</v>
      </c>
      <c r="AJ1443" s="418">
        <f>VLOOKUP(D1443,'Standard Cycle time'!C:D,2,0)</f>
        <v>6</v>
      </c>
      <c r="AK1443" s="418">
        <f t="shared" si="400"/>
        <v>5.5880597014925373</v>
      </c>
      <c r="AL1443" s="374">
        <f t="shared" si="401"/>
        <v>1.0737179487179487</v>
      </c>
      <c r="AM1443" s="372">
        <f t="shared" si="402"/>
        <v>1.0737179487179487</v>
      </c>
      <c r="AN1443" s="799">
        <v>1.0737179487179487</v>
      </c>
      <c r="AO1443" s="448"/>
      <c r="AP1443" s="440">
        <v>0</v>
      </c>
      <c r="AQ1443" s="440">
        <v>0</v>
      </c>
      <c r="AR1443" s="440">
        <v>0</v>
      </c>
      <c r="AS1443" s="440">
        <v>0</v>
      </c>
      <c r="AT1443" s="440">
        <v>0</v>
      </c>
      <c r="AU1443" s="440">
        <v>0</v>
      </c>
      <c r="AV1443" s="440">
        <v>0</v>
      </c>
      <c r="AW1443" s="440">
        <v>0</v>
      </c>
      <c r="AX1443" s="440">
        <v>0</v>
      </c>
      <c r="AY1443" s="440">
        <v>0</v>
      </c>
      <c r="AZ1443" s="440">
        <v>0</v>
      </c>
      <c r="BA1443" s="440">
        <v>0</v>
      </c>
      <c r="BB1443" s="440">
        <v>0</v>
      </c>
      <c r="BC1443" s="440">
        <v>0</v>
      </c>
      <c r="BD1443" s="440">
        <v>0</v>
      </c>
      <c r="BE1443" s="440">
        <v>0</v>
      </c>
      <c r="BF1443" s="440">
        <v>0</v>
      </c>
      <c r="BG1443" s="440">
        <v>0</v>
      </c>
      <c r="BH1443" s="440">
        <v>0</v>
      </c>
      <c r="BI1443" s="440">
        <v>0</v>
      </c>
      <c r="BJ1443" s="440">
        <v>0</v>
      </c>
      <c r="BK1443" s="440">
        <v>0</v>
      </c>
      <c r="BL1443" s="440">
        <v>0</v>
      </c>
      <c r="BM1443" s="440">
        <v>0</v>
      </c>
      <c r="BN1443" s="440">
        <v>0</v>
      </c>
      <c r="BO1443" s="440">
        <v>0</v>
      </c>
      <c r="BP1443" s="440">
        <v>0</v>
      </c>
      <c r="BQ1443" s="440">
        <v>0</v>
      </c>
      <c r="BR1443" s="415">
        <v>0</v>
      </c>
      <c r="BS1443" s="415">
        <v>0</v>
      </c>
      <c r="BT1443" s="935"/>
      <c r="BU1443" s="935"/>
      <c r="BV1443" s="935"/>
      <c r="BW1443" s="935"/>
      <c r="BX1443" s="935"/>
      <c r="BY1443" s="935"/>
      <c r="BZ1443" s="935"/>
      <c r="CA1443" s="935"/>
      <c r="CB1443" s="935"/>
      <c r="CC1443" s="935"/>
      <c r="CD1443" s="935"/>
      <c r="CE1443" s="935"/>
      <c r="CF1443" s="935"/>
      <c r="CG1443" s="935"/>
      <c r="CH1443" s="935"/>
      <c r="CI1443" s="935"/>
      <c r="CJ1443" s="935"/>
      <c r="CK1443" s="935"/>
      <c r="CL1443" s="935"/>
      <c r="CM1443" s="935"/>
      <c r="CN1443" s="935"/>
      <c r="CO1443" s="935"/>
      <c r="CP1443" s="935"/>
      <c r="CQ1443" s="935"/>
      <c r="CR1443" s="935"/>
      <c r="CS1443" s="935"/>
      <c r="CT1443" s="935"/>
      <c r="CU1443" s="935"/>
      <c r="CV1443" s="935"/>
    </row>
    <row r="1444" spans="1:100" s="441" customFormat="1">
      <c r="A1444" s="375">
        <f t="shared" si="388"/>
        <v>11</v>
      </c>
      <c r="B1444" s="862">
        <v>44527</v>
      </c>
      <c r="C1444" s="493" t="s">
        <v>1980</v>
      </c>
      <c r="D1444" s="376" t="str">
        <f>IFERROR(VLOOKUP(E:E,'Item Data Support Sheet'!A:O,7,0),"")</f>
        <v>NIPPLE MOLDED</v>
      </c>
      <c r="E1444" s="447" t="s">
        <v>2484</v>
      </c>
      <c r="F1444" s="500" t="s">
        <v>1677</v>
      </c>
      <c r="G1444" s="497" t="s">
        <v>1690</v>
      </c>
      <c r="H1444" s="602" t="str">
        <f>IFERROR(VLOOKUP(E:E,'Item Data Support Sheet'!A:O,2,0),"")</f>
        <v>NIPPLE S TYPE LL SIZE INJECTION</v>
      </c>
      <c r="I1444" s="501" t="s">
        <v>4221</v>
      </c>
      <c r="J1444" s="501" t="s">
        <v>2808</v>
      </c>
      <c r="K1444" s="499">
        <v>8</v>
      </c>
      <c r="L1444" s="499">
        <v>3611</v>
      </c>
      <c r="M1444" s="366">
        <v>451.375</v>
      </c>
      <c r="N1444" s="367">
        <f t="shared" si="387"/>
        <v>1032</v>
      </c>
      <c r="O1444" s="61">
        <v>1000</v>
      </c>
      <c r="P1444" s="368">
        <v>0</v>
      </c>
      <c r="Q1444" s="368">
        <v>0</v>
      </c>
      <c r="R1444" s="494">
        <v>0</v>
      </c>
      <c r="S1444" s="493">
        <v>0</v>
      </c>
      <c r="T1444" s="494">
        <v>20</v>
      </c>
      <c r="U1444" s="493">
        <v>12</v>
      </c>
      <c r="V1444" s="502">
        <v>1</v>
      </c>
      <c r="W1444" s="453">
        <f t="shared" si="389"/>
        <v>1000</v>
      </c>
      <c r="X1444" s="748">
        <f t="shared" si="390"/>
        <v>0.27693159789531985</v>
      </c>
      <c r="Y1444" s="451" t="str">
        <f>IFERROR(VLOOKUP(E:E,'Item Data Support Sheet'!A:J,6,0),0)</f>
        <v>FO148</v>
      </c>
      <c r="Z1444" s="428">
        <f>IFERROR(VLOOKUP(E:E,'Item Data Support Sheet'!A:O,4,0),0)</f>
        <v>6.8</v>
      </c>
      <c r="AA1444" s="428">
        <f t="shared" si="391"/>
        <v>7.0175999999999998</v>
      </c>
      <c r="AB1444" s="429">
        <f t="shared" si="392"/>
        <v>0.96899224806201545</v>
      </c>
      <c r="AC1444" s="424">
        <f t="shared" si="393"/>
        <v>1.9607843137254902E-2</v>
      </c>
      <c r="AD1444" s="371">
        <f t="shared" si="394"/>
        <v>0</v>
      </c>
      <c r="AE1444" s="748">
        <f t="shared" si="395"/>
        <v>0.98062015503875966</v>
      </c>
      <c r="AF1444" s="417">
        <f t="shared" si="396"/>
        <v>4</v>
      </c>
      <c r="AG1444" s="416">
        <f t="shared" si="397"/>
        <v>4</v>
      </c>
      <c r="AH1444" s="372">
        <f t="shared" si="398"/>
        <v>0.5</v>
      </c>
      <c r="AI1444" s="373">
        <f t="shared" si="399"/>
        <v>125</v>
      </c>
      <c r="AJ1444" s="418">
        <f>VLOOKUP(D1444,'Standard Cycle time'!C:D,2,0)</f>
        <v>5.25</v>
      </c>
      <c r="AK1444" s="418">
        <f t="shared" si="400"/>
        <v>14.4</v>
      </c>
      <c r="AL1444" s="374">
        <f t="shared" si="401"/>
        <v>0.36458333333333331</v>
      </c>
      <c r="AM1444" s="372">
        <f t="shared" si="402"/>
        <v>0.17875888242894056</v>
      </c>
      <c r="AN1444" s="799">
        <v>0.17875888242894056</v>
      </c>
      <c r="AO1444" s="448" t="s">
        <v>4222</v>
      </c>
      <c r="AP1444" s="440">
        <v>0</v>
      </c>
      <c r="AQ1444" s="440">
        <v>0</v>
      </c>
      <c r="AR1444" s="440">
        <v>0</v>
      </c>
      <c r="AS1444" s="440">
        <v>0</v>
      </c>
      <c r="AT1444" s="440">
        <v>0</v>
      </c>
      <c r="AU1444" s="440">
        <v>0</v>
      </c>
      <c r="AV1444" s="440">
        <v>0</v>
      </c>
      <c r="AW1444" s="440">
        <v>0</v>
      </c>
      <c r="AX1444" s="440">
        <v>0</v>
      </c>
      <c r="AY1444" s="440">
        <v>0</v>
      </c>
      <c r="AZ1444" s="440">
        <v>0</v>
      </c>
      <c r="BA1444" s="440">
        <v>0</v>
      </c>
      <c r="BB1444" s="440">
        <v>0</v>
      </c>
      <c r="BC1444" s="440">
        <v>0</v>
      </c>
      <c r="BD1444" s="440">
        <v>0</v>
      </c>
      <c r="BE1444" s="440">
        <v>0</v>
      </c>
      <c r="BF1444" s="440">
        <v>0</v>
      </c>
      <c r="BG1444" s="440">
        <v>0</v>
      </c>
      <c r="BH1444" s="440">
        <v>0</v>
      </c>
      <c r="BI1444" s="440">
        <v>0</v>
      </c>
      <c r="BJ1444" s="440">
        <v>0</v>
      </c>
      <c r="BK1444" s="440">
        <v>240</v>
      </c>
      <c r="BL1444" s="440">
        <v>0</v>
      </c>
      <c r="BM1444" s="440">
        <v>0</v>
      </c>
      <c r="BN1444" s="440">
        <v>0</v>
      </c>
      <c r="BO1444" s="440">
        <v>0</v>
      </c>
      <c r="BP1444" s="440">
        <v>0</v>
      </c>
      <c r="BQ1444" s="440">
        <v>0</v>
      </c>
      <c r="BR1444" s="415">
        <v>4</v>
      </c>
      <c r="BS1444" s="415">
        <v>4</v>
      </c>
      <c r="BT1444" s="935"/>
      <c r="BU1444" s="935"/>
      <c r="BV1444" s="935"/>
      <c r="BW1444" s="935"/>
      <c r="BX1444" s="935"/>
      <c r="BY1444" s="935"/>
      <c r="BZ1444" s="935"/>
      <c r="CA1444" s="935"/>
      <c r="CB1444" s="935"/>
      <c r="CC1444" s="935"/>
      <c r="CD1444" s="935"/>
      <c r="CE1444" s="935"/>
      <c r="CF1444" s="935"/>
      <c r="CG1444" s="935"/>
      <c r="CH1444" s="935"/>
      <c r="CI1444" s="935"/>
      <c r="CJ1444" s="935"/>
      <c r="CK1444" s="935"/>
      <c r="CL1444" s="935"/>
      <c r="CM1444" s="935"/>
      <c r="CN1444" s="935"/>
      <c r="CO1444" s="935"/>
      <c r="CP1444" s="935"/>
      <c r="CQ1444" s="935"/>
      <c r="CR1444" s="935"/>
      <c r="CS1444" s="935"/>
      <c r="CT1444" s="935"/>
      <c r="CU1444" s="935"/>
      <c r="CV1444" s="935"/>
    </row>
    <row r="1445" spans="1:100" s="441" customFormat="1">
      <c r="A1445" s="375">
        <f t="shared" si="388"/>
        <v>11</v>
      </c>
      <c r="B1445" s="862">
        <v>44527</v>
      </c>
      <c r="C1445" s="493" t="s">
        <v>1980</v>
      </c>
      <c r="D1445" s="376" t="str">
        <f>IFERROR(VLOOKUP(E:E,'Item Data Support Sheet'!A:O,7,0),"")</f>
        <v>NIPPLE MOLDED</v>
      </c>
      <c r="E1445" s="447" t="s">
        <v>74</v>
      </c>
      <c r="F1445" s="500" t="s">
        <v>1678</v>
      </c>
      <c r="G1445" s="497" t="s">
        <v>1691</v>
      </c>
      <c r="H1445" s="602" t="str">
        <f>IFERROR(VLOOKUP(E:E,'Item Data Support Sheet'!A:O,2,0),"")</f>
        <v>NIPPLE S TYPE L SIZE INJECTION</v>
      </c>
      <c r="I1445" s="501" t="s">
        <v>4221</v>
      </c>
      <c r="J1445" s="501" t="s">
        <v>2808</v>
      </c>
      <c r="K1445" s="499">
        <v>8</v>
      </c>
      <c r="L1445" s="499">
        <v>4815</v>
      </c>
      <c r="M1445" s="366">
        <v>601.875</v>
      </c>
      <c r="N1445" s="367">
        <f t="shared" si="387"/>
        <v>5805</v>
      </c>
      <c r="O1445" s="61">
        <v>5700</v>
      </c>
      <c r="P1445" s="368">
        <v>0</v>
      </c>
      <c r="Q1445" s="368">
        <v>50</v>
      </c>
      <c r="R1445" s="494">
        <v>0</v>
      </c>
      <c r="S1445" s="493">
        <v>0</v>
      </c>
      <c r="T1445" s="494">
        <v>39</v>
      </c>
      <c r="U1445" s="493">
        <v>16</v>
      </c>
      <c r="V1445" s="502">
        <v>1</v>
      </c>
      <c r="W1445" s="453">
        <f t="shared" si="389"/>
        <v>5700</v>
      </c>
      <c r="X1445" s="748">
        <f t="shared" si="390"/>
        <v>1.1838006230529594</v>
      </c>
      <c r="Y1445" s="451" t="str">
        <f>IFERROR(VLOOKUP(E:E,'Item Data Support Sheet'!A:J,6,0),0)</f>
        <v>Silicon</v>
      </c>
      <c r="Z1445" s="428">
        <f>IFERROR(VLOOKUP(E:E,'Item Data Support Sheet'!A:O,4,0),0)</f>
        <v>6.8</v>
      </c>
      <c r="AA1445" s="428">
        <f t="shared" si="391"/>
        <v>39.473999999999997</v>
      </c>
      <c r="AB1445" s="429">
        <f t="shared" si="392"/>
        <v>0.98191214470284238</v>
      </c>
      <c r="AC1445" s="424">
        <f t="shared" si="393"/>
        <v>6.7956089911134342E-3</v>
      </c>
      <c r="AD1445" s="371">
        <f t="shared" si="394"/>
        <v>8.539709649871904E-3</v>
      </c>
      <c r="AE1445" s="748">
        <f t="shared" si="395"/>
        <v>0.99328165374677002</v>
      </c>
      <c r="AF1445" s="417">
        <f t="shared" si="396"/>
        <v>0</v>
      </c>
      <c r="AG1445" s="416">
        <f t="shared" si="397"/>
        <v>8</v>
      </c>
      <c r="AH1445" s="372">
        <f t="shared" si="398"/>
        <v>1</v>
      </c>
      <c r="AI1445" s="373">
        <f t="shared" si="399"/>
        <v>712.5</v>
      </c>
      <c r="AJ1445" s="418">
        <f>VLOOKUP(D1445,'Standard Cycle time'!C:D,2,0)</f>
        <v>5.25</v>
      </c>
      <c r="AK1445" s="418">
        <f t="shared" si="400"/>
        <v>5.0526315789473681</v>
      </c>
      <c r="AL1445" s="374">
        <f t="shared" si="401"/>
        <v>1.0390625</v>
      </c>
      <c r="AM1445" s="372">
        <f t="shared" si="402"/>
        <v>1.0320817183462532</v>
      </c>
      <c r="AN1445" s="799">
        <v>1.0320817183462532</v>
      </c>
      <c r="AO1445" s="448"/>
      <c r="AP1445" s="440">
        <v>0</v>
      </c>
      <c r="AQ1445" s="440">
        <v>0</v>
      </c>
      <c r="AR1445" s="440">
        <v>0</v>
      </c>
      <c r="AS1445" s="440">
        <v>0</v>
      </c>
      <c r="AT1445" s="440">
        <v>0</v>
      </c>
      <c r="AU1445" s="440">
        <v>0</v>
      </c>
      <c r="AV1445" s="440">
        <v>0</v>
      </c>
      <c r="AW1445" s="440">
        <v>0</v>
      </c>
      <c r="AX1445" s="440">
        <v>0</v>
      </c>
      <c r="AY1445" s="440">
        <v>0</v>
      </c>
      <c r="AZ1445" s="440">
        <v>0</v>
      </c>
      <c r="BA1445" s="440">
        <v>0</v>
      </c>
      <c r="BB1445" s="440">
        <v>0</v>
      </c>
      <c r="BC1445" s="440">
        <v>0</v>
      </c>
      <c r="BD1445" s="440">
        <v>0</v>
      </c>
      <c r="BE1445" s="440">
        <v>0</v>
      </c>
      <c r="BF1445" s="440">
        <v>0</v>
      </c>
      <c r="BG1445" s="440">
        <v>0</v>
      </c>
      <c r="BH1445" s="440">
        <v>0</v>
      </c>
      <c r="BI1445" s="440">
        <v>0</v>
      </c>
      <c r="BJ1445" s="440">
        <v>0</v>
      </c>
      <c r="BK1445" s="440">
        <v>0</v>
      </c>
      <c r="BL1445" s="440">
        <v>0</v>
      </c>
      <c r="BM1445" s="440">
        <v>0</v>
      </c>
      <c r="BN1445" s="440">
        <v>0</v>
      </c>
      <c r="BO1445" s="440">
        <v>0</v>
      </c>
      <c r="BP1445" s="440">
        <v>0</v>
      </c>
      <c r="BQ1445" s="440">
        <v>0</v>
      </c>
      <c r="BR1445" s="415">
        <v>0</v>
      </c>
      <c r="BS1445" s="415">
        <v>0</v>
      </c>
      <c r="BT1445" s="935"/>
      <c r="BU1445" s="935"/>
      <c r="BV1445" s="935"/>
      <c r="BW1445" s="935"/>
      <c r="BX1445" s="935"/>
      <c r="BY1445" s="935"/>
      <c r="BZ1445" s="935"/>
      <c r="CA1445" s="935"/>
      <c r="CB1445" s="935"/>
      <c r="CC1445" s="935"/>
      <c r="CD1445" s="935"/>
      <c r="CE1445" s="935"/>
      <c r="CF1445" s="935"/>
      <c r="CG1445" s="935"/>
      <c r="CH1445" s="935"/>
      <c r="CI1445" s="935"/>
      <c r="CJ1445" s="935"/>
      <c r="CK1445" s="935"/>
      <c r="CL1445" s="935"/>
      <c r="CM1445" s="935"/>
      <c r="CN1445" s="935"/>
      <c r="CO1445" s="935"/>
      <c r="CP1445" s="935"/>
      <c r="CQ1445" s="935"/>
      <c r="CR1445" s="935"/>
      <c r="CS1445" s="935"/>
      <c r="CT1445" s="935"/>
      <c r="CU1445" s="935"/>
      <c r="CV1445" s="935"/>
    </row>
    <row r="1446" spans="1:100" s="441" customFormat="1">
      <c r="A1446" s="375">
        <f t="shared" si="388"/>
        <v>11</v>
      </c>
      <c r="B1446" s="862">
        <v>44527</v>
      </c>
      <c r="C1446" s="493" t="s">
        <v>1980</v>
      </c>
      <c r="D1446" s="376" t="str">
        <f>IFERROR(VLOOKUP(E:E,'Item Data Support Sheet'!A:O,7,0),"")</f>
        <v>BOTTLE MOLDED</v>
      </c>
      <c r="E1446" s="447" t="s">
        <v>66</v>
      </c>
      <c r="F1446" s="500" t="s">
        <v>1664</v>
      </c>
      <c r="G1446" s="497" t="s">
        <v>1888</v>
      </c>
      <c r="H1446" s="602" t="str">
        <f>IFERROR(VLOOKUP(E:E,'Item Data Support Sheet'!A:O,2,0),"")</f>
        <v>KPP 200 ML BOTTLE MOLDED</v>
      </c>
      <c r="I1446" s="501" t="s">
        <v>4223</v>
      </c>
      <c r="J1446" s="501" t="s">
        <v>2808</v>
      </c>
      <c r="K1446" s="499">
        <v>8</v>
      </c>
      <c r="L1446" s="499">
        <v>2574</v>
      </c>
      <c r="M1446" s="366">
        <v>321.75</v>
      </c>
      <c r="N1446" s="367">
        <f t="shared" si="387"/>
        <v>2983</v>
      </c>
      <c r="O1446" s="61">
        <v>2916</v>
      </c>
      <c r="P1446" s="368">
        <v>0</v>
      </c>
      <c r="Q1446" s="368">
        <v>19</v>
      </c>
      <c r="R1446" s="494">
        <v>0</v>
      </c>
      <c r="S1446" s="493">
        <v>0</v>
      </c>
      <c r="T1446" s="494">
        <v>40</v>
      </c>
      <c r="U1446" s="493">
        <v>8</v>
      </c>
      <c r="V1446" s="502">
        <v>1</v>
      </c>
      <c r="W1446" s="453">
        <f t="shared" si="389"/>
        <v>2916</v>
      </c>
      <c r="X1446" s="748">
        <f t="shared" si="390"/>
        <v>1.1328671328671329</v>
      </c>
      <c r="Y1446" s="451" t="str">
        <f>IFERROR(VLOOKUP(E:E,'Item Data Support Sheet'!A:J,6,0),0)</f>
        <v>HMC</v>
      </c>
      <c r="Z1446" s="428">
        <f>IFERROR(VLOOKUP(E:E,'Item Data Support Sheet'!A:O,4,0),0)</f>
        <v>28.1</v>
      </c>
      <c r="AA1446" s="428">
        <f t="shared" si="391"/>
        <v>83.822299999999998</v>
      </c>
      <c r="AB1446" s="429">
        <f t="shared" si="392"/>
        <v>0.97753938987596378</v>
      </c>
      <c r="AC1446" s="424">
        <f t="shared" si="393"/>
        <v>1.3531799729364006E-2</v>
      </c>
      <c r="AD1446" s="371">
        <f t="shared" si="394"/>
        <v>6.3291139240506328E-3</v>
      </c>
      <c r="AE1446" s="748">
        <f t="shared" si="395"/>
        <v>0.9865906805229635</v>
      </c>
      <c r="AF1446" s="417">
        <f t="shared" si="396"/>
        <v>0</v>
      </c>
      <c r="AG1446" s="416">
        <f t="shared" si="397"/>
        <v>8</v>
      </c>
      <c r="AH1446" s="372">
        <f t="shared" si="398"/>
        <v>1</v>
      </c>
      <c r="AI1446" s="373">
        <f t="shared" si="399"/>
        <v>364.5</v>
      </c>
      <c r="AJ1446" s="418">
        <f>VLOOKUP(D1446,'Standard Cycle time'!C:D,2,0)</f>
        <v>9</v>
      </c>
      <c r="AK1446" s="418">
        <f t="shared" si="400"/>
        <v>9.8765432098765427</v>
      </c>
      <c r="AL1446" s="374">
        <f t="shared" si="401"/>
        <v>0.91125</v>
      </c>
      <c r="AM1446" s="372">
        <f t="shared" si="402"/>
        <v>0.89903075762655049</v>
      </c>
      <c r="AN1446" s="799">
        <v>0.89903075762655049</v>
      </c>
      <c r="AO1446" s="448"/>
      <c r="AP1446" s="440">
        <v>0</v>
      </c>
      <c r="AQ1446" s="440">
        <v>0</v>
      </c>
      <c r="AR1446" s="440">
        <v>0</v>
      </c>
      <c r="AS1446" s="440">
        <v>0</v>
      </c>
      <c r="AT1446" s="440">
        <v>0</v>
      </c>
      <c r="AU1446" s="440">
        <v>0</v>
      </c>
      <c r="AV1446" s="440">
        <v>0</v>
      </c>
      <c r="AW1446" s="440">
        <v>0</v>
      </c>
      <c r="AX1446" s="440">
        <v>0</v>
      </c>
      <c r="AY1446" s="440">
        <v>0</v>
      </c>
      <c r="AZ1446" s="440">
        <v>0</v>
      </c>
      <c r="BA1446" s="440">
        <v>0</v>
      </c>
      <c r="BB1446" s="440">
        <v>0</v>
      </c>
      <c r="BC1446" s="440">
        <v>0</v>
      </c>
      <c r="BD1446" s="440">
        <v>0</v>
      </c>
      <c r="BE1446" s="440">
        <v>0</v>
      </c>
      <c r="BF1446" s="440">
        <v>0</v>
      </c>
      <c r="BG1446" s="440">
        <v>0</v>
      </c>
      <c r="BH1446" s="440">
        <v>0</v>
      </c>
      <c r="BI1446" s="440">
        <v>0</v>
      </c>
      <c r="BJ1446" s="440">
        <v>0</v>
      </c>
      <c r="BK1446" s="440">
        <v>0</v>
      </c>
      <c r="BL1446" s="440">
        <v>0</v>
      </c>
      <c r="BM1446" s="440">
        <v>0</v>
      </c>
      <c r="BN1446" s="440">
        <v>0</v>
      </c>
      <c r="BO1446" s="440">
        <v>0</v>
      </c>
      <c r="BP1446" s="440">
        <v>0</v>
      </c>
      <c r="BQ1446" s="440">
        <v>0</v>
      </c>
      <c r="BR1446" s="415">
        <v>0</v>
      </c>
      <c r="BS1446" s="415">
        <v>0</v>
      </c>
      <c r="BT1446" s="935"/>
      <c r="BU1446" s="935"/>
      <c r="BV1446" s="935"/>
      <c r="BW1446" s="935"/>
      <c r="BX1446" s="935"/>
      <c r="BY1446" s="935"/>
      <c r="BZ1446" s="935"/>
      <c r="CA1446" s="935"/>
      <c r="CB1446" s="935"/>
      <c r="CC1446" s="935"/>
      <c r="CD1446" s="935"/>
      <c r="CE1446" s="935"/>
      <c r="CF1446" s="935"/>
      <c r="CG1446" s="935"/>
      <c r="CH1446" s="935"/>
      <c r="CI1446" s="935"/>
      <c r="CJ1446" s="935"/>
      <c r="CK1446" s="935"/>
      <c r="CL1446" s="935"/>
      <c r="CM1446" s="935"/>
      <c r="CN1446" s="935"/>
      <c r="CO1446" s="935"/>
      <c r="CP1446" s="935"/>
      <c r="CQ1446" s="935"/>
      <c r="CR1446" s="935"/>
      <c r="CS1446" s="935"/>
      <c r="CT1446" s="935"/>
      <c r="CU1446" s="935"/>
      <c r="CV1446" s="935"/>
    </row>
    <row r="1447" spans="1:100" s="441" customFormat="1">
      <c r="A1447" s="375">
        <f t="shared" si="388"/>
        <v>11</v>
      </c>
      <c r="B1447" s="862">
        <v>44527</v>
      </c>
      <c r="C1447" s="493" t="s">
        <v>1980</v>
      </c>
      <c r="D1447" s="376" t="str">
        <f>IFERROR(VLOOKUP(E:E,'Item Data Support Sheet'!A:O,7,0),"")</f>
        <v>NIPPLE PUNCH</v>
      </c>
      <c r="E1447" s="447" t="s">
        <v>2486</v>
      </c>
      <c r="F1447" s="500"/>
      <c r="G1447" s="497" t="s">
        <v>1692</v>
      </c>
      <c r="H1447" s="602" t="str">
        <f>IFERROR(VLOOKUP(E:E,'Item Data Support Sheet'!A:O,2,0),"")</f>
        <v>NIPPLE S TYPE LL SIZE PUNCHED</v>
      </c>
      <c r="I1447" s="501" t="s">
        <v>4224</v>
      </c>
      <c r="J1447" s="501" t="s">
        <v>2808</v>
      </c>
      <c r="K1447" s="499">
        <v>2</v>
      </c>
      <c r="L1447" s="499">
        <v>1750</v>
      </c>
      <c r="M1447" s="366">
        <v>875</v>
      </c>
      <c r="N1447" s="367">
        <f t="shared" si="387"/>
        <v>2000</v>
      </c>
      <c r="O1447" s="61">
        <v>2000</v>
      </c>
      <c r="P1447" s="368">
        <v>0</v>
      </c>
      <c r="Q1447" s="368">
        <v>0</v>
      </c>
      <c r="R1447" s="494">
        <v>0</v>
      </c>
      <c r="S1447" s="493">
        <v>0</v>
      </c>
      <c r="T1447" s="494">
        <v>0</v>
      </c>
      <c r="U1447" s="493">
        <v>0</v>
      </c>
      <c r="V1447" s="502">
        <v>1</v>
      </c>
      <c r="W1447" s="453">
        <f t="shared" si="389"/>
        <v>2000</v>
      </c>
      <c r="X1447" s="748">
        <f t="shared" si="390"/>
        <v>1.1428571428571428</v>
      </c>
      <c r="Y1447" s="451" t="str">
        <f>IFERROR(VLOOKUP(E:E,'Item Data Support Sheet'!A:J,6,0),0)</f>
        <v>FO150</v>
      </c>
      <c r="Z1447" s="428">
        <f>IFERROR(VLOOKUP(E:E,'Item Data Support Sheet'!A:O,4,0),0)</f>
        <v>0</v>
      </c>
      <c r="AA1447" s="428">
        <f t="shared" si="391"/>
        <v>0</v>
      </c>
      <c r="AB1447" s="429" t="str">
        <f t="shared" si="392"/>
        <v xml:space="preserve"> </v>
      </c>
      <c r="AC1447" s="424">
        <f t="shared" si="393"/>
        <v>0</v>
      </c>
      <c r="AD1447" s="371">
        <f t="shared" si="394"/>
        <v>0</v>
      </c>
      <c r="AE1447" s="748">
        <f t="shared" si="395"/>
        <v>1</v>
      </c>
      <c r="AF1447" s="417">
        <f t="shared" si="396"/>
        <v>0</v>
      </c>
      <c r="AG1447" s="416">
        <f t="shared" si="397"/>
        <v>2</v>
      </c>
      <c r="AH1447" s="372">
        <f t="shared" si="398"/>
        <v>1</v>
      </c>
      <c r="AI1447" s="373">
        <f t="shared" si="399"/>
        <v>1000</v>
      </c>
      <c r="AJ1447" s="418">
        <f>VLOOKUP(D1447,'Standard Cycle time'!C:D,2,0)</f>
        <v>3.5</v>
      </c>
      <c r="AK1447" s="418">
        <f t="shared" si="400"/>
        <v>3.6</v>
      </c>
      <c r="AL1447" s="374">
        <f t="shared" si="401"/>
        <v>0.97222222222222221</v>
      </c>
      <c r="AM1447" s="372">
        <f t="shared" si="402"/>
        <v>0.97222222222222221</v>
      </c>
      <c r="AN1447" s="799">
        <v>0.97222222222222221</v>
      </c>
      <c r="AO1447" s="448"/>
      <c r="AP1447" s="440">
        <v>0</v>
      </c>
      <c r="AQ1447" s="440">
        <v>0</v>
      </c>
      <c r="AR1447" s="440">
        <v>0</v>
      </c>
      <c r="AS1447" s="440">
        <v>0</v>
      </c>
      <c r="AT1447" s="440">
        <v>0</v>
      </c>
      <c r="AU1447" s="440">
        <v>0</v>
      </c>
      <c r="AV1447" s="440">
        <v>0</v>
      </c>
      <c r="AW1447" s="440">
        <v>0</v>
      </c>
      <c r="AX1447" s="440">
        <v>0</v>
      </c>
      <c r="AY1447" s="440">
        <v>0</v>
      </c>
      <c r="AZ1447" s="440">
        <v>0</v>
      </c>
      <c r="BA1447" s="440">
        <v>0</v>
      </c>
      <c r="BB1447" s="440">
        <v>0</v>
      </c>
      <c r="BC1447" s="440">
        <v>0</v>
      </c>
      <c r="BD1447" s="440">
        <v>0</v>
      </c>
      <c r="BE1447" s="440">
        <v>0</v>
      </c>
      <c r="BF1447" s="440">
        <v>0</v>
      </c>
      <c r="BG1447" s="440">
        <v>0</v>
      </c>
      <c r="BH1447" s="440">
        <v>0</v>
      </c>
      <c r="BI1447" s="440">
        <v>0</v>
      </c>
      <c r="BJ1447" s="440">
        <v>0</v>
      </c>
      <c r="BK1447" s="440">
        <v>0</v>
      </c>
      <c r="BL1447" s="440">
        <v>0</v>
      </c>
      <c r="BM1447" s="440">
        <v>0</v>
      </c>
      <c r="BN1447" s="440">
        <v>0</v>
      </c>
      <c r="BO1447" s="440">
        <v>0</v>
      </c>
      <c r="BP1447" s="440">
        <v>0</v>
      </c>
      <c r="BQ1447" s="440">
        <v>0</v>
      </c>
      <c r="BR1447" s="415">
        <v>0</v>
      </c>
      <c r="BS1447" s="415">
        <v>0</v>
      </c>
      <c r="BT1447" s="935"/>
      <c r="BU1447" s="935"/>
      <c r="BV1447" s="935"/>
      <c r="BW1447" s="935"/>
      <c r="BX1447" s="935"/>
      <c r="BY1447" s="935"/>
      <c r="BZ1447" s="935"/>
      <c r="CA1447" s="935"/>
      <c r="CB1447" s="935"/>
      <c r="CC1447" s="935"/>
      <c r="CD1447" s="935"/>
      <c r="CE1447" s="935"/>
      <c r="CF1447" s="935"/>
      <c r="CG1447" s="935"/>
      <c r="CH1447" s="935"/>
      <c r="CI1447" s="935"/>
      <c r="CJ1447" s="935"/>
      <c r="CK1447" s="935"/>
      <c r="CL1447" s="935"/>
      <c r="CM1447" s="935"/>
      <c r="CN1447" s="935"/>
      <c r="CO1447" s="935"/>
      <c r="CP1447" s="935"/>
      <c r="CQ1447" s="935"/>
      <c r="CR1447" s="935"/>
      <c r="CS1447" s="935"/>
      <c r="CT1447" s="935"/>
      <c r="CU1447" s="935"/>
      <c r="CV1447" s="935"/>
    </row>
    <row r="1448" spans="1:100" s="441" customFormat="1">
      <c r="A1448" s="375">
        <f t="shared" si="388"/>
        <v>11</v>
      </c>
      <c r="B1448" s="862">
        <v>44527</v>
      </c>
      <c r="C1448" s="493" t="s">
        <v>1980</v>
      </c>
      <c r="D1448" s="376" t="str">
        <f>IFERROR(VLOOKUP(E:E,'Item Data Support Sheet'!A:O,7,0),"")</f>
        <v>NIPPLE LASER MARKING</v>
      </c>
      <c r="E1448" s="447" t="s">
        <v>2487</v>
      </c>
      <c r="F1448" s="500"/>
      <c r="G1448" s="497" t="s">
        <v>1812</v>
      </c>
      <c r="H1448" s="602" t="str">
        <f>IFERROR(VLOOKUP(E:E,'Item Data Support Sheet'!A:O,2,0),"")</f>
        <v>NIPPLE S TYPE LL SIZE LASER MARKED</v>
      </c>
      <c r="I1448" s="501" t="s">
        <v>4225</v>
      </c>
      <c r="J1448" s="501" t="s">
        <v>2808</v>
      </c>
      <c r="K1448" s="499">
        <v>6</v>
      </c>
      <c r="L1448" s="499">
        <v>5250</v>
      </c>
      <c r="M1448" s="366">
        <v>875</v>
      </c>
      <c r="N1448" s="367">
        <f t="shared" si="387"/>
        <v>5000</v>
      </c>
      <c r="O1448" s="61">
        <v>5000</v>
      </c>
      <c r="P1448" s="368">
        <v>0</v>
      </c>
      <c r="Q1448" s="368">
        <v>0</v>
      </c>
      <c r="R1448" s="494">
        <v>0</v>
      </c>
      <c r="S1448" s="493">
        <v>0</v>
      </c>
      <c r="T1448" s="494">
        <v>0</v>
      </c>
      <c r="U1448" s="493">
        <v>0</v>
      </c>
      <c r="V1448" s="502">
        <v>1</v>
      </c>
      <c r="W1448" s="453">
        <f t="shared" si="389"/>
        <v>5000</v>
      </c>
      <c r="X1448" s="748">
        <f t="shared" si="390"/>
        <v>0.95238095238095233</v>
      </c>
      <c r="Y1448" s="451" t="str">
        <f>IFERROR(VLOOKUP(E:E,'Item Data Support Sheet'!A:J,6,0),0)</f>
        <v>FO151</v>
      </c>
      <c r="Z1448" s="428">
        <f>IFERROR(VLOOKUP(E:E,'Item Data Support Sheet'!A:O,4,0),0)</f>
        <v>0</v>
      </c>
      <c r="AA1448" s="428">
        <f t="shared" si="391"/>
        <v>0</v>
      </c>
      <c r="AB1448" s="429" t="str">
        <f t="shared" si="392"/>
        <v xml:space="preserve"> </v>
      </c>
      <c r="AC1448" s="424">
        <f t="shared" si="393"/>
        <v>0</v>
      </c>
      <c r="AD1448" s="371">
        <f t="shared" si="394"/>
        <v>0</v>
      </c>
      <c r="AE1448" s="748">
        <f t="shared" si="395"/>
        <v>1</v>
      </c>
      <c r="AF1448" s="417">
        <f t="shared" si="396"/>
        <v>0.66666666666666663</v>
      </c>
      <c r="AG1448" s="416">
        <f t="shared" si="397"/>
        <v>5.333333333333333</v>
      </c>
      <c r="AH1448" s="372">
        <f t="shared" si="398"/>
        <v>0.88888888888888884</v>
      </c>
      <c r="AI1448" s="373">
        <f t="shared" si="399"/>
        <v>833.33333333333337</v>
      </c>
      <c r="AJ1448" s="418">
        <f>VLOOKUP(D1448,'Standard Cycle time'!C:D,2,0)</f>
        <v>3.5</v>
      </c>
      <c r="AK1448" s="418">
        <f t="shared" si="400"/>
        <v>3.84</v>
      </c>
      <c r="AL1448" s="374">
        <f t="shared" si="401"/>
        <v>0.91145833333333337</v>
      </c>
      <c r="AM1448" s="372">
        <f t="shared" si="402"/>
        <v>0.81018518518518512</v>
      </c>
      <c r="AN1448" s="799">
        <v>0.81018518518518512</v>
      </c>
      <c r="AO1448" s="448"/>
      <c r="AP1448" s="440">
        <v>40</v>
      </c>
      <c r="AQ1448" s="440">
        <v>0</v>
      </c>
      <c r="AR1448" s="440">
        <v>0</v>
      </c>
      <c r="AS1448" s="440">
        <v>0</v>
      </c>
      <c r="AT1448" s="440">
        <v>0</v>
      </c>
      <c r="AU1448" s="440">
        <v>0</v>
      </c>
      <c r="AV1448" s="440">
        <v>0</v>
      </c>
      <c r="AW1448" s="440">
        <v>0</v>
      </c>
      <c r="AX1448" s="440">
        <v>0</v>
      </c>
      <c r="AY1448" s="440">
        <v>0</v>
      </c>
      <c r="AZ1448" s="440">
        <v>0</v>
      </c>
      <c r="BA1448" s="440">
        <v>0</v>
      </c>
      <c r="BB1448" s="440">
        <v>0</v>
      </c>
      <c r="BC1448" s="440">
        <v>0</v>
      </c>
      <c r="BD1448" s="440">
        <v>0</v>
      </c>
      <c r="BE1448" s="440">
        <v>0</v>
      </c>
      <c r="BF1448" s="440">
        <v>0</v>
      </c>
      <c r="BG1448" s="440">
        <v>0</v>
      </c>
      <c r="BH1448" s="440">
        <v>0</v>
      </c>
      <c r="BI1448" s="440">
        <v>0</v>
      </c>
      <c r="BJ1448" s="440">
        <v>0</v>
      </c>
      <c r="BK1448" s="440">
        <v>0</v>
      </c>
      <c r="BL1448" s="440">
        <v>0</v>
      </c>
      <c r="BM1448" s="440">
        <v>0</v>
      </c>
      <c r="BN1448" s="440">
        <v>0</v>
      </c>
      <c r="BO1448" s="440">
        <v>0</v>
      </c>
      <c r="BP1448" s="440">
        <v>0</v>
      </c>
      <c r="BQ1448" s="440">
        <v>0</v>
      </c>
      <c r="BR1448" s="415">
        <v>0.66666666666666663</v>
      </c>
      <c r="BS1448" s="415">
        <v>0.66666666666666663</v>
      </c>
      <c r="BT1448" s="935"/>
      <c r="BU1448" s="935"/>
      <c r="BV1448" s="935"/>
      <c r="BW1448" s="935"/>
      <c r="BX1448" s="935"/>
      <c r="BY1448" s="935"/>
      <c r="BZ1448" s="935"/>
      <c r="CA1448" s="935"/>
      <c r="CB1448" s="935"/>
      <c r="CC1448" s="935"/>
      <c r="CD1448" s="935"/>
      <c r="CE1448" s="935"/>
      <c r="CF1448" s="935"/>
      <c r="CG1448" s="935"/>
      <c r="CH1448" s="935"/>
      <c r="CI1448" s="935"/>
      <c r="CJ1448" s="935"/>
      <c r="CK1448" s="935"/>
      <c r="CL1448" s="935"/>
      <c r="CM1448" s="935"/>
      <c r="CN1448" s="935"/>
      <c r="CO1448" s="935"/>
      <c r="CP1448" s="935"/>
      <c r="CQ1448" s="935"/>
      <c r="CR1448" s="935"/>
      <c r="CS1448" s="935"/>
      <c r="CT1448" s="935"/>
      <c r="CU1448" s="935"/>
      <c r="CV1448" s="935"/>
    </row>
    <row r="1449" spans="1:100" s="441" customFormat="1">
      <c r="A1449" s="375">
        <f t="shared" si="388"/>
        <v>11</v>
      </c>
      <c r="B1449" s="862">
        <v>44527</v>
      </c>
      <c r="C1449" s="493" t="s">
        <v>1980</v>
      </c>
      <c r="D1449" s="376" t="str">
        <f>IFERROR(VLOOKUP(E:E,'Item Data Support Sheet'!A:O,7,0),"")</f>
        <v>NIPPLE LASER MARKING</v>
      </c>
      <c r="E1449" s="447" t="s">
        <v>1816</v>
      </c>
      <c r="F1449" s="500"/>
      <c r="G1449" s="497" t="s">
        <v>1812</v>
      </c>
      <c r="H1449" s="602" t="str">
        <f>IFERROR(VLOOKUP(E:E,'Item Data Support Sheet'!A:O,2,0),"")</f>
        <v>NIPPLE S TYPE L SIZE PUNCHED LASER MARKED</v>
      </c>
      <c r="I1449" s="501" t="s">
        <v>4178</v>
      </c>
      <c r="J1449" s="501" t="s">
        <v>2808</v>
      </c>
      <c r="K1449" s="499">
        <v>2</v>
      </c>
      <c r="L1449" s="499">
        <v>1750</v>
      </c>
      <c r="M1449" s="366">
        <v>875</v>
      </c>
      <c r="N1449" s="367">
        <f t="shared" si="387"/>
        <v>1580</v>
      </c>
      <c r="O1449" s="61">
        <v>1580</v>
      </c>
      <c r="P1449" s="368">
        <v>0</v>
      </c>
      <c r="Q1449" s="368">
        <v>0</v>
      </c>
      <c r="R1449" s="494">
        <v>0</v>
      </c>
      <c r="S1449" s="493">
        <v>0</v>
      </c>
      <c r="T1449" s="494">
        <v>0</v>
      </c>
      <c r="U1449" s="493">
        <v>0</v>
      </c>
      <c r="V1449" s="502">
        <v>1</v>
      </c>
      <c r="W1449" s="453">
        <f t="shared" si="389"/>
        <v>1580</v>
      </c>
      <c r="X1449" s="748">
        <f t="shared" si="390"/>
        <v>0.9028571428571428</v>
      </c>
      <c r="Y1449" s="451" t="str">
        <f>IFERROR(VLOOKUP(E:E,'Item Data Support Sheet'!A:J,6,0),0)</f>
        <v>FO021</v>
      </c>
      <c r="Z1449" s="428">
        <f>IFERROR(VLOOKUP(E:E,'Item Data Support Sheet'!A:O,4,0),0)</f>
        <v>0</v>
      </c>
      <c r="AA1449" s="428">
        <f t="shared" si="391"/>
        <v>0</v>
      </c>
      <c r="AB1449" s="429" t="str">
        <f t="shared" si="392"/>
        <v xml:space="preserve"> </v>
      </c>
      <c r="AC1449" s="424">
        <f t="shared" si="393"/>
        <v>0</v>
      </c>
      <c r="AD1449" s="371">
        <f t="shared" si="394"/>
        <v>0</v>
      </c>
      <c r="AE1449" s="748">
        <f t="shared" si="395"/>
        <v>1</v>
      </c>
      <c r="AF1449" s="417">
        <f t="shared" si="396"/>
        <v>0.33333333333333331</v>
      </c>
      <c r="AG1449" s="416">
        <f t="shared" si="397"/>
        <v>1.6666666666666667</v>
      </c>
      <c r="AH1449" s="372">
        <f t="shared" si="398"/>
        <v>0.83333333333333337</v>
      </c>
      <c r="AI1449" s="373">
        <f t="shared" si="399"/>
        <v>790</v>
      </c>
      <c r="AJ1449" s="418">
        <f>VLOOKUP(D1449,'Standard Cycle time'!C:D,2,0)</f>
        <v>3.5</v>
      </c>
      <c r="AK1449" s="418">
        <f t="shared" si="400"/>
        <v>3.7974683544303796</v>
      </c>
      <c r="AL1449" s="374">
        <f t="shared" si="401"/>
        <v>0.92166666666666675</v>
      </c>
      <c r="AM1449" s="372">
        <f t="shared" si="402"/>
        <v>0.7680555555555556</v>
      </c>
      <c r="AN1449" s="799">
        <v>0.7680555555555556</v>
      </c>
      <c r="AO1449" s="448"/>
      <c r="AP1449" s="440">
        <v>0</v>
      </c>
      <c r="AQ1449" s="440">
        <v>20</v>
      </c>
      <c r="AR1449" s="440">
        <v>0</v>
      </c>
      <c r="AS1449" s="440">
        <v>0</v>
      </c>
      <c r="AT1449" s="440">
        <v>0</v>
      </c>
      <c r="AU1449" s="440">
        <v>0</v>
      </c>
      <c r="AV1449" s="440">
        <v>0</v>
      </c>
      <c r="AW1449" s="440">
        <v>0</v>
      </c>
      <c r="AX1449" s="440">
        <v>0</v>
      </c>
      <c r="AY1449" s="440">
        <v>0</v>
      </c>
      <c r="AZ1449" s="440">
        <v>0</v>
      </c>
      <c r="BA1449" s="440">
        <v>0</v>
      </c>
      <c r="BB1449" s="440">
        <v>0</v>
      </c>
      <c r="BC1449" s="440">
        <v>0</v>
      </c>
      <c r="BD1449" s="440">
        <v>0</v>
      </c>
      <c r="BE1449" s="440">
        <v>0</v>
      </c>
      <c r="BF1449" s="440">
        <v>0</v>
      </c>
      <c r="BG1449" s="440">
        <v>0</v>
      </c>
      <c r="BH1449" s="440">
        <v>0</v>
      </c>
      <c r="BI1449" s="440">
        <v>0</v>
      </c>
      <c r="BJ1449" s="440">
        <v>0</v>
      </c>
      <c r="BK1449" s="440">
        <v>0</v>
      </c>
      <c r="BL1449" s="440">
        <v>0</v>
      </c>
      <c r="BM1449" s="440">
        <v>0</v>
      </c>
      <c r="BN1449" s="440">
        <v>0</v>
      </c>
      <c r="BO1449" s="440">
        <v>0</v>
      </c>
      <c r="BP1449" s="440">
        <v>0</v>
      </c>
      <c r="BQ1449" s="440">
        <v>0</v>
      </c>
      <c r="BR1449" s="415">
        <v>0.33333333333333331</v>
      </c>
      <c r="BS1449" s="415">
        <v>0.33333333333333331</v>
      </c>
      <c r="BT1449" s="935"/>
      <c r="BU1449" s="935"/>
      <c r="BV1449" s="935"/>
      <c r="BW1449" s="935"/>
      <c r="BX1449" s="935"/>
      <c r="BY1449" s="935"/>
      <c r="BZ1449" s="935"/>
      <c r="CA1449" s="935"/>
      <c r="CB1449" s="935"/>
      <c r="CC1449" s="935"/>
      <c r="CD1449" s="935"/>
      <c r="CE1449" s="935"/>
      <c r="CF1449" s="935"/>
      <c r="CG1449" s="935"/>
      <c r="CH1449" s="935"/>
      <c r="CI1449" s="935"/>
      <c r="CJ1449" s="935"/>
      <c r="CK1449" s="935"/>
      <c r="CL1449" s="935"/>
      <c r="CM1449" s="935"/>
      <c r="CN1449" s="935"/>
      <c r="CO1449" s="935"/>
      <c r="CP1449" s="935"/>
      <c r="CQ1449" s="935"/>
      <c r="CR1449" s="935"/>
      <c r="CS1449" s="935"/>
      <c r="CT1449" s="935"/>
      <c r="CU1449" s="935"/>
      <c r="CV1449" s="935"/>
    </row>
    <row r="1450" spans="1:100" s="441" customFormat="1">
      <c r="A1450" s="375">
        <f t="shared" si="388"/>
        <v>11</v>
      </c>
      <c r="B1450" s="862">
        <v>44527</v>
      </c>
      <c r="C1450" s="493" t="s">
        <v>1980</v>
      </c>
      <c r="D1450" s="376" t="str">
        <f>IFERROR(VLOOKUP(E:E,'Item Data Support Sheet'!A:O,7,0),"")</f>
        <v>NIPPLE PUNCH</v>
      </c>
      <c r="E1450" s="447" t="s">
        <v>82</v>
      </c>
      <c r="F1450" s="500"/>
      <c r="G1450" s="497" t="s">
        <v>1692</v>
      </c>
      <c r="H1450" s="602" t="str">
        <f>IFERROR(VLOOKUP(E:E,'Item Data Support Sheet'!A:O,2,0),"")</f>
        <v>NIPPLE S TYPE L SIZE PUNCHED</v>
      </c>
      <c r="I1450" s="501" t="s">
        <v>4226</v>
      </c>
      <c r="J1450" s="501" t="s">
        <v>2808</v>
      </c>
      <c r="K1450" s="499">
        <v>6</v>
      </c>
      <c r="L1450" s="499">
        <v>5250</v>
      </c>
      <c r="M1450" s="366">
        <v>875</v>
      </c>
      <c r="N1450" s="367">
        <f t="shared" si="387"/>
        <v>5200</v>
      </c>
      <c r="O1450" s="61">
        <v>5200</v>
      </c>
      <c r="P1450" s="368">
        <v>0</v>
      </c>
      <c r="Q1450" s="368">
        <v>0</v>
      </c>
      <c r="R1450" s="494">
        <v>0</v>
      </c>
      <c r="S1450" s="493">
        <v>0</v>
      </c>
      <c r="T1450" s="494">
        <v>0</v>
      </c>
      <c r="U1450" s="493">
        <v>0</v>
      </c>
      <c r="V1450" s="502">
        <v>1</v>
      </c>
      <c r="W1450" s="453">
        <f t="shared" si="389"/>
        <v>5200</v>
      </c>
      <c r="X1450" s="748">
        <f t="shared" si="390"/>
        <v>0.99047619047619051</v>
      </c>
      <c r="Y1450" s="451" t="str">
        <f>IFERROR(VLOOKUP(E:E,'Item Data Support Sheet'!A:J,6,0),0)</f>
        <v>FO017</v>
      </c>
      <c r="Z1450" s="428">
        <f>IFERROR(VLOOKUP(E:E,'Item Data Support Sheet'!A:O,4,0),0)</f>
        <v>0</v>
      </c>
      <c r="AA1450" s="428">
        <f t="shared" si="391"/>
        <v>0</v>
      </c>
      <c r="AB1450" s="429" t="str">
        <f t="shared" si="392"/>
        <v xml:space="preserve"> </v>
      </c>
      <c r="AC1450" s="424">
        <f t="shared" si="393"/>
        <v>0</v>
      </c>
      <c r="AD1450" s="371">
        <f t="shared" si="394"/>
        <v>0</v>
      </c>
      <c r="AE1450" s="748">
        <f t="shared" si="395"/>
        <v>1</v>
      </c>
      <c r="AF1450" s="417">
        <f t="shared" si="396"/>
        <v>0.33333333333333331</v>
      </c>
      <c r="AG1450" s="416">
        <f t="shared" si="397"/>
        <v>5.666666666666667</v>
      </c>
      <c r="AH1450" s="372">
        <f t="shared" si="398"/>
        <v>0.94444444444444453</v>
      </c>
      <c r="AI1450" s="373">
        <f t="shared" si="399"/>
        <v>866.66666666666663</v>
      </c>
      <c r="AJ1450" s="418">
        <f>VLOOKUP(D1450,'Standard Cycle time'!C:D,2,0)</f>
        <v>3.5</v>
      </c>
      <c r="AK1450" s="418">
        <f t="shared" si="400"/>
        <v>3.9230769230769229</v>
      </c>
      <c r="AL1450" s="374">
        <f t="shared" si="401"/>
        <v>0.89215686274509809</v>
      </c>
      <c r="AM1450" s="372">
        <f t="shared" si="402"/>
        <v>0.84259259259259267</v>
      </c>
      <c r="AN1450" s="799">
        <v>0.84259259259259267</v>
      </c>
      <c r="AO1450" s="448"/>
      <c r="AP1450" s="440">
        <v>0</v>
      </c>
      <c r="AQ1450" s="440">
        <v>20</v>
      </c>
      <c r="AR1450" s="440">
        <v>0</v>
      </c>
      <c r="AS1450" s="440">
        <v>0</v>
      </c>
      <c r="AT1450" s="440">
        <v>0</v>
      </c>
      <c r="AU1450" s="440">
        <v>0</v>
      </c>
      <c r="AV1450" s="440">
        <v>0</v>
      </c>
      <c r="AW1450" s="440">
        <v>0</v>
      </c>
      <c r="AX1450" s="440">
        <v>0</v>
      </c>
      <c r="AY1450" s="440">
        <v>0</v>
      </c>
      <c r="AZ1450" s="440">
        <v>0</v>
      </c>
      <c r="BA1450" s="440">
        <v>0</v>
      </c>
      <c r="BB1450" s="440">
        <v>0</v>
      </c>
      <c r="BC1450" s="440">
        <v>0</v>
      </c>
      <c r="BD1450" s="440">
        <v>0</v>
      </c>
      <c r="BE1450" s="440">
        <v>0</v>
      </c>
      <c r="BF1450" s="440">
        <v>0</v>
      </c>
      <c r="BG1450" s="440">
        <v>0</v>
      </c>
      <c r="BH1450" s="440">
        <v>0</v>
      </c>
      <c r="BI1450" s="440">
        <v>0</v>
      </c>
      <c r="BJ1450" s="440">
        <v>0</v>
      </c>
      <c r="BK1450" s="440">
        <v>0</v>
      </c>
      <c r="BL1450" s="440">
        <v>0</v>
      </c>
      <c r="BM1450" s="440">
        <v>0</v>
      </c>
      <c r="BN1450" s="440">
        <v>0</v>
      </c>
      <c r="BO1450" s="440">
        <v>0</v>
      </c>
      <c r="BP1450" s="440">
        <v>0</v>
      </c>
      <c r="BQ1450" s="440">
        <v>0</v>
      </c>
      <c r="BR1450" s="415">
        <v>0.33333333333333331</v>
      </c>
      <c r="BS1450" s="415">
        <v>0.33333333333333331</v>
      </c>
      <c r="BT1450" s="935"/>
      <c r="BU1450" s="935"/>
      <c r="BV1450" s="935"/>
      <c r="BW1450" s="935"/>
      <c r="BX1450" s="935"/>
      <c r="BY1450" s="935"/>
      <c r="BZ1450" s="935"/>
      <c r="CA1450" s="935"/>
      <c r="CB1450" s="935"/>
      <c r="CC1450" s="935"/>
      <c r="CD1450" s="935"/>
      <c r="CE1450" s="935"/>
      <c r="CF1450" s="935"/>
      <c r="CG1450" s="935"/>
      <c r="CH1450" s="935"/>
      <c r="CI1450" s="935"/>
      <c r="CJ1450" s="935"/>
      <c r="CK1450" s="935"/>
      <c r="CL1450" s="935"/>
      <c r="CM1450" s="935"/>
      <c r="CN1450" s="935"/>
      <c r="CO1450" s="935"/>
      <c r="CP1450" s="935"/>
      <c r="CQ1450" s="935"/>
      <c r="CR1450" s="935"/>
      <c r="CS1450" s="935"/>
      <c r="CT1450" s="935"/>
      <c r="CU1450" s="935"/>
      <c r="CV1450" s="935"/>
    </row>
    <row r="1451" spans="1:100" s="441" customFormat="1">
      <c r="A1451" s="375">
        <f t="shared" si="388"/>
        <v>11</v>
      </c>
      <c r="B1451" s="862">
        <v>44527</v>
      </c>
      <c r="C1451" s="493" t="s">
        <v>1980</v>
      </c>
      <c r="D1451" s="376" t="str">
        <f>IFERROR(VLOOKUP(E:E,'Item Data Support Sheet'!A:O,7,0),"")</f>
        <v>BOTTLE MOLDED</v>
      </c>
      <c r="E1451" s="447" t="s">
        <v>65</v>
      </c>
      <c r="F1451" s="500" t="s">
        <v>1680</v>
      </c>
      <c r="G1451" s="497" t="s">
        <v>1665</v>
      </c>
      <c r="H1451" s="602" t="str">
        <f>IFERROR(VLOOKUP(E:E,'Item Data Support Sheet'!A:O,2,0),"")</f>
        <v>KPP 120 ML BOTTLE MOLDED</v>
      </c>
      <c r="I1451" s="501" t="s">
        <v>4227</v>
      </c>
      <c r="J1451" s="501" t="s">
        <v>2808</v>
      </c>
      <c r="K1451" s="499">
        <v>8</v>
      </c>
      <c r="L1451" s="499">
        <v>2574</v>
      </c>
      <c r="M1451" s="366">
        <v>321.75</v>
      </c>
      <c r="N1451" s="367">
        <f t="shared" si="387"/>
        <v>1533</v>
      </c>
      <c r="O1451" s="61">
        <v>1440</v>
      </c>
      <c r="P1451" s="368">
        <v>0</v>
      </c>
      <c r="Q1451" s="368">
        <v>50</v>
      </c>
      <c r="R1451" s="494">
        <v>0</v>
      </c>
      <c r="S1451" s="493">
        <v>0</v>
      </c>
      <c r="T1451" s="494">
        <v>35</v>
      </c>
      <c r="U1451" s="493">
        <v>8</v>
      </c>
      <c r="V1451" s="502">
        <v>1</v>
      </c>
      <c r="W1451" s="453">
        <f t="shared" si="389"/>
        <v>1440</v>
      </c>
      <c r="X1451" s="748">
        <f t="shared" si="390"/>
        <v>0.55944055944055948</v>
      </c>
      <c r="Y1451" s="451" t="str">
        <f>IFERROR(VLOOKUP(E:E,'Item Data Support Sheet'!A:J,6,0),0)</f>
        <v>HMC</v>
      </c>
      <c r="Z1451" s="428">
        <f>IFERROR(VLOOKUP(E:E,'Item Data Support Sheet'!A:O,4,0),0)</f>
        <v>21.3</v>
      </c>
      <c r="AA1451" s="428">
        <f t="shared" si="391"/>
        <v>32.652900000000002</v>
      </c>
      <c r="AB1451" s="429">
        <f t="shared" si="392"/>
        <v>0.9393346379647749</v>
      </c>
      <c r="AC1451" s="424">
        <f t="shared" si="393"/>
        <v>2.3728813559322035E-2</v>
      </c>
      <c r="AD1451" s="371">
        <f t="shared" si="394"/>
        <v>3.1585596967782688E-2</v>
      </c>
      <c r="AE1451" s="748">
        <f t="shared" si="395"/>
        <v>0.97716894977168944</v>
      </c>
      <c r="AF1451" s="417">
        <f t="shared" si="396"/>
        <v>0</v>
      </c>
      <c r="AG1451" s="416">
        <f t="shared" si="397"/>
        <v>8</v>
      </c>
      <c r="AH1451" s="372">
        <f t="shared" si="398"/>
        <v>1</v>
      </c>
      <c r="AI1451" s="373">
        <f t="shared" si="399"/>
        <v>180</v>
      </c>
      <c r="AJ1451" s="418">
        <f>VLOOKUP(D1451,'Standard Cycle time'!C:D,2,0)</f>
        <v>9</v>
      </c>
      <c r="AK1451" s="418">
        <f t="shared" si="400"/>
        <v>20</v>
      </c>
      <c r="AL1451" s="374">
        <f t="shared" si="401"/>
        <v>0.45</v>
      </c>
      <c r="AM1451" s="372">
        <f t="shared" si="402"/>
        <v>0.43972602739726024</v>
      </c>
      <c r="AN1451" s="799">
        <v>0.43972602739726024</v>
      </c>
      <c r="AO1451" s="448"/>
      <c r="AP1451" s="440">
        <v>0</v>
      </c>
      <c r="AQ1451" s="440">
        <v>0</v>
      </c>
      <c r="AR1451" s="440">
        <v>0</v>
      </c>
      <c r="AS1451" s="440">
        <v>0</v>
      </c>
      <c r="AT1451" s="440">
        <v>0</v>
      </c>
      <c r="AU1451" s="440">
        <v>0</v>
      </c>
      <c r="AV1451" s="440">
        <v>0</v>
      </c>
      <c r="AW1451" s="440">
        <v>0</v>
      </c>
      <c r="AX1451" s="440">
        <v>0</v>
      </c>
      <c r="AY1451" s="440">
        <v>0</v>
      </c>
      <c r="AZ1451" s="440">
        <v>0</v>
      </c>
      <c r="BA1451" s="440">
        <v>0</v>
      </c>
      <c r="BB1451" s="440">
        <v>0</v>
      </c>
      <c r="BC1451" s="440">
        <v>0</v>
      </c>
      <c r="BD1451" s="440">
        <v>0</v>
      </c>
      <c r="BE1451" s="440">
        <v>0</v>
      </c>
      <c r="BF1451" s="440">
        <v>0</v>
      </c>
      <c r="BG1451" s="440">
        <v>0</v>
      </c>
      <c r="BH1451" s="440">
        <v>0</v>
      </c>
      <c r="BI1451" s="440">
        <v>0</v>
      </c>
      <c r="BJ1451" s="440">
        <v>0</v>
      </c>
      <c r="BK1451" s="440">
        <v>0</v>
      </c>
      <c r="BL1451" s="440">
        <v>0</v>
      </c>
      <c r="BM1451" s="440">
        <v>0</v>
      </c>
      <c r="BN1451" s="440">
        <v>0</v>
      </c>
      <c r="BO1451" s="440">
        <v>0</v>
      </c>
      <c r="BP1451" s="440">
        <v>0</v>
      </c>
      <c r="BQ1451" s="440">
        <v>0</v>
      </c>
      <c r="BR1451" s="415">
        <v>0</v>
      </c>
      <c r="BS1451" s="415">
        <v>0</v>
      </c>
      <c r="BT1451" s="935"/>
      <c r="BU1451" s="935"/>
      <c r="BV1451" s="935"/>
      <c r="BW1451" s="935"/>
      <c r="BX1451" s="935"/>
      <c r="BY1451" s="935"/>
      <c r="BZ1451" s="935"/>
      <c r="CA1451" s="935"/>
      <c r="CB1451" s="935"/>
      <c r="CC1451" s="935"/>
      <c r="CD1451" s="935"/>
      <c r="CE1451" s="935"/>
      <c r="CF1451" s="935"/>
      <c r="CG1451" s="935"/>
      <c r="CH1451" s="935"/>
      <c r="CI1451" s="935"/>
      <c r="CJ1451" s="935"/>
      <c r="CK1451" s="935"/>
      <c r="CL1451" s="935"/>
      <c r="CM1451" s="935"/>
      <c r="CN1451" s="935"/>
      <c r="CO1451" s="935"/>
      <c r="CP1451" s="935"/>
      <c r="CQ1451" s="935"/>
      <c r="CR1451" s="935"/>
      <c r="CS1451" s="935"/>
      <c r="CT1451" s="935"/>
      <c r="CU1451" s="935"/>
      <c r="CV1451" s="935"/>
    </row>
    <row r="1452" spans="1:100" s="441" customFormat="1">
      <c r="A1452" s="375">
        <f t="shared" si="388"/>
        <v>11</v>
      </c>
      <c r="B1452" s="862">
        <v>44527</v>
      </c>
      <c r="C1452" s="493" t="s">
        <v>1980</v>
      </c>
      <c r="D1452" s="376" t="str">
        <f>IFERROR(VLOOKUP(E:E,'Item Data Support Sheet'!A:O,7,0),"")</f>
        <v>CAP MOLDED</v>
      </c>
      <c r="E1452" s="447" t="s">
        <v>2107</v>
      </c>
      <c r="F1452" s="500" t="s">
        <v>4140</v>
      </c>
      <c r="G1452" s="497" t="s">
        <v>2729</v>
      </c>
      <c r="H1452" s="602" t="str">
        <f>IFERROR(VLOOKUP(E:E,'Item Data Support Sheet'!A:O,2,0),"")</f>
        <v>CAP S TYPE MOLDED PINK</v>
      </c>
      <c r="I1452" s="501" t="s">
        <v>4228</v>
      </c>
      <c r="J1452" s="501" t="s">
        <v>2808</v>
      </c>
      <c r="K1452" s="499">
        <v>8</v>
      </c>
      <c r="L1452" s="499">
        <v>4137</v>
      </c>
      <c r="M1452" s="366">
        <v>517.125</v>
      </c>
      <c r="N1452" s="367">
        <f t="shared" si="387"/>
        <v>5008</v>
      </c>
      <c r="O1452" s="61">
        <v>5000</v>
      </c>
      <c r="P1452" s="368">
        <v>0</v>
      </c>
      <c r="Q1452" s="368">
        <v>0</v>
      </c>
      <c r="R1452" s="494">
        <v>0</v>
      </c>
      <c r="S1452" s="493">
        <v>0</v>
      </c>
      <c r="T1452" s="494">
        <v>0</v>
      </c>
      <c r="U1452" s="493">
        <v>8</v>
      </c>
      <c r="V1452" s="502">
        <v>1</v>
      </c>
      <c r="W1452" s="453">
        <f t="shared" si="389"/>
        <v>5000</v>
      </c>
      <c r="X1452" s="748">
        <f t="shared" si="390"/>
        <v>1.2086052695189751</v>
      </c>
      <c r="Y1452" s="451" t="str">
        <f>IFERROR(VLOOKUP(E:E,'Item Data Support Sheet'!A:J,6,0),0)</f>
        <v>RM000123</v>
      </c>
      <c r="Z1452" s="428">
        <f>IFERROR(VLOOKUP(E:E,'Item Data Support Sheet'!A:O,4,0),0)</f>
        <v>7.3</v>
      </c>
      <c r="AA1452" s="428">
        <f t="shared" si="391"/>
        <v>36.558399999999999</v>
      </c>
      <c r="AB1452" s="429">
        <f t="shared" si="392"/>
        <v>0.99840255591054317</v>
      </c>
      <c r="AC1452" s="424">
        <f t="shared" si="393"/>
        <v>0</v>
      </c>
      <c r="AD1452" s="371">
        <f t="shared" si="394"/>
        <v>0</v>
      </c>
      <c r="AE1452" s="748">
        <f t="shared" si="395"/>
        <v>1</v>
      </c>
      <c r="AF1452" s="417">
        <f t="shared" si="396"/>
        <v>0</v>
      </c>
      <c r="AG1452" s="416">
        <f t="shared" si="397"/>
        <v>8</v>
      </c>
      <c r="AH1452" s="372">
        <f t="shared" si="398"/>
        <v>1</v>
      </c>
      <c r="AI1452" s="373">
        <f t="shared" si="399"/>
        <v>625</v>
      </c>
      <c r="AJ1452" s="418">
        <f>VLOOKUP(D1452,'Standard Cycle time'!C:D,2,0)</f>
        <v>6</v>
      </c>
      <c r="AK1452" s="418">
        <f t="shared" si="400"/>
        <v>5.76</v>
      </c>
      <c r="AL1452" s="374">
        <f t="shared" si="401"/>
        <v>1.0416666666666667</v>
      </c>
      <c r="AM1452" s="372">
        <f t="shared" si="402"/>
        <v>1.0416666666666667</v>
      </c>
      <c r="AN1452" s="799">
        <v>1.0416666666666667</v>
      </c>
      <c r="AO1452" s="448"/>
      <c r="AP1452" s="440">
        <v>0</v>
      </c>
      <c r="AQ1452" s="440">
        <v>0</v>
      </c>
      <c r="AR1452" s="440">
        <v>0</v>
      </c>
      <c r="AS1452" s="440">
        <v>0</v>
      </c>
      <c r="AT1452" s="440">
        <v>0</v>
      </c>
      <c r="AU1452" s="440">
        <v>0</v>
      </c>
      <c r="AV1452" s="440">
        <v>0</v>
      </c>
      <c r="AW1452" s="440">
        <v>0</v>
      </c>
      <c r="AX1452" s="440">
        <v>0</v>
      </c>
      <c r="AY1452" s="440">
        <v>0</v>
      </c>
      <c r="AZ1452" s="440">
        <v>0</v>
      </c>
      <c r="BA1452" s="440">
        <v>0</v>
      </c>
      <c r="BB1452" s="440">
        <v>0</v>
      </c>
      <c r="BC1452" s="440">
        <v>0</v>
      </c>
      <c r="BD1452" s="440">
        <v>0</v>
      </c>
      <c r="BE1452" s="440">
        <v>0</v>
      </c>
      <c r="BF1452" s="440">
        <v>0</v>
      </c>
      <c r="BG1452" s="440">
        <v>0</v>
      </c>
      <c r="BH1452" s="440">
        <v>0</v>
      </c>
      <c r="BI1452" s="440">
        <v>0</v>
      </c>
      <c r="BJ1452" s="440">
        <v>0</v>
      </c>
      <c r="BK1452" s="440">
        <v>0</v>
      </c>
      <c r="BL1452" s="440">
        <v>0</v>
      </c>
      <c r="BM1452" s="440">
        <v>0</v>
      </c>
      <c r="BN1452" s="440">
        <v>0</v>
      </c>
      <c r="BO1452" s="440">
        <v>0</v>
      </c>
      <c r="BP1452" s="440">
        <v>0</v>
      </c>
      <c r="BQ1452" s="440">
        <v>0</v>
      </c>
      <c r="BR1452" s="415">
        <v>0</v>
      </c>
      <c r="BS1452" s="415">
        <v>0</v>
      </c>
      <c r="BT1452" s="935"/>
      <c r="BU1452" s="935"/>
      <c r="BV1452" s="935"/>
      <c r="BW1452" s="935"/>
      <c r="BX1452" s="935"/>
      <c r="BY1452" s="935"/>
      <c r="BZ1452" s="935"/>
      <c r="CA1452" s="935"/>
      <c r="CB1452" s="935"/>
      <c r="CC1452" s="935"/>
      <c r="CD1452" s="935"/>
      <c r="CE1452" s="935"/>
      <c r="CF1452" s="935"/>
      <c r="CG1452" s="935"/>
      <c r="CH1452" s="935"/>
      <c r="CI1452" s="935"/>
      <c r="CJ1452" s="935"/>
      <c r="CK1452" s="935"/>
      <c r="CL1452" s="935"/>
      <c r="CM1452" s="935"/>
      <c r="CN1452" s="935"/>
      <c r="CO1452" s="935"/>
      <c r="CP1452" s="935"/>
      <c r="CQ1452" s="935"/>
      <c r="CR1452" s="935"/>
      <c r="CS1452" s="935"/>
      <c r="CT1452" s="935"/>
      <c r="CU1452" s="935"/>
      <c r="CV1452" s="935"/>
    </row>
    <row r="1453" spans="1:100" s="441" customFormat="1">
      <c r="A1453" s="375">
        <f t="shared" si="388"/>
        <v>11</v>
      </c>
      <c r="B1453" s="862">
        <v>44527</v>
      </c>
      <c r="C1453" s="493" t="s">
        <v>2000</v>
      </c>
      <c r="D1453" s="376" t="str">
        <f>IFERROR(VLOOKUP(E:E,'Item Data Support Sheet'!A:O,7,0),"")</f>
        <v>BOTTLE PRINTED</v>
      </c>
      <c r="E1453" s="447" t="s">
        <v>69</v>
      </c>
      <c r="F1453" s="500"/>
      <c r="G1453" s="497"/>
      <c r="H1453" s="602" t="str">
        <f>IFERROR(VLOOKUP(E:E,'Item Data Support Sheet'!A:O,2,0),"")</f>
        <v>KPP 120 ML BOTTLE PRINTED</v>
      </c>
      <c r="I1453" s="501" t="s">
        <v>4229</v>
      </c>
      <c r="J1453" s="501" t="s">
        <v>2811</v>
      </c>
      <c r="K1453" s="499">
        <v>8</v>
      </c>
      <c r="L1453" s="499">
        <v>5100</v>
      </c>
      <c r="M1453" s="366">
        <v>637.5</v>
      </c>
      <c r="N1453" s="367">
        <f t="shared" si="387"/>
        <v>5459</v>
      </c>
      <c r="O1453" s="61">
        <v>5400</v>
      </c>
      <c r="P1453" s="368">
        <v>0</v>
      </c>
      <c r="Q1453" s="368">
        <v>0</v>
      </c>
      <c r="R1453" s="494">
        <v>53</v>
      </c>
      <c r="S1453" s="493">
        <v>0</v>
      </c>
      <c r="T1453" s="494">
        <v>59</v>
      </c>
      <c r="U1453" s="493">
        <v>0</v>
      </c>
      <c r="V1453" s="502">
        <v>5</v>
      </c>
      <c r="W1453" s="453">
        <f t="shared" si="389"/>
        <v>1080</v>
      </c>
      <c r="X1453" s="748">
        <f t="shared" si="390"/>
        <v>1.0588235294117647</v>
      </c>
      <c r="Y1453" s="451" t="str">
        <f>IFERROR(VLOOKUP(E:E,'Item Data Support Sheet'!A:J,6,0),0)</f>
        <v>FO001</v>
      </c>
      <c r="Z1453" s="428">
        <f>IFERROR(VLOOKUP(E:E,'Item Data Support Sheet'!A:O,4,0),0)</f>
        <v>0</v>
      </c>
      <c r="AA1453" s="428">
        <f t="shared" si="391"/>
        <v>0</v>
      </c>
      <c r="AB1453" s="429" t="str">
        <f t="shared" si="392"/>
        <v xml:space="preserve"> </v>
      </c>
      <c r="AC1453" s="424">
        <f t="shared" si="393"/>
        <v>1.0807840263784577E-2</v>
      </c>
      <c r="AD1453" s="371">
        <f t="shared" si="394"/>
        <v>0</v>
      </c>
      <c r="AE1453" s="748">
        <f t="shared" si="395"/>
        <v>0.98919215973621544</v>
      </c>
      <c r="AF1453" s="417">
        <f t="shared" si="396"/>
        <v>0.83333333333333337</v>
      </c>
      <c r="AG1453" s="416">
        <f t="shared" si="397"/>
        <v>7.166666666666667</v>
      </c>
      <c r="AH1453" s="372">
        <f t="shared" si="398"/>
        <v>0.89583333333333337</v>
      </c>
      <c r="AI1453" s="373">
        <f t="shared" si="399"/>
        <v>675</v>
      </c>
      <c r="AJ1453" s="418">
        <f>VLOOKUP(D1453,'Standard Cycle time'!C:D,2,0)</f>
        <v>32.4</v>
      </c>
      <c r="AK1453" s="418">
        <f t="shared" si="400"/>
        <v>23.888888888888893</v>
      </c>
      <c r="AL1453" s="374">
        <f t="shared" si="401"/>
        <v>1.3562790697674416</v>
      </c>
      <c r="AM1453" s="372">
        <f t="shared" si="402"/>
        <v>1.2018684740795016</v>
      </c>
      <c r="AN1453" s="799">
        <v>1.2018684740795016</v>
      </c>
      <c r="AO1453" s="448"/>
      <c r="AP1453" s="440">
        <v>50</v>
      </c>
      <c r="AQ1453" s="440">
        <v>0</v>
      </c>
      <c r="AR1453" s="440">
        <v>0</v>
      </c>
      <c r="AS1453" s="440">
        <v>0</v>
      </c>
      <c r="AT1453" s="440">
        <v>0</v>
      </c>
      <c r="AU1453" s="440">
        <v>0</v>
      </c>
      <c r="AV1453" s="440">
        <v>0</v>
      </c>
      <c r="AW1453" s="440">
        <v>0</v>
      </c>
      <c r="AX1453" s="440">
        <v>0</v>
      </c>
      <c r="AY1453" s="440">
        <v>0</v>
      </c>
      <c r="AZ1453" s="440">
        <v>0</v>
      </c>
      <c r="BA1453" s="440">
        <v>0</v>
      </c>
      <c r="BB1453" s="440">
        <v>0</v>
      </c>
      <c r="BC1453" s="440">
        <v>0</v>
      </c>
      <c r="BD1453" s="440">
        <v>0</v>
      </c>
      <c r="BE1453" s="440">
        <v>0</v>
      </c>
      <c r="BF1453" s="440">
        <v>0</v>
      </c>
      <c r="BG1453" s="440">
        <v>0</v>
      </c>
      <c r="BH1453" s="440">
        <v>0</v>
      </c>
      <c r="BI1453" s="440">
        <v>0</v>
      </c>
      <c r="BJ1453" s="440">
        <v>0</v>
      </c>
      <c r="BK1453" s="440">
        <v>0</v>
      </c>
      <c r="BL1453" s="440">
        <v>0</v>
      </c>
      <c r="BM1453" s="440">
        <v>0</v>
      </c>
      <c r="BN1453" s="440">
        <v>0</v>
      </c>
      <c r="BO1453" s="440">
        <v>0</v>
      </c>
      <c r="BP1453" s="440">
        <v>0</v>
      </c>
      <c r="BQ1453" s="440">
        <v>0</v>
      </c>
      <c r="BR1453" s="415">
        <v>0.83333333333333337</v>
      </c>
      <c r="BS1453" s="415">
        <v>0.83333333333333337</v>
      </c>
      <c r="BT1453" s="935"/>
      <c r="BU1453" s="935"/>
      <c r="BV1453" s="935"/>
      <c r="BW1453" s="935"/>
      <c r="BX1453" s="935"/>
      <c r="BY1453" s="935"/>
      <c r="BZ1453" s="935"/>
      <c r="CA1453" s="935"/>
      <c r="CB1453" s="935"/>
      <c r="CC1453" s="935"/>
      <c r="CD1453" s="935"/>
      <c r="CE1453" s="935"/>
      <c r="CF1453" s="935"/>
      <c r="CG1453" s="935"/>
      <c r="CH1453" s="935"/>
      <c r="CI1453" s="935"/>
      <c r="CJ1453" s="935"/>
      <c r="CK1453" s="935"/>
      <c r="CL1453" s="935"/>
      <c r="CM1453" s="935"/>
      <c r="CN1453" s="935"/>
      <c r="CO1453" s="935"/>
      <c r="CP1453" s="935"/>
      <c r="CQ1453" s="935"/>
      <c r="CR1453" s="935"/>
      <c r="CS1453" s="935"/>
      <c r="CT1453" s="935"/>
      <c r="CU1453" s="935"/>
      <c r="CV1453" s="935"/>
    </row>
    <row r="1454" spans="1:100" s="441" customFormat="1">
      <c r="A1454" s="375">
        <f t="shared" si="388"/>
        <v>11</v>
      </c>
      <c r="B1454" s="862">
        <v>44527</v>
      </c>
      <c r="C1454" s="493" t="s">
        <v>2000</v>
      </c>
      <c r="D1454" s="376" t="str">
        <f>IFERROR(VLOOKUP(E:E,'Item Data Support Sheet'!A:O,7,0),"")</f>
        <v>NIPPLE WRAP PRINTED</v>
      </c>
      <c r="E1454" s="447" t="s">
        <v>110</v>
      </c>
      <c r="F1454" s="500"/>
      <c r="G1454" s="497" t="s">
        <v>1693</v>
      </c>
      <c r="H1454" s="602" t="str">
        <f>IFERROR(VLOOKUP(E:E,'Item Data Support Sheet'!A:O,2,0),"")</f>
        <v>NIPPLE S TYPE L SIZE WITH PRINTED WRAP</v>
      </c>
      <c r="I1454" s="501" t="s">
        <v>4180</v>
      </c>
      <c r="J1454" s="501" t="s">
        <v>2811</v>
      </c>
      <c r="K1454" s="499">
        <v>8</v>
      </c>
      <c r="L1454" s="499">
        <v>16171</v>
      </c>
      <c r="M1454" s="366">
        <v>2021.375</v>
      </c>
      <c r="N1454" s="367">
        <f t="shared" si="387"/>
        <v>16741</v>
      </c>
      <c r="O1454" s="61">
        <v>16741</v>
      </c>
      <c r="P1454" s="368">
        <v>0</v>
      </c>
      <c r="Q1454" s="368">
        <v>0</v>
      </c>
      <c r="R1454" s="494">
        <v>0</v>
      </c>
      <c r="S1454" s="493">
        <v>0</v>
      </c>
      <c r="T1454" s="494">
        <v>0</v>
      </c>
      <c r="U1454" s="493">
        <v>0</v>
      </c>
      <c r="V1454" s="502">
        <v>2</v>
      </c>
      <c r="W1454" s="453">
        <f t="shared" si="389"/>
        <v>8370.5</v>
      </c>
      <c r="X1454" s="748">
        <f t="shared" si="390"/>
        <v>1.0352482839651227</v>
      </c>
      <c r="Y1454" s="451" t="str">
        <f>IFERROR(VLOOKUP(E:E,'Item Data Support Sheet'!A:J,6,0),0)</f>
        <v>FO021</v>
      </c>
      <c r="Z1454" s="428">
        <f>IFERROR(VLOOKUP(E:E,'Item Data Support Sheet'!A:O,4,0),0)</f>
        <v>0</v>
      </c>
      <c r="AA1454" s="428">
        <f t="shared" si="391"/>
        <v>0</v>
      </c>
      <c r="AB1454" s="429" t="str">
        <f t="shared" si="392"/>
        <v xml:space="preserve"> </v>
      </c>
      <c r="AC1454" s="424">
        <f t="shared" si="393"/>
        <v>0</v>
      </c>
      <c r="AD1454" s="371">
        <f t="shared" si="394"/>
        <v>0</v>
      </c>
      <c r="AE1454" s="748">
        <f t="shared" si="395"/>
        <v>1</v>
      </c>
      <c r="AF1454" s="417">
        <f t="shared" si="396"/>
        <v>0.83333333333333337</v>
      </c>
      <c r="AG1454" s="416">
        <f t="shared" si="397"/>
        <v>7.166666666666667</v>
      </c>
      <c r="AH1454" s="372">
        <f t="shared" si="398"/>
        <v>0.89583333333333337</v>
      </c>
      <c r="AI1454" s="373">
        <f t="shared" si="399"/>
        <v>2092.625</v>
      </c>
      <c r="AJ1454" s="418">
        <f>VLOOKUP(D1454,'Standard Cycle time'!C:D,2,0)</f>
        <v>2.5</v>
      </c>
      <c r="AK1454" s="418">
        <f t="shared" si="400"/>
        <v>3.0822531509467774</v>
      </c>
      <c r="AL1454" s="374">
        <f t="shared" si="401"/>
        <v>0.81109496124031011</v>
      </c>
      <c r="AM1454" s="372">
        <f t="shared" si="402"/>
        <v>0.72660590277777781</v>
      </c>
      <c r="AN1454" s="799">
        <v>0.72660590277777781</v>
      </c>
      <c r="AO1454" s="448"/>
      <c r="AP1454" s="440">
        <v>50</v>
      </c>
      <c r="AQ1454" s="440">
        <v>0</v>
      </c>
      <c r="AR1454" s="440">
        <v>0</v>
      </c>
      <c r="AS1454" s="440">
        <v>0</v>
      </c>
      <c r="AT1454" s="440">
        <v>0</v>
      </c>
      <c r="AU1454" s="440">
        <v>0</v>
      </c>
      <c r="AV1454" s="440">
        <v>0</v>
      </c>
      <c r="AW1454" s="440">
        <v>0</v>
      </c>
      <c r="AX1454" s="440">
        <v>0</v>
      </c>
      <c r="AY1454" s="440">
        <v>0</v>
      </c>
      <c r="AZ1454" s="440">
        <v>0</v>
      </c>
      <c r="BA1454" s="440">
        <v>0</v>
      </c>
      <c r="BB1454" s="440">
        <v>0</v>
      </c>
      <c r="BC1454" s="440">
        <v>0</v>
      </c>
      <c r="BD1454" s="440">
        <v>0</v>
      </c>
      <c r="BE1454" s="440">
        <v>0</v>
      </c>
      <c r="BF1454" s="440">
        <v>0</v>
      </c>
      <c r="BG1454" s="440">
        <v>0</v>
      </c>
      <c r="BH1454" s="440">
        <v>0</v>
      </c>
      <c r="BI1454" s="440">
        <v>0</v>
      </c>
      <c r="BJ1454" s="440">
        <v>0</v>
      </c>
      <c r="BK1454" s="440">
        <v>0</v>
      </c>
      <c r="BL1454" s="440">
        <v>0</v>
      </c>
      <c r="BM1454" s="440">
        <v>0</v>
      </c>
      <c r="BN1454" s="440">
        <v>0</v>
      </c>
      <c r="BO1454" s="440">
        <v>0</v>
      </c>
      <c r="BP1454" s="440">
        <v>0</v>
      </c>
      <c r="BQ1454" s="440">
        <v>0</v>
      </c>
      <c r="BR1454" s="415">
        <v>0.83333333333333337</v>
      </c>
      <c r="BS1454" s="415">
        <v>0.83333333333333337</v>
      </c>
      <c r="BT1454" s="935"/>
      <c r="BU1454" s="935"/>
      <c r="BV1454" s="935"/>
      <c r="BW1454" s="935"/>
      <c r="BX1454" s="935"/>
      <c r="BY1454" s="935"/>
      <c r="BZ1454" s="935"/>
      <c r="CA1454" s="935"/>
      <c r="CB1454" s="935"/>
      <c r="CC1454" s="935"/>
      <c r="CD1454" s="935"/>
      <c r="CE1454" s="935"/>
      <c r="CF1454" s="935"/>
      <c r="CG1454" s="935"/>
      <c r="CH1454" s="935"/>
      <c r="CI1454" s="935"/>
      <c r="CJ1454" s="935"/>
      <c r="CK1454" s="935"/>
      <c r="CL1454" s="935"/>
      <c r="CM1454" s="935"/>
      <c r="CN1454" s="935"/>
      <c r="CO1454" s="935"/>
      <c r="CP1454" s="935"/>
      <c r="CQ1454" s="935"/>
      <c r="CR1454" s="935"/>
      <c r="CS1454" s="935"/>
      <c r="CT1454" s="935"/>
      <c r="CU1454" s="935"/>
      <c r="CV1454" s="935"/>
    </row>
    <row r="1455" spans="1:100" s="441" customFormat="1">
      <c r="A1455" s="375">
        <f t="shared" si="388"/>
        <v>11</v>
      </c>
      <c r="B1455" s="862">
        <v>44527</v>
      </c>
      <c r="C1455" s="493" t="s">
        <v>2000</v>
      </c>
      <c r="D1455" s="376" t="str">
        <f>IFERROR(VLOOKUP(E:E,'Item Data Support Sheet'!A:O,7,0),"")</f>
        <v>NIPPLE PUNCH INSPECTED</v>
      </c>
      <c r="E1455" s="447" t="s">
        <v>1820</v>
      </c>
      <c r="F1455" s="500"/>
      <c r="G1455" s="497"/>
      <c r="H1455" s="602" t="str">
        <f>IFERROR(VLOOKUP(E:E,'Item Data Support Sheet'!A:O,2,0),"")</f>
        <v>NIPPLE S TYPE L SIZE PUNCHED INSPECTED</v>
      </c>
      <c r="I1455" s="501" t="s">
        <v>4230</v>
      </c>
      <c r="J1455" s="501" t="s">
        <v>2811</v>
      </c>
      <c r="K1455" s="499">
        <v>2</v>
      </c>
      <c r="L1455" s="499">
        <v>4750</v>
      </c>
      <c r="M1455" s="366">
        <v>2375</v>
      </c>
      <c r="N1455" s="367">
        <f t="shared" si="387"/>
        <v>3580</v>
      </c>
      <c r="O1455" s="61">
        <v>3556</v>
      </c>
      <c r="P1455" s="368">
        <v>0</v>
      </c>
      <c r="Q1455" s="368">
        <v>0</v>
      </c>
      <c r="R1455" s="494">
        <v>0</v>
      </c>
      <c r="S1455" s="493">
        <v>0</v>
      </c>
      <c r="T1455" s="494">
        <v>24</v>
      </c>
      <c r="U1455" s="493">
        <v>0</v>
      </c>
      <c r="V1455" s="502">
        <v>2</v>
      </c>
      <c r="W1455" s="453">
        <f t="shared" si="389"/>
        <v>1778</v>
      </c>
      <c r="X1455" s="748">
        <f t="shared" si="390"/>
        <v>0.74863157894736843</v>
      </c>
      <c r="Y1455" s="451" t="str">
        <f>IFERROR(VLOOKUP(E:E,'Item Data Support Sheet'!A:J,6,0),0)</f>
        <v>FO106</v>
      </c>
      <c r="Z1455" s="428">
        <f>IFERROR(VLOOKUP(E:E,'Item Data Support Sheet'!A:O,4,0),0)</f>
        <v>0</v>
      </c>
      <c r="AA1455" s="428">
        <f t="shared" si="391"/>
        <v>0</v>
      </c>
      <c r="AB1455" s="429" t="str">
        <f t="shared" si="392"/>
        <v xml:space="preserve"> </v>
      </c>
      <c r="AC1455" s="424">
        <f t="shared" si="393"/>
        <v>6.7039106145251395E-3</v>
      </c>
      <c r="AD1455" s="371">
        <f t="shared" si="394"/>
        <v>0</v>
      </c>
      <c r="AE1455" s="748">
        <f t="shared" si="395"/>
        <v>0.99329608938547487</v>
      </c>
      <c r="AF1455" s="417">
        <f t="shared" si="396"/>
        <v>0.83333333333333337</v>
      </c>
      <c r="AG1455" s="416">
        <f t="shared" si="397"/>
        <v>1.1666666666666665</v>
      </c>
      <c r="AH1455" s="372">
        <f t="shared" si="398"/>
        <v>0.58333333333333326</v>
      </c>
      <c r="AI1455" s="373">
        <f t="shared" si="399"/>
        <v>1778</v>
      </c>
      <c r="AJ1455" s="418">
        <f>VLOOKUP(D1455,'Standard Cycle time'!C:D,2,0)</f>
        <v>4</v>
      </c>
      <c r="AK1455" s="418">
        <f t="shared" si="400"/>
        <v>2.3622047244094482</v>
      </c>
      <c r="AL1455" s="374">
        <f t="shared" si="401"/>
        <v>1.6933333333333338</v>
      </c>
      <c r="AM1455" s="372">
        <f t="shared" si="402"/>
        <v>0.98115580384854151</v>
      </c>
      <c r="AN1455" s="799">
        <v>0.98115580384854151</v>
      </c>
      <c r="AO1455" s="448"/>
      <c r="AP1455" s="440">
        <v>50</v>
      </c>
      <c r="AQ1455" s="440">
        <v>0</v>
      </c>
      <c r="AR1455" s="440">
        <v>0</v>
      </c>
      <c r="AS1455" s="440">
        <v>0</v>
      </c>
      <c r="AT1455" s="440">
        <v>0</v>
      </c>
      <c r="AU1455" s="440">
        <v>0</v>
      </c>
      <c r="AV1455" s="440">
        <v>0</v>
      </c>
      <c r="AW1455" s="440">
        <v>0</v>
      </c>
      <c r="AX1455" s="440">
        <v>0</v>
      </c>
      <c r="AY1455" s="440">
        <v>0</v>
      </c>
      <c r="AZ1455" s="440">
        <v>0</v>
      </c>
      <c r="BA1455" s="440">
        <v>0</v>
      </c>
      <c r="BB1455" s="440">
        <v>0</v>
      </c>
      <c r="BC1455" s="440">
        <v>0</v>
      </c>
      <c r="BD1455" s="440">
        <v>0</v>
      </c>
      <c r="BE1455" s="440">
        <v>0</v>
      </c>
      <c r="BF1455" s="440">
        <v>0</v>
      </c>
      <c r="BG1455" s="440">
        <v>0</v>
      </c>
      <c r="BH1455" s="440">
        <v>0</v>
      </c>
      <c r="BI1455" s="440">
        <v>0</v>
      </c>
      <c r="BJ1455" s="440">
        <v>0</v>
      </c>
      <c r="BK1455" s="440">
        <v>0</v>
      </c>
      <c r="BL1455" s="440">
        <v>0</v>
      </c>
      <c r="BM1455" s="440">
        <v>0</v>
      </c>
      <c r="BN1455" s="440">
        <v>0</v>
      </c>
      <c r="BO1455" s="440">
        <v>0</v>
      </c>
      <c r="BP1455" s="440">
        <v>0</v>
      </c>
      <c r="BQ1455" s="440">
        <v>0</v>
      </c>
      <c r="BR1455" s="415">
        <v>0.83333333333333337</v>
      </c>
      <c r="BS1455" s="415">
        <v>0.83333333333333337</v>
      </c>
      <c r="BT1455" s="935"/>
      <c r="BU1455" s="935"/>
      <c r="BV1455" s="935"/>
      <c r="BW1455" s="935"/>
      <c r="BX1455" s="935"/>
      <c r="BY1455" s="935"/>
      <c r="BZ1455" s="935"/>
      <c r="CA1455" s="935"/>
      <c r="CB1455" s="935"/>
      <c r="CC1455" s="935"/>
      <c r="CD1455" s="935"/>
      <c r="CE1455" s="935"/>
      <c r="CF1455" s="935"/>
      <c r="CG1455" s="935"/>
      <c r="CH1455" s="935"/>
      <c r="CI1455" s="935"/>
      <c r="CJ1455" s="935"/>
      <c r="CK1455" s="935"/>
      <c r="CL1455" s="935"/>
      <c r="CM1455" s="935"/>
      <c r="CN1455" s="935"/>
      <c r="CO1455" s="935"/>
      <c r="CP1455" s="935"/>
      <c r="CQ1455" s="935"/>
      <c r="CR1455" s="935"/>
      <c r="CS1455" s="935"/>
      <c r="CT1455" s="935"/>
      <c r="CU1455" s="935"/>
      <c r="CV1455" s="935"/>
    </row>
    <row r="1456" spans="1:100" s="441" customFormat="1">
      <c r="A1456" s="375">
        <f t="shared" si="388"/>
        <v>11</v>
      </c>
      <c r="B1456" s="862">
        <v>44527</v>
      </c>
      <c r="C1456" s="493" t="s">
        <v>2000</v>
      </c>
      <c r="D1456" s="376" t="str">
        <f>IFERROR(VLOOKUP(E:E,'Item Data Support Sheet'!A:O,7,0),"")</f>
        <v>NIPPLE PUNCH INSPECTED</v>
      </c>
      <c r="E1456" s="447" t="s">
        <v>2488</v>
      </c>
      <c r="F1456" s="500"/>
      <c r="G1456" s="497"/>
      <c r="H1456" s="602" t="str">
        <f>IFERROR(VLOOKUP(E:E,'Item Data Support Sheet'!A:O,2,0),"")</f>
        <v>NIPPLE S TYPE LL SIZE INSPECTED</v>
      </c>
      <c r="I1456" s="501" t="s">
        <v>4231</v>
      </c>
      <c r="J1456" s="501" t="s">
        <v>2811</v>
      </c>
      <c r="K1456" s="499">
        <v>6</v>
      </c>
      <c r="L1456" s="499">
        <v>14250</v>
      </c>
      <c r="M1456" s="366">
        <v>2375</v>
      </c>
      <c r="N1456" s="367">
        <f t="shared" si="387"/>
        <v>15500</v>
      </c>
      <c r="O1456" s="61">
        <v>15183</v>
      </c>
      <c r="P1456" s="368">
        <v>0</v>
      </c>
      <c r="Q1456" s="368">
        <v>0</v>
      </c>
      <c r="R1456" s="494">
        <v>0</v>
      </c>
      <c r="S1456" s="493">
        <v>0</v>
      </c>
      <c r="T1456" s="494">
        <v>317</v>
      </c>
      <c r="U1456" s="493">
        <v>0</v>
      </c>
      <c r="V1456" s="502">
        <v>2</v>
      </c>
      <c r="W1456" s="453">
        <f t="shared" si="389"/>
        <v>7591.5</v>
      </c>
      <c r="X1456" s="748">
        <f t="shared" si="390"/>
        <v>1.0654736842105264</v>
      </c>
      <c r="Y1456" s="451" t="str">
        <f>IFERROR(VLOOKUP(E:E,'Item Data Support Sheet'!A:J,6,0),0)</f>
        <v>FO152</v>
      </c>
      <c r="Z1456" s="428">
        <f>IFERROR(VLOOKUP(E:E,'Item Data Support Sheet'!A:O,4,0),0)</f>
        <v>0</v>
      </c>
      <c r="AA1456" s="428">
        <f t="shared" si="391"/>
        <v>0</v>
      </c>
      <c r="AB1456" s="429" t="str">
        <f t="shared" si="392"/>
        <v xml:space="preserve"> </v>
      </c>
      <c r="AC1456" s="424">
        <f t="shared" si="393"/>
        <v>2.0451612903225808E-2</v>
      </c>
      <c r="AD1456" s="371">
        <f t="shared" si="394"/>
        <v>0</v>
      </c>
      <c r="AE1456" s="748">
        <f t="shared" si="395"/>
        <v>0.97954838709677416</v>
      </c>
      <c r="AF1456" s="417">
        <f t="shared" si="396"/>
        <v>0</v>
      </c>
      <c r="AG1456" s="416">
        <f t="shared" si="397"/>
        <v>6</v>
      </c>
      <c r="AH1456" s="372">
        <f t="shared" si="398"/>
        <v>1</v>
      </c>
      <c r="AI1456" s="373">
        <f t="shared" si="399"/>
        <v>2530.5</v>
      </c>
      <c r="AJ1456" s="418">
        <f>VLOOKUP(D1456,'Standard Cycle time'!C:D,2,0)</f>
        <v>4</v>
      </c>
      <c r="AK1456" s="418">
        <f t="shared" si="400"/>
        <v>2.8452874925903973</v>
      </c>
      <c r="AL1456" s="374">
        <f t="shared" si="401"/>
        <v>1.4058333333333333</v>
      </c>
      <c r="AM1456" s="372">
        <f t="shared" si="402"/>
        <v>1.3770817741935484</v>
      </c>
      <c r="AN1456" s="799">
        <v>1.3770817741935484</v>
      </c>
      <c r="AO1456" s="448"/>
      <c r="AP1456" s="440">
        <v>0</v>
      </c>
      <c r="AQ1456" s="440">
        <v>0</v>
      </c>
      <c r="AR1456" s="440">
        <v>0</v>
      </c>
      <c r="AS1456" s="440">
        <v>0</v>
      </c>
      <c r="AT1456" s="440">
        <v>0</v>
      </c>
      <c r="AU1456" s="440">
        <v>0</v>
      </c>
      <c r="AV1456" s="440">
        <v>0</v>
      </c>
      <c r="AW1456" s="440">
        <v>0</v>
      </c>
      <c r="AX1456" s="440">
        <v>0</v>
      </c>
      <c r="AY1456" s="440">
        <v>0</v>
      </c>
      <c r="AZ1456" s="440">
        <v>0</v>
      </c>
      <c r="BA1456" s="440">
        <v>0</v>
      </c>
      <c r="BB1456" s="440">
        <v>0</v>
      </c>
      <c r="BC1456" s="440">
        <v>0</v>
      </c>
      <c r="BD1456" s="440">
        <v>0</v>
      </c>
      <c r="BE1456" s="440">
        <v>0</v>
      </c>
      <c r="BF1456" s="440">
        <v>0</v>
      </c>
      <c r="BG1456" s="440">
        <v>0</v>
      </c>
      <c r="BH1456" s="440">
        <v>0</v>
      </c>
      <c r="BI1456" s="440">
        <v>0</v>
      </c>
      <c r="BJ1456" s="440">
        <v>0</v>
      </c>
      <c r="BK1456" s="440">
        <v>0</v>
      </c>
      <c r="BL1456" s="440">
        <v>0</v>
      </c>
      <c r="BM1456" s="440">
        <v>0</v>
      </c>
      <c r="BN1456" s="440">
        <v>0</v>
      </c>
      <c r="BO1456" s="440">
        <v>0</v>
      </c>
      <c r="BP1456" s="440">
        <v>0</v>
      </c>
      <c r="BQ1456" s="440">
        <v>0</v>
      </c>
      <c r="BR1456" s="415">
        <v>0</v>
      </c>
      <c r="BS1456" s="415">
        <v>0</v>
      </c>
      <c r="BT1456" s="935"/>
      <c r="BU1456" s="935"/>
      <c r="BV1456" s="935"/>
      <c r="BW1456" s="935"/>
      <c r="BX1456" s="935"/>
      <c r="BY1456" s="935"/>
      <c r="BZ1456" s="935"/>
      <c r="CA1456" s="935"/>
      <c r="CB1456" s="935"/>
      <c r="CC1456" s="935"/>
      <c r="CD1456" s="935"/>
      <c r="CE1456" s="935"/>
      <c r="CF1456" s="935"/>
      <c r="CG1456" s="935"/>
      <c r="CH1456" s="935"/>
      <c r="CI1456" s="935"/>
      <c r="CJ1456" s="935"/>
      <c r="CK1456" s="935"/>
      <c r="CL1456" s="935"/>
      <c r="CM1456" s="935"/>
      <c r="CN1456" s="935"/>
      <c r="CO1456" s="935"/>
      <c r="CP1456" s="935"/>
      <c r="CQ1456" s="935"/>
      <c r="CR1456" s="935"/>
      <c r="CS1456" s="935"/>
      <c r="CT1456" s="935"/>
      <c r="CU1456" s="935"/>
      <c r="CV1456" s="935"/>
    </row>
    <row r="1457" spans="1:104" s="441" customFormat="1">
      <c r="A1457" s="375">
        <f t="shared" si="388"/>
        <v>11</v>
      </c>
      <c r="B1457" s="862">
        <v>44527</v>
      </c>
      <c r="C1457" s="493" t="s">
        <v>2001</v>
      </c>
      <c r="D1457" s="376" t="str">
        <f>IFERROR(VLOOKUP(E:E,'Item Data Support Sheet'!A:O,7,0),"")</f>
        <v>NIPPLE PUNCH</v>
      </c>
      <c r="E1457" s="447" t="s">
        <v>82</v>
      </c>
      <c r="F1457" s="500"/>
      <c r="G1457" s="497" t="s">
        <v>1692</v>
      </c>
      <c r="H1457" s="602" t="str">
        <f>IFERROR(VLOOKUP(E:E,'Item Data Support Sheet'!A:O,2,0),"")</f>
        <v>NIPPLE S TYPE L SIZE PUNCHED</v>
      </c>
      <c r="I1457" s="501" t="s">
        <v>4232</v>
      </c>
      <c r="J1457" s="501" t="s">
        <v>2811</v>
      </c>
      <c r="K1457" s="499">
        <v>8</v>
      </c>
      <c r="L1457" s="499">
        <v>7000</v>
      </c>
      <c r="M1457" s="366">
        <v>875</v>
      </c>
      <c r="N1457" s="367">
        <f t="shared" si="387"/>
        <v>7000</v>
      </c>
      <c r="O1457" s="61">
        <v>7000</v>
      </c>
      <c r="P1457" s="368">
        <v>0</v>
      </c>
      <c r="Q1457" s="368">
        <v>0</v>
      </c>
      <c r="R1457" s="494">
        <v>0</v>
      </c>
      <c r="S1457" s="493">
        <v>0</v>
      </c>
      <c r="T1457" s="494">
        <v>0</v>
      </c>
      <c r="U1457" s="493">
        <v>0</v>
      </c>
      <c r="V1457" s="502">
        <v>1</v>
      </c>
      <c r="W1457" s="453">
        <f t="shared" si="389"/>
        <v>7000</v>
      </c>
      <c r="X1457" s="748">
        <f t="shared" si="390"/>
        <v>1</v>
      </c>
      <c r="Y1457" s="451" t="str">
        <f>IFERROR(VLOOKUP(E:E,'Item Data Support Sheet'!A:J,6,0),0)</f>
        <v>FO017</v>
      </c>
      <c r="Z1457" s="428">
        <f>IFERROR(VLOOKUP(E:E,'Item Data Support Sheet'!A:O,4,0),0)</f>
        <v>0</v>
      </c>
      <c r="AA1457" s="428">
        <f t="shared" si="391"/>
        <v>0</v>
      </c>
      <c r="AB1457" s="429" t="str">
        <f t="shared" si="392"/>
        <v xml:space="preserve"> </v>
      </c>
      <c r="AC1457" s="424">
        <f t="shared" si="393"/>
        <v>0</v>
      </c>
      <c r="AD1457" s="371">
        <f t="shared" si="394"/>
        <v>0</v>
      </c>
      <c r="AE1457" s="748">
        <f t="shared" si="395"/>
        <v>1</v>
      </c>
      <c r="AF1457" s="417">
        <f t="shared" si="396"/>
        <v>0.66666666666666663</v>
      </c>
      <c r="AG1457" s="416">
        <f t="shared" si="397"/>
        <v>7.333333333333333</v>
      </c>
      <c r="AH1457" s="372">
        <f t="shared" si="398"/>
        <v>0.91666666666666663</v>
      </c>
      <c r="AI1457" s="373">
        <f t="shared" si="399"/>
        <v>875</v>
      </c>
      <c r="AJ1457" s="418">
        <f>VLOOKUP(D1457,'Standard Cycle time'!C:D,2,0)</f>
        <v>3.5</v>
      </c>
      <c r="AK1457" s="418">
        <f t="shared" si="400"/>
        <v>3.7714285714285714</v>
      </c>
      <c r="AL1457" s="374">
        <f t="shared" si="401"/>
        <v>0.92803030303030309</v>
      </c>
      <c r="AM1457" s="372">
        <f t="shared" si="402"/>
        <v>0.85069444444444442</v>
      </c>
      <c r="AN1457" s="799">
        <v>0.85069444444444442</v>
      </c>
      <c r="AO1457" s="448"/>
      <c r="AP1457" s="440">
        <v>40</v>
      </c>
      <c r="AQ1457" s="440">
        <v>0</v>
      </c>
      <c r="AR1457" s="440">
        <v>0</v>
      </c>
      <c r="AS1457" s="440">
        <v>0</v>
      </c>
      <c r="AT1457" s="440">
        <v>0</v>
      </c>
      <c r="AU1457" s="440">
        <v>0</v>
      </c>
      <c r="AV1457" s="440">
        <v>0</v>
      </c>
      <c r="AW1457" s="440">
        <v>0</v>
      </c>
      <c r="AX1457" s="440">
        <v>0</v>
      </c>
      <c r="AY1457" s="440">
        <v>0</v>
      </c>
      <c r="AZ1457" s="440">
        <v>0</v>
      </c>
      <c r="BA1457" s="440">
        <v>0</v>
      </c>
      <c r="BB1457" s="440">
        <v>0</v>
      </c>
      <c r="BC1457" s="440">
        <v>0</v>
      </c>
      <c r="BD1457" s="440">
        <v>0</v>
      </c>
      <c r="BE1457" s="440">
        <v>0</v>
      </c>
      <c r="BF1457" s="440">
        <v>0</v>
      </c>
      <c r="BG1457" s="440">
        <v>0</v>
      </c>
      <c r="BH1457" s="440">
        <v>0</v>
      </c>
      <c r="BI1457" s="440">
        <v>0</v>
      </c>
      <c r="BJ1457" s="440">
        <v>0</v>
      </c>
      <c r="BK1457" s="440">
        <v>0</v>
      </c>
      <c r="BL1457" s="440">
        <v>0</v>
      </c>
      <c r="BM1457" s="440">
        <v>0</v>
      </c>
      <c r="BN1457" s="440">
        <v>0</v>
      </c>
      <c r="BO1457" s="440">
        <v>0</v>
      </c>
      <c r="BP1457" s="440">
        <v>0</v>
      </c>
      <c r="BQ1457" s="440">
        <v>0</v>
      </c>
      <c r="BR1457" s="415">
        <v>0.66666666666666663</v>
      </c>
      <c r="BS1457" s="415">
        <v>0.66666666666666663</v>
      </c>
      <c r="BT1457" s="935"/>
      <c r="BU1457" s="935"/>
      <c r="BV1457" s="935"/>
      <c r="BW1457" s="935"/>
      <c r="BX1457" s="935"/>
      <c r="BY1457" s="935"/>
      <c r="BZ1457" s="935"/>
      <c r="CA1457" s="935"/>
      <c r="CB1457" s="935"/>
      <c r="CC1457" s="935"/>
      <c r="CD1457" s="935"/>
      <c r="CE1457" s="935"/>
      <c r="CF1457" s="935"/>
      <c r="CG1457" s="935"/>
      <c r="CH1457" s="935"/>
      <c r="CI1457" s="935"/>
      <c r="CJ1457" s="935"/>
      <c r="CK1457" s="935"/>
      <c r="CL1457" s="935"/>
      <c r="CM1457" s="935"/>
      <c r="CN1457" s="935"/>
      <c r="CO1457" s="935"/>
      <c r="CP1457" s="935"/>
      <c r="CQ1457" s="935"/>
      <c r="CR1457" s="935"/>
      <c r="CS1457" s="935"/>
      <c r="CT1457" s="935"/>
      <c r="CU1457" s="935"/>
      <c r="CV1457" s="935"/>
    </row>
    <row r="1458" spans="1:104" s="441" customFormat="1">
      <c r="A1458" s="375">
        <f t="shared" si="388"/>
        <v>11</v>
      </c>
      <c r="B1458" s="862">
        <v>44527</v>
      </c>
      <c r="C1458" s="493" t="s">
        <v>2001</v>
      </c>
      <c r="D1458" s="376" t="str">
        <f>IFERROR(VLOOKUP(E:E,'Item Data Support Sheet'!A:O,7,0),"")</f>
        <v>NIPPLE LASER MARKING</v>
      </c>
      <c r="E1458" s="447" t="s">
        <v>1816</v>
      </c>
      <c r="F1458" s="500"/>
      <c r="G1458" s="497" t="s">
        <v>1812</v>
      </c>
      <c r="H1458" s="602" t="str">
        <f>IFERROR(VLOOKUP(E:E,'Item Data Support Sheet'!A:O,2,0),"")</f>
        <v>NIPPLE S TYPE L SIZE PUNCHED LASER MARKED</v>
      </c>
      <c r="I1458" s="501" t="s">
        <v>4233</v>
      </c>
      <c r="J1458" s="501" t="s">
        <v>2811</v>
      </c>
      <c r="K1458" s="499">
        <v>8</v>
      </c>
      <c r="L1458" s="499">
        <v>7000</v>
      </c>
      <c r="M1458" s="366">
        <v>875</v>
      </c>
      <c r="N1458" s="367">
        <f t="shared" si="387"/>
        <v>7200</v>
      </c>
      <c r="O1458" s="61">
        <v>7200</v>
      </c>
      <c r="P1458" s="368">
        <v>0</v>
      </c>
      <c r="Q1458" s="368">
        <v>0</v>
      </c>
      <c r="R1458" s="494">
        <v>0</v>
      </c>
      <c r="S1458" s="493">
        <v>0</v>
      </c>
      <c r="T1458" s="494">
        <v>0</v>
      </c>
      <c r="U1458" s="493">
        <v>0</v>
      </c>
      <c r="V1458" s="502">
        <v>1</v>
      </c>
      <c r="W1458" s="453">
        <f t="shared" si="389"/>
        <v>7200</v>
      </c>
      <c r="X1458" s="748">
        <f t="shared" si="390"/>
        <v>1.0285714285714285</v>
      </c>
      <c r="Y1458" s="451" t="str">
        <f>IFERROR(VLOOKUP(E:E,'Item Data Support Sheet'!A:J,6,0),0)</f>
        <v>FO021</v>
      </c>
      <c r="Z1458" s="428">
        <f>IFERROR(VLOOKUP(E:E,'Item Data Support Sheet'!A:O,4,0),0)</f>
        <v>0</v>
      </c>
      <c r="AA1458" s="428">
        <f t="shared" si="391"/>
        <v>0</v>
      </c>
      <c r="AB1458" s="429" t="str">
        <f t="shared" si="392"/>
        <v xml:space="preserve"> </v>
      </c>
      <c r="AC1458" s="424">
        <f t="shared" si="393"/>
        <v>0</v>
      </c>
      <c r="AD1458" s="371">
        <f t="shared" si="394"/>
        <v>0</v>
      </c>
      <c r="AE1458" s="748">
        <f t="shared" si="395"/>
        <v>1</v>
      </c>
      <c r="AF1458" s="417">
        <f t="shared" si="396"/>
        <v>0.66666666666666663</v>
      </c>
      <c r="AG1458" s="416">
        <f t="shared" si="397"/>
        <v>7.333333333333333</v>
      </c>
      <c r="AH1458" s="372">
        <f t="shared" si="398"/>
        <v>0.91666666666666663</v>
      </c>
      <c r="AI1458" s="373">
        <f t="shared" si="399"/>
        <v>900</v>
      </c>
      <c r="AJ1458" s="418">
        <f>VLOOKUP(D1458,'Standard Cycle time'!C:D,2,0)</f>
        <v>3.5</v>
      </c>
      <c r="AK1458" s="418">
        <f t="shared" si="400"/>
        <v>3.6666666666666665</v>
      </c>
      <c r="AL1458" s="374">
        <f t="shared" si="401"/>
        <v>0.95454545454545459</v>
      </c>
      <c r="AM1458" s="372">
        <f t="shared" si="402"/>
        <v>0.875</v>
      </c>
      <c r="AN1458" s="799">
        <v>0.875</v>
      </c>
      <c r="AO1458" s="448"/>
      <c r="AP1458" s="440">
        <v>40</v>
      </c>
      <c r="AQ1458" s="440">
        <v>0</v>
      </c>
      <c r="AR1458" s="440">
        <v>0</v>
      </c>
      <c r="AS1458" s="440">
        <v>0</v>
      </c>
      <c r="AT1458" s="440">
        <v>0</v>
      </c>
      <c r="AU1458" s="440">
        <v>0</v>
      </c>
      <c r="AV1458" s="440">
        <v>0</v>
      </c>
      <c r="AW1458" s="440">
        <v>0</v>
      </c>
      <c r="AX1458" s="440">
        <v>0</v>
      </c>
      <c r="AY1458" s="440">
        <v>0</v>
      </c>
      <c r="AZ1458" s="440">
        <v>0</v>
      </c>
      <c r="BA1458" s="440">
        <v>0</v>
      </c>
      <c r="BB1458" s="440">
        <v>0</v>
      </c>
      <c r="BC1458" s="440">
        <v>0</v>
      </c>
      <c r="BD1458" s="440">
        <v>0</v>
      </c>
      <c r="BE1458" s="440">
        <v>0</v>
      </c>
      <c r="BF1458" s="440">
        <v>0</v>
      </c>
      <c r="BG1458" s="440">
        <v>0</v>
      </c>
      <c r="BH1458" s="440">
        <v>0</v>
      </c>
      <c r="BI1458" s="440">
        <v>0</v>
      </c>
      <c r="BJ1458" s="440">
        <v>0</v>
      </c>
      <c r="BK1458" s="440">
        <v>0</v>
      </c>
      <c r="BL1458" s="440">
        <v>0</v>
      </c>
      <c r="BM1458" s="440">
        <v>0</v>
      </c>
      <c r="BN1458" s="440">
        <v>0</v>
      </c>
      <c r="BO1458" s="440">
        <v>0</v>
      </c>
      <c r="BP1458" s="440">
        <v>0</v>
      </c>
      <c r="BQ1458" s="440">
        <v>0</v>
      </c>
      <c r="BR1458" s="415">
        <v>0.66666666666666663</v>
      </c>
      <c r="BS1458" s="415">
        <v>0.66666666666666663</v>
      </c>
      <c r="BT1458" s="935"/>
      <c r="BU1458" s="935"/>
      <c r="BV1458" s="935"/>
      <c r="BW1458" s="935"/>
      <c r="BX1458" s="935"/>
      <c r="BY1458" s="935"/>
      <c r="BZ1458" s="935"/>
      <c r="CA1458" s="935"/>
      <c r="CB1458" s="935"/>
      <c r="CC1458" s="935"/>
      <c r="CD1458" s="935"/>
      <c r="CE1458" s="935"/>
      <c r="CF1458" s="935"/>
      <c r="CG1458" s="935"/>
      <c r="CH1458" s="935"/>
      <c r="CI1458" s="935"/>
      <c r="CJ1458" s="935"/>
      <c r="CK1458" s="935"/>
      <c r="CL1458" s="935"/>
      <c r="CM1458" s="935"/>
      <c r="CN1458" s="935"/>
      <c r="CO1458" s="935"/>
      <c r="CP1458" s="935"/>
      <c r="CQ1458" s="935"/>
      <c r="CR1458" s="935"/>
      <c r="CS1458" s="935"/>
      <c r="CT1458" s="935"/>
      <c r="CU1458" s="935"/>
      <c r="CV1458" s="935"/>
    </row>
    <row r="1459" spans="1:104" s="441" customFormat="1">
      <c r="A1459" s="375">
        <f t="shared" si="388"/>
        <v>11</v>
      </c>
      <c r="B1459" s="862">
        <v>44527</v>
      </c>
      <c r="C1459" s="493" t="s">
        <v>2001</v>
      </c>
      <c r="D1459" s="376" t="str">
        <f>IFERROR(VLOOKUP(E:E,'Item Data Support Sheet'!A:O,7,0),"")</f>
        <v>CAP MOLDED</v>
      </c>
      <c r="E1459" s="447" t="s">
        <v>2107</v>
      </c>
      <c r="F1459" s="500" t="s">
        <v>4140</v>
      </c>
      <c r="G1459" s="497" t="s">
        <v>2729</v>
      </c>
      <c r="H1459" s="602" t="str">
        <f>IFERROR(VLOOKUP(E:E,'Item Data Support Sheet'!A:O,2,0),"")</f>
        <v>CAP S TYPE MOLDED PINK</v>
      </c>
      <c r="I1459" s="501" t="s">
        <v>4234</v>
      </c>
      <c r="J1459" s="501" t="s">
        <v>2811</v>
      </c>
      <c r="K1459" s="499">
        <v>8</v>
      </c>
      <c r="L1459" s="499">
        <v>4137</v>
      </c>
      <c r="M1459" s="366">
        <v>517.125</v>
      </c>
      <c r="N1459" s="367">
        <f t="shared" si="387"/>
        <v>4612</v>
      </c>
      <c r="O1459" s="61">
        <v>4600</v>
      </c>
      <c r="P1459" s="368">
        <v>0.2</v>
      </c>
      <c r="Q1459" s="368">
        <v>4</v>
      </c>
      <c r="R1459" s="494">
        <v>0</v>
      </c>
      <c r="S1459" s="493">
        <v>0</v>
      </c>
      <c r="T1459" s="494">
        <v>8</v>
      </c>
      <c r="U1459" s="493">
        <v>0</v>
      </c>
      <c r="V1459" s="502">
        <v>1</v>
      </c>
      <c r="W1459" s="453">
        <f t="shared" si="389"/>
        <v>4600</v>
      </c>
      <c r="X1459" s="748">
        <f t="shared" si="390"/>
        <v>1.111916847957457</v>
      </c>
      <c r="Y1459" s="451" t="str">
        <f>IFERROR(VLOOKUP(E:E,'Item Data Support Sheet'!A:J,6,0),0)</f>
        <v>RM000123</v>
      </c>
      <c r="Z1459" s="428">
        <f>IFERROR(VLOOKUP(E:E,'Item Data Support Sheet'!A:O,4,0),0)</f>
        <v>7.3</v>
      </c>
      <c r="AA1459" s="428">
        <f t="shared" si="391"/>
        <v>33.867600000000003</v>
      </c>
      <c r="AB1459" s="429">
        <f t="shared" si="392"/>
        <v>0.99150810804426637</v>
      </c>
      <c r="AC1459" s="424">
        <f t="shared" si="393"/>
        <v>1.736111111111111E-3</v>
      </c>
      <c r="AD1459" s="371">
        <f t="shared" si="394"/>
        <v>8.6655112651646442E-4</v>
      </c>
      <c r="AE1459" s="748">
        <f t="shared" si="395"/>
        <v>0.99826539462272335</v>
      </c>
      <c r="AF1459" s="417">
        <f t="shared" si="396"/>
        <v>0</v>
      </c>
      <c r="AG1459" s="416">
        <f t="shared" si="397"/>
        <v>8</v>
      </c>
      <c r="AH1459" s="372">
        <f t="shared" si="398"/>
        <v>1</v>
      </c>
      <c r="AI1459" s="373">
        <f t="shared" si="399"/>
        <v>575</v>
      </c>
      <c r="AJ1459" s="418">
        <f>VLOOKUP(D1459,'Standard Cycle time'!C:D,2,0)</f>
        <v>6</v>
      </c>
      <c r="AK1459" s="418">
        <f t="shared" si="400"/>
        <v>6.2608695652173916</v>
      </c>
      <c r="AL1459" s="374">
        <f t="shared" si="401"/>
        <v>0.95833333333333326</v>
      </c>
      <c r="AM1459" s="372">
        <f t="shared" si="402"/>
        <v>0.95667100318010978</v>
      </c>
      <c r="AN1459" s="799">
        <v>0.95667100318010978</v>
      </c>
      <c r="AO1459" s="448"/>
      <c r="AP1459" s="440">
        <v>0</v>
      </c>
      <c r="AQ1459" s="440">
        <v>0</v>
      </c>
      <c r="AR1459" s="440">
        <v>0</v>
      </c>
      <c r="AS1459" s="440">
        <v>0</v>
      </c>
      <c r="AT1459" s="440">
        <v>0</v>
      </c>
      <c r="AU1459" s="440">
        <v>0</v>
      </c>
      <c r="AV1459" s="440">
        <v>0</v>
      </c>
      <c r="AW1459" s="440">
        <v>0</v>
      </c>
      <c r="AX1459" s="440">
        <v>0</v>
      </c>
      <c r="AY1459" s="440">
        <v>0</v>
      </c>
      <c r="AZ1459" s="440">
        <v>0</v>
      </c>
      <c r="BA1459" s="440">
        <v>0</v>
      </c>
      <c r="BB1459" s="440">
        <v>0</v>
      </c>
      <c r="BC1459" s="440">
        <v>0</v>
      </c>
      <c r="BD1459" s="440">
        <v>0</v>
      </c>
      <c r="BE1459" s="440">
        <v>0</v>
      </c>
      <c r="BF1459" s="440">
        <v>0</v>
      </c>
      <c r="BG1459" s="440">
        <v>0</v>
      </c>
      <c r="BH1459" s="440">
        <v>0</v>
      </c>
      <c r="BI1459" s="440">
        <v>0</v>
      </c>
      <c r="BJ1459" s="440">
        <v>0</v>
      </c>
      <c r="BK1459" s="440">
        <v>0</v>
      </c>
      <c r="BL1459" s="440">
        <v>0</v>
      </c>
      <c r="BM1459" s="440">
        <v>0</v>
      </c>
      <c r="BN1459" s="440">
        <v>0</v>
      </c>
      <c r="BO1459" s="440">
        <v>0</v>
      </c>
      <c r="BP1459" s="440">
        <v>0</v>
      </c>
      <c r="BQ1459" s="440">
        <v>0</v>
      </c>
      <c r="BR1459" s="415">
        <v>0</v>
      </c>
      <c r="BS1459" s="415">
        <v>0</v>
      </c>
      <c r="BT1459" s="935"/>
      <c r="BU1459" s="935"/>
      <c r="BV1459" s="935"/>
      <c r="BW1459" s="935"/>
      <c r="BX1459" s="935"/>
      <c r="BY1459" s="935"/>
      <c r="BZ1459" s="935"/>
      <c r="CA1459" s="935"/>
      <c r="CB1459" s="935"/>
      <c r="CC1459" s="935"/>
      <c r="CD1459" s="935"/>
      <c r="CE1459" s="935"/>
      <c r="CF1459" s="935"/>
      <c r="CG1459" s="935"/>
      <c r="CH1459" s="935"/>
      <c r="CI1459" s="935"/>
      <c r="CJ1459" s="935"/>
      <c r="CK1459" s="935"/>
      <c r="CL1459" s="935"/>
      <c r="CM1459" s="935"/>
      <c r="CN1459" s="935"/>
      <c r="CO1459" s="935"/>
      <c r="CP1459" s="935"/>
      <c r="CQ1459" s="935"/>
      <c r="CR1459" s="935"/>
      <c r="CS1459" s="935"/>
      <c r="CT1459" s="935"/>
      <c r="CU1459" s="935"/>
      <c r="CV1459" s="935"/>
      <c r="CZ1459" s="441">
        <v>52.56</v>
      </c>
    </row>
    <row r="1460" spans="1:104" s="441" customFormat="1">
      <c r="A1460" s="375">
        <f t="shared" si="388"/>
        <v>11</v>
      </c>
      <c r="B1460" s="862">
        <v>44527</v>
      </c>
      <c r="C1460" s="493" t="s">
        <v>2001</v>
      </c>
      <c r="D1460" s="376" t="str">
        <f>IFERROR(VLOOKUP(E:E,'Item Data Support Sheet'!A:O,7,0),"")</f>
        <v>NIPPLE MOLDED</v>
      </c>
      <c r="E1460" s="447" t="s">
        <v>74</v>
      </c>
      <c r="F1460" s="500" t="s">
        <v>1678</v>
      </c>
      <c r="G1460" s="497" t="s">
        <v>1691</v>
      </c>
      <c r="H1460" s="602" t="str">
        <f>IFERROR(VLOOKUP(E:E,'Item Data Support Sheet'!A:O,2,0),"")</f>
        <v>NIPPLE S TYPE L SIZE INJECTION</v>
      </c>
      <c r="I1460" s="501" t="s">
        <v>4235</v>
      </c>
      <c r="J1460" s="501" t="s">
        <v>2811</v>
      </c>
      <c r="K1460" s="499">
        <v>8</v>
      </c>
      <c r="L1460" s="499">
        <v>4815</v>
      </c>
      <c r="M1460" s="366">
        <v>601.875</v>
      </c>
      <c r="N1460" s="367">
        <f t="shared" si="387"/>
        <v>4690</v>
      </c>
      <c r="O1460" s="61">
        <v>4500</v>
      </c>
      <c r="P1460" s="368">
        <v>8.8000000000000007</v>
      </c>
      <c r="Q1460" s="368">
        <v>110</v>
      </c>
      <c r="R1460" s="494">
        <v>0</v>
      </c>
      <c r="S1460" s="493">
        <v>0</v>
      </c>
      <c r="T1460" s="494">
        <v>80</v>
      </c>
      <c r="U1460" s="493">
        <v>0</v>
      </c>
      <c r="V1460" s="502">
        <v>1</v>
      </c>
      <c r="W1460" s="453">
        <f t="shared" si="389"/>
        <v>4500</v>
      </c>
      <c r="X1460" s="748">
        <f t="shared" si="390"/>
        <v>0.93457943925233644</v>
      </c>
      <c r="Y1460" s="451" t="str">
        <f>IFERROR(VLOOKUP(E:E,'Item Data Support Sheet'!A:J,6,0),0)</f>
        <v>Silicon</v>
      </c>
      <c r="Z1460" s="428">
        <f>IFERROR(VLOOKUP(E:E,'Item Data Support Sheet'!A:O,4,0),0)</f>
        <v>6.8</v>
      </c>
      <c r="AA1460" s="428">
        <f t="shared" si="391"/>
        <v>40.692</v>
      </c>
      <c r="AB1460" s="429">
        <f t="shared" si="392"/>
        <v>0.7519905632556767</v>
      </c>
      <c r="AC1460" s="424">
        <f t="shared" si="393"/>
        <v>1.7467248908296942E-2</v>
      </c>
      <c r="AD1460" s="371">
        <f t="shared" si="394"/>
        <v>2.2916666666666665E-2</v>
      </c>
      <c r="AE1460" s="748">
        <f t="shared" si="395"/>
        <v>0.98294243070362475</v>
      </c>
      <c r="AF1460" s="417">
        <f t="shared" si="396"/>
        <v>1.5</v>
      </c>
      <c r="AG1460" s="416">
        <f t="shared" si="397"/>
        <v>6.5</v>
      </c>
      <c r="AH1460" s="372">
        <f t="shared" si="398"/>
        <v>0.8125</v>
      </c>
      <c r="AI1460" s="373">
        <f t="shared" si="399"/>
        <v>562.5</v>
      </c>
      <c r="AJ1460" s="418">
        <f>VLOOKUP(D1460,'Standard Cycle time'!C:D,2,0)</f>
        <v>5.25</v>
      </c>
      <c r="AK1460" s="418">
        <f t="shared" si="400"/>
        <v>5.2</v>
      </c>
      <c r="AL1460" s="374">
        <f t="shared" si="401"/>
        <v>1.0096153846153846</v>
      </c>
      <c r="AM1460" s="372">
        <f t="shared" si="402"/>
        <v>0.80631996268656714</v>
      </c>
      <c r="AN1460" s="799">
        <v>0.80631996268656714</v>
      </c>
      <c r="AO1460" s="448" t="s">
        <v>4236</v>
      </c>
      <c r="AP1460" s="440">
        <v>0</v>
      </c>
      <c r="AQ1460" s="440">
        <v>0</v>
      </c>
      <c r="AR1460" s="440">
        <v>0</v>
      </c>
      <c r="AS1460" s="440">
        <v>0</v>
      </c>
      <c r="AT1460" s="440">
        <v>0</v>
      </c>
      <c r="AU1460" s="440">
        <v>30</v>
      </c>
      <c r="AV1460" s="440">
        <v>0</v>
      </c>
      <c r="AW1460" s="440">
        <v>0</v>
      </c>
      <c r="AX1460" s="440">
        <v>60</v>
      </c>
      <c r="AY1460" s="440">
        <v>0</v>
      </c>
      <c r="AZ1460" s="440">
        <v>0</v>
      </c>
      <c r="BA1460" s="440">
        <v>0</v>
      </c>
      <c r="BB1460" s="440">
        <v>0</v>
      </c>
      <c r="BC1460" s="440">
        <v>0</v>
      </c>
      <c r="BD1460" s="440">
        <v>0</v>
      </c>
      <c r="BE1460" s="440">
        <v>0</v>
      </c>
      <c r="BF1460" s="440">
        <v>0</v>
      </c>
      <c r="BG1460" s="440">
        <v>0</v>
      </c>
      <c r="BH1460" s="440">
        <v>0</v>
      </c>
      <c r="BI1460" s="440">
        <v>0</v>
      </c>
      <c r="BJ1460" s="440">
        <v>0</v>
      </c>
      <c r="BK1460" s="440">
        <v>0</v>
      </c>
      <c r="BL1460" s="440">
        <v>0</v>
      </c>
      <c r="BM1460" s="440">
        <v>0</v>
      </c>
      <c r="BN1460" s="440">
        <v>0</v>
      </c>
      <c r="BO1460" s="440">
        <v>0</v>
      </c>
      <c r="BP1460" s="440">
        <v>0</v>
      </c>
      <c r="BQ1460" s="440">
        <v>0</v>
      </c>
      <c r="BR1460" s="415">
        <v>1.5</v>
      </c>
      <c r="BS1460" s="415">
        <v>1.5</v>
      </c>
      <c r="BT1460" s="935"/>
      <c r="BU1460" s="935"/>
      <c r="BV1460" s="935"/>
      <c r="BW1460" s="935"/>
      <c r="BX1460" s="935"/>
      <c r="BY1460" s="935"/>
      <c r="BZ1460" s="935"/>
      <c r="CA1460" s="935"/>
      <c r="CB1460" s="935"/>
      <c r="CC1460" s="935"/>
      <c r="CD1460" s="935"/>
      <c r="CE1460" s="935"/>
      <c r="CF1460" s="935"/>
      <c r="CG1460" s="935"/>
      <c r="CH1460" s="935"/>
      <c r="CI1460" s="935"/>
      <c r="CJ1460" s="935"/>
      <c r="CK1460" s="935"/>
      <c r="CL1460" s="935"/>
      <c r="CM1460" s="935"/>
      <c r="CN1460" s="935"/>
      <c r="CO1460" s="935"/>
      <c r="CP1460" s="935"/>
      <c r="CQ1460" s="935"/>
      <c r="CR1460" s="935"/>
      <c r="CS1460" s="935"/>
      <c r="CT1460" s="935"/>
      <c r="CU1460" s="935"/>
      <c r="CV1460" s="935"/>
    </row>
    <row r="1461" spans="1:104" s="441" customFormat="1">
      <c r="A1461" s="375">
        <f t="shared" si="388"/>
        <v>11</v>
      </c>
      <c r="B1461" s="862">
        <v>44527</v>
      </c>
      <c r="C1461" s="493" t="s">
        <v>2001</v>
      </c>
      <c r="D1461" s="376" t="str">
        <f>IFERROR(VLOOKUP(E:E,'Item Data Support Sheet'!A:O,7,0),"")</f>
        <v>NIPPLE MOLDED</v>
      </c>
      <c r="E1461" s="447" t="s">
        <v>75</v>
      </c>
      <c r="F1461" s="500" t="s">
        <v>1677</v>
      </c>
      <c r="G1461" s="497" t="s">
        <v>1690</v>
      </c>
      <c r="H1461" s="602" t="str">
        <f>IFERROR(VLOOKUP(E:E,'Item Data Support Sheet'!A:O,2,0),"")</f>
        <v>NIPPLE S TYPE Y SIZE INJECTION</v>
      </c>
      <c r="I1461" s="501" t="s">
        <v>4235</v>
      </c>
      <c r="J1461" s="501" t="s">
        <v>2811</v>
      </c>
      <c r="K1461" s="499">
        <v>8</v>
      </c>
      <c r="L1461" s="499">
        <v>3611</v>
      </c>
      <c r="M1461" s="366">
        <v>451.375</v>
      </c>
      <c r="N1461" s="367">
        <f t="shared" si="387"/>
        <v>2666</v>
      </c>
      <c r="O1461" s="61">
        <v>2400</v>
      </c>
      <c r="P1461" s="368">
        <v>0</v>
      </c>
      <c r="Q1461" s="368">
        <v>160</v>
      </c>
      <c r="R1461" s="494">
        <v>0</v>
      </c>
      <c r="S1461" s="493">
        <v>0</v>
      </c>
      <c r="T1461" s="494">
        <v>106</v>
      </c>
      <c r="U1461" s="493">
        <v>0</v>
      </c>
      <c r="V1461" s="502">
        <v>1</v>
      </c>
      <c r="W1461" s="453">
        <f t="shared" si="389"/>
        <v>2400</v>
      </c>
      <c r="X1461" s="748">
        <f t="shared" si="390"/>
        <v>0.66463583494876766</v>
      </c>
      <c r="Y1461" s="451" t="str">
        <f>IFERROR(VLOOKUP(E:E,'Item Data Support Sheet'!A:J,6,0),0)</f>
        <v>Silicon</v>
      </c>
      <c r="Z1461" s="428">
        <f>IFERROR(VLOOKUP(E:E,'Item Data Support Sheet'!A:O,4,0),0)</f>
        <v>6.8</v>
      </c>
      <c r="AA1461" s="428">
        <f t="shared" si="391"/>
        <v>18.128799999999998</v>
      </c>
      <c r="AB1461" s="429">
        <f t="shared" si="392"/>
        <v>0.90022505626406613</v>
      </c>
      <c r="AC1461" s="424">
        <f t="shared" si="393"/>
        <v>4.2298483639265763E-2</v>
      </c>
      <c r="AD1461" s="371">
        <f t="shared" si="394"/>
        <v>5.6617126680820945E-2</v>
      </c>
      <c r="AE1461" s="748">
        <f t="shared" si="395"/>
        <v>0.96024006001500373</v>
      </c>
      <c r="AF1461" s="417">
        <f t="shared" si="396"/>
        <v>0</v>
      </c>
      <c r="AG1461" s="416">
        <f t="shared" si="397"/>
        <v>8</v>
      </c>
      <c r="AH1461" s="372">
        <f t="shared" si="398"/>
        <v>1</v>
      </c>
      <c r="AI1461" s="373">
        <f t="shared" si="399"/>
        <v>300</v>
      </c>
      <c r="AJ1461" s="418">
        <f>VLOOKUP(D1461,'Standard Cycle time'!C:D,2,0)</f>
        <v>5.25</v>
      </c>
      <c r="AK1461" s="418">
        <f t="shared" si="400"/>
        <v>12</v>
      </c>
      <c r="AL1461" s="374">
        <f t="shared" si="401"/>
        <v>0.4375</v>
      </c>
      <c r="AM1461" s="372">
        <f t="shared" si="402"/>
        <v>0.42010502625656415</v>
      </c>
      <c r="AN1461" s="799">
        <v>0.42010502625656415</v>
      </c>
      <c r="AO1461" s="448" t="s">
        <v>4237</v>
      </c>
      <c r="AP1461" s="440">
        <v>0</v>
      </c>
      <c r="AQ1461" s="440">
        <v>0</v>
      </c>
      <c r="AR1461" s="440">
        <v>0</v>
      </c>
      <c r="AS1461" s="440">
        <v>0</v>
      </c>
      <c r="AT1461" s="440">
        <v>0</v>
      </c>
      <c r="AU1461" s="440">
        <v>0</v>
      </c>
      <c r="AV1461" s="440">
        <v>0</v>
      </c>
      <c r="AW1461" s="440">
        <v>0</v>
      </c>
      <c r="AX1461" s="440">
        <v>0</v>
      </c>
      <c r="AY1461" s="440">
        <v>0</v>
      </c>
      <c r="AZ1461" s="440">
        <v>0</v>
      </c>
      <c r="BA1461" s="440">
        <v>0</v>
      </c>
      <c r="BB1461" s="440">
        <v>0</v>
      </c>
      <c r="BC1461" s="440">
        <v>0</v>
      </c>
      <c r="BD1461" s="440">
        <v>0</v>
      </c>
      <c r="BE1461" s="440">
        <v>0</v>
      </c>
      <c r="BF1461" s="440">
        <v>0</v>
      </c>
      <c r="BG1461" s="440">
        <v>0</v>
      </c>
      <c r="BH1461" s="440">
        <v>0</v>
      </c>
      <c r="BI1461" s="440">
        <v>0</v>
      </c>
      <c r="BJ1461" s="440">
        <v>0</v>
      </c>
      <c r="BK1461" s="440">
        <v>0</v>
      </c>
      <c r="BL1461" s="440">
        <v>0</v>
      </c>
      <c r="BM1461" s="440">
        <v>0</v>
      </c>
      <c r="BN1461" s="440">
        <v>0</v>
      </c>
      <c r="BO1461" s="440">
        <v>0</v>
      </c>
      <c r="BP1461" s="440">
        <v>0</v>
      </c>
      <c r="BQ1461" s="440">
        <v>0</v>
      </c>
      <c r="BR1461" s="415">
        <v>0</v>
      </c>
      <c r="BS1461" s="415">
        <v>0</v>
      </c>
      <c r="BT1461" s="935"/>
      <c r="BU1461" s="935"/>
      <c r="BV1461" s="935"/>
      <c r="BW1461" s="935"/>
      <c r="BX1461" s="935"/>
      <c r="BY1461" s="935"/>
      <c r="BZ1461" s="935"/>
      <c r="CA1461" s="935"/>
      <c r="CB1461" s="935"/>
      <c r="CC1461" s="935"/>
      <c r="CD1461" s="935"/>
      <c r="CE1461" s="935"/>
      <c r="CF1461" s="935"/>
      <c r="CG1461" s="935"/>
      <c r="CH1461" s="935"/>
      <c r="CI1461" s="935"/>
      <c r="CJ1461" s="935"/>
      <c r="CK1461" s="935"/>
      <c r="CL1461" s="935"/>
      <c r="CM1461" s="935"/>
      <c r="CN1461" s="935"/>
      <c r="CO1461" s="935"/>
      <c r="CP1461" s="935"/>
      <c r="CQ1461" s="935"/>
      <c r="CR1461" s="935"/>
      <c r="CS1461" s="935"/>
      <c r="CT1461" s="935"/>
      <c r="CU1461" s="935"/>
      <c r="CV1461" s="935"/>
    </row>
    <row r="1462" spans="1:104" s="441" customFormat="1">
      <c r="A1462" s="375">
        <f t="shared" si="388"/>
        <v>11</v>
      </c>
      <c r="B1462" s="862">
        <v>44527</v>
      </c>
      <c r="C1462" s="493" t="s">
        <v>2001</v>
      </c>
      <c r="D1462" s="376" t="str">
        <f>IFERROR(VLOOKUP(E:E,'Item Data Support Sheet'!A:O,7,0),"")</f>
        <v>BOTTLE MOLDED</v>
      </c>
      <c r="E1462" s="447" t="s">
        <v>65</v>
      </c>
      <c r="F1462" s="500" t="s">
        <v>1680</v>
      </c>
      <c r="G1462" s="497" t="s">
        <v>1665</v>
      </c>
      <c r="H1462" s="602" t="str">
        <f>IFERROR(VLOOKUP(E:E,'Item Data Support Sheet'!A:O,2,0),"")</f>
        <v>KPP 120 ML BOTTLE MOLDED</v>
      </c>
      <c r="I1462" s="501" t="s">
        <v>4238</v>
      </c>
      <c r="J1462" s="501" t="s">
        <v>2811</v>
      </c>
      <c r="K1462" s="499">
        <v>8</v>
      </c>
      <c r="L1462" s="499">
        <v>2574</v>
      </c>
      <c r="M1462" s="366">
        <v>321.75</v>
      </c>
      <c r="N1462" s="367">
        <f t="shared" si="387"/>
        <v>2250</v>
      </c>
      <c r="O1462" s="61">
        <v>2160</v>
      </c>
      <c r="P1462" s="368">
        <v>0</v>
      </c>
      <c r="Q1462" s="368">
        <v>55</v>
      </c>
      <c r="R1462" s="494">
        <v>0</v>
      </c>
      <c r="S1462" s="493">
        <v>0</v>
      </c>
      <c r="T1462" s="494">
        <v>35</v>
      </c>
      <c r="U1462" s="493">
        <v>0</v>
      </c>
      <c r="V1462" s="502">
        <v>1</v>
      </c>
      <c r="W1462" s="453">
        <f t="shared" si="389"/>
        <v>2160</v>
      </c>
      <c r="X1462" s="748">
        <f t="shared" si="390"/>
        <v>0.83916083916083917</v>
      </c>
      <c r="Y1462" s="451" t="str">
        <f>IFERROR(VLOOKUP(E:E,'Item Data Support Sheet'!A:J,6,0),0)</f>
        <v>HMC</v>
      </c>
      <c r="Z1462" s="428">
        <f>IFERROR(VLOOKUP(E:E,'Item Data Support Sheet'!A:O,4,0),0)</f>
        <v>21.3</v>
      </c>
      <c r="AA1462" s="428">
        <f t="shared" si="391"/>
        <v>47.924999999999997</v>
      </c>
      <c r="AB1462" s="429">
        <f t="shared" si="392"/>
        <v>0.96</v>
      </c>
      <c r="AC1462" s="424">
        <f t="shared" si="393"/>
        <v>1.5945330296127564E-2</v>
      </c>
      <c r="AD1462" s="371">
        <f t="shared" si="394"/>
        <v>2.3861171366594359E-2</v>
      </c>
      <c r="AE1462" s="748">
        <f t="shared" si="395"/>
        <v>0.98444444444444446</v>
      </c>
      <c r="AF1462" s="417">
        <f t="shared" si="396"/>
        <v>0</v>
      </c>
      <c r="AG1462" s="416">
        <f t="shared" si="397"/>
        <v>8</v>
      </c>
      <c r="AH1462" s="372">
        <f t="shared" si="398"/>
        <v>1</v>
      </c>
      <c r="AI1462" s="373">
        <f t="shared" si="399"/>
        <v>270</v>
      </c>
      <c r="AJ1462" s="418">
        <f>VLOOKUP(D1462,'Standard Cycle time'!C:D,2,0)</f>
        <v>9</v>
      </c>
      <c r="AK1462" s="418">
        <f t="shared" si="400"/>
        <v>13.333333333333334</v>
      </c>
      <c r="AL1462" s="374">
        <f t="shared" si="401"/>
        <v>0.67499999999999993</v>
      </c>
      <c r="AM1462" s="372">
        <f t="shared" si="402"/>
        <v>0.66449999999999998</v>
      </c>
      <c r="AN1462" s="799">
        <v>0.66449999999999998</v>
      </c>
      <c r="AO1462" s="448"/>
      <c r="AP1462" s="440">
        <v>0</v>
      </c>
      <c r="AQ1462" s="440">
        <v>0</v>
      </c>
      <c r="AR1462" s="440">
        <v>0</v>
      </c>
      <c r="AS1462" s="440">
        <v>0</v>
      </c>
      <c r="AT1462" s="440">
        <v>0</v>
      </c>
      <c r="AU1462" s="440">
        <v>0</v>
      </c>
      <c r="AV1462" s="440">
        <v>0</v>
      </c>
      <c r="AW1462" s="440">
        <v>0</v>
      </c>
      <c r="AX1462" s="440">
        <v>0</v>
      </c>
      <c r="AY1462" s="440">
        <v>0</v>
      </c>
      <c r="AZ1462" s="440">
        <v>0</v>
      </c>
      <c r="BA1462" s="440">
        <v>0</v>
      </c>
      <c r="BB1462" s="440">
        <v>0</v>
      </c>
      <c r="BC1462" s="440">
        <v>0</v>
      </c>
      <c r="BD1462" s="440">
        <v>0</v>
      </c>
      <c r="BE1462" s="440">
        <v>0</v>
      </c>
      <c r="BF1462" s="440">
        <v>0</v>
      </c>
      <c r="BG1462" s="440">
        <v>0</v>
      </c>
      <c r="BH1462" s="440">
        <v>0</v>
      </c>
      <c r="BI1462" s="440">
        <v>0</v>
      </c>
      <c r="BJ1462" s="440">
        <v>0</v>
      </c>
      <c r="BK1462" s="440">
        <v>0</v>
      </c>
      <c r="BL1462" s="440">
        <v>0</v>
      </c>
      <c r="BM1462" s="440">
        <v>0</v>
      </c>
      <c r="BN1462" s="440">
        <v>0</v>
      </c>
      <c r="BO1462" s="440">
        <v>0</v>
      </c>
      <c r="BP1462" s="440">
        <v>0</v>
      </c>
      <c r="BQ1462" s="440">
        <v>0</v>
      </c>
      <c r="BR1462" s="415">
        <v>0</v>
      </c>
      <c r="BS1462" s="415">
        <v>0</v>
      </c>
      <c r="BT1462" s="935"/>
      <c r="BU1462" s="935"/>
      <c r="BV1462" s="935"/>
      <c r="BW1462" s="935"/>
      <c r="BX1462" s="935"/>
      <c r="BY1462" s="935"/>
      <c r="BZ1462" s="935"/>
      <c r="CA1462" s="935"/>
      <c r="CB1462" s="935"/>
      <c r="CC1462" s="935"/>
      <c r="CD1462" s="935"/>
      <c r="CE1462" s="935"/>
      <c r="CF1462" s="935"/>
      <c r="CG1462" s="935"/>
      <c r="CH1462" s="935"/>
      <c r="CI1462" s="935"/>
      <c r="CJ1462" s="935"/>
      <c r="CK1462" s="935"/>
      <c r="CL1462" s="935"/>
      <c r="CM1462" s="935"/>
      <c r="CN1462" s="935"/>
      <c r="CO1462" s="935"/>
      <c r="CP1462" s="935"/>
      <c r="CQ1462" s="935"/>
      <c r="CR1462" s="935"/>
      <c r="CS1462" s="935"/>
      <c r="CT1462" s="935"/>
      <c r="CU1462" s="935"/>
      <c r="CV1462" s="935"/>
    </row>
    <row r="1463" spans="1:104" s="441" customFormat="1">
      <c r="A1463" s="375">
        <f t="shared" si="388"/>
        <v>11</v>
      </c>
      <c r="B1463" s="862">
        <v>44527</v>
      </c>
      <c r="C1463" s="493" t="s">
        <v>2001</v>
      </c>
      <c r="D1463" s="376" t="str">
        <f>IFERROR(VLOOKUP(E:E,'Item Data Support Sheet'!A:O,7,0),"")</f>
        <v>BOTTLE MOLDED</v>
      </c>
      <c r="E1463" s="447" t="s">
        <v>66</v>
      </c>
      <c r="F1463" s="500" t="s">
        <v>1664</v>
      </c>
      <c r="G1463" s="497" t="s">
        <v>1888</v>
      </c>
      <c r="H1463" s="602" t="str">
        <f>IFERROR(VLOOKUP(E:E,'Item Data Support Sheet'!A:O,2,0),"")</f>
        <v>KPP 200 ML BOTTLE MOLDED</v>
      </c>
      <c r="I1463" s="501" t="s">
        <v>4223</v>
      </c>
      <c r="J1463" s="501" t="s">
        <v>2811</v>
      </c>
      <c r="K1463" s="499">
        <v>8</v>
      </c>
      <c r="L1463" s="499">
        <v>2574</v>
      </c>
      <c r="M1463" s="366">
        <v>321.75</v>
      </c>
      <c r="N1463" s="367">
        <f t="shared" si="387"/>
        <v>3280</v>
      </c>
      <c r="O1463" s="61">
        <v>3240</v>
      </c>
      <c r="P1463" s="368">
        <v>0</v>
      </c>
      <c r="Q1463" s="368">
        <v>0</v>
      </c>
      <c r="R1463" s="494">
        <v>0</v>
      </c>
      <c r="S1463" s="493">
        <v>0</v>
      </c>
      <c r="T1463" s="494">
        <v>40</v>
      </c>
      <c r="U1463" s="493">
        <v>0</v>
      </c>
      <c r="V1463" s="502">
        <v>1</v>
      </c>
      <c r="W1463" s="453">
        <f t="shared" si="389"/>
        <v>3240</v>
      </c>
      <c r="X1463" s="748">
        <f t="shared" si="390"/>
        <v>1.2587412587412588</v>
      </c>
      <c r="Y1463" s="451" t="str">
        <f>IFERROR(VLOOKUP(E:E,'Item Data Support Sheet'!A:J,6,0),0)</f>
        <v>HMC</v>
      </c>
      <c r="Z1463" s="428">
        <f>IFERROR(VLOOKUP(E:E,'Item Data Support Sheet'!A:O,4,0),0)</f>
        <v>28.1</v>
      </c>
      <c r="AA1463" s="428">
        <f t="shared" si="391"/>
        <v>92.168000000000006</v>
      </c>
      <c r="AB1463" s="429">
        <f t="shared" si="392"/>
        <v>0.98780487804878037</v>
      </c>
      <c r="AC1463" s="424">
        <f t="shared" si="393"/>
        <v>1.2195121951219513E-2</v>
      </c>
      <c r="AD1463" s="371">
        <f t="shared" si="394"/>
        <v>0</v>
      </c>
      <c r="AE1463" s="748">
        <f t="shared" si="395"/>
        <v>0.98780487804878048</v>
      </c>
      <c r="AF1463" s="417">
        <f t="shared" si="396"/>
        <v>0</v>
      </c>
      <c r="AG1463" s="416">
        <f t="shared" si="397"/>
        <v>8</v>
      </c>
      <c r="AH1463" s="372">
        <f t="shared" si="398"/>
        <v>1</v>
      </c>
      <c r="AI1463" s="373">
        <f t="shared" si="399"/>
        <v>405</v>
      </c>
      <c r="AJ1463" s="418">
        <f>VLOOKUP(D1463,'Standard Cycle time'!C:D,2,0)</f>
        <v>9</v>
      </c>
      <c r="AK1463" s="418">
        <f t="shared" si="400"/>
        <v>8.8888888888888893</v>
      </c>
      <c r="AL1463" s="374">
        <f t="shared" si="401"/>
        <v>1.0125</v>
      </c>
      <c r="AM1463" s="372">
        <f t="shared" si="402"/>
        <v>1.0001524390243901</v>
      </c>
      <c r="AN1463" s="799">
        <v>1.0001524390243901</v>
      </c>
      <c r="AO1463" s="448"/>
      <c r="AP1463" s="440">
        <v>0</v>
      </c>
      <c r="AQ1463" s="440">
        <v>0</v>
      </c>
      <c r="AR1463" s="440">
        <v>0</v>
      </c>
      <c r="AS1463" s="440">
        <v>0</v>
      </c>
      <c r="AT1463" s="440">
        <v>0</v>
      </c>
      <c r="AU1463" s="440">
        <v>0</v>
      </c>
      <c r="AV1463" s="440">
        <v>0</v>
      </c>
      <c r="AW1463" s="440">
        <v>0</v>
      </c>
      <c r="AX1463" s="440">
        <v>0</v>
      </c>
      <c r="AY1463" s="440">
        <v>0</v>
      </c>
      <c r="AZ1463" s="440">
        <v>0</v>
      </c>
      <c r="BA1463" s="440">
        <v>0</v>
      </c>
      <c r="BB1463" s="440">
        <v>0</v>
      </c>
      <c r="BC1463" s="440">
        <v>0</v>
      </c>
      <c r="BD1463" s="440">
        <v>0</v>
      </c>
      <c r="BE1463" s="440">
        <v>0</v>
      </c>
      <c r="BF1463" s="440">
        <v>0</v>
      </c>
      <c r="BG1463" s="440">
        <v>0</v>
      </c>
      <c r="BH1463" s="440">
        <v>0</v>
      </c>
      <c r="BI1463" s="440">
        <v>0</v>
      </c>
      <c r="BJ1463" s="440">
        <v>0</v>
      </c>
      <c r="BK1463" s="440">
        <v>0</v>
      </c>
      <c r="BL1463" s="440">
        <v>0</v>
      </c>
      <c r="BM1463" s="440">
        <v>0</v>
      </c>
      <c r="BN1463" s="440">
        <v>0</v>
      </c>
      <c r="BO1463" s="440">
        <v>0</v>
      </c>
      <c r="BP1463" s="440">
        <v>0</v>
      </c>
      <c r="BQ1463" s="440">
        <v>0</v>
      </c>
      <c r="BR1463" s="415">
        <v>0</v>
      </c>
      <c r="BS1463" s="415">
        <v>0</v>
      </c>
      <c r="BT1463" s="935"/>
      <c r="BU1463" s="935"/>
      <c r="BV1463" s="935"/>
      <c r="BW1463" s="935"/>
      <c r="BX1463" s="935"/>
      <c r="BY1463" s="935"/>
      <c r="BZ1463" s="935"/>
      <c r="CA1463" s="935"/>
      <c r="CB1463" s="935"/>
      <c r="CC1463" s="935"/>
      <c r="CD1463" s="935"/>
      <c r="CE1463" s="935"/>
      <c r="CF1463" s="935"/>
      <c r="CG1463" s="935"/>
      <c r="CH1463" s="935"/>
      <c r="CI1463" s="935"/>
      <c r="CJ1463" s="935"/>
      <c r="CK1463" s="935"/>
      <c r="CL1463" s="935"/>
      <c r="CM1463" s="935"/>
      <c r="CN1463" s="935"/>
      <c r="CO1463" s="935"/>
      <c r="CP1463" s="935"/>
      <c r="CQ1463" s="935"/>
      <c r="CR1463" s="935"/>
      <c r="CS1463" s="935"/>
      <c r="CT1463" s="935"/>
      <c r="CU1463" s="935"/>
      <c r="CV1463" s="935"/>
    </row>
    <row r="1464" spans="1:104" s="441" customFormat="1">
      <c r="A1464" s="375">
        <f t="shared" si="388"/>
        <v>11</v>
      </c>
      <c r="B1464" s="862">
        <v>44527</v>
      </c>
      <c r="C1464" s="493" t="s">
        <v>2053</v>
      </c>
      <c r="D1464" s="376" t="str">
        <f>IFERROR(VLOOKUP(E:E,'Item Data Support Sheet'!A:O,7,0),"")</f>
        <v>NIPPLE PUNCH</v>
      </c>
      <c r="E1464" s="447" t="s">
        <v>82</v>
      </c>
      <c r="F1464" s="500"/>
      <c r="G1464" s="497" t="s">
        <v>1692</v>
      </c>
      <c r="H1464" s="602" t="str">
        <f>IFERROR(VLOOKUP(E:E,'Item Data Support Sheet'!A:O,2,0),"")</f>
        <v>NIPPLE S TYPE L SIZE PUNCHED</v>
      </c>
      <c r="I1464" s="501" t="s">
        <v>4239</v>
      </c>
      <c r="J1464" s="501" t="s">
        <v>3895</v>
      </c>
      <c r="K1464" s="499">
        <v>8</v>
      </c>
      <c r="L1464" s="499">
        <v>7000</v>
      </c>
      <c r="M1464" s="366">
        <v>875</v>
      </c>
      <c r="N1464" s="367">
        <f t="shared" si="387"/>
        <v>6500</v>
      </c>
      <c r="O1464" s="61">
        <v>6500</v>
      </c>
      <c r="P1464" s="368">
        <v>0</v>
      </c>
      <c r="Q1464" s="368">
        <v>0</v>
      </c>
      <c r="R1464" s="494">
        <v>0</v>
      </c>
      <c r="S1464" s="493">
        <v>0</v>
      </c>
      <c r="T1464" s="494">
        <v>0</v>
      </c>
      <c r="U1464" s="493">
        <v>0</v>
      </c>
      <c r="V1464" s="502">
        <v>1</v>
      </c>
      <c r="W1464" s="453">
        <f t="shared" si="389"/>
        <v>6500</v>
      </c>
      <c r="X1464" s="748">
        <f t="shared" si="390"/>
        <v>0.9285714285714286</v>
      </c>
      <c r="Y1464" s="451" t="str">
        <f>IFERROR(VLOOKUP(E:E,'Item Data Support Sheet'!A:J,6,0),0)</f>
        <v>FO017</v>
      </c>
      <c r="Z1464" s="428">
        <f>IFERROR(VLOOKUP(E:E,'Item Data Support Sheet'!A:O,4,0),0)</f>
        <v>0</v>
      </c>
      <c r="AA1464" s="428">
        <f t="shared" si="391"/>
        <v>0</v>
      </c>
      <c r="AB1464" s="429" t="str">
        <f t="shared" si="392"/>
        <v xml:space="preserve"> </v>
      </c>
      <c r="AC1464" s="424">
        <f t="shared" si="393"/>
        <v>0</v>
      </c>
      <c r="AD1464" s="371">
        <f t="shared" si="394"/>
        <v>0</v>
      </c>
      <c r="AE1464" s="748">
        <f t="shared" si="395"/>
        <v>1</v>
      </c>
      <c r="AF1464" s="417">
        <f t="shared" si="396"/>
        <v>0.33333333333333331</v>
      </c>
      <c r="AG1464" s="416">
        <f t="shared" si="397"/>
        <v>7.666666666666667</v>
      </c>
      <c r="AH1464" s="372">
        <f t="shared" si="398"/>
        <v>0.95833333333333337</v>
      </c>
      <c r="AI1464" s="373">
        <f t="shared" si="399"/>
        <v>812.5</v>
      </c>
      <c r="AJ1464" s="418">
        <f>VLOOKUP(D1464,'Standard Cycle time'!C:D,2,0)</f>
        <v>3.5</v>
      </c>
      <c r="AK1464" s="418">
        <f t="shared" si="400"/>
        <v>4.2461538461538462</v>
      </c>
      <c r="AL1464" s="374">
        <f t="shared" si="401"/>
        <v>0.82427536231884058</v>
      </c>
      <c r="AM1464" s="372">
        <f t="shared" si="402"/>
        <v>0.78993055555555558</v>
      </c>
      <c r="AN1464" s="799">
        <v>0.78993055555555558</v>
      </c>
      <c r="AO1464" s="448"/>
      <c r="AP1464" s="440">
        <v>20</v>
      </c>
      <c r="AQ1464" s="440">
        <v>0</v>
      </c>
      <c r="AR1464" s="440">
        <v>0</v>
      </c>
      <c r="AS1464" s="440">
        <v>0</v>
      </c>
      <c r="AT1464" s="440">
        <v>0</v>
      </c>
      <c r="AU1464" s="440">
        <v>0</v>
      </c>
      <c r="AV1464" s="440">
        <v>0</v>
      </c>
      <c r="AW1464" s="440">
        <v>0</v>
      </c>
      <c r="AX1464" s="440">
        <v>0</v>
      </c>
      <c r="AY1464" s="440">
        <v>0</v>
      </c>
      <c r="AZ1464" s="440">
        <v>0</v>
      </c>
      <c r="BA1464" s="440">
        <v>0</v>
      </c>
      <c r="BB1464" s="440">
        <v>0</v>
      </c>
      <c r="BC1464" s="440">
        <v>0</v>
      </c>
      <c r="BD1464" s="440">
        <v>0</v>
      </c>
      <c r="BE1464" s="440">
        <v>0</v>
      </c>
      <c r="BF1464" s="440">
        <v>0</v>
      </c>
      <c r="BG1464" s="440">
        <v>0</v>
      </c>
      <c r="BH1464" s="440">
        <v>0</v>
      </c>
      <c r="BI1464" s="440">
        <v>0</v>
      </c>
      <c r="BJ1464" s="440">
        <v>0</v>
      </c>
      <c r="BK1464" s="440">
        <v>0</v>
      </c>
      <c r="BL1464" s="440">
        <v>0</v>
      </c>
      <c r="BM1464" s="440">
        <v>0</v>
      </c>
      <c r="BN1464" s="440">
        <v>0</v>
      </c>
      <c r="BO1464" s="440">
        <v>0</v>
      </c>
      <c r="BP1464" s="440">
        <v>0</v>
      </c>
      <c r="BQ1464" s="440">
        <v>0</v>
      </c>
      <c r="BR1464" s="415">
        <v>0.33333333333333331</v>
      </c>
      <c r="BS1464" s="415">
        <v>0.33333333333333331</v>
      </c>
      <c r="BT1464" s="935"/>
      <c r="BU1464" s="935"/>
      <c r="BV1464" s="935"/>
      <c r="BW1464" s="935"/>
      <c r="BX1464" s="935"/>
      <c r="BY1464" s="935"/>
      <c r="BZ1464" s="935"/>
      <c r="CA1464" s="935"/>
      <c r="CB1464" s="935"/>
      <c r="CC1464" s="935"/>
      <c r="CD1464" s="935"/>
      <c r="CE1464" s="935"/>
      <c r="CF1464" s="935"/>
      <c r="CG1464" s="935"/>
      <c r="CH1464" s="935"/>
      <c r="CI1464" s="935"/>
      <c r="CJ1464" s="935"/>
      <c r="CK1464" s="935"/>
      <c r="CL1464" s="935"/>
      <c r="CM1464" s="935"/>
      <c r="CN1464" s="935"/>
      <c r="CO1464" s="935"/>
      <c r="CP1464" s="935"/>
      <c r="CQ1464" s="935"/>
      <c r="CR1464" s="935"/>
      <c r="CS1464" s="935"/>
      <c r="CT1464" s="935"/>
      <c r="CU1464" s="935"/>
      <c r="CV1464" s="935"/>
    </row>
    <row r="1465" spans="1:104" s="441" customFormat="1">
      <c r="A1465" s="375">
        <f t="shared" si="388"/>
        <v>11</v>
      </c>
      <c r="B1465" s="862">
        <v>44527</v>
      </c>
      <c r="C1465" s="493" t="s">
        <v>2053</v>
      </c>
      <c r="D1465" s="376" t="str">
        <f>IFERROR(VLOOKUP(E:E,'Item Data Support Sheet'!A:O,7,0),"")</f>
        <v>NIPPLE LASER MARKING</v>
      </c>
      <c r="E1465" s="447" t="s">
        <v>1816</v>
      </c>
      <c r="F1465" s="500"/>
      <c r="G1465" s="497" t="s">
        <v>1812</v>
      </c>
      <c r="H1465" s="602" t="str">
        <f>IFERROR(VLOOKUP(E:E,'Item Data Support Sheet'!A:O,2,0),"")</f>
        <v>NIPPLE S TYPE L SIZE PUNCHED LASER MARKED</v>
      </c>
      <c r="I1465" s="501" t="s">
        <v>4240</v>
      </c>
      <c r="J1465" s="501" t="s">
        <v>3895</v>
      </c>
      <c r="K1465" s="499">
        <v>8</v>
      </c>
      <c r="L1465" s="499">
        <v>7000</v>
      </c>
      <c r="M1465" s="366">
        <v>875</v>
      </c>
      <c r="N1465" s="367">
        <f t="shared" si="387"/>
        <v>6000</v>
      </c>
      <c r="O1465" s="61">
        <v>6000</v>
      </c>
      <c r="P1465" s="368">
        <v>0</v>
      </c>
      <c r="Q1465" s="368">
        <v>0</v>
      </c>
      <c r="R1465" s="494">
        <v>0</v>
      </c>
      <c r="S1465" s="493">
        <v>0</v>
      </c>
      <c r="T1465" s="494">
        <v>0</v>
      </c>
      <c r="U1465" s="493">
        <v>0</v>
      </c>
      <c r="V1465" s="502">
        <v>1</v>
      </c>
      <c r="W1465" s="453">
        <f t="shared" si="389"/>
        <v>6000</v>
      </c>
      <c r="X1465" s="748">
        <f t="shared" si="390"/>
        <v>0.8571428571428571</v>
      </c>
      <c r="Y1465" s="451" t="str">
        <f>IFERROR(VLOOKUP(E:E,'Item Data Support Sheet'!A:J,6,0),0)</f>
        <v>FO021</v>
      </c>
      <c r="Z1465" s="428">
        <f>IFERROR(VLOOKUP(E:E,'Item Data Support Sheet'!A:O,4,0),0)</f>
        <v>0</v>
      </c>
      <c r="AA1465" s="428">
        <f t="shared" si="391"/>
        <v>0</v>
      </c>
      <c r="AB1465" s="429" t="str">
        <f t="shared" si="392"/>
        <v xml:space="preserve"> </v>
      </c>
      <c r="AC1465" s="424">
        <f t="shared" si="393"/>
        <v>0</v>
      </c>
      <c r="AD1465" s="371">
        <f t="shared" si="394"/>
        <v>0</v>
      </c>
      <c r="AE1465" s="748">
        <f t="shared" si="395"/>
        <v>1</v>
      </c>
      <c r="AF1465" s="417">
        <f t="shared" si="396"/>
        <v>0.33333333333333331</v>
      </c>
      <c r="AG1465" s="416">
        <f t="shared" si="397"/>
        <v>7.666666666666667</v>
      </c>
      <c r="AH1465" s="372">
        <f t="shared" si="398"/>
        <v>0.95833333333333337</v>
      </c>
      <c r="AI1465" s="373">
        <f t="shared" si="399"/>
        <v>750</v>
      </c>
      <c r="AJ1465" s="418">
        <f>VLOOKUP(D1465,'Standard Cycle time'!C:D,2,0)</f>
        <v>3.5</v>
      </c>
      <c r="AK1465" s="418">
        <f t="shared" si="400"/>
        <v>4.5999999999999996</v>
      </c>
      <c r="AL1465" s="374">
        <f t="shared" si="401"/>
        <v>0.76086956521739135</v>
      </c>
      <c r="AM1465" s="372">
        <f t="shared" si="402"/>
        <v>0.72916666666666674</v>
      </c>
      <c r="AN1465" s="799">
        <v>0.72916666666666674</v>
      </c>
      <c r="AO1465" s="448"/>
      <c r="AP1465" s="440">
        <v>20</v>
      </c>
      <c r="AQ1465" s="440">
        <v>0</v>
      </c>
      <c r="AR1465" s="440">
        <v>0</v>
      </c>
      <c r="AS1465" s="440">
        <v>0</v>
      </c>
      <c r="AT1465" s="440">
        <v>0</v>
      </c>
      <c r="AU1465" s="440">
        <v>0</v>
      </c>
      <c r="AV1465" s="440">
        <v>0</v>
      </c>
      <c r="AW1465" s="440">
        <v>0</v>
      </c>
      <c r="AX1465" s="440">
        <v>0</v>
      </c>
      <c r="AY1465" s="440">
        <v>0</v>
      </c>
      <c r="AZ1465" s="440">
        <v>0</v>
      </c>
      <c r="BA1465" s="440">
        <v>0</v>
      </c>
      <c r="BB1465" s="440">
        <v>0</v>
      </c>
      <c r="BC1465" s="440">
        <v>0</v>
      </c>
      <c r="BD1465" s="440">
        <v>0</v>
      </c>
      <c r="BE1465" s="440">
        <v>0</v>
      </c>
      <c r="BF1465" s="440">
        <v>0</v>
      </c>
      <c r="BG1465" s="440">
        <v>0</v>
      </c>
      <c r="BH1465" s="440">
        <v>0</v>
      </c>
      <c r="BI1465" s="440">
        <v>0</v>
      </c>
      <c r="BJ1465" s="440">
        <v>0</v>
      </c>
      <c r="BK1465" s="440">
        <v>0</v>
      </c>
      <c r="BL1465" s="440">
        <v>0</v>
      </c>
      <c r="BM1465" s="440">
        <v>0</v>
      </c>
      <c r="BN1465" s="440">
        <v>0</v>
      </c>
      <c r="BO1465" s="440">
        <v>0</v>
      </c>
      <c r="BP1465" s="440">
        <v>0</v>
      </c>
      <c r="BQ1465" s="440">
        <v>0</v>
      </c>
      <c r="BR1465" s="415">
        <v>0.33333333333333331</v>
      </c>
      <c r="BS1465" s="415">
        <v>0.33333333333333331</v>
      </c>
      <c r="BT1465" s="935"/>
      <c r="BU1465" s="935"/>
      <c r="BV1465" s="935"/>
      <c r="BW1465" s="935"/>
      <c r="BX1465" s="935"/>
      <c r="BY1465" s="935"/>
      <c r="BZ1465" s="935"/>
      <c r="CA1465" s="935"/>
      <c r="CB1465" s="935"/>
      <c r="CC1465" s="935"/>
      <c r="CD1465" s="935"/>
      <c r="CE1465" s="935"/>
      <c r="CF1465" s="935"/>
      <c r="CG1465" s="935"/>
      <c r="CH1465" s="935"/>
      <c r="CI1465" s="935"/>
      <c r="CJ1465" s="935"/>
      <c r="CK1465" s="935"/>
      <c r="CL1465" s="935"/>
      <c r="CM1465" s="935"/>
      <c r="CN1465" s="935"/>
      <c r="CO1465" s="935"/>
      <c r="CP1465" s="935"/>
      <c r="CQ1465" s="935"/>
      <c r="CR1465" s="935"/>
      <c r="CS1465" s="935"/>
      <c r="CT1465" s="935"/>
      <c r="CU1465" s="935"/>
      <c r="CV1465" s="935"/>
    </row>
    <row r="1466" spans="1:104" s="441" customFormat="1">
      <c r="A1466" s="375">
        <f t="shared" si="388"/>
        <v>11</v>
      </c>
      <c r="B1466" s="862">
        <v>44527</v>
      </c>
      <c r="C1466" s="493" t="s">
        <v>2053</v>
      </c>
      <c r="D1466" s="376" t="str">
        <f>IFERROR(VLOOKUP(E:E,'Item Data Support Sheet'!A:O,7,0),"")</f>
        <v>NIPPLE MOLDED</v>
      </c>
      <c r="E1466" s="447" t="s">
        <v>74</v>
      </c>
      <c r="F1466" s="500" t="s">
        <v>1678</v>
      </c>
      <c r="G1466" s="497" t="s">
        <v>1691</v>
      </c>
      <c r="H1466" s="602" t="str">
        <f>IFERROR(VLOOKUP(E:E,'Item Data Support Sheet'!A:O,2,0),"")</f>
        <v>NIPPLE S TYPE L SIZE INJECTION</v>
      </c>
      <c r="I1466" s="501" t="s">
        <v>4241</v>
      </c>
      <c r="J1466" s="501" t="s">
        <v>3895</v>
      </c>
      <c r="K1466" s="499">
        <v>8</v>
      </c>
      <c r="L1466" s="499">
        <v>4815</v>
      </c>
      <c r="M1466" s="366">
        <v>601.875</v>
      </c>
      <c r="N1466" s="367">
        <f t="shared" si="387"/>
        <v>4075</v>
      </c>
      <c r="O1466" s="61">
        <v>4000</v>
      </c>
      <c r="P1466" s="368">
        <v>0</v>
      </c>
      <c r="Q1466" s="368">
        <v>30</v>
      </c>
      <c r="R1466" s="494">
        <v>0</v>
      </c>
      <c r="S1466" s="493">
        <v>0</v>
      </c>
      <c r="T1466" s="494">
        <v>45</v>
      </c>
      <c r="U1466" s="493">
        <v>0</v>
      </c>
      <c r="V1466" s="502">
        <v>1</v>
      </c>
      <c r="W1466" s="453">
        <f t="shared" si="389"/>
        <v>4000</v>
      </c>
      <c r="X1466" s="748">
        <f t="shared" si="390"/>
        <v>0.83073727933541019</v>
      </c>
      <c r="Y1466" s="451" t="str">
        <f>IFERROR(VLOOKUP(E:E,'Item Data Support Sheet'!A:J,6,0),0)</f>
        <v>Silicon</v>
      </c>
      <c r="Z1466" s="428">
        <f>IFERROR(VLOOKUP(E:E,'Item Data Support Sheet'!A:O,4,0),0)</f>
        <v>6.8</v>
      </c>
      <c r="AA1466" s="428">
        <f t="shared" si="391"/>
        <v>27.709999999999997</v>
      </c>
      <c r="AB1466" s="429">
        <f t="shared" si="392"/>
        <v>0.98159509202453998</v>
      </c>
      <c r="AC1466" s="424">
        <f t="shared" si="393"/>
        <v>1.1124845488257108E-2</v>
      </c>
      <c r="AD1466" s="371">
        <f t="shared" si="394"/>
        <v>7.3081607795371494E-3</v>
      </c>
      <c r="AE1466" s="748">
        <f t="shared" si="395"/>
        <v>0.98895705521472388</v>
      </c>
      <c r="AF1466" s="417">
        <f t="shared" si="396"/>
        <v>2.5</v>
      </c>
      <c r="AG1466" s="416">
        <f t="shared" si="397"/>
        <v>5.5</v>
      </c>
      <c r="AH1466" s="372">
        <f t="shared" si="398"/>
        <v>0.6875</v>
      </c>
      <c r="AI1466" s="373">
        <f t="shared" si="399"/>
        <v>500</v>
      </c>
      <c r="AJ1466" s="418">
        <f>VLOOKUP(D1466,'Standard Cycle time'!C:D,2,0)</f>
        <v>5.25</v>
      </c>
      <c r="AK1466" s="418">
        <f t="shared" si="400"/>
        <v>4.95</v>
      </c>
      <c r="AL1466" s="374">
        <f t="shared" si="401"/>
        <v>1.0606060606060606</v>
      </c>
      <c r="AM1466" s="372">
        <f t="shared" si="402"/>
        <v>0.72111451942740268</v>
      </c>
      <c r="AN1466" s="799">
        <v>0.72111451942740268</v>
      </c>
      <c r="AO1466" s="448" t="s">
        <v>4242</v>
      </c>
      <c r="AP1466" s="440">
        <v>0</v>
      </c>
      <c r="AQ1466" s="440">
        <v>0</v>
      </c>
      <c r="AR1466" s="440">
        <v>0</v>
      </c>
      <c r="AS1466" s="440">
        <v>0</v>
      </c>
      <c r="AT1466" s="440">
        <v>0</v>
      </c>
      <c r="AU1466" s="440">
        <v>30</v>
      </c>
      <c r="AV1466" s="440">
        <v>0</v>
      </c>
      <c r="AW1466" s="440">
        <v>0</v>
      </c>
      <c r="AX1466" s="440">
        <v>0</v>
      </c>
      <c r="AY1466" s="440">
        <v>0</v>
      </c>
      <c r="AZ1466" s="440">
        <v>0</v>
      </c>
      <c r="BA1466" s="440">
        <v>0</v>
      </c>
      <c r="BB1466" s="440">
        <v>90</v>
      </c>
      <c r="BC1466" s="440">
        <v>0</v>
      </c>
      <c r="BD1466" s="440">
        <v>0</v>
      </c>
      <c r="BE1466" s="440">
        <v>0</v>
      </c>
      <c r="BF1466" s="440">
        <v>0</v>
      </c>
      <c r="BG1466" s="440">
        <v>0</v>
      </c>
      <c r="BH1466" s="440">
        <v>0</v>
      </c>
      <c r="BI1466" s="440">
        <v>0</v>
      </c>
      <c r="BJ1466" s="440">
        <v>0</v>
      </c>
      <c r="BK1466" s="440">
        <v>0</v>
      </c>
      <c r="BL1466" s="440">
        <v>0</v>
      </c>
      <c r="BM1466" s="440">
        <v>0</v>
      </c>
      <c r="BN1466" s="440">
        <v>0</v>
      </c>
      <c r="BO1466" s="440">
        <v>0</v>
      </c>
      <c r="BP1466" s="440">
        <v>0</v>
      </c>
      <c r="BQ1466" s="440">
        <v>30</v>
      </c>
      <c r="BR1466" s="415">
        <v>2.5</v>
      </c>
      <c r="BS1466" s="415">
        <v>2.5</v>
      </c>
      <c r="BT1466" s="935"/>
      <c r="BU1466" s="935"/>
      <c r="BV1466" s="935"/>
      <c r="BW1466" s="935"/>
      <c r="BX1466" s="935"/>
      <c r="BY1466" s="935"/>
      <c r="BZ1466" s="935"/>
      <c r="CA1466" s="935"/>
      <c r="CB1466" s="935"/>
      <c r="CC1466" s="935"/>
      <c r="CD1466" s="935"/>
      <c r="CE1466" s="935"/>
      <c r="CF1466" s="935"/>
      <c r="CG1466" s="935"/>
      <c r="CH1466" s="935"/>
      <c r="CI1466" s="935"/>
      <c r="CJ1466" s="935"/>
      <c r="CK1466" s="935"/>
      <c r="CL1466" s="935"/>
      <c r="CM1466" s="935"/>
      <c r="CN1466" s="935"/>
      <c r="CO1466" s="935"/>
      <c r="CP1466" s="935"/>
      <c r="CQ1466" s="935"/>
      <c r="CR1466" s="935"/>
      <c r="CS1466" s="935"/>
      <c r="CT1466" s="935"/>
      <c r="CU1466" s="935"/>
      <c r="CV1466" s="935"/>
    </row>
    <row r="1467" spans="1:104" s="441" customFormat="1">
      <c r="A1467" s="375">
        <f t="shared" si="388"/>
        <v>11</v>
      </c>
      <c r="B1467" s="862">
        <v>44527</v>
      </c>
      <c r="C1467" s="493" t="s">
        <v>2053</v>
      </c>
      <c r="D1467" s="376" t="str">
        <f>IFERROR(VLOOKUP(E:E,'Item Data Support Sheet'!A:O,7,0),"")</f>
        <v>NIPPLE MOLDED</v>
      </c>
      <c r="E1467" s="447" t="s">
        <v>75</v>
      </c>
      <c r="F1467" s="500" t="s">
        <v>1677</v>
      </c>
      <c r="G1467" s="497" t="s">
        <v>1690</v>
      </c>
      <c r="H1467" s="602" t="str">
        <f>IFERROR(VLOOKUP(E:E,'Item Data Support Sheet'!A:O,2,0),"")</f>
        <v>NIPPLE S TYPE Y SIZE INJECTION</v>
      </c>
      <c r="I1467" s="501" t="s">
        <v>4241</v>
      </c>
      <c r="J1467" s="501" t="s">
        <v>3895</v>
      </c>
      <c r="K1467" s="499">
        <v>8</v>
      </c>
      <c r="L1467" s="499">
        <v>3611</v>
      </c>
      <c r="M1467" s="366">
        <v>451.375</v>
      </c>
      <c r="N1467" s="367">
        <f t="shared" si="387"/>
        <v>3052</v>
      </c>
      <c r="O1467" s="61">
        <v>3000</v>
      </c>
      <c r="P1467" s="368">
        <v>0</v>
      </c>
      <c r="Q1467" s="368">
        <v>0</v>
      </c>
      <c r="R1467" s="494">
        <v>0</v>
      </c>
      <c r="S1467" s="493">
        <v>0</v>
      </c>
      <c r="T1467" s="494">
        <v>52</v>
      </c>
      <c r="U1467" s="493">
        <v>0</v>
      </c>
      <c r="V1467" s="502">
        <v>1</v>
      </c>
      <c r="W1467" s="453">
        <f t="shared" si="389"/>
        <v>3000</v>
      </c>
      <c r="X1467" s="748">
        <f t="shared" si="390"/>
        <v>0.83079479368595954</v>
      </c>
      <c r="Y1467" s="451" t="str">
        <f>IFERROR(VLOOKUP(E:E,'Item Data Support Sheet'!A:J,6,0),0)</f>
        <v>Silicon</v>
      </c>
      <c r="Z1467" s="428">
        <f>IFERROR(VLOOKUP(E:E,'Item Data Support Sheet'!A:O,4,0),0)</f>
        <v>6.8</v>
      </c>
      <c r="AA1467" s="428">
        <f t="shared" si="391"/>
        <v>20.753599999999999</v>
      </c>
      <c r="AB1467" s="429">
        <f t="shared" si="392"/>
        <v>0.98296199213630409</v>
      </c>
      <c r="AC1467" s="424">
        <f t="shared" si="393"/>
        <v>1.7038007863695939E-2</v>
      </c>
      <c r="AD1467" s="371">
        <f t="shared" si="394"/>
        <v>0</v>
      </c>
      <c r="AE1467" s="748">
        <f t="shared" si="395"/>
        <v>0.98296199213630409</v>
      </c>
      <c r="AF1467" s="417">
        <f t="shared" si="396"/>
        <v>1.5</v>
      </c>
      <c r="AG1467" s="416">
        <f t="shared" si="397"/>
        <v>6.5</v>
      </c>
      <c r="AH1467" s="372">
        <f t="shared" si="398"/>
        <v>0.8125</v>
      </c>
      <c r="AI1467" s="373">
        <f t="shared" si="399"/>
        <v>375</v>
      </c>
      <c r="AJ1467" s="418">
        <f>VLOOKUP(D1467,'Standard Cycle time'!C:D,2,0)</f>
        <v>5.25</v>
      </c>
      <c r="AK1467" s="418">
        <f t="shared" si="400"/>
        <v>7.8</v>
      </c>
      <c r="AL1467" s="374">
        <f t="shared" si="401"/>
        <v>0.67307692307692313</v>
      </c>
      <c r="AM1467" s="372">
        <f t="shared" si="402"/>
        <v>0.53755733944954132</v>
      </c>
      <c r="AN1467" s="799">
        <v>0.53755733944954132</v>
      </c>
      <c r="AO1467" s="448" t="s">
        <v>4243</v>
      </c>
      <c r="AP1467" s="440">
        <v>0</v>
      </c>
      <c r="AQ1467" s="440">
        <v>0</v>
      </c>
      <c r="AR1467" s="440">
        <v>0</v>
      </c>
      <c r="AS1467" s="440">
        <v>0</v>
      </c>
      <c r="AT1467" s="440">
        <v>0</v>
      </c>
      <c r="AU1467" s="440">
        <v>0</v>
      </c>
      <c r="AV1467" s="440">
        <v>0</v>
      </c>
      <c r="AW1467" s="440">
        <v>0</v>
      </c>
      <c r="AX1467" s="440">
        <v>0</v>
      </c>
      <c r="AY1467" s="440">
        <v>0</v>
      </c>
      <c r="AZ1467" s="440">
        <v>0</v>
      </c>
      <c r="BA1467" s="440">
        <v>0</v>
      </c>
      <c r="BB1467" s="440">
        <v>90</v>
      </c>
      <c r="BC1467" s="440">
        <v>0</v>
      </c>
      <c r="BD1467" s="440">
        <v>0</v>
      </c>
      <c r="BE1467" s="440">
        <v>0</v>
      </c>
      <c r="BF1467" s="440">
        <v>0</v>
      </c>
      <c r="BG1467" s="440">
        <v>0</v>
      </c>
      <c r="BH1467" s="440">
        <v>0</v>
      </c>
      <c r="BI1467" s="440">
        <v>0</v>
      </c>
      <c r="BJ1467" s="440">
        <v>0</v>
      </c>
      <c r="BK1467" s="440">
        <v>0</v>
      </c>
      <c r="BL1467" s="440">
        <v>0</v>
      </c>
      <c r="BM1467" s="440">
        <v>0</v>
      </c>
      <c r="BN1467" s="440">
        <v>0</v>
      </c>
      <c r="BO1467" s="440">
        <v>0</v>
      </c>
      <c r="BP1467" s="440">
        <v>0</v>
      </c>
      <c r="BQ1467" s="440">
        <v>0</v>
      </c>
      <c r="BR1467" s="415">
        <v>1.5</v>
      </c>
      <c r="BS1467" s="415">
        <v>1.5</v>
      </c>
      <c r="BT1467" s="935"/>
      <c r="BU1467" s="935"/>
      <c r="BV1467" s="935"/>
      <c r="BW1467" s="935"/>
      <c r="BX1467" s="935"/>
      <c r="BY1467" s="935"/>
      <c r="BZ1467" s="935"/>
      <c r="CA1467" s="935"/>
      <c r="CB1467" s="935"/>
      <c r="CC1467" s="935"/>
      <c r="CD1467" s="935"/>
      <c r="CE1467" s="935"/>
      <c r="CF1467" s="935"/>
      <c r="CG1467" s="935"/>
      <c r="CH1467" s="935"/>
      <c r="CI1467" s="935"/>
      <c r="CJ1467" s="935"/>
      <c r="CK1467" s="935"/>
      <c r="CL1467" s="935"/>
      <c r="CM1467" s="935"/>
      <c r="CN1467" s="935"/>
      <c r="CO1467" s="935"/>
      <c r="CP1467" s="935"/>
      <c r="CQ1467" s="935"/>
      <c r="CR1467" s="935"/>
      <c r="CS1467" s="935"/>
      <c r="CT1467" s="935"/>
      <c r="CU1467" s="935"/>
      <c r="CV1467" s="935"/>
    </row>
    <row r="1468" spans="1:104" s="441" customFormat="1">
      <c r="A1468" s="375">
        <f t="shared" si="388"/>
        <v>11</v>
      </c>
      <c r="B1468" s="862">
        <v>44527</v>
      </c>
      <c r="C1468" s="493" t="s">
        <v>2053</v>
      </c>
      <c r="D1468" s="376" t="str">
        <f>IFERROR(VLOOKUP(E:E,'Item Data Support Sheet'!A:O,7,0),"")</f>
        <v>BOTTLE MOLDED</v>
      </c>
      <c r="E1468" s="447" t="s">
        <v>65</v>
      </c>
      <c r="F1468" s="500" t="s">
        <v>1679</v>
      </c>
      <c r="G1468" s="497" t="s">
        <v>1665</v>
      </c>
      <c r="H1468" s="602" t="str">
        <f>IFERROR(VLOOKUP(E:E,'Item Data Support Sheet'!A:O,2,0),"")</f>
        <v>KPP 120 ML BOTTLE MOLDED</v>
      </c>
      <c r="I1468" s="501" t="s">
        <v>4244</v>
      </c>
      <c r="J1468" s="501" t="s">
        <v>3895</v>
      </c>
      <c r="K1468" s="499">
        <v>8</v>
      </c>
      <c r="L1468" s="499">
        <v>2574</v>
      </c>
      <c r="M1468" s="366">
        <v>321.75</v>
      </c>
      <c r="N1468" s="367">
        <f t="shared" si="387"/>
        <v>2608</v>
      </c>
      <c r="O1468" s="61">
        <v>2520</v>
      </c>
      <c r="P1468" s="368">
        <v>0.2</v>
      </c>
      <c r="Q1468" s="368">
        <v>32</v>
      </c>
      <c r="R1468" s="494">
        <v>0</v>
      </c>
      <c r="S1468" s="493">
        <v>0</v>
      </c>
      <c r="T1468" s="494">
        <v>48</v>
      </c>
      <c r="U1468" s="493">
        <v>8</v>
      </c>
      <c r="V1468" s="502">
        <v>1</v>
      </c>
      <c r="W1468" s="453">
        <f t="shared" si="389"/>
        <v>2520</v>
      </c>
      <c r="X1468" s="748">
        <f t="shared" si="390"/>
        <v>0.97902097902097907</v>
      </c>
      <c r="Y1468" s="451" t="str">
        <f>IFERROR(VLOOKUP(E:E,'Item Data Support Sheet'!A:J,6,0),0)</f>
        <v>HMC</v>
      </c>
      <c r="Z1468" s="428">
        <f>IFERROR(VLOOKUP(E:E,'Item Data Support Sheet'!A:O,4,0),0)</f>
        <v>21.3</v>
      </c>
      <c r="AA1468" s="428">
        <f t="shared" si="391"/>
        <v>55.750399999999999</v>
      </c>
      <c r="AB1468" s="429">
        <f t="shared" si="392"/>
        <v>0.9627912983583975</v>
      </c>
      <c r="AC1468" s="424">
        <f t="shared" si="393"/>
        <v>1.8691588785046728E-2</v>
      </c>
      <c r="AD1468" s="371">
        <f t="shared" si="394"/>
        <v>1.2121212121212121E-2</v>
      </c>
      <c r="AE1468" s="748">
        <f t="shared" si="395"/>
        <v>0.98159509202453987</v>
      </c>
      <c r="AF1468" s="417">
        <f t="shared" si="396"/>
        <v>0</v>
      </c>
      <c r="AG1468" s="416">
        <f t="shared" si="397"/>
        <v>8</v>
      </c>
      <c r="AH1468" s="372">
        <f t="shared" si="398"/>
        <v>1</v>
      </c>
      <c r="AI1468" s="373">
        <f t="shared" si="399"/>
        <v>315</v>
      </c>
      <c r="AJ1468" s="418">
        <f>VLOOKUP(D1468,'Standard Cycle time'!C:D,2,0)</f>
        <v>9</v>
      </c>
      <c r="AK1468" s="418">
        <f t="shared" si="400"/>
        <v>11.428571428571429</v>
      </c>
      <c r="AL1468" s="374">
        <f t="shared" si="401"/>
        <v>0.78749999999999998</v>
      </c>
      <c r="AM1468" s="372">
        <f t="shared" si="402"/>
        <v>0.77300613496932513</v>
      </c>
      <c r="AN1468" s="799">
        <v>0.77300613496932513</v>
      </c>
      <c r="AO1468" s="448"/>
      <c r="AP1468" s="440">
        <v>0</v>
      </c>
      <c r="AQ1468" s="440">
        <v>0</v>
      </c>
      <c r="AR1468" s="440">
        <v>0</v>
      </c>
      <c r="AS1468" s="440">
        <v>0</v>
      </c>
      <c r="AT1468" s="440">
        <v>0</v>
      </c>
      <c r="AU1468" s="440">
        <v>0</v>
      </c>
      <c r="AV1468" s="440">
        <v>0</v>
      </c>
      <c r="AW1468" s="440">
        <v>0</v>
      </c>
      <c r="AX1468" s="440">
        <v>0</v>
      </c>
      <c r="AY1468" s="440">
        <v>0</v>
      </c>
      <c r="AZ1468" s="440">
        <v>0</v>
      </c>
      <c r="BA1468" s="440">
        <v>0</v>
      </c>
      <c r="BB1468" s="440">
        <v>0</v>
      </c>
      <c r="BC1468" s="440">
        <v>0</v>
      </c>
      <c r="BD1468" s="440">
        <v>0</v>
      </c>
      <c r="BE1468" s="440">
        <v>0</v>
      </c>
      <c r="BF1468" s="440">
        <v>0</v>
      </c>
      <c r="BG1468" s="440">
        <v>0</v>
      </c>
      <c r="BH1468" s="440">
        <v>0</v>
      </c>
      <c r="BI1468" s="440">
        <v>0</v>
      </c>
      <c r="BJ1468" s="440">
        <v>0</v>
      </c>
      <c r="BK1468" s="440">
        <v>0</v>
      </c>
      <c r="BL1468" s="440">
        <v>0</v>
      </c>
      <c r="BM1468" s="440">
        <v>0</v>
      </c>
      <c r="BN1468" s="440">
        <v>0</v>
      </c>
      <c r="BO1468" s="440">
        <v>0</v>
      </c>
      <c r="BP1468" s="440">
        <v>0</v>
      </c>
      <c r="BQ1468" s="440">
        <v>0</v>
      </c>
      <c r="BR1468" s="415">
        <v>0</v>
      </c>
      <c r="BS1468" s="415">
        <v>0</v>
      </c>
      <c r="BT1468" s="935"/>
      <c r="BU1468" s="935"/>
      <c r="BV1468" s="935"/>
      <c r="BW1468" s="935"/>
      <c r="BX1468" s="935"/>
      <c r="BY1468" s="935"/>
      <c r="BZ1468" s="935"/>
      <c r="CA1468" s="935"/>
      <c r="CB1468" s="935"/>
      <c r="CC1468" s="935"/>
      <c r="CD1468" s="935"/>
      <c r="CE1468" s="935"/>
      <c r="CF1468" s="935"/>
      <c r="CG1468" s="935"/>
      <c r="CH1468" s="935"/>
      <c r="CI1468" s="935"/>
      <c r="CJ1468" s="935"/>
      <c r="CK1468" s="935"/>
      <c r="CL1468" s="935"/>
      <c r="CM1468" s="935"/>
      <c r="CN1468" s="935"/>
      <c r="CO1468" s="935"/>
      <c r="CP1468" s="935"/>
      <c r="CQ1468" s="935"/>
      <c r="CR1468" s="935"/>
      <c r="CS1468" s="935"/>
      <c r="CT1468" s="935"/>
      <c r="CU1468" s="935"/>
      <c r="CV1468" s="935"/>
    </row>
    <row r="1469" spans="1:104" s="441" customFormat="1">
      <c r="A1469" s="375">
        <f t="shared" si="388"/>
        <v>11</v>
      </c>
      <c r="B1469" s="862">
        <v>44527</v>
      </c>
      <c r="C1469" s="493" t="s">
        <v>2053</v>
      </c>
      <c r="D1469" s="376" t="str">
        <f>IFERROR(VLOOKUP(E:E,'Item Data Support Sheet'!A:O,7,0),"")</f>
        <v>CAP MOLDED</v>
      </c>
      <c r="E1469" s="447" t="s">
        <v>2107</v>
      </c>
      <c r="F1469" s="500" t="s">
        <v>4140</v>
      </c>
      <c r="G1469" s="497"/>
      <c r="H1469" s="602" t="str">
        <f>IFERROR(VLOOKUP(E:E,'Item Data Support Sheet'!A:O,2,0),"")</f>
        <v>CAP S TYPE MOLDED PINK</v>
      </c>
      <c r="I1469" s="501" t="s">
        <v>4245</v>
      </c>
      <c r="J1469" s="501" t="s">
        <v>3895</v>
      </c>
      <c r="K1469" s="499">
        <v>6.2</v>
      </c>
      <c r="L1469" s="499">
        <v>3200</v>
      </c>
      <c r="M1469" s="366">
        <v>516.12903225806451</v>
      </c>
      <c r="N1469" s="367">
        <f t="shared" si="387"/>
        <v>4000</v>
      </c>
      <c r="O1469" s="61">
        <v>4000</v>
      </c>
      <c r="P1469" s="368">
        <v>0</v>
      </c>
      <c r="Q1469" s="368">
        <v>0</v>
      </c>
      <c r="R1469" s="494">
        <v>0</v>
      </c>
      <c r="S1469" s="493">
        <v>0</v>
      </c>
      <c r="T1469" s="494">
        <v>0</v>
      </c>
      <c r="U1469" s="493">
        <v>0</v>
      </c>
      <c r="V1469" s="502">
        <v>1</v>
      </c>
      <c r="W1469" s="453">
        <f t="shared" si="389"/>
        <v>4000</v>
      </c>
      <c r="X1469" s="748">
        <f t="shared" si="390"/>
        <v>1.25</v>
      </c>
      <c r="Y1469" s="451" t="str">
        <f>IFERROR(VLOOKUP(E:E,'Item Data Support Sheet'!A:J,6,0),0)</f>
        <v>RM000123</v>
      </c>
      <c r="Z1469" s="428">
        <f>IFERROR(VLOOKUP(E:E,'Item Data Support Sheet'!A:O,4,0),0)</f>
        <v>7.3</v>
      </c>
      <c r="AA1469" s="428">
        <f t="shared" si="391"/>
        <v>29.2</v>
      </c>
      <c r="AB1469" s="429">
        <f t="shared" si="392"/>
        <v>1</v>
      </c>
      <c r="AC1469" s="424">
        <f t="shared" si="393"/>
        <v>0</v>
      </c>
      <c r="AD1469" s="371">
        <f t="shared" si="394"/>
        <v>0</v>
      </c>
      <c r="AE1469" s="748">
        <f t="shared" si="395"/>
        <v>1</v>
      </c>
      <c r="AF1469" s="417">
        <f t="shared" si="396"/>
        <v>0</v>
      </c>
      <c r="AG1469" s="416">
        <f t="shared" si="397"/>
        <v>6.2</v>
      </c>
      <c r="AH1469" s="372">
        <f t="shared" si="398"/>
        <v>1</v>
      </c>
      <c r="AI1469" s="373">
        <f t="shared" si="399"/>
        <v>645.16129032258061</v>
      </c>
      <c r="AJ1469" s="418">
        <f>VLOOKUP(D1469,'Standard Cycle time'!C:D,2,0)</f>
        <v>6</v>
      </c>
      <c r="AK1469" s="418">
        <f t="shared" si="400"/>
        <v>5.58</v>
      </c>
      <c r="AL1469" s="374">
        <f t="shared" si="401"/>
        <v>1.075268817204301</v>
      </c>
      <c r="AM1469" s="372">
        <f t="shared" si="402"/>
        <v>1.075268817204301</v>
      </c>
      <c r="AN1469" s="799">
        <v>1.075268817204301</v>
      </c>
      <c r="AO1469" s="448"/>
      <c r="AP1469" s="440">
        <v>0</v>
      </c>
      <c r="AQ1469" s="440">
        <v>0</v>
      </c>
      <c r="AR1469" s="440">
        <v>0</v>
      </c>
      <c r="AS1469" s="440">
        <v>0</v>
      </c>
      <c r="AT1469" s="440">
        <v>0</v>
      </c>
      <c r="AU1469" s="440">
        <v>0</v>
      </c>
      <c r="AV1469" s="440">
        <v>0</v>
      </c>
      <c r="AW1469" s="440">
        <v>0</v>
      </c>
      <c r="AX1469" s="440">
        <v>0</v>
      </c>
      <c r="AY1469" s="440">
        <v>0</v>
      </c>
      <c r="AZ1469" s="440">
        <v>0</v>
      </c>
      <c r="BA1469" s="440">
        <v>0</v>
      </c>
      <c r="BB1469" s="440">
        <v>0</v>
      </c>
      <c r="BC1469" s="440">
        <v>0</v>
      </c>
      <c r="BD1469" s="440">
        <v>0</v>
      </c>
      <c r="BE1469" s="440">
        <v>0</v>
      </c>
      <c r="BF1469" s="440">
        <v>0</v>
      </c>
      <c r="BG1469" s="440">
        <v>0</v>
      </c>
      <c r="BH1469" s="440">
        <v>0</v>
      </c>
      <c r="BI1469" s="440">
        <v>0</v>
      </c>
      <c r="BJ1469" s="440">
        <v>0</v>
      </c>
      <c r="BK1469" s="440">
        <v>0</v>
      </c>
      <c r="BL1469" s="440">
        <v>0</v>
      </c>
      <c r="BM1469" s="440">
        <v>0</v>
      </c>
      <c r="BN1469" s="440">
        <v>0</v>
      </c>
      <c r="BO1469" s="440">
        <v>0</v>
      </c>
      <c r="BP1469" s="440">
        <v>0</v>
      </c>
      <c r="BQ1469" s="440">
        <v>0</v>
      </c>
      <c r="BR1469" s="415">
        <v>0</v>
      </c>
      <c r="BS1469" s="415">
        <v>0</v>
      </c>
      <c r="BT1469" s="935"/>
      <c r="BU1469" s="935"/>
      <c r="BV1469" s="935"/>
      <c r="BW1469" s="935"/>
      <c r="BX1469" s="935"/>
      <c r="BY1469" s="935"/>
      <c r="BZ1469" s="935"/>
      <c r="CA1469" s="935"/>
      <c r="CB1469" s="935"/>
      <c r="CC1469" s="935"/>
      <c r="CD1469" s="935"/>
      <c r="CE1469" s="935"/>
      <c r="CF1469" s="935"/>
      <c r="CG1469" s="935"/>
      <c r="CH1469" s="935"/>
      <c r="CI1469" s="935"/>
      <c r="CJ1469" s="935"/>
      <c r="CK1469" s="935"/>
      <c r="CL1469" s="935"/>
      <c r="CM1469" s="935"/>
      <c r="CN1469" s="935"/>
      <c r="CO1469" s="935"/>
      <c r="CP1469" s="935"/>
      <c r="CQ1469" s="935"/>
      <c r="CR1469" s="935"/>
      <c r="CS1469" s="935"/>
      <c r="CT1469" s="935"/>
      <c r="CU1469" s="935"/>
      <c r="CV1469" s="935"/>
    </row>
    <row r="1470" spans="1:104" s="441" customFormat="1">
      <c r="A1470" s="375">
        <f t="shared" si="388"/>
        <v>11</v>
      </c>
      <c r="B1470" s="862">
        <v>44527</v>
      </c>
      <c r="C1470" s="493" t="s">
        <v>2053</v>
      </c>
      <c r="D1470" s="376" t="str">
        <f>IFERROR(VLOOKUP(E:E,'Item Data Support Sheet'!A:O,7,0),"")</f>
        <v>CAP MOLDED</v>
      </c>
      <c r="E1470" s="447" t="s">
        <v>2107</v>
      </c>
      <c r="F1470" s="500" t="s">
        <v>4191</v>
      </c>
      <c r="G1470" s="497"/>
      <c r="H1470" s="602" t="str">
        <f>IFERROR(VLOOKUP(E:E,'Item Data Support Sheet'!A:O,2,0),"")</f>
        <v>CAP S TYPE MOLDED PINK</v>
      </c>
      <c r="I1470" s="501" t="s">
        <v>4246</v>
      </c>
      <c r="J1470" s="501" t="s">
        <v>3895</v>
      </c>
      <c r="K1470" s="499">
        <v>1.8</v>
      </c>
      <c r="L1470" s="499">
        <v>937</v>
      </c>
      <c r="M1470" s="366">
        <v>520.55555555555554</v>
      </c>
      <c r="N1470" s="367">
        <f t="shared" si="387"/>
        <v>1000</v>
      </c>
      <c r="O1470" s="61">
        <v>1000</v>
      </c>
      <c r="P1470" s="368">
        <v>0</v>
      </c>
      <c r="Q1470" s="368">
        <v>0</v>
      </c>
      <c r="R1470" s="494">
        <v>0</v>
      </c>
      <c r="S1470" s="493">
        <v>0</v>
      </c>
      <c r="T1470" s="494">
        <v>0</v>
      </c>
      <c r="U1470" s="493">
        <v>0</v>
      </c>
      <c r="V1470" s="502">
        <v>1</v>
      </c>
      <c r="W1470" s="453">
        <f t="shared" si="389"/>
        <v>1000</v>
      </c>
      <c r="X1470" s="748">
        <f t="shared" si="390"/>
        <v>1.0672358591248665</v>
      </c>
      <c r="Y1470" s="451" t="str">
        <f>IFERROR(VLOOKUP(E:E,'Item Data Support Sheet'!A:J,6,0),0)</f>
        <v>RM000123</v>
      </c>
      <c r="Z1470" s="428">
        <f>IFERROR(VLOOKUP(E:E,'Item Data Support Sheet'!A:O,4,0),0)</f>
        <v>7.3</v>
      </c>
      <c r="AA1470" s="428">
        <f t="shared" si="391"/>
        <v>7.3</v>
      </c>
      <c r="AB1470" s="429">
        <f t="shared" si="392"/>
        <v>1</v>
      </c>
      <c r="AC1470" s="424">
        <f t="shared" si="393"/>
        <v>0</v>
      </c>
      <c r="AD1470" s="371">
        <f t="shared" si="394"/>
        <v>0</v>
      </c>
      <c r="AE1470" s="748">
        <f t="shared" si="395"/>
        <v>1</v>
      </c>
      <c r="AF1470" s="417">
        <f t="shared" si="396"/>
        <v>0</v>
      </c>
      <c r="AG1470" s="416">
        <f t="shared" si="397"/>
        <v>1.8</v>
      </c>
      <c r="AH1470" s="372">
        <f t="shared" si="398"/>
        <v>1</v>
      </c>
      <c r="AI1470" s="373">
        <f t="shared" si="399"/>
        <v>555.55555555555554</v>
      </c>
      <c r="AJ1470" s="418">
        <f>VLOOKUP(D1470,'Standard Cycle time'!C:D,2,0)</f>
        <v>6</v>
      </c>
      <c r="AK1470" s="418">
        <f t="shared" si="400"/>
        <v>6.48</v>
      </c>
      <c r="AL1470" s="374">
        <f t="shared" si="401"/>
        <v>0.92592592592592582</v>
      </c>
      <c r="AM1470" s="372">
        <f t="shared" si="402"/>
        <v>0.92592592592592582</v>
      </c>
      <c r="AN1470" s="799">
        <v>0.92592592592592582</v>
      </c>
      <c r="AO1470" s="448"/>
      <c r="AP1470" s="440">
        <v>0</v>
      </c>
      <c r="AQ1470" s="440">
        <v>0</v>
      </c>
      <c r="AR1470" s="440">
        <v>0</v>
      </c>
      <c r="AS1470" s="440">
        <v>0</v>
      </c>
      <c r="AT1470" s="440">
        <v>0</v>
      </c>
      <c r="AU1470" s="440">
        <v>0</v>
      </c>
      <c r="AV1470" s="440">
        <v>0</v>
      </c>
      <c r="AW1470" s="440">
        <v>0</v>
      </c>
      <c r="AX1470" s="440">
        <v>0</v>
      </c>
      <c r="AY1470" s="440">
        <v>0</v>
      </c>
      <c r="AZ1470" s="440">
        <v>0</v>
      </c>
      <c r="BA1470" s="440">
        <v>0</v>
      </c>
      <c r="BB1470" s="440">
        <v>0</v>
      </c>
      <c r="BC1470" s="440">
        <v>0</v>
      </c>
      <c r="BD1470" s="440">
        <v>0</v>
      </c>
      <c r="BE1470" s="440">
        <v>0</v>
      </c>
      <c r="BF1470" s="440">
        <v>0</v>
      </c>
      <c r="BG1470" s="440">
        <v>0</v>
      </c>
      <c r="BH1470" s="440">
        <v>0</v>
      </c>
      <c r="BI1470" s="440">
        <v>0</v>
      </c>
      <c r="BJ1470" s="440">
        <v>0</v>
      </c>
      <c r="BK1470" s="440">
        <v>0</v>
      </c>
      <c r="BL1470" s="440">
        <v>0</v>
      </c>
      <c r="BM1470" s="440">
        <v>0</v>
      </c>
      <c r="BN1470" s="440">
        <v>0</v>
      </c>
      <c r="BO1470" s="440">
        <v>0</v>
      </c>
      <c r="BP1470" s="440">
        <v>0</v>
      </c>
      <c r="BQ1470" s="440">
        <v>0</v>
      </c>
      <c r="BR1470" s="415">
        <v>0</v>
      </c>
      <c r="BS1470" s="415">
        <v>0</v>
      </c>
      <c r="BT1470" s="935"/>
      <c r="BU1470" s="935"/>
      <c r="BV1470" s="935"/>
      <c r="BW1470" s="935"/>
      <c r="BX1470" s="935"/>
      <c r="BY1470" s="935"/>
      <c r="BZ1470" s="935"/>
      <c r="CA1470" s="935"/>
      <c r="CB1470" s="935"/>
      <c r="CC1470" s="935"/>
      <c r="CD1470" s="935"/>
      <c r="CE1470" s="935"/>
      <c r="CF1470" s="935"/>
      <c r="CG1470" s="935"/>
      <c r="CH1470" s="935"/>
      <c r="CI1470" s="935"/>
      <c r="CJ1470" s="935"/>
      <c r="CK1470" s="935"/>
      <c r="CL1470" s="935"/>
      <c r="CM1470" s="935"/>
      <c r="CN1470" s="935"/>
      <c r="CO1470" s="935"/>
      <c r="CP1470" s="935"/>
      <c r="CQ1470" s="935"/>
      <c r="CR1470" s="935"/>
      <c r="CS1470" s="935"/>
      <c r="CT1470" s="935"/>
      <c r="CU1470" s="935"/>
      <c r="CV1470" s="935"/>
    </row>
    <row r="1471" spans="1:104" s="441" customFormat="1">
      <c r="A1471" s="375">
        <f t="shared" si="388"/>
        <v>11</v>
      </c>
      <c r="B1471" s="862">
        <v>44529</v>
      </c>
      <c r="C1471" s="493" t="s">
        <v>1980</v>
      </c>
      <c r="D1471" s="376" t="str">
        <f>IFERROR(VLOOKUP(E:E,'Item Data Support Sheet'!A:O,7,0),"")</f>
        <v>NIPPLE MOLDED</v>
      </c>
      <c r="E1471" s="447" t="s">
        <v>75</v>
      </c>
      <c r="F1471" s="500" t="s">
        <v>1677</v>
      </c>
      <c r="G1471" s="497" t="s">
        <v>1690</v>
      </c>
      <c r="H1471" s="602" t="str">
        <f>IFERROR(VLOOKUP(E:E,'Item Data Support Sheet'!A:O,2,0),"")</f>
        <v>NIPPLE S TYPE Y SIZE INJECTION</v>
      </c>
      <c r="I1471" s="501" t="s">
        <v>4247</v>
      </c>
      <c r="J1471" s="501" t="s">
        <v>2808</v>
      </c>
      <c r="K1471" s="499">
        <v>8</v>
      </c>
      <c r="L1471" s="499">
        <v>2400</v>
      </c>
      <c r="M1471" s="366">
        <v>300</v>
      </c>
      <c r="N1471" s="367">
        <f t="shared" si="387"/>
        <v>2790</v>
      </c>
      <c r="O1471" s="61">
        <v>2600</v>
      </c>
      <c r="P1471" s="368">
        <v>1</v>
      </c>
      <c r="Q1471" s="368">
        <v>120</v>
      </c>
      <c r="R1471" s="494">
        <v>0</v>
      </c>
      <c r="S1471" s="493">
        <v>0</v>
      </c>
      <c r="T1471" s="494">
        <v>58</v>
      </c>
      <c r="U1471" s="493">
        <v>12</v>
      </c>
      <c r="V1471" s="502">
        <v>1</v>
      </c>
      <c r="W1471" s="453">
        <f t="shared" si="389"/>
        <v>2600</v>
      </c>
      <c r="X1471" s="748">
        <f t="shared" si="390"/>
        <v>1.0833333333333333</v>
      </c>
      <c r="Y1471" s="451" t="str">
        <f>IFERROR(VLOOKUP(E:E,'Item Data Support Sheet'!A:J,6,0),0)</f>
        <v>Silicon</v>
      </c>
      <c r="Z1471" s="428">
        <f>IFERROR(VLOOKUP(E:E,'Item Data Support Sheet'!A:O,4,0),0)</f>
        <v>6.8</v>
      </c>
      <c r="AA1471" s="428">
        <f t="shared" si="391"/>
        <v>19.971999999999998</v>
      </c>
      <c r="AB1471" s="429">
        <f t="shared" si="392"/>
        <v>0.8852393350690968</v>
      </c>
      <c r="AC1471" s="424">
        <f t="shared" si="393"/>
        <v>2.1820917983446202E-2</v>
      </c>
      <c r="AD1471" s="371">
        <f t="shared" si="394"/>
        <v>4.1237113402061855E-2</v>
      </c>
      <c r="AE1471" s="748">
        <f t="shared" si="395"/>
        <v>0.97921146953405014</v>
      </c>
      <c r="AF1471" s="417">
        <f t="shared" si="396"/>
        <v>3.3333333333333335</v>
      </c>
      <c r="AG1471" s="416">
        <f t="shared" si="397"/>
        <v>4.6666666666666661</v>
      </c>
      <c r="AH1471" s="372">
        <f t="shared" si="398"/>
        <v>0.58333333333333326</v>
      </c>
      <c r="AI1471" s="373">
        <f t="shared" si="399"/>
        <v>325</v>
      </c>
      <c r="AJ1471" s="418">
        <f>VLOOKUP(D1471,'Standard Cycle time'!C:D,2,0)</f>
        <v>5.25</v>
      </c>
      <c r="AK1471" s="418">
        <f t="shared" si="400"/>
        <v>6.4615384615384599</v>
      </c>
      <c r="AL1471" s="374">
        <f t="shared" si="401"/>
        <v>0.81250000000000022</v>
      </c>
      <c r="AM1471" s="372">
        <f t="shared" si="402"/>
        <v>0.46410543608124261</v>
      </c>
      <c r="AN1471" s="799">
        <v>0.46410543608124261</v>
      </c>
      <c r="AO1471" s="448" t="s">
        <v>4248</v>
      </c>
      <c r="AP1471" s="440">
        <v>0</v>
      </c>
      <c r="AQ1471" s="440">
        <v>0</v>
      </c>
      <c r="AR1471" s="440">
        <v>0</v>
      </c>
      <c r="AS1471" s="440">
        <v>0</v>
      </c>
      <c r="AT1471" s="440">
        <v>0</v>
      </c>
      <c r="AU1471" s="440">
        <v>60</v>
      </c>
      <c r="AV1471" s="440">
        <v>0</v>
      </c>
      <c r="AW1471" s="440">
        <v>50</v>
      </c>
      <c r="AX1471" s="440">
        <v>0</v>
      </c>
      <c r="AY1471" s="440">
        <v>0</v>
      </c>
      <c r="AZ1471" s="440">
        <v>0</v>
      </c>
      <c r="BA1471" s="440">
        <v>0</v>
      </c>
      <c r="BB1471" s="440">
        <v>90</v>
      </c>
      <c r="BC1471" s="440">
        <v>0</v>
      </c>
      <c r="BD1471" s="440">
        <v>0</v>
      </c>
      <c r="BE1471" s="440">
        <v>0</v>
      </c>
      <c r="BF1471" s="440">
        <v>0</v>
      </c>
      <c r="BG1471" s="440">
        <v>0</v>
      </c>
      <c r="BH1471" s="440">
        <v>0</v>
      </c>
      <c r="BI1471" s="440">
        <v>0</v>
      </c>
      <c r="BJ1471" s="440">
        <v>0</v>
      </c>
      <c r="BK1471" s="440">
        <v>0</v>
      </c>
      <c r="BL1471" s="440">
        <v>0</v>
      </c>
      <c r="BM1471" s="440">
        <v>0</v>
      </c>
      <c r="BN1471" s="440">
        <v>0</v>
      </c>
      <c r="BO1471" s="440">
        <v>0</v>
      </c>
      <c r="BP1471" s="440">
        <v>0</v>
      </c>
      <c r="BQ1471" s="440">
        <v>0</v>
      </c>
      <c r="BR1471" s="415">
        <v>3.3333333333333335</v>
      </c>
      <c r="BS1471" s="415">
        <v>3.3333333333333335</v>
      </c>
      <c r="BT1471" s="935"/>
      <c r="BU1471" s="935"/>
      <c r="BV1471" s="935"/>
      <c r="BW1471" s="935"/>
      <c r="BX1471" s="935"/>
      <c r="BY1471" s="935"/>
      <c r="BZ1471" s="935"/>
      <c r="CA1471" s="935"/>
      <c r="CB1471" s="935"/>
      <c r="CC1471" s="935"/>
      <c r="CD1471" s="935"/>
      <c r="CE1471" s="935"/>
      <c r="CF1471" s="935"/>
      <c r="CG1471" s="935"/>
      <c r="CH1471" s="935"/>
      <c r="CI1471" s="935"/>
      <c r="CJ1471" s="935"/>
      <c r="CK1471" s="935"/>
      <c r="CL1471" s="935"/>
      <c r="CM1471" s="935"/>
      <c r="CN1471" s="935"/>
      <c r="CO1471" s="935"/>
      <c r="CP1471" s="935"/>
      <c r="CQ1471" s="935"/>
      <c r="CR1471" s="935"/>
      <c r="CS1471" s="935"/>
      <c r="CT1471" s="935"/>
      <c r="CU1471" s="935"/>
      <c r="CV1471" s="935"/>
    </row>
    <row r="1472" spans="1:104" s="441" customFormat="1">
      <c r="A1472" s="375">
        <f t="shared" si="388"/>
        <v>11</v>
      </c>
      <c r="B1472" s="862">
        <v>44529</v>
      </c>
      <c r="C1472" s="493" t="s">
        <v>1980</v>
      </c>
      <c r="D1472" s="376" t="str">
        <f>IFERROR(VLOOKUP(E:E,'Item Data Support Sheet'!A:O,7,0),"")</f>
        <v>NIPPLE MOLDED</v>
      </c>
      <c r="E1472" s="447" t="s">
        <v>72</v>
      </c>
      <c r="F1472" s="500" t="s">
        <v>1678</v>
      </c>
      <c r="G1472" s="497" t="s">
        <v>1691</v>
      </c>
      <c r="H1472" s="602" t="str">
        <f>IFERROR(VLOOKUP(E:E,'Item Data Support Sheet'!A:O,2,0),"")</f>
        <v>NIPPLE S TYPE S SIZE INJECTION</v>
      </c>
      <c r="I1472" s="501" t="s">
        <v>4247</v>
      </c>
      <c r="J1472" s="501" t="s">
        <v>2808</v>
      </c>
      <c r="K1472" s="499">
        <v>8</v>
      </c>
      <c r="L1472" s="499">
        <v>3600</v>
      </c>
      <c r="M1472" s="366">
        <v>450</v>
      </c>
      <c r="N1472" s="367">
        <f t="shared" si="387"/>
        <v>4360</v>
      </c>
      <c r="O1472" s="61">
        <v>4200</v>
      </c>
      <c r="P1472" s="368">
        <v>0</v>
      </c>
      <c r="Q1472" s="368">
        <v>73</v>
      </c>
      <c r="R1472" s="494">
        <v>0</v>
      </c>
      <c r="S1472" s="493">
        <v>0</v>
      </c>
      <c r="T1472" s="494">
        <v>55</v>
      </c>
      <c r="U1472" s="493">
        <v>32</v>
      </c>
      <c r="V1472" s="502">
        <v>1</v>
      </c>
      <c r="W1472" s="453">
        <f t="shared" si="389"/>
        <v>4200</v>
      </c>
      <c r="X1472" s="748">
        <f t="shared" si="390"/>
        <v>1.1666666666666667</v>
      </c>
      <c r="Y1472" s="451" t="str">
        <f>IFERROR(VLOOKUP(E:E,'Item Data Support Sheet'!A:J,6,0),0)</f>
        <v>Silicon</v>
      </c>
      <c r="Z1472" s="428">
        <f>IFERROR(VLOOKUP(E:E,'Item Data Support Sheet'!A:O,4,0),0)</f>
        <v>6.8</v>
      </c>
      <c r="AA1472" s="428">
        <f t="shared" si="391"/>
        <v>29.648</v>
      </c>
      <c r="AB1472" s="429">
        <f t="shared" si="392"/>
        <v>0.96330275229357798</v>
      </c>
      <c r="AC1472" s="424">
        <f t="shared" si="393"/>
        <v>1.2925969447708578E-2</v>
      </c>
      <c r="AD1472" s="371">
        <f t="shared" si="394"/>
        <v>1.6467403564177759E-2</v>
      </c>
      <c r="AE1472" s="748">
        <f t="shared" si="395"/>
        <v>0.98738532110091748</v>
      </c>
      <c r="AF1472" s="417">
        <f t="shared" si="396"/>
        <v>2.3333333333333335</v>
      </c>
      <c r="AG1472" s="416">
        <f t="shared" si="397"/>
        <v>5.6666666666666661</v>
      </c>
      <c r="AH1472" s="372">
        <f t="shared" si="398"/>
        <v>0.70833333333333326</v>
      </c>
      <c r="AI1472" s="373">
        <f t="shared" si="399"/>
        <v>525</v>
      </c>
      <c r="AJ1472" s="418">
        <f>VLOOKUP(D1472,'Standard Cycle time'!C:D,2,0)</f>
        <v>5.25</v>
      </c>
      <c r="AK1472" s="418">
        <f t="shared" si="400"/>
        <v>4.8571428571428559</v>
      </c>
      <c r="AL1472" s="374">
        <f t="shared" si="401"/>
        <v>1.0808823529411768</v>
      </c>
      <c r="AM1472" s="372">
        <f t="shared" si="402"/>
        <v>0.75596688646789012</v>
      </c>
      <c r="AN1472" s="799">
        <v>0.75596688646789012</v>
      </c>
      <c r="AO1472" s="448" t="s">
        <v>4248</v>
      </c>
      <c r="AP1472" s="440">
        <v>0</v>
      </c>
      <c r="AQ1472" s="440">
        <v>0</v>
      </c>
      <c r="AR1472" s="440">
        <v>0</v>
      </c>
      <c r="AS1472" s="440">
        <v>0</v>
      </c>
      <c r="AT1472" s="440">
        <v>0</v>
      </c>
      <c r="AU1472" s="440">
        <v>30</v>
      </c>
      <c r="AV1472" s="440">
        <v>0</v>
      </c>
      <c r="AW1472" s="440">
        <v>20</v>
      </c>
      <c r="AX1472" s="440">
        <v>0</v>
      </c>
      <c r="AY1472" s="440">
        <v>0</v>
      </c>
      <c r="AZ1472" s="440">
        <v>0</v>
      </c>
      <c r="BA1472" s="440">
        <v>0</v>
      </c>
      <c r="BB1472" s="440">
        <v>90</v>
      </c>
      <c r="BC1472" s="440">
        <v>0</v>
      </c>
      <c r="BD1472" s="440">
        <v>0</v>
      </c>
      <c r="BE1472" s="440">
        <v>0</v>
      </c>
      <c r="BF1472" s="440">
        <v>0</v>
      </c>
      <c r="BG1472" s="440">
        <v>0</v>
      </c>
      <c r="BH1472" s="440">
        <v>0</v>
      </c>
      <c r="BI1472" s="440">
        <v>0</v>
      </c>
      <c r="BJ1472" s="440">
        <v>0</v>
      </c>
      <c r="BK1472" s="440">
        <v>0</v>
      </c>
      <c r="BL1472" s="440">
        <v>0</v>
      </c>
      <c r="BM1472" s="440">
        <v>0</v>
      </c>
      <c r="BN1472" s="440">
        <v>0</v>
      </c>
      <c r="BO1472" s="440">
        <v>0</v>
      </c>
      <c r="BP1472" s="440">
        <v>0</v>
      </c>
      <c r="BQ1472" s="440">
        <v>0</v>
      </c>
      <c r="BR1472" s="415">
        <v>2.3333333333333335</v>
      </c>
      <c r="BS1472" s="415">
        <v>2.3333333333333335</v>
      </c>
      <c r="BT1472" s="935"/>
      <c r="BU1472" s="935"/>
      <c r="BV1472" s="935"/>
      <c r="BW1472" s="935"/>
      <c r="BX1472" s="935"/>
      <c r="BY1472" s="935"/>
      <c r="BZ1472" s="935"/>
      <c r="CA1472" s="935"/>
      <c r="CB1472" s="935"/>
      <c r="CC1472" s="935"/>
      <c r="CD1472" s="935"/>
      <c r="CE1472" s="935"/>
      <c r="CF1472" s="935"/>
      <c r="CG1472" s="935"/>
      <c r="CH1472" s="935"/>
      <c r="CI1472" s="935"/>
      <c r="CJ1472" s="935"/>
      <c r="CK1472" s="935"/>
      <c r="CL1472" s="935"/>
      <c r="CM1472" s="935"/>
      <c r="CN1472" s="935"/>
      <c r="CO1472" s="935"/>
      <c r="CP1472" s="935"/>
      <c r="CQ1472" s="935"/>
      <c r="CR1472" s="935"/>
      <c r="CS1472" s="935"/>
      <c r="CT1472" s="935"/>
      <c r="CU1472" s="935"/>
      <c r="CV1472" s="935"/>
    </row>
    <row r="1473" spans="1:100" s="441" customFormat="1">
      <c r="A1473" s="375">
        <f t="shared" si="388"/>
        <v>11</v>
      </c>
      <c r="B1473" s="862">
        <v>44529</v>
      </c>
      <c r="C1473" s="493" t="s">
        <v>1980</v>
      </c>
      <c r="D1473" s="376" t="str">
        <f>IFERROR(VLOOKUP(E:E,'Item Data Support Sheet'!A:O,7,0),"")</f>
        <v>BOTTLE MOLDED</v>
      </c>
      <c r="E1473" s="447" t="s">
        <v>65</v>
      </c>
      <c r="F1473" s="500" t="s">
        <v>1679</v>
      </c>
      <c r="G1473" s="497" t="s">
        <v>1665</v>
      </c>
      <c r="H1473" s="602" t="str">
        <f>IFERROR(VLOOKUP(E:E,'Item Data Support Sheet'!A:O,2,0),"")</f>
        <v>KPP 120 ML BOTTLE MOLDED</v>
      </c>
      <c r="I1473" s="501" t="s">
        <v>4249</v>
      </c>
      <c r="J1473" s="501" t="s">
        <v>2808</v>
      </c>
      <c r="K1473" s="499">
        <v>8</v>
      </c>
      <c r="L1473" s="499">
        <v>2000</v>
      </c>
      <c r="M1473" s="366">
        <v>250</v>
      </c>
      <c r="N1473" s="367">
        <f t="shared" si="387"/>
        <v>2280</v>
      </c>
      <c r="O1473" s="61">
        <v>2160</v>
      </c>
      <c r="P1473" s="368">
        <v>0</v>
      </c>
      <c r="Q1473" s="368">
        <v>70</v>
      </c>
      <c r="R1473" s="494">
        <v>0</v>
      </c>
      <c r="S1473" s="493">
        <v>0</v>
      </c>
      <c r="T1473" s="494">
        <v>42</v>
      </c>
      <c r="U1473" s="493">
        <v>8</v>
      </c>
      <c r="V1473" s="502">
        <v>1</v>
      </c>
      <c r="W1473" s="453">
        <f t="shared" si="389"/>
        <v>2160</v>
      </c>
      <c r="X1473" s="748">
        <f t="shared" si="390"/>
        <v>1.08</v>
      </c>
      <c r="Y1473" s="451" t="str">
        <f>IFERROR(VLOOKUP(E:E,'Item Data Support Sheet'!A:J,6,0),0)</f>
        <v>HMC</v>
      </c>
      <c r="Z1473" s="428">
        <f>IFERROR(VLOOKUP(E:E,'Item Data Support Sheet'!A:O,4,0),0)</f>
        <v>21.3</v>
      </c>
      <c r="AA1473" s="428">
        <f t="shared" si="391"/>
        <v>48.564</v>
      </c>
      <c r="AB1473" s="429">
        <f t="shared" si="392"/>
        <v>0.94736842105263153</v>
      </c>
      <c r="AC1473" s="424">
        <f t="shared" si="393"/>
        <v>1.9073569482288829E-2</v>
      </c>
      <c r="AD1473" s="371">
        <f t="shared" si="394"/>
        <v>2.9787234042553193E-2</v>
      </c>
      <c r="AE1473" s="748">
        <f t="shared" si="395"/>
        <v>0.98157894736842111</v>
      </c>
      <c r="AF1473" s="417">
        <f t="shared" si="396"/>
        <v>2.1666666666666665</v>
      </c>
      <c r="AG1473" s="416">
        <f t="shared" si="397"/>
        <v>5.8333333333333339</v>
      </c>
      <c r="AH1473" s="372">
        <f t="shared" si="398"/>
        <v>0.72916666666666674</v>
      </c>
      <c r="AI1473" s="373">
        <f t="shared" si="399"/>
        <v>270</v>
      </c>
      <c r="AJ1473" s="418">
        <f>VLOOKUP(D1473,'Standard Cycle time'!C:D,2,0)</f>
        <v>9</v>
      </c>
      <c r="AK1473" s="418">
        <f t="shared" si="400"/>
        <v>9.7222222222222232</v>
      </c>
      <c r="AL1473" s="374">
        <f t="shared" si="401"/>
        <v>0.9257142857142856</v>
      </c>
      <c r="AM1473" s="372">
        <f t="shared" si="402"/>
        <v>0.66256578947368427</v>
      </c>
      <c r="AN1473" s="799">
        <v>0.66256578947368427</v>
      </c>
      <c r="AO1473" s="448" t="s">
        <v>4250</v>
      </c>
      <c r="AP1473" s="440">
        <v>0</v>
      </c>
      <c r="AQ1473" s="440">
        <v>0</v>
      </c>
      <c r="AR1473" s="440">
        <v>70</v>
      </c>
      <c r="AS1473" s="440">
        <v>0</v>
      </c>
      <c r="AT1473" s="440">
        <v>0</v>
      </c>
      <c r="AU1473" s="440">
        <v>0</v>
      </c>
      <c r="AV1473" s="440">
        <v>0</v>
      </c>
      <c r="AW1473" s="440">
        <v>50</v>
      </c>
      <c r="AX1473" s="440">
        <v>0</v>
      </c>
      <c r="AY1473" s="440">
        <v>0</v>
      </c>
      <c r="AZ1473" s="440">
        <v>10</v>
      </c>
      <c r="BA1473" s="440">
        <v>0</v>
      </c>
      <c r="BB1473" s="440">
        <v>0</v>
      </c>
      <c r="BC1473" s="440">
        <v>0</v>
      </c>
      <c r="BD1473" s="440">
        <v>0</v>
      </c>
      <c r="BE1473" s="440">
        <v>0</v>
      </c>
      <c r="BF1473" s="440">
        <v>0</v>
      </c>
      <c r="BG1473" s="440">
        <v>0</v>
      </c>
      <c r="BH1473" s="440">
        <v>0</v>
      </c>
      <c r="BI1473" s="440">
        <v>0</v>
      </c>
      <c r="BJ1473" s="440">
        <v>0</v>
      </c>
      <c r="BK1473" s="440">
        <v>0</v>
      </c>
      <c r="BL1473" s="440">
        <v>0</v>
      </c>
      <c r="BM1473" s="440">
        <v>0</v>
      </c>
      <c r="BN1473" s="440">
        <v>0</v>
      </c>
      <c r="BO1473" s="440">
        <v>0</v>
      </c>
      <c r="BP1473" s="440">
        <v>0</v>
      </c>
      <c r="BQ1473" s="440">
        <v>0</v>
      </c>
      <c r="BR1473" s="415">
        <v>2.1666666666666665</v>
      </c>
      <c r="BS1473" s="415">
        <v>2.1666666666666665</v>
      </c>
      <c r="BT1473" s="935"/>
      <c r="BU1473" s="935"/>
      <c r="BV1473" s="935"/>
      <c r="BW1473" s="935"/>
      <c r="BX1473" s="935"/>
      <c r="BY1473" s="935"/>
      <c r="BZ1473" s="935"/>
      <c r="CA1473" s="935"/>
      <c r="CB1473" s="935"/>
      <c r="CC1473" s="935"/>
      <c r="CD1473" s="935"/>
      <c r="CE1473" s="935"/>
      <c r="CF1473" s="935"/>
      <c r="CG1473" s="935"/>
      <c r="CH1473" s="935"/>
      <c r="CI1473" s="935"/>
      <c r="CJ1473" s="935"/>
      <c r="CK1473" s="935"/>
      <c r="CL1473" s="935"/>
      <c r="CM1473" s="935"/>
      <c r="CN1473" s="935"/>
      <c r="CO1473" s="935"/>
      <c r="CP1473" s="935"/>
      <c r="CQ1473" s="935"/>
      <c r="CR1473" s="935"/>
      <c r="CS1473" s="935"/>
      <c r="CT1473" s="935"/>
      <c r="CU1473" s="935"/>
      <c r="CV1473" s="935"/>
    </row>
    <row r="1474" spans="1:100" s="441" customFormat="1">
      <c r="A1474" s="375">
        <f t="shared" si="388"/>
        <v>11</v>
      </c>
      <c r="B1474" s="862">
        <v>44529</v>
      </c>
      <c r="C1474" s="493" t="s">
        <v>1980</v>
      </c>
      <c r="D1474" s="376" t="str">
        <f>IFERROR(VLOOKUP(E:E,'Item Data Support Sheet'!A:O,7,0),"")</f>
        <v>NIPPLE PUNCH</v>
      </c>
      <c r="E1474" s="447" t="s">
        <v>82</v>
      </c>
      <c r="F1474" s="500"/>
      <c r="G1474" s="497" t="s">
        <v>1692</v>
      </c>
      <c r="H1474" s="602" t="str">
        <f>IFERROR(VLOOKUP(E:E,'Item Data Support Sheet'!A:O,2,0),"")</f>
        <v>NIPPLE S TYPE L SIZE PUNCHED</v>
      </c>
      <c r="I1474" s="501" t="s">
        <v>4251</v>
      </c>
      <c r="J1474" s="501" t="s">
        <v>2808</v>
      </c>
      <c r="K1474" s="499">
        <v>8</v>
      </c>
      <c r="L1474" s="499">
        <v>7000</v>
      </c>
      <c r="M1474" s="366">
        <v>875</v>
      </c>
      <c r="N1474" s="367">
        <f t="shared" si="387"/>
        <v>6800</v>
      </c>
      <c r="O1474" s="61">
        <v>6800</v>
      </c>
      <c r="P1474" s="368">
        <v>0</v>
      </c>
      <c r="Q1474" s="368">
        <v>0</v>
      </c>
      <c r="R1474" s="494">
        <v>0</v>
      </c>
      <c r="S1474" s="493">
        <v>0</v>
      </c>
      <c r="T1474" s="494">
        <v>0</v>
      </c>
      <c r="U1474" s="493">
        <v>0</v>
      </c>
      <c r="V1474" s="502">
        <v>1</v>
      </c>
      <c r="W1474" s="453">
        <f t="shared" si="389"/>
        <v>6800</v>
      </c>
      <c r="X1474" s="748">
        <f t="shared" si="390"/>
        <v>0.97142857142857142</v>
      </c>
      <c r="Y1474" s="451" t="str">
        <f>IFERROR(VLOOKUP(E:E,'Item Data Support Sheet'!A:J,6,0),0)</f>
        <v>FO017</v>
      </c>
      <c r="Z1474" s="428">
        <f>IFERROR(VLOOKUP(E:E,'Item Data Support Sheet'!A:O,4,0),0)</f>
        <v>0</v>
      </c>
      <c r="AA1474" s="428">
        <f t="shared" si="391"/>
        <v>0</v>
      </c>
      <c r="AB1474" s="429" t="str">
        <f t="shared" si="392"/>
        <v xml:space="preserve"> </v>
      </c>
      <c r="AC1474" s="424">
        <f t="shared" si="393"/>
        <v>0</v>
      </c>
      <c r="AD1474" s="371">
        <f t="shared" si="394"/>
        <v>0</v>
      </c>
      <c r="AE1474" s="748">
        <f t="shared" si="395"/>
        <v>1</v>
      </c>
      <c r="AF1474" s="417">
        <f t="shared" si="396"/>
        <v>0</v>
      </c>
      <c r="AG1474" s="416">
        <f t="shared" si="397"/>
        <v>8</v>
      </c>
      <c r="AH1474" s="372">
        <f t="shared" si="398"/>
        <v>1</v>
      </c>
      <c r="AI1474" s="373">
        <f t="shared" si="399"/>
        <v>850</v>
      </c>
      <c r="AJ1474" s="418">
        <f>VLOOKUP(D1474,'Standard Cycle time'!C:D,2,0)</f>
        <v>3.5</v>
      </c>
      <c r="AK1474" s="418">
        <f t="shared" si="400"/>
        <v>4.2352941176470589</v>
      </c>
      <c r="AL1474" s="374">
        <f t="shared" si="401"/>
        <v>0.82638888888888884</v>
      </c>
      <c r="AM1474" s="372">
        <f t="shared" si="402"/>
        <v>0.82638888888888884</v>
      </c>
      <c r="AN1474" s="799">
        <v>0.82638888888888884</v>
      </c>
      <c r="AO1474" s="448"/>
      <c r="AP1474" s="440">
        <v>0</v>
      </c>
      <c r="AQ1474" s="440">
        <v>0</v>
      </c>
      <c r="AR1474" s="440">
        <v>0</v>
      </c>
      <c r="AS1474" s="440">
        <v>0</v>
      </c>
      <c r="AT1474" s="440">
        <v>0</v>
      </c>
      <c r="AU1474" s="440">
        <v>0</v>
      </c>
      <c r="AV1474" s="440">
        <v>0</v>
      </c>
      <c r="AW1474" s="440">
        <v>0</v>
      </c>
      <c r="AX1474" s="440">
        <v>0</v>
      </c>
      <c r="AY1474" s="440">
        <v>0</v>
      </c>
      <c r="AZ1474" s="440">
        <v>0</v>
      </c>
      <c r="BA1474" s="440">
        <v>0</v>
      </c>
      <c r="BB1474" s="440">
        <v>0</v>
      </c>
      <c r="BC1474" s="440">
        <v>0</v>
      </c>
      <c r="BD1474" s="440">
        <v>0</v>
      </c>
      <c r="BE1474" s="440">
        <v>0</v>
      </c>
      <c r="BF1474" s="440">
        <v>0</v>
      </c>
      <c r="BG1474" s="440">
        <v>0</v>
      </c>
      <c r="BH1474" s="440">
        <v>0</v>
      </c>
      <c r="BI1474" s="440">
        <v>0</v>
      </c>
      <c r="BJ1474" s="440">
        <v>0</v>
      </c>
      <c r="BK1474" s="440">
        <v>0</v>
      </c>
      <c r="BL1474" s="440">
        <v>0</v>
      </c>
      <c r="BM1474" s="440">
        <v>0</v>
      </c>
      <c r="BN1474" s="440">
        <v>0</v>
      </c>
      <c r="BO1474" s="440">
        <v>0</v>
      </c>
      <c r="BP1474" s="440">
        <v>0</v>
      </c>
      <c r="BQ1474" s="440">
        <v>0</v>
      </c>
      <c r="BR1474" s="415">
        <v>0</v>
      </c>
      <c r="BS1474" s="415">
        <v>0</v>
      </c>
      <c r="BT1474" s="935"/>
      <c r="BU1474" s="935"/>
      <c r="BV1474" s="935"/>
      <c r="BW1474" s="935"/>
      <c r="BX1474" s="935"/>
      <c r="BY1474" s="935"/>
      <c r="BZ1474" s="935"/>
      <c r="CA1474" s="935"/>
      <c r="CB1474" s="935"/>
      <c r="CC1474" s="935"/>
      <c r="CD1474" s="935"/>
      <c r="CE1474" s="935"/>
      <c r="CF1474" s="935"/>
      <c r="CG1474" s="935"/>
      <c r="CH1474" s="935"/>
      <c r="CI1474" s="935"/>
      <c r="CJ1474" s="935"/>
      <c r="CK1474" s="935"/>
      <c r="CL1474" s="935"/>
      <c r="CM1474" s="935"/>
      <c r="CN1474" s="935"/>
      <c r="CO1474" s="935"/>
      <c r="CP1474" s="935"/>
      <c r="CQ1474" s="935"/>
      <c r="CR1474" s="935"/>
      <c r="CS1474" s="935"/>
      <c r="CT1474" s="935"/>
      <c r="CU1474" s="935"/>
      <c r="CV1474" s="935"/>
    </row>
    <row r="1475" spans="1:100" s="441" customFormat="1">
      <c r="A1475" s="375">
        <f t="shared" si="388"/>
        <v>11</v>
      </c>
      <c r="B1475" s="862">
        <v>44529</v>
      </c>
      <c r="C1475" s="493" t="s">
        <v>1980</v>
      </c>
      <c r="D1475" s="376" t="str">
        <f>IFERROR(VLOOKUP(E:E,'Item Data Support Sheet'!A:O,7,0),"")</f>
        <v>NIPPLE LASER MARKING</v>
      </c>
      <c r="E1475" s="447" t="s">
        <v>1816</v>
      </c>
      <c r="F1475" s="500"/>
      <c r="G1475" s="497"/>
      <c r="H1475" s="602" t="str">
        <f>IFERROR(VLOOKUP(E:E,'Item Data Support Sheet'!A:O,2,0),"")</f>
        <v>NIPPLE S TYPE L SIZE PUNCHED LASER MARKED</v>
      </c>
      <c r="I1475" s="501" t="s">
        <v>4230</v>
      </c>
      <c r="J1475" s="501" t="s">
        <v>2808</v>
      </c>
      <c r="K1475" s="499">
        <v>8</v>
      </c>
      <c r="L1475" s="499">
        <v>7000</v>
      </c>
      <c r="M1475" s="366">
        <v>875</v>
      </c>
      <c r="N1475" s="367">
        <f t="shared" si="387"/>
        <v>5500</v>
      </c>
      <c r="O1475" s="61">
        <v>5500</v>
      </c>
      <c r="P1475" s="368">
        <v>0</v>
      </c>
      <c r="Q1475" s="368">
        <v>0</v>
      </c>
      <c r="R1475" s="494">
        <v>0</v>
      </c>
      <c r="S1475" s="493">
        <v>0</v>
      </c>
      <c r="T1475" s="494">
        <v>0</v>
      </c>
      <c r="U1475" s="493">
        <v>0</v>
      </c>
      <c r="V1475" s="502">
        <v>1</v>
      </c>
      <c r="W1475" s="453">
        <f t="shared" si="389"/>
        <v>5500</v>
      </c>
      <c r="X1475" s="748">
        <f t="shared" si="390"/>
        <v>0.7857142857142857</v>
      </c>
      <c r="Y1475" s="451" t="str">
        <f>IFERROR(VLOOKUP(E:E,'Item Data Support Sheet'!A:J,6,0),0)</f>
        <v>FO021</v>
      </c>
      <c r="Z1475" s="428">
        <f>IFERROR(VLOOKUP(E:E,'Item Data Support Sheet'!A:O,4,0),0)</f>
        <v>0</v>
      </c>
      <c r="AA1475" s="428">
        <f t="shared" si="391"/>
        <v>0</v>
      </c>
      <c r="AB1475" s="429" t="str">
        <f t="shared" si="392"/>
        <v xml:space="preserve"> </v>
      </c>
      <c r="AC1475" s="424">
        <f t="shared" si="393"/>
        <v>0</v>
      </c>
      <c r="AD1475" s="371">
        <f t="shared" si="394"/>
        <v>0</v>
      </c>
      <c r="AE1475" s="748">
        <f t="shared" si="395"/>
        <v>1</v>
      </c>
      <c r="AF1475" s="417">
        <f t="shared" si="396"/>
        <v>0</v>
      </c>
      <c r="AG1475" s="416">
        <f t="shared" si="397"/>
        <v>8</v>
      </c>
      <c r="AH1475" s="372">
        <f t="shared" si="398"/>
        <v>1</v>
      </c>
      <c r="AI1475" s="373">
        <f t="shared" si="399"/>
        <v>687.5</v>
      </c>
      <c r="AJ1475" s="418">
        <f>VLOOKUP(D1475,'Standard Cycle time'!C:D,2,0)</f>
        <v>3.5</v>
      </c>
      <c r="AK1475" s="418">
        <f t="shared" si="400"/>
        <v>5.2363636363636363</v>
      </c>
      <c r="AL1475" s="374">
        <f t="shared" si="401"/>
        <v>0.66840277777777779</v>
      </c>
      <c r="AM1475" s="372">
        <f t="shared" si="402"/>
        <v>0.66840277777777779</v>
      </c>
      <c r="AN1475" s="799">
        <v>0.66840277777777779</v>
      </c>
      <c r="AO1475" s="448"/>
      <c r="AP1475" s="440">
        <v>0</v>
      </c>
      <c r="AQ1475" s="440">
        <v>0</v>
      </c>
      <c r="AR1475" s="440">
        <v>0</v>
      </c>
      <c r="AS1475" s="440">
        <v>0</v>
      </c>
      <c r="AT1475" s="440">
        <v>0</v>
      </c>
      <c r="AU1475" s="440">
        <v>0</v>
      </c>
      <c r="AV1475" s="440">
        <v>0</v>
      </c>
      <c r="AW1475" s="440">
        <v>0</v>
      </c>
      <c r="AX1475" s="440">
        <v>0</v>
      </c>
      <c r="AY1475" s="440">
        <v>0</v>
      </c>
      <c r="AZ1475" s="440">
        <v>0</v>
      </c>
      <c r="BA1475" s="440">
        <v>0</v>
      </c>
      <c r="BB1475" s="440">
        <v>0</v>
      </c>
      <c r="BC1475" s="440">
        <v>0</v>
      </c>
      <c r="BD1475" s="440">
        <v>0</v>
      </c>
      <c r="BE1475" s="440">
        <v>0</v>
      </c>
      <c r="BF1475" s="440">
        <v>0</v>
      </c>
      <c r="BG1475" s="440">
        <v>0</v>
      </c>
      <c r="BH1475" s="440">
        <v>0</v>
      </c>
      <c r="BI1475" s="440">
        <v>0</v>
      </c>
      <c r="BJ1475" s="440">
        <v>0</v>
      </c>
      <c r="BK1475" s="440">
        <v>0</v>
      </c>
      <c r="BL1475" s="440">
        <v>0</v>
      </c>
      <c r="BM1475" s="440">
        <v>0</v>
      </c>
      <c r="BN1475" s="440">
        <v>0</v>
      </c>
      <c r="BO1475" s="440">
        <v>0</v>
      </c>
      <c r="BP1475" s="440">
        <v>0</v>
      </c>
      <c r="BQ1475" s="440">
        <v>0</v>
      </c>
      <c r="BR1475" s="415">
        <v>0</v>
      </c>
      <c r="BS1475" s="415">
        <v>0</v>
      </c>
      <c r="BT1475" s="935"/>
      <c r="BU1475" s="935"/>
      <c r="BV1475" s="935"/>
      <c r="BW1475" s="935"/>
      <c r="BX1475" s="935"/>
      <c r="BY1475" s="935"/>
      <c r="BZ1475" s="935"/>
      <c r="CA1475" s="935"/>
      <c r="CB1475" s="935"/>
      <c r="CC1475" s="935"/>
      <c r="CD1475" s="935"/>
      <c r="CE1475" s="935"/>
      <c r="CF1475" s="935"/>
      <c r="CG1475" s="935"/>
      <c r="CH1475" s="935"/>
      <c r="CI1475" s="935"/>
      <c r="CJ1475" s="935"/>
      <c r="CK1475" s="935"/>
      <c r="CL1475" s="935"/>
      <c r="CM1475" s="935"/>
      <c r="CN1475" s="935"/>
      <c r="CO1475" s="935"/>
      <c r="CP1475" s="935"/>
      <c r="CQ1475" s="935"/>
      <c r="CR1475" s="935"/>
      <c r="CS1475" s="935"/>
      <c r="CT1475" s="935"/>
      <c r="CU1475" s="935"/>
      <c r="CV1475" s="935"/>
    </row>
    <row r="1476" spans="1:100" s="441" customFormat="1">
      <c r="A1476" s="375">
        <f t="shared" si="388"/>
        <v>11</v>
      </c>
      <c r="B1476" s="862">
        <v>44529</v>
      </c>
      <c r="C1476" s="493" t="s">
        <v>1980</v>
      </c>
      <c r="D1476" s="376" t="str">
        <f>IFERROR(VLOOKUP(E:E,'Item Data Support Sheet'!A:O,7,0),"")</f>
        <v>CAP MOLDED</v>
      </c>
      <c r="E1476" s="447" t="s">
        <v>2108</v>
      </c>
      <c r="F1476" s="500"/>
      <c r="G1476" s="497" t="s">
        <v>2729</v>
      </c>
      <c r="H1476" s="602" t="str">
        <f>IFERROR(VLOOKUP(E:E,'Item Data Support Sheet'!A:O,2,0),"")</f>
        <v>CAP S TYPE MOLDED BLUE</v>
      </c>
      <c r="I1476" s="501" t="s">
        <v>4252</v>
      </c>
      <c r="J1476" s="501" t="s">
        <v>2808</v>
      </c>
      <c r="K1476" s="499">
        <v>3</v>
      </c>
      <c r="L1476" s="499">
        <v>1730</v>
      </c>
      <c r="M1476" s="366">
        <v>576.66666666666663</v>
      </c>
      <c r="N1476" s="367">
        <f t="shared" ref="N1476:N1539" si="403">+O1476+Q1476+T1476+U1476</f>
        <v>1648</v>
      </c>
      <c r="O1476" s="61">
        <v>1640</v>
      </c>
      <c r="P1476" s="368">
        <v>0</v>
      </c>
      <c r="Q1476" s="368">
        <v>0</v>
      </c>
      <c r="R1476" s="494">
        <v>0</v>
      </c>
      <c r="S1476" s="493">
        <v>0</v>
      </c>
      <c r="T1476" s="494">
        <v>0</v>
      </c>
      <c r="U1476" s="493">
        <v>8</v>
      </c>
      <c r="V1476" s="502">
        <v>1</v>
      </c>
      <c r="W1476" s="453">
        <f t="shared" si="389"/>
        <v>1640</v>
      </c>
      <c r="X1476" s="748">
        <f t="shared" si="390"/>
        <v>0.94797687861271673</v>
      </c>
      <c r="Y1476" s="451" t="str">
        <f>IFERROR(VLOOKUP(E:E,'Item Data Support Sheet'!A:J,6,0),0)</f>
        <v>RM000114</v>
      </c>
      <c r="Z1476" s="428">
        <f>IFERROR(VLOOKUP(E:E,'Item Data Support Sheet'!A:O,4,0),0)</f>
        <v>7.3</v>
      </c>
      <c r="AA1476" s="428">
        <f t="shared" si="391"/>
        <v>12.0304</v>
      </c>
      <c r="AB1476" s="429">
        <f t="shared" si="392"/>
        <v>0.99514563106796106</v>
      </c>
      <c r="AC1476" s="424">
        <f t="shared" si="393"/>
        <v>0</v>
      </c>
      <c r="AD1476" s="371">
        <f t="shared" si="394"/>
        <v>0</v>
      </c>
      <c r="AE1476" s="748">
        <f t="shared" si="395"/>
        <v>1</v>
      </c>
      <c r="AF1476" s="417">
        <f t="shared" si="396"/>
        <v>0</v>
      </c>
      <c r="AG1476" s="416">
        <f t="shared" si="397"/>
        <v>3</v>
      </c>
      <c r="AH1476" s="372">
        <f t="shared" si="398"/>
        <v>1</v>
      </c>
      <c r="AI1476" s="373">
        <f t="shared" si="399"/>
        <v>546.66666666666663</v>
      </c>
      <c r="AJ1476" s="418">
        <f>VLOOKUP(D1476,'Standard Cycle time'!C:D,2,0)</f>
        <v>6</v>
      </c>
      <c r="AK1476" s="418">
        <f t="shared" si="400"/>
        <v>6.5853658536585362</v>
      </c>
      <c r="AL1476" s="374">
        <f t="shared" si="401"/>
        <v>0.9111111111111112</v>
      </c>
      <c r="AM1476" s="372">
        <f t="shared" si="402"/>
        <v>0.9111111111111112</v>
      </c>
      <c r="AN1476" s="799">
        <v>0.9111111111111112</v>
      </c>
      <c r="AO1476" s="448"/>
      <c r="AP1476" s="440">
        <v>0</v>
      </c>
      <c r="AQ1476" s="440">
        <v>0</v>
      </c>
      <c r="AR1476" s="440">
        <v>0</v>
      </c>
      <c r="AS1476" s="440">
        <v>0</v>
      </c>
      <c r="AT1476" s="440">
        <v>0</v>
      </c>
      <c r="AU1476" s="440">
        <v>0</v>
      </c>
      <c r="AV1476" s="440">
        <v>0</v>
      </c>
      <c r="AW1476" s="440">
        <v>0</v>
      </c>
      <c r="AX1476" s="440">
        <v>0</v>
      </c>
      <c r="AY1476" s="440">
        <v>0</v>
      </c>
      <c r="AZ1476" s="440">
        <v>0</v>
      </c>
      <c r="BA1476" s="440">
        <v>0</v>
      </c>
      <c r="BB1476" s="440">
        <v>0</v>
      </c>
      <c r="BC1476" s="440">
        <v>0</v>
      </c>
      <c r="BD1476" s="440">
        <v>0</v>
      </c>
      <c r="BE1476" s="440">
        <v>0</v>
      </c>
      <c r="BF1476" s="440">
        <v>0</v>
      </c>
      <c r="BG1476" s="440">
        <v>0</v>
      </c>
      <c r="BH1476" s="440">
        <v>0</v>
      </c>
      <c r="BI1476" s="440">
        <v>0</v>
      </c>
      <c r="BJ1476" s="440">
        <v>0</v>
      </c>
      <c r="BK1476" s="440">
        <v>0</v>
      </c>
      <c r="BL1476" s="440">
        <v>0</v>
      </c>
      <c r="BM1476" s="440">
        <v>0</v>
      </c>
      <c r="BN1476" s="440">
        <v>0</v>
      </c>
      <c r="BO1476" s="440">
        <v>0</v>
      </c>
      <c r="BP1476" s="440">
        <v>0</v>
      </c>
      <c r="BQ1476" s="440">
        <v>0</v>
      </c>
      <c r="BR1476" s="415">
        <v>0</v>
      </c>
      <c r="BS1476" s="415">
        <v>0</v>
      </c>
      <c r="BT1476" s="935"/>
      <c r="BU1476" s="935"/>
      <c r="BV1476" s="935"/>
      <c r="BW1476" s="935"/>
      <c r="BX1476" s="935"/>
      <c r="BY1476" s="935"/>
      <c r="BZ1476" s="935"/>
      <c r="CA1476" s="935"/>
      <c r="CB1476" s="935"/>
      <c r="CC1476" s="935"/>
      <c r="CD1476" s="935"/>
      <c r="CE1476" s="935"/>
      <c r="CF1476" s="935"/>
      <c r="CG1476" s="935"/>
      <c r="CH1476" s="935"/>
      <c r="CI1476" s="935"/>
      <c r="CJ1476" s="935"/>
      <c r="CK1476" s="935"/>
      <c r="CL1476" s="935"/>
      <c r="CM1476" s="935"/>
      <c r="CN1476" s="935"/>
      <c r="CO1476" s="935"/>
      <c r="CP1476" s="935"/>
      <c r="CQ1476" s="935"/>
      <c r="CR1476" s="935"/>
      <c r="CS1476" s="935"/>
      <c r="CT1476" s="935"/>
      <c r="CU1476" s="935"/>
      <c r="CV1476" s="935"/>
    </row>
    <row r="1477" spans="1:100" s="441" customFormat="1">
      <c r="A1477" s="375">
        <f t="shared" ref="A1477:A1512" si="404">MONTH(B1477)</f>
        <v>11</v>
      </c>
      <c r="B1477" s="862">
        <v>44529</v>
      </c>
      <c r="C1477" s="493" t="s">
        <v>1980</v>
      </c>
      <c r="D1477" s="376" t="str">
        <f>IFERROR(VLOOKUP(E:E,'Item Data Support Sheet'!A:O,7,0),"")</f>
        <v>CAP MOLDED</v>
      </c>
      <c r="E1477" s="447" t="s">
        <v>2107</v>
      </c>
      <c r="F1477" s="500"/>
      <c r="G1477" s="497" t="s">
        <v>2729</v>
      </c>
      <c r="H1477" s="602" t="str">
        <f>IFERROR(VLOOKUP(E:E,'Item Data Support Sheet'!A:O,2,0),"")</f>
        <v>CAP S TYPE MOLDED PINK</v>
      </c>
      <c r="I1477" s="501" t="s">
        <v>4253</v>
      </c>
      <c r="J1477" s="501" t="s">
        <v>2808</v>
      </c>
      <c r="K1477" s="499">
        <v>5</v>
      </c>
      <c r="L1477" s="499">
        <v>2407</v>
      </c>
      <c r="M1477" s="366">
        <v>481.4</v>
      </c>
      <c r="N1477" s="367">
        <f t="shared" si="403"/>
        <v>2688</v>
      </c>
      <c r="O1477" s="61">
        <v>2670</v>
      </c>
      <c r="P1477" s="368">
        <v>0</v>
      </c>
      <c r="Q1477" s="368">
        <v>0</v>
      </c>
      <c r="R1477" s="494">
        <v>0</v>
      </c>
      <c r="S1477" s="493">
        <v>0</v>
      </c>
      <c r="T1477" s="494">
        <v>10</v>
      </c>
      <c r="U1477" s="493">
        <v>8</v>
      </c>
      <c r="V1477" s="502">
        <v>1</v>
      </c>
      <c r="W1477" s="453">
        <f t="shared" ref="W1477:W1540" si="405">IFERROR(O1477/V1477,0)</f>
        <v>2670</v>
      </c>
      <c r="X1477" s="748">
        <f t="shared" ref="X1477:X1540" si="406">O1477/L1477</f>
        <v>1.1092646447860408</v>
      </c>
      <c r="Y1477" s="451" t="str">
        <f>IFERROR(VLOOKUP(E:E,'Item Data Support Sheet'!A:J,6,0),0)</f>
        <v>RM000123</v>
      </c>
      <c r="Z1477" s="428">
        <f>IFERROR(VLOOKUP(E:E,'Item Data Support Sheet'!A:O,4,0),0)</f>
        <v>7.3</v>
      </c>
      <c r="AA1477" s="428">
        <f t="shared" ref="AA1477:AA1540" si="407">IFERROR(((N1477)*(Z1477/1000))+P1477,0)</f>
        <v>19.622399999999999</v>
      </c>
      <c r="AB1477" s="429">
        <f t="shared" ref="AB1477:AB1540" si="408">IFERROR((O1477*(Z1477/1000)/(AA1477))," ")</f>
        <v>0.99330357142857151</v>
      </c>
      <c r="AC1477" s="424">
        <f t="shared" ref="AC1477:AC1540" si="409">IFERROR((T1477)/((T1477)+O1477),0)</f>
        <v>3.7313432835820895E-3</v>
      </c>
      <c r="AD1477" s="371">
        <f t="shared" ref="AD1477:AD1540" si="410">IFERROR(Q1477/(Q1477+N1477),0)</f>
        <v>0</v>
      </c>
      <c r="AE1477" s="748">
        <f t="shared" ref="AE1477:AE1540" si="411">(N1477-T1477)/N1477</f>
        <v>0.99627976190476186</v>
      </c>
      <c r="AF1477" s="417">
        <f t="shared" ref="AF1477:AF1540" si="412">BR1477</f>
        <v>0</v>
      </c>
      <c r="AG1477" s="416">
        <f t="shared" ref="AG1477:AG1540" si="413">K1477-AF1477</f>
        <v>5</v>
      </c>
      <c r="AH1477" s="372">
        <f t="shared" ref="AH1477:AH1540" si="414">IFERROR(AG1477/K1477," ")</f>
        <v>1</v>
      </c>
      <c r="AI1477" s="373">
        <f t="shared" ref="AI1477:AI1540" si="415">IFERROR(O1477/K1477,0)</f>
        <v>534</v>
      </c>
      <c r="AJ1477" s="418">
        <f>VLOOKUP(D1477,'Standard Cycle time'!C:D,2,0)</f>
        <v>6</v>
      </c>
      <c r="AK1477" s="418">
        <f t="shared" ref="AK1477:AK1540" si="416">AG1477*V1477*3600/O1477</f>
        <v>6.7415730337078648</v>
      </c>
      <c r="AL1477" s="374">
        <f t="shared" ref="AL1477:AL1540" si="417">AJ1477/AK1477</f>
        <v>0.89</v>
      </c>
      <c r="AM1477" s="372">
        <f t="shared" ref="AM1477:AM1540" si="418">AE1477*AL1477*AH1477</f>
        <v>0.88668898809523811</v>
      </c>
      <c r="AN1477" s="799">
        <v>0.86616071428571428</v>
      </c>
      <c r="AO1477" s="448" t="s">
        <v>2152</v>
      </c>
      <c r="AP1477" s="440">
        <v>0</v>
      </c>
      <c r="AQ1477" s="440">
        <v>0</v>
      </c>
      <c r="AR1477" s="440">
        <v>0</v>
      </c>
      <c r="AS1477" s="440">
        <v>0</v>
      </c>
      <c r="AT1477" s="440">
        <v>0</v>
      </c>
      <c r="AU1477" s="440">
        <v>0</v>
      </c>
      <c r="AV1477" s="440">
        <v>0</v>
      </c>
      <c r="AW1477" s="440">
        <v>0</v>
      </c>
      <c r="AX1477" s="440">
        <v>0</v>
      </c>
      <c r="AY1477" s="440">
        <v>0</v>
      </c>
      <c r="AZ1477" s="440">
        <v>0</v>
      </c>
      <c r="BA1477" s="440">
        <v>0</v>
      </c>
      <c r="BB1477" s="440">
        <v>0</v>
      </c>
      <c r="BC1477" s="440">
        <v>0</v>
      </c>
      <c r="BD1477" s="440">
        <v>0</v>
      </c>
      <c r="BE1477" s="440">
        <v>0</v>
      </c>
      <c r="BF1477" s="440">
        <v>0</v>
      </c>
      <c r="BG1477" s="440">
        <v>0</v>
      </c>
      <c r="BH1477" s="440">
        <v>0</v>
      </c>
      <c r="BI1477" s="440">
        <v>0</v>
      </c>
      <c r="BJ1477" s="440">
        <v>0</v>
      </c>
      <c r="BK1477" s="440">
        <v>0</v>
      </c>
      <c r="BL1477" s="440">
        <v>0</v>
      </c>
      <c r="BM1477" s="440">
        <v>0</v>
      </c>
      <c r="BN1477" s="440">
        <v>0</v>
      </c>
      <c r="BO1477" s="440">
        <v>0</v>
      </c>
      <c r="BP1477" s="440">
        <v>0</v>
      </c>
      <c r="BQ1477" s="440">
        <v>0</v>
      </c>
      <c r="BR1477" s="415">
        <v>0</v>
      </c>
      <c r="BS1477" s="415">
        <v>0</v>
      </c>
      <c r="BT1477" s="935"/>
      <c r="BU1477" s="935"/>
      <c r="BV1477" s="935"/>
      <c r="BW1477" s="935"/>
      <c r="BX1477" s="935"/>
      <c r="BY1477" s="935"/>
      <c r="BZ1477" s="935"/>
      <c r="CA1477" s="935"/>
      <c r="CB1477" s="935"/>
      <c r="CC1477" s="935"/>
      <c r="CD1477" s="935"/>
      <c r="CE1477" s="935"/>
      <c r="CF1477" s="935"/>
      <c r="CG1477" s="935"/>
      <c r="CH1477" s="935"/>
      <c r="CI1477" s="935"/>
      <c r="CJ1477" s="935"/>
      <c r="CK1477" s="935"/>
      <c r="CL1477" s="935"/>
      <c r="CM1477" s="935"/>
      <c r="CN1477" s="935"/>
      <c r="CO1477" s="935"/>
      <c r="CP1477" s="935"/>
      <c r="CQ1477" s="935"/>
      <c r="CR1477" s="935"/>
      <c r="CS1477" s="935"/>
      <c r="CT1477" s="935"/>
      <c r="CU1477" s="935"/>
      <c r="CV1477" s="935"/>
    </row>
    <row r="1478" spans="1:100" s="441" customFormat="1">
      <c r="A1478" s="375">
        <f t="shared" si="404"/>
        <v>11</v>
      </c>
      <c r="B1478" s="862">
        <v>44529</v>
      </c>
      <c r="C1478" s="493" t="s">
        <v>2000</v>
      </c>
      <c r="D1478" s="376" t="str">
        <f>IFERROR(VLOOKUP(E:E,'Item Data Support Sheet'!A:O,7,0),"")</f>
        <v>BOTTLE PRINTED</v>
      </c>
      <c r="E1478" s="447" t="s">
        <v>69</v>
      </c>
      <c r="F1478" s="500"/>
      <c r="G1478" s="497"/>
      <c r="H1478" s="602" t="str">
        <f>IFERROR(VLOOKUP(E:E,'Item Data Support Sheet'!A:O,2,0),"")</f>
        <v>KPP 120 ML BOTTLE PRINTED</v>
      </c>
      <c r="I1478" s="501" t="s">
        <v>4254</v>
      </c>
      <c r="J1478" s="501" t="s">
        <v>2811</v>
      </c>
      <c r="K1478" s="499">
        <v>8</v>
      </c>
      <c r="L1478" s="499">
        <v>5100</v>
      </c>
      <c r="M1478" s="366">
        <v>638</v>
      </c>
      <c r="N1478" s="367">
        <f t="shared" si="403"/>
        <v>6012</v>
      </c>
      <c r="O1478" s="61">
        <v>5940</v>
      </c>
      <c r="P1478" s="368">
        <v>0</v>
      </c>
      <c r="Q1478" s="368">
        <v>0</v>
      </c>
      <c r="R1478" s="494">
        <v>47</v>
      </c>
      <c r="S1478" s="493">
        <v>0</v>
      </c>
      <c r="T1478" s="494">
        <v>72</v>
      </c>
      <c r="U1478" s="493">
        <v>0</v>
      </c>
      <c r="V1478" s="502">
        <v>5</v>
      </c>
      <c r="W1478" s="453">
        <f t="shared" si="405"/>
        <v>1188</v>
      </c>
      <c r="X1478" s="748">
        <f t="shared" si="406"/>
        <v>1.1647058823529413</v>
      </c>
      <c r="Y1478" s="451" t="str">
        <f>IFERROR(VLOOKUP(E:E,'Item Data Support Sheet'!A:J,6,0),0)</f>
        <v>FO001</v>
      </c>
      <c r="Z1478" s="428">
        <f>IFERROR(VLOOKUP(E:E,'Item Data Support Sheet'!A:O,4,0),0)</f>
        <v>0</v>
      </c>
      <c r="AA1478" s="428">
        <f t="shared" si="407"/>
        <v>0</v>
      </c>
      <c r="AB1478" s="429" t="str">
        <f t="shared" si="408"/>
        <v xml:space="preserve"> </v>
      </c>
      <c r="AC1478" s="424">
        <f t="shared" si="409"/>
        <v>1.1976047904191617E-2</v>
      </c>
      <c r="AD1478" s="371">
        <f t="shared" si="410"/>
        <v>0</v>
      </c>
      <c r="AE1478" s="748">
        <f t="shared" si="411"/>
        <v>0.9880239520958084</v>
      </c>
      <c r="AF1478" s="417">
        <f t="shared" si="412"/>
        <v>0.83333333333333337</v>
      </c>
      <c r="AG1478" s="416">
        <f t="shared" si="413"/>
        <v>7.166666666666667</v>
      </c>
      <c r="AH1478" s="372">
        <f t="shared" si="414"/>
        <v>0.89583333333333337</v>
      </c>
      <c r="AI1478" s="373">
        <f t="shared" si="415"/>
        <v>742.5</v>
      </c>
      <c r="AJ1478" s="418">
        <f>VLOOKUP(D1478,'Standard Cycle time'!C:D,2,0)</f>
        <v>32.4</v>
      </c>
      <c r="AK1478" s="418">
        <f t="shared" si="416"/>
        <v>21.71717171717172</v>
      </c>
      <c r="AL1478" s="374">
        <f t="shared" si="417"/>
        <v>1.4919069767441857</v>
      </c>
      <c r="AM1478" s="372">
        <f t="shared" si="418"/>
        <v>1.3204940119760475</v>
      </c>
      <c r="AN1478" s="799">
        <v>1.3231616766467063</v>
      </c>
      <c r="AO1478" s="448"/>
      <c r="AP1478" s="440">
        <v>50</v>
      </c>
      <c r="AQ1478" s="440">
        <v>0</v>
      </c>
      <c r="AR1478" s="440">
        <v>0</v>
      </c>
      <c r="AS1478" s="440">
        <v>0</v>
      </c>
      <c r="AT1478" s="440">
        <v>0</v>
      </c>
      <c r="AU1478" s="440">
        <v>0</v>
      </c>
      <c r="AV1478" s="440">
        <v>0</v>
      </c>
      <c r="AW1478" s="440">
        <v>0</v>
      </c>
      <c r="AX1478" s="440">
        <v>0</v>
      </c>
      <c r="AY1478" s="440">
        <v>0</v>
      </c>
      <c r="AZ1478" s="440">
        <v>0</v>
      </c>
      <c r="BA1478" s="440">
        <v>0</v>
      </c>
      <c r="BB1478" s="440">
        <v>0</v>
      </c>
      <c r="BC1478" s="440">
        <v>0</v>
      </c>
      <c r="BD1478" s="440">
        <v>0</v>
      </c>
      <c r="BE1478" s="440">
        <v>0</v>
      </c>
      <c r="BF1478" s="440">
        <v>0</v>
      </c>
      <c r="BG1478" s="440">
        <v>0</v>
      </c>
      <c r="BH1478" s="440">
        <v>0</v>
      </c>
      <c r="BI1478" s="440">
        <v>0</v>
      </c>
      <c r="BJ1478" s="440">
        <v>0</v>
      </c>
      <c r="BK1478" s="440">
        <v>0</v>
      </c>
      <c r="BL1478" s="440">
        <v>0</v>
      </c>
      <c r="BM1478" s="440">
        <v>0</v>
      </c>
      <c r="BN1478" s="440">
        <v>0</v>
      </c>
      <c r="BO1478" s="440">
        <v>0</v>
      </c>
      <c r="BP1478" s="440">
        <v>0</v>
      </c>
      <c r="BQ1478" s="440">
        <v>0</v>
      </c>
      <c r="BR1478" s="415">
        <v>0.83333333333333337</v>
      </c>
      <c r="BS1478" s="415">
        <v>0.83333333333333337</v>
      </c>
      <c r="BT1478" s="935"/>
      <c r="BU1478" s="935"/>
      <c r="BV1478" s="935"/>
      <c r="BW1478" s="935"/>
      <c r="BX1478" s="935"/>
      <c r="BY1478" s="935"/>
      <c r="BZ1478" s="935"/>
      <c r="CA1478" s="935"/>
      <c r="CB1478" s="935"/>
      <c r="CC1478" s="935"/>
      <c r="CD1478" s="935"/>
      <c r="CE1478" s="935"/>
      <c r="CF1478" s="935"/>
      <c r="CG1478" s="935"/>
      <c r="CH1478" s="935"/>
      <c r="CI1478" s="935"/>
      <c r="CJ1478" s="935"/>
      <c r="CK1478" s="935"/>
      <c r="CL1478" s="935"/>
      <c r="CM1478" s="935"/>
      <c r="CN1478" s="935"/>
      <c r="CO1478" s="935"/>
      <c r="CP1478" s="935"/>
      <c r="CQ1478" s="935"/>
      <c r="CR1478" s="935"/>
      <c r="CS1478" s="935"/>
      <c r="CT1478" s="935"/>
      <c r="CU1478" s="935"/>
      <c r="CV1478" s="935"/>
    </row>
    <row r="1479" spans="1:100" s="441" customFormat="1">
      <c r="A1479" s="375">
        <f t="shared" si="404"/>
        <v>11</v>
      </c>
      <c r="B1479" s="862">
        <v>44529</v>
      </c>
      <c r="C1479" s="493" t="s">
        <v>2000</v>
      </c>
      <c r="D1479" s="376" t="str">
        <f>IFERROR(VLOOKUP(E:E,'Item Data Support Sheet'!A:O,7,0),"")</f>
        <v>NIPPLE PUNCH INSPECTED</v>
      </c>
      <c r="E1479" s="447" t="s">
        <v>1820</v>
      </c>
      <c r="F1479" s="500"/>
      <c r="G1479" s="497"/>
      <c r="H1479" s="602" t="str">
        <f>IFERROR(VLOOKUP(E:E,'Item Data Support Sheet'!A:O,2,0),"")</f>
        <v>NIPPLE S TYPE L SIZE PUNCHED INSPECTED</v>
      </c>
      <c r="I1479" s="501" t="s">
        <v>4240</v>
      </c>
      <c r="J1479" s="501" t="s">
        <v>2811</v>
      </c>
      <c r="K1479" s="499">
        <v>8</v>
      </c>
      <c r="L1479" s="499">
        <v>19000</v>
      </c>
      <c r="M1479" s="366">
        <v>2375</v>
      </c>
      <c r="N1479" s="367">
        <f t="shared" si="403"/>
        <v>17700</v>
      </c>
      <c r="O1479" s="61">
        <v>17640</v>
      </c>
      <c r="P1479" s="368">
        <v>0</v>
      </c>
      <c r="Q1479" s="368">
        <v>0</v>
      </c>
      <c r="R1479" s="494">
        <v>0</v>
      </c>
      <c r="S1479" s="493">
        <v>0</v>
      </c>
      <c r="T1479" s="494">
        <v>60</v>
      </c>
      <c r="U1479" s="493">
        <v>0</v>
      </c>
      <c r="V1479" s="502">
        <v>2</v>
      </c>
      <c r="W1479" s="453">
        <f t="shared" si="405"/>
        <v>8820</v>
      </c>
      <c r="X1479" s="748">
        <f t="shared" si="406"/>
        <v>0.92842105263157892</v>
      </c>
      <c r="Y1479" s="451" t="str">
        <f>IFERROR(VLOOKUP(E:E,'Item Data Support Sheet'!A:J,6,0),0)</f>
        <v>FO106</v>
      </c>
      <c r="Z1479" s="428">
        <f>IFERROR(VLOOKUP(E:E,'Item Data Support Sheet'!A:O,4,0),0)</f>
        <v>0</v>
      </c>
      <c r="AA1479" s="428">
        <f t="shared" si="407"/>
        <v>0</v>
      </c>
      <c r="AB1479" s="429" t="str">
        <f t="shared" si="408"/>
        <v xml:space="preserve"> </v>
      </c>
      <c r="AC1479" s="424">
        <f t="shared" si="409"/>
        <v>3.3898305084745762E-3</v>
      </c>
      <c r="AD1479" s="371">
        <f t="shared" si="410"/>
        <v>0</v>
      </c>
      <c r="AE1479" s="748">
        <f t="shared" si="411"/>
        <v>0.99661016949152548</v>
      </c>
      <c r="AF1479" s="417">
        <f t="shared" si="412"/>
        <v>0.83333333333333337</v>
      </c>
      <c r="AG1479" s="416">
        <f t="shared" si="413"/>
        <v>7.166666666666667</v>
      </c>
      <c r="AH1479" s="372">
        <f t="shared" si="414"/>
        <v>0.89583333333333337</v>
      </c>
      <c r="AI1479" s="373">
        <f t="shared" si="415"/>
        <v>2205</v>
      </c>
      <c r="AJ1479" s="418">
        <f>VLOOKUP(D1479,'Standard Cycle time'!C:D,2,0)</f>
        <v>4</v>
      </c>
      <c r="AK1479" s="418">
        <f t="shared" si="416"/>
        <v>2.925170068027211</v>
      </c>
      <c r="AL1479" s="374">
        <f t="shared" si="417"/>
        <v>1.3674418604651162</v>
      </c>
      <c r="AM1479" s="372">
        <f t="shared" si="418"/>
        <v>1.2208474576271187</v>
      </c>
      <c r="AN1479" s="799">
        <v>1.2208474576271187</v>
      </c>
      <c r="AO1479" s="448"/>
      <c r="AP1479" s="440">
        <v>50</v>
      </c>
      <c r="AQ1479" s="440">
        <v>0</v>
      </c>
      <c r="AR1479" s="440">
        <v>0</v>
      </c>
      <c r="AS1479" s="440">
        <v>0</v>
      </c>
      <c r="AT1479" s="440">
        <v>0</v>
      </c>
      <c r="AU1479" s="440">
        <v>0</v>
      </c>
      <c r="AV1479" s="440">
        <v>0</v>
      </c>
      <c r="AW1479" s="440">
        <v>0</v>
      </c>
      <c r="AX1479" s="440">
        <v>0</v>
      </c>
      <c r="AY1479" s="440">
        <v>0</v>
      </c>
      <c r="AZ1479" s="440">
        <v>0</v>
      </c>
      <c r="BA1479" s="440">
        <v>0</v>
      </c>
      <c r="BB1479" s="440">
        <v>0</v>
      </c>
      <c r="BC1479" s="440">
        <v>0</v>
      </c>
      <c r="BD1479" s="440">
        <v>0</v>
      </c>
      <c r="BE1479" s="440">
        <v>0</v>
      </c>
      <c r="BF1479" s="440">
        <v>0</v>
      </c>
      <c r="BG1479" s="440">
        <v>0</v>
      </c>
      <c r="BH1479" s="440">
        <v>0</v>
      </c>
      <c r="BI1479" s="440">
        <v>0</v>
      </c>
      <c r="BJ1479" s="440">
        <v>0</v>
      </c>
      <c r="BK1479" s="440">
        <v>0</v>
      </c>
      <c r="BL1479" s="440">
        <v>0</v>
      </c>
      <c r="BM1479" s="440">
        <v>0</v>
      </c>
      <c r="BN1479" s="440">
        <v>0</v>
      </c>
      <c r="BO1479" s="440">
        <v>0</v>
      </c>
      <c r="BP1479" s="440">
        <v>0</v>
      </c>
      <c r="BQ1479" s="440">
        <v>0</v>
      </c>
      <c r="BR1479" s="415">
        <v>0.83333333333333337</v>
      </c>
      <c r="BS1479" s="415">
        <v>0.83333333333333337</v>
      </c>
      <c r="BT1479" s="935"/>
      <c r="BU1479" s="935"/>
      <c r="BV1479" s="935"/>
      <c r="BW1479" s="935"/>
      <c r="BX1479" s="935"/>
      <c r="BY1479" s="935"/>
      <c r="BZ1479" s="935"/>
      <c r="CA1479" s="935"/>
      <c r="CB1479" s="935"/>
      <c r="CC1479" s="935"/>
      <c r="CD1479" s="935"/>
      <c r="CE1479" s="935"/>
      <c r="CF1479" s="935"/>
      <c r="CG1479" s="935"/>
      <c r="CH1479" s="935"/>
      <c r="CI1479" s="935"/>
      <c r="CJ1479" s="935"/>
      <c r="CK1479" s="935"/>
      <c r="CL1479" s="935"/>
      <c r="CM1479" s="935"/>
      <c r="CN1479" s="935"/>
      <c r="CO1479" s="935"/>
      <c r="CP1479" s="935"/>
      <c r="CQ1479" s="935"/>
      <c r="CR1479" s="935"/>
      <c r="CS1479" s="935"/>
      <c r="CT1479" s="935"/>
      <c r="CU1479" s="935"/>
      <c r="CV1479" s="935"/>
    </row>
    <row r="1480" spans="1:100" s="441" customFormat="1">
      <c r="A1480" s="375">
        <f t="shared" si="404"/>
        <v>11</v>
      </c>
      <c r="B1480" s="862">
        <v>44529</v>
      </c>
      <c r="C1480" s="493" t="s">
        <v>2001</v>
      </c>
      <c r="D1480" s="376" t="str">
        <f>IFERROR(VLOOKUP(E:E,'Item Data Support Sheet'!A:O,7,0),"")</f>
        <v>NIPPLE PUNCH</v>
      </c>
      <c r="E1480" s="447" t="s">
        <v>82</v>
      </c>
      <c r="F1480" s="500"/>
      <c r="G1480" s="497" t="s">
        <v>1692</v>
      </c>
      <c r="H1480" s="602" t="str">
        <f>IFERROR(VLOOKUP(E:E,'Item Data Support Sheet'!A:O,2,0),"")</f>
        <v>NIPPLE S TYPE L SIZE PUNCHED</v>
      </c>
      <c r="I1480" s="501" t="s">
        <v>4255</v>
      </c>
      <c r="J1480" s="501" t="s">
        <v>2811</v>
      </c>
      <c r="K1480" s="499">
        <v>8</v>
      </c>
      <c r="L1480" s="499">
        <v>7000</v>
      </c>
      <c r="M1480" s="366">
        <v>875</v>
      </c>
      <c r="N1480" s="367">
        <f t="shared" si="403"/>
        <v>7000</v>
      </c>
      <c r="O1480" s="61">
        <v>7000</v>
      </c>
      <c r="P1480" s="368">
        <v>0</v>
      </c>
      <c r="Q1480" s="368">
        <v>0</v>
      </c>
      <c r="R1480" s="494">
        <v>0</v>
      </c>
      <c r="S1480" s="493">
        <v>0</v>
      </c>
      <c r="T1480" s="494">
        <v>0</v>
      </c>
      <c r="U1480" s="493">
        <v>0</v>
      </c>
      <c r="V1480" s="502">
        <v>1</v>
      </c>
      <c r="W1480" s="453">
        <f t="shared" si="405"/>
        <v>7000</v>
      </c>
      <c r="X1480" s="748">
        <f t="shared" si="406"/>
        <v>1</v>
      </c>
      <c r="Y1480" s="451" t="str">
        <f>IFERROR(VLOOKUP(E:E,'Item Data Support Sheet'!A:J,6,0),0)</f>
        <v>FO017</v>
      </c>
      <c r="Z1480" s="428">
        <f>IFERROR(VLOOKUP(E:E,'Item Data Support Sheet'!A:O,4,0),0)</f>
        <v>0</v>
      </c>
      <c r="AA1480" s="428">
        <f t="shared" si="407"/>
        <v>0</v>
      </c>
      <c r="AB1480" s="429" t="str">
        <f t="shared" si="408"/>
        <v xml:space="preserve"> </v>
      </c>
      <c r="AC1480" s="424">
        <f t="shared" si="409"/>
        <v>0</v>
      </c>
      <c r="AD1480" s="371">
        <f t="shared" si="410"/>
        <v>0</v>
      </c>
      <c r="AE1480" s="748">
        <f t="shared" si="411"/>
        <v>1</v>
      </c>
      <c r="AF1480" s="417">
        <f t="shared" si="412"/>
        <v>0.66666666666666663</v>
      </c>
      <c r="AG1480" s="416">
        <f t="shared" si="413"/>
        <v>7.333333333333333</v>
      </c>
      <c r="AH1480" s="372">
        <f t="shared" si="414"/>
        <v>0.91666666666666663</v>
      </c>
      <c r="AI1480" s="373">
        <f t="shared" si="415"/>
        <v>875</v>
      </c>
      <c r="AJ1480" s="418">
        <f>VLOOKUP(D1480,'Standard Cycle time'!C:D,2,0)</f>
        <v>3.5</v>
      </c>
      <c r="AK1480" s="418">
        <f t="shared" si="416"/>
        <v>3.7714285714285714</v>
      </c>
      <c r="AL1480" s="374">
        <f t="shared" si="417"/>
        <v>0.92803030303030309</v>
      </c>
      <c r="AM1480" s="372">
        <f t="shared" si="418"/>
        <v>0.85069444444444442</v>
      </c>
      <c r="AN1480" s="799">
        <v>0.85069444444444442</v>
      </c>
      <c r="AO1480" s="448"/>
      <c r="AP1480" s="440">
        <v>40</v>
      </c>
      <c r="AQ1480" s="440">
        <v>0</v>
      </c>
      <c r="AR1480" s="440">
        <v>0</v>
      </c>
      <c r="AS1480" s="440">
        <v>0</v>
      </c>
      <c r="AT1480" s="440">
        <v>0</v>
      </c>
      <c r="AU1480" s="440">
        <v>0</v>
      </c>
      <c r="AV1480" s="440">
        <v>0</v>
      </c>
      <c r="AW1480" s="440">
        <v>0</v>
      </c>
      <c r="AX1480" s="440">
        <v>0</v>
      </c>
      <c r="AY1480" s="440">
        <v>0</v>
      </c>
      <c r="AZ1480" s="440">
        <v>0</v>
      </c>
      <c r="BA1480" s="440">
        <v>0</v>
      </c>
      <c r="BB1480" s="440">
        <v>0</v>
      </c>
      <c r="BC1480" s="440">
        <v>0</v>
      </c>
      <c r="BD1480" s="440">
        <v>0</v>
      </c>
      <c r="BE1480" s="440">
        <v>0</v>
      </c>
      <c r="BF1480" s="440">
        <v>0</v>
      </c>
      <c r="BG1480" s="440">
        <v>0</v>
      </c>
      <c r="BH1480" s="440">
        <v>0</v>
      </c>
      <c r="BI1480" s="440">
        <v>0</v>
      </c>
      <c r="BJ1480" s="440">
        <v>0</v>
      </c>
      <c r="BK1480" s="440">
        <v>0</v>
      </c>
      <c r="BL1480" s="440">
        <v>0</v>
      </c>
      <c r="BM1480" s="440">
        <v>0</v>
      </c>
      <c r="BN1480" s="440">
        <v>0</v>
      </c>
      <c r="BO1480" s="440">
        <v>0</v>
      </c>
      <c r="BP1480" s="440">
        <v>0</v>
      </c>
      <c r="BQ1480" s="440">
        <v>0</v>
      </c>
      <c r="BR1480" s="415">
        <v>0.66666666666666663</v>
      </c>
      <c r="BS1480" s="415">
        <v>0.66666666666666663</v>
      </c>
      <c r="BT1480" s="935"/>
      <c r="BU1480" s="935"/>
      <c r="BV1480" s="935"/>
      <c r="BW1480" s="935"/>
      <c r="BX1480" s="935"/>
      <c r="BY1480" s="935"/>
      <c r="BZ1480" s="935"/>
      <c r="CA1480" s="935"/>
      <c r="CB1480" s="935"/>
      <c r="CC1480" s="935"/>
      <c r="CD1480" s="935"/>
      <c r="CE1480" s="935"/>
      <c r="CF1480" s="935"/>
      <c r="CG1480" s="935"/>
      <c r="CH1480" s="935"/>
      <c r="CI1480" s="935"/>
      <c r="CJ1480" s="935"/>
      <c r="CK1480" s="935"/>
      <c r="CL1480" s="935"/>
      <c r="CM1480" s="935"/>
      <c r="CN1480" s="935"/>
      <c r="CO1480" s="935"/>
      <c r="CP1480" s="935"/>
      <c r="CQ1480" s="935"/>
      <c r="CR1480" s="935"/>
      <c r="CS1480" s="935"/>
      <c r="CT1480" s="935"/>
      <c r="CU1480" s="935"/>
      <c r="CV1480" s="935"/>
    </row>
    <row r="1481" spans="1:100" s="441" customFormat="1">
      <c r="A1481" s="375">
        <f t="shared" si="404"/>
        <v>11</v>
      </c>
      <c r="B1481" s="862">
        <v>44529</v>
      </c>
      <c r="C1481" s="493" t="s">
        <v>2001</v>
      </c>
      <c r="D1481" s="376" t="str">
        <f>IFERROR(VLOOKUP(E:E,'Item Data Support Sheet'!A:O,7,0),"")</f>
        <v>NIPPLE LASER MARKING</v>
      </c>
      <c r="E1481" s="447" t="s">
        <v>1816</v>
      </c>
      <c r="F1481" s="500"/>
      <c r="G1481" s="497" t="s">
        <v>1812</v>
      </c>
      <c r="H1481" s="602" t="str">
        <f>IFERROR(VLOOKUP(E:E,'Item Data Support Sheet'!A:O,2,0),"")</f>
        <v>NIPPLE S TYPE L SIZE PUNCHED LASER MARKED</v>
      </c>
      <c r="I1481" s="501" t="s">
        <v>4233</v>
      </c>
      <c r="J1481" s="501" t="s">
        <v>2811</v>
      </c>
      <c r="K1481" s="499">
        <v>8</v>
      </c>
      <c r="L1481" s="499">
        <v>7000</v>
      </c>
      <c r="M1481" s="366">
        <v>875</v>
      </c>
      <c r="N1481" s="367">
        <f t="shared" si="403"/>
        <v>6800</v>
      </c>
      <c r="O1481" s="61">
        <v>6800</v>
      </c>
      <c r="P1481" s="368">
        <v>0</v>
      </c>
      <c r="Q1481" s="368">
        <v>0</v>
      </c>
      <c r="R1481" s="494">
        <v>0</v>
      </c>
      <c r="S1481" s="493">
        <v>0</v>
      </c>
      <c r="T1481" s="494">
        <v>0</v>
      </c>
      <c r="U1481" s="493">
        <v>0</v>
      </c>
      <c r="V1481" s="502">
        <v>1</v>
      </c>
      <c r="W1481" s="453">
        <f t="shared" si="405"/>
        <v>6800</v>
      </c>
      <c r="X1481" s="748">
        <f t="shared" si="406"/>
        <v>0.97142857142857142</v>
      </c>
      <c r="Y1481" s="451" t="str">
        <f>IFERROR(VLOOKUP(E:E,'Item Data Support Sheet'!A:J,6,0),0)</f>
        <v>FO021</v>
      </c>
      <c r="Z1481" s="428">
        <f>IFERROR(VLOOKUP(E:E,'Item Data Support Sheet'!A:O,4,0),0)</f>
        <v>0</v>
      </c>
      <c r="AA1481" s="428">
        <f t="shared" si="407"/>
        <v>0</v>
      </c>
      <c r="AB1481" s="429" t="str">
        <f t="shared" si="408"/>
        <v xml:space="preserve"> </v>
      </c>
      <c r="AC1481" s="424">
        <f t="shared" si="409"/>
        <v>0</v>
      </c>
      <c r="AD1481" s="371">
        <f t="shared" si="410"/>
        <v>0</v>
      </c>
      <c r="AE1481" s="748">
        <f t="shared" si="411"/>
        <v>1</v>
      </c>
      <c r="AF1481" s="417">
        <f t="shared" si="412"/>
        <v>0.66666666666666663</v>
      </c>
      <c r="AG1481" s="416">
        <f t="shared" si="413"/>
        <v>7.333333333333333</v>
      </c>
      <c r="AH1481" s="372">
        <f t="shared" si="414"/>
        <v>0.91666666666666663</v>
      </c>
      <c r="AI1481" s="373">
        <f t="shared" si="415"/>
        <v>850</v>
      </c>
      <c r="AJ1481" s="418">
        <f>VLOOKUP(D1481,'Standard Cycle time'!C:D,2,0)</f>
        <v>3.5</v>
      </c>
      <c r="AK1481" s="418">
        <f t="shared" si="416"/>
        <v>3.8823529411764706</v>
      </c>
      <c r="AL1481" s="374">
        <f t="shared" si="417"/>
        <v>0.90151515151515149</v>
      </c>
      <c r="AM1481" s="372">
        <f t="shared" si="418"/>
        <v>0.82638888888888884</v>
      </c>
      <c r="AN1481" s="799">
        <v>0.82638888888888884</v>
      </c>
      <c r="AO1481" s="448"/>
      <c r="AP1481" s="440">
        <v>40</v>
      </c>
      <c r="AQ1481" s="440">
        <v>0</v>
      </c>
      <c r="AR1481" s="440">
        <v>0</v>
      </c>
      <c r="AS1481" s="440">
        <v>0</v>
      </c>
      <c r="AT1481" s="440">
        <v>0</v>
      </c>
      <c r="AU1481" s="440">
        <v>0</v>
      </c>
      <c r="AV1481" s="440">
        <v>0</v>
      </c>
      <c r="AW1481" s="440">
        <v>0</v>
      </c>
      <c r="AX1481" s="440">
        <v>0</v>
      </c>
      <c r="AY1481" s="440">
        <v>0</v>
      </c>
      <c r="AZ1481" s="440">
        <v>0</v>
      </c>
      <c r="BA1481" s="440">
        <v>0</v>
      </c>
      <c r="BB1481" s="440">
        <v>0</v>
      </c>
      <c r="BC1481" s="440">
        <v>0</v>
      </c>
      <c r="BD1481" s="440">
        <v>0</v>
      </c>
      <c r="BE1481" s="440">
        <v>0</v>
      </c>
      <c r="BF1481" s="440">
        <v>0</v>
      </c>
      <c r="BG1481" s="440">
        <v>0</v>
      </c>
      <c r="BH1481" s="440">
        <v>0</v>
      </c>
      <c r="BI1481" s="440">
        <v>0</v>
      </c>
      <c r="BJ1481" s="440">
        <v>0</v>
      </c>
      <c r="BK1481" s="440">
        <v>0</v>
      </c>
      <c r="BL1481" s="440">
        <v>0</v>
      </c>
      <c r="BM1481" s="440">
        <v>0</v>
      </c>
      <c r="BN1481" s="440">
        <v>0</v>
      </c>
      <c r="BO1481" s="440">
        <v>0</v>
      </c>
      <c r="BP1481" s="440">
        <v>0</v>
      </c>
      <c r="BQ1481" s="440">
        <v>0</v>
      </c>
      <c r="BR1481" s="415">
        <v>0.66666666666666663</v>
      </c>
      <c r="BS1481" s="415">
        <v>0.66666666666666663</v>
      </c>
      <c r="BT1481" s="935"/>
      <c r="BU1481" s="935"/>
      <c r="BV1481" s="935"/>
      <c r="BW1481" s="935"/>
      <c r="BX1481" s="935"/>
      <c r="BY1481" s="935"/>
      <c r="BZ1481" s="935"/>
      <c r="CA1481" s="935"/>
      <c r="CB1481" s="935"/>
      <c r="CC1481" s="935"/>
      <c r="CD1481" s="935"/>
      <c r="CE1481" s="935"/>
      <c r="CF1481" s="935"/>
      <c r="CG1481" s="935"/>
      <c r="CH1481" s="935"/>
      <c r="CI1481" s="935"/>
      <c r="CJ1481" s="935"/>
      <c r="CK1481" s="935"/>
      <c r="CL1481" s="935"/>
      <c r="CM1481" s="935"/>
      <c r="CN1481" s="935"/>
      <c r="CO1481" s="935"/>
      <c r="CP1481" s="935"/>
      <c r="CQ1481" s="935"/>
      <c r="CR1481" s="935"/>
      <c r="CS1481" s="935"/>
      <c r="CT1481" s="935"/>
      <c r="CU1481" s="935"/>
      <c r="CV1481" s="935"/>
    </row>
    <row r="1482" spans="1:100" s="441" customFormat="1">
      <c r="A1482" s="375">
        <f t="shared" si="404"/>
        <v>11</v>
      </c>
      <c r="B1482" s="862">
        <v>44529</v>
      </c>
      <c r="C1482" s="493" t="s">
        <v>2001</v>
      </c>
      <c r="D1482" s="376" t="str">
        <f>IFERROR(VLOOKUP(E:E,'Item Data Support Sheet'!A:O,7,0),"")</f>
        <v>BOTTLE MOLDED</v>
      </c>
      <c r="E1482" s="447" t="s">
        <v>65</v>
      </c>
      <c r="F1482" s="500" t="s">
        <v>1679</v>
      </c>
      <c r="G1482" s="497" t="s">
        <v>1665</v>
      </c>
      <c r="H1482" s="602" t="str">
        <f>IFERROR(VLOOKUP(E:E,'Item Data Support Sheet'!A:O,2,0),"")</f>
        <v>KPP 120 ML BOTTLE MOLDED</v>
      </c>
      <c r="I1482" s="501" t="s">
        <v>4256</v>
      </c>
      <c r="J1482" s="501" t="s">
        <v>2811</v>
      </c>
      <c r="K1482" s="499">
        <v>8</v>
      </c>
      <c r="L1482" s="499">
        <v>2574</v>
      </c>
      <c r="M1482" s="366">
        <v>321.75</v>
      </c>
      <c r="N1482" s="367">
        <f t="shared" si="403"/>
        <v>2940</v>
      </c>
      <c r="O1482" s="61">
        <v>2880</v>
      </c>
      <c r="P1482" s="368">
        <v>0.1</v>
      </c>
      <c r="Q1482" s="368">
        <v>20</v>
      </c>
      <c r="R1482" s="494">
        <v>0</v>
      </c>
      <c r="S1482" s="493">
        <v>0</v>
      </c>
      <c r="T1482" s="494">
        <v>40</v>
      </c>
      <c r="U1482" s="493">
        <v>0</v>
      </c>
      <c r="V1482" s="502">
        <v>1</v>
      </c>
      <c r="W1482" s="453">
        <f t="shared" si="405"/>
        <v>2880</v>
      </c>
      <c r="X1482" s="748">
        <f t="shared" si="406"/>
        <v>1.118881118881119</v>
      </c>
      <c r="Y1482" s="451" t="str">
        <f>IFERROR(VLOOKUP(E:E,'Item Data Support Sheet'!A:J,6,0),0)</f>
        <v>HMC</v>
      </c>
      <c r="Z1482" s="428">
        <f>IFERROR(VLOOKUP(E:E,'Item Data Support Sheet'!A:O,4,0),0)</f>
        <v>21.3</v>
      </c>
      <c r="AA1482" s="428">
        <f t="shared" si="407"/>
        <v>62.722000000000001</v>
      </c>
      <c r="AB1482" s="429">
        <f t="shared" si="408"/>
        <v>0.97803003730748383</v>
      </c>
      <c r="AC1482" s="424">
        <f t="shared" si="409"/>
        <v>1.3698630136986301E-2</v>
      </c>
      <c r="AD1482" s="371">
        <f t="shared" si="410"/>
        <v>6.7567567567567571E-3</v>
      </c>
      <c r="AE1482" s="748">
        <f t="shared" si="411"/>
        <v>0.98639455782312924</v>
      </c>
      <c r="AF1482" s="417">
        <f t="shared" si="412"/>
        <v>0</v>
      </c>
      <c r="AG1482" s="416">
        <f t="shared" si="413"/>
        <v>8</v>
      </c>
      <c r="AH1482" s="372">
        <f t="shared" si="414"/>
        <v>1</v>
      </c>
      <c r="AI1482" s="373">
        <f t="shared" si="415"/>
        <v>360</v>
      </c>
      <c r="AJ1482" s="418">
        <f>VLOOKUP(D1482,'Standard Cycle time'!C:D,2,0)</f>
        <v>9</v>
      </c>
      <c r="AK1482" s="418">
        <f t="shared" si="416"/>
        <v>10</v>
      </c>
      <c r="AL1482" s="374">
        <f t="shared" si="417"/>
        <v>0.9</v>
      </c>
      <c r="AM1482" s="372">
        <f t="shared" si="418"/>
        <v>0.88775510204081631</v>
      </c>
      <c r="AN1482" s="799">
        <v>0.88775510204081631</v>
      </c>
      <c r="AO1482" s="448"/>
      <c r="AP1482" s="440">
        <v>0</v>
      </c>
      <c r="AQ1482" s="440">
        <v>0</v>
      </c>
      <c r="AR1482" s="440">
        <v>0</v>
      </c>
      <c r="AS1482" s="440">
        <v>0</v>
      </c>
      <c r="AT1482" s="440">
        <v>0</v>
      </c>
      <c r="AU1482" s="440">
        <v>0</v>
      </c>
      <c r="AV1482" s="440">
        <v>0</v>
      </c>
      <c r="AW1482" s="440">
        <v>0</v>
      </c>
      <c r="AX1482" s="440">
        <v>0</v>
      </c>
      <c r="AY1482" s="440">
        <v>0</v>
      </c>
      <c r="AZ1482" s="440">
        <v>0</v>
      </c>
      <c r="BA1482" s="440">
        <v>0</v>
      </c>
      <c r="BB1482" s="440">
        <v>0</v>
      </c>
      <c r="BC1482" s="440">
        <v>0</v>
      </c>
      <c r="BD1482" s="440">
        <v>0</v>
      </c>
      <c r="BE1482" s="440">
        <v>0</v>
      </c>
      <c r="BF1482" s="440">
        <v>0</v>
      </c>
      <c r="BG1482" s="440">
        <v>0</v>
      </c>
      <c r="BH1482" s="440">
        <v>0</v>
      </c>
      <c r="BI1482" s="440">
        <v>0</v>
      </c>
      <c r="BJ1482" s="440">
        <v>0</v>
      </c>
      <c r="BK1482" s="440">
        <v>0</v>
      </c>
      <c r="BL1482" s="440">
        <v>0</v>
      </c>
      <c r="BM1482" s="440">
        <v>0</v>
      </c>
      <c r="BN1482" s="440">
        <v>0</v>
      </c>
      <c r="BO1482" s="440">
        <v>0</v>
      </c>
      <c r="BP1482" s="440">
        <v>0</v>
      </c>
      <c r="BQ1482" s="440">
        <v>0</v>
      </c>
      <c r="BR1482" s="415">
        <v>0</v>
      </c>
      <c r="BS1482" s="415">
        <v>0</v>
      </c>
      <c r="BT1482" s="935"/>
      <c r="BU1482" s="935"/>
      <c r="BV1482" s="935"/>
      <c r="BW1482" s="935"/>
      <c r="BX1482" s="935"/>
      <c r="BY1482" s="935"/>
      <c r="BZ1482" s="935"/>
      <c r="CA1482" s="935"/>
      <c r="CB1482" s="935"/>
      <c r="CC1482" s="935"/>
      <c r="CD1482" s="935"/>
      <c r="CE1482" s="935"/>
      <c r="CF1482" s="935"/>
      <c r="CG1482" s="935"/>
      <c r="CH1482" s="935"/>
      <c r="CI1482" s="935"/>
      <c r="CJ1482" s="935"/>
      <c r="CK1482" s="935"/>
      <c r="CL1482" s="935"/>
      <c r="CM1482" s="935"/>
      <c r="CN1482" s="935"/>
      <c r="CO1482" s="935"/>
      <c r="CP1482" s="935"/>
      <c r="CQ1482" s="935"/>
      <c r="CR1482" s="935"/>
      <c r="CS1482" s="935"/>
      <c r="CT1482" s="935"/>
      <c r="CU1482" s="935"/>
      <c r="CV1482" s="935"/>
    </row>
    <row r="1483" spans="1:100" s="441" customFormat="1">
      <c r="A1483" s="375">
        <f t="shared" si="404"/>
        <v>11</v>
      </c>
      <c r="B1483" s="862">
        <v>44529</v>
      </c>
      <c r="C1483" s="493" t="s">
        <v>2001</v>
      </c>
      <c r="D1483" s="376" t="str">
        <f>IFERROR(VLOOKUP(E:E,'Item Data Support Sheet'!A:O,7,0),"")</f>
        <v>NIPPLE MOLDED</v>
      </c>
      <c r="E1483" s="447" t="s">
        <v>72</v>
      </c>
      <c r="F1483" s="500" t="s">
        <v>1678</v>
      </c>
      <c r="G1483" s="497" t="s">
        <v>1691</v>
      </c>
      <c r="H1483" s="602" t="str">
        <f>IFERROR(VLOOKUP(E:E,'Item Data Support Sheet'!A:O,2,0),"")</f>
        <v>NIPPLE S TYPE S SIZE INJECTION</v>
      </c>
      <c r="I1483" s="501" t="s">
        <v>4257</v>
      </c>
      <c r="J1483" s="501" t="s">
        <v>2811</v>
      </c>
      <c r="K1483" s="499">
        <v>8</v>
      </c>
      <c r="L1483" s="499">
        <v>4815</v>
      </c>
      <c r="M1483" s="366">
        <v>601.875</v>
      </c>
      <c r="N1483" s="367">
        <f t="shared" si="403"/>
        <v>5377</v>
      </c>
      <c r="O1483" s="61">
        <v>5300</v>
      </c>
      <c r="P1483" s="368">
        <v>0</v>
      </c>
      <c r="Q1483" s="368">
        <v>25</v>
      </c>
      <c r="R1483" s="494">
        <v>0</v>
      </c>
      <c r="S1483" s="493">
        <v>0</v>
      </c>
      <c r="T1483" s="494">
        <v>52</v>
      </c>
      <c r="U1483" s="493">
        <v>0</v>
      </c>
      <c r="V1483" s="502">
        <v>1</v>
      </c>
      <c r="W1483" s="453">
        <f t="shared" si="405"/>
        <v>5300</v>
      </c>
      <c r="X1483" s="748">
        <f t="shared" si="406"/>
        <v>1.1007268951194185</v>
      </c>
      <c r="Y1483" s="451" t="str">
        <f>IFERROR(VLOOKUP(E:E,'Item Data Support Sheet'!A:J,6,0),0)</f>
        <v>Silicon</v>
      </c>
      <c r="Z1483" s="428">
        <f>IFERROR(VLOOKUP(E:E,'Item Data Support Sheet'!A:O,4,0),0)</f>
        <v>6.8</v>
      </c>
      <c r="AA1483" s="428">
        <f t="shared" si="407"/>
        <v>36.563600000000001</v>
      </c>
      <c r="AB1483" s="429">
        <f t="shared" si="408"/>
        <v>0.98567974707085726</v>
      </c>
      <c r="AC1483" s="424">
        <f t="shared" si="409"/>
        <v>9.7159940209267555E-3</v>
      </c>
      <c r="AD1483" s="371">
        <f t="shared" si="410"/>
        <v>4.6279155868196968E-3</v>
      </c>
      <c r="AE1483" s="748">
        <f t="shared" si="411"/>
        <v>0.99032917984005953</v>
      </c>
      <c r="AF1483" s="417">
        <f t="shared" si="412"/>
        <v>0</v>
      </c>
      <c r="AG1483" s="416">
        <f t="shared" si="413"/>
        <v>8</v>
      </c>
      <c r="AH1483" s="372">
        <f t="shared" si="414"/>
        <v>1</v>
      </c>
      <c r="AI1483" s="373">
        <f t="shared" si="415"/>
        <v>662.5</v>
      </c>
      <c r="AJ1483" s="418">
        <f>VLOOKUP(D1483,'Standard Cycle time'!C:D,2,0)</f>
        <v>5.25</v>
      </c>
      <c r="AK1483" s="418">
        <f t="shared" si="416"/>
        <v>5.4339622641509431</v>
      </c>
      <c r="AL1483" s="374">
        <f t="shared" si="417"/>
        <v>0.96614583333333337</v>
      </c>
      <c r="AM1483" s="372">
        <f t="shared" si="418"/>
        <v>0.9568024107308909</v>
      </c>
      <c r="AN1483" s="799">
        <v>0.9568024107308909</v>
      </c>
      <c r="AO1483" s="448"/>
      <c r="AP1483" s="440">
        <v>0</v>
      </c>
      <c r="AQ1483" s="440">
        <v>0</v>
      </c>
      <c r="AR1483" s="440">
        <v>0</v>
      </c>
      <c r="AS1483" s="440">
        <v>0</v>
      </c>
      <c r="AT1483" s="440">
        <v>0</v>
      </c>
      <c r="AU1483" s="440">
        <v>0</v>
      </c>
      <c r="AV1483" s="440">
        <v>0</v>
      </c>
      <c r="AW1483" s="440">
        <v>0</v>
      </c>
      <c r="AX1483" s="440">
        <v>0</v>
      </c>
      <c r="AY1483" s="440">
        <v>0</v>
      </c>
      <c r="AZ1483" s="440">
        <v>0</v>
      </c>
      <c r="BA1483" s="440">
        <v>0</v>
      </c>
      <c r="BB1483" s="440">
        <v>0</v>
      </c>
      <c r="BC1483" s="440">
        <v>0</v>
      </c>
      <c r="BD1483" s="440">
        <v>0</v>
      </c>
      <c r="BE1483" s="440">
        <v>0</v>
      </c>
      <c r="BF1483" s="440">
        <v>0</v>
      </c>
      <c r="BG1483" s="440">
        <v>0</v>
      </c>
      <c r="BH1483" s="440">
        <v>0</v>
      </c>
      <c r="BI1483" s="440">
        <v>0</v>
      </c>
      <c r="BJ1483" s="440">
        <v>0</v>
      </c>
      <c r="BK1483" s="440">
        <v>0</v>
      </c>
      <c r="BL1483" s="440">
        <v>0</v>
      </c>
      <c r="BM1483" s="440">
        <v>0</v>
      </c>
      <c r="BN1483" s="440">
        <v>0</v>
      </c>
      <c r="BO1483" s="440">
        <v>0</v>
      </c>
      <c r="BP1483" s="440">
        <v>0</v>
      </c>
      <c r="BQ1483" s="440">
        <v>0</v>
      </c>
      <c r="BR1483" s="415">
        <v>0</v>
      </c>
      <c r="BS1483" s="415">
        <v>0</v>
      </c>
      <c r="BT1483" s="935"/>
      <c r="BU1483" s="935"/>
      <c r="BV1483" s="935"/>
      <c r="BW1483" s="935"/>
      <c r="BX1483" s="935"/>
      <c r="BY1483" s="935"/>
      <c r="BZ1483" s="935"/>
      <c r="CA1483" s="935"/>
      <c r="CB1483" s="935"/>
      <c r="CC1483" s="935"/>
      <c r="CD1483" s="935"/>
      <c r="CE1483" s="935"/>
      <c r="CF1483" s="935"/>
      <c r="CG1483" s="935"/>
      <c r="CH1483" s="935"/>
      <c r="CI1483" s="935"/>
      <c r="CJ1483" s="935"/>
      <c r="CK1483" s="935"/>
      <c r="CL1483" s="935"/>
      <c r="CM1483" s="935"/>
      <c r="CN1483" s="935"/>
      <c r="CO1483" s="935"/>
      <c r="CP1483" s="935"/>
      <c r="CQ1483" s="935"/>
      <c r="CR1483" s="935"/>
      <c r="CS1483" s="935"/>
      <c r="CT1483" s="935"/>
      <c r="CU1483" s="935"/>
      <c r="CV1483" s="935"/>
    </row>
    <row r="1484" spans="1:100" s="441" customFormat="1">
      <c r="A1484" s="375">
        <f t="shared" si="404"/>
        <v>11</v>
      </c>
      <c r="B1484" s="862">
        <v>44529</v>
      </c>
      <c r="C1484" s="493" t="s">
        <v>2001</v>
      </c>
      <c r="D1484" s="376" t="str">
        <f>IFERROR(VLOOKUP(E:E,'Item Data Support Sheet'!A:O,7,0),"")</f>
        <v>NIPPLE MOLDED</v>
      </c>
      <c r="E1484" s="447" t="s">
        <v>75</v>
      </c>
      <c r="F1484" s="500" t="s">
        <v>1677</v>
      </c>
      <c r="G1484" s="497" t="s">
        <v>1690</v>
      </c>
      <c r="H1484" s="602" t="str">
        <f>IFERROR(VLOOKUP(E:E,'Item Data Support Sheet'!A:O,2,0),"")</f>
        <v>NIPPLE S TYPE Y SIZE INJECTION</v>
      </c>
      <c r="I1484" s="501" t="s">
        <v>4257</v>
      </c>
      <c r="J1484" s="501" t="s">
        <v>2811</v>
      </c>
      <c r="K1484" s="499">
        <v>8</v>
      </c>
      <c r="L1484" s="499">
        <v>3611</v>
      </c>
      <c r="M1484" s="366">
        <v>451.375</v>
      </c>
      <c r="N1484" s="367">
        <f t="shared" si="403"/>
        <v>3965</v>
      </c>
      <c r="O1484" s="61">
        <v>3900</v>
      </c>
      <c r="P1484" s="368">
        <v>0</v>
      </c>
      <c r="Q1484" s="368">
        <v>35</v>
      </c>
      <c r="R1484" s="494">
        <v>0</v>
      </c>
      <c r="S1484" s="493">
        <v>0</v>
      </c>
      <c r="T1484" s="494">
        <v>30</v>
      </c>
      <c r="U1484" s="493">
        <v>0</v>
      </c>
      <c r="V1484" s="502">
        <v>1</v>
      </c>
      <c r="W1484" s="453">
        <f t="shared" si="405"/>
        <v>3900</v>
      </c>
      <c r="X1484" s="748">
        <f t="shared" si="406"/>
        <v>1.0800332317917474</v>
      </c>
      <c r="Y1484" s="451" t="str">
        <f>IFERROR(VLOOKUP(E:E,'Item Data Support Sheet'!A:J,6,0),0)</f>
        <v>Silicon</v>
      </c>
      <c r="Z1484" s="428">
        <f>IFERROR(VLOOKUP(E:E,'Item Data Support Sheet'!A:O,4,0),0)</f>
        <v>6.8</v>
      </c>
      <c r="AA1484" s="428">
        <f t="shared" si="407"/>
        <v>26.962</v>
      </c>
      <c r="AB1484" s="429">
        <f t="shared" si="408"/>
        <v>0.98360655737704916</v>
      </c>
      <c r="AC1484" s="424">
        <f t="shared" si="409"/>
        <v>7.6335877862595417E-3</v>
      </c>
      <c r="AD1484" s="371">
        <f t="shared" si="410"/>
        <v>8.7500000000000008E-3</v>
      </c>
      <c r="AE1484" s="748">
        <f t="shared" si="411"/>
        <v>0.99243379571248425</v>
      </c>
      <c r="AF1484" s="417">
        <f t="shared" si="412"/>
        <v>0</v>
      </c>
      <c r="AG1484" s="416">
        <f t="shared" si="413"/>
        <v>8</v>
      </c>
      <c r="AH1484" s="372">
        <f t="shared" si="414"/>
        <v>1</v>
      </c>
      <c r="AI1484" s="373">
        <f t="shared" si="415"/>
        <v>487.5</v>
      </c>
      <c r="AJ1484" s="418">
        <f>VLOOKUP(D1484,'Standard Cycle time'!C:D,2,0)</f>
        <v>5.25</v>
      </c>
      <c r="AK1484" s="418">
        <f t="shared" si="416"/>
        <v>7.384615384615385</v>
      </c>
      <c r="AL1484" s="374">
        <f t="shared" si="417"/>
        <v>0.7109375</v>
      </c>
      <c r="AM1484" s="372">
        <f t="shared" si="418"/>
        <v>0.70555840163934425</v>
      </c>
      <c r="AN1484" s="799">
        <v>0.70555840163934425</v>
      </c>
      <c r="AO1484" s="448"/>
      <c r="AP1484" s="440">
        <v>0</v>
      </c>
      <c r="AQ1484" s="440">
        <v>0</v>
      </c>
      <c r="AR1484" s="440">
        <v>0</v>
      </c>
      <c r="AS1484" s="440">
        <v>0</v>
      </c>
      <c r="AT1484" s="440">
        <v>0</v>
      </c>
      <c r="AU1484" s="440">
        <v>0</v>
      </c>
      <c r="AV1484" s="440">
        <v>0</v>
      </c>
      <c r="AW1484" s="440">
        <v>0</v>
      </c>
      <c r="AX1484" s="440">
        <v>0</v>
      </c>
      <c r="AY1484" s="440">
        <v>0</v>
      </c>
      <c r="AZ1484" s="440">
        <v>0</v>
      </c>
      <c r="BA1484" s="440">
        <v>0</v>
      </c>
      <c r="BB1484" s="440">
        <v>0</v>
      </c>
      <c r="BC1484" s="440">
        <v>0</v>
      </c>
      <c r="BD1484" s="440">
        <v>0</v>
      </c>
      <c r="BE1484" s="440">
        <v>0</v>
      </c>
      <c r="BF1484" s="440">
        <v>0</v>
      </c>
      <c r="BG1484" s="440">
        <v>0</v>
      </c>
      <c r="BH1484" s="440">
        <v>0</v>
      </c>
      <c r="BI1484" s="440">
        <v>0</v>
      </c>
      <c r="BJ1484" s="440">
        <v>0</v>
      </c>
      <c r="BK1484" s="440">
        <v>0</v>
      </c>
      <c r="BL1484" s="440">
        <v>0</v>
      </c>
      <c r="BM1484" s="440">
        <v>0</v>
      </c>
      <c r="BN1484" s="440">
        <v>0</v>
      </c>
      <c r="BO1484" s="440">
        <v>0</v>
      </c>
      <c r="BP1484" s="440">
        <v>0</v>
      </c>
      <c r="BQ1484" s="440">
        <v>0</v>
      </c>
      <c r="BR1484" s="415">
        <v>0</v>
      </c>
      <c r="BS1484" s="415">
        <v>0</v>
      </c>
      <c r="BT1484" s="935"/>
      <c r="BU1484" s="935"/>
      <c r="BV1484" s="935"/>
      <c r="BW1484" s="935"/>
      <c r="BX1484" s="935"/>
      <c r="BY1484" s="935"/>
      <c r="BZ1484" s="935"/>
      <c r="CA1484" s="935"/>
      <c r="CB1484" s="935"/>
      <c r="CC1484" s="935"/>
      <c r="CD1484" s="935"/>
      <c r="CE1484" s="935"/>
      <c r="CF1484" s="935"/>
      <c r="CG1484" s="935"/>
      <c r="CH1484" s="935"/>
      <c r="CI1484" s="935"/>
      <c r="CJ1484" s="935"/>
      <c r="CK1484" s="935"/>
      <c r="CL1484" s="935"/>
      <c r="CM1484" s="935"/>
      <c r="CN1484" s="935"/>
      <c r="CO1484" s="935"/>
      <c r="CP1484" s="935"/>
      <c r="CQ1484" s="935"/>
      <c r="CR1484" s="935"/>
      <c r="CS1484" s="935"/>
      <c r="CT1484" s="935"/>
      <c r="CU1484" s="935"/>
      <c r="CV1484" s="935"/>
    </row>
    <row r="1485" spans="1:100" s="441" customFormat="1">
      <c r="A1485" s="375">
        <f t="shared" si="404"/>
        <v>11</v>
      </c>
      <c r="B1485" s="862">
        <v>44529</v>
      </c>
      <c r="C1485" s="493" t="s">
        <v>2001</v>
      </c>
      <c r="D1485" s="376" t="str">
        <f>IFERROR(VLOOKUP(E:E,'Item Data Support Sheet'!A:O,7,0),"")</f>
        <v>CAP MOLDED</v>
      </c>
      <c r="E1485" s="447" t="s">
        <v>2108</v>
      </c>
      <c r="F1485" s="500" t="s">
        <v>4140</v>
      </c>
      <c r="G1485" s="497"/>
      <c r="H1485" s="602" t="str">
        <f>IFERROR(VLOOKUP(E:E,'Item Data Support Sheet'!A:O,2,0),"")</f>
        <v>CAP S TYPE MOLDED BLUE</v>
      </c>
      <c r="I1485" s="501" t="s">
        <v>4258</v>
      </c>
      <c r="J1485" s="501" t="s">
        <v>2811</v>
      </c>
      <c r="K1485" s="499">
        <v>8</v>
      </c>
      <c r="L1485" s="499">
        <v>4137</v>
      </c>
      <c r="M1485" s="366">
        <v>517.125</v>
      </c>
      <c r="N1485" s="367">
        <f t="shared" si="403"/>
        <v>4512</v>
      </c>
      <c r="O1485" s="61">
        <v>4500</v>
      </c>
      <c r="P1485" s="368">
        <v>0.4</v>
      </c>
      <c r="Q1485" s="368">
        <v>4</v>
      </c>
      <c r="R1485" s="494">
        <v>0</v>
      </c>
      <c r="S1485" s="493">
        <v>0</v>
      </c>
      <c r="T1485" s="494">
        <v>8</v>
      </c>
      <c r="U1485" s="493">
        <v>0</v>
      </c>
      <c r="V1485" s="502">
        <v>1</v>
      </c>
      <c r="W1485" s="453">
        <f t="shared" si="405"/>
        <v>4500</v>
      </c>
      <c r="X1485" s="748">
        <f t="shared" si="406"/>
        <v>1.0877447425670776</v>
      </c>
      <c r="Y1485" s="451" t="str">
        <f>IFERROR(VLOOKUP(E:E,'Item Data Support Sheet'!A:J,6,0),0)</f>
        <v>RM000114</v>
      </c>
      <c r="Z1485" s="428">
        <f>IFERROR(VLOOKUP(E:E,'Item Data Support Sheet'!A:O,4,0),0)</f>
        <v>7.3</v>
      </c>
      <c r="AA1485" s="428">
        <f t="shared" si="407"/>
        <v>33.337600000000002</v>
      </c>
      <c r="AB1485" s="429">
        <f t="shared" si="408"/>
        <v>0.98537387214436556</v>
      </c>
      <c r="AC1485" s="424">
        <f t="shared" si="409"/>
        <v>1.7746228926353151E-3</v>
      </c>
      <c r="AD1485" s="371">
        <f t="shared" si="410"/>
        <v>8.8573959255978745E-4</v>
      </c>
      <c r="AE1485" s="748">
        <f t="shared" si="411"/>
        <v>0.99822695035460995</v>
      </c>
      <c r="AF1485" s="417">
        <f t="shared" si="412"/>
        <v>0</v>
      </c>
      <c r="AG1485" s="416">
        <f t="shared" si="413"/>
        <v>8</v>
      </c>
      <c r="AH1485" s="372">
        <f t="shared" si="414"/>
        <v>1</v>
      </c>
      <c r="AI1485" s="373">
        <f t="shared" si="415"/>
        <v>562.5</v>
      </c>
      <c r="AJ1485" s="418">
        <f>VLOOKUP(D1485,'Standard Cycle time'!C:D,2,0)</f>
        <v>6</v>
      </c>
      <c r="AK1485" s="418">
        <f t="shared" si="416"/>
        <v>6.4</v>
      </c>
      <c r="AL1485" s="374">
        <f t="shared" si="417"/>
        <v>0.9375</v>
      </c>
      <c r="AM1485" s="372">
        <f t="shared" si="418"/>
        <v>0.93583776595744683</v>
      </c>
      <c r="AN1485" s="799">
        <v>0.93583776595744683</v>
      </c>
      <c r="AO1485" s="448"/>
      <c r="AP1485" s="440">
        <v>0</v>
      </c>
      <c r="AQ1485" s="440">
        <v>0</v>
      </c>
      <c r="AR1485" s="440">
        <v>0</v>
      </c>
      <c r="AS1485" s="440">
        <v>0</v>
      </c>
      <c r="AT1485" s="440">
        <v>0</v>
      </c>
      <c r="AU1485" s="440">
        <v>0</v>
      </c>
      <c r="AV1485" s="440">
        <v>0</v>
      </c>
      <c r="AW1485" s="440">
        <v>0</v>
      </c>
      <c r="AX1485" s="440">
        <v>0</v>
      </c>
      <c r="AY1485" s="440">
        <v>0</v>
      </c>
      <c r="AZ1485" s="440">
        <v>0</v>
      </c>
      <c r="BA1485" s="440">
        <v>0</v>
      </c>
      <c r="BB1485" s="440">
        <v>0</v>
      </c>
      <c r="BC1485" s="440">
        <v>0</v>
      </c>
      <c r="BD1485" s="440">
        <v>0</v>
      </c>
      <c r="BE1485" s="440">
        <v>0</v>
      </c>
      <c r="BF1485" s="440">
        <v>0</v>
      </c>
      <c r="BG1485" s="440">
        <v>0</v>
      </c>
      <c r="BH1485" s="440">
        <v>0</v>
      </c>
      <c r="BI1485" s="440">
        <v>0</v>
      </c>
      <c r="BJ1485" s="440">
        <v>0</v>
      </c>
      <c r="BK1485" s="440">
        <v>0</v>
      </c>
      <c r="BL1485" s="440">
        <v>0</v>
      </c>
      <c r="BM1485" s="440">
        <v>0</v>
      </c>
      <c r="BN1485" s="440">
        <v>0</v>
      </c>
      <c r="BO1485" s="440">
        <v>0</v>
      </c>
      <c r="BP1485" s="440">
        <v>0</v>
      </c>
      <c r="BQ1485" s="440">
        <v>0</v>
      </c>
      <c r="BR1485" s="415">
        <v>0</v>
      </c>
      <c r="BS1485" s="415">
        <v>0</v>
      </c>
      <c r="BT1485" s="935"/>
      <c r="BU1485" s="935"/>
      <c r="BV1485" s="935"/>
      <c r="BW1485" s="935"/>
      <c r="BX1485" s="935"/>
      <c r="BY1485" s="935"/>
      <c r="BZ1485" s="935"/>
      <c r="CA1485" s="935"/>
      <c r="CB1485" s="935"/>
      <c r="CC1485" s="935"/>
      <c r="CD1485" s="935"/>
      <c r="CE1485" s="935"/>
      <c r="CF1485" s="935"/>
      <c r="CG1485" s="935"/>
      <c r="CH1485" s="935"/>
      <c r="CI1485" s="935"/>
      <c r="CJ1485" s="935"/>
      <c r="CK1485" s="935"/>
      <c r="CL1485" s="935"/>
      <c r="CM1485" s="935"/>
      <c r="CN1485" s="935"/>
      <c r="CO1485" s="935"/>
      <c r="CP1485" s="935"/>
      <c r="CQ1485" s="935"/>
      <c r="CR1485" s="935"/>
      <c r="CS1485" s="935"/>
      <c r="CT1485" s="935"/>
      <c r="CU1485" s="935"/>
      <c r="CV1485" s="935"/>
    </row>
    <row r="1486" spans="1:100" s="441" customFormat="1">
      <c r="A1486" s="375">
        <f t="shared" si="404"/>
        <v>11</v>
      </c>
      <c r="B1486" s="862">
        <v>44529</v>
      </c>
      <c r="C1486" s="493" t="s">
        <v>2053</v>
      </c>
      <c r="D1486" s="376" t="str">
        <f>IFERROR(VLOOKUP(E:E,'Item Data Support Sheet'!A:O,7,0),"")</f>
        <v>NIPPLE PUNCH</v>
      </c>
      <c r="E1486" s="447" t="s">
        <v>82</v>
      </c>
      <c r="F1486" s="500"/>
      <c r="G1486" s="497" t="s">
        <v>1692</v>
      </c>
      <c r="H1486" s="602" t="str">
        <f>IFERROR(VLOOKUP(E:E,'Item Data Support Sheet'!A:O,2,0),"")</f>
        <v>NIPPLE S TYPE L SIZE PUNCHED</v>
      </c>
      <c r="I1486" s="501" t="s">
        <v>4259</v>
      </c>
      <c r="J1486" s="501" t="s">
        <v>3895</v>
      </c>
      <c r="K1486" s="499">
        <v>8</v>
      </c>
      <c r="L1486" s="499">
        <v>7000</v>
      </c>
      <c r="M1486" s="366">
        <v>875</v>
      </c>
      <c r="N1486" s="367">
        <f t="shared" si="403"/>
        <v>7000</v>
      </c>
      <c r="O1486" s="61">
        <v>7000</v>
      </c>
      <c r="P1486" s="368">
        <v>0</v>
      </c>
      <c r="Q1486" s="368">
        <v>0</v>
      </c>
      <c r="R1486" s="494">
        <v>0</v>
      </c>
      <c r="S1486" s="493">
        <v>0</v>
      </c>
      <c r="T1486" s="494">
        <v>0</v>
      </c>
      <c r="U1486" s="493">
        <v>0</v>
      </c>
      <c r="V1486" s="502">
        <v>1</v>
      </c>
      <c r="W1486" s="453">
        <f t="shared" si="405"/>
        <v>7000</v>
      </c>
      <c r="X1486" s="748">
        <f t="shared" si="406"/>
        <v>1</v>
      </c>
      <c r="Y1486" s="451" t="str">
        <f>IFERROR(VLOOKUP(E:E,'Item Data Support Sheet'!A:J,6,0),0)</f>
        <v>FO017</v>
      </c>
      <c r="Z1486" s="428">
        <f>IFERROR(VLOOKUP(E:E,'Item Data Support Sheet'!A:O,4,0),0)</f>
        <v>0</v>
      </c>
      <c r="AA1486" s="428">
        <f t="shared" si="407"/>
        <v>0</v>
      </c>
      <c r="AB1486" s="429" t="str">
        <f t="shared" si="408"/>
        <v xml:space="preserve"> </v>
      </c>
      <c r="AC1486" s="424">
        <f t="shared" si="409"/>
        <v>0</v>
      </c>
      <c r="AD1486" s="371">
        <f t="shared" si="410"/>
        <v>0</v>
      </c>
      <c r="AE1486" s="748">
        <f t="shared" si="411"/>
        <v>1</v>
      </c>
      <c r="AF1486" s="417">
        <f t="shared" si="412"/>
        <v>0.33333333333333331</v>
      </c>
      <c r="AG1486" s="416">
        <f t="shared" si="413"/>
        <v>7.666666666666667</v>
      </c>
      <c r="AH1486" s="372">
        <f t="shared" si="414"/>
        <v>0.95833333333333337</v>
      </c>
      <c r="AI1486" s="373">
        <f t="shared" si="415"/>
        <v>875</v>
      </c>
      <c r="AJ1486" s="418">
        <f>VLOOKUP(D1486,'Standard Cycle time'!C:D,2,0)</f>
        <v>3.5</v>
      </c>
      <c r="AK1486" s="418">
        <f t="shared" si="416"/>
        <v>3.9428571428571431</v>
      </c>
      <c r="AL1486" s="374">
        <f t="shared" si="417"/>
        <v>0.8876811594202898</v>
      </c>
      <c r="AM1486" s="372">
        <f t="shared" si="418"/>
        <v>0.85069444444444442</v>
      </c>
      <c r="AN1486" s="799">
        <v>0.85069444444444442</v>
      </c>
      <c r="AO1486" s="448"/>
      <c r="AP1486" s="440">
        <v>20</v>
      </c>
      <c r="AQ1486" s="440">
        <v>0</v>
      </c>
      <c r="AR1486" s="440">
        <v>0</v>
      </c>
      <c r="AS1486" s="440">
        <v>0</v>
      </c>
      <c r="AT1486" s="440">
        <v>0</v>
      </c>
      <c r="AU1486" s="440">
        <v>0</v>
      </c>
      <c r="AV1486" s="440">
        <v>0</v>
      </c>
      <c r="AW1486" s="440">
        <v>0</v>
      </c>
      <c r="AX1486" s="440">
        <v>0</v>
      </c>
      <c r="AY1486" s="440">
        <v>0</v>
      </c>
      <c r="AZ1486" s="440">
        <v>0</v>
      </c>
      <c r="BA1486" s="440">
        <v>0</v>
      </c>
      <c r="BB1486" s="440">
        <v>0</v>
      </c>
      <c r="BC1486" s="440">
        <v>0</v>
      </c>
      <c r="BD1486" s="440">
        <v>0</v>
      </c>
      <c r="BE1486" s="440">
        <v>0</v>
      </c>
      <c r="BF1486" s="440">
        <v>0</v>
      </c>
      <c r="BG1486" s="440">
        <v>0</v>
      </c>
      <c r="BH1486" s="440">
        <v>0</v>
      </c>
      <c r="BI1486" s="440">
        <v>0</v>
      </c>
      <c r="BJ1486" s="440">
        <v>0</v>
      </c>
      <c r="BK1486" s="440">
        <v>0</v>
      </c>
      <c r="BL1486" s="440">
        <v>0</v>
      </c>
      <c r="BM1486" s="440">
        <v>0</v>
      </c>
      <c r="BN1486" s="440">
        <v>0</v>
      </c>
      <c r="BO1486" s="440">
        <v>0</v>
      </c>
      <c r="BP1486" s="440">
        <v>0</v>
      </c>
      <c r="BQ1486" s="440">
        <v>0</v>
      </c>
      <c r="BR1486" s="415">
        <v>0.33333333333333331</v>
      </c>
      <c r="BS1486" s="415">
        <v>0.33333333333333331</v>
      </c>
      <c r="BT1486" s="935"/>
      <c r="BU1486" s="935"/>
      <c r="BV1486" s="935"/>
      <c r="BW1486" s="935"/>
      <c r="BX1486" s="935"/>
      <c r="BY1486" s="935"/>
      <c r="BZ1486" s="935"/>
      <c r="CA1486" s="935"/>
      <c r="CB1486" s="935"/>
      <c r="CC1486" s="935"/>
      <c r="CD1486" s="935"/>
      <c r="CE1486" s="935"/>
      <c r="CF1486" s="935"/>
      <c r="CG1486" s="935"/>
      <c r="CH1486" s="935"/>
      <c r="CI1486" s="935"/>
      <c r="CJ1486" s="935"/>
      <c r="CK1486" s="935"/>
      <c r="CL1486" s="935"/>
      <c r="CM1486" s="935"/>
      <c r="CN1486" s="935"/>
      <c r="CO1486" s="935"/>
      <c r="CP1486" s="935"/>
      <c r="CQ1486" s="935"/>
      <c r="CR1486" s="935"/>
      <c r="CS1486" s="935"/>
      <c r="CT1486" s="935"/>
      <c r="CU1486" s="935"/>
      <c r="CV1486" s="935"/>
    </row>
    <row r="1487" spans="1:100" s="441" customFormat="1">
      <c r="A1487" s="375">
        <f t="shared" si="404"/>
        <v>11</v>
      </c>
      <c r="B1487" s="862">
        <v>44529</v>
      </c>
      <c r="C1487" s="493" t="s">
        <v>2053</v>
      </c>
      <c r="D1487" s="376" t="str">
        <f>IFERROR(VLOOKUP(E:E,'Item Data Support Sheet'!A:O,7,0),"")</f>
        <v>NIPPLE LASER MARKING</v>
      </c>
      <c r="E1487" s="447" t="s">
        <v>1816</v>
      </c>
      <c r="F1487" s="500"/>
      <c r="G1487" s="497" t="s">
        <v>1812</v>
      </c>
      <c r="H1487" s="602" t="str">
        <f>IFERROR(VLOOKUP(E:E,'Item Data Support Sheet'!A:O,2,0),"")</f>
        <v>NIPPLE S TYPE L SIZE PUNCHED LASER MARKED</v>
      </c>
      <c r="I1487" s="501" t="s">
        <v>4260</v>
      </c>
      <c r="J1487" s="501" t="s">
        <v>3895</v>
      </c>
      <c r="K1487" s="499">
        <v>8</v>
      </c>
      <c r="L1487" s="499">
        <v>7000</v>
      </c>
      <c r="M1487" s="366">
        <v>875</v>
      </c>
      <c r="N1487" s="367">
        <f t="shared" si="403"/>
        <v>7000</v>
      </c>
      <c r="O1487" s="61">
        <v>7000</v>
      </c>
      <c r="P1487" s="368">
        <v>0</v>
      </c>
      <c r="Q1487" s="368">
        <v>0</v>
      </c>
      <c r="R1487" s="494">
        <v>0</v>
      </c>
      <c r="S1487" s="493">
        <v>0</v>
      </c>
      <c r="T1487" s="494">
        <v>0</v>
      </c>
      <c r="U1487" s="493">
        <v>0</v>
      </c>
      <c r="V1487" s="502">
        <v>1</v>
      </c>
      <c r="W1487" s="453">
        <f t="shared" si="405"/>
        <v>7000</v>
      </c>
      <c r="X1487" s="748">
        <f t="shared" si="406"/>
        <v>1</v>
      </c>
      <c r="Y1487" s="451" t="str">
        <f>IFERROR(VLOOKUP(E:E,'Item Data Support Sheet'!A:J,6,0),0)</f>
        <v>FO021</v>
      </c>
      <c r="Z1487" s="428">
        <f>IFERROR(VLOOKUP(E:E,'Item Data Support Sheet'!A:O,4,0),0)</f>
        <v>0</v>
      </c>
      <c r="AA1487" s="428">
        <f t="shared" si="407"/>
        <v>0</v>
      </c>
      <c r="AB1487" s="429" t="str">
        <f t="shared" si="408"/>
        <v xml:space="preserve"> </v>
      </c>
      <c r="AC1487" s="424">
        <f t="shared" si="409"/>
        <v>0</v>
      </c>
      <c r="AD1487" s="371">
        <f t="shared" si="410"/>
        <v>0</v>
      </c>
      <c r="AE1487" s="748">
        <f t="shared" si="411"/>
        <v>1</v>
      </c>
      <c r="AF1487" s="417">
        <f t="shared" si="412"/>
        <v>0.33333333333333331</v>
      </c>
      <c r="AG1487" s="416">
        <f t="shared" si="413"/>
        <v>7.666666666666667</v>
      </c>
      <c r="AH1487" s="372">
        <f t="shared" si="414"/>
        <v>0.95833333333333337</v>
      </c>
      <c r="AI1487" s="373">
        <f t="shared" si="415"/>
        <v>875</v>
      </c>
      <c r="AJ1487" s="418">
        <f>VLOOKUP(D1487,'Standard Cycle time'!C:D,2,0)</f>
        <v>3.5</v>
      </c>
      <c r="AK1487" s="418">
        <f t="shared" si="416"/>
        <v>3.9428571428571431</v>
      </c>
      <c r="AL1487" s="374">
        <f t="shared" si="417"/>
        <v>0.8876811594202898</v>
      </c>
      <c r="AM1487" s="372">
        <f t="shared" si="418"/>
        <v>0.85069444444444442</v>
      </c>
      <c r="AN1487" s="799">
        <v>0.85069444444444442</v>
      </c>
      <c r="AO1487" s="448"/>
      <c r="AP1487" s="440">
        <v>20</v>
      </c>
      <c r="AQ1487" s="440">
        <v>0</v>
      </c>
      <c r="AR1487" s="440">
        <v>0</v>
      </c>
      <c r="AS1487" s="440">
        <v>0</v>
      </c>
      <c r="AT1487" s="440">
        <v>0</v>
      </c>
      <c r="AU1487" s="440">
        <v>0</v>
      </c>
      <c r="AV1487" s="440">
        <v>0</v>
      </c>
      <c r="AW1487" s="440">
        <v>0</v>
      </c>
      <c r="AX1487" s="440">
        <v>0</v>
      </c>
      <c r="AY1487" s="440">
        <v>0</v>
      </c>
      <c r="AZ1487" s="440">
        <v>0</v>
      </c>
      <c r="BA1487" s="440">
        <v>0</v>
      </c>
      <c r="BB1487" s="440">
        <v>0</v>
      </c>
      <c r="BC1487" s="440">
        <v>0</v>
      </c>
      <c r="BD1487" s="440">
        <v>0</v>
      </c>
      <c r="BE1487" s="440">
        <v>0</v>
      </c>
      <c r="BF1487" s="440">
        <v>0</v>
      </c>
      <c r="BG1487" s="440">
        <v>0</v>
      </c>
      <c r="BH1487" s="440">
        <v>0</v>
      </c>
      <c r="BI1487" s="440">
        <v>0</v>
      </c>
      <c r="BJ1487" s="440">
        <v>0</v>
      </c>
      <c r="BK1487" s="440">
        <v>0</v>
      </c>
      <c r="BL1487" s="440">
        <v>0</v>
      </c>
      <c r="BM1487" s="440">
        <v>0</v>
      </c>
      <c r="BN1487" s="440">
        <v>0</v>
      </c>
      <c r="BO1487" s="440">
        <v>0</v>
      </c>
      <c r="BP1487" s="440">
        <v>0</v>
      </c>
      <c r="BQ1487" s="440">
        <v>0</v>
      </c>
      <c r="BR1487" s="415">
        <v>0.33333333333333331</v>
      </c>
      <c r="BS1487" s="415">
        <v>0.33333333333333331</v>
      </c>
      <c r="BT1487" s="935"/>
      <c r="BU1487" s="935"/>
      <c r="BV1487" s="935"/>
      <c r="BW1487" s="935"/>
      <c r="BX1487" s="935"/>
      <c r="BY1487" s="935"/>
      <c r="BZ1487" s="935"/>
      <c r="CA1487" s="935"/>
      <c r="CB1487" s="935"/>
      <c r="CC1487" s="935"/>
      <c r="CD1487" s="935"/>
      <c r="CE1487" s="935"/>
      <c r="CF1487" s="935"/>
      <c r="CG1487" s="935"/>
      <c r="CH1487" s="935"/>
      <c r="CI1487" s="935"/>
      <c r="CJ1487" s="935"/>
      <c r="CK1487" s="935"/>
      <c r="CL1487" s="935"/>
      <c r="CM1487" s="935"/>
      <c r="CN1487" s="935"/>
      <c r="CO1487" s="935"/>
      <c r="CP1487" s="935"/>
      <c r="CQ1487" s="935"/>
      <c r="CR1487" s="935"/>
      <c r="CS1487" s="935"/>
      <c r="CT1487" s="935"/>
      <c r="CU1487" s="935"/>
      <c r="CV1487" s="935"/>
    </row>
    <row r="1488" spans="1:100" s="441" customFormat="1">
      <c r="A1488" s="375">
        <f t="shared" si="404"/>
        <v>11</v>
      </c>
      <c r="B1488" s="862">
        <v>44529</v>
      </c>
      <c r="C1488" s="493" t="s">
        <v>2053</v>
      </c>
      <c r="D1488" s="376" t="str">
        <f>IFERROR(VLOOKUP(E:E,'Item Data Support Sheet'!A:O,7,0),"")</f>
        <v>NIPPLE MOLDED</v>
      </c>
      <c r="E1488" s="447" t="s">
        <v>72</v>
      </c>
      <c r="F1488" s="500" t="s">
        <v>1678</v>
      </c>
      <c r="G1488" s="497" t="s">
        <v>1691</v>
      </c>
      <c r="H1488" s="602" t="str">
        <f>IFERROR(VLOOKUP(E:E,'Item Data Support Sheet'!A:O,2,0),"")</f>
        <v>NIPPLE S TYPE S SIZE INJECTION</v>
      </c>
      <c r="I1488" s="501" t="s">
        <v>4261</v>
      </c>
      <c r="J1488" s="501" t="s">
        <v>3895</v>
      </c>
      <c r="K1488" s="499">
        <v>8</v>
      </c>
      <c r="L1488" s="499">
        <v>4815</v>
      </c>
      <c r="M1488" s="366">
        <v>601.875</v>
      </c>
      <c r="N1488" s="367">
        <f t="shared" si="403"/>
        <v>5110</v>
      </c>
      <c r="O1488" s="61">
        <v>5000</v>
      </c>
      <c r="P1488" s="368">
        <v>0</v>
      </c>
      <c r="Q1488" s="368">
        <v>32</v>
      </c>
      <c r="R1488" s="494">
        <v>0</v>
      </c>
      <c r="S1488" s="493">
        <v>0</v>
      </c>
      <c r="T1488" s="494">
        <v>62</v>
      </c>
      <c r="U1488" s="493">
        <v>16</v>
      </c>
      <c r="V1488" s="502">
        <v>1</v>
      </c>
      <c r="W1488" s="453">
        <f t="shared" si="405"/>
        <v>5000</v>
      </c>
      <c r="X1488" s="748">
        <f t="shared" si="406"/>
        <v>1.0384215991692627</v>
      </c>
      <c r="Y1488" s="451" t="str">
        <f>IFERROR(VLOOKUP(E:E,'Item Data Support Sheet'!A:J,6,0),0)</f>
        <v>Silicon</v>
      </c>
      <c r="Z1488" s="428">
        <f>IFERROR(VLOOKUP(E:E,'Item Data Support Sheet'!A:O,4,0),0)</f>
        <v>6.8</v>
      </c>
      <c r="AA1488" s="428">
        <f t="shared" si="407"/>
        <v>34.747999999999998</v>
      </c>
      <c r="AB1488" s="429">
        <f t="shared" si="408"/>
        <v>0.9784735812133073</v>
      </c>
      <c r="AC1488" s="424">
        <f t="shared" si="409"/>
        <v>1.2248123271434215E-2</v>
      </c>
      <c r="AD1488" s="371">
        <f t="shared" si="410"/>
        <v>6.2232594321275769E-3</v>
      </c>
      <c r="AE1488" s="748">
        <f t="shared" si="411"/>
        <v>0.98786692759295502</v>
      </c>
      <c r="AF1488" s="417">
        <f t="shared" si="412"/>
        <v>0</v>
      </c>
      <c r="AG1488" s="416">
        <f t="shared" si="413"/>
        <v>8</v>
      </c>
      <c r="AH1488" s="372">
        <f t="shared" si="414"/>
        <v>1</v>
      </c>
      <c r="AI1488" s="373">
        <f t="shared" si="415"/>
        <v>625</v>
      </c>
      <c r="AJ1488" s="418">
        <f>VLOOKUP(D1488,'Standard Cycle time'!C:D,2,0)</f>
        <v>5.25</v>
      </c>
      <c r="AK1488" s="418">
        <f t="shared" si="416"/>
        <v>5.76</v>
      </c>
      <c r="AL1488" s="374">
        <f t="shared" si="417"/>
        <v>0.91145833333333337</v>
      </c>
      <c r="AM1488" s="372">
        <f t="shared" si="418"/>
        <v>0.90039954337899553</v>
      </c>
      <c r="AN1488" s="799">
        <v>0.90039954337899553</v>
      </c>
      <c r="AO1488" s="448"/>
      <c r="AP1488" s="440">
        <v>0</v>
      </c>
      <c r="AQ1488" s="440">
        <v>0</v>
      </c>
      <c r="AR1488" s="440">
        <v>0</v>
      </c>
      <c r="AS1488" s="440">
        <v>0</v>
      </c>
      <c r="AT1488" s="440">
        <v>0</v>
      </c>
      <c r="AU1488" s="440">
        <v>0</v>
      </c>
      <c r="AV1488" s="440">
        <v>0</v>
      </c>
      <c r="AW1488" s="440">
        <v>0</v>
      </c>
      <c r="AX1488" s="440">
        <v>0</v>
      </c>
      <c r="AY1488" s="440">
        <v>0</v>
      </c>
      <c r="AZ1488" s="440">
        <v>0</v>
      </c>
      <c r="BA1488" s="440">
        <v>0</v>
      </c>
      <c r="BB1488" s="440">
        <v>0</v>
      </c>
      <c r="BC1488" s="440">
        <v>0</v>
      </c>
      <c r="BD1488" s="440">
        <v>0</v>
      </c>
      <c r="BE1488" s="440">
        <v>0</v>
      </c>
      <c r="BF1488" s="440">
        <v>0</v>
      </c>
      <c r="BG1488" s="440">
        <v>0</v>
      </c>
      <c r="BH1488" s="440">
        <v>0</v>
      </c>
      <c r="BI1488" s="440">
        <v>0</v>
      </c>
      <c r="BJ1488" s="440">
        <v>0</v>
      </c>
      <c r="BK1488" s="440">
        <v>0</v>
      </c>
      <c r="BL1488" s="440">
        <v>0</v>
      </c>
      <c r="BM1488" s="440">
        <v>0</v>
      </c>
      <c r="BN1488" s="440">
        <v>0</v>
      </c>
      <c r="BO1488" s="440">
        <v>0</v>
      </c>
      <c r="BP1488" s="440">
        <v>0</v>
      </c>
      <c r="BQ1488" s="440">
        <v>0</v>
      </c>
      <c r="BR1488" s="415">
        <v>0</v>
      </c>
      <c r="BS1488" s="415">
        <v>0</v>
      </c>
      <c r="BT1488" s="935"/>
      <c r="BU1488" s="935"/>
      <c r="BV1488" s="935"/>
      <c r="BW1488" s="935"/>
      <c r="BX1488" s="935"/>
      <c r="BY1488" s="935"/>
      <c r="BZ1488" s="935"/>
      <c r="CA1488" s="935"/>
      <c r="CB1488" s="935"/>
      <c r="CC1488" s="935"/>
      <c r="CD1488" s="935"/>
      <c r="CE1488" s="935"/>
      <c r="CF1488" s="935"/>
      <c r="CG1488" s="935"/>
      <c r="CH1488" s="935"/>
      <c r="CI1488" s="935"/>
      <c r="CJ1488" s="935"/>
      <c r="CK1488" s="935"/>
      <c r="CL1488" s="935"/>
      <c r="CM1488" s="935"/>
      <c r="CN1488" s="935"/>
      <c r="CO1488" s="935"/>
      <c r="CP1488" s="935"/>
      <c r="CQ1488" s="935"/>
      <c r="CR1488" s="935"/>
      <c r="CS1488" s="935"/>
      <c r="CT1488" s="935"/>
      <c r="CU1488" s="935"/>
      <c r="CV1488" s="935"/>
    </row>
    <row r="1489" spans="1:100" s="441" customFormat="1">
      <c r="A1489" s="375">
        <f t="shared" si="404"/>
        <v>11</v>
      </c>
      <c r="B1489" s="862">
        <v>44529</v>
      </c>
      <c r="C1489" s="493" t="s">
        <v>2053</v>
      </c>
      <c r="D1489" s="376" t="str">
        <f>IFERROR(VLOOKUP(E:E,'Item Data Support Sheet'!A:O,7,0),"")</f>
        <v>NIPPLE MOLDED</v>
      </c>
      <c r="E1489" s="447" t="s">
        <v>75</v>
      </c>
      <c r="F1489" s="500" t="s">
        <v>1677</v>
      </c>
      <c r="G1489" s="497" t="s">
        <v>1690</v>
      </c>
      <c r="H1489" s="602" t="str">
        <f>IFERROR(VLOOKUP(E:E,'Item Data Support Sheet'!A:O,2,0),"")</f>
        <v>NIPPLE S TYPE Y SIZE INJECTION</v>
      </c>
      <c r="I1489" s="501" t="s">
        <v>4261</v>
      </c>
      <c r="J1489" s="501" t="s">
        <v>3895</v>
      </c>
      <c r="K1489" s="499">
        <v>8</v>
      </c>
      <c r="L1489" s="499">
        <v>3611</v>
      </c>
      <c r="M1489" s="366">
        <v>451.375</v>
      </c>
      <c r="N1489" s="367">
        <f t="shared" si="403"/>
        <v>4065</v>
      </c>
      <c r="O1489" s="61">
        <v>4000</v>
      </c>
      <c r="P1489" s="368">
        <v>0</v>
      </c>
      <c r="Q1489" s="368">
        <v>22</v>
      </c>
      <c r="R1489" s="494">
        <v>0</v>
      </c>
      <c r="S1489" s="493">
        <v>0</v>
      </c>
      <c r="T1489" s="494">
        <v>31</v>
      </c>
      <c r="U1489" s="493">
        <v>12</v>
      </c>
      <c r="V1489" s="502">
        <v>1</v>
      </c>
      <c r="W1489" s="453">
        <f t="shared" si="405"/>
        <v>4000</v>
      </c>
      <c r="X1489" s="748">
        <f t="shared" si="406"/>
        <v>1.1077263915812794</v>
      </c>
      <c r="Y1489" s="451" t="str">
        <f>IFERROR(VLOOKUP(E:E,'Item Data Support Sheet'!A:J,6,0),0)</f>
        <v>Silicon</v>
      </c>
      <c r="Z1489" s="428">
        <f>IFERROR(VLOOKUP(E:E,'Item Data Support Sheet'!A:O,4,0),0)</f>
        <v>6.8</v>
      </c>
      <c r="AA1489" s="428">
        <f t="shared" si="407"/>
        <v>27.641999999999999</v>
      </c>
      <c r="AB1489" s="429">
        <f t="shared" si="408"/>
        <v>0.98400984009840098</v>
      </c>
      <c r="AC1489" s="424">
        <f t="shared" si="409"/>
        <v>7.6903994046142394E-3</v>
      </c>
      <c r="AD1489" s="371">
        <f t="shared" si="410"/>
        <v>5.3829214582823588E-3</v>
      </c>
      <c r="AE1489" s="748">
        <f t="shared" si="411"/>
        <v>0.99237392373923738</v>
      </c>
      <c r="AF1489" s="417">
        <f t="shared" si="412"/>
        <v>0</v>
      </c>
      <c r="AG1489" s="416">
        <f t="shared" si="413"/>
        <v>8</v>
      </c>
      <c r="AH1489" s="372">
        <f t="shared" si="414"/>
        <v>1</v>
      </c>
      <c r="AI1489" s="373">
        <f t="shared" si="415"/>
        <v>500</v>
      </c>
      <c r="AJ1489" s="418">
        <f>VLOOKUP(D1489,'Standard Cycle time'!C:D,2,0)</f>
        <v>5.25</v>
      </c>
      <c r="AK1489" s="418">
        <f t="shared" si="416"/>
        <v>7.2</v>
      </c>
      <c r="AL1489" s="374">
        <f t="shared" si="417"/>
        <v>0.72916666666666663</v>
      </c>
      <c r="AM1489" s="372">
        <f t="shared" si="418"/>
        <v>0.7236059860598606</v>
      </c>
      <c r="AN1489" s="799">
        <v>0.7236059860598606</v>
      </c>
      <c r="AO1489" s="448"/>
      <c r="AP1489" s="440">
        <v>0</v>
      </c>
      <c r="AQ1489" s="440">
        <v>0</v>
      </c>
      <c r="AR1489" s="440">
        <v>0</v>
      </c>
      <c r="AS1489" s="440">
        <v>0</v>
      </c>
      <c r="AT1489" s="440">
        <v>0</v>
      </c>
      <c r="AU1489" s="440">
        <v>0</v>
      </c>
      <c r="AV1489" s="440">
        <v>0</v>
      </c>
      <c r="AW1489" s="440">
        <v>0</v>
      </c>
      <c r="AX1489" s="440">
        <v>0</v>
      </c>
      <c r="AY1489" s="440">
        <v>0</v>
      </c>
      <c r="AZ1489" s="440">
        <v>0</v>
      </c>
      <c r="BA1489" s="440">
        <v>0</v>
      </c>
      <c r="BB1489" s="440">
        <v>0</v>
      </c>
      <c r="BC1489" s="440">
        <v>0</v>
      </c>
      <c r="BD1489" s="440">
        <v>0</v>
      </c>
      <c r="BE1489" s="440">
        <v>0</v>
      </c>
      <c r="BF1489" s="440">
        <v>0</v>
      </c>
      <c r="BG1489" s="440">
        <v>0</v>
      </c>
      <c r="BH1489" s="440">
        <v>0</v>
      </c>
      <c r="BI1489" s="440">
        <v>0</v>
      </c>
      <c r="BJ1489" s="440">
        <v>0</v>
      </c>
      <c r="BK1489" s="440">
        <v>0</v>
      </c>
      <c r="BL1489" s="440">
        <v>0</v>
      </c>
      <c r="BM1489" s="440">
        <v>0</v>
      </c>
      <c r="BN1489" s="440">
        <v>0</v>
      </c>
      <c r="BO1489" s="440">
        <v>0</v>
      </c>
      <c r="BP1489" s="440">
        <v>0</v>
      </c>
      <c r="BQ1489" s="440">
        <v>0</v>
      </c>
      <c r="BR1489" s="415">
        <v>0</v>
      </c>
      <c r="BS1489" s="415">
        <v>0</v>
      </c>
      <c r="BT1489" s="935"/>
      <c r="BU1489" s="935"/>
      <c r="BV1489" s="935"/>
      <c r="BW1489" s="935"/>
      <c r="BX1489" s="935"/>
      <c r="BY1489" s="935"/>
      <c r="BZ1489" s="935"/>
      <c r="CA1489" s="935"/>
      <c r="CB1489" s="935"/>
      <c r="CC1489" s="935"/>
      <c r="CD1489" s="935"/>
      <c r="CE1489" s="935"/>
      <c r="CF1489" s="935"/>
      <c r="CG1489" s="935"/>
      <c r="CH1489" s="935"/>
      <c r="CI1489" s="935"/>
      <c r="CJ1489" s="935"/>
      <c r="CK1489" s="935"/>
      <c r="CL1489" s="935"/>
      <c r="CM1489" s="935"/>
      <c r="CN1489" s="935"/>
      <c r="CO1489" s="935"/>
      <c r="CP1489" s="935"/>
      <c r="CQ1489" s="935"/>
      <c r="CR1489" s="935"/>
      <c r="CS1489" s="935"/>
      <c r="CT1489" s="935"/>
      <c r="CU1489" s="935"/>
      <c r="CV1489" s="935"/>
    </row>
    <row r="1490" spans="1:100" s="441" customFormat="1">
      <c r="A1490" s="375">
        <f t="shared" si="404"/>
        <v>11</v>
      </c>
      <c r="B1490" s="862">
        <v>44529</v>
      </c>
      <c r="C1490" s="493" t="s">
        <v>2053</v>
      </c>
      <c r="D1490" s="376" t="str">
        <f>IFERROR(VLOOKUP(E:E,'Item Data Support Sheet'!A:O,7,0),"")</f>
        <v>CAP MOLDED</v>
      </c>
      <c r="E1490" s="447" t="s">
        <v>2108</v>
      </c>
      <c r="F1490" s="500" t="s">
        <v>4140</v>
      </c>
      <c r="G1490" s="497"/>
      <c r="H1490" s="602" t="str">
        <f>IFERROR(VLOOKUP(E:E,'Item Data Support Sheet'!A:O,2,0),"")</f>
        <v>CAP S TYPE MOLDED BLUE</v>
      </c>
      <c r="I1490" s="501" t="s">
        <v>4262</v>
      </c>
      <c r="J1490" s="501" t="s">
        <v>3895</v>
      </c>
      <c r="K1490" s="499">
        <v>8</v>
      </c>
      <c r="L1490" s="499">
        <v>4137</v>
      </c>
      <c r="M1490" s="366">
        <v>517.125</v>
      </c>
      <c r="N1490" s="367">
        <f t="shared" si="403"/>
        <v>5020</v>
      </c>
      <c r="O1490" s="61">
        <v>5000</v>
      </c>
      <c r="P1490" s="368">
        <v>0</v>
      </c>
      <c r="Q1490" s="368">
        <v>0</v>
      </c>
      <c r="R1490" s="494">
        <v>0</v>
      </c>
      <c r="S1490" s="493">
        <v>0</v>
      </c>
      <c r="T1490" s="494">
        <v>12</v>
      </c>
      <c r="U1490" s="493">
        <v>8</v>
      </c>
      <c r="V1490" s="502">
        <v>1</v>
      </c>
      <c r="W1490" s="453">
        <f t="shared" si="405"/>
        <v>5000</v>
      </c>
      <c r="X1490" s="748">
        <f t="shared" si="406"/>
        <v>1.2086052695189751</v>
      </c>
      <c r="Y1490" s="451" t="str">
        <f>IFERROR(VLOOKUP(E:E,'Item Data Support Sheet'!A:J,6,0),0)</f>
        <v>RM000114</v>
      </c>
      <c r="Z1490" s="428">
        <f>IFERROR(VLOOKUP(E:E,'Item Data Support Sheet'!A:O,4,0),0)</f>
        <v>7.3</v>
      </c>
      <c r="AA1490" s="428">
        <f t="shared" si="407"/>
        <v>36.646000000000001</v>
      </c>
      <c r="AB1490" s="429">
        <f t="shared" si="408"/>
        <v>0.99601593625498008</v>
      </c>
      <c r="AC1490" s="424">
        <f t="shared" si="409"/>
        <v>2.3942537909018356E-3</v>
      </c>
      <c r="AD1490" s="371">
        <f t="shared" si="410"/>
        <v>0</v>
      </c>
      <c r="AE1490" s="748">
        <f t="shared" si="411"/>
        <v>0.99760956175298809</v>
      </c>
      <c r="AF1490" s="417">
        <f t="shared" si="412"/>
        <v>0</v>
      </c>
      <c r="AG1490" s="416">
        <f t="shared" si="413"/>
        <v>8</v>
      </c>
      <c r="AH1490" s="372">
        <f t="shared" si="414"/>
        <v>1</v>
      </c>
      <c r="AI1490" s="373">
        <f t="shared" si="415"/>
        <v>625</v>
      </c>
      <c r="AJ1490" s="418">
        <f>VLOOKUP(D1490,'Standard Cycle time'!C:D,2,0)</f>
        <v>6</v>
      </c>
      <c r="AK1490" s="418">
        <f t="shared" si="416"/>
        <v>5.76</v>
      </c>
      <c r="AL1490" s="374">
        <f t="shared" si="417"/>
        <v>1.0416666666666667</v>
      </c>
      <c r="AM1490" s="372">
        <f t="shared" si="418"/>
        <v>1.0391766268260294</v>
      </c>
      <c r="AN1490" s="799">
        <v>1.0391766268260294</v>
      </c>
      <c r="AO1490" s="448"/>
      <c r="AP1490" s="440">
        <v>0</v>
      </c>
      <c r="AQ1490" s="440">
        <v>0</v>
      </c>
      <c r="AR1490" s="440">
        <v>0</v>
      </c>
      <c r="AS1490" s="440">
        <v>0</v>
      </c>
      <c r="AT1490" s="440">
        <v>0</v>
      </c>
      <c r="AU1490" s="440">
        <v>0</v>
      </c>
      <c r="AV1490" s="440">
        <v>0</v>
      </c>
      <c r="AW1490" s="440">
        <v>0</v>
      </c>
      <c r="AX1490" s="440">
        <v>0</v>
      </c>
      <c r="AY1490" s="440">
        <v>0</v>
      </c>
      <c r="AZ1490" s="440">
        <v>0</v>
      </c>
      <c r="BA1490" s="440">
        <v>0</v>
      </c>
      <c r="BB1490" s="440">
        <v>0</v>
      </c>
      <c r="BC1490" s="440">
        <v>0</v>
      </c>
      <c r="BD1490" s="440">
        <v>0</v>
      </c>
      <c r="BE1490" s="440">
        <v>0</v>
      </c>
      <c r="BF1490" s="440">
        <v>0</v>
      </c>
      <c r="BG1490" s="440">
        <v>0</v>
      </c>
      <c r="BH1490" s="440">
        <v>0</v>
      </c>
      <c r="BI1490" s="440">
        <v>0</v>
      </c>
      <c r="BJ1490" s="440">
        <v>0</v>
      </c>
      <c r="BK1490" s="440">
        <v>0</v>
      </c>
      <c r="BL1490" s="440">
        <v>0</v>
      </c>
      <c r="BM1490" s="440">
        <v>0</v>
      </c>
      <c r="BN1490" s="440">
        <v>0</v>
      </c>
      <c r="BO1490" s="440">
        <v>0</v>
      </c>
      <c r="BP1490" s="440">
        <v>0</v>
      </c>
      <c r="BQ1490" s="440">
        <v>0</v>
      </c>
      <c r="BR1490" s="415">
        <v>0</v>
      </c>
      <c r="BS1490" s="415">
        <v>0</v>
      </c>
      <c r="BT1490" s="935"/>
      <c r="BU1490" s="935"/>
      <c r="BV1490" s="935"/>
      <c r="BW1490" s="935"/>
      <c r="BX1490" s="935"/>
      <c r="BY1490" s="935"/>
      <c r="BZ1490" s="935"/>
      <c r="CA1490" s="935"/>
      <c r="CB1490" s="935"/>
      <c r="CC1490" s="935"/>
      <c r="CD1490" s="935"/>
      <c r="CE1490" s="935"/>
      <c r="CF1490" s="935"/>
      <c r="CG1490" s="935"/>
      <c r="CH1490" s="935"/>
      <c r="CI1490" s="935"/>
      <c r="CJ1490" s="935"/>
      <c r="CK1490" s="935"/>
      <c r="CL1490" s="935"/>
      <c r="CM1490" s="935"/>
      <c r="CN1490" s="935"/>
      <c r="CO1490" s="935"/>
      <c r="CP1490" s="935"/>
      <c r="CQ1490" s="935"/>
      <c r="CR1490" s="935"/>
      <c r="CS1490" s="935"/>
      <c r="CT1490" s="935"/>
      <c r="CU1490" s="935"/>
      <c r="CV1490" s="935"/>
    </row>
    <row r="1491" spans="1:100" s="441" customFormat="1">
      <c r="A1491" s="375">
        <f t="shared" si="404"/>
        <v>11</v>
      </c>
      <c r="B1491" s="862">
        <v>44529</v>
      </c>
      <c r="C1491" s="493" t="s">
        <v>2053</v>
      </c>
      <c r="D1491" s="376" t="str">
        <f>IFERROR(VLOOKUP(E:E,'Item Data Support Sheet'!A:O,7,0),"")</f>
        <v>BOTTLE MOLDED</v>
      </c>
      <c r="E1491" s="447" t="s">
        <v>65</v>
      </c>
      <c r="F1491" s="500" t="s">
        <v>1679</v>
      </c>
      <c r="G1491" s="497" t="s">
        <v>1665</v>
      </c>
      <c r="H1491" s="602" t="str">
        <f>IFERROR(VLOOKUP(E:E,'Item Data Support Sheet'!A:O,2,0),"")</f>
        <v>KPP 120 ML BOTTLE MOLDED</v>
      </c>
      <c r="I1491" s="501" t="s">
        <v>4249</v>
      </c>
      <c r="J1491" s="501" t="s">
        <v>3895</v>
      </c>
      <c r="K1491" s="499">
        <v>8</v>
      </c>
      <c r="L1491" s="499">
        <v>2574</v>
      </c>
      <c r="M1491" s="366">
        <v>321.75</v>
      </c>
      <c r="N1491" s="367">
        <f t="shared" si="403"/>
        <v>2443</v>
      </c>
      <c r="O1491" s="61">
        <v>2340</v>
      </c>
      <c r="P1491" s="368">
        <v>0</v>
      </c>
      <c r="Q1491" s="368">
        <v>41</v>
      </c>
      <c r="R1491" s="494">
        <v>0</v>
      </c>
      <c r="S1491" s="493"/>
      <c r="T1491" s="494">
        <v>54</v>
      </c>
      <c r="U1491" s="493">
        <v>8</v>
      </c>
      <c r="V1491" s="502">
        <v>1</v>
      </c>
      <c r="W1491" s="453">
        <f t="shared" si="405"/>
        <v>2340</v>
      </c>
      <c r="X1491" s="748">
        <f t="shared" si="406"/>
        <v>0.90909090909090906</v>
      </c>
      <c r="Y1491" s="451" t="str">
        <f>IFERROR(VLOOKUP(E:E,'Item Data Support Sheet'!A:J,6,0),0)</f>
        <v>HMC</v>
      </c>
      <c r="Z1491" s="428">
        <f>IFERROR(VLOOKUP(E:E,'Item Data Support Sheet'!A:O,4,0),0)</f>
        <v>21.3</v>
      </c>
      <c r="AA1491" s="428">
        <f t="shared" si="407"/>
        <v>52.035899999999998</v>
      </c>
      <c r="AB1491" s="429">
        <f t="shared" si="408"/>
        <v>0.9578387228817028</v>
      </c>
      <c r="AC1491" s="424">
        <f t="shared" si="409"/>
        <v>2.2556390977443608E-2</v>
      </c>
      <c r="AD1491" s="371">
        <f t="shared" si="410"/>
        <v>1.6505636070853463E-2</v>
      </c>
      <c r="AE1491" s="748">
        <f t="shared" si="411"/>
        <v>0.97789602947196075</v>
      </c>
      <c r="AF1491" s="417">
        <f t="shared" si="412"/>
        <v>0</v>
      </c>
      <c r="AG1491" s="416">
        <f t="shared" si="413"/>
        <v>8</v>
      </c>
      <c r="AH1491" s="372">
        <f t="shared" si="414"/>
        <v>1</v>
      </c>
      <c r="AI1491" s="373">
        <f t="shared" si="415"/>
        <v>292.5</v>
      </c>
      <c r="AJ1491" s="418">
        <f>VLOOKUP(D1491,'Standard Cycle time'!C:D,2,0)</f>
        <v>9</v>
      </c>
      <c r="AK1491" s="418">
        <f t="shared" si="416"/>
        <v>12.307692307692308</v>
      </c>
      <c r="AL1491" s="374">
        <f t="shared" si="417"/>
        <v>0.73124999999999996</v>
      </c>
      <c r="AM1491" s="372">
        <f t="shared" si="418"/>
        <v>0.71508647155137128</v>
      </c>
      <c r="AN1491" s="799">
        <v>0.71508647155137128</v>
      </c>
      <c r="AO1491" s="448"/>
      <c r="AP1491" s="440">
        <v>0</v>
      </c>
      <c r="AQ1491" s="440">
        <v>0</v>
      </c>
      <c r="AR1491" s="440">
        <v>0</v>
      </c>
      <c r="AS1491" s="440">
        <v>0</v>
      </c>
      <c r="AT1491" s="440">
        <v>0</v>
      </c>
      <c r="AU1491" s="440">
        <v>0</v>
      </c>
      <c r="AV1491" s="440">
        <v>0</v>
      </c>
      <c r="AW1491" s="440">
        <v>0</v>
      </c>
      <c r="AX1491" s="440">
        <v>0</v>
      </c>
      <c r="AY1491" s="440">
        <v>0</v>
      </c>
      <c r="AZ1491" s="440">
        <v>0</v>
      </c>
      <c r="BA1491" s="440">
        <v>0</v>
      </c>
      <c r="BB1491" s="440">
        <v>0</v>
      </c>
      <c r="BC1491" s="440">
        <v>0</v>
      </c>
      <c r="BD1491" s="440">
        <v>0</v>
      </c>
      <c r="BE1491" s="440">
        <v>0</v>
      </c>
      <c r="BF1491" s="440">
        <v>0</v>
      </c>
      <c r="BG1491" s="440">
        <v>0</v>
      </c>
      <c r="BH1491" s="440">
        <v>0</v>
      </c>
      <c r="BI1491" s="440">
        <v>0</v>
      </c>
      <c r="BJ1491" s="440">
        <v>0</v>
      </c>
      <c r="BK1491" s="440">
        <v>0</v>
      </c>
      <c r="BL1491" s="440">
        <v>0</v>
      </c>
      <c r="BM1491" s="440">
        <v>0</v>
      </c>
      <c r="BN1491" s="440">
        <v>0</v>
      </c>
      <c r="BO1491" s="440">
        <v>0</v>
      </c>
      <c r="BP1491" s="440">
        <v>0</v>
      </c>
      <c r="BQ1491" s="440">
        <v>0</v>
      </c>
      <c r="BR1491" s="415">
        <v>0</v>
      </c>
      <c r="BS1491" s="415">
        <v>0</v>
      </c>
      <c r="BT1491" s="935"/>
      <c r="BU1491" s="935"/>
      <c r="BV1491" s="935"/>
      <c r="BW1491" s="935"/>
      <c r="BX1491" s="935"/>
      <c r="BY1491" s="935"/>
      <c r="BZ1491" s="935"/>
      <c r="CA1491" s="935"/>
      <c r="CB1491" s="935"/>
      <c r="CC1491" s="935"/>
      <c r="CD1491" s="935"/>
      <c r="CE1491" s="935"/>
      <c r="CF1491" s="935"/>
      <c r="CG1491" s="935"/>
      <c r="CH1491" s="935"/>
      <c r="CI1491" s="935"/>
      <c r="CJ1491" s="935"/>
      <c r="CK1491" s="935"/>
      <c r="CL1491" s="935"/>
      <c r="CM1491" s="935"/>
      <c r="CN1491" s="935"/>
      <c r="CO1491" s="935"/>
      <c r="CP1491" s="935"/>
      <c r="CQ1491" s="935"/>
      <c r="CR1491" s="935"/>
      <c r="CS1491" s="935"/>
      <c r="CT1491" s="935"/>
      <c r="CU1491" s="935"/>
      <c r="CV1491" s="935"/>
    </row>
    <row r="1492" spans="1:100" s="441" customFormat="1">
      <c r="A1492" s="375">
        <f t="shared" si="404"/>
        <v>11</v>
      </c>
      <c r="B1492" s="862">
        <v>44530</v>
      </c>
      <c r="C1492" s="493" t="s">
        <v>1980</v>
      </c>
      <c r="D1492" s="376" t="str">
        <f>IFERROR(VLOOKUP(E:E,'Item Data Support Sheet'!A:O,7,0),"")</f>
        <v>NIPPLE MOLDED</v>
      </c>
      <c r="E1492" s="447" t="s">
        <v>75</v>
      </c>
      <c r="F1492" s="500" t="s">
        <v>1677</v>
      </c>
      <c r="G1492" s="497" t="s">
        <v>1690</v>
      </c>
      <c r="H1492" s="602" t="str">
        <f>IFERROR(VLOOKUP(E:E,'Item Data Support Sheet'!A:O,2,0),"")</f>
        <v>NIPPLE S TYPE Y SIZE INJECTION</v>
      </c>
      <c r="I1492" s="501" t="s">
        <v>4263</v>
      </c>
      <c r="J1492" s="501" t="s">
        <v>2808</v>
      </c>
      <c r="K1492" s="499">
        <v>8</v>
      </c>
      <c r="L1492" s="499">
        <v>3611</v>
      </c>
      <c r="M1492" s="366">
        <v>451.375</v>
      </c>
      <c r="N1492" s="367">
        <f t="shared" si="403"/>
        <v>4300</v>
      </c>
      <c r="O1492" s="61">
        <v>4200</v>
      </c>
      <c r="P1492" s="368">
        <v>0</v>
      </c>
      <c r="Q1492" s="368">
        <v>48</v>
      </c>
      <c r="R1492" s="494">
        <v>0</v>
      </c>
      <c r="S1492" s="493">
        <v>0</v>
      </c>
      <c r="T1492" s="494">
        <v>40</v>
      </c>
      <c r="U1492" s="493">
        <v>12</v>
      </c>
      <c r="V1492" s="502">
        <v>1</v>
      </c>
      <c r="W1492" s="453">
        <f t="shared" si="405"/>
        <v>4200</v>
      </c>
      <c r="X1492" s="748">
        <f t="shared" si="406"/>
        <v>1.1631127111603434</v>
      </c>
      <c r="Y1492" s="451" t="str">
        <f>IFERROR(VLOOKUP(E:E,'Item Data Support Sheet'!A:J,6,0),0)</f>
        <v>Silicon</v>
      </c>
      <c r="Z1492" s="428">
        <f>IFERROR(VLOOKUP(E:E,'Item Data Support Sheet'!A:O,4,0),0)</f>
        <v>6.8</v>
      </c>
      <c r="AA1492" s="428">
        <f t="shared" si="407"/>
        <v>29.24</v>
      </c>
      <c r="AB1492" s="429">
        <f t="shared" si="408"/>
        <v>0.97674418604651159</v>
      </c>
      <c r="AC1492" s="424">
        <f t="shared" si="409"/>
        <v>9.433962264150943E-3</v>
      </c>
      <c r="AD1492" s="371">
        <f t="shared" si="410"/>
        <v>1.1039558417663294E-2</v>
      </c>
      <c r="AE1492" s="748">
        <f t="shared" si="411"/>
        <v>0.99069767441860468</v>
      </c>
      <c r="AF1492" s="417">
        <f t="shared" si="412"/>
        <v>0</v>
      </c>
      <c r="AG1492" s="416">
        <f t="shared" si="413"/>
        <v>8</v>
      </c>
      <c r="AH1492" s="372">
        <f t="shared" si="414"/>
        <v>1</v>
      </c>
      <c r="AI1492" s="373">
        <f t="shared" si="415"/>
        <v>525</v>
      </c>
      <c r="AJ1492" s="418">
        <f>VLOOKUP(D1492,'Standard Cycle time'!C:D,2,0)</f>
        <v>5.25</v>
      </c>
      <c r="AK1492" s="418">
        <f t="shared" si="416"/>
        <v>6.8571428571428568</v>
      </c>
      <c r="AL1492" s="374">
        <f t="shared" si="417"/>
        <v>0.765625</v>
      </c>
      <c r="AM1492" s="372">
        <f t="shared" si="418"/>
        <v>0.75850290697674416</v>
      </c>
      <c r="AN1492" s="799">
        <v>0.75850290697674416</v>
      </c>
      <c r="AO1492" s="448"/>
      <c r="AP1492" s="440">
        <v>0</v>
      </c>
      <c r="AQ1492" s="440">
        <v>0</v>
      </c>
      <c r="AR1492" s="440">
        <v>0</v>
      </c>
      <c r="AS1492" s="440">
        <v>0</v>
      </c>
      <c r="AT1492" s="440">
        <v>0</v>
      </c>
      <c r="AU1492" s="440">
        <v>0</v>
      </c>
      <c r="AV1492" s="440">
        <v>0</v>
      </c>
      <c r="AW1492" s="440">
        <v>0</v>
      </c>
      <c r="AX1492" s="440">
        <v>0</v>
      </c>
      <c r="AY1492" s="440">
        <v>0</v>
      </c>
      <c r="AZ1492" s="440">
        <v>0</v>
      </c>
      <c r="BA1492" s="440">
        <v>0</v>
      </c>
      <c r="BB1492" s="440">
        <v>0</v>
      </c>
      <c r="BC1492" s="440">
        <v>0</v>
      </c>
      <c r="BD1492" s="440">
        <v>0</v>
      </c>
      <c r="BE1492" s="440">
        <v>0</v>
      </c>
      <c r="BF1492" s="440">
        <v>0</v>
      </c>
      <c r="BG1492" s="440">
        <v>0</v>
      </c>
      <c r="BH1492" s="440">
        <v>0</v>
      </c>
      <c r="BI1492" s="440">
        <v>0</v>
      </c>
      <c r="BJ1492" s="440">
        <v>0</v>
      </c>
      <c r="BK1492" s="440">
        <v>0</v>
      </c>
      <c r="BL1492" s="440">
        <v>0</v>
      </c>
      <c r="BM1492" s="440">
        <v>0</v>
      </c>
      <c r="BN1492" s="440">
        <v>0</v>
      </c>
      <c r="BO1492" s="440">
        <v>0</v>
      </c>
      <c r="BP1492" s="440">
        <v>0</v>
      </c>
      <c r="BQ1492" s="440">
        <v>0</v>
      </c>
      <c r="BR1492" s="415">
        <v>0</v>
      </c>
      <c r="BS1492" s="415">
        <v>0</v>
      </c>
      <c r="BT1492" s="935"/>
      <c r="BU1492" s="935"/>
      <c r="BV1492" s="935"/>
      <c r="BW1492" s="935"/>
      <c r="BX1492" s="935"/>
      <c r="BY1492" s="935"/>
      <c r="BZ1492" s="935"/>
      <c r="CA1492" s="935"/>
      <c r="CB1492" s="935"/>
      <c r="CC1492" s="935"/>
      <c r="CD1492" s="935"/>
      <c r="CE1492" s="935"/>
      <c r="CF1492" s="935"/>
      <c r="CG1492" s="935"/>
      <c r="CH1492" s="935"/>
      <c r="CI1492" s="935"/>
      <c r="CJ1492" s="935"/>
      <c r="CK1492" s="935"/>
      <c r="CL1492" s="935"/>
      <c r="CM1492" s="935"/>
      <c r="CN1492" s="935"/>
      <c r="CO1492" s="935"/>
      <c r="CP1492" s="935"/>
      <c r="CQ1492" s="935"/>
      <c r="CR1492" s="935"/>
      <c r="CS1492" s="935"/>
      <c r="CT1492" s="935"/>
      <c r="CU1492" s="935"/>
      <c r="CV1492" s="935"/>
    </row>
    <row r="1493" spans="1:100" s="441" customFormat="1">
      <c r="A1493" s="375">
        <f t="shared" si="404"/>
        <v>11</v>
      </c>
      <c r="B1493" s="862">
        <v>44530</v>
      </c>
      <c r="C1493" s="493" t="s">
        <v>1980</v>
      </c>
      <c r="D1493" s="376" t="str">
        <f>IFERROR(VLOOKUP(E:E,'Item Data Support Sheet'!A:O,7,0),"")</f>
        <v>NIPPLE MOLDED</v>
      </c>
      <c r="E1493" s="447" t="s">
        <v>72</v>
      </c>
      <c r="F1493" s="500" t="s">
        <v>1678</v>
      </c>
      <c r="G1493" s="497" t="s">
        <v>1691</v>
      </c>
      <c r="H1493" s="602" t="str">
        <f>IFERROR(VLOOKUP(E:E,'Item Data Support Sheet'!A:O,2,0),"")</f>
        <v>NIPPLE S TYPE S SIZE INJECTION</v>
      </c>
      <c r="I1493" s="501" t="s">
        <v>4263</v>
      </c>
      <c r="J1493" s="501" t="s">
        <v>2808</v>
      </c>
      <c r="K1493" s="499">
        <v>8</v>
      </c>
      <c r="L1493" s="499">
        <v>4815</v>
      </c>
      <c r="M1493" s="366">
        <v>601.875</v>
      </c>
      <c r="N1493" s="367">
        <f t="shared" si="403"/>
        <v>4702</v>
      </c>
      <c r="O1493" s="61">
        <v>4600</v>
      </c>
      <c r="P1493" s="368">
        <v>0</v>
      </c>
      <c r="Q1493" s="368">
        <v>48</v>
      </c>
      <c r="R1493" s="494">
        <v>0</v>
      </c>
      <c r="S1493" s="493">
        <v>0</v>
      </c>
      <c r="T1493" s="494">
        <v>38</v>
      </c>
      <c r="U1493" s="493">
        <v>16</v>
      </c>
      <c r="V1493" s="502">
        <v>1</v>
      </c>
      <c r="W1493" s="453">
        <f t="shared" si="405"/>
        <v>4600</v>
      </c>
      <c r="X1493" s="748">
        <f t="shared" si="406"/>
        <v>0.95534787123572174</v>
      </c>
      <c r="Y1493" s="451" t="str">
        <f>IFERROR(VLOOKUP(E:E,'Item Data Support Sheet'!A:J,6,0),0)</f>
        <v>Silicon</v>
      </c>
      <c r="Z1493" s="428">
        <f>IFERROR(VLOOKUP(E:E,'Item Data Support Sheet'!A:O,4,0),0)</f>
        <v>6.8</v>
      </c>
      <c r="AA1493" s="428">
        <f t="shared" si="407"/>
        <v>31.973599999999998</v>
      </c>
      <c r="AB1493" s="429">
        <f t="shared" si="408"/>
        <v>0.97830710336027227</v>
      </c>
      <c r="AC1493" s="424">
        <f t="shared" si="409"/>
        <v>8.1931867184131084E-3</v>
      </c>
      <c r="AD1493" s="371">
        <f t="shared" si="410"/>
        <v>1.0105263157894737E-2</v>
      </c>
      <c r="AE1493" s="748">
        <f t="shared" si="411"/>
        <v>0.99191833262441509</v>
      </c>
      <c r="AF1493" s="417">
        <f t="shared" si="412"/>
        <v>0</v>
      </c>
      <c r="AG1493" s="416">
        <f t="shared" si="413"/>
        <v>8</v>
      </c>
      <c r="AH1493" s="372">
        <f t="shared" si="414"/>
        <v>1</v>
      </c>
      <c r="AI1493" s="373">
        <f t="shared" si="415"/>
        <v>575</v>
      </c>
      <c r="AJ1493" s="418">
        <f>VLOOKUP(D1493,'Standard Cycle time'!C:D,2,0)</f>
        <v>5.25</v>
      </c>
      <c r="AK1493" s="418">
        <f t="shared" si="416"/>
        <v>6.2608695652173916</v>
      </c>
      <c r="AL1493" s="374">
        <f t="shared" si="417"/>
        <v>0.83854166666666663</v>
      </c>
      <c r="AM1493" s="372">
        <f t="shared" si="418"/>
        <v>0.83176485183609805</v>
      </c>
      <c r="AN1493" s="799">
        <v>0.83176485183609805</v>
      </c>
      <c r="AO1493" s="448"/>
      <c r="AP1493" s="440">
        <v>0</v>
      </c>
      <c r="AQ1493" s="440">
        <v>0</v>
      </c>
      <c r="AR1493" s="440">
        <v>0</v>
      </c>
      <c r="AS1493" s="440">
        <v>0</v>
      </c>
      <c r="AT1493" s="440">
        <v>0</v>
      </c>
      <c r="AU1493" s="440">
        <v>0</v>
      </c>
      <c r="AV1493" s="440">
        <v>0</v>
      </c>
      <c r="AW1493" s="440">
        <v>0</v>
      </c>
      <c r="AX1493" s="440">
        <v>0</v>
      </c>
      <c r="AY1493" s="440">
        <v>0</v>
      </c>
      <c r="AZ1493" s="440">
        <v>0</v>
      </c>
      <c r="BA1493" s="440">
        <v>0</v>
      </c>
      <c r="BB1493" s="440">
        <v>0</v>
      </c>
      <c r="BC1493" s="440">
        <v>0</v>
      </c>
      <c r="BD1493" s="440">
        <v>0</v>
      </c>
      <c r="BE1493" s="440">
        <v>0</v>
      </c>
      <c r="BF1493" s="440">
        <v>0</v>
      </c>
      <c r="BG1493" s="440">
        <v>0</v>
      </c>
      <c r="BH1493" s="440">
        <v>0</v>
      </c>
      <c r="BI1493" s="440">
        <v>0</v>
      </c>
      <c r="BJ1493" s="440">
        <v>0</v>
      </c>
      <c r="BK1493" s="440">
        <v>0</v>
      </c>
      <c r="BL1493" s="440">
        <v>0</v>
      </c>
      <c r="BM1493" s="440">
        <v>0</v>
      </c>
      <c r="BN1493" s="440">
        <v>0</v>
      </c>
      <c r="BO1493" s="440">
        <v>0</v>
      </c>
      <c r="BP1493" s="440">
        <v>0</v>
      </c>
      <c r="BQ1493" s="440">
        <v>0</v>
      </c>
      <c r="BR1493" s="415">
        <v>0</v>
      </c>
      <c r="BS1493" s="415">
        <v>0</v>
      </c>
      <c r="BT1493" s="935"/>
      <c r="BU1493" s="935"/>
      <c r="BV1493" s="935"/>
      <c r="BW1493" s="935"/>
      <c r="BX1493" s="935"/>
      <c r="BY1493" s="935"/>
      <c r="BZ1493" s="935"/>
      <c r="CA1493" s="935"/>
      <c r="CB1493" s="935"/>
      <c r="CC1493" s="935"/>
      <c r="CD1493" s="935"/>
      <c r="CE1493" s="935"/>
      <c r="CF1493" s="935"/>
      <c r="CG1493" s="935"/>
      <c r="CH1493" s="935"/>
      <c r="CI1493" s="935"/>
      <c r="CJ1493" s="935"/>
      <c r="CK1493" s="935"/>
      <c r="CL1493" s="935"/>
      <c r="CM1493" s="935"/>
      <c r="CN1493" s="935"/>
      <c r="CO1493" s="935"/>
      <c r="CP1493" s="935"/>
      <c r="CQ1493" s="935"/>
      <c r="CR1493" s="935"/>
      <c r="CS1493" s="935"/>
      <c r="CT1493" s="935"/>
      <c r="CU1493" s="935"/>
      <c r="CV1493" s="935"/>
    </row>
    <row r="1494" spans="1:100" s="441" customFormat="1">
      <c r="A1494" s="375">
        <f t="shared" si="404"/>
        <v>11</v>
      </c>
      <c r="B1494" s="862">
        <v>44530</v>
      </c>
      <c r="C1494" s="493" t="s">
        <v>1980</v>
      </c>
      <c r="D1494" s="376" t="str">
        <f>IFERROR(VLOOKUP(E:E,'Item Data Support Sheet'!A:O,7,0),"")</f>
        <v>BOTTLE MOLDED</v>
      </c>
      <c r="E1494" s="447" t="s">
        <v>65</v>
      </c>
      <c r="F1494" s="500" t="s">
        <v>1679</v>
      </c>
      <c r="G1494" s="497" t="s">
        <v>1665</v>
      </c>
      <c r="H1494" s="602" t="str">
        <f>IFERROR(VLOOKUP(E:E,'Item Data Support Sheet'!A:O,2,0),"")</f>
        <v>KPP 120 ML BOTTLE MOLDED</v>
      </c>
      <c r="I1494" s="501" t="s">
        <v>4264</v>
      </c>
      <c r="J1494" s="501" t="s">
        <v>2808</v>
      </c>
      <c r="K1494" s="499">
        <v>8</v>
      </c>
      <c r="L1494" s="499">
        <v>2574</v>
      </c>
      <c r="M1494" s="366">
        <v>321.75</v>
      </c>
      <c r="N1494" s="367">
        <f t="shared" si="403"/>
        <v>2754</v>
      </c>
      <c r="O1494" s="61">
        <v>2700</v>
      </c>
      <c r="P1494" s="368">
        <v>0.2</v>
      </c>
      <c r="Q1494" s="368">
        <v>18</v>
      </c>
      <c r="R1494" s="494">
        <v>0</v>
      </c>
      <c r="S1494" s="493">
        <v>0</v>
      </c>
      <c r="T1494" s="494">
        <v>28</v>
      </c>
      <c r="U1494" s="493">
        <v>8</v>
      </c>
      <c r="V1494" s="502">
        <v>1</v>
      </c>
      <c r="W1494" s="453">
        <f t="shared" si="405"/>
        <v>2700</v>
      </c>
      <c r="X1494" s="748">
        <f t="shared" si="406"/>
        <v>1.048951048951049</v>
      </c>
      <c r="Y1494" s="451" t="str">
        <f>IFERROR(VLOOKUP(E:E,'Item Data Support Sheet'!A:J,6,0),0)</f>
        <v>HMC</v>
      </c>
      <c r="Z1494" s="428">
        <f>IFERROR(VLOOKUP(E:E,'Item Data Support Sheet'!A:O,4,0),0)</f>
        <v>21.3</v>
      </c>
      <c r="AA1494" s="428">
        <f t="shared" si="407"/>
        <v>58.860199999999999</v>
      </c>
      <c r="AB1494" s="429">
        <f t="shared" si="408"/>
        <v>0.97706090023479364</v>
      </c>
      <c r="AC1494" s="424">
        <f t="shared" si="409"/>
        <v>1.0263929618768328E-2</v>
      </c>
      <c r="AD1494" s="371">
        <f t="shared" si="410"/>
        <v>6.4935064935064939E-3</v>
      </c>
      <c r="AE1494" s="748">
        <f t="shared" si="411"/>
        <v>0.98983297022512706</v>
      </c>
      <c r="AF1494" s="417">
        <f t="shared" si="412"/>
        <v>0</v>
      </c>
      <c r="AG1494" s="416">
        <f t="shared" si="413"/>
        <v>8</v>
      </c>
      <c r="AH1494" s="372">
        <f t="shared" si="414"/>
        <v>1</v>
      </c>
      <c r="AI1494" s="373">
        <f t="shared" si="415"/>
        <v>337.5</v>
      </c>
      <c r="AJ1494" s="418">
        <f>VLOOKUP(D1494,'Standard Cycle time'!C:D,2,0)</f>
        <v>9</v>
      </c>
      <c r="AK1494" s="418">
        <f t="shared" si="416"/>
        <v>10.666666666666666</v>
      </c>
      <c r="AL1494" s="374">
        <f t="shared" si="417"/>
        <v>0.84375</v>
      </c>
      <c r="AM1494" s="372">
        <f t="shared" si="418"/>
        <v>0.83517156862745101</v>
      </c>
      <c r="AN1494" s="799">
        <v>0.83517156862745101</v>
      </c>
      <c r="AO1494" s="448"/>
      <c r="AP1494" s="440">
        <v>0</v>
      </c>
      <c r="AQ1494" s="440">
        <v>0</v>
      </c>
      <c r="AR1494" s="440">
        <v>0</v>
      </c>
      <c r="AS1494" s="440">
        <v>0</v>
      </c>
      <c r="AT1494" s="440">
        <v>0</v>
      </c>
      <c r="AU1494" s="440">
        <v>0</v>
      </c>
      <c r="AV1494" s="440">
        <v>0</v>
      </c>
      <c r="AW1494" s="440">
        <v>0</v>
      </c>
      <c r="AX1494" s="440">
        <v>0</v>
      </c>
      <c r="AY1494" s="440">
        <v>0</v>
      </c>
      <c r="AZ1494" s="440">
        <v>0</v>
      </c>
      <c r="BA1494" s="440">
        <v>0</v>
      </c>
      <c r="BB1494" s="440">
        <v>0</v>
      </c>
      <c r="BC1494" s="440">
        <v>0</v>
      </c>
      <c r="BD1494" s="440">
        <v>0</v>
      </c>
      <c r="BE1494" s="440">
        <v>0</v>
      </c>
      <c r="BF1494" s="440">
        <v>0</v>
      </c>
      <c r="BG1494" s="440">
        <v>0</v>
      </c>
      <c r="BH1494" s="440">
        <v>0</v>
      </c>
      <c r="BI1494" s="440">
        <v>0</v>
      </c>
      <c r="BJ1494" s="440">
        <v>0</v>
      </c>
      <c r="BK1494" s="440">
        <v>0</v>
      </c>
      <c r="BL1494" s="440">
        <v>0</v>
      </c>
      <c r="BM1494" s="440">
        <v>0</v>
      </c>
      <c r="BN1494" s="440">
        <v>0</v>
      </c>
      <c r="BO1494" s="440">
        <v>0</v>
      </c>
      <c r="BP1494" s="440">
        <v>0</v>
      </c>
      <c r="BQ1494" s="440">
        <v>0</v>
      </c>
      <c r="BR1494" s="415">
        <v>0</v>
      </c>
      <c r="BS1494" s="415">
        <v>0</v>
      </c>
      <c r="BT1494" s="935"/>
      <c r="BU1494" s="935"/>
      <c r="BV1494" s="935"/>
      <c r="BW1494" s="935"/>
      <c r="BX1494" s="935"/>
      <c r="BY1494" s="935"/>
      <c r="BZ1494" s="935"/>
      <c r="CA1494" s="935"/>
      <c r="CB1494" s="935"/>
      <c r="CC1494" s="935"/>
      <c r="CD1494" s="935"/>
      <c r="CE1494" s="935"/>
      <c r="CF1494" s="935"/>
      <c r="CG1494" s="935"/>
      <c r="CH1494" s="935"/>
      <c r="CI1494" s="935"/>
      <c r="CJ1494" s="935"/>
      <c r="CK1494" s="935"/>
      <c r="CL1494" s="935"/>
      <c r="CM1494" s="935"/>
      <c r="CN1494" s="935"/>
      <c r="CO1494" s="935"/>
      <c r="CP1494" s="935"/>
      <c r="CQ1494" s="935"/>
      <c r="CR1494" s="935"/>
      <c r="CS1494" s="935"/>
      <c r="CT1494" s="935"/>
      <c r="CU1494" s="935"/>
      <c r="CV1494" s="935"/>
    </row>
    <row r="1495" spans="1:100" s="441" customFormat="1">
      <c r="A1495" s="375">
        <f t="shared" si="404"/>
        <v>11</v>
      </c>
      <c r="B1495" s="862">
        <v>44530</v>
      </c>
      <c r="C1495" s="493" t="s">
        <v>1980</v>
      </c>
      <c r="D1495" s="376" t="str">
        <f>IFERROR(VLOOKUP(E:E,'Item Data Support Sheet'!A:O,7,0),"")</f>
        <v>NIPPLE PUNCH</v>
      </c>
      <c r="E1495" s="447" t="s">
        <v>82</v>
      </c>
      <c r="F1495" s="500"/>
      <c r="G1495" s="497" t="s">
        <v>1692</v>
      </c>
      <c r="H1495" s="602" t="str">
        <f>IFERROR(VLOOKUP(E:E,'Item Data Support Sheet'!A:O,2,0),"")</f>
        <v>NIPPLE S TYPE L SIZE PUNCHED</v>
      </c>
      <c r="I1495" s="501" t="s">
        <v>4265</v>
      </c>
      <c r="J1495" s="501" t="s">
        <v>2808</v>
      </c>
      <c r="K1495" s="499">
        <v>8</v>
      </c>
      <c r="L1495" s="499">
        <v>7000</v>
      </c>
      <c r="M1495" s="366">
        <v>875</v>
      </c>
      <c r="N1495" s="367">
        <f t="shared" si="403"/>
        <v>7200</v>
      </c>
      <c r="O1495" s="61">
        <v>7200</v>
      </c>
      <c r="P1495" s="368">
        <v>0</v>
      </c>
      <c r="Q1495" s="368">
        <v>0</v>
      </c>
      <c r="R1495" s="494">
        <v>0</v>
      </c>
      <c r="S1495" s="493">
        <v>0</v>
      </c>
      <c r="T1495" s="494">
        <v>0</v>
      </c>
      <c r="U1495" s="493">
        <v>0</v>
      </c>
      <c r="V1495" s="502">
        <v>1</v>
      </c>
      <c r="W1495" s="453">
        <f t="shared" si="405"/>
        <v>7200</v>
      </c>
      <c r="X1495" s="748">
        <f t="shared" si="406"/>
        <v>1.0285714285714285</v>
      </c>
      <c r="Y1495" s="451" t="str">
        <f>IFERROR(VLOOKUP(E:E,'Item Data Support Sheet'!A:J,6,0),0)</f>
        <v>FO017</v>
      </c>
      <c r="Z1495" s="428">
        <f>IFERROR(VLOOKUP(E:E,'Item Data Support Sheet'!A:O,4,0),0)</f>
        <v>0</v>
      </c>
      <c r="AA1495" s="428">
        <f t="shared" si="407"/>
        <v>0</v>
      </c>
      <c r="AB1495" s="429" t="str">
        <f t="shared" si="408"/>
        <v xml:space="preserve"> </v>
      </c>
      <c r="AC1495" s="424">
        <f t="shared" si="409"/>
        <v>0</v>
      </c>
      <c r="AD1495" s="371">
        <f t="shared" si="410"/>
        <v>0</v>
      </c>
      <c r="AE1495" s="748">
        <f t="shared" si="411"/>
        <v>1</v>
      </c>
      <c r="AF1495" s="417">
        <f t="shared" si="412"/>
        <v>0.66666666666666663</v>
      </c>
      <c r="AG1495" s="416">
        <f t="shared" si="413"/>
        <v>7.333333333333333</v>
      </c>
      <c r="AH1495" s="372">
        <f t="shared" si="414"/>
        <v>0.91666666666666663</v>
      </c>
      <c r="AI1495" s="373">
        <f t="shared" si="415"/>
        <v>900</v>
      </c>
      <c r="AJ1495" s="418">
        <f>VLOOKUP(D1495,'Standard Cycle time'!C:D,2,0)</f>
        <v>3.5</v>
      </c>
      <c r="AK1495" s="418">
        <f t="shared" si="416"/>
        <v>3.6666666666666665</v>
      </c>
      <c r="AL1495" s="374">
        <f t="shared" si="417"/>
        <v>0.95454545454545459</v>
      </c>
      <c r="AM1495" s="372">
        <f t="shared" si="418"/>
        <v>0.875</v>
      </c>
      <c r="AN1495" s="799">
        <v>0.875</v>
      </c>
      <c r="AO1495" s="448"/>
      <c r="AP1495" s="440">
        <v>40</v>
      </c>
      <c r="AQ1495" s="440">
        <v>0</v>
      </c>
      <c r="AR1495" s="440">
        <v>0</v>
      </c>
      <c r="AS1495" s="440">
        <v>0</v>
      </c>
      <c r="AT1495" s="440">
        <v>0</v>
      </c>
      <c r="AU1495" s="440">
        <v>0</v>
      </c>
      <c r="AV1495" s="440">
        <v>0</v>
      </c>
      <c r="AW1495" s="440">
        <v>0</v>
      </c>
      <c r="AX1495" s="440">
        <v>0</v>
      </c>
      <c r="AY1495" s="440">
        <v>0</v>
      </c>
      <c r="AZ1495" s="440">
        <v>0</v>
      </c>
      <c r="BA1495" s="440">
        <v>0</v>
      </c>
      <c r="BB1495" s="440">
        <v>0</v>
      </c>
      <c r="BC1495" s="440">
        <v>0</v>
      </c>
      <c r="BD1495" s="440">
        <v>0</v>
      </c>
      <c r="BE1495" s="440">
        <v>0</v>
      </c>
      <c r="BF1495" s="440">
        <v>0</v>
      </c>
      <c r="BG1495" s="440">
        <v>0</v>
      </c>
      <c r="BH1495" s="440">
        <v>0</v>
      </c>
      <c r="BI1495" s="440">
        <v>0</v>
      </c>
      <c r="BJ1495" s="440">
        <v>0</v>
      </c>
      <c r="BK1495" s="440">
        <v>0</v>
      </c>
      <c r="BL1495" s="440">
        <v>0</v>
      </c>
      <c r="BM1495" s="440">
        <v>0</v>
      </c>
      <c r="BN1495" s="440">
        <v>0</v>
      </c>
      <c r="BO1495" s="440">
        <v>0</v>
      </c>
      <c r="BP1495" s="440">
        <v>0</v>
      </c>
      <c r="BQ1495" s="440">
        <v>0</v>
      </c>
      <c r="BR1495" s="415">
        <v>0.66666666666666663</v>
      </c>
      <c r="BS1495" s="415">
        <v>0.66666666666666663</v>
      </c>
      <c r="BT1495" s="935"/>
      <c r="BU1495" s="935"/>
      <c r="BV1495" s="935"/>
      <c r="BW1495" s="935"/>
      <c r="BX1495" s="935"/>
      <c r="BY1495" s="935"/>
      <c r="BZ1495" s="935"/>
      <c r="CA1495" s="935"/>
      <c r="CB1495" s="935"/>
      <c r="CC1495" s="935"/>
      <c r="CD1495" s="935"/>
      <c r="CE1495" s="935"/>
      <c r="CF1495" s="935"/>
      <c r="CG1495" s="935"/>
      <c r="CH1495" s="935"/>
      <c r="CI1495" s="935"/>
      <c r="CJ1495" s="935"/>
      <c r="CK1495" s="935"/>
      <c r="CL1495" s="935"/>
      <c r="CM1495" s="935"/>
      <c r="CN1495" s="935"/>
      <c r="CO1495" s="935"/>
      <c r="CP1495" s="935"/>
      <c r="CQ1495" s="935"/>
      <c r="CR1495" s="935"/>
      <c r="CS1495" s="935"/>
      <c r="CT1495" s="935"/>
      <c r="CU1495" s="935"/>
      <c r="CV1495" s="935"/>
    </row>
    <row r="1496" spans="1:100" s="441" customFormat="1">
      <c r="A1496" s="375">
        <f t="shared" si="404"/>
        <v>11</v>
      </c>
      <c r="B1496" s="862">
        <v>44530</v>
      </c>
      <c r="C1496" s="493" t="s">
        <v>1980</v>
      </c>
      <c r="D1496" s="376" t="str">
        <f>IFERROR(VLOOKUP(E:E,'Item Data Support Sheet'!A:O,7,0),"")</f>
        <v>NIPPLE LASER MARKING</v>
      </c>
      <c r="E1496" s="447" t="s">
        <v>1816</v>
      </c>
      <c r="F1496" s="500"/>
      <c r="G1496" s="497" t="s">
        <v>1812</v>
      </c>
      <c r="H1496" s="602" t="str">
        <f>IFERROR(VLOOKUP(E:E,'Item Data Support Sheet'!A:O,2,0),"")</f>
        <v>NIPPLE S TYPE L SIZE PUNCHED LASER MARKED</v>
      </c>
      <c r="I1496" s="501" t="s">
        <v>4266</v>
      </c>
      <c r="J1496" s="501" t="s">
        <v>2808</v>
      </c>
      <c r="K1496" s="499">
        <v>8</v>
      </c>
      <c r="L1496" s="499">
        <v>7000</v>
      </c>
      <c r="M1496" s="366">
        <v>875</v>
      </c>
      <c r="N1496" s="367">
        <f t="shared" si="403"/>
        <v>6000</v>
      </c>
      <c r="O1496" s="61">
        <v>6000</v>
      </c>
      <c r="P1496" s="368">
        <v>0</v>
      </c>
      <c r="Q1496" s="368">
        <v>0</v>
      </c>
      <c r="R1496" s="494">
        <v>0</v>
      </c>
      <c r="S1496" s="493">
        <v>0</v>
      </c>
      <c r="T1496" s="494">
        <v>0</v>
      </c>
      <c r="U1496" s="493">
        <v>0</v>
      </c>
      <c r="V1496" s="502">
        <v>1</v>
      </c>
      <c r="W1496" s="453">
        <f t="shared" si="405"/>
        <v>6000</v>
      </c>
      <c r="X1496" s="748">
        <f t="shared" si="406"/>
        <v>0.8571428571428571</v>
      </c>
      <c r="Y1496" s="451" t="str">
        <f>IFERROR(VLOOKUP(E:E,'Item Data Support Sheet'!A:J,6,0),0)</f>
        <v>FO021</v>
      </c>
      <c r="Z1496" s="428">
        <f>IFERROR(VLOOKUP(E:E,'Item Data Support Sheet'!A:O,4,0),0)</f>
        <v>0</v>
      </c>
      <c r="AA1496" s="428">
        <f t="shared" si="407"/>
        <v>0</v>
      </c>
      <c r="AB1496" s="429" t="str">
        <f t="shared" si="408"/>
        <v xml:space="preserve"> </v>
      </c>
      <c r="AC1496" s="424">
        <f t="shared" si="409"/>
        <v>0</v>
      </c>
      <c r="AD1496" s="371">
        <f t="shared" si="410"/>
        <v>0</v>
      </c>
      <c r="AE1496" s="748">
        <f t="shared" si="411"/>
        <v>1</v>
      </c>
      <c r="AF1496" s="417">
        <f t="shared" si="412"/>
        <v>0.66666666666666663</v>
      </c>
      <c r="AG1496" s="416">
        <f t="shared" si="413"/>
        <v>7.333333333333333</v>
      </c>
      <c r="AH1496" s="372">
        <f t="shared" si="414"/>
        <v>0.91666666666666663</v>
      </c>
      <c r="AI1496" s="373">
        <f t="shared" si="415"/>
        <v>750</v>
      </c>
      <c r="AJ1496" s="418">
        <f>VLOOKUP(D1496,'Standard Cycle time'!C:D,2,0)</f>
        <v>3.5</v>
      </c>
      <c r="AK1496" s="418">
        <f t="shared" si="416"/>
        <v>4.4000000000000004</v>
      </c>
      <c r="AL1496" s="374">
        <f t="shared" si="417"/>
        <v>0.79545454545454541</v>
      </c>
      <c r="AM1496" s="372">
        <f t="shared" si="418"/>
        <v>0.72916666666666663</v>
      </c>
      <c r="AN1496" s="799">
        <v>0.72916666666666663</v>
      </c>
      <c r="AO1496" s="448"/>
      <c r="AP1496" s="440">
        <v>40</v>
      </c>
      <c r="AQ1496" s="440">
        <v>0</v>
      </c>
      <c r="AR1496" s="440">
        <v>0</v>
      </c>
      <c r="AS1496" s="440">
        <v>0</v>
      </c>
      <c r="AT1496" s="440">
        <v>0</v>
      </c>
      <c r="AU1496" s="440">
        <v>0</v>
      </c>
      <c r="AV1496" s="440">
        <v>0</v>
      </c>
      <c r="AW1496" s="440">
        <v>0</v>
      </c>
      <c r="AX1496" s="440">
        <v>0</v>
      </c>
      <c r="AY1496" s="440">
        <v>0</v>
      </c>
      <c r="AZ1496" s="440">
        <v>0</v>
      </c>
      <c r="BA1496" s="440">
        <v>0</v>
      </c>
      <c r="BB1496" s="440">
        <v>0</v>
      </c>
      <c r="BC1496" s="440">
        <v>0</v>
      </c>
      <c r="BD1496" s="440">
        <v>0</v>
      </c>
      <c r="BE1496" s="440">
        <v>0</v>
      </c>
      <c r="BF1496" s="440">
        <v>0</v>
      </c>
      <c r="BG1496" s="440">
        <v>0</v>
      </c>
      <c r="BH1496" s="440">
        <v>0</v>
      </c>
      <c r="BI1496" s="440">
        <v>0</v>
      </c>
      <c r="BJ1496" s="440">
        <v>0</v>
      </c>
      <c r="BK1496" s="440">
        <v>0</v>
      </c>
      <c r="BL1496" s="440">
        <v>0</v>
      </c>
      <c r="BM1496" s="440">
        <v>0</v>
      </c>
      <c r="BN1496" s="440">
        <v>0</v>
      </c>
      <c r="BO1496" s="440">
        <v>0</v>
      </c>
      <c r="BP1496" s="440">
        <v>0</v>
      </c>
      <c r="BQ1496" s="440">
        <v>0</v>
      </c>
      <c r="BR1496" s="415">
        <v>0.66666666666666663</v>
      </c>
      <c r="BS1496" s="415">
        <v>0.66666666666666663</v>
      </c>
      <c r="BT1496" s="935"/>
      <c r="BU1496" s="935"/>
      <c r="BV1496" s="935"/>
      <c r="BW1496" s="935"/>
      <c r="BX1496" s="935"/>
      <c r="BY1496" s="935"/>
      <c r="BZ1496" s="935"/>
      <c r="CA1496" s="935"/>
      <c r="CB1496" s="935"/>
      <c r="CC1496" s="935"/>
      <c r="CD1496" s="935"/>
      <c r="CE1496" s="935"/>
      <c r="CF1496" s="935"/>
      <c r="CG1496" s="935"/>
      <c r="CH1496" s="935"/>
      <c r="CI1496" s="935"/>
      <c r="CJ1496" s="935"/>
      <c r="CK1496" s="935"/>
      <c r="CL1496" s="935"/>
      <c r="CM1496" s="935"/>
      <c r="CN1496" s="935"/>
      <c r="CO1496" s="935"/>
      <c r="CP1496" s="935"/>
      <c r="CQ1496" s="935"/>
      <c r="CR1496" s="935"/>
      <c r="CS1496" s="935"/>
      <c r="CT1496" s="935"/>
      <c r="CU1496" s="935"/>
      <c r="CV1496" s="935"/>
    </row>
    <row r="1497" spans="1:100" s="441" customFormat="1">
      <c r="A1497" s="375">
        <f t="shared" si="404"/>
        <v>11</v>
      </c>
      <c r="B1497" s="862">
        <v>44530</v>
      </c>
      <c r="C1497" s="493" t="s">
        <v>1980</v>
      </c>
      <c r="D1497" s="376" t="str">
        <f>IFERROR(VLOOKUP(E:E,'Item Data Support Sheet'!A:O,7,0),"")</f>
        <v>CAP MOLDED</v>
      </c>
      <c r="E1497" s="447" t="s">
        <v>2108</v>
      </c>
      <c r="F1497" s="500" t="s">
        <v>4140</v>
      </c>
      <c r="G1497" s="497"/>
      <c r="H1497" s="602" t="str">
        <f>IFERROR(VLOOKUP(E:E,'Item Data Support Sheet'!A:O,2,0),"")</f>
        <v>CAP S TYPE MOLDED BLUE</v>
      </c>
      <c r="I1497" s="501" t="s">
        <v>4267</v>
      </c>
      <c r="J1497" s="501" t="s">
        <v>2808</v>
      </c>
      <c r="K1497" s="499">
        <v>8</v>
      </c>
      <c r="L1497" s="499">
        <v>4137</v>
      </c>
      <c r="M1497" s="366">
        <v>517.125</v>
      </c>
      <c r="N1497" s="367">
        <f t="shared" si="403"/>
        <v>5008</v>
      </c>
      <c r="O1497" s="61">
        <v>5000</v>
      </c>
      <c r="P1497" s="368">
        <v>0</v>
      </c>
      <c r="Q1497" s="368">
        <v>0</v>
      </c>
      <c r="R1497" s="494">
        <v>0</v>
      </c>
      <c r="S1497" s="493">
        <v>0</v>
      </c>
      <c r="T1497" s="494">
        <v>0</v>
      </c>
      <c r="U1497" s="493">
        <v>8</v>
      </c>
      <c r="V1497" s="502">
        <v>1</v>
      </c>
      <c r="W1497" s="453">
        <f t="shared" si="405"/>
        <v>5000</v>
      </c>
      <c r="X1497" s="748">
        <f t="shared" si="406"/>
        <v>1.2086052695189751</v>
      </c>
      <c r="Y1497" s="451" t="str">
        <f>IFERROR(VLOOKUP(E:E,'Item Data Support Sheet'!A:J,6,0),0)</f>
        <v>RM000114</v>
      </c>
      <c r="Z1497" s="428">
        <f>IFERROR(VLOOKUP(E:E,'Item Data Support Sheet'!A:O,4,0),0)</f>
        <v>7.3</v>
      </c>
      <c r="AA1497" s="428">
        <f t="shared" si="407"/>
        <v>36.558399999999999</v>
      </c>
      <c r="AB1497" s="429">
        <f t="shared" si="408"/>
        <v>0.99840255591054317</v>
      </c>
      <c r="AC1497" s="424">
        <f t="shared" si="409"/>
        <v>0</v>
      </c>
      <c r="AD1497" s="371">
        <f t="shared" si="410"/>
        <v>0</v>
      </c>
      <c r="AE1497" s="748">
        <f t="shared" si="411"/>
        <v>1</v>
      </c>
      <c r="AF1497" s="417">
        <f t="shared" si="412"/>
        <v>0</v>
      </c>
      <c r="AG1497" s="416">
        <f t="shared" si="413"/>
        <v>8</v>
      </c>
      <c r="AH1497" s="372">
        <f t="shared" si="414"/>
        <v>1</v>
      </c>
      <c r="AI1497" s="373">
        <f t="shared" si="415"/>
        <v>625</v>
      </c>
      <c r="AJ1497" s="418">
        <f>VLOOKUP(D1497,'Standard Cycle time'!C:D,2,0)</f>
        <v>6</v>
      </c>
      <c r="AK1497" s="418">
        <f t="shared" si="416"/>
        <v>5.76</v>
      </c>
      <c r="AL1497" s="374">
        <f t="shared" si="417"/>
        <v>1.0416666666666667</v>
      </c>
      <c r="AM1497" s="372">
        <f t="shared" si="418"/>
        <v>1.0416666666666667</v>
      </c>
      <c r="AN1497" s="799">
        <v>1.0416666666666667</v>
      </c>
      <c r="AO1497" s="448"/>
      <c r="AP1497" s="440">
        <v>0</v>
      </c>
      <c r="AQ1497" s="440">
        <v>0</v>
      </c>
      <c r="AR1497" s="440">
        <v>0</v>
      </c>
      <c r="AS1497" s="440">
        <v>0</v>
      </c>
      <c r="AT1497" s="440">
        <v>0</v>
      </c>
      <c r="AU1497" s="440">
        <v>0</v>
      </c>
      <c r="AV1497" s="440">
        <v>0</v>
      </c>
      <c r="AW1497" s="440">
        <v>0</v>
      </c>
      <c r="AX1497" s="440">
        <v>0</v>
      </c>
      <c r="AY1497" s="440">
        <v>0</v>
      </c>
      <c r="AZ1497" s="440">
        <v>0</v>
      </c>
      <c r="BA1497" s="440">
        <v>0</v>
      </c>
      <c r="BB1497" s="440">
        <v>0</v>
      </c>
      <c r="BC1497" s="440">
        <v>0</v>
      </c>
      <c r="BD1497" s="440">
        <v>0</v>
      </c>
      <c r="BE1497" s="440">
        <v>0</v>
      </c>
      <c r="BF1497" s="440">
        <v>0</v>
      </c>
      <c r="BG1497" s="440">
        <v>0</v>
      </c>
      <c r="BH1497" s="440">
        <v>0</v>
      </c>
      <c r="BI1497" s="440">
        <v>0</v>
      </c>
      <c r="BJ1497" s="440">
        <v>0</v>
      </c>
      <c r="BK1497" s="440">
        <v>0</v>
      </c>
      <c r="BL1497" s="440">
        <v>0</v>
      </c>
      <c r="BM1497" s="440">
        <v>0</v>
      </c>
      <c r="BN1497" s="440">
        <v>0</v>
      </c>
      <c r="BO1497" s="440">
        <v>0</v>
      </c>
      <c r="BP1497" s="440">
        <v>0</v>
      </c>
      <c r="BQ1497" s="440">
        <v>0</v>
      </c>
      <c r="BR1497" s="415">
        <v>0</v>
      </c>
      <c r="BS1497" s="415">
        <v>0</v>
      </c>
      <c r="BT1497" s="935"/>
      <c r="BU1497" s="935"/>
      <c r="BV1497" s="935"/>
      <c r="BW1497" s="935"/>
      <c r="BX1497" s="935"/>
      <c r="BY1497" s="935"/>
      <c r="BZ1497" s="935"/>
      <c r="CA1497" s="935"/>
      <c r="CB1497" s="935"/>
      <c r="CC1497" s="935"/>
      <c r="CD1497" s="935"/>
      <c r="CE1497" s="935"/>
      <c r="CF1497" s="935"/>
      <c r="CG1497" s="935"/>
      <c r="CH1497" s="935"/>
      <c r="CI1497" s="935"/>
      <c r="CJ1497" s="935"/>
      <c r="CK1497" s="935"/>
      <c r="CL1497" s="935"/>
      <c r="CM1497" s="935"/>
      <c r="CN1497" s="935"/>
      <c r="CO1497" s="935"/>
      <c r="CP1497" s="935"/>
      <c r="CQ1497" s="935"/>
      <c r="CR1497" s="935"/>
      <c r="CS1497" s="935"/>
      <c r="CT1497" s="935"/>
      <c r="CU1497" s="935"/>
      <c r="CV1497" s="935"/>
    </row>
    <row r="1498" spans="1:100" s="441" customFormat="1">
      <c r="A1498" s="375">
        <f t="shared" si="404"/>
        <v>11</v>
      </c>
      <c r="B1498" s="862">
        <v>44530</v>
      </c>
      <c r="C1498" s="493" t="s">
        <v>2000</v>
      </c>
      <c r="D1498" s="376" t="str">
        <f>IFERROR(VLOOKUP(E:E,'Item Data Support Sheet'!A:O,7,0),"")</f>
        <v>BOTTLE PRINTED</v>
      </c>
      <c r="E1498" s="447" t="s">
        <v>69</v>
      </c>
      <c r="F1498" s="500"/>
      <c r="G1498" s="497"/>
      <c r="H1498" s="602" t="str">
        <f>IFERROR(VLOOKUP(E:E,'Item Data Support Sheet'!A:O,2,0),"")</f>
        <v>KPP 120 ML BOTTLE PRINTED</v>
      </c>
      <c r="I1498" s="501" t="s">
        <v>4268</v>
      </c>
      <c r="J1498" s="501" t="s">
        <v>2811</v>
      </c>
      <c r="K1498" s="499">
        <v>8</v>
      </c>
      <c r="L1498" s="499">
        <v>5100</v>
      </c>
      <c r="M1498" s="366">
        <v>637.5</v>
      </c>
      <c r="N1498" s="367">
        <f t="shared" si="403"/>
        <v>5634</v>
      </c>
      <c r="O1498" s="61">
        <v>5580</v>
      </c>
      <c r="P1498" s="368">
        <v>0</v>
      </c>
      <c r="Q1498" s="368">
        <v>0</v>
      </c>
      <c r="R1498" s="494">
        <v>52</v>
      </c>
      <c r="S1498" s="493">
        <v>0</v>
      </c>
      <c r="T1498" s="494">
        <v>54</v>
      </c>
      <c r="U1498" s="493">
        <v>0</v>
      </c>
      <c r="V1498" s="502">
        <v>1</v>
      </c>
      <c r="W1498" s="453">
        <f t="shared" si="405"/>
        <v>5580</v>
      </c>
      <c r="X1498" s="748">
        <f t="shared" si="406"/>
        <v>1.0941176470588236</v>
      </c>
      <c r="Y1498" s="451" t="str">
        <f>IFERROR(VLOOKUP(E:E,'Item Data Support Sheet'!A:J,6,0),0)</f>
        <v>FO001</v>
      </c>
      <c r="Z1498" s="428">
        <f>IFERROR(VLOOKUP(E:E,'Item Data Support Sheet'!A:O,4,0),0)</f>
        <v>0</v>
      </c>
      <c r="AA1498" s="428">
        <f t="shared" si="407"/>
        <v>0</v>
      </c>
      <c r="AB1498" s="429" t="str">
        <f t="shared" si="408"/>
        <v xml:space="preserve"> </v>
      </c>
      <c r="AC1498" s="424">
        <f t="shared" si="409"/>
        <v>9.5846645367412137E-3</v>
      </c>
      <c r="AD1498" s="371">
        <f t="shared" si="410"/>
        <v>0</v>
      </c>
      <c r="AE1498" s="748">
        <f t="shared" si="411"/>
        <v>0.99041533546325877</v>
      </c>
      <c r="AF1498" s="417">
        <f t="shared" si="412"/>
        <v>0.83333333333333337</v>
      </c>
      <c r="AG1498" s="416">
        <f t="shared" si="413"/>
        <v>7.166666666666667</v>
      </c>
      <c r="AH1498" s="372">
        <f t="shared" si="414"/>
        <v>0.89583333333333337</v>
      </c>
      <c r="AI1498" s="373">
        <f t="shared" si="415"/>
        <v>697.5</v>
      </c>
      <c r="AJ1498" s="418">
        <f>VLOOKUP(D1498,'Standard Cycle time'!C:D,2,0)</f>
        <v>32.4</v>
      </c>
      <c r="AK1498" s="418">
        <f t="shared" si="416"/>
        <v>4.623655913978495</v>
      </c>
      <c r="AL1498" s="374">
        <f t="shared" si="417"/>
        <v>7.0074418604651152</v>
      </c>
      <c r="AM1498" s="372">
        <f t="shared" si="418"/>
        <v>6.2173322683706065</v>
      </c>
      <c r="AN1498" s="799">
        <v>6.2173322683706065</v>
      </c>
      <c r="AO1498" s="448"/>
      <c r="AP1498" s="440">
        <v>50</v>
      </c>
      <c r="AQ1498" s="440">
        <v>0</v>
      </c>
      <c r="AR1498" s="440">
        <v>0</v>
      </c>
      <c r="AS1498" s="440">
        <v>0</v>
      </c>
      <c r="AT1498" s="440">
        <v>0</v>
      </c>
      <c r="AU1498" s="440">
        <v>0</v>
      </c>
      <c r="AV1498" s="440">
        <v>0</v>
      </c>
      <c r="AW1498" s="440">
        <v>0</v>
      </c>
      <c r="AX1498" s="440">
        <v>0</v>
      </c>
      <c r="AY1498" s="440">
        <v>0</v>
      </c>
      <c r="AZ1498" s="440">
        <v>0</v>
      </c>
      <c r="BA1498" s="440">
        <v>0</v>
      </c>
      <c r="BB1498" s="440">
        <v>0</v>
      </c>
      <c r="BC1498" s="440">
        <v>0</v>
      </c>
      <c r="BD1498" s="440">
        <v>0</v>
      </c>
      <c r="BE1498" s="440">
        <v>0</v>
      </c>
      <c r="BF1498" s="440">
        <v>0</v>
      </c>
      <c r="BG1498" s="440">
        <v>0</v>
      </c>
      <c r="BH1498" s="440">
        <v>0</v>
      </c>
      <c r="BI1498" s="440">
        <v>0</v>
      </c>
      <c r="BJ1498" s="440">
        <v>0</v>
      </c>
      <c r="BK1498" s="440">
        <v>0</v>
      </c>
      <c r="BL1498" s="440">
        <v>0</v>
      </c>
      <c r="BM1498" s="440">
        <v>0</v>
      </c>
      <c r="BN1498" s="440">
        <v>0</v>
      </c>
      <c r="BO1498" s="440">
        <v>0</v>
      </c>
      <c r="BP1498" s="440">
        <v>0</v>
      </c>
      <c r="BQ1498" s="440">
        <v>0</v>
      </c>
      <c r="BR1498" s="415">
        <v>0.83333333333333337</v>
      </c>
      <c r="BS1498" s="415">
        <v>0.83333333333333337</v>
      </c>
      <c r="BT1498" s="935"/>
      <c r="BU1498" s="935"/>
      <c r="BV1498" s="935"/>
      <c r="BW1498" s="935"/>
      <c r="BX1498" s="935"/>
      <c r="BY1498" s="935"/>
      <c r="BZ1498" s="935"/>
      <c r="CA1498" s="935"/>
      <c r="CB1498" s="935"/>
      <c r="CC1498" s="935"/>
      <c r="CD1498" s="935"/>
      <c r="CE1498" s="935"/>
      <c r="CF1498" s="935"/>
      <c r="CG1498" s="935"/>
      <c r="CH1498" s="935"/>
      <c r="CI1498" s="935"/>
      <c r="CJ1498" s="935"/>
      <c r="CK1498" s="935"/>
      <c r="CL1498" s="935"/>
      <c r="CM1498" s="935"/>
      <c r="CN1498" s="935"/>
      <c r="CO1498" s="935"/>
      <c r="CP1498" s="935"/>
      <c r="CQ1498" s="935"/>
      <c r="CR1498" s="935"/>
      <c r="CS1498" s="935"/>
      <c r="CT1498" s="935"/>
      <c r="CU1498" s="935"/>
      <c r="CV1498" s="935"/>
    </row>
    <row r="1499" spans="1:100" s="441" customFormat="1">
      <c r="A1499" s="375">
        <f t="shared" si="404"/>
        <v>11</v>
      </c>
      <c r="B1499" s="862">
        <v>44530</v>
      </c>
      <c r="C1499" s="493" t="s">
        <v>2000</v>
      </c>
      <c r="D1499" s="376" t="str">
        <f>IFERROR(VLOOKUP(E:E,'Item Data Support Sheet'!A:O,7,0),"")</f>
        <v>NIPPLE PUNCH INSPECTED</v>
      </c>
      <c r="E1499" s="447" t="s">
        <v>1820</v>
      </c>
      <c r="F1499" s="500"/>
      <c r="G1499" s="497"/>
      <c r="H1499" s="602" t="str">
        <f>IFERROR(VLOOKUP(E:E,'Item Data Support Sheet'!A:O,2,0),"")</f>
        <v>NIPPLE S TYPE L SIZE PUNCHED INSPECTED</v>
      </c>
      <c r="I1499" s="501" t="s">
        <v>4269</v>
      </c>
      <c r="J1499" s="501" t="s">
        <v>2811</v>
      </c>
      <c r="K1499" s="499">
        <v>8</v>
      </c>
      <c r="L1499" s="499">
        <v>19000</v>
      </c>
      <c r="M1499" s="366">
        <v>2375</v>
      </c>
      <c r="N1499" s="367">
        <f t="shared" si="403"/>
        <v>20800</v>
      </c>
      <c r="O1499" s="61">
        <v>20691</v>
      </c>
      <c r="P1499" s="368">
        <v>0</v>
      </c>
      <c r="Q1499" s="368">
        <v>0</v>
      </c>
      <c r="R1499" s="494">
        <v>0</v>
      </c>
      <c r="S1499" s="493">
        <v>0</v>
      </c>
      <c r="T1499" s="494">
        <v>109</v>
      </c>
      <c r="U1499" s="493">
        <v>0</v>
      </c>
      <c r="V1499" s="502">
        <v>2</v>
      </c>
      <c r="W1499" s="453">
        <f t="shared" si="405"/>
        <v>10345.5</v>
      </c>
      <c r="X1499" s="748">
        <f t="shared" si="406"/>
        <v>1.089</v>
      </c>
      <c r="Y1499" s="451" t="str">
        <f>IFERROR(VLOOKUP(E:E,'Item Data Support Sheet'!A:J,6,0),0)</f>
        <v>FO106</v>
      </c>
      <c r="Z1499" s="428">
        <f>IFERROR(VLOOKUP(E:E,'Item Data Support Sheet'!A:O,4,0),0)</f>
        <v>0</v>
      </c>
      <c r="AA1499" s="428">
        <f t="shared" si="407"/>
        <v>0</v>
      </c>
      <c r="AB1499" s="429" t="str">
        <f t="shared" si="408"/>
        <v xml:space="preserve"> </v>
      </c>
      <c r="AC1499" s="424">
        <f t="shared" si="409"/>
        <v>5.2403846153846155E-3</v>
      </c>
      <c r="AD1499" s="371">
        <f t="shared" si="410"/>
        <v>0</v>
      </c>
      <c r="AE1499" s="748">
        <f t="shared" si="411"/>
        <v>0.99475961538461544</v>
      </c>
      <c r="AF1499" s="417">
        <f t="shared" si="412"/>
        <v>0.83333333333333337</v>
      </c>
      <c r="AG1499" s="416">
        <f t="shared" si="413"/>
        <v>7.166666666666667</v>
      </c>
      <c r="AH1499" s="372">
        <f t="shared" si="414"/>
        <v>0.89583333333333337</v>
      </c>
      <c r="AI1499" s="373">
        <f t="shared" si="415"/>
        <v>2586.375</v>
      </c>
      <c r="AJ1499" s="418">
        <f>VLOOKUP(D1499,'Standard Cycle time'!C:D,2,0)</f>
        <v>4</v>
      </c>
      <c r="AK1499" s="418">
        <f t="shared" si="416"/>
        <v>2.493837900536465</v>
      </c>
      <c r="AL1499" s="374">
        <f t="shared" si="417"/>
        <v>1.6039534883720932</v>
      </c>
      <c r="AM1499" s="372">
        <f t="shared" si="418"/>
        <v>1.4293452223557694</v>
      </c>
      <c r="AN1499" s="799">
        <v>1.4293452223557694</v>
      </c>
      <c r="AO1499" s="448"/>
      <c r="AP1499" s="440">
        <v>50</v>
      </c>
      <c r="AQ1499" s="440">
        <v>0</v>
      </c>
      <c r="AR1499" s="440">
        <v>0</v>
      </c>
      <c r="AS1499" s="440">
        <v>0</v>
      </c>
      <c r="AT1499" s="440">
        <v>0</v>
      </c>
      <c r="AU1499" s="440">
        <v>0</v>
      </c>
      <c r="AV1499" s="440">
        <v>0</v>
      </c>
      <c r="AW1499" s="440">
        <v>0</v>
      </c>
      <c r="AX1499" s="440">
        <v>0</v>
      </c>
      <c r="AY1499" s="440">
        <v>0</v>
      </c>
      <c r="AZ1499" s="440">
        <v>0</v>
      </c>
      <c r="BA1499" s="440">
        <v>0</v>
      </c>
      <c r="BB1499" s="440">
        <v>0</v>
      </c>
      <c r="BC1499" s="440">
        <v>0</v>
      </c>
      <c r="BD1499" s="440">
        <v>0</v>
      </c>
      <c r="BE1499" s="440">
        <v>0</v>
      </c>
      <c r="BF1499" s="440">
        <v>0</v>
      </c>
      <c r="BG1499" s="440">
        <v>0</v>
      </c>
      <c r="BH1499" s="440">
        <v>0</v>
      </c>
      <c r="BI1499" s="440">
        <v>0</v>
      </c>
      <c r="BJ1499" s="440">
        <v>0</v>
      </c>
      <c r="BK1499" s="440">
        <v>0</v>
      </c>
      <c r="BL1499" s="440">
        <v>0</v>
      </c>
      <c r="BM1499" s="440">
        <v>0</v>
      </c>
      <c r="BN1499" s="440">
        <v>0</v>
      </c>
      <c r="BO1499" s="440">
        <v>0</v>
      </c>
      <c r="BP1499" s="440">
        <v>0</v>
      </c>
      <c r="BQ1499" s="440">
        <v>0</v>
      </c>
      <c r="BR1499" s="415">
        <v>0.83333333333333337</v>
      </c>
      <c r="BS1499" s="415">
        <v>0.83333333333333337</v>
      </c>
      <c r="BT1499" s="935"/>
      <c r="BU1499" s="935"/>
      <c r="BV1499" s="935"/>
      <c r="BW1499" s="935"/>
      <c r="BX1499" s="935"/>
      <c r="BY1499" s="935"/>
      <c r="BZ1499" s="935"/>
      <c r="CA1499" s="935"/>
      <c r="CB1499" s="935"/>
      <c r="CC1499" s="935"/>
      <c r="CD1499" s="935"/>
      <c r="CE1499" s="935"/>
      <c r="CF1499" s="935"/>
      <c r="CG1499" s="935"/>
      <c r="CH1499" s="935"/>
      <c r="CI1499" s="935"/>
      <c r="CJ1499" s="935"/>
      <c r="CK1499" s="935"/>
      <c r="CL1499" s="935"/>
      <c r="CM1499" s="935"/>
      <c r="CN1499" s="935"/>
      <c r="CO1499" s="935"/>
      <c r="CP1499" s="935"/>
      <c r="CQ1499" s="935"/>
      <c r="CR1499" s="935"/>
      <c r="CS1499" s="935"/>
      <c r="CT1499" s="935"/>
      <c r="CU1499" s="935"/>
      <c r="CV1499" s="935"/>
    </row>
    <row r="1500" spans="1:100" s="441" customFormat="1">
      <c r="A1500" s="375">
        <f t="shared" si="404"/>
        <v>11</v>
      </c>
      <c r="B1500" s="862">
        <v>44530</v>
      </c>
      <c r="C1500" s="493" t="s">
        <v>2000</v>
      </c>
      <c r="D1500" s="376" t="str">
        <f>IFERROR(VLOOKUP(E:E,'Item Data Support Sheet'!A:O,7,0),"")</f>
        <v>NIPPLE WRAP PRINTED</v>
      </c>
      <c r="E1500" s="447" t="s">
        <v>2091</v>
      </c>
      <c r="F1500" s="500"/>
      <c r="G1500" s="497" t="s">
        <v>1693</v>
      </c>
      <c r="H1500" s="602" t="str">
        <f>IFERROR(VLOOKUP(E:E,'Item Data Support Sheet'!A:O,2,0),"")</f>
        <v>NIPPLE S TYPE LL SIZE WRAPPED</v>
      </c>
      <c r="I1500" s="501" t="s">
        <v>4202</v>
      </c>
      <c r="J1500" s="501" t="s">
        <v>2811</v>
      </c>
      <c r="K1500" s="499">
        <v>8</v>
      </c>
      <c r="L1500" s="499">
        <v>16171</v>
      </c>
      <c r="M1500" s="366">
        <v>2021.375</v>
      </c>
      <c r="N1500" s="367">
        <f t="shared" si="403"/>
        <v>16748</v>
      </c>
      <c r="O1500" s="61">
        <v>16740</v>
      </c>
      <c r="P1500" s="368">
        <v>0</v>
      </c>
      <c r="Q1500" s="368">
        <v>0</v>
      </c>
      <c r="R1500" s="494">
        <v>0</v>
      </c>
      <c r="S1500" s="493">
        <v>0</v>
      </c>
      <c r="T1500" s="494">
        <v>8</v>
      </c>
      <c r="U1500" s="493">
        <v>0</v>
      </c>
      <c r="V1500" s="502">
        <v>2</v>
      </c>
      <c r="W1500" s="453">
        <f t="shared" si="405"/>
        <v>8370</v>
      </c>
      <c r="X1500" s="748">
        <f t="shared" si="406"/>
        <v>1.0351864448704471</v>
      </c>
      <c r="Y1500" s="451" t="str">
        <f>IFERROR(VLOOKUP(E:E,'Item Data Support Sheet'!A:J,6,0),0)</f>
        <v>FO141</v>
      </c>
      <c r="Z1500" s="428">
        <f>IFERROR(VLOOKUP(E:E,'Item Data Support Sheet'!A:O,4,0),0)</f>
        <v>0</v>
      </c>
      <c r="AA1500" s="428">
        <f t="shared" si="407"/>
        <v>0</v>
      </c>
      <c r="AB1500" s="429" t="str">
        <f t="shared" si="408"/>
        <v xml:space="preserve"> </v>
      </c>
      <c r="AC1500" s="424">
        <f t="shared" si="409"/>
        <v>4.7766897540004778E-4</v>
      </c>
      <c r="AD1500" s="371">
        <f t="shared" si="410"/>
        <v>0</v>
      </c>
      <c r="AE1500" s="748">
        <f t="shared" si="411"/>
        <v>0.99952233102459997</v>
      </c>
      <c r="AF1500" s="417">
        <f t="shared" si="412"/>
        <v>0.83333333333333337</v>
      </c>
      <c r="AG1500" s="416">
        <f t="shared" si="413"/>
        <v>7.166666666666667</v>
      </c>
      <c r="AH1500" s="372">
        <f t="shared" si="414"/>
        <v>0.89583333333333337</v>
      </c>
      <c r="AI1500" s="373">
        <f t="shared" si="415"/>
        <v>2092.5</v>
      </c>
      <c r="AJ1500" s="418">
        <f>VLOOKUP(D1500,'Standard Cycle time'!C:D,2,0)</f>
        <v>2.5</v>
      </c>
      <c r="AK1500" s="418">
        <f t="shared" si="416"/>
        <v>3.0824372759856629</v>
      </c>
      <c r="AL1500" s="374">
        <f t="shared" si="417"/>
        <v>0.81104651162790709</v>
      </c>
      <c r="AM1500" s="372">
        <f t="shared" si="418"/>
        <v>0.72621544363506108</v>
      </c>
      <c r="AN1500" s="799">
        <v>0.72621544363506108</v>
      </c>
      <c r="AO1500" s="448"/>
      <c r="AP1500" s="440">
        <v>50</v>
      </c>
      <c r="AQ1500" s="440">
        <v>0</v>
      </c>
      <c r="AR1500" s="440">
        <v>0</v>
      </c>
      <c r="AS1500" s="440">
        <v>0</v>
      </c>
      <c r="AT1500" s="440">
        <v>0</v>
      </c>
      <c r="AU1500" s="440">
        <v>0</v>
      </c>
      <c r="AV1500" s="440">
        <v>0</v>
      </c>
      <c r="AW1500" s="440">
        <v>0</v>
      </c>
      <c r="AX1500" s="440">
        <v>0</v>
      </c>
      <c r="AY1500" s="440">
        <v>0</v>
      </c>
      <c r="AZ1500" s="440">
        <v>0</v>
      </c>
      <c r="BA1500" s="440">
        <v>0</v>
      </c>
      <c r="BB1500" s="440">
        <v>0</v>
      </c>
      <c r="BC1500" s="440">
        <v>0</v>
      </c>
      <c r="BD1500" s="440">
        <v>0</v>
      </c>
      <c r="BE1500" s="440">
        <v>0</v>
      </c>
      <c r="BF1500" s="440">
        <v>0</v>
      </c>
      <c r="BG1500" s="440">
        <v>0</v>
      </c>
      <c r="BH1500" s="440">
        <v>0</v>
      </c>
      <c r="BI1500" s="440">
        <v>0</v>
      </c>
      <c r="BJ1500" s="440">
        <v>0</v>
      </c>
      <c r="BK1500" s="440">
        <v>0</v>
      </c>
      <c r="BL1500" s="440">
        <v>0</v>
      </c>
      <c r="BM1500" s="440">
        <v>0</v>
      </c>
      <c r="BN1500" s="440">
        <v>0</v>
      </c>
      <c r="BO1500" s="440">
        <v>0</v>
      </c>
      <c r="BP1500" s="440">
        <v>0</v>
      </c>
      <c r="BQ1500" s="440">
        <v>0</v>
      </c>
      <c r="BR1500" s="415">
        <v>0.83333333333333337</v>
      </c>
      <c r="BS1500" s="415">
        <v>0.83333333333333337</v>
      </c>
      <c r="BT1500" s="935"/>
      <c r="BU1500" s="935"/>
      <c r="BV1500" s="935"/>
      <c r="BW1500" s="935"/>
      <c r="BX1500" s="935"/>
      <c r="BY1500" s="935"/>
      <c r="BZ1500" s="935"/>
      <c r="CA1500" s="935"/>
      <c r="CB1500" s="935"/>
      <c r="CC1500" s="935"/>
      <c r="CD1500" s="935"/>
      <c r="CE1500" s="935"/>
      <c r="CF1500" s="935"/>
      <c r="CG1500" s="935"/>
      <c r="CH1500" s="935"/>
      <c r="CI1500" s="935"/>
      <c r="CJ1500" s="935"/>
      <c r="CK1500" s="935"/>
      <c r="CL1500" s="935"/>
      <c r="CM1500" s="935"/>
      <c r="CN1500" s="935"/>
      <c r="CO1500" s="935"/>
      <c r="CP1500" s="935"/>
      <c r="CQ1500" s="935"/>
      <c r="CR1500" s="935"/>
      <c r="CS1500" s="935"/>
      <c r="CT1500" s="935"/>
      <c r="CU1500" s="935"/>
      <c r="CV1500" s="935"/>
    </row>
    <row r="1501" spans="1:100" s="441" customFormat="1">
      <c r="A1501" s="375">
        <f t="shared" si="404"/>
        <v>11</v>
      </c>
      <c r="B1501" s="862">
        <v>44530</v>
      </c>
      <c r="C1501" s="493" t="s">
        <v>2001</v>
      </c>
      <c r="D1501" s="376" t="str">
        <f>IFERROR(VLOOKUP(E:E,'Item Data Support Sheet'!A:O,7,0),"")</f>
        <v>CAP MOLDED</v>
      </c>
      <c r="E1501" s="447" t="s">
        <v>2108</v>
      </c>
      <c r="F1501" s="500" t="s">
        <v>4140</v>
      </c>
      <c r="G1501" s="497" t="s">
        <v>2729</v>
      </c>
      <c r="H1501" s="602" t="str">
        <f>IFERROR(VLOOKUP(E:E,'Item Data Support Sheet'!A:O,2,0),"")</f>
        <v>CAP S TYPE MOLDED BLUE</v>
      </c>
      <c r="I1501" s="501" t="s">
        <v>4270</v>
      </c>
      <c r="J1501" s="501" t="s">
        <v>2811</v>
      </c>
      <c r="K1501" s="499">
        <v>8</v>
      </c>
      <c r="L1501" s="499">
        <v>4137</v>
      </c>
      <c r="M1501" s="366">
        <v>517.125</v>
      </c>
      <c r="N1501" s="367">
        <f t="shared" si="403"/>
        <v>5008</v>
      </c>
      <c r="O1501" s="61">
        <v>5000</v>
      </c>
      <c r="P1501" s="368">
        <v>0</v>
      </c>
      <c r="Q1501" s="368">
        <v>4</v>
      </c>
      <c r="R1501" s="494">
        <v>0</v>
      </c>
      <c r="S1501" s="493">
        <v>0</v>
      </c>
      <c r="T1501" s="494">
        <v>4</v>
      </c>
      <c r="U1501" s="493">
        <v>0</v>
      </c>
      <c r="V1501" s="502">
        <v>1</v>
      </c>
      <c r="W1501" s="453">
        <f t="shared" si="405"/>
        <v>5000</v>
      </c>
      <c r="X1501" s="748">
        <f t="shared" si="406"/>
        <v>1.2086052695189751</v>
      </c>
      <c r="Y1501" s="451" t="str">
        <f>IFERROR(VLOOKUP(E:E,'Item Data Support Sheet'!A:J,6,0),0)</f>
        <v>RM000114</v>
      </c>
      <c r="Z1501" s="428">
        <f>IFERROR(VLOOKUP(E:E,'Item Data Support Sheet'!A:O,4,0),0)</f>
        <v>7.3</v>
      </c>
      <c r="AA1501" s="428">
        <f t="shared" si="407"/>
        <v>36.558399999999999</v>
      </c>
      <c r="AB1501" s="429">
        <f t="shared" si="408"/>
        <v>0.99840255591054317</v>
      </c>
      <c r="AC1501" s="424">
        <f t="shared" si="409"/>
        <v>7.993605115907274E-4</v>
      </c>
      <c r="AD1501" s="371">
        <f t="shared" si="410"/>
        <v>7.9808459696727857E-4</v>
      </c>
      <c r="AE1501" s="748">
        <f t="shared" si="411"/>
        <v>0.99920127795527158</v>
      </c>
      <c r="AF1501" s="417">
        <f t="shared" si="412"/>
        <v>0</v>
      </c>
      <c r="AG1501" s="416">
        <f t="shared" si="413"/>
        <v>8</v>
      </c>
      <c r="AH1501" s="372">
        <f t="shared" si="414"/>
        <v>1</v>
      </c>
      <c r="AI1501" s="373">
        <f t="shared" si="415"/>
        <v>625</v>
      </c>
      <c r="AJ1501" s="418">
        <f>VLOOKUP(D1501,'Standard Cycle time'!C:D,2,0)</f>
        <v>6</v>
      </c>
      <c r="AK1501" s="418">
        <f t="shared" si="416"/>
        <v>5.76</v>
      </c>
      <c r="AL1501" s="374">
        <f t="shared" si="417"/>
        <v>1.0416666666666667</v>
      </c>
      <c r="AM1501" s="372">
        <f t="shared" si="418"/>
        <v>1.0408346645367412</v>
      </c>
      <c r="AN1501" s="799">
        <v>1.0408346645367412</v>
      </c>
      <c r="AO1501" s="448"/>
      <c r="AP1501" s="440">
        <v>0</v>
      </c>
      <c r="AQ1501" s="440">
        <v>0</v>
      </c>
      <c r="AR1501" s="440">
        <v>0</v>
      </c>
      <c r="AS1501" s="440">
        <v>0</v>
      </c>
      <c r="AT1501" s="440">
        <v>0</v>
      </c>
      <c r="AU1501" s="440">
        <v>0</v>
      </c>
      <c r="AV1501" s="440">
        <v>0</v>
      </c>
      <c r="AW1501" s="440">
        <v>0</v>
      </c>
      <c r="AX1501" s="440">
        <v>0</v>
      </c>
      <c r="AY1501" s="440">
        <v>0</v>
      </c>
      <c r="AZ1501" s="440">
        <v>0</v>
      </c>
      <c r="BA1501" s="440">
        <v>0</v>
      </c>
      <c r="BB1501" s="440">
        <v>0</v>
      </c>
      <c r="BC1501" s="440">
        <v>0</v>
      </c>
      <c r="BD1501" s="440">
        <v>0</v>
      </c>
      <c r="BE1501" s="440">
        <v>0</v>
      </c>
      <c r="BF1501" s="440">
        <v>0</v>
      </c>
      <c r="BG1501" s="440">
        <v>0</v>
      </c>
      <c r="BH1501" s="440">
        <v>0</v>
      </c>
      <c r="BI1501" s="440">
        <v>0</v>
      </c>
      <c r="BJ1501" s="440">
        <v>0</v>
      </c>
      <c r="BK1501" s="440">
        <v>0</v>
      </c>
      <c r="BL1501" s="440">
        <v>0</v>
      </c>
      <c r="BM1501" s="440">
        <v>0</v>
      </c>
      <c r="BN1501" s="440">
        <v>0</v>
      </c>
      <c r="BO1501" s="440">
        <v>0</v>
      </c>
      <c r="BP1501" s="440">
        <v>0</v>
      </c>
      <c r="BQ1501" s="440">
        <v>0</v>
      </c>
      <c r="BR1501" s="415">
        <v>0</v>
      </c>
      <c r="BS1501" s="415">
        <v>0</v>
      </c>
      <c r="BT1501" s="935"/>
      <c r="BU1501" s="935"/>
      <c r="BV1501" s="935"/>
      <c r="BW1501" s="935"/>
      <c r="BX1501" s="935"/>
      <c r="BY1501" s="935"/>
      <c r="BZ1501" s="935"/>
      <c r="CA1501" s="935"/>
      <c r="CB1501" s="935"/>
      <c r="CC1501" s="935"/>
      <c r="CD1501" s="935"/>
      <c r="CE1501" s="935"/>
      <c r="CF1501" s="935"/>
      <c r="CG1501" s="935"/>
      <c r="CH1501" s="935"/>
      <c r="CI1501" s="935"/>
      <c r="CJ1501" s="935"/>
      <c r="CK1501" s="935"/>
      <c r="CL1501" s="935"/>
      <c r="CM1501" s="935"/>
      <c r="CN1501" s="935"/>
      <c r="CO1501" s="935"/>
      <c r="CP1501" s="935"/>
      <c r="CQ1501" s="935"/>
      <c r="CR1501" s="935"/>
      <c r="CS1501" s="935"/>
      <c r="CT1501" s="935"/>
      <c r="CU1501" s="935"/>
      <c r="CV1501" s="935"/>
    </row>
    <row r="1502" spans="1:100" s="441" customFormat="1">
      <c r="A1502" s="375">
        <f t="shared" si="404"/>
        <v>11</v>
      </c>
      <c r="B1502" s="862">
        <v>44530</v>
      </c>
      <c r="C1502" s="493" t="s">
        <v>2001</v>
      </c>
      <c r="D1502" s="376" t="str">
        <f>IFERROR(VLOOKUP(E:E,'Item Data Support Sheet'!A:O,7,0),"")</f>
        <v>NIPPLE MOLDED</v>
      </c>
      <c r="E1502" s="447" t="s">
        <v>75</v>
      </c>
      <c r="F1502" s="500" t="s">
        <v>1677</v>
      </c>
      <c r="G1502" s="497" t="s">
        <v>1690</v>
      </c>
      <c r="H1502" s="602" t="str">
        <f>IFERROR(VLOOKUP(E:E,'Item Data Support Sheet'!A:O,2,0),"")</f>
        <v>NIPPLE S TYPE Y SIZE INJECTION</v>
      </c>
      <c r="I1502" s="501" t="s">
        <v>4271</v>
      </c>
      <c r="J1502" s="501" t="s">
        <v>2811</v>
      </c>
      <c r="K1502" s="499">
        <v>8</v>
      </c>
      <c r="L1502" s="499">
        <v>3611</v>
      </c>
      <c r="M1502" s="366">
        <v>451.375</v>
      </c>
      <c r="N1502" s="367">
        <f t="shared" si="403"/>
        <v>3633</v>
      </c>
      <c r="O1502" s="61">
        <v>3590</v>
      </c>
      <c r="P1502" s="368">
        <v>0</v>
      </c>
      <c r="Q1502" s="368">
        <v>0</v>
      </c>
      <c r="R1502" s="494">
        <v>0</v>
      </c>
      <c r="S1502" s="493">
        <v>0</v>
      </c>
      <c r="T1502" s="494">
        <v>43</v>
      </c>
      <c r="U1502" s="493">
        <v>0</v>
      </c>
      <c r="V1502" s="502">
        <v>1</v>
      </c>
      <c r="W1502" s="453">
        <f t="shared" si="405"/>
        <v>3590</v>
      </c>
      <c r="X1502" s="748">
        <f t="shared" si="406"/>
        <v>0.99418443644419829</v>
      </c>
      <c r="Y1502" s="451" t="str">
        <f>IFERROR(VLOOKUP(E:E,'Item Data Support Sheet'!A:J,6,0),0)</f>
        <v>Silicon</v>
      </c>
      <c r="Z1502" s="428">
        <f>IFERROR(VLOOKUP(E:E,'Item Data Support Sheet'!A:O,4,0),0)</f>
        <v>6.8</v>
      </c>
      <c r="AA1502" s="428">
        <f t="shared" si="407"/>
        <v>24.7044</v>
      </c>
      <c r="AB1502" s="429">
        <f t="shared" si="408"/>
        <v>0.9881640517478667</v>
      </c>
      <c r="AC1502" s="424">
        <f t="shared" si="409"/>
        <v>1.1835948252133223E-2</v>
      </c>
      <c r="AD1502" s="371">
        <f t="shared" si="410"/>
        <v>0</v>
      </c>
      <c r="AE1502" s="748">
        <f t="shared" si="411"/>
        <v>0.98816405174786681</v>
      </c>
      <c r="AF1502" s="417">
        <f t="shared" si="412"/>
        <v>0</v>
      </c>
      <c r="AG1502" s="416">
        <f t="shared" si="413"/>
        <v>8</v>
      </c>
      <c r="AH1502" s="372">
        <f t="shared" si="414"/>
        <v>1</v>
      </c>
      <c r="AI1502" s="373">
        <f t="shared" si="415"/>
        <v>448.75</v>
      </c>
      <c r="AJ1502" s="418">
        <f>VLOOKUP(D1502,'Standard Cycle time'!C:D,2,0)</f>
        <v>5.25</v>
      </c>
      <c r="AK1502" s="418">
        <f t="shared" si="416"/>
        <v>8.0222841225626738</v>
      </c>
      <c r="AL1502" s="374">
        <f t="shared" si="417"/>
        <v>0.65442708333333333</v>
      </c>
      <c r="AM1502" s="372">
        <f t="shared" si="418"/>
        <v>0.64668131824020558</v>
      </c>
      <c r="AN1502" s="799">
        <v>0.64668131824020558</v>
      </c>
      <c r="AO1502" s="448"/>
      <c r="AP1502" s="440">
        <v>0</v>
      </c>
      <c r="AQ1502" s="440">
        <v>0</v>
      </c>
      <c r="AR1502" s="440">
        <v>0</v>
      </c>
      <c r="AS1502" s="440">
        <v>0</v>
      </c>
      <c r="AT1502" s="440">
        <v>0</v>
      </c>
      <c r="AU1502" s="440">
        <v>0</v>
      </c>
      <c r="AV1502" s="440">
        <v>0</v>
      </c>
      <c r="AW1502" s="440">
        <v>0</v>
      </c>
      <c r="AX1502" s="440">
        <v>0</v>
      </c>
      <c r="AY1502" s="440">
        <v>0</v>
      </c>
      <c r="AZ1502" s="440">
        <v>0</v>
      </c>
      <c r="BA1502" s="440">
        <v>0</v>
      </c>
      <c r="BB1502" s="440">
        <v>0</v>
      </c>
      <c r="BC1502" s="440">
        <v>0</v>
      </c>
      <c r="BD1502" s="440">
        <v>0</v>
      </c>
      <c r="BE1502" s="440">
        <v>0</v>
      </c>
      <c r="BF1502" s="440">
        <v>0</v>
      </c>
      <c r="BG1502" s="440">
        <v>0</v>
      </c>
      <c r="BH1502" s="440">
        <v>0</v>
      </c>
      <c r="BI1502" s="440">
        <v>0</v>
      </c>
      <c r="BJ1502" s="440">
        <v>0</v>
      </c>
      <c r="BK1502" s="440">
        <v>0</v>
      </c>
      <c r="BL1502" s="440">
        <v>0</v>
      </c>
      <c r="BM1502" s="440">
        <v>0</v>
      </c>
      <c r="BN1502" s="440">
        <v>0</v>
      </c>
      <c r="BO1502" s="440">
        <v>0</v>
      </c>
      <c r="BP1502" s="440">
        <v>0</v>
      </c>
      <c r="BQ1502" s="440">
        <v>0</v>
      </c>
      <c r="BR1502" s="415">
        <v>0</v>
      </c>
      <c r="BS1502" s="415">
        <v>0</v>
      </c>
      <c r="BT1502" s="935"/>
      <c r="BU1502" s="935"/>
      <c r="BV1502" s="935"/>
      <c r="BW1502" s="935"/>
      <c r="BX1502" s="935"/>
      <c r="BY1502" s="935"/>
      <c r="BZ1502" s="935"/>
      <c r="CA1502" s="935"/>
      <c r="CB1502" s="935"/>
      <c r="CC1502" s="935"/>
      <c r="CD1502" s="935"/>
      <c r="CE1502" s="935"/>
      <c r="CF1502" s="935"/>
      <c r="CG1502" s="935"/>
      <c r="CH1502" s="935"/>
      <c r="CI1502" s="935"/>
      <c r="CJ1502" s="935"/>
      <c r="CK1502" s="935"/>
      <c r="CL1502" s="935"/>
      <c r="CM1502" s="935"/>
      <c r="CN1502" s="935"/>
      <c r="CO1502" s="935"/>
      <c r="CP1502" s="935"/>
      <c r="CQ1502" s="935"/>
      <c r="CR1502" s="935"/>
      <c r="CS1502" s="935"/>
      <c r="CT1502" s="935"/>
      <c r="CU1502" s="935"/>
      <c r="CV1502" s="935"/>
    </row>
    <row r="1503" spans="1:100" s="441" customFormat="1">
      <c r="A1503" s="375">
        <f t="shared" si="404"/>
        <v>11</v>
      </c>
      <c r="B1503" s="862">
        <v>44530</v>
      </c>
      <c r="C1503" s="493" t="s">
        <v>2001</v>
      </c>
      <c r="D1503" s="376" t="str">
        <f>IFERROR(VLOOKUP(E:E,'Item Data Support Sheet'!A:O,7,0),"")</f>
        <v>NIPPLE MOLDED</v>
      </c>
      <c r="E1503" s="447" t="s">
        <v>72</v>
      </c>
      <c r="F1503" s="500" t="s">
        <v>1678</v>
      </c>
      <c r="G1503" s="497" t="s">
        <v>1691</v>
      </c>
      <c r="H1503" s="602" t="str">
        <f>IFERROR(VLOOKUP(E:E,'Item Data Support Sheet'!A:O,2,0),"")</f>
        <v>NIPPLE S TYPE S SIZE INJECTION</v>
      </c>
      <c r="I1503" s="501" t="s">
        <v>4271</v>
      </c>
      <c r="J1503" s="501" t="s">
        <v>2811</v>
      </c>
      <c r="K1503" s="499">
        <v>8</v>
      </c>
      <c r="L1503" s="499">
        <v>4815</v>
      </c>
      <c r="M1503" s="366">
        <v>601.875</v>
      </c>
      <c r="N1503" s="367">
        <f t="shared" si="403"/>
        <v>5547</v>
      </c>
      <c r="O1503" s="61">
        <v>5500</v>
      </c>
      <c r="P1503" s="368">
        <v>0</v>
      </c>
      <c r="Q1503" s="368">
        <v>0</v>
      </c>
      <c r="R1503" s="494">
        <v>0</v>
      </c>
      <c r="S1503" s="493">
        <v>0</v>
      </c>
      <c r="T1503" s="494">
        <v>47</v>
      </c>
      <c r="U1503" s="493">
        <v>0</v>
      </c>
      <c r="V1503" s="502">
        <v>1</v>
      </c>
      <c r="W1503" s="453">
        <f t="shared" si="405"/>
        <v>5500</v>
      </c>
      <c r="X1503" s="748">
        <f t="shared" si="406"/>
        <v>1.142263759086189</v>
      </c>
      <c r="Y1503" s="451" t="str">
        <f>IFERROR(VLOOKUP(E:E,'Item Data Support Sheet'!A:J,6,0),0)</f>
        <v>Silicon</v>
      </c>
      <c r="Z1503" s="428">
        <f>IFERROR(VLOOKUP(E:E,'Item Data Support Sheet'!A:O,4,0),0)</f>
        <v>6.8</v>
      </c>
      <c r="AA1503" s="428">
        <f t="shared" si="407"/>
        <v>37.7196</v>
      </c>
      <c r="AB1503" s="429">
        <f t="shared" si="408"/>
        <v>0.99152695150531811</v>
      </c>
      <c r="AC1503" s="424">
        <f t="shared" si="409"/>
        <v>8.4730484946818098E-3</v>
      </c>
      <c r="AD1503" s="371">
        <f t="shared" si="410"/>
        <v>0</v>
      </c>
      <c r="AE1503" s="748">
        <f t="shared" si="411"/>
        <v>0.99152695150531822</v>
      </c>
      <c r="AF1503" s="417">
        <f t="shared" si="412"/>
        <v>0</v>
      </c>
      <c r="AG1503" s="416">
        <f t="shared" si="413"/>
        <v>8</v>
      </c>
      <c r="AH1503" s="372">
        <f t="shared" si="414"/>
        <v>1</v>
      </c>
      <c r="AI1503" s="373">
        <f t="shared" si="415"/>
        <v>687.5</v>
      </c>
      <c r="AJ1503" s="418">
        <f>VLOOKUP(D1503,'Standard Cycle time'!C:D,2,0)</f>
        <v>5.25</v>
      </c>
      <c r="AK1503" s="418">
        <f t="shared" si="416"/>
        <v>5.2363636363636363</v>
      </c>
      <c r="AL1503" s="374">
        <f t="shared" si="417"/>
        <v>1.0026041666666667</v>
      </c>
      <c r="AM1503" s="372">
        <f t="shared" si="418"/>
        <v>0.99410905294153007</v>
      </c>
      <c r="AN1503" s="799">
        <v>0.99410905294153007</v>
      </c>
      <c r="AO1503" s="448"/>
      <c r="AP1503" s="440">
        <v>0</v>
      </c>
      <c r="AQ1503" s="440">
        <v>0</v>
      </c>
      <c r="AR1503" s="440">
        <v>0</v>
      </c>
      <c r="AS1503" s="440">
        <v>0</v>
      </c>
      <c r="AT1503" s="440">
        <v>0</v>
      </c>
      <c r="AU1503" s="440">
        <v>0</v>
      </c>
      <c r="AV1503" s="440">
        <v>0</v>
      </c>
      <c r="AW1503" s="440">
        <v>0</v>
      </c>
      <c r="AX1503" s="440">
        <v>0</v>
      </c>
      <c r="AY1503" s="440">
        <v>0</v>
      </c>
      <c r="AZ1503" s="440">
        <v>0</v>
      </c>
      <c r="BA1503" s="440">
        <v>0</v>
      </c>
      <c r="BB1503" s="440">
        <v>0</v>
      </c>
      <c r="BC1503" s="440">
        <v>0</v>
      </c>
      <c r="BD1503" s="440">
        <v>0</v>
      </c>
      <c r="BE1503" s="440">
        <v>0</v>
      </c>
      <c r="BF1503" s="440">
        <v>0</v>
      </c>
      <c r="BG1503" s="440">
        <v>0</v>
      </c>
      <c r="BH1503" s="440">
        <v>0</v>
      </c>
      <c r="BI1503" s="440">
        <v>0</v>
      </c>
      <c r="BJ1503" s="440">
        <v>0</v>
      </c>
      <c r="BK1503" s="440">
        <v>0</v>
      </c>
      <c r="BL1503" s="440">
        <v>0</v>
      </c>
      <c r="BM1503" s="440">
        <v>0</v>
      </c>
      <c r="BN1503" s="440">
        <v>0</v>
      </c>
      <c r="BO1503" s="440">
        <v>0</v>
      </c>
      <c r="BP1503" s="440">
        <v>0</v>
      </c>
      <c r="BQ1503" s="440">
        <v>0</v>
      </c>
      <c r="BR1503" s="415">
        <v>0</v>
      </c>
      <c r="BS1503" s="415">
        <v>0</v>
      </c>
      <c r="BT1503" s="935"/>
      <c r="BU1503" s="935"/>
      <c r="BV1503" s="935"/>
      <c r="BW1503" s="935"/>
      <c r="BX1503" s="935"/>
      <c r="BY1503" s="935"/>
      <c r="BZ1503" s="935"/>
      <c r="CA1503" s="935"/>
      <c r="CB1503" s="935"/>
      <c r="CC1503" s="935"/>
      <c r="CD1503" s="935"/>
      <c r="CE1503" s="935"/>
      <c r="CF1503" s="935"/>
      <c r="CG1503" s="935"/>
      <c r="CH1503" s="935"/>
      <c r="CI1503" s="935"/>
      <c r="CJ1503" s="935"/>
      <c r="CK1503" s="935"/>
      <c r="CL1503" s="935"/>
      <c r="CM1503" s="935"/>
      <c r="CN1503" s="935"/>
      <c r="CO1503" s="935"/>
      <c r="CP1503" s="935"/>
      <c r="CQ1503" s="935"/>
      <c r="CR1503" s="935"/>
      <c r="CS1503" s="935"/>
      <c r="CT1503" s="935"/>
      <c r="CU1503" s="935"/>
      <c r="CV1503" s="935"/>
    </row>
    <row r="1504" spans="1:100" s="441" customFormat="1">
      <c r="A1504" s="375">
        <f t="shared" si="404"/>
        <v>11</v>
      </c>
      <c r="B1504" s="862">
        <v>44530</v>
      </c>
      <c r="C1504" s="493" t="s">
        <v>2001</v>
      </c>
      <c r="D1504" s="376" t="str">
        <f>IFERROR(VLOOKUP(E:E,'Item Data Support Sheet'!A:O,7,0),"")</f>
        <v>BOTTLE MOLDED</v>
      </c>
      <c r="E1504" s="447" t="s">
        <v>65</v>
      </c>
      <c r="F1504" s="500" t="s">
        <v>1679</v>
      </c>
      <c r="G1504" s="497" t="s">
        <v>1665</v>
      </c>
      <c r="H1504" s="602" t="str">
        <f>IFERROR(VLOOKUP(E:E,'Item Data Support Sheet'!A:O,2,0),"")</f>
        <v>KPP 120 ML BOTTLE MOLDED</v>
      </c>
      <c r="I1504" s="501" t="s">
        <v>4272</v>
      </c>
      <c r="J1504" s="501" t="s">
        <v>2811</v>
      </c>
      <c r="K1504" s="499">
        <v>8</v>
      </c>
      <c r="L1504" s="499">
        <v>2574</v>
      </c>
      <c r="M1504" s="366">
        <v>321.75</v>
      </c>
      <c r="N1504" s="367">
        <f t="shared" si="403"/>
        <v>2930</v>
      </c>
      <c r="O1504" s="61">
        <v>2880</v>
      </c>
      <c r="P1504" s="368">
        <v>0</v>
      </c>
      <c r="Q1504" s="368">
        <v>20</v>
      </c>
      <c r="R1504" s="494">
        <v>0</v>
      </c>
      <c r="S1504" s="493">
        <v>0</v>
      </c>
      <c r="T1504" s="494">
        <v>30</v>
      </c>
      <c r="U1504" s="493">
        <v>0</v>
      </c>
      <c r="V1504" s="502">
        <v>1</v>
      </c>
      <c r="W1504" s="453">
        <f t="shared" si="405"/>
        <v>2880</v>
      </c>
      <c r="X1504" s="748">
        <f t="shared" si="406"/>
        <v>1.118881118881119</v>
      </c>
      <c r="Y1504" s="451" t="str">
        <f>IFERROR(VLOOKUP(E:E,'Item Data Support Sheet'!A:J,6,0),0)</f>
        <v>HMC</v>
      </c>
      <c r="Z1504" s="428">
        <f>IFERROR(VLOOKUP(E:E,'Item Data Support Sheet'!A:O,4,0),0)</f>
        <v>21.3</v>
      </c>
      <c r="AA1504" s="428">
        <f t="shared" si="407"/>
        <v>62.408999999999999</v>
      </c>
      <c r="AB1504" s="429">
        <f t="shared" si="408"/>
        <v>0.98293515358361783</v>
      </c>
      <c r="AC1504" s="424">
        <f t="shared" si="409"/>
        <v>1.0309278350515464E-2</v>
      </c>
      <c r="AD1504" s="371">
        <f t="shared" si="410"/>
        <v>6.7796610169491523E-3</v>
      </c>
      <c r="AE1504" s="748">
        <f t="shared" si="411"/>
        <v>0.98976109215017061</v>
      </c>
      <c r="AF1504" s="417">
        <f t="shared" si="412"/>
        <v>0</v>
      </c>
      <c r="AG1504" s="416">
        <f t="shared" si="413"/>
        <v>8</v>
      </c>
      <c r="AH1504" s="372">
        <f t="shared" si="414"/>
        <v>1</v>
      </c>
      <c r="AI1504" s="373">
        <f t="shared" si="415"/>
        <v>360</v>
      </c>
      <c r="AJ1504" s="418">
        <f>VLOOKUP(D1504,'Standard Cycle time'!C:D,2,0)</f>
        <v>9</v>
      </c>
      <c r="AK1504" s="418">
        <f t="shared" si="416"/>
        <v>10</v>
      </c>
      <c r="AL1504" s="374">
        <f t="shared" si="417"/>
        <v>0.9</v>
      </c>
      <c r="AM1504" s="372">
        <f t="shared" si="418"/>
        <v>0.89078498293515351</v>
      </c>
      <c r="AN1504" s="799">
        <v>0.89078498293515351</v>
      </c>
      <c r="AO1504" s="448"/>
      <c r="AP1504" s="440">
        <v>0</v>
      </c>
      <c r="AQ1504" s="440">
        <v>0</v>
      </c>
      <c r="AR1504" s="440">
        <v>0</v>
      </c>
      <c r="AS1504" s="440">
        <v>0</v>
      </c>
      <c r="AT1504" s="440">
        <v>0</v>
      </c>
      <c r="AU1504" s="440">
        <v>0</v>
      </c>
      <c r="AV1504" s="440">
        <v>0</v>
      </c>
      <c r="AW1504" s="440">
        <v>0</v>
      </c>
      <c r="AX1504" s="440">
        <v>0</v>
      </c>
      <c r="AY1504" s="440">
        <v>0</v>
      </c>
      <c r="AZ1504" s="440">
        <v>0</v>
      </c>
      <c r="BA1504" s="440">
        <v>0</v>
      </c>
      <c r="BB1504" s="440">
        <v>0</v>
      </c>
      <c r="BC1504" s="440">
        <v>0</v>
      </c>
      <c r="BD1504" s="440">
        <v>0</v>
      </c>
      <c r="BE1504" s="440">
        <v>0</v>
      </c>
      <c r="BF1504" s="440">
        <v>0</v>
      </c>
      <c r="BG1504" s="440">
        <v>0</v>
      </c>
      <c r="BH1504" s="440">
        <v>0</v>
      </c>
      <c r="BI1504" s="440">
        <v>0</v>
      </c>
      <c r="BJ1504" s="440">
        <v>0</v>
      </c>
      <c r="BK1504" s="440">
        <v>0</v>
      </c>
      <c r="BL1504" s="440">
        <v>0</v>
      </c>
      <c r="BM1504" s="440">
        <v>0</v>
      </c>
      <c r="BN1504" s="440">
        <v>0</v>
      </c>
      <c r="BO1504" s="440">
        <v>0</v>
      </c>
      <c r="BP1504" s="440">
        <v>0</v>
      </c>
      <c r="BQ1504" s="440">
        <v>0</v>
      </c>
      <c r="BR1504" s="415">
        <v>0</v>
      </c>
      <c r="BS1504" s="415">
        <v>0</v>
      </c>
      <c r="BT1504" s="935"/>
      <c r="BU1504" s="935"/>
      <c r="BV1504" s="935"/>
      <c r="BW1504" s="935"/>
      <c r="BX1504" s="935"/>
      <c r="BY1504" s="935"/>
      <c r="BZ1504" s="935"/>
      <c r="CA1504" s="935"/>
      <c r="CB1504" s="935"/>
      <c r="CC1504" s="935"/>
      <c r="CD1504" s="935"/>
      <c r="CE1504" s="935"/>
      <c r="CF1504" s="935"/>
      <c r="CG1504" s="935"/>
      <c r="CH1504" s="935"/>
      <c r="CI1504" s="935"/>
      <c r="CJ1504" s="935"/>
      <c r="CK1504" s="935"/>
      <c r="CL1504" s="935"/>
      <c r="CM1504" s="935"/>
      <c r="CN1504" s="935"/>
      <c r="CO1504" s="935"/>
      <c r="CP1504" s="935"/>
      <c r="CQ1504" s="935"/>
      <c r="CR1504" s="935"/>
      <c r="CS1504" s="935"/>
      <c r="CT1504" s="935"/>
      <c r="CU1504" s="935"/>
      <c r="CV1504" s="935"/>
    </row>
    <row r="1505" spans="1:100" s="441" customFormat="1">
      <c r="A1505" s="375">
        <f t="shared" si="404"/>
        <v>11</v>
      </c>
      <c r="B1505" s="862">
        <v>44530</v>
      </c>
      <c r="C1505" s="493" t="s">
        <v>2001</v>
      </c>
      <c r="D1505" s="376" t="str">
        <f>IFERROR(VLOOKUP(E:E,'Item Data Support Sheet'!A:O,7,0),"")</f>
        <v>NIPPLE PUNCH</v>
      </c>
      <c r="E1505" s="447" t="s">
        <v>82</v>
      </c>
      <c r="F1505" s="500"/>
      <c r="G1505" s="497" t="s">
        <v>1692</v>
      </c>
      <c r="H1505" s="602" t="str">
        <f>IFERROR(VLOOKUP(E:E,'Item Data Support Sheet'!A:O,2,0),"")</f>
        <v>NIPPLE S TYPE L SIZE PUNCHED</v>
      </c>
      <c r="I1505" s="501" t="s">
        <v>4273</v>
      </c>
      <c r="J1505" s="501" t="s">
        <v>2811</v>
      </c>
      <c r="K1505" s="499">
        <v>8</v>
      </c>
      <c r="L1505" s="499">
        <v>7000</v>
      </c>
      <c r="M1505" s="366">
        <v>875</v>
      </c>
      <c r="N1505" s="367">
        <f t="shared" si="403"/>
        <v>7000</v>
      </c>
      <c r="O1505" s="61">
        <v>7000</v>
      </c>
      <c r="P1505" s="368">
        <v>0</v>
      </c>
      <c r="Q1505" s="368">
        <v>0</v>
      </c>
      <c r="R1505" s="494">
        <v>0</v>
      </c>
      <c r="S1505" s="493">
        <v>0</v>
      </c>
      <c r="T1505" s="494">
        <v>0</v>
      </c>
      <c r="U1505" s="493">
        <v>0</v>
      </c>
      <c r="V1505" s="502">
        <v>1</v>
      </c>
      <c r="W1505" s="453">
        <f t="shared" si="405"/>
        <v>7000</v>
      </c>
      <c r="X1505" s="748">
        <f t="shared" si="406"/>
        <v>1</v>
      </c>
      <c r="Y1505" s="451" t="str">
        <f>IFERROR(VLOOKUP(E:E,'Item Data Support Sheet'!A:J,6,0),0)</f>
        <v>FO017</v>
      </c>
      <c r="Z1505" s="428">
        <f>IFERROR(VLOOKUP(E:E,'Item Data Support Sheet'!A:O,4,0),0)</f>
        <v>0</v>
      </c>
      <c r="AA1505" s="428">
        <f t="shared" si="407"/>
        <v>0</v>
      </c>
      <c r="AB1505" s="429" t="str">
        <f t="shared" si="408"/>
        <v xml:space="preserve"> </v>
      </c>
      <c r="AC1505" s="424">
        <f t="shared" si="409"/>
        <v>0</v>
      </c>
      <c r="AD1505" s="371">
        <f t="shared" si="410"/>
        <v>0</v>
      </c>
      <c r="AE1505" s="748">
        <f t="shared" si="411"/>
        <v>1</v>
      </c>
      <c r="AF1505" s="417">
        <f t="shared" si="412"/>
        <v>0.66666666666666663</v>
      </c>
      <c r="AG1505" s="416">
        <f t="shared" si="413"/>
        <v>7.333333333333333</v>
      </c>
      <c r="AH1505" s="372">
        <f t="shared" si="414"/>
        <v>0.91666666666666663</v>
      </c>
      <c r="AI1505" s="373">
        <f t="shared" si="415"/>
        <v>875</v>
      </c>
      <c r="AJ1505" s="418">
        <f>VLOOKUP(D1505,'Standard Cycle time'!C:D,2,0)</f>
        <v>3.5</v>
      </c>
      <c r="AK1505" s="418">
        <f t="shared" si="416"/>
        <v>3.7714285714285714</v>
      </c>
      <c r="AL1505" s="374">
        <f t="shared" si="417"/>
        <v>0.92803030303030309</v>
      </c>
      <c r="AM1505" s="372">
        <f t="shared" si="418"/>
        <v>0.85069444444444442</v>
      </c>
      <c r="AN1505" s="799">
        <v>0.85069444444444442</v>
      </c>
      <c r="AO1505" s="448"/>
      <c r="AP1505" s="440">
        <v>40</v>
      </c>
      <c r="AQ1505" s="440">
        <v>0</v>
      </c>
      <c r="AR1505" s="440">
        <v>0</v>
      </c>
      <c r="AS1505" s="440">
        <v>0</v>
      </c>
      <c r="AT1505" s="440">
        <v>0</v>
      </c>
      <c r="AU1505" s="440">
        <v>0</v>
      </c>
      <c r="AV1505" s="440">
        <v>0</v>
      </c>
      <c r="AW1505" s="440">
        <v>0</v>
      </c>
      <c r="AX1505" s="440">
        <v>0</v>
      </c>
      <c r="AY1505" s="440">
        <v>0</v>
      </c>
      <c r="AZ1505" s="440">
        <v>0</v>
      </c>
      <c r="BA1505" s="440">
        <v>0</v>
      </c>
      <c r="BB1505" s="440">
        <v>0</v>
      </c>
      <c r="BC1505" s="440">
        <v>0</v>
      </c>
      <c r="BD1505" s="440">
        <v>0</v>
      </c>
      <c r="BE1505" s="440">
        <v>0</v>
      </c>
      <c r="BF1505" s="440">
        <v>0</v>
      </c>
      <c r="BG1505" s="440">
        <v>0</v>
      </c>
      <c r="BH1505" s="440">
        <v>0</v>
      </c>
      <c r="BI1505" s="440">
        <v>0</v>
      </c>
      <c r="BJ1505" s="440">
        <v>0</v>
      </c>
      <c r="BK1505" s="440">
        <v>0</v>
      </c>
      <c r="BL1505" s="440">
        <v>0</v>
      </c>
      <c r="BM1505" s="440">
        <v>0</v>
      </c>
      <c r="BN1505" s="440">
        <v>0</v>
      </c>
      <c r="BO1505" s="440">
        <v>0</v>
      </c>
      <c r="BP1505" s="440">
        <v>0</v>
      </c>
      <c r="BQ1505" s="440">
        <v>0</v>
      </c>
      <c r="BR1505" s="415">
        <v>0.66666666666666663</v>
      </c>
      <c r="BS1505" s="415">
        <v>0.66666666666666663</v>
      </c>
      <c r="BT1505" s="935"/>
      <c r="BU1505" s="935"/>
      <c r="BV1505" s="935"/>
      <c r="BW1505" s="935"/>
      <c r="BX1505" s="935"/>
      <c r="BY1505" s="935"/>
      <c r="BZ1505" s="935"/>
      <c r="CA1505" s="935"/>
      <c r="CB1505" s="935"/>
      <c r="CC1505" s="935"/>
      <c r="CD1505" s="935"/>
      <c r="CE1505" s="935"/>
      <c r="CF1505" s="935"/>
      <c r="CG1505" s="935"/>
      <c r="CH1505" s="935"/>
      <c r="CI1505" s="935"/>
      <c r="CJ1505" s="935"/>
      <c r="CK1505" s="935"/>
      <c r="CL1505" s="935"/>
      <c r="CM1505" s="935"/>
      <c r="CN1505" s="935"/>
      <c r="CO1505" s="935"/>
      <c r="CP1505" s="935"/>
      <c r="CQ1505" s="935"/>
      <c r="CR1505" s="935"/>
      <c r="CS1505" s="935"/>
      <c r="CT1505" s="935"/>
      <c r="CU1505" s="935"/>
      <c r="CV1505" s="935"/>
    </row>
    <row r="1506" spans="1:100" s="441" customFormat="1">
      <c r="A1506" s="375">
        <f t="shared" si="404"/>
        <v>11</v>
      </c>
      <c r="B1506" s="862">
        <v>44530</v>
      </c>
      <c r="C1506" s="493" t="s">
        <v>2001</v>
      </c>
      <c r="D1506" s="376" t="str">
        <f>IFERROR(VLOOKUP(E:E,'Item Data Support Sheet'!A:O,7,0),"")</f>
        <v>NIPPLE LASER MARKING</v>
      </c>
      <c r="E1506" s="447" t="s">
        <v>1816</v>
      </c>
      <c r="F1506" s="500"/>
      <c r="G1506" s="497" t="s">
        <v>1812</v>
      </c>
      <c r="H1506" s="602" t="str">
        <f>IFERROR(VLOOKUP(E:E,'Item Data Support Sheet'!A:O,2,0),"")</f>
        <v>NIPPLE S TYPE L SIZE PUNCHED LASER MARKED</v>
      </c>
      <c r="I1506" s="501" t="s">
        <v>4266</v>
      </c>
      <c r="J1506" s="501" t="s">
        <v>2811</v>
      </c>
      <c r="K1506" s="499">
        <v>8</v>
      </c>
      <c r="L1506" s="499">
        <v>7000</v>
      </c>
      <c r="M1506" s="366">
        <v>875</v>
      </c>
      <c r="N1506" s="367">
        <f t="shared" si="403"/>
        <v>7000</v>
      </c>
      <c r="O1506" s="61">
        <v>7000</v>
      </c>
      <c r="P1506" s="368">
        <v>0</v>
      </c>
      <c r="Q1506" s="368">
        <v>0</v>
      </c>
      <c r="R1506" s="494">
        <v>0</v>
      </c>
      <c r="S1506" s="493">
        <v>0</v>
      </c>
      <c r="T1506" s="494">
        <v>0</v>
      </c>
      <c r="U1506" s="493">
        <v>0</v>
      </c>
      <c r="V1506" s="502">
        <v>1</v>
      </c>
      <c r="W1506" s="453">
        <f t="shared" si="405"/>
        <v>7000</v>
      </c>
      <c r="X1506" s="748">
        <f t="shared" si="406"/>
        <v>1</v>
      </c>
      <c r="Y1506" s="451" t="str">
        <f>IFERROR(VLOOKUP(E:E,'Item Data Support Sheet'!A:J,6,0),0)</f>
        <v>FO021</v>
      </c>
      <c r="Z1506" s="428">
        <f>IFERROR(VLOOKUP(E:E,'Item Data Support Sheet'!A:O,4,0),0)</f>
        <v>0</v>
      </c>
      <c r="AA1506" s="428">
        <f t="shared" si="407"/>
        <v>0</v>
      </c>
      <c r="AB1506" s="429" t="str">
        <f t="shared" si="408"/>
        <v xml:space="preserve"> </v>
      </c>
      <c r="AC1506" s="424">
        <f t="shared" si="409"/>
        <v>0</v>
      </c>
      <c r="AD1506" s="371">
        <f t="shared" si="410"/>
        <v>0</v>
      </c>
      <c r="AE1506" s="748">
        <f t="shared" si="411"/>
        <v>1</v>
      </c>
      <c r="AF1506" s="417">
        <f t="shared" si="412"/>
        <v>0.66666666666666663</v>
      </c>
      <c r="AG1506" s="416">
        <f t="shared" si="413"/>
        <v>7.333333333333333</v>
      </c>
      <c r="AH1506" s="372">
        <f t="shared" si="414"/>
        <v>0.91666666666666663</v>
      </c>
      <c r="AI1506" s="373">
        <f t="shared" si="415"/>
        <v>875</v>
      </c>
      <c r="AJ1506" s="418">
        <f>VLOOKUP(D1506,'Standard Cycle time'!C:D,2,0)</f>
        <v>3.5</v>
      </c>
      <c r="AK1506" s="418">
        <f t="shared" si="416"/>
        <v>3.7714285714285714</v>
      </c>
      <c r="AL1506" s="374">
        <f t="shared" si="417"/>
        <v>0.92803030303030309</v>
      </c>
      <c r="AM1506" s="372">
        <f t="shared" si="418"/>
        <v>0.85069444444444442</v>
      </c>
      <c r="AN1506" s="799">
        <v>0.85069444444444442</v>
      </c>
      <c r="AO1506" s="448"/>
      <c r="AP1506" s="440">
        <v>40</v>
      </c>
      <c r="AQ1506" s="440">
        <v>0</v>
      </c>
      <c r="AR1506" s="440">
        <v>0</v>
      </c>
      <c r="AS1506" s="440">
        <v>0</v>
      </c>
      <c r="AT1506" s="440">
        <v>0</v>
      </c>
      <c r="AU1506" s="440">
        <v>0</v>
      </c>
      <c r="AV1506" s="440">
        <v>0</v>
      </c>
      <c r="AW1506" s="440">
        <v>0</v>
      </c>
      <c r="AX1506" s="440">
        <v>0</v>
      </c>
      <c r="AY1506" s="440">
        <v>0</v>
      </c>
      <c r="AZ1506" s="440">
        <v>0</v>
      </c>
      <c r="BA1506" s="440">
        <v>0</v>
      </c>
      <c r="BB1506" s="440">
        <v>0</v>
      </c>
      <c r="BC1506" s="440">
        <v>0</v>
      </c>
      <c r="BD1506" s="440">
        <v>0</v>
      </c>
      <c r="BE1506" s="440">
        <v>0</v>
      </c>
      <c r="BF1506" s="440">
        <v>0</v>
      </c>
      <c r="BG1506" s="440">
        <v>0</v>
      </c>
      <c r="BH1506" s="440">
        <v>0</v>
      </c>
      <c r="BI1506" s="440">
        <v>0</v>
      </c>
      <c r="BJ1506" s="440">
        <v>0</v>
      </c>
      <c r="BK1506" s="440">
        <v>0</v>
      </c>
      <c r="BL1506" s="440">
        <v>0</v>
      </c>
      <c r="BM1506" s="440">
        <v>0</v>
      </c>
      <c r="BN1506" s="440">
        <v>0</v>
      </c>
      <c r="BO1506" s="440">
        <v>0</v>
      </c>
      <c r="BP1506" s="440">
        <v>0</v>
      </c>
      <c r="BQ1506" s="440">
        <v>0</v>
      </c>
      <c r="BR1506" s="415">
        <v>0.66666666666666663</v>
      </c>
      <c r="BS1506" s="415">
        <v>0.66666666666666663</v>
      </c>
      <c r="BT1506" s="935"/>
      <c r="BU1506" s="935"/>
      <c r="BV1506" s="935"/>
      <c r="BW1506" s="935"/>
      <c r="BX1506" s="935"/>
      <c r="BY1506" s="935"/>
      <c r="BZ1506" s="935"/>
      <c r="CA1506" s="935"/>
      <c r="CB1506" s="935"/>
      <c r="CC1506" s="935"/>
      <c r="CD1506" s="935"/>
      <c r="CE1506" s="935"/>
      <c r="CF1506" s="935"/>
      <c r="CG1506" s="935"/>
      <c r="CH1506" s="935"/>
      <c r="CI1506" s="935"/>
      <c r="CJ1506" s="935"/>
      <c r="CK1506" s="935"/>
      <c r="CL1506" s="935"/>
      <c r="CM1506" s="935"/>
      <c r="CN1506" s="935"/>
      <c r="CO1506" s="935"/>
      <c r="CP1506" s="935"/>
      <c r="CQ1506" s="935"/>
      <c r="CR1506" s="935"/>
      <c r="CS1506" s="935"/>
      <c r="CT1506" s="935"/>
      <c r="CU1506" s="935"/>
      <c r="CV1506" s="935"/>
    </row>
    <row r="1507" spans="1:100" s="441" customFormat="1">
      <c r="A1507" s="375">
        <f t="shared" si="404"/>
        <v>11</v>
      </c>
      <c r="B1507" s="862">
        <v>44530</v>
      </c>
      <c r="C1507" s="493" t="s">
        <v>2053</v>
      </c>
      <c r="D1507" s="376" t="str">
        <f>IFERROR(VLOOKUP(E:E,'Item Data Support Sheet'!A:O,7,0),"")</f>
        <v>NIPPLE PUNCH</v>
      </c>
      <c r="E1507" s="447" t="s">
        <v>82</v>
      </c>
      <c r="F1507" s="500"/>
      <c r="G1507" s="497" t="s">
        <v>1692</v>
      </c>
      <c r="H1507" s="602" t="str">
        <f>IFERROR(VLOOKUP(E:E,'Item Data Support Sheet'!A:O,2,0),"")</f>
        <v>NIPPLE S TYPE L SIZE PUNCHED</v>
      </c>
      <c r="I1507" s="501" t="s">
        <v>4274</v>
      </c>
      <c r="J1507" s="501" t="s">
        <v>3895</v>
      </c>
      <c r="K1507" s="499">
        <v>8</v>
      </c>
      <c r="L1507" s="499">
        <v>7000</v>
      </c>
      <c r="M1507" s="366">
        <v>875</v>
      </c>
      <c r="N1507" s="367">
        <f t="shared" si="403"/>
        <v>6900</v>
      </c>
      <c r="O1507" s="61">
        <v>6900</v>
      </c>
      <c r="P1507" s="368">
        <v>0</v>
      </c>
      <c r="Q1507" s="368">
        <v>0</v>
      </c>
      <c r="R1507" s="494">
        <v>0</v>
      </c>
      <c r="S1507" s="493">
        <v>0</v>
      </c>
      <c r="T1507" s="494">
        <v>0</v>
      </c>
      <c r="U1507" s="493">
        <v>0</v>
      </c>
      <c r="V1507" s="502">
        <v>1</v>
      </c>
      <c r="W1507" s="453">
        <f t="shared" si="405"/>
        <v>6900</v>
      </c>
      <c r="X1507" s="748">
        <f t="shared" si="406"/>
        <v>0.98571428571428577</v>
      </c>
      <c r="Y1507" s="451" t="str">
        <f>IFERROR(VLOOKUP(E:E,'Item Data Support Sheet'!A:J,6,0),0)</f>
        <v>FO017</v>
      </c>
      <c r="Z1507" s="428">
        <f>IFERROR(VLOOKUP(E:E,'Item Data Support Sheet'!A:O,4,0),0)</f>
        <v>0</v>
      </c>
      <c r="AA1507" s="428">
        <f t="shared" si="407"/>
        <v>0</v>
      </c>
      <c r="AB1507" s="429" t="str">
        <f t="shared" si="408"/>
        <v xml:space="preserve"> </v>
      </c>
      <c r="AC1507" s="424">
        <f t="shared" si="409"/>
        <v>0</v>
      </c>
      <c r="AD1507" s="371">
        <f t="shared" si="410"/>
        <v>0</v>
      </c>
      <c r="AE1507" s="748">
        <f t="shared" si="411"/>
        <v>1</v>
      </c>
      <c r="AF1507" s="417">
        <f t="shared" si="412"/>
        <v>0.33333333333333331</v>
      </c>
      <c r="AG1507" s="416">
        <f t="shared" si="413"/>
        <v>7.666666666666667</v>
      </c>
      <c r="AH1507" s="372">
        <f t="shared" si="414"/>
        <v>0.95833333333333337</v>
      </c>
      <c r="AI1507" s="373">
        <f t="shared" si="415"/>
        <v>862.5</v>
      </c>
      <c r="AJ1507" s="418">
        <f>VLOOKUP(D1507,'Standard Cycle time'!C:D,2,0)</f>
        <v>3.5</v>
      </c>
      <c r="AK1507" s="418">
        <f t="shared" si="416"/>
        <v>4</v>
      </c>
      <c r="AL1507" s="374">
        <f t="shared" si="417"/>
        <v>0.875</v>
      </c>
      <c r="AM1507" s="372">
        <f t="shared" si="418"/>
        <v>0.83854166666666674</v>
      </c>
      <c r="AN1507" s="799">
        <v>0.83854166666666674</v>
      </c>
      <c r="AO1507" s="448"/>
      <c r="AP1507" s="440">
        <v>20</v>
      </c>
      <c r="AQ1507" s="440">
        <v>0</v>
      </c>
      <c r="AR1507" s="440">
        <v>0</v>
      </c>
      <c r="AS1507" s="440">
        <v>0</v>
      </c>
      <c r="AT1507" s="440">
        <v>0</v>
      </c>
      <c r="AU1507" s="440">
        <v>0</v>
      </c>
      <c r="AV1507" s="440">
        <v>0</v>
      </c>
      <c r="AW1507" s="440">
        <v>0</v>
      </c>
      <c r="AX1507" s="440">
        <v>0</v>
      </c>
      <c r="AY1507" s="440">
        <v>0</v>
      </c>
      <c r="AZ1507" s="440">
        <v>0</v>
      </c>
      <c r="BA1507" s="440">
        <v>0</v>
      </c>
      <c r="BB1507" s="440">
        <v>0</v>
      </c>
      <c r="BC1507" s="440">
        <v>0</v>
      </c>
      <c r="BD1507" s="440">
        <v>0</v>
      </c>
      <c r="BE1507" s="440">
        <v>0</v>
      </c>
      <c r="BF1507" s="440">
        <v>0</v>
      </c>
      <c r="BG1507" s="440">
        <v>0</v>
      </c>
      <c r="BH1507" s="440">
        <v>0</v>
      </c>
      <c r="BI1507" s="440">
        <v>0</v>
      </c>
      <c r="BJ1507" s="440">
        <v>0</v>
      </c>
      <c r="BK1507" s="440">
        <v>0</v>
      </c>
      <c r="BL1507" s="440">
        <v>0</v>
      </c>
      <c r="BM1507" s="440">
        <v>0</v>
      </c>
      <c r="BN1507" s="440">
        <v>0</v>
      </c>
      <c r="BO1507" s="440">
        <v>0</v>
      </c>
      <c r="BP1507" s="440">
        <v>0</v>
      </c>
      <c r="BQ1507" s="440">
        <v>0</v>
      </c>
      <c r="BR1507" s="415">
        <v>0.33333333333333331</v>
      </c>
      <c r="BS1507" s="415">
        <v>0.33333333333333331</v>
      </c>
      <c r="BT1507" s="935"/>
      <c r="BU1507" s="935"/>
      <c r="BV1507" s="935"/>
      <c r="BW1507" s="935"/>
      <c r="BX1507" s="935"/>
      <c r="BY1507" s="935"/>
      <c r="BZ1507" s="935"/>
      <c r="CA1507" s="935"/>
      <c r="CB1507" s="935"/>
      <c r="CC1507" s="935"/>
      <c r="CD1507" s="935"/>
      <c r="CE1507" s="935"/>
      <c r="CF1507" s="935"/>
      <c r="CG1507" s="935"/>
      <c r="CH1507" s="935"/>
      <c r="CI1507" s="935"/>
      <c r="CJ1507" s="935"/>
      <c r="CK1507" s="935"/>
      <c r="CL1507" s="935"/>
      <c r="CM1507" s="935"/>
      <c r="CN1507" s="935"/>
      <c r="CO1507" s="935"/>
      <c r="CP1507" s="935"/>
      <c r="CQ1507" s="935"/>
      <c r="CR1507" s="935"/>
      <c r="CS1507" s="935"/>
      <c r="CT1507" s="935"/>
      <c r="CU1507" s="935"/>
      <c r="CV1507" s="935"/>
    </row>
    <row r="1508" spans="1:100" s="441" customFormat="1">
      <c r="A1508" s="375">
        <f t="shared" si="404"/>
        <v>11</v>
      </c>
      <c r="B1508" s="862">
        <v>44530</v>
      </c>
      <c r="C1508" s="493" t="s">
        <v>2053</v>
      </c>
      <c r="D1508" s="376" t="str">
        <f>IFERROR(VLOOKUP(E:E,'Item Data Support Sheet'!A:O,7,0),"")</f>
        <v>NIPPLE LASER MARKING</v>
      </c>
      <c r="E1508" s="447" t="s">
        <v>1816</v>
      </c>
      <c r="F1508" s="500"/>
      <c r="G1508" s="497" t="s">
        <v>1812</v>
      </c>
      <c r="H1508" s="602" t="str">
        <f>IFERROR(VLOOKUP(E:E,'Item Data Support Sheet'!A:O,2,0),"")</f>
        <v>NIPPLE S TYPE L SIZE PUNCHED LASER MARKED</v>
      </c>
      <c r="I1508" s="501" t="s">
        <v>4275</v>
      </c>
      <c r="J1508" s="501" t="s">
        <v>3895</v>
      </c>
      <c r="K1508" s="499">
        <v>8</v>
      </c>
      <c r="L1508" s="499">
        <v>7000</v>
      </c>
      <c r="M1508" s="366">
        <v>875</v>
      </c>
      <c r="N1508" s="367">
        <f t="shared" si="403"/>
        <v>6200</v>
      </c>
      <c r="O1508" s="61">
        <v>6200</v>
      </c>
      <c r="P1508" s="368">
        <v>0</v>
      </c>
      <c r="Q1508" s="368">
        <v>0</v>
      </c>
      <c r="R1508" s="494">
        <v>0</v>
      </c>
      <c r="S1508" s="493">
        <v>0</v>
      </c>
      <c r="T1508" s="494">
        <v>0</v>
      </c>
      <c r="U1508" s="493">
        <v>0</v>
      </c>
      <c r="V1508" s="502">
        <v>1</v>
      </c>
      <c r="W1508" s="453">
        <f t="shared" si="405"/>
        <v>6200</v>
      </c>
      <c r="X1508" s="748">
        <f t="shared" si="406"/>
        <v>0.88571428571428568</v>
      </c>
      <c r="Y1508" s="451" t="str">
        <f>IFERROR(VLOOKUP(E:E,'Item Data Support Sheet'!A:J,6,0),0)</f>
        <v>FO021</v>
      </c>
      <c r="Z1508" s="428">
        <f>IFERROR(VLOOKUP(E:E,'Item Data Support Sheet'!A:O,4,0),0)</f>
        <v>0</v>
      </c>
      <c r="AA1508" s="428">
        <f t="shared" si="407"/>
        <v>0</v>
      </c>
      <c r="AB1508" s="429" t="str">
        <f t="shared" si="408"/>
        <v xml:space="preserve"> </v>
      </c>
      <c r="AC1508" s="424">
        <f t="shared" si="409"/>
        <v>0</v>
      </c>
      <c r="AD1508" s="371">
        <f t="shared" si="410"/>
        <v>0</v>
      </c>
      <c r="AE1508" s="748">
        <f t="shared" si="411"/>
        <v>1</v>
      </c>
      <c r="AF1508" s="417">
        <f t="shared" si="412"/>
        <v>0.33333333333333331</v>
      </c>
      <c r="AG1508" s="416">
        <f t="shared" si="413"/>
        <v>7.666666666666667</v>
      </c>
      <c r="AH1508" s="372">
        <f t="shared" si="414"/>
        <v>0.95833333333333337</v>
      </c>
      <c r="AI1508" s="373">
        <f t="shared" si="415"/>
        <v>775</v>
      </c>
      <c r="AJ1508" s="418">
        <f>VLOOKUP(D1508,'Standard Cycle time'!C:D,2,0)</f>
        <v>3.5</v>
      </c>
      <c r="AK1508" s="418">
        <f t="shared" si="416"/>
        <v>4.4516129032258061</v>
      </c>
      <c r="AL1508" s="374">
        <f t="shared" si="417"/>
        <v>0.78623188405797106</v>
      </c>
      <c r="AM1508" s="372">
        <f t="shared" si="418"/>
        <v>0.75347222222222232</v>
      </c>
      <c r="AN1508" s="799">
        <v>0.75347222222222232</v>
      </c>
      <c r="AO1508" s="448"/>
      <c r="AP1508" s="440">
        <v>20</v>
      </c>
      <c r="AQ1508" s="440">
        <v>0</v>
      </c>
      <c r="AR1508" s="440">
        <v>0</v>
      </c>
      <c r="AS1508" s="440">
        <v>0</v>
      </c>
      <c r="AT1508" s="440">
        <v>0</v>
      </c>
      <c r="AU1508" s="440">
        <v>0</v>
      </c>
      <c r="AV1508" s="440">
        <v>0</v>
      </c>
      <c r="AW1508" s="440">
        <v>0</v>
      </c>
      <c r="AX1508" s="440">
        <v>0</v>
      </c>
      <c r="AY1508" s="440">
        <v>0</v>
      </c>
      <c r="AZ1508" s="440">
        <v>0</v>
      </c>
      <c r="BA1508" s="440">
        <v>0</v>
      </c>
      <c r="BB1508" s="440">
        <v>0</v>
      </c>
      <c r="BC1508" s="440">
        <v>0</v>
      </c>
      <c r="BD1508" s="440">
        <v>0</v>
      </c>
      <c r="BE1508" s="440">
        <v>0</v>
      </c>
      <c r="BF1508" s="440">
        <v>0</v>
      </c>
      <c r="BG1508" s="440">
        <v>0</v>
      </c>
      <c r="BH1508" s="440">
        <v>0</v>
      </c>
      <c r="BI1508" s="440">
        <v>0</v>
      </c>
      <c r="BJ1508" s="440">
        <v>0</v>
      </c>
      <c r="BK1508" s="440">
        <v>0</v>
      </c>
      <c r="BL1508" s="440">
        <v>0</v>
      </c>
      <c r="BM1508" s="440">
        <v>0</v>
      </c>
      <c r="BN1508" s="440">
        <v>0</v>
      </c>
      <c r="BO1508" s="440">
        <v>0</v>
      </c>
      <c r="BP1508" s="440">
        <v>0</v>
      </c>
      <c r="BQ1508" s="440">
        <v>0</v>
      </c>
      <c r="BR1508" s="415">
        <v>0.33333333333333331</v>
      </c>
      <c r="BS1508" s="415">
        <v>0.33333333333333331</v>
      </c>
      <c r="BT1508" s="935"/>
      <c r="BU1508" s="935"/>
      <c r="BV1508" s="935"/>
      <c r="BW1508" s="935"/>
      <c r="BX1508" s="935"/>
      <c r="BY1508" s="935"/>
      <c r="BZ1508" s="935"/>
      <c r="CA1508" s="935"/>
      <c r="CB1508" s="935"/>
      <c r="CC1508" s="935"/>
      <c r="CD1508" s="935"/>
      <c r="CE1508" s="935"/>
      <c r="CF1508" s="935"/>
      <c r="CG1508" s="935"/>
      <c r="CH1508" s="935"/>
      <c r="CI1508" s="935"/>
      <c r="CJ1508" s="935"/>
      <c r="CK1508" s="935"/>
      <c r="CL1508" s="935"/>
      <c r="CM1508" s="935"/>
      <c r="CN1508" s="935"/>
      <c r="CO1508" s="935"/>
      <c r="CP1508" s="935"/>
      <c r="CQ1508" s="935"/>
      <c r="CR1508" s="935"/>
      <c r="CS1508" s="935"/>
      <c r="CT1508" s="935"/>
      <c r="CU1508" s="935"/>
      <c r="CV1508" s="935"/>
    </row>
    <row r="1509" spans="1:100" s="441" customFormat="1">
      <c r="A1509" s="375">
        <f t="shared" si="404"/>
        <v>11</v>
      </c>
      <c r="B1509" s="862">
        <v>44530</v>
      </c>
      <c r="C1509" s="493" t="s">
        <v>2053</v>
      </c>
      <c r="D1509" s="376" t="str">
        <f>IFERROR(VLOOKUP(E:E,'Item Data Support Sheet'!A:O,7,0),"")</f>
        <v>NIPPLE MOLDED</v>
      </c>
      <c r="E1509" s="447" t="s">
        <v>72</v>
      </c>
      <c r="F1509" s="500" t="s">
        <v>1678</v>
      </c>
      <c r="G1509" s="497" t="s">
        <v>1691</v>
      </c>
      <c r="H1509" s="602" t="str">
        <f>IFERROR(VLOOKUP(E:E,'Item Data Support Sheet'!A:O,2,0),"")</f>
        <v>NIPPLE S TYPE S SIZE INJECTION</v>
      </c>
      <c r="I1509" s="501" t="s">
        <v>4276</v>
      </c>
      <c r="J1509" s="501" t="s">
        <v>3895</v>
      </c>
      <c r="K1509" s="499">
        <v>8</v>
      </c>
      <c r="L1509" s="499">
        <v>4815</v>
      </c>
      <c r="M1509" s="366">
        <v>601.875</v>
      </c>
      <c r="N1509" s="367">
        <f t="shared" si="403"/>
        <v>5401</v>
      </c>
      <c r="O1509" s="61">
        <v>5300</v>
      </c>
      <c r="P1509" s="368">
        <v>0</v>
      </c>
      <c r="Q1509" s="368">
        <v>30</v>
      </c>
      <c r="R1509" s="494">
        <v>0</v>
      </c>
      <c r="S1509" s="493">
        <v>0</v>
      </c>
      <c r="T1509" s="494">
        <v>55</v>
      </c>
      <c r="U1509" s="493">
        <v>16</v>
      </c>
      <c r="V1509" s="502">
        <v>1</v>
      </c>
      <c r="W1509" s="453">
        <f t="shared" si="405"/>
        <v>5300</v>
      </c>
      <c r="X1509" s="748">
        <f t="shared" si="406"/>
        <v>1.1007268951194185</v>
      </c>
      <c r="Y1509" s="451" t="str">
        <f>IFERROR(VLOOKUP(E:E,'Item Data Support Sheet'!A:J,6,0),0)</f>
        <v>Silicon</v>
      </c>
      <c r="Z1509" s="428">
        <f>IFERROR(VLOOKUP(E:E,'Item Data Support Sheet'!A:O,4,0),0)</f>
        <v>6.8</v>
      </c>
      <c r="AA1509" s="428">
        <f t="shared" si="407"/>
        <v>36.726799999999997</v>
      </c>
      <c r="AB1509" s="429">
        <f t="shared" si="408"/>
        <v>0.98129975930383262</v>
      </c>
      <c r="AC1509" s="424">
        <f t="shared" si="409"/>
        <v>1.027077497665733E-2</v>
      </c>
      <c r="AD1509" s="371">
        <f t="shared" si="410"/>
        <v>5.5238445958387039E-3</v>
      </c>
      <c r="AE1509" s="748">
        <f t="shared" si="411"/>
        <v>0.98981670061099791</v>
      </c>
      <c r="AF1509" s="417">
        <f t="shared" si="412"/>
        <v>0</v>
      </c>
      <c r="AG1509" s="416">
        <f t="shared" si="413"/>
        <v>8</v>
      </c>
      <c r="AH1509" s="372">
        <f t="shared" si="414"/>
        <v>1</v>
      </c>
      <c r="AI1509" s="373">
        <f t="shared" si="415"/>
        <v>662.5</v>
      </c>
      <c r="AJ1509" s="418">
        <f>VLOOKUP(D1509,'Standard Cycle time'!C:D,2,0)</f>
        <v>5.25</v>
      </c>
      <c r="AK1509" s="418">
        <f t="shared" si="416"/>
        <v>5.4339622641509431</v>
      </c>
      <c r="AL1509" s="374">
        <f t="shared" si="417"/>
        <v>0.96614583333333337</v>
      </c>
      <c r="AM1509" s="372">
        <f t="shared" si="418"/>
        <v>0.95630728105906315</v>
      </c>
      <c r="AN1509" s="799">
        <v>0.95630728105906315</v>
      </c>
      <c r="AO1509" s="448"/>
      <c r="AP1509" s="440">
        <v>0</v>
      </c>
      <c r="AQ1509" s="440">
        <v>0</v>
      </c>
      <c r="AR1509" s="440">
        <v>0</v>
      </c>
      <c r="AS1509" s="440">
        <v>0</v>
      </c>
      <c r="AT1509" s="440">
        <v>0</v>
      </c>
      <c r="AU1509" s="440">
        <v>0</v>
      </c>
      <c r="AV1509" s="440">
        <v>0</v>
      </c>
      <c r="AW1509" s="440">
        <v>0</v>
      </c>
      <c r="AX1509" s="440">
        <v>0</v>
      </c>
      <c r="AY1509" s="440">
        <v>0</v>
      </c>
      <c r="AZ1509" s="440">
        <v>0</v>
      </c>
      <c r="BA1509" s="440">
        <v>0</v>
      </c>
      <c r="BB1509" s="440">
        <v>0</v>
      </c>
      <c r="BC1509" s="440">
        <v>0</v>
      </c>
      <c r="BD1509" s="440">
        <v>0</v>
      </c>
      <c r="BE1509" s="440">
        <v>0</v>
      </c>
      <c r="BF1509" s="440">
        <v>0</v>
      </c>
      <c r="BG1509" s="440">
        <v>0</v>
      </c>
      <c r="BH1509" s="440">
        <v>0</v>
      </c>
      <c r="BI1509" s="440">
        <v>0</v>
      </c>
      <c r="BJ1509" s="440">
        <v>0</v>
      </c>
      <c r="BK1509" s="440">
        <v>0</v>
      </c>
      <c r="BL1509" s="440">
        <v>0</v>
      </c>
      <c r="BM1509" s="440">
        <v>0</v>
      </c>
      <c r="BN1509" s="440">
        <v>0</v>
      </c>
      <c r="BO1509" s="440">
        <v>0</v>
      </c>
      <c r="BP1509" s="440">
        <v>0</v>
      </c>
      <c r="BQ1509" s="440">
        <v>0</v>
      </c>
      <c r="BR1509" s="415">
        <v>0</v>
      </c>
      <c r="BS1509" s="415">
        <v>0</v>
      </c>
      <c r="BT1509" s="935"/>
      <c r="BU1509" s="935"/>
      <c r="BV1509" s="935"/>
      <c r="BW1509" s="935"/>
      <c r="BX1509" s="935"/>
      <c r="BY1509" s="935"/>
      <c r="BZ1509" s="935"/>
      <c r="CA1509" s="935"/>
      <c r="CB1509" s="935"/>
      <c r="CC1509" s="935"/>
      <c r="CD1509" s="935"/>
      <c r="CE1509" s="935"/>
      <c r="CF1509" s="935"/>
      <c r="CG1509" s="935"/>
      <c r="CH1509" s="935"/>
      <c r="CI1509" s="935"/>
      <c r="CJ1509" s="935"/>
      <c r="CK1509" s="935"/>
      <c r="CL1509" s="935"/>
      <c r="CM1509" s="935"/>
      <c r="CN1509" s="935"/>
      <c r="CO1509" s="935"/>
      <c r="CP1509" s="935"/>
      <c r="CQ1509" s="935"/>
      <c r="CR1509" s="935"/>
      <c r="CS1509" s="935"/>
      <c r="CT1509" s="935"/>
      <c r="CU1509" s="935"/>
      <c r="CV1509" s="935"/>
    </row>
    <row r="1510" spans="1:100" s="441" customFormat="1">
      <c r="A1510" s="375">
        <f t="shared" si="404"/>
        <v>11</v>
      </c>
      <c r="B1510" s="862">
        <v>44530</v>
      </c>
      <c r="C1510" s="493" t="s">
        <v>2053</v>
      </c>
      <c r="D1510" s="376" t="str">
        <f>IFERROR(VLOOKUP(E:E,'Item Data Support Sheet'!A:O,7,0),"")</f>
        <v>NIPPLE MOLDED</v>
      </c>
      <c r="E1510" s="447" t="s">
        <v>75</v>
      </c>
      <c r="F1510" s="500" t="s">
        <v>1677</v>
      </c>
      <c r="G1510" s="497" t="s">
        <v>1690</v>
      </c>
      <c r="H1510" s="602" t="str">
        <f>IFERROR(VLOOKUP(E:E,'Item Data Support Sheet'!A:O,2,0),"")</f>
        <v>NIPPLE S TYPE Y SIZE INJECTION</v>
      </c>
      <c r="I1510" s="501" t="s">
        <v>4276</v>
      </c>
      <c r="J1510" s="501" t="s">
        <v>3895</v>
      </c>
      <c r="K1510" s="499">
        <v>8</v>
      </c>
      <c r="L1510" s="499">
        <v>3611</v>
      </c>
      <c r="M1510" s="366">
        <v>451.375</v>
      </c>
      <c r="N1510" s="367">
        <f t="shared" si="403"/>
        <v>2843</v>
      </c>
      <c r="O1510" s="61">
        <v>2700</v>
      </c>
      <c r="P1510" s="368">
        <v>0</v>
      </c>
      <c r="Q1510" s="368">
        <v>70</v>
      </c>
      <c r="R1510" s="494">
        <v>0</v>
      </c>
      <c r="S1510" s="493">
        <v>0</v>
      </c>
      <c r="T1510" s="494">
        <v>61</v>
      </c>
      <c r="U1510" s="493">
        <v>12</v>
      </c>
      <c r="V1510" s="502">
        <v>1</v>
      </c>
      <c r="W1510" s="453">
        <f t="shared" si="405"/>
        <v>2700</v>
      </c>
      <c r="X1510" s="748">
        <f t="shared" si="406"/>
        <v>0.7477153143173636</v>
      </c>
      <c r="Y1510" s="451" t="str">
        <f>IFERROR(VLOOKUP(E:E,'Item Data Support Sheet'!A:J,6,0),0)</f>
        <v>Silicon</v>
      </c>
      <c r="Z1510" s="428">
        <f>IFERROR(VLOOKUP(E:E,'Item Data Support Sheet'!A:O,4,0),0)</f>
        <v>6.8</v>
      </c>
      <c r="AA1510" s="428">
        <f t="shared" si="407"/>
        <v>19.3324</v>
      </c>
      <c r="AB1510" s="429">
        <f t="shared" si="408"/>
        <v>0.94970102004924373</v>
      </c>
      <c r="AC1510" s="424">
        <f t="shared" si="409"/>
        <v>2.2093444404201378E-2</v>
      </c>
      <c r="AD1510" s="371">
        <f t="shared" si="410"/>
        <v>2.4030209406110538E-2</v>
      </c>
      <c r="AE1510" s="748">
        <f t="shared" si="411"/>
        <v>0.97854379176925788</v>
      </c>
      <c r="AF1510" s="417">
        <f t="shared" si="412"/>
        <v>2</v>
      </c>
      <c r="AG1510" s="416">
        <f t="shared" si="413"/>
        <v>6</v>
      </c>
      <c r="AH1510" s="372">
        <f t="shared" si="414"/>
        <v>0.75</v>
      </c>
      <c r="AI1510" s="373">
        <f t="shared" si="415"/>
        <v>337.5</v>
      </c>
      <c r="AJ1510" s="418">
        <f>VLOOKUP(D1510,'Standard Cycle time'!C:D,2,0)</f>
        <v>5.25</v>
      </c>
      <c r="AK1510" s="418">
        <f t="shared" si="416"/>
        <v>8</v>
      </c>
      <c r="AL1510" s="374">
        <f t="shared" si="417"/>
        <v>0.65625</v>
      </c>
      <c r="AM1510" s="372">
        <f t="shared" si="418"/>
        <v>0.48162702251143158</v>
      </c>
      <c r="AN1510" s="799">
        <v>0.48162702251143158</v>
      </c>
      <c r="AO1510" s="448" t="s">
        <v>4277</v>
      </c>
      <c r="AP1510" s="440">
        <v>0</v>
      </c>
      <c r="AQ1510" s="440">
        <v>0</v>
      </c>
      <c r="AR1510" s="440">
        <v>0</v>
      </c>
      <c r="AS1510" s="440">
        <v>0</v>
      </c>
      <c r="AT1510" s="440">
        <v>0</v>
      </c>
      <c r="AU1510" s="440">
        <v>90</v>
      </c>
      <c r="AV1510" s="440">
        <v>0</v>
      </c>
      <c r="AW1510" s="440">
        <v>0</v>
      </c>
      <c r="AX1510" s="440">
        <v>30</v>
      </c>
      <c r="AY1510" s="440">
        <v>0</v>
      </c>
      <c r="AZ1510" s="440">
        <v>0</v>
      </c>
      <c r="BA1510" s="440">
        <v>0</v>
      </c>
      <c r="BB1510" s="440">
        <v>0</v>
      </c>
      <c r="BC1510" s="440">
        <v>0</v>
      </c>
      <c r="BD1510" s="440">
        <v>0</v>
      </c>
      <c r="BE1510" s="440">
        <v>0</v>
      </c>
      <c r="BF1510" s="440">
        <v>0</v>
      </c>
      <c r="BG1510" s="440">
        <v>0</v>
      </c>
      <c r="BH1510" s="440">
        <v>0</v>
      </c>
      <c r="BI1510" s="440">
        <v>0</v>
      </c>
      <c r="BJ1510" s="440">
        <v>0</v>
      </c>
      <c r="BK1510" s="440">
        <v>0</v>
      </c>
      <c r="BL1510" s="440">
        <v>0</v>
      </c>
      <c r="BM1510" s="440">
        <v>0</v>
      </c>
      <c r="BN1510" s="440">
        <v>0</v>
      </c>
      <c r="BO1510" s="440">
        <v>0</v>
      </c>
      <c r="BP1510" s="440">
        <v>0</v>
      </c>
      <c r="BQ1510" s="440">
        <v>0</v>
      </c>
      <c r="BR1510" s="415">
        <v>2</v>
      </c>
      <c r="BS1510" s="415">
        <v>2</v>
      </c>
      <c r="BT1510" s="935"/>
      <c r="BU1510" s="935"/>
      <c r="BV1510" s="935"/>
      <c r="BW1510" s="935"/>
      <c r="BX1510" s="935"/>
      <c r="BY1510" s="935"/>
      <c r="BZ1510" s="935"/>
      <c r="CA1510" s="935"/>
      <c r="CB1510" s="935"/>
      <c r="CC1510" s="935"/>
      <c r="CD1510" s="935"/>
      <c r="CE1510" s="935"/>
      <c r="CF1510" s="935"/>
      <c r="CG1510" s="935"/>
      <c r="CH1510" s="935"/>
      <c r="CI1510" s="935"/>
      <c r="CJ1510" s="935"/>
      <c r="CK1510" s="935"/>
      <c r="CL1510" s="935"/>
      <c r="CM1510" s="935"/>
      <c r="CN1510" s="935"/>
      <c r="CO1510" s="935"/>
      <c r="CP1510" s="935"/>
      <c r="CQ1510" s="935"/>
      <c r="CR1510" s="935"/>
      <c r="CS1510" s="935"/>
      <c r="CT1510" s="935"/>
      <c r="CU1510" s="935"/>
      <c r="CV1510" s="935"/>
    </row>
    <row r="1511" spans="1:100" s="441" customFormat="1">
      <c r="A1511" s="375">
        <f t="shared" si="404"/>
        <v>11</v>
      </c>
      <c r="B1511" s="862">
        <v>44530</v>
      </c>
      <c r="C1511" s="493" t="s">
        <v>2053</v>
      </c>
      <c r="D1511" s="376" t="str">
        <f>IFERROR(VLOOKUP(E:E,'Item Data Support Sheet'!A:O,7,0),"")</f>
        <v>BOTTLE MOLDED</v>
      </c>
      <c r="E1511" s="447" t="s">
        <v>65</v>
      </c>
      <c r="F1511" s="500" t="s">
        <v>1679</v>
      </c>
      <c r="G1511" s="497" t="s">
        <v>1665</v>
      </c>
      <c r="H1511" s="602" t="str">
        <f>IFERROR(VLOOKUP(E:E,'Item Data Support Sheet'!A:O,2,0),"")</f>
        <v>KPP 120 ML BOTTLE MOLDED</v>
      </c>
      <c r="I1511" s="501" t="s">
        <v>4278</v>
      </c>
      <c r="J1511" s="501" t="s">
        <v>3895</v>
      </c>
      <c r="K1511" s="499">
        <v>8</v>
      </c>
      <c r="L1511" s="499">
        <v>2574</v>
      </c>
      <c r="M1511" s="366">
        <v>321.75</v>
      </c>
      <c r="N1511" s="367">
        <f t="shared" si="403"/>
        <v>2778</v>
      </c>
      <c r="O1511" s="61">
        <v>2700</v>
      </c>
      <c r="P1511" s="368">
        <v>0</v>
      </c>
      <c r="Q1511" s="368">
        <v>27</v>
      </c>
      <c r="R1511" s="494">
        <v>0</v>
      </c>
      <c r="S1511" s="493">
        <v>0</v>
      </c>
      <c r="T1511" s="494">
        <v>43</v>
      </c>
      <c r="U1511" s="493">
        <v>8</v>
      </c>
      <c r="V1511" s="502">
        <v>1</v>
      </c>
      <c r="W1511" s="453">
        <f t="shared" si="405"/>
        <v>2700</v>
      </c>
      <c r="X1511" s="748">
        <f t="shared" si="406"/>
        <v>1.048951048951049</v>
      </c>
      <c r="Y1511" s="451" t="str">
        <f>IFERROR(VLOOKUP(E:E,'Item Data Support Sheet'!A:J,6,0),0)</f>
        <v>HMC</v>
      </c>
      <c r="Z1511" s="428">
        <f>IFERROR(VLOOKUP(E:E,'Item Data Support Sheet'!A:O,4,0),0)</f>
        <v>21.3</v>
      </c>
      <c r="AA1511" s="428">
        <f t="shared" si="407"/>
        <v>59.171399999999998</v>
      </c>
      <c r="AB1511" s="429">
        <f t="shared" si="408"/>
        <v>0.97192224622030232</v>
      </c>
      <c r="AC1511" s="424">
        <f t="shared" si="409"/>
        <v>1.5676266861100983E-2</v>
      </c>
      <c r="AD1511" s="371">
        <f t="shared" si="410"/>
        <v>9.6256684491978616E-3</v>
      </c>
      <c r="AE1511" s="748">
        <f t="shared" si="411"/>
        <v>0.98452123830093596</v>
      </c>
      <c r="AF1511" s="417">
        <f t="shared" si="412"/>
        <v>0</v>
      </c>
      <c r="AG1511" s="416">
        <f t="shared" si="413"/>
        <v>8</v>
      </c>
      <c r="AH1511" s="372">
        <f t="shared" si="414"/>
        <v>1</v>
      </c>
      <c r="AI1511" s="373">
        <f t="shared" si="415"/>
        <v>337.5</v>
      </c>
      <c r="AJ1511" s="418">
        <f>VLOOKUP(D1511,'Standard Cycle time'!C:D,2,0)</f>
        <v>9</v>
      </c>
      <c r="AK1511" s="418">
        <f t="shared" si="416"/>
        <v>10.666666666666666</v>
      </c>
      <c r="AL1511" s="374">
        <f t="shared" si="417"/>
        <v>0.84375</v>
      </c>
      <c r="AM1511" s="372">
        <f t="shared" si="418"/>
        <v>0.83068979481641469</v>
      </c>
      <c r="AN1511" s="799">
        <v>0.83068979481641469</v>
      </c>
      <c r="AO1511" s="448"/>
      <c r="AP1511" s="440">
        <v>0</v>
      </c>
      <c r="AQ1511" s="440">
        <v>0</v>
      </c>
      <c r="AR1511" s="440">
        <v>0</v>
      </c>
      <c r="AS1511" s="440">
        <v>0</v>
      </c>
      <c r="AT1511" s="440">
        <v>0</v>
      </c>
      <c r="AU1511" s="440">
        <v>0</v>
      </c>
      <c r="AV1511" s="440">
        <v>0</v>
      </c>
      <c r="AW1511" s="440">
        <v>0</v>
      </c>
      <c r="AX1511" s="440">
        <v>0</v>
      </c>
      <c r="AY1511" s="440">
        <v>0</v>
      </c>
      <c r="AZ1511" s="440">
        <v>0</v>
      </c>
      <c r="BA1511" s="440">
        <v>0</v>
      </c>
      <c r="BB1511" s="440">
        <v>0</v>
      </c>
      <c r="BC1511" s="440">
        <v>0</v>
      </c>
      <c r="BD1511" s="440">
        <v>0</v>
      </c>
      <c r="BE1511" s="440">
        <v>0</v>
      </c>
      <c r="BF1511" s="440">
        <v>0</v>
      </c>
      <c r="BG1511" s="440">
        <v>0</v>
      </c>
      <c r="BH1511" s="440">
        <v>0</v>
      </c>
      <c r="BI1511" s="440">
        <v>0</v>
      </c>
      <c r="BJ1511" s="440">
        <v>0</v>
      </c>
      <c r="BK1511" s="440">
        <v>0</v>
      </c>
      <c r="BL1511" s="440">
        <v>0</v>
      </c>
      <c r="BM1511" s="440">
        <v>0</v>
      </c>
      <c r="BN1511" s="440">
        <v>0</v>
      </c>
      <c r="BO1511" s="440">
        <v>0</v>
      </c>
      <c r="BP1511" s="440">
        <v>0</v>
      </c>
      <c r="BQ1511" s="440">
        <v>0</v>
      </c>
      <c r="BR1511" s="415">
        <v>0</v>
      </c>
      <c r="BS1511" s="415">
        <v>0</v>
      </c>
      <c r="BT1511" s="935"/>
      <c r="BU1511" s="935"/>
      <c r="BV1511" s="935"/>
      <c r="BW1511" s="935"/>
      <c r="BX1511" s="935"/>
      <c r="BY1511" s="935"/>
      <c r="BZ1511" s="935"/>
      <c r="CA1511" s="935"/>
      <c r="CB1511" s="935"/>
      <c r="CC1511" s="935"/>
      <c r="CD1511" s="935"/>
      <c r="CE1511" s="935"/>
      <c r="CF1511" s="935"/>
      <c r="CG1511" s="935"/>
      <c r="CH1511" s="935"/>
      <c r="CI1511" s="935"/>
      <c r="CJ1511" s="935"/>
      <c r="CK1511" s="935"/>
      <c r="CL1511" s="935"/>
      <c r="CM1511" s="935"/>
      <c r="CN1511" s="935"/>
      <c r="CO1511" s="935"/>
      <c r="CP1511" s="935"/>
      <c r="CQ1511" s="935"/>
      <c r="CR1511" s="935"/>
      <c r="CS1511" s="935"/>
      <c r="CT1511" s="935"/>
      <c r="CU1511" s="935"/>
      <c r="CV1511" s="935"/>
    </row>
    <row r="1512" spans="1:100" s="441" customFormat="1">
      <c r="A1512" s="375">
        <f t="shared" si="404"/>
        <v>11</v>
      </c>
      <c r="B1512" s="862">
        <v>44530</v>
      </c>
      <c r="C1512" s="493" t="s">
        <v>2053</v>
      </c>
      <c r="D1512" s="376" t="str">
        <f>IFERROR(VLOOKUP(E:E,'Item Data Support Sheet'!A:O,7,0),"")</f>
        <v>CAP MOLDED</v>
      </c>
      <c r="E1512" s="447" t="s">
        <v>2108</v>
      </c>
      <c r="F1512" s="500" t="s">
        <v>4140</v>
      </c>
      <c r="G1512" s="497"/>
      <c r="H1512" s="602" t="str">
        <f>IFERROR(VLOOKUP(E:E,'Item Data Support Sheet'!A:O,2,0),"")</f>
        <v>CAP S TYPE MOLDED BLUE</v>
      </c>
      <c r="I1512" s="501" t="s">
        <v>4279</v>
      </c>
      <c r="J1512" s="501" t="s">
        <v>3895</v>
      </c>
      <c r="K1512" s="499">
        <v>8</v>
      </c>
      <c r="L1512" s="499">
        <v>4137</v>
      </c>
      <c r="M1512" s="366">
        <v>517.125</v>
      </c>
      <c r="N1512" s="367">
        <f t="shared" si="403"/>
        <v>5016</v>
      </c>
      <c r="O1512" s="61">
        <v>5000</v>
      </c>
      <c r="P1512" s="368">
        <v>0</v>
      </c>
      <c r="Q1512" s="368">
        <v>0</v>
      </c>
      <c r="R1512" s="494">
        <v>0</v>
      </c>
      <c r="S1512" s="493">
        <v>0</v>
      </c>
      <c r="T1512" s="494">
        <v>8</v>
      </c>
      <c r="U1512" s="493">
        <v>8</v>
      </c>
      <c r="V1512" s="502">
        <v>1</v>
      </c>
      <c r="W1512" s="453">
        <f t="shared" si="405"/>
        <v>5000</v>
      </c>
      <c r="X1512" s="748">
        <f t="shared" si="406"/>
        <v>1.2086052695189751</v>
      </c>
      <c r="Y1512" s="451" t="str">
        <f>IFERROR(VLOOKUP(E:E,'Item Data Support Sheet'!A:J,6,0),0)</f>
        <v>RM000114</v>
      </c>
      <c r="Z1512" s="428">
        <f>IFERROR(VLOOKUP(E:E,'Item Data Support Sheet'!A:O,4,0),0)</f>
        <v>7.3</v>
      </c>
      <c r="AA1512" s="428">
        <f t="shared" si="407"/>
        <v>36.616799999999998</v>
      </c>
      <c r="AB1512" s="429">
        <f t="shared" si="408"/>
        <v>0.99681020733652315</v>
      </c>
      <c r="AC1512" s="424">
        <f t="shared" si="409"/>
        <v>1.5974440894568689E-3</v>
      </c>
      <c r="AD1512" s="371">
        <f t="shared" si="410"/>
        <v>0</v>
      </c>
      <c r="AE1512" s="748">
        <f t="shared" si="411"/>
        <v>0.99840510366826152</v>
      </c>
      <c r="AF1512" s="417">
        <f t="shared" si="412"/>
        <v>0</v>
      </c>
      <c r="AG1512" s="416">
        <f t="shared" si="413"/>
        <v>8</v>
      </c>
      <c r="AH1512" s="372">
        <f t="shared" si="414"/>
        <v>1</v>
      </c>
      <c r="AI1512" s="373">
        <f t="shared" si="415"/>
        <v>625</v>
      </c>
      <c r="AJ1512" s="418">
        <f>VLOOKUP(D1512,'Standard Cycle time'!C:D,2,0)</f>
        <v>6</v>
      </c>
      <c r="AK1512" s="418">
        <f t="shared" si="416"/>
        <v>5.76</v>
      </c>
      <c r="AL1512" s="374">
        <f t="shared" si="417"/>
        <v>1.0416666666666667</v>
      </c>
      <c r="AM1512" s="372">
        <f t="shared" si="418"/>
        <v>1.0400053163211058</v>
      </c>
      <c r="AN1512" s="799">
        <v>1.0400053163211058</v>
      </c>
      <c r="AO1512" s="448"/>
      <c r="AP1512" s="440">
        <v>0</v>
      </c>
      <c r="AQ1512" s="440">
        <v>0</v>
      </c>
      <c r="AR1512" s="440">
        <v>0</v>
      </c>
      <c r="AS1512" s="440">
        <v>0</v>
      </c>
      <c r="AT1512" s="440">
        <v>0</v>
      </c>
      <c r="AU1512" s="440">
        <v>0</v>
      </c>
      <c r="AV1512" s="440">
        <v>0</v>
      </c>
      <c r="AW1512" s="440">
        <v>0</v>
      </c>
      <c r="AX1512" s="440">
        <v>0</v>
      </c>
      <c r="AY1512" s="440">
        <v>0</v>
      </c>
      <c r="AZ1512" s="440">
        <v>0</v>
      </c>
      <c r="BA1512" s="440">
        <v>0</v>
      </c>
      <c r="BB1512" s="440">
        <v>0</v>
      </c>
      <c r="BC1512" s="440">
        <v>0</v>
      </c>
      <c r="BD1512" s="440">
        <v>0</v>
      </c>
      <c r="BE1512" s="440">
        <v>0</v>
      </c>
      <c r="BF1512" s="440">
        <v>0</v>
      </c>
      <c r="BG1512" s="440">
        <v>0</v>
      </c>
      <c r="BH1512" s="440">
        <v>0</v>
      </c>
      <c r="BI1512" s="440">
        <v>0</v>
      </c>
      <c r="BJ1512" s="440">
        <v>0</v>
      </c>
      <c r="BK1512" s="440">
        <v>0</v>
      </c>
      <c r="BL1512" s="440">
        <v>0</v>
      </c>
      <c r="BM1512" s="440">
        <v>0</v>
      </c>
      <c r="BN1512" s="440">
        <v>0</v>
      </c>
      <c r="BO1512" s="440">
        <v>0</v>
      </c>
      <c r="BP1512" s="440">
        <v>0</v>
      </c>
      <c r="BQ1512" s="440">
        <v>0</v>
      </c>
      <c r="BR1512" s="415">
        <v>0</v>
      </c>
      <c r="BS1512" s="415">
        <v>0</v>
      </c>
      <c r="BT1512" s="935"/>
      <c r="BU1512" s="935"/>
      <c r="BV1512" s="935"/>
      <c r="BW1512" s="935"/>
      <c r="BX1512" s="935"/>
      <c r="BY1512" s="935"/>
      <c r="BZ1512" s="935"/>
      <c r="CA1512" s="935"/>
      <c r="CB1512" s="935"/>
      <c r="CC1512" s="935"/>
      <c r="CD1512" s="935"/>
      <c r="CE1512" s="935"/>
      <c r="CF1512" s="935"/>
      <c r="CG1512" s="935"/>
      <c r="CH1512" s="935"/>
      <c r="CI1512" s="935"/>
      <c r="CJ1512" s="935"/>
      <c r="CK1512" s="935"/>
      <c r="CL1512" s="935"/>
      <c r="CM1512" s="935"/>
      <c r="CN1512" s="935"/>
      <c r="CO1512" s="935"/>
      <c r="CP1512" s="935"/>
      <c r="CQ1512" s="935"/>
      <c r="CR1512" s="935"/>
      <c r="CS1512" s="935"/>
      <c r="CT1512" s="935"/>
      <c r="CU1512" s="935"/>
      <c r="CV1512" s="935"/>
    </row>
    <row r="1513" spans="1:100" s="441" customFormat="1">
      <c r="B1513" s="862"/>
      <c r="C1513" s="493"/>
      <c r="D1513" s="376"/>
      <c r="E1513" s="447"/>
      <c r="F1513" s="500"/>
      <c r="G1513" s="497"/>
      <c r="H1513" s="602" t="str">
        <f>IFERROR(VLOOKUP(E:E,'Item Data Support Sheet'!A:O,2,0),"")</f>
        <v/>
      </c>
      <c r="I1513" s="501"/>
      <c r="J1513" s="501"/>
      <c r="K1513" s="499"/>
      <c r="L1513" s="499"/>
      <c r="M1513" s="366"/>
      <c r="N1513" s="367">
        <f t="shared" si="403"/>
        <v>0</v>
      </c>
      <c r="O1513" s="61"/>
      <c r="P1513" s="368"/>
      <c r="Q1513" s="368"/>
      <c r="R1513" s="494"/>
      <c r="S1513" s="493"/>
      <c r="T1513" s="494"/>
      <c r="U1513" s="493"/>
      <c r="V1513" s="502"/>
      <c r="W1513" s="453">
        <f t="shared" si="405"/>
        <v>0</v>
      </c>
      <c r="X1513" s="748" t="e">
        <f t="shared" si="406"/>
        <v>#DIV/0!</v>
      </c>
      <c r="Y1513" s="451">
        <f>IFERROR(VLOOKUP(E:E,'Item Data Support Sheet'!A:J,6,0),0)</f>
        <v>0</v>
      </c>
      <c r="Z1513" s="428">
        <f>IFERROR(VLOOKUP(E:E,'Item Data Support Sheet'!A:O,4,0),0)</f>
        <v>0</v>
      </c>
      <c r="AA1513" s="428">
        <f t="shared" si="407"/>
        <v>0</v>
      </c>
      <c r="AB1513" s="429" t="str">
        <f t="shared" si="408"/>
        <v xml:space="preserve"> </v>
      </c>
      <c r="AC1513" s="424">
        <f t="shared" si="409"/>
        <v>0</v>
      </c>
      <c r="AD1513" s="371">
        <f t="shared" si="410"/>
        <v>0</v>
      </c>
      <c r="AE1513" s="748" t="e">
        <f t="shared" si="411"/>
        <v>#DIV/0!</v>
      </c>
      <c r="AF1513" s="417">
        <f t="shared" si="412"/>
        <v>0</v>
      </c>
      <c r="AG1513" s="416">
        <f t="shared" si="413"/>
        <v>0</v>
      </c>
      <c r="AH1513" s="372" t="str">
        <f t="shared" si="414"/>
        <v xml:space="preserve"> </v>
      </c>
      <c r="AI1513" s="373">
        <f t="shared" si="415"/>
        <v>0</v>
      </c>
      <c r="AJ1513" s="418" t="e">
        <f>VLOOKUP(D1513,'Standard Cycle time'!C:D,2,0)</f>
        <v>#N/A</v>
      </c>
      <c r="AK1513" s="418" t="e">
        <f t="shared" si="416"/>
        <v>#DIV/0!</v>
      </c>
      <c r="AL1513" s="374" t="e">
        <f t="shared" si="417"/>
        <v>#N/A</v>
      </c>
      <c r="AM1513" s="372" t="e">
        <f t="shared" si="418"/>
        <v>#DIV/0!</v>
      </c>
      <c r="AN1513" s="799"/>
      <c r="AO1513" s="448"/>
      <c r="AP1513" s="440">
        <v>0</v>
      </c>
      <c r="AQ1513" s="440">
        <v>0</v>
      </c>
      <c r="AR1513" s="440">
        <v>0</v>
      </c>
      <c r="AS1513" s="440">
        <v>0</v>
      </c>
      <c r="AT1513" s="440">
        <v>0</v>
      </c>
      <c r="AU1513" s="440">
        <v>0</v>
      </c>
      <c r="AV1513" s="440">
        <v>0</v>
      </c>
      <c r="AW1513" s="440">
        <v>0</v>
      </c>
      <c r="AX1513" s="440">
        <v>0</v>
      </c>
      <c r="AY1513" s="440">
        <v>0</v>
      </c>
      <c r="AZ1513" s="440">
        <v>0</v>
      </c>
      <c r="BA1513" s="440">
        <v>0</v>
      </c>
      <c r="BB1513" s="440">
        <v>0</v>
      </c>
      <c r="BC1513" s="440">
        <v>0</v>
      </c>
      <c r="BD1513" s="440">
        <v>0</v>
      </c>
      <c r="BE1513" s="440">
        <v>0</v>
      </c>
      <c r="BF1513" s="440">
        <v>0</v>
      </c>
      <c r="BG1513" s="440">
        <v>0</v>
      </c>
      <c r="BH1513" s="440">
        <v>0</v>
      </c>
      <c r="BI1513" s="440">
        <v>0</v>
      </c>
      <c r="BJ1513" s="440">
        <v>0</v>
      </c>
      <c r="BK1513" s="440">
        <v>0</v>
      </c>
      <c r="BL1513" s="440">
        <v>0</v>
      </c>
      <c r="BM1513" s="440">
        <v>0</v>
      </c>
      <c r="BN1513" s="440">
        <v>0</v>
      </c>
      <c r="BO1513" s="440">
        <v>0</v>
      </c>
      <c r="BP1513" s="440">
        <v>0</v>
      </c>
      <c r="BQ1513" s="440">
        <v>0</v>
      </c>
      <c r="BR1513" s="415">
        <v>0</v>
      </c>
      <c r="BS1513" s="415"/>
      <c r="BT1513" s="935"/>
      <c r="BU1513" s="935"/>
      <c r="BV1513" s="935"/>
      <c r="BW1513" s="935"/>
      <c r="BX1513" s="935"/>
      <c r="BY1513" s="935"/>
      <c r="BZ1513" s="935"/>
      <c r="CA1513" s="935"/>
      <c r="CB1513" s="935"/>
      <c r="CC1513" s="935"/>
      <c r="CD1513" s="935"/>
      <c r="CE1513" s="935"/>
      <c r="CF1513" s="935"/>
      <c r="CG1513" s="935"/>
      <c r="CH1513" s="935"/>
      <c r="CI1513" s="935"/>
      <c r="CJ1513" s="935"/>
      <c r="CK1513" s="935"/>
      <c r="CL1513" s="935"/>
      <c r="CM1513" s="935"/>
      <c r="CN1513" s="935"/>
      <c r="CO1513" s="935"/>
      <c r="CP1513" s="935"/>
      <c r="CQ1513" s="935"/>
      <c r="CR1513" s="935"/>
      <c r="CS1513" s="935"/>
      <c r="CT1513" s="935"/>
      <c r="CU1513" s="935"/>
      <c r="CV1513" s="935"/>
    </row>
    <row r="1514" spans="1:100" s="441" customFormat="1">
      <c r="B1514" s="868"/>
      <c r="C1514" s="493"/>
      <c r="D1514" s="376"/>
      <c r="E1514" s="447"/>
      <c r="F1514" s="500"/>
      <c r="G1514" s="497"/>
      <c r="H1514" s="602" t="str">
        <f>IFERROR(VLOOKUP(E:E,'Item Data Support Sheet'!A:O,2,0),"")</f>
        <v/>
      </c>
      <c r="I1514" s="501"/>
      <c r="J1514" s="501"/>
      <c r="K1514" s="499"/>
      <c r="L1514" s="499"/>
      <c r="M1514" s="366"/>
      <c r="N1514" s="367">
        <f t="shared" si="403"/>
        <v>0</v>
      </c>
      <c r="O1514" s="61"/>
      <c r="P1514" s="368"/>
      <c r="Q1514" s="368"/>
      <c r="R1514" s="494"/>
      <c r="S1514" s="493"/>
      <c r="T1514" s="494"/>
      <c r="U1514" s="493"/>
      <c r="V1514" s="502"/>
      <c r="W1514" s="453">
        <f t="shared" si="405"/>
        <v>0</v>
      </c>
      <c r="X1514" s="748" t="e">
        <f t="shared" si="406"/>
        <v>#DIV/0!</v>
      </c>
      <c r="Y1514" s="451">
        <f>IFERROR(VLOOKUP(E:E,'Item Data Support Sheet'!A:J,6,0),0)</f>
        <v>0</v>
      </c>
      <c r="Z1514" s="428">
        <f>IFERROR(VLOOKUP(E:E,'Item Data Support Sheet'!A:O,4,0),0)</f>
        <v>0</v>
      </c>
      <c r="AA1514" s="428">
        <f t="shared" si="407"/>
        <v>0</v>
      </c>
      <c r="AB1514" s="429" t="str">
        <f t="shared" si="408"/>
        <v xml:space="preserve"> </v>
      </c>
      <c r="AC1514" s="424">
        <f t="shared" si="409"/>
        <v>0</v>
      </c>
      <c r="AD1514" s="371">
        <f t="shared" si="410"/>
        <v>0</v>
      </c>
      <c r="AE1514" s="748" t="e">
        <f t="shared" si="411"/>
        <v>#DIV/0!</v>
      </c>
      <c r="AF1514" s="417">
        <f t="shared" si="412"/>
        <v>0</v>
      </c>
      <c r="AG1514" s="416">
        <f t="shared" si="413"/>
        <v>0</v>
      </c>
      <c r="AH1514" s="372" t="str">
        <f t="shared" si="414"/>
        <v xml:space="preserve"> </v>
      </c>
      <c r="AI1514" s="373">
        <f t="shared" si="415"/>
        <v>0</v>
      </c>
      <c r="AJ1514" s="418" t="e">
        <f>VLOOKUP(D1514,'Standard Cycle time'!C:D,2,0)</f>
        <v>#N/A</v>
      </c>
      <c r="AK1514" s="418" t="e">
        <f t="shared" si="416"/>
        <v>#DIV/0!</v>
      </c>
      <c r="AL1514" s="374" t="e">
        <f t="shared" si="417"/>
        <v>#N/A</v>
      </c>
      <c r="AM1514" s="372" t="e">
        <f t="shared" si="418"/>
        <v>#DIV/0!</v>
      </c>
      <c r="AN1514" s="799"/>
      <c r="AO1514" s="448"/>
      <c r="AP1514" s="440">
        <v>0</v>
      </c>
      <c r="AQ1514" s="440">
        <v>0</v>
      </c>
      <c r="AR1514" s="440">
        <v>0</v>
      </c>
      <c r="AS1514" s="440">
        <v>0</v>
      </c>
      <c r="AT1514" s="440">
        <v>0</v>
      </c>
      <c r="AU1514" s="440">
        <v>0</v>
      </c>
      <c r="AV1514" s="440">
        <v>0</v>
      </c>
      <c r="AW1514" s="440">
        <v>0</v>
      </c>
      <c r="AX1514" s="440">
        <v>0</v>
      </c>
      <c r="AY1514" s="440">
        <v>0</v>
      </c>
      <c r="AZ1514" s="440">
        <v>0</v>
      </c>
      <c r="BA1514" s="440">
        <v>0</v>
      </c>
      <c r="BB1514" s="440">
        <v>0</v>
      </c>
      <c r="BC1514" s="440">
        <v>0</v>
      </c>
      <c r="BD1514" s="440">
        <v>0</v>
      </c>
      <c r="BE1514" s="440">
        <v>0</v>
      </c>
      <c r="BF1514" s="440">
        <v>0</v>
      </c>
      <c r="BG1514" s="440">
        <v>0</v>
      </c>
      <c r="BH1514" s="440">
        <v>0</v>
      </c>
      <c r="BI1514" s="440">
        <v>0</v>
      </c>
      <c r="BJ1514" s="440">
        <v>0</v>
      </c>
      <c r="BK1514" s="440">
        <v>0</v>
      </c>
      <c r="BL1514" s="440">
        <v>0</v>
      </c>
      <c r="BM1514" s="440">
        <v>0</v>
      </c>
      <c r="BN1514" s="440">
        <v>0</v>
      </c>
      <c r="BO1514" s="440">
        <v>0</v>
      </c>
      <c r="BP1514" s="440">
        <v>0</v>
      </c>
      <c r="BQ1514" s="440">
        <v>0</v>
      </c>
      <c r="BR1514" s="415">
        <v>0</v>
      </c>
      <c r="BS1514" s="415"/>
      <c r="BT1514" s="935"/>
      <c r="BU1514" s="935"/>
      <c r="BV1514" s="935"/>
      <c r="BW1514" s="935"/>
      <c r="BX1514" s="935"/>
      <c r="BY1514" s="935"/>
      <c r="BZ1514" s="935"/>
      <c r="CA1514" s="935"/>
      <c r="CB1514" s="935"/>
      <c r="CC1514" s="935"/>
      <c r="CD1514" s="935"/>
      <c r="CE1514" s="935"/>
      <c r="CF1514" s="935"/>
      <c r="CG1514" s="935"/>
      <c r="CH1514" s="935"/>
      <c r="CI1514" s="935"/>
      <c r="CJ1514" s="935"/>
      <c r="CK1514" s="935"/>
      <c r="CL1514" s="935"/>
      <c r="CM1514" s="935"/>
      <c r="CN1514" s="935"/>
      <c r="CO1514" s="935"/>
      <c r="CP1514" s="935"/>
      <c r="CQ1514" s="935"/>
      <c r="CR1514" s="935"/>
      <c r="CS1514" s="935"/>
      <c r="CT1514" s="935"/>
      <c r="CU1514" s="935"/>
      <c r="CV1514" s="935"/>
    </row>
    <row r="1515" spans="1:100" s="441" customFormat="1">
      <c r="B1515" s="868"/>
      <c r="C1515" s="493"/>
      <c r="D1515" s="376"/>
      <c r="E1515" s="447"/>
      <c r="F1515" s="500"/>
      <c r="G1515" s="497"/>
      <c r="H1515" s="602" t="str">
        <f>IFERROR(VLOOKUP(E:E,'Item Data Support Sheet'!A:O,2,0),"")</f>
        <v/>
      </c>
      <c r="I1515" s="501"/>
      <c r="J1515" s="501"/>
      <c r="K1515" s="499"/>
      <c r="L1515" s="499"/>
      <c r="M1515" s="366"/>
      <c r="N1515" s="367">
        <f t="shared" si="403"/>
        <v>0</v>
      </c>
      <c r="O1515" s="61"/>
      <c r="P1515" s="368"/>
      <c r="Q1515" s="368"/>
      <c r="R1515" s="494"/>
      <c r="S1515" s="493"/>
      <c r="T1515" s="494"/>
      <c r="U1515" s="493"/>
      <c r="V1515" s="502"/>
      <c r="W1515" s="453">
        <f t="shared" si="405"/>
        <v>0</v>
      </c>
      <c r="X1515" s="748" t="e">
        <f t="shared" si="406"/>
        <v>#DIV/0!</v>
      </c>
      <c r="Y1515" s="451">
        <f>IFERROR(VLOOKUP(E:E,'Item Data Support Sheet'!A:J,6,0),0)</f>
        <v>0</v>
      </c>
      <c r="Z1515" s="428">
        <f>IFERROR(VLOOKUP(E:E,'Item Data Support Sheet'!A:O,4,0),0)</f>
        <v>0</v>
      </c>
      <c r="AA1515" s="428">
        <f t="shared" si="407"/>
        <v>0</v>
      </c>
      <c r="AB1515" s="429" t="str">
        <f t="shared" si="408"/>
        <v xml:space="preserve"> </v>
      </c>
      <c r="AC1515" s="424">
        <f t="shared" si="409"/>
        <v>0</v>
      </c>
      <c r="AD1515" s="371">
        <f t="shared" si="410"/>
        <v>0</v>
      </c>
      <c r="AE1515" s="748" t="e">
        <f t="shared" si="411"/>
        <v>#DIV/0!</v>
      </c>
      <c r="AF1515" s="417">
        <f t="shared" si="412"/>
        <v>0</v>
      </c>
      <c r="AG1515" s="416">
        <f t="shared" si="413"/>
        <v>0</v>
      </c>
      <c r="AH1515" s="372" t="str">
        <f t="shared" si="414"/>
        <v xml:space="preserve"> </v>
      </c>
      <c r="AI1515" s="373">
        <f t="shared" si="415"/>
        <v>0</v>
      </c>
      <c r="AJ1515" s="418" t="e">
        <f>VLOOKUP(D1515,'Standard Cycle time'!C:D,2,0)</f>
        <v>#N/A</v>
      </c>
      <c r="AK1515" s="418" t="e">
        <f t="shared" si="416"/>
        <v>#DIV/0!</v>
      </c>
      <c r="AL1515" s="374" t="e">
        <f t="shared" si="417"/>
        <v>#N/A</v>
      </c>
      <c r="AM1515" s="372" t="e">
        <f t="shared" si="418"/>
        <v>#DIV/0!</v>
      </c>
      <c r="AN1515" s="799"/>
      <c r="AO1515" s="448"/>
      <c r="AP1515" s="440">
        <v>0</v>
      </c>
      <c r="AQ1515" s="440">
        <v>0</v>
      </c>
      <c r="AR1515" s="440">
        <v>0</v>
      </c>
      <c r="AS1515" s="440">
        <v>0</v>
      </c>
      <c r="AT1515" s="440">
        <v>0</v>
      </c>
      <c r="AU1515" s="440">
        <v>0</v>
      </c>
      <c r="AV1515" s="440">
        <v>0</v>
      </c>
      <c r="AW1515" s="440">
        <v>0</v>
      </c>
      <c r="AX1515" s="440">
        <v>0</v>
      </c>
      <c r="AY1515" s="440">
        <v>0</v>
      </c>
      <c r="AZ1515" s="440">
        <v>0</v>
      </c>
      <c r="BA1515" s="440">
        <v>0</v>
      </c>
      <c r="BB1515" s="440">
        <v>0</v>
      </c>
      <c r="BC1515" s="440">
        <v>0</v>
      </c>
      <c r="BD1515" s="440">
        <v>0</v>
      </c>
      <c r="BE1515" s="440">
        <v>0</v>
      </c>
      <c r="BF1515" s="440">
        <v>0</v>
      </c>
      <c r="BG1515" s="440">
        <v>0</v>
      </c>
      <c r="BH1515" s="440">
        <v>0</v>
      </c>
      <c r="BI1515" s="440">
        <v>0</v>
      </c>
      <c r="BJ1515" s="440">
        <v>0</v>
      </c>
      <c r="BK1515" s="440">
        <v>0</v>
      </c>
      <c r="BL1515" s="440">
        <v>0</v>
      </c>
      <c r="BM1515" s="440">
        <v>0</v>
      </c>
      <c r="BN1515" s="440">
        <v>0</v>
      </c>
      <c r="BO1515" s="440">
        <v>0</v>
      </c>
      <c r="BP1515" s="440">
        <v>0</v>
      </c>
      <c r="BQ1515" s="440">
        <v>0</v>
      </c>
      <c r="BR1515" s="415">
        <v>0</v>
      </c>
      <c r="BS1515" s="415"/>
      <c r="BT1515" s="935"/>
      <c r="BU1515" s="935"/>
      <c r="BV1515" s="935"/>
      <c r="BW1515" s="935"/>
      <c r="BX1515" s="935"/>
      <c r="BY1515" s="935"/>
      <c r="BZ1515" s="935"/>
      <c r="CA1515" s="935"/>
      <c r="CB1515" s="935"/>
      <c r="CC1515" s="935"/>
      <c r="CD1515" s="935"/>
      <c r="CE1515" s="935"/>
      <c r="CF1515" s="935"/>
      <c r="CG1515" s="935"/>
      <c r="CH1515" s="935"/>
      <c r="CI1515" s="935"/>
      <c r="CJ1515" s="935"/>
      <c r="CK1515" s="935"/>
      <c r="CL1515" s="935"/>
      <c r="CM1515" s="935"/>
      <c r="CN1515" s="935"/>
      <c r="CO1515" s="935"/>
      <c r="CP1515" s="935"/>
      <c r="CQ1515" s="935"/>
      <c r="CR1515" s="935"/>
      <c r="CS1515" s="935"/>
      <c r="CT1515" s="935"/>
      <c r="CU1515" s="935"/>
      <c r="CV1515" s="935"/>
    </row>
    <row r="1516" spans="1:100" s="441" customFormat="1">
      <c r="B1516" s="868"/>
      <c r="C1516" s="493"/>
      <c r="D1516" s="376"/>
      <c r="E1516" s="447"/>
      <c r="F1516" s="500"/>
      <c r="G1516" s="497"/>
      <c r="H1516" s="602" t="str">
        <f>IFERROR(VLOOKUP(E:E,'Item Data Support Sheet'!A:O,2,0),"")</f>
        <v/>
      </c>
      <c r="I1516" s="501"/>
      <c r="J1516" s="501"/>
      <c r="K1516" s="499"/>
      <c r="L1516" s="499"/>
      <c r="M1516" s="366"/>
      <c r="N1516" s="367">
        <f t="shared" si="403"/>
        <v>0</v>
      </c>
      <c r="O1516" s="61"/>
      <c r="P1516" s="368"/>
      <c r="Q1516" s="368"/>
      <c r="R1516" s="494"/>
      <c r="S1516" s="493"/>
      <c r="T1516" s="494"/>
      <c r="U1516" s="493"/>
      <c r="V1516" s="502"/>
      <c r="W1516" s="453">
        <f t="shared" si="405"/>
        <v>0</v>
      </c>
      <c r="X1516" s="748" t="e">
        <f t="shared" si="406"/>
        <v>#DIV/0!</v>
      </c>
      <c r="Y1516" s="451">
        <f>IFERROR(VLOOKUP(E:E,'Item Data Support Sheet'!A:J,6,0),0)</f>
        <v>0</v>
      </c>
      <c r="Z1516" s="428">
        <f>IFERROR(VLOOKUP(E:E,'Item Data Support Sheet'!A:O,4,0),0)</f>
        <v>0</v>
      </c>
      <c r="AA1516" s="428">
        <f t="shared" si="407"/>
        <v>0</v>
      </c>
      <c r="AB1516" s="429" t="str">
        <f t="shared" si="408"/>
        <v xml:space="preserve"> </v>
      </c>
      <c r="AC1516" s="424">
        <f t="shared" si="409"/>
        <v>0</v>
      </c>
      <c r="AD1516" s="371">
        <f t="shared" si="410"/>
        <v>0</v>
      </c>
      <c r="AE1516" s="748" t="e">
        <f t="shared" si="411"/>
        <v>#DIV/0!</v>
      </c>
      <c r="AF1516" s="417">
        <f t="shared" si="412"/>
        <v>0</v>
      </c>
      <c r="AG1516" s="416">
        <f t="shared" si="413"/>
        <v>0</v>
      </c>
      <c r="AH1516" s="372" t="str">
        <f t="shared" si="414"/>
        <v xml:space="preserve"> </v>
      </c>
      <c r="AI1516" s="373">
        <f t="shared" si="415"/>
        <v>0</v>
      </c>
      <c r="AJ1516" s="418" t="e">
        <f>VLOOKUP(D1516,'Standard Cycle time'!C:D,2,0)</f>
        <v>#N/A</v>
      </c>
      <c r="AK1516" s="418" t="e">
        <f t="shared" si="416"/>
        <v>#DIV/0!</v>
      </c>
      <c r="AL1516" s="374" t="e">
        <f t="shared" si="417"/>
        <v>#N/A</v>
      </c>
      <c r="AM1516" s="372" t="e">
        <f t="shared" si="418"/>
        <v>#DIV/0!</v>
      </c>
      <c r="AN1516" s="799"/>
      <c r="AO1516" s="448"/>
      <c r="AP1516" s="440">
        <v>0</v>
      </c>
      <c r="AQ1516" s="440">
        <v>0</v>
      </c>
      <c r="AR1516" s="440">
        <v>0</v>
      </c>
      <c r="AS1516" s="440">
        <v>0</v>
      </c>
      <c r="AT1516" s="440">
        <v>0</v>
      </c>
      <c r="AU1516" s="440">
        <v>0</v>
      </c>
      <c r="AV1516" s="440">
        <v>0</v>
      </c>
      <c r="AW1516" s="440">
        <v>0</v>
      </c>
      <c r="AX1516" s="440">
        <v>0</v>
      </c>
      <c r="AY1516" s="440">
        <v>0</v>
      </c>
      <c r="AZ1516" s="440">
        <v>0</v>
      </c>
      <c r="BA1516" s="440">
        <v>0</v>
      </c>
      <c r="BB1516" s="440">
        <v>0</v>
      </c>
      <c r="BC1516" s="440">
        <v>0</v>
      </c>
      <c r="BD1516" s="440">
        <v>0</v>
      </c>
      <c r="BE1516" s="440">
        <v>0</v>
      </c>
      <c r="BF1516" s="440">
        <v>0</v>
      </c>
      <c r="BG1516" s="440">
        <v>0</v>
      </c>
      <c r="BH1516" s="440">
        <v>0</v>
      </c>
      <c r="BI1516" s="440">
        <v>0</v>
      </c>
      <c r="BJ1516" s="440">
        <v>0</v>
      </c>
      <c r="BK1516" s="440">
        <v>0</v>
      </c>
      <c r="BL1516" s="440">
        <v>0</v>
      </c>
      <c r="BM1516" s="440">
        <v>0</v>
      </c>
      <c r="BN1516" s="440">
        <v>0</v>
      </c>
      <c r="BO1516" s="440">
        <v>0</v>
      </c>
      <c r="BP1516" s="440">
        <v>0</v>
      </c>
      <c r="BQ1516" s="440">
        <v>0</v>
      </c>
      <c r="BR1516" s="415">
        <v>0</v>
      </c>
      <c r="BS1516" s="415"/>
      <c r="BT1516" s="935"/>
      <c r="BU1516" s="935"/>
      <c r="BV1516" s="935"/>
      <c r="BW1516" s="935"/>
      <c r="BX1516" s="935"/>
      <c r="BY1516" s="935"/>
      <c r="BZ1516" s="935"/>
      <c r="CA1516" s="935"/>
      <c r="CB1516" s="935"/>
      <c r="CC1516" s="935"/>
      <c r="CD1516" s="935"/>
      <c r="CE1516" s="935"/>
      <c r="CF1516" s="935"/>
      <c r="CG1516" s="935"/>
      <c r="CH1516" s="935"/>
      <c r="CI1516" s="935"/>
      <c r="CJ1516" s="935"/>
      <c r="CK1516" s="935"/>
      <c r="CL1516" s="935"/>
      <c r="CM1516" s="935"/>
      <c r="CN1516" s="935"/>
      <c r="CO1516" s="935"/>
      <c r="CP1516" s="935"/>
      <c r="CQ1516" s="935"/>
      <c r="CR1516" s="935"/>
      <c r="CS1516" s="935"/>
      <c r="CT1516" s="935"/>
      <c r="CU1516" s="935"/>
      <c r="CV1516" s="935"/>
    </row>
    <row r="1517" spans="1:100" s="441" customFormat="1">
      <c r="B1517" s="868"/>
      <c r="C1517" s="493"/>
      <c r="D1517" s="376"/>
      <c r="E1517" s="447"/>
      <c r="F1517" s="500"/>
      <c r="G1517" s="497"/>
      <c r="H1517" s="602" t="str">
        <f>IFERROR(VLOOKUP(E:E,'Item Data Support Sheet'!A:O,2,0),"")</f>
        <v/>
      </c>
      <c r="I1517" s="501"/>
      <c r="J1517" s="501"/>
      <c r="K1517" s="499"/>
      <c r="L1517" s="499"/>
      <c r="M1517" s="366"/>
      <c r="N1517" s="367">
        <f t="shared" si="403"/>
        <v>0</v>
      </c>
      <c r="O1517" s="61"/>
      <c r="P1517" s="368"/>
      <c r="Q1517" s="368"/>
      <c r="R1517" s="494"/>
      <c r="S1517" s="493"/>
      <c r="T1517" s="494"/>
      <c r="U1517" s="493"/>
      <c r="V1517" s="502"/>
      <c r="W1517" s="453">
        <f t="shared" si="405"/>
        <v>0</v>
      </c>
      <c r="X1517" s="748" t="e">
        <f t="shared" si="406"/>
        <v>#DIV/0!</v>
      </c>
      <c r="Y1517" s="451">
        <f>IFERROR(VLOOKUP(E:E,'Item Data Support Sheet'!A:J,6,0),0)</f>
        <v>0</v>
      </c>
      <c r="Z1517" s="428">
        <f>IFERROR(VLOOKUP(E:E,'Item Data Support Sheet'!A:O,4,0),0)</f>
        <v>0</v>
      </c>
      <c r="AA1517" s="428">
        <f t="shared" si="407"/>
        <v>0</v>
      </c>
      <c r="AB1517" s="429" t="str">
        <f t="shared" si="408"/>
        <v xml:space="preserve"> </v>
      </c>
      <c r="AC1517" s="424">
        <f t="shared" si="409"/>
        <v>0</v>
      </c>
      <c r="AD1517" s="371">
        <f t="shared" si="410"/>
        <v>0</v>
      </c>
      <c r="AE1517" s="748" t="e">
        <f t="shared" si="411"/>
        <v>#DIV/0!</v>
      </c>
      <c r="AF1517" s="417">
        <f t="shared" si="412"/>
        <v>0</v>
      </c>
      <c r="AG1517" s="416">
        <f t="shared" si="413"/>
        <v>0</v>
      </c>
      <c r="AH1517" s="372" t="str">
        <f t="shared" si="414"/>
        <v xml:space="preserve"> </v>
      </c>
      <c r="AI1517" s="373">
        <f t="shared" si="415"/>
        <v>0</v>
      </c>
      <c r="AJ1517" s="418" t="e">
        <f>VLOOKUP(D1517,'Standard Cycle time'!C:D,2,0)</f>
        <v>#N/A</v>
      </c>
      <c r="AK1517" s="418" t="e">
        <f t="shared" si="416"/>
        <v>#DIV/0!</v>
      </c>
      <c r="AL1517" s="374" t="e">
        <f t="shared" si="417"/>
        <v>#N/A</v>
      </c>
      <c r="AM1517" s="372" t="e">
        <f t="shared" si="418"/>
        <v>#DIV/0!</v>
      </c>
      <c r="AN1517" s="799"/>
      <c r="AO1517" s="448"/>
      <c r="AP1517" s="440"/>
      <c r="AQ1517" s="440"/>
      <c r="AR1517" s="440"/>
      <c r="AS1517" s="440"/>
      <c r="AT1517" s="440"/>
      <c r="AU1517" s="440"/>
      <c r="AV1517" s="440"/>
      <c r="AW1517" s="440"/>
      <c r="AX1517" s="440"/>
      <c r="AY1517" s="440"/>
      <c r="AZ1517" s="440"/>
      <c r="BA1517" s="440"/>
      <c r="BB1517" s="440"/>
      <c r="BC1517" s="440"/>
      <c r="BD1517" s="440"/>
      <c r="BE1517" s="440"/>
      <c r="BF1517" s="440"/>
      <c r="BG1517" s="440"/>
      <c r="BH1517" s="440"/>
      <c r="BI1517" s="440"/>
      <c r="BJ1517" s="440"/>
      <c r="BK1517" s="440"/>
      <c r="BL1517" s="440"/>
      <c r="BM1517" s="440"/>
      <c r="BN1517" s="440"/>
      <c r="BO1517" s="440"/>
      <c r="BP1517" s="440"/>
      <c r="BQ1517" s="440"/>
      <c r="BR1517" s="415"/>
      <c r="BS1517" s="415"/>
      <c r="BT1517" s="935"/>
      <c r="BU1517" s="935"/>
      <c r="BV1517" s="935"/>
      <c r="BW1517" s="935"/>
      <c r="BX1517" s="935"/>
      <c r="BY1517" s="935"/>
      <c r="BZ1517" s="935"/>
      <c r="CA1517" s="935"/>
      <c r="CB1517" s="935"/>
      <c r="CC1517" s="935"/>
      <c r="CD1517" s="935"/>
      <c r="CE1517" s="935"/>
      <c r="CF1517" s="935"/>
      <c r="CG1517" s="935"/>
      <c r="CH1517" s="935"/>
      <c r="CI1517" s="935"/>
      <c r="CJ1517" s="935"/>
      <c r="CK1517" s="935"/>
      <c r="CL1517" s="935"/>
      <c r="CM1517" s="935"/>
      <c r="CN1517" s="935"/>
      <c r="CO1517" s="935"/>
      <c r="CP1517" s="935"/>
      <c r="CQ1517" s="935"/>
      <c r="CR1517" s="935"/>
      <c r="CS1517" s="935"/>
      <c r="CT1517" s="935"/>
      <c r="CU1517" s="935"/>
      <c r="CV1517" s="935"/>
    </row>
    <row r="1518" spans="1:100" s="441" customFormat="1">
      <c r="B1518" s="868"/>
      <c r="C1518" s="493"/>
      <c r="D1518" s="376"/>
      <c r="E1518" s="447"/>
      <c r="F1518" s="500"/>
      <c r="G1518" s="497"/>
      <c r="H1518" s="602" t="str">
        <f>IFERROR(VLOOKUP(E:E,'Item Data Support Sheet'!A:O,2,0),"")</f>
        <v/>
      </c>
      <c r="I1518" s="501"/>
      <c r="J1518" s="501"/>
      <c r="K1518" s="499"/>
      <c r="L1518" s="499"/>
      <c r="M1518" s="366"/>
      <c r="N1518" s="367">
        <f t="shared" si="403"/>
        <v>0</v>
      </c>
      <c r="O1518" s="61"/>
      <c r="P1518" s="368"/>
      <c r="Q1518" s="368"/>
      <c r="R1518" s="494"/>
      <c r="S1518" s="493"/>
      <c r="T1518" s="494"/>
      <c r="U1518" s="493"/>
      <c r="V1518" s="502"/>
      <c r="W1518" s="453">
        <f t="shared" si="405"/>
        <v>0</v>
      </c>
      <c r="X1518" s="748" t="e">
        <f t="shared" si="406"/>
        <v>#DIV/0!</v>
      </c>
      <c r="Y1518" s="451">
        <f>IFERROR(VLOOKUP(E:E,'Item Data Support Sheet'!A:J,6,0),0)</f>
        <v>0</v>
      </c>
      <c r="Z1518" s="428">
        <f>IFERROR(VLOOKUP(E:E,'Item Data Support Sheet'!A:O,4,0),0)</f>
        <v>0</v>
      </c>
      <c r="AA1518" s="428">
        <f t="shared" si="407"/>
        <v>0</v>
      </c>
      <c r="AB1518" s="429" t="str">
        <f t="shared" si="408"/>
        <v xml:space="preserve"> </v>
      </c>
      <c r="AC1518" s="424">
        <f t="shared" si="409"/>
        <v>0</v>
      </c>
      <c r="AD1518" s="371">
        <f t="shared" si="410"/>
        <v>0</v>
      </c>
      <c r="AE1518" s="748" t="e">
        <f t="shared" si="411"/>
        <v>#DIV/0!</v>
      </c>
      <c r="AF1518" s="417">
        <f t="shared" si="412"/>
        <v>0</v>
      </c>
      <c r="AG1518" s="416">
        <f t="shared" si="413"/>
        <v>0</v>
      </c>
      <c r="AH1518" s="372" t="str">
        <f t="shared" si="414"/>
        <v xml:space="preserve"> </v>
      </c>
      <c r="AI1518" s="373">
        <f t="shared" si="415"/>
        <v>0</v>
      </c>
      <c r="AJ1518" s="418" t="e">
        <f>VLOOKUP(D1518,'Standard Cycle time'!C:D,2,0)</f>
        <v>#N/A</v>
      </c>
      <c r="AK1518" s="418" t="e">
        <f t="shared" si="416"/>
        <v>#DIV/0!</v>
      </c>
      <c r="AL1518" s="374" t="e">
        <f t="shared" si="417"/>
        <v>#N/A</v>
      </c>
      <c r="AM1518" s="372" t="e">
        <f t="shared" si="418"/>
        <v>#DIV/0!</v>
      </c>
      <c r="AN1518" s="799"/>
      <c r="AO1518" s="448"/>
      <c r="AP1518" s="440"/>
      <c r="AQ1518" s="440"/>
      <c r="AR1518" s="440"/>
      <c r="AS1518" s="440"/>
      <c r="AT1518" s="440"/>
      <c r="AU1518" s="440"/>
      <c r="AV1518" s="440"/>
      <c r="AW1518" s="440"/>
      <c r="AX1518" s="440"/>
      <c r="AY1518" s="440"/>
      <c r="AZ1518" s="440"/>
      <c r="BA1518" s="440"/>
      <c r="BB1518" s="440"/>
      <c r="BC1518" s="440"/>
      <c r="BD1518" s="440"/>
      <c r="BE1518" s="440"/>
      <c r="BF1518" s="440"/>
      <c r="BG1518" s="440"/>
      <c r="BH1518" s="440"/>
      <c r="BI1518" s="440"/>
      <c r="BJ1518" s="440"/>
      <c r="BK1518" s="440"/>
      <c r="BL1518" s="440"/>
      <c r="BM1518" s="440"/>
      <c r="BN1518" s="440"/>
      <c r="BO1518" s="440"/>
      <c r="BP1518" s="440"/>
      <c r="BQ1518" s="440"/>
      <c r="BR1518" s="415"/>
      <c r="BS1518" s="415"/>
      <c r="BT1518" s="935"/>
      <c r="BU1518" s="935"/>
      <c r="BV1518" s="935"/>
      <c r="BW1518" s="935"/>
      <c r="BX1518" s="935"/>
      <c r="BY1518" s="935"/>
      <c r="BZ1518" s="935"/>
      <c r="CA1518" s="935"/>
      <c r="CB1518" s="935"/>
      <c r="CC1518" s="935"/>
      <c r="CD1518" s="935"/>
      <c r="CE1518" s="935"/>
      <c r="CF1518" s="935"/>
      <c r="CG1518" s="935"/>
      <c r="CH1518" s="935"/>
      <c r="CI1518" s="935"/>
      <c r="CJ1518" s="935"/>
      <c r="CK1518" s="935"/>
      <c r="CL1518" s="935"/>
      <c r="CM1518" s="935"/>
      <c r="CN1518" s="935"/>
      <c r="CO1518" s="935"/>
      <c r="CP1518" s="935"/>
      <c r="CQ1518" s="935"/>
      <c r="CR1518" s="935"/>
      <c r="CS1518" s="935"/>
      <c r="CT1518" s="935"/>
      <c r="CU1518" s="935"/>
      <c r="CV1518" s="935"/>
    </row>
    <row r="1519" spans="1:100" s="441" customFormat="1">
      <c r="B1519" s="868"/>
      <c r="C1519" s="493"/>
      <c r="D1519" s="376"/>
      <c r="E1519" s="447"/>
      <c r="F1519" s="500"/>
      <c r="G1519" s="497"/>
      <c r="H1519" s="602" t="str">
        <f>IFERROR(VLOOKUP(E:E,'Item Data Support Sheet'!A:O,2,0),"")</f>
        <v/>
      </c>
      <c r="I1519" s="501"/>
      <c r="J1519" s="501"/>
      <c r="K1519" s="499"/>
      <c r="L1519" s="499"/>
      <c r="M1519" s="366"/>
      <c r="N1519" s="367">
        <f t="shared" si="403"/>
        <v>0</v>
      </c>
      <c r="O1519" s="61"/>
      <c r="P1519" s="368"/>
      <c r="Q1519" s="368"/>
      <c r="R1519" s="494"/>
      <c r="S1519" s="493"/>
      <c r="T1519" s="494"/>
      <c r="U1519" s="493"/>
      <c r="V1519" s="502"/>
      <c r="W1519" s="453">
        <f t="shared" si="405"/>
        <v>0</v>
      </c>
      <c r="X1519" s="748" t="e">
        <f t="shared" si="406"/>
        <v>#DIV/0!</v>
      </c>
      <c r="Y1519" s="451">
        <f>IFERROR(VLOOKUP(E:E,'Item Data Support Sheet'!A:J,6,0),0)</f>
        <v>0</v>
      </c>
      <c r="Z1519" s="428">
        <f>IFERROR(VLOOKUP(E:E,'Item Data Support Sheet'!A:O,4,0),0)</f>
        <v>0</v>
      </c>
      <c r="AA1519" s="428">
        <f t="shared" si="407"/>
        <v>0</v>
      </c>
      <c r="AB1519" s="429" t="str">
        <f t="shared" si="408"/>
        <v xml:space="preserve"> </v>
      </c>
      <c r="AC1519" s="424">
        <f t="shared" si="409"/>
        <v>0</v>
      </c>
      <c r="AD1519" s="371">
        <f t="shared" si="410"/>
        <v>0</v>
      </c>
      <c r="AE1519" s="748" t="e">
        <f t="shared" si="411"/>
        <v>#DIV/0!</v>
      </c>
      <c r="AF1519" s="417">
        <f t="shared" si="412"/>
        <v>0</v>
      </c>
      <c r="AG1519" s="416">
        <f t="shared" si="413"/>
        <v>0</v>
      </c>
      <c r="AH1519" s="372" t="str">
        <f t="shared" si="414"/>
        <v xml:space="preserve"> </v>
      </c>
      <c r="AI1519" s="373">
        <f t="shared" si="415"/>
        <v>0</v>
      </c>
      <c r="AJ1519" s="418" t="e">
        <f>VLOOKUP(D1519,'Standard Cycle time'!C:D,2,0)</f>
        <v>#N/A</v>
      </c>
      <c r="AK1519" s="418" t="e">
        <f t="shared" si="416"/>
        <v>#DIV/0!</v>
      </c>
      <c r="AL1519" s="374" t="e">
        <f t="shared" si="417"/>
        <v>#N/A</v>
      </c>
      <c r="AM1519" s="372" t="e">
        <f t="shared" si="418"/>
        <v>#DIV/0!</v>
      </c>
      <c r="AN1519" s="799"/>
      <c r="AO1519" s="448"/>
      <c r="AP1519" s="440"/>
      <c r="AQ1519" s="440"/>
      <c r="AR1519" s="440"/>
      <c r="AS1519" s="440"/>
      <c r="AT1519" s="440"/>
      <c r="AU1519" s="440"/>
      <c r="AV1519" s="440"/>
      <c r="AW1519" s="440"/>
      <c r="AX1519" s="440"/>
      <c r="AY1519" s="440"/>
      <c r="AZ1519" s="440"/>
      <c r="BA1519" s="440"/>
      <c r="BB1519" s="440"/>
      <c r="BC1519" s="440"/>
      <c r="BD1519" s="440"/>
      <c r="BE1519" s="440"/>
      <c r="BF1519" s="440"/>
      <c r="BG1519" s="440"/>
      <c r="BH1519" s="440"/>
      <c r="BI1519" s="440"/>
      <c r="BJ1519" s="440"/>
      <c r="BK1519" s="440"/>
      <c r="BL1519" s="440"/>
      <c r="BM1519" s="440"/>
      <c r="BN1519" s="440"/>
      <c r="BO1519" s="440"/>
      <c r="BP1519" s="440"/>
      <c r="BQ1519" s="440"/>
      <c r="BR1519" s="415"/>
      <c r="BS1519" s="415"/>
      <c r="BT1519" s="935"/>
      <c r="BU1519" s="935"/>
      <c r="BV1519" s="935"/>
      <c r="BW1519" s="935"/>
      <c r="BX1519" s="935"/>
      <c r="BY1519" s="935"/>
      <c r="BZ1519" s="935"/>
      <c r="CA1519" s="935"/>
      <c r="CB1519" s="935"/>
      <c r="CC1519" s="935"/>
      <c r="CD1519" s="935"/>
      <c r="CE1519" s="935"/>
      <c r="CF1519" s="935"/>
      <c r="CG1519" s="935"/>
      <c r="CH1519" s="935"/>
      <c r="CI1519" s="935"/>
      <c r="CJ1519" s="935"/>
      <c r="CK1519" s="935"/>
      <c r="CL1519" s="935"/>
      <c r="CM1519" s="935"/>
      <c r="CN1519" s="935"/>
      <c r="CO1519" s="935"/>
      <c r="CP1519" s="935"/>
      <c r="CQ1519" s="935"/>
      <c r="CR1519" s="935"/>
      <c r="CS1519" s="935"/>
      <c r="CT1519" s="935"/>
      <c r="CU1519" s="935"/>
      <c r="CV1519" s="935"/>
    </row>
    <row r="1520" spans="1:100" s="441" customFormat="1">
      <c r="B1520" s="868"/>
      <c r="C1520" s="493"/>
      <c r="D1520" s="376"/>
      <c r="E1520" s="447"/>
      <c r="F1520" s="500"/>
      <c r="G1520" s="497"/>
      <c r="H1520" s="602" t="str">
        <f>IFERROR(VLOOKUP(E:E,'Item Data Support Sheet'!A:O,2,0),"")</f>
        <v/>
      </c>
      <c r="I1520" s="501"/>
      <c r="J1520" s="501"/>
      <c r="K1520" s="499"/>
      <c r="L1520" s="499"/>
      <c r="M1520" s="366"/>
      <c r="N1520" s="367">
        <f t="shared" si="403"/>
        <v>0</v>
      </c>
      <c r="O1520" s="61"/>
      <c r="P1520" s="368"/>
      <c r="Q1520" s="368"/>
      <c r="R1520" s="494"/>
      <c r="S1520" s="493"/>
      <c r="T1520" s="494"/>
      <c r="U1520" s="493"/>
      <c r="V1520" s="502"/>
      <c r="W1520" s="453">
        <f t="shared" si="405"/>
        <v>0</v>
      </c>
      <c r="X1520" s="748" t="e">
        <f t="shared" si="406"/>
        <v>#DIV/0!</v>
      </c>
      <c r="Y1520" s="451">
        <f>IFERROR(VLOOKUP(E:E,'Item Data Support Sheet'!A:J,6,0),0)</f>
        <v>0</v>
      </c>
      <c r="Z1520" s="428">
        <f>IFERROR(VLOOKUP(E:E,'Item Data Support Sheet'!A:O,4,0),0)</f>
        <v>0</v>
      </c>
      <c r="AA1520" s="428">
        <f t="shared" si="407"/>
        <v>0</v>
      </c>
      <c r="AB1520" s="429" t="str">
        <f t="shared" si="408"/>
        <v xml:space="preserve"> </v>
      </c>
      <c r="AC1520" s="424">
        <f t="shared" si="409"/>
        <v>0</v>
      </c>
      <c r="AD1520" s="371">
        <f t="shared" si="410"/>
        <v>0</v>
      </c>
      <c r="AE1520" s="748" t="e">
        <f t="shared" si="411"/>
        <v>#DIV/0!</v>
      </c>
      <c r="AF1520" s="417">
        <f t="shared" si="412"/>
        <v>0</v>
      </c>
      <c r="AG1520" s="416">
        <f t="shared" si="413"/>
        <v>0</v>
      </c>
      <c r="AH1520" s="372" t="str">
        <f t="shared" si="414"/>
        <v xml:space="preserve"> </v>
      </c>
      <c r="AI1520" s="373">
        <f t="shared" si="415"/>
        <v>0</v>
      </c>
      <c r="AJ1520" s="418" t="e">
        <f>VLOOKUP(D1520,'Standard Cycle time'!C:D,2,0)</f>
        <v>#N/A</v>
      </c>
      <c r="AK1520" s="418" t="e">
        <f t="shared" si="416"/>
        <v>#DIV/0!</v>
      </c>
      <c r="AL1520" s="374" t="e">
        <f t="shared" si="417"/>
        <v>#N/A</v>
      </c>
      <c r="AM1520" s="372" t="e">
        <f t="shared" si="418"/>
        <v>#DIV/0!</v>
      </c>
      <c r="AN1520" s="799"/>
      <c r="AO1520" s="448"/>
      <c r="AP1520" s="440"/>
      <c r="AQ1520" s="440"/>
      <c r="AR1520" s="440"/>
      <c r="AS1520" s="440"/>
      <c r="AT1520" s="440"/>
      <c r="AU1520" s="440"/>
      <c r="AV1520" s="440"/>
      <c r="AW1520" s="440"/>
      <c r="AX1520" s="440"/>
      <c r="AY1520" s="440"/>
      <c r="AZ1520" s="440"/>
      <c r="BA1520" s="440"/>
      <c r="BB1520" s="440"/>
      <c r="BC1520" s="440"/>
      <c r="BD1520" s="440"/>
      <c r="BE1520" s="440"/>
      <c r="BF1520" s="440"/>
      <c r="BG1520" s="440"/>
      <c r="BH1520" s="440"/>
      <c r="BI1520" s="440"/>
      <c r="BJ1520" s="440"/>
      <c r="BK1520" s="440"/>
      <c r="BL1520" s="440"/>
      <c r="BM1520" s="440"/>
      <c r="BN1520" s="440"/>
      <c r="BO1520" s="440"/>
      <c r="BP1520" s="440"/>
      <c r="BQ1520" s="440"/>
      <c r="BR1520" s="415"/>
      <c r="BS1520" s="415"/>
      <c r="BT1520" s="935"/>
      <c r="BU1520" s="935"/>
      <c r="BV1520" s="935"/>
      <c r="BW1520" s="935"/>
      <c r="BX1520" s="935"/>
      <c r="BY1520" s="935"/>
      <c r="BZ1520" s="935"/>
      <c r="CA1520" s="935"/>
      <c r="CB1520" s="935"/>
      <c r="CC1520" s="935"/>
      <c r="CD1520" s="935"/>
      <c r="CE1520" s="935"/>
      <c r="CF1520" s="935"/>
      <c r="CG1520" s="935"/>
      <c r="CH1520" s="935"/>
      <c r="CI1520" s="935"/>
      <c r="CJ1520" s="935"/>
      <c r="CK1520" s="935"/>
      <c r="CL1520" s="935"/>
      <c r="CM1520" s="935"/>
      <c r="CN1520" s="935"/>
      <c r="CO1520" s="935"/>
      <c r="CP1520" s="935"/>
      <c r="CQ1520" s="935"/>
      <c r="CR1520" s="935"/>
      <c r="CS1520" s="935"/>
      <c r="CT1520" s="935"/>
      <c r="CU1520" s="935"/>
      <c r="CV1520" s="935"/>
    </row>
    <row r="1521" spans="2:100" s="441" customFormat="1">
      <c r="B1521" s="868"/>
      <c r="C1521" s="493"/>
      <c r="D1521" s="376"/>
      <c r="E1521" s="447"/>
      <c r="F1521" s="500"/>
      <c r="G1521" s="497"/>
      <c r="H1521" s="602" t="str">
        <f>IFERROR(VLOOKUP(E:E,'Item Data Support Sheet'!A:O,2,0),"")</f>
        <v/>
      </c>
      <c r="I1521" s="501"/>
      <c r="J1521" s="501"/>
      <c r="K1521" s="499"/>
      <c r="L1521" s="499"/>
      <c r="M1521" s="366"/>
      <c r="N1521" s="367">
        <f t="shared" si="403"/>
        <v>0</v>
      </c>
      <c r="O1521" s="61"/>
      <c r="P1521" s="368"/>
      <c r="Q1521" s="368"/>
      <c r="R1521" s="494"/>
      <c r="S1521" s="493"/>
      <c r="T1521" s="494"/>
      <c r="U1521" s="493"/>
      <c r="V1521" s="502"/>
      <c r="W1521" s="453">
        <f t="shared" si="405"/>
        <v>0</v>
      </c>
      <c r="X1521" s="748" t="e">
        <f t="shared" si="406"/>
        <v>#DIV/0!</v>
      </c>
      <c r="Y1521" s="451">
        <f>IFERROR(VLOOKUP(E:E,'Item Data Support Sheet'!A:J,6,0),0)</f>
        <v>0</v>
      </c>
      <c r="Z1521" s="428">
        <f>IFERROR(VLOOKUP(E:E,'Item Data Support Sheet'!A:O,4,0),0)</f>
        <v>0</v>
      </c>
      <c r="AA1521" s="428">
        <f t="shared" si="407"/>
        <v>0</v>
      </c>
      <c r="AB1521" s="429" t="str">
        <f t="shared" si="408"/>
        <v xml:space="preserve"> </v>
      </c>
      <c r="AC1521" s="424">
        <f t="shared" si="409"/>
        <v>0</v>
      </c>
      <c r="AD1521" s="371">
        <f t="shared" si="410"/>
        <v>0</v>
      </c>
      <c r="AE1521" s="748" t="e">
        <f t="shared" si="411"/>
        <v>#DIV/0!</v>
      </c>
      <c r="AF1521" s="417">
        <f t="shared" si="412"/>
        <v>0</v>
      </c>
      <c r="AG1521" s="416">
        <f t="shared" si="413"/>
        <v>0</v>
      </c>
      <c r="AH1521" s="372" t="str">
        <f t="shared" si="414"/>
        <v xml:space="preserve"> </v>
      </c>
      <c r="AI1521" s="373">
        <f t="shared" si="415"/>
        <v>0</v>
      </c>
      <c r="AJ1521" s="418" t="e">
        <f>VLOOKUP(D1521,'Standard Cycle time'!C:D,2,0)</f>
        <v>#N/A</v>
      </c>
      <c r="AK1521" s="418" t="e">
        <f t="shared" si="416"/>
        <v>#DIV/0!</v>
      </c>
      <c r="AL1521" s="374" t="e">
        <f t="shared" si="417"/>
        <v>#N/A</v>
      </c>
      <c r="AM1521" s="372" t="e">
        <f t="shared" si="418"/>
        <v>#DIV/0!</v>
      </c>
      <c r="AN1521" s="799"/>
      <c r="AO1521" s="448"/>
      <c r="AP1521" s="440"/>
      <c r="AQ1521" s="440"/>
      <c r="AR1521" s="440"/>
      <c r="AS1521" s="440"/>
      <c r="AT1521" s="440"/>
      <c r="AU1521" s="440"/>
      <c r="AV1521" s="440"/>
      <c r="AW1521" s="440"/>
      <c r="AX1521" s="440"/>
      <c r="AY1521" s="440"/>
      <c r="AZ1521" s="440"/>
      <c r="BA1521" s="440"/>
      <c r="BB1521" s="440"/>
      <c r="BC1521" s="440"/>
      <c r="BD1521" s="440"/>
      <c r="BE1521" s="440"/>
      <c r="BF1521" s="440"/>
      <c r="BG1521" s="440"/>
      <c r="BH1521" s="440"/>
      <c r="BI1521" s="440"/>
      <c r="BJ1521" s="440"/>
      <c r="BK1521" s="440"/>
      <c r="BL1521" s="440"/>
      <c r="BM1521" s="440"/>
      <c r="BN1521" s="440"/>
      <c r="BO1521" s="440"/>
      <c r="BP1521" s="440"/>
      <c r="BQ1521" s="440"/>
      <c r="BR1521" s="415"/>
      <c r="BS1521" s="415"/>
      <c r="BT1521" s="935"/>
      <c r="BU1521" s="935"/>
      <c r="BV1521" s="935"/>
      <c r="BW1521" s="935"/>
      <c r="BX1521" s="935"/>
      <c r="BY1521" s="935"/>
      <c r="BZ1521" s="935"/>
      <c r="CA1521" s="935"/>
      <c r="CB1521" s="935"/>
      <c r="CC1521" s="935"/>
      <c r="CD1521" s="935"/>
      <c r="CE1521" s="935"/>
      <c r="CF1521" s="935"/>
      <c r="CG1521" s="935"/>
      <c r="CH1521" s="935"/>
      <c r="CI1521" s="935"/>
      <c r="CJ1521" s="935"/>
      <c r="CK1521" s="935"/>
      <c r="CL1521" s="935"/>
      <c r="CM1521" s="935"/>
      <c r="CN1521" s="935"/>
      <c r="CO1521" s="935"/>
      <c r="CP1521" s="935"/>
      <c r="CQ1521" s="935"/>
      <c r="CR1521" s="935"/>
      <c r="CS1521" s="935"/>
      <c r="CT1521" s="935"/>
      <c r="CU1521" s="935"/>
      <c r="CV1521" s="935"/>
    </row>
    <row r="1522" spans="2:100" s="441" customFormat="1">
      <c r="B1522" s="868"/>
      <c r="C1522" s="493"/>
      <c r="D1522" s="376"/>
      <c r="E1522" s="447"/>
      <c r="F1522" s="500"/>
      <c r="G1522" s="497"/>
      <c r="H1522" s="602" t="str">
        <f>IFERROR(VLOOKUP(E:E,'Item Data Support Sheet'!A:O,2,0),"")</f>
        <v/>
      </c>
      <c r="I1522" s="501"/>
      <c r="J1522" s="501"/>
      <c r="K1522" s="499"/>
      <c r="L1522" s="499"/>
      <c r="M1522" s="366"/>
      <c r="N1522" s="367">
        <f t="shared" si="403"/>
        <v>0</v>
      </c>
      <c r="O1522" s="61"/>
      <c r="P1522" s="368"/>
      <c r="Q1522" s="368"/>
      <c r="R1522" s="494"/>
      <c r="S1522" s="493"/>
      <c r="T1522" s="494"/>
      <c r="U1522" s="493"/>
      <c r="V1522" s="502"/>
      <c r="W1522" s="453">
        <f t="shared" si="405"/>
        <v>0</v>
      </c>
      <c r="X1522" s="748" t="e">
        <f t="shared" si="406"/>
        <v>#DIV/0!</v>
      </c>
      <c r="Y1522" s="451">
        <f>IFERROR(VLOOKUP(E:E,'Item Data Support Sheet'!A:J,6,0),0)</f>
        <v>0</v>
      </c>
      <c r="Z1522" s="428">
        <f>IFERROR(VLOOKUP(E:E,'Item Data Support Sheet'!A:O,4,0),0)</f>
        <v>0</v>
      </c>
      <c r="AA1522" s="428">
        <f t="shared" si="407"/>
        <v>0</v>
      </c>
      <c r="AB1522" s="429" t="str">
        <f t="shared" si="408"/>
        <v xml:space="preserve"> </v>
      </c>
      <c r="AC1522" s="424">
        <f t="shared" si="409"/>
        <v>0</v>
      </c>
      <c r="AD1522" s="371">
        <f t="shared" si="410"/>
        <v>0</v>
      </c>
      <c r="AE1522" s="748" t="e">
        <f t="shared" si="411"/>
        <v>#DIV/0!</v>
      </c>
      <c r="AF1522" s="417">
        <f t="shared" si="412"/>
        <v>0</v>
      </c>
      <c r="AG1522" s="416">
        <f t="shared" si="413"/>
        <v>0</v>
      </c>
      <c r="AH1522" s="372" t="str">
        <f t="shared" si="414"/>
        <v xml:space="preserve"> </v>
      </c>
      <c r="AI1522" s="373">
        <f t="shared" si="415"/>
        <v>0</v>
      </c>
      <c r="AJ1522" s="418" t="e">
        <f>VLOOKUP(D1522,'Standard Cycle time'!C:D,2,0)</f>
        <v>#N/A</v>
      </c>
      <c r="AK1522" s="418" t="e">
        <f t="shared" si="416"/>
        <v>#DIV/0!</v>
      </c>
      <c r="AL1522" s="374" t="e">
        <f t="shared" si="417"/>
        <v>#N/A</v>
      </c>
      <c r="AM1522" s="372" t="e">
        <f t="shared" si="418"/>
        <v>#DIV/0!</v>
      </c>
      <c r="AN1522" s="799"/>
      <c r="AO1522" s="448"/>
      <c r="AP1522" s="440"/>
      <c r="AQ1522" s="440"/>
      <c r="AR1522" s="440"/>
      <c r="AS1522" s="440"/>
      <c r="AT1522" s="440"/>
      <c r="AU1522" s="440"/>
      <c r="AV1522" s="440"/>
      <c r="AW1522" s="440"/>
      <c r="AX1522" s="440"/>
      <c r="AY1522" s="440"/>
      <c r="AZ1522" s="440"/>
      <c r="BA1522" s="440"/>
      <c r="BB1522" s="440"/>
      <c r="BC1522" s="440"/>
      <c r="BD1522" s="440"/>
      <c r="BE1522" s="440"/>
      <c r="BF1522" s="440"/>
      <c r="BG1522" s="440"/>
      <c r="BH1522" s="440"/>
      <c r="BI1522" s="440"/>
      <c r="BJ1522" s="440"/>
      <c r="BK1522" s="440"/>
      <c r="BL1522" s="440"/>
      <c r="BM1522" s="440"/>
      <c r="BN1522" s="440"/>
      <c r="BO1522" s="440"/>
      <c r="BP1522" s="440"/>
      <c r="BQ1522" s="440"/>
      <c r="BR1522" s="415"/>
      <c r="BS1522" s="415"/>
      <c r="BT1522" s="935"/>
      <c r="BU1522" s="935"/>
      <c r="BV1522" s="935"/>
      <c r="BW1522" s="935"/>
      <c r="BX1522" s="935"/>
      <c r="BY1522" s="935"/>
      <c r="BZ1522" s="935"/>
      <c r="CA1522" s="935"/>
      <c r="CB1522" s="935"/>
      <c r="CC1522" s="935"/>
      <c r="CD1522" s="935"/>
      <c r="CE1522" s="935"/>
      <c r="CF1522" s="935"/>
      <c r="CG1522" s="935"/>
      <c r="CH1522" s="935"/>
      <c r="CI1522" s="935"/>
      <c r="CJ1522" s="935"/>
      <c r="CK1522" s="935"/>
      <c r="CL1522" s="935"/>
      <c r="CM1522" s="935"/>
      <c r="CN1522" s="935"/>
      <c r="CO1522" s="935"/>
      <c r="CP1522" s="935"/>
      <c r="CQ1522" s="935"/>
      <c r="CR1522" s="935"/>
      <c r="CS1522" s="935"/>
      <c r="CT1522" s="935"/>
      <c r="CU1522" s="935"/>
      <c r="CV1522" s="935"/>
    </row>
    <row r="1523" spans="2:100" s="441" customFormat="1">
      <c r="B1523" s="868"/>
      <c r="C1523" s="493"/>
      <c r="D1523" s="376"/>
      <c r="E1523" s="447"/>
      <c r="F1523" s="500"/>
      <c r="G1523" s="497"/>
      <c r="H1523" s="602" t="str">
        <f>IFERROR(VLOOKUP(E:E,'Item Data Support Sheet'!A:O,2,0),"")</f>
        <v/>
      </c>
      <c r="I1523" s="501"/>
      <c r="J1523" s="501"/>
      <c r="K1523" s="499"/>
      <c r="L1523" s="499"/>
      <c r="M1523" s="366"/>
      <c r="N1523" s="367">
        <f t="shared" si="403"/>
        <v>0</v>
      </c>
      <c r="O1523" s="61"/>
      <c r="P1523" s="368"/>
      <c r="Q1523" s="368"/>
      <c r="R1523" s="494"/>
      <c r="S1523" s="493"/>
      <c r="T1523" s="494"/>
      <c r="U1523" s="493"/>
      <c r="V1523" s="502"/>
      <c r="W1523" s="453">
        <f t="shared" si="405"/>
        <v>0</v>
      </c>
      <c r="X1523" s="748" t="e">
        <f t="shared" si="406"/>
        <v>#DIV/0!</v>
      </c>
      <c r="Y1523" s="451">
        <f>IFERROR(VLOOKUP(E:E,'Item Data Support Sheet'!A:J,6,0),0)</f>
        <v>0</v>
      </c>
      <c r="Z1523" s="428">
        <f>IFERROR(VLOOKUP(E:E,'Item Data Support Sheet'!A:O,4,0),0)</f>
        <v>0</v>
      </c>
      <c r="AA1523" s="428">
        <f t="shared" si="407"/>
        <v>0</v>
      </c>
      <c r="AB1523" s="429" t="str">
        <f t="shared" si="408"/>
        <v xml:space="preserve"> </v>
      </c>
      <c r="AC1523" s="424">
        <f t="shared" si="409"/>
        <v>0</v>
      </c>
      <c r="AD1523" s="371">
        <f t="shared" si="410"/>
        <v>0</v>
      </c>
      <c r="AE1523" s="748" t="e">
        <f t="shared" si="411"/>
        <v>#DIV/0!</v>
      </c>
      <c r="AF1523" s="417">
        <f t="shared" si="412"/>
        <v>0</v>
      </c>
      <c r="AG1523" s="416">
        <f t="shared" si="413"/>
        <v>0</v>
      </c>
      <c r="AH1523" s="372" t="str">
        <f t="shared" si="414"/>
        <v xml:space="preserve"> </v>
      </c>
      <c r="AI1523" s="373">
        <f t="shared" si="415"/>
        <v>0</v>
      </c>
      <c r="AJ1523" s="418" t="e">
        <f>VLOOKUP(D1523,'Standard Cycle time'!C:D,2,0)</f>
        <v>#N/A</v>
      </c>
      <c r="AK1523" s="418" t="e">
        <f t="shared" si="416"/>
        <v>#DIV/0!</v>
      </c>
      <c r="AL1523" s="374" t="e">
        <f t="shared" si="417"/>
        <v>#N/A</v>
      </c>
      <c r="AM1523" s="372" t="e">
        <f t="shared" si="418"/>
        <v>#DIV/0!</v>
      </c>
      <c r="AN1523" s="799"/>
      <c r="AO1523" s="448"/>
      <c r="AP1523" s="440"/>
      <c r="AQ1523" s="440"/>
      <c r="AR1523" s="440"/>
      <c r="AS1523" s="440"/>
      <c r="AT1523" s="440"/>
      <c r="AU1523" s="440"/>
      <c r="AV1523" s="440"/>
      <c r="AW1523" s="440"/>
      <c r="AX1523" s="440"/>
      <c r="AY1523" s="440"/>
      <c r="AZ1523" s="440"/>
      <c r="BA1523" s="440"/>
      <c r="BB1523" s="440"/>
      <c r="BC1523" s="440"/>
      <c r="BD1523" s="440"/>
      <c r="BE1523" s="440"/>
      <c r="BF1523" s="440"/>
      <c r="BG1523" s="440"/>
      <c r="BH1523" s="440"/>
      <c r="BI1523" s="440"/>
      <c r="BJ1523" s="440"/>
      <c r="BK1523" s="440"/>
      <c r="BL1523" s="440"/>
      <c r="BM1523" s="440"/>
      <c r="BN1523" s="440"/>
      <c r="BO1523" s="440"/>
      <c r="BP1523" s="440"/>
      <c r="BQ1523" s="440"/>
      <c r="BR1523" s="415"/>
      <c r="BS1523" s="415"/>
      <c r="BT1523" s="935"/>
      <c r="BU1523" s="935"/>
      <c r="BV1523" s="935"/>
      <c r="BW1523" s="935"/>
      <c r="BX1523" s="935"/>
      <c r="BY1523" s="935"/>
      <c r="BZ1523" s="935"/>
      <c r="CA1523" s="935"/>
      <c r="CB1523" s="935"/>
      <c r="CC1523" s="935"/>
      <c r="CD1523" s="935"/>
      <c r="CE1523" s="935"/>
      <c r="CF1523" s="935"/>
      <c r="CG1523" s="935"/>
      <c r="CH1523" s="935"/>
      <c r="CI1523" s="935"/>
      <c r="CJ1523" s="935"/>
      <c r="CK1523" s="935"/>
      <c r="CL1523" s="935"/>
      <c r="CM1523" s="935"/>
      <c r="CN1523" s="935"/>
      <c r="CO1523" s="935"/>
      <c r="CP1523" s="935"/>
      <c r="CQ1523" s="935"/>
      <c r="CR1523" s="935"/>
      <c r="CS1523" s="935"/>
      <c r="CT1523" s="935"/>
      <c r="CU1523" s="935"/>
      <c r="CV1523" s="935"/>
    </row>
    <row r="1524" spans="2:100" s="441" customFormat="1">
      <c r="B1524" s="868"/>
      <c r="C1524" s="493"/>
      <c r="D1524" s="376"/>
      <c r="E1524" s="447"/>
      <c r="F1524" s="500"/>
      <c r="G1524" s="497"/>
      <c r="H1524" s="602" t="str">
        <f>IFERROR(VLOOKUP(E:E,'Item Data Support Sheet'!A:O,2,0),"")</f>
        <v/>
      </c>
      <c r="I1524" s="501"/>
      <c r="J1524" s="501"/>
      <c r="K1524" s="499"/>
      <c r="L1524" s="499"/>
      <c r="M1524" s="366"/>
      <c r="N1524" s="367">
        <f t="shared" si="403"/>
        <v>0</v>
      </c>
      <c r="O1524" s="61"/>
      <c r="P1524" s="368"/>
      <c r="Q1524" s="368"/>
      <c r="R1524" s="494"/>
      <c r="S1524" s="493"/>
      <c r="T1524" s="494"/>
      <c r="U1524" s="493"/>
      <c r="V1524" s="502"/>
      <c r="W1524" s="453">
        <f t="shared" si="405"/>
        <v>0</v>
      </c>
      <c r="X1524" s="748" t="e">
        <f t="shared" si="406"/>
        <v>#DIV/0!</v>
      </c>
      <c r="Y1524" s="451">
        <f>IFERROR(VLOOKUP(E:E,'Item Data Support Sheet'!A:J,6,0),0)</f>
        <v>0</v>
      </c>
      <c r="Z1524" s="428">
        <f>IFERROR(VLOOKUP(E:E,'Item Data Support Sheet'!A:O,4,0),0)</f>
        <v>0</v>
      </c>
      <c r="AA1524" s="428">
        <f t="shared" si="407"/>
        <v>0</v>
      </c>
      <c r="AB1524" s="429" t="str">
        <f t="shared" si="408"/>
        <v xml:space="preserve"> </v>
      </c>
      <c r="AC1524" s="424">
        <f t="shared" si="409"/>
        <v>0</v>
      </c>
      <c r="AD1524" s="371">
        <f t="shared" si="410"/>
        <v>0</v>
      </c>
      <c r="AE1524" s="748" t="e">
        <f t="shared" si="411"/>
        <v>#DIV/0!</v>
      </c>
      <c r="AF1524" s="417">
        <f t="shared" si="412"/>
        <v>0</v>
      </c>
      <c r="AG1524" s="416">
        <f t="shared" si="413"/>
        <v>0</v>
      </c>
      <c r="AH1524" s="372" t="str">
        <f t="shared" si="414"/>
        <v xml:space="preserve"> </v>
      </c>
      <c r="AI1524" s="373">
        <f t="shared" si="415"/>
        <v>0</v>
      </c>
      <c r="AJ1524" s="418" t="e">
        <f>VLOOKUP(D1524,'Standard Cycle time'!C:D,2,0)</f>
        <v>#N/A</v>
      </c>
      <c r="AK1524" s="418" t="e">
        <f t="shared" si="416"/>
        <v>#DIV/0!</v>
      </c>
      <c r="AL1524" s="374" t="e">
        <f t="shared" si="417"/>
        <v>#N/A</v>
      </c>
      <c r="AM1524" s="372" t="e">
        <f t="shared" si="418"/>
        <v>#DIV/0!</v>
      </c>
      <c r="AN1524" s="799"/>
      <c r="AO1524" s="448"/>
      <c r="AP1524" s="440"/>
      <c r="AQ1524" s="440"/>
      <c r="AR1524" s="440"/>
      <c r="AS1524" s="440"/>
      <c r="AT1524" s="440"/>
      <c r="AU1524" s="440"/>
      <c r="AV1524" s="440"/>
      <c r="AW1524" s="440"/>
      <c r="AX1524" s="440"/>
      <c r="AY1524" s="440"/>
      <c r="AZ1524" s="440"/>
      <c r="BA1524" s="440"/>
      <c r="BB1524" s="440"/>
      <c r="BC1524" s="440"/>
      <c r="BD1524" s="440"/>
      <c r="BE1524" s="440"/>
      <c r="BF1524" s="440"/>
      <c r="BG1524" s="440"/>
      <c r="BH1524" s="440"/>
      <c r="BI1524" s="440"/>
      <c r="BJ1524" s="440"/>
      <c r="BK1524" s="440"/>
      <c r="BL1524" s="440"/>
      <c r="BM1524" s="440"/>
      <c r="BN1524" s="440"/>
      <c r="BO1524" s="440"/>
      <c r="BP1524" s="440"/>
      <c r="BQ1524" s="440"/>
      <c r="BR1524" s="415"/>
      <c r="BS1524" s="415"/>
      <c r="BT1524" s="935"/>
      <c r="BU1524" s="935"/>
      <c r="BV1524" s="935"/>
      <c r="BW1524" s="935"/>
      <c r="BX1524" s="935"/>
      <c r="BY1524" s="935"/>
      <c r="BZ1524" s="935"/>
      <c r="CA1524" s="935"/>
      <c r="CB1524" s="935"/>
      <c r="CC1524" s="935"/>
      <c r="CD1524" s="935"/>
      <c r="CE1524" s="935"/>
      <c r="CF1524" s="935"/>
      <c r="CG1524" s="935"/>
      <c r="CH1524" s="935"/>
      <c r="CI1524" s="935"/>
      <c r="CJ1524" s="935"/>
      <c r="CK1524" s="935"/>
      <c r="CL1524" s="935"/>
      <c r="CM1524" s="935"/>
      <c r="CN1524" s="935"/>
      <c r="CO1524" s="935"/>
      <c r="CP1524" s="935"/>
      <c r="CQ1524" s="935"/>
      <c r="CR1524" s="935"/>
      <c r="CS1524" s="935"/>
      <c r="CT1524" s="935"/>
      <c r="CU1524" s="935"/>
      <c r="CV1524" s="935"/>
    </row>
    <row r="1525" spans="2:100" s="441" customFormat="1">
      <c r="B1525" s="868"/>
      <c r="C1525" s="493"/>
      <c r="D1525" s="376"/>
      <c r="E1525" s="447"/>
      <c r="F1525" s="500"/>
      <c r="G1525" s="497"/>
      <c r="H1525" s="602" t="str">
        <f>IFERROR(VLOOKUP(E:E,'Item Data Support Sheet'!A:O,2,0),"")</f>
        <v/>
      </c>
      <c r="I1525" s="501"/>
      <c r="J1525" s="501"/>
      <c r="K1525" s="499"/>
      <c r="L1525" s="499"/>
      <c r="M1525" s="366"/>
      <c r="N1525" s="367">
        <f t="shared" si="403"/>
        <v>0</v>
      </c>
      <c r="O1525" s="61"/>
      <c r="P1525" s="368"/>
      <c r="Q1525" s="368"/>
      <c r="R1525" s="494"/>
      <c r="S1525" s="493"/>
      <c r="T1525" s="494"/>
      <c r="U1525" s="493"/>
      <c r="V1525" s="502"/>
      <c r="W1525" s="453">
        <f t="shared" si="405"/>
        <v>0</v>
      </c>
      <c r="X1525" s="748" t="e">
        <f t="shared" si="406"/>
        <v>#DIV/0!</v>
      </c>
      <c r="Y1525" s="451">
        <f>IFERROR(VLOOKUP(E:E,'Item Data Support Sheet'!A:J,6,0),0)</f>
        <v>0</v>
      </c>
      <c r="Z1525" s="428">
        <f>IFERROR(VLOOKUP(E:E,'Item Data Support Sheet'!A:O,4,0),0)</f>
        <v>0</v>
      </c>
      <c r="AA1525" s="428">
        <f t="shared" si="407"/>
        <v>0</v>
      </c>
      <c r="AB1525" s="429" t="str">
        <f t="shared" si="408"/>
        <v xml:space="preserve"> </v>
      </c>
      <c r="AC1525" s="424">
        <f t="shared" si="409"/>
        <v>0</v>
      </c>
      <c r="AD1525" s="371">
        <f t="shared" si="410"/>
        <v>0</v>
      </c>
      <c r="AE1525" s="748" t="e">
        <f t="shared" si="411"/>
        <v>#DIV/0!</v>
      </c>
      <c r="AF1525" s="417">
        <f t="shared" si="412"/>
        <v>0</v>
      </c>
      <c r="AG1525" s="416">
        <f t="shared" si="413"/>
        <v>0</v>
      </c>
      <c r="AH1525" s="372" t="str">
        <f t="shared" si="414"/>
        <v xml:space="preserve"> </v>
      </c>
      <c r="AI1525" s="373">
        <f t="shared" si="415"/>
        <v>0</v>
      </c>
      <c r="AJ1525" s="418" t="e">
        <f>VLOOKUP(D1525,'Standard Cycle time'!C:D,2,0)</f>
        <v>#N/A</v>
      </c>
      <c r="AK1525" s="418" t="e">
        <f t="shared" si="416"/>
        <v>#DIV/0!</v>
      </c>
      <c r="AL1525" s="374" t="e">
        <f t="shared" si="417"/>
        <v>#N/A</v>
      </c>
      <c r="AM1525" s="372" t="e">
        <f t="shared" si="418"/>
        <v>#DIV/0!</v>
      </c>
      <c r="AN1525" s="799"/>
      <c r="AO1525" s="448"/>
      <c r="AP1525" s="440"/>
      <c r="AQ1525" s="440"/>
      <c r="AR1525" s="440"/>
      <c r="AS1525" s="440"/>
      <c r="AT1525" s="440"/>
      <c r="AU1525" s="440"/>
      <c r="AV1525" s="440"/>
      <c r="AW1525" s="440"/>
      <c r="AX1525" s="440"/>
      <c r="AY1525" s="440"/>
      <c r="AZ1525" s="440"/>
      <c r="BA1525" s="440"/>
      <c r="BB1525" s="440"/>
      <c r="BC1525" s="440"/>
      <c r="BD1525" s="440"/>
      <c r="BE1525" s="440"/>
      <c r="BF1525" s="440"/>
      <c r="BG1525" s="440"/>
      <c r="BH1525" s="440"/>
      <c r="BI1525" s="440"/>
      <c r="BJ1525" s="440"/>
      <c r="BK1525" s="440"/>
      <c r="BL1525" s="440"/>
      <c r="BM1525" s="440"/>
      <c r="BN1525" s="440"/>
      <c r="BO1525" s="440"/>
      <c r="BP1525" s="440"/>
      <c r="BQ1525" s="440"/>
      <c r="BR1525" s="415"/>
      <c r="BS1525" s="415"/>
      <c r="BT1525" s="935"/>
      <c r="BU1525" s="935"/>
      <c r="BV1525" s="935"/>
      <c r="BW1525" s="935"/>
      <c r="BX1525" s="935"/>
      <c r="BY1525" s="935"/>
      <c r="BZ1525" s="935"/>
      <c r="CA1525" s="935"/>
      <c r="CB1525" s="935"/>
      <c r="CC1525" s="935"/>
      <c r="CD1525" s="935"/>
      <c r="CE1525" s="935"/>
      <c r="CF1525" s="935"/>
      <c r="CG1525" s="935"/>
      <c r="CH1525" s="935"/>
      <c r="CI1525" s="935"/>
      <c r="CJ1525" s="935"/>
      <c r="CK1525" s="935"/>
      <c r="CL1525" s="935"/>
      <c r="CM1525" s="935"/>
      <c r="CN1525" s="935"/>
      <c r="CO1525" s="935"/>
      <c r="CP1525" s="935"/>
      <c r="CQ1525" s="935"/>
      <c r="CR1525" s="935"/>
      <c r="CS1525" s="935"/>
      <c r="CT1525" s="935"/>
      <c r="CU1525" s="935"/>
      <c r="CV1525" s="935"/>
    </row>
    <row r="1526" spans="2:100" s="441" customFormat="1">
      <c r="B1526" s="868"/>
      <c r="C1526" s="493"/>
      <c r="D1526" s="376"/>
      <c r="E1526" s="447"/>
      <c r="F1526" s="500"/>
      <c r="G1526" s="497"/>
      <c r="H1526" s="602" t="str">
        <f>IFERROR(VLOOKUP(E:E,'Item Data Support Sheet'!A:O,2,0),"")</f>
        <v/>
      </c>
      <c r="I1526" s="501"/>
      <c r="J1526" s="501"/>
      <c r="K1526" s="499"/>
      <c r="L1526" s="499"/>
      <c r="M1526" s="366"/>
      <c r="N1526" s="367">
        <f t="shared" si="403"/>
        <v>0</v>
      </c>
      <c r="O1526" s="61"/>
      <c r="P1526" s="368"/>
      <c r="Q1526" s="368"/>
      <c r="R1526" s="494"/>
      <c r="S1526" s="493"/>
      <c r="T1526" s="494"/>
      <c r="U1526" s="493"/>
      <c r="V1526" s="502"/>
      <c r="W1526" s="453">
        <f t="shared" si="405"/>
        <v>0</v>
      </c>
      <c r="X1526" s="748" t="e">
        <f t="shared" si="406"/>
        <v>#DIV/0!</v>
      </c>
      <c r="Y1526" s="451">
        <f>IFERROR(VLOOKUP(E:E,'Item Data Support Sheet'!A:J,6,0),0)</f>
        <v>0</v>
      </c>
      <c r="Z1526" s="428">
        <f>IFERROR(VLOOKUP(E:E,'Item Data Support Sheet'!A:O,4,0),0)</f>
        <v>0</v>
      </c>
      <c r="AA1526" s="428">
        <f t="shared" si="407"/>
        <v>0</v>
      </c>
      <c r="AB1526" s="429" t="str">
        <f t="shared" si="408"/>
        <v xml:space="preserve"> </v>
      </c>
      <c r="AC1526" s="424">
        <f t="shared" si="409"/>
        <v>0</v>
      </c>
      <c r="AD1526" s="371">
        <f t="shared" si="410"/>
        <v>0</v>
      </c>
      <c r="AE1526" s="748" t="e">
        <f t="shared" si="411"/>
        <v>#DIV/0!</v>
      </c>
      <c r="AF1526" s="417">
        <f t="shared" si="412"/>
        <v>0</v>
      </c>
      <c r="AG1526" s="416">
        <f t="shared" si="413"/>
        <v>0</v>
      </c>
      <c r="AH1526" s="372" t="str">
        <f t="shared" si="414"/>
        <v xml:space="preserve"> </v>
      </c>
      <c r="AI1526" s="373">
        <f t="shared" si="415"/>
        <v>0</v>
      </c>
      <c r="AJ1526" s="418" t="e">
        <f>VLOOKUP(D1526,'Standard Cycle time'!C:D,2,0)</f>
        <v>#N/A</v>
      </c>
      <c r="AK1526" s="418" t="e">
        <f t="shared" si="416"/>
        <v>#DIV/0!</v>
      </c>
      <c r="AL1526" s="374" t="e">
        <f t="shared" si="417"/>
        <v>#N/A</v>
      </c>
      <c r="AM1526" s="372" t="e">
        <f t="shared" si="418"/>
        <v>#DIV/0!</v>
      </c>
      <c r="AN1526" s="799"/>
      <c r="AO1526" s="448"/>
      <c r="AP1526" s="440"/>
      <c r="AQ1526" s="440"/>
      <c r="AR1526" s="440"/>
      <c r="AS1526" s="440"/>
      <c r="AT1526" s="440"/>
      <c r="AU1526" s="440"/>
      <c r="AV1526" s="440"/>
      <c r="AW1526" s="440"/>
      <c r="AX1526" s="440"/>
      <c r="AY1526" s="440"/>
      <c r="AZ1526" s="440"/>
      <c r="BA1526" s="440"/>
      <c r="BB1526" s="440"/>
      <c r="BC1526" s="440"/>
      <c r="BD1526" s="440"/>
      <c r="BE1526" s="440"/>
      <c r="BF1526" s="440"/>
      <c r="BG1526" s="440"/>
      <c r="BH1526" s="440"/>
      <c r="BI1526" s="440"/>
      <c r="BJ1526" s="440"/>
      <c r="BK1526" s="440"/>
      <c r="BL1526" s="440"/>
      <c r="BM1526" s="440"/>
      <c r="BN1526" s="440"/>
      <c r="BO1526" s="440"/>
      <c r="BP1526" s="440"/>
      <c r="BQ1526" s="440"/>
      <c r="BR1526" s="415"/>
      <c r="BS1526" s="415"/>
      <c r="BT1526" s="935"/>
      <c r="BU1526" s="935"/>
      <c r="BV1526" s="935"/>
      <c r="BW1526" s="935"/>
      <c r="BX1526" s="935"/>
      <c r="BY1526" s="935"/>
      <c r="BZ1526" s="935"/>
      <c r="CA1526" s="935"/>
      <c r="CB1526" s="935"/>
      <c r="CC1526" s="935"/>
      <c r="CD1526" s="935"/>
      <c r="CE1526" s="935"/>
      <c r="CF1526" s="935"/>
      <c r="CG1526" s="935"/>
      <c r="CH1526" s="935"/>
      <c r="CI1526" s="935"/>
      <c r="CJ1526" s="935"/>
      <c r="CK1526" s="935"/>
      <c r="CL1526" s="935"/>
      <c r="CM1526" s="935"/>
      <c r="CN1526" s="935"/>
      <c r="CO1526" s="935"/>
      <c r="CP1526" s="935"/>
      <c r="CQ1526" s="935"/>
      <c r="CR1526" s="935"/>
      <c r="CS1526" s="935"/>
      <c r="CT1526" s="935"/>
      <c r="CU1526" s="935"/>
      <c r="CV1526" s="935"/>
    </row>
    <row r="1527" spans="2:100" s="441" customFormat="1">
      <c r="B1527" s="868"/>
      <c r="C1527" s="493"/>
      <c r="D1527" s="376"/>
      <c r="E1527" s="447"/>
      <c r="F1527" s="500"/>
      <c r="G1527" s="497"/>
      <c r="H1527" s="602" t="str">
        <f>IFERROR(VLOOKUP(E:E,'Item Data Support Sheet'!A:O,2,0),"")</f>
        <v/>
      </c>
      <c r="I1527" s="501"/>
      <c r="J1527" s="501"/>
      <c r="K1527" s="499"/>
      <c r="L1527" s="499"/>
      <c r="M1527" s="366"/>
      <c r="N1527" s="367">
        <f t="shared" si="403"/>
        <v>0</v>
      </c>
      <c r="O1527" s="61"/>
      <c r="P1527" s="368"/>
      <c r="Q1527" s="368"/>
      <c r="R1527" s="494"/>
      <c r="S1527" s="493"/>
      <c r="T1527" s="494"/>
      <c r="U1527" s="493"/>
      <c r="V1527" s="502"/>
      <c r="W1527" s="453">
        <f t="shared" si="405"/>
        <v>0</v>
      </c>
      <c r="X1527" s="748" t="e">
        <f t="shared" si="406"/>
        <v>#DIV/0!</v>
      </c>
      <c r="Y1527" s="451">
        <f>IFERROR(VLOOKUP(E:E,'Item Data Support Sheet'!A:J,6,0),0)</f>
        <v>0</v>
      </c>
      <c r="Z1527" s="428">
        <f>IFERROR(VLOOKUP(E:E,'Item Data Support Sheet'!A:O,4,0),0)</f>
        <v>0</v>
      </c>
      <c r="AA1527" s="428">
        <f t="shared" si="407"/>
        <v>0</v>
      </c>
      <c r="AB1527" s="429" t="str">
        <f t="shared" si="408"/>
        <v xml:space="preserve"> </v>
      </c>
      <c r="AC1527" s="424">
        <f t="shared" si="409"/>
        <v>0</v>
      </c>
      <c r="AD1527" s="371">
        <f t="shared" si="410"/>
        <v>0</v>
      </c>
      <c r="AE1527" s="748" t="e">
        <f t="shared" si="411"/>
        <v>#DIV/0!</v>
      </c>
      <c r="AF1527" s="417">
        <f t="shared" si="412"/>
        <v>0</v>
      </c>
      <c r="AG1527" s="416">
        <f t="shared" si="413"/>
        <v>0</v>
      </c>
      <c r="AH1527" s="372" t="str">
        <f t="shared" si="414"/>
        <v xml:space="preserve"> </v>
      </c>
      <c r="AI1527" s="373">
        <f t="shared" si="415"/>
        <v>0</v>
      </c>
      <c r="AJ1527" s="418" t="e">
        <f>VLOOKUP(D1527,'Standard Cycle time'!C:D,2,0)</f>
        <v>#N/A</v>
      </c>
      <c r="AK1527" s="418" t="e">
        <f t="shared" si="416"/>
        <v>#DIV/0!</v>
      </c>
      <c r="AL1527" s="374" t="e">
        <f t="shared" si="417"/>
        <v>#N/A</v>
      </c>
      <c r="AM1527" s="372" t="e">
        <f t="shared" si="418"/>
        <v>#DIV/0!</v>
      </c>
      <c r="AN1527" s="799"/>
      <c r="AO1527" s="448"/>
      <c r="AP1527" s="440"/>
      <c r="AQ1527" s="440"/>
      <c r="AR1527" s="440"/>
      <c r="AS1527" s="440"/>
      <c r="AT1527" s="440"/>
      <c r="AU1527" s="440"/>
      <c r="AV1527" s="440"/>
      <c r="AW1527" s="440"/>
      <c r="AX1527" s="440"/>
      <c r="AY1527" s="440"/>
      <c r="AZ1527" s="440"/>
      <c r="BA1527" s="440"/>
      <c r="BB1527" s="440"/>
      <c r="BC1527" s="440"/>
      <c r="BD1527" s="440"/>
      <c r="BE1527" s="440"/>
      <c r="BF1527" s="440"/>
      <c r="BG1527" s="440"/>
      <c r="BH1527" s="440"/>
      <c r="BI1527" s="440"/>
      <c r="BJ1527" s="440"/>
      <c r="BK1527" s="440"/>
      <c r="BL1527" s="440"/>
      <c r="BM1527" s="440"/>
      <c r="BN1527" s="440"/>
      <c r="BO1527" s="440"/>
      <c r="BP1527" s="440"/>
      <c r="BQ1527" s="440"/>
      <c r="BR1527" s="415"/>
      <c r="BS1527" s="415"/>
      <c r="BT1527" s="935"/>
      <c r="BU1527" s="935"/>
      <c r="BV1527" s="935"/>
      <c r="BW1527" s="935"/>
      <c r="BX1527" s="935"/>
      <c r="BY1527" s="935"/>
      <c r="BZ1527" s="935"/>
      <c r="CA1527" s="935"/>
      <c r="CB1527" s="935"/>
      <c r="CC1527" s="935"/>
      <c r="CD1527" s="935"/>
      <c r="CE1527" s="935"/>
      <c r="CF1527" s="935"/>
      <c r="CG1527" s="935"/>
      <c r="CH1527" s="935"/>
      <c r="CI1527" s="935"/>
      <c r="CJ1527" s="935"/>
      <c r="CK1527" s="935"/>
      <c r="CL1527" s="935"/>
      <c r="CM1527" s="935"/>
      <c r="CN1527" s="935"/>
      <c r="CO1527" s="935"/>
      <c r="CP1527" s="935"/>
      <c r="CQ1527" s="935"/>
      <c r="CR1527" s="935"/>
      <c r="CS1527" s="935"/>
      <c r="CT1527" s="935"/>
      <c r="CU1527" s="935"/>
      <c r="CV1527" s="935"/>
    </row>
    <row r="1528" spans="2:100" s="441" customFormat="1">
      <c r="B1528" s="868"/>
      <c r="C1528" s="493"/>
      <c r="D1528" s="376"/>
      <c r="E1528" s="447"/>
      <c r="F1528" s="500"/>
      <c r="G1528" s="497"/>
      <c r="H1528" s="602" t="str">
        <f>IFERROR(VLOOKUP(E:E,'Item Data Support Sheet'!A:O,2,0),"")</f>
        <v/>
      </c>
      <c r="I1528" s="501"/>
      <c r="J1528" s="501"/>
      <c r="K1528" s="499"/>
      <c r="L1528" s="499"/>
      <c r="M1528" s="366"/>
      <c r="N1528" s="367">
        <f t="shared" si="403"/>
        <v>0</v>
      </c>
      <c r="O1528" s="61"/>
      <c r="P1528" s="368"/>
      <c r="Q1528" s="368"/>
      <c r="R1528" s="494"/>
      <c r="S1528" s="493"/>
      <c r="T1528" s="494"/>
      <c r="U1528" s="493"/>
      <c r="V1528" s="502"/>
      <c r="W1528" s="453">
        <f t="shared" si="405"/>
        <v>0</v>
      </c>
      <c r="X1528" s="748" t="e">
        <f t="shared" si="406"/>
        <v>#DIV/0!</v>
      </c>
      <c r="Y1528" s="451">
        <f>IFERROR(VLOOKUP(E:E,'Item Data Support Sheet'!A:J,6,0),0)</f>
        <v>0</v>
      </c>
      <c r="Z1528" s="428">
        <f>IFERROR(VLOOKUP(E:E,'Item Data Support Sheet'!A:O,4,0),0)</f>
        <v>0</v>
      </c>
      <c r="AA1528" s="428">
        <f t="shared" si="407"/>
        <v>0</v>
      </c>
      <c r="AB1528" s="429" t="str">
        <f t="shared" si="408"/>
        <v xml:space="preserve"> </v>
      </c>
      <c r="AC1528" s="424">
        <f t="shared" si="409"/>
        <v>0</v>
      </c>
      <c r="AD1528" s="371">
        <f t="shared" si="410"/>
        <v>0</v>
      </c>
      <c r="AE1528" s="748" t="e">
        <f t="shared" si="411"/>
        <v>#DIV/0!</v>
      </c>
      <c r="AF1528" s="417">
        <f t="shared" si="412"/>
        <v>0</v>
      </c>
      <c r="AG1528" s="416">
        <f t="shared" si="413"/>
        <v>0</v>
      </c>
      <c r="AH1528" s="372" t="str">
        <f t="shared" si="414"/>
        <v xml:space="preserve"> </v>
      </c>
      <c r="AI1528" s="373">
        <f t="shared" si="415"/>
        <v>0</v>
      </c>
      <c r="AJ1528" s="418" t="e">
        <f>VLOOKUP(D1528,'Standard Cycle time'!C:D,2,0)</f>
        <v>#N/A</v>
      </c>
      <c r="AK1528" s="418" t="e">
        <f t="shared" si="416"/>
        <v>#DIV/0!</v>
      </c>
      <c r="AL1528" s="374" t="e">
        <f t="shared" si="417"/>
        <v>#N/A</v>
      </c>
      <c r="AM1528" s="372" t="e">
        <f t="shared" si="418"/>
        <v>#DIV/0!</v>
      </c>
      <c r="AN1528" s="799"/>
      <c r="AO1528" s="448"/>
      <c r="AP1528" s="440"/>
      <c r="AQ1528" s="440"/>
      <c r="AR1528" s="440"/>
      <c r="AS1528" s="440"/>
      <c r="AT1528" s="440"/>
      <c r="AU1528" s="440"/>
      <c r="AV1528" s="440"/>
      <c r="AW1528" s="440"/>
      <c r="AX1528" s="440"/>
      <c r="AY1528" s="440"/>
      <c r="AZ1528" s="440"/>
      <c r="BA1528" s="440"/>
      <c r="BB1528" s="440"/>
      <c r="BC1528" s="440"/>
      <c r="BD1528" s="440"/>
      <c r="BE1528" s="440"/>
      <c r="BF1528" s="440"/>
      <c r="BG1528" s="440"/>
      <c r="BH1528" s="440"/>
      <c r="BI1528" s="440"/>
      <c r="BJ1528" s="440"/>
      <c r="BK1528" s="440"/>
      <c r="BL1528" s="440"/>
      <c r="BM1528" s="440"/>
      <c r="BN1528" s="440"/>
      <c r="BO1528" s="440"/>
      <c r="BP1528" s="440"/>
      <c r="BQ1528" s="440"/>
      <c r="BR1528" s="415"/>
      <c r="BS1528" s="415"/>
      <c r="BT1528" s="935"/>
      <c r="BU1528" s="935"/>
      <c r="BV1528" s="935"/>
      <c r="BW1528" s="935"/>
      <c r="BX1528" s="935"/>
      <c r="BY1528" s="935"/>
      <c r="BZ1528" s="935"/>
      <c r="CA1528" s="935"/>
      <c r="CB1528" s="935"/>
      <c r="CC1528" s="935"/>
      <c r="CD1528" s="935"/>
      <c r="CE1528" s="935"/>
      <c r="CF1528" s="935"/>
      <c r="CG1528" s="935"/>
      <c r="CH1528" s="935"/>
      <c r="CI1528" s="935"/>
      <c r="CJ1528" s="935"/>
      <c r="CK1528" s="935"/>
      <c r="CL1528" s="935"/>
      <c r="CM1528" s="935"/>
      <c r="CN1528" s="935"/>
      <c r="CO1528" s="935"/>
      <c r="CP1528" s="935"/>
      <c r="CQ1528" s="935"/>
      <c r="CR1528" s="935"/>
      <c r="CS1528" s="935"/>
      <c r="CT1528" s="935"/>
      <c r="CU1528" s="935"/>
      <c r="CV1528" s="935"/>
    </row>
    <row r="1529" spans="2:100" s="441" customFormat="1">
      <c r="B1529" s="868"/>
      <c r="C1529" s="493"/>
      <c r="D1529" s="376"/>
      <c r="E1529" s="447"/>
      <c r="F1529" s="500"/>
      <c r="G1529" s="497"/>
      <c r="H1529" s="602" t="str">
        <f>IFERROR(VLOOKUP(E:E,'Item Data Support Sheet'!A:O,2,0),"")</f>
        <v/>
      </c>
      <c r="I1529" s="501"/>
      <c r="J1529" s="501"/>
      <c r="K1529" s="499"/>
      <c r="L1529" s="499"/>
      <c r="M1529" s="366"/>
      <c r="N1529" s="367">
        <f t="shared" si="403"/>
        <v>0</v>
      </c>
      <c r="O1529" s="61"/>
      <c r="P1529" s="368"/>
      <c r="Q1529" s="368"/>
      <c r="R1529" s="494"/>
      <c r="S1529" s="493"/>
      <c r="T1529" s="494"/>
      <c r="U1529" s="493"/>
      <c r="V1529" s="502"/>
      <c r="W1529" s="453">
        <f t="shared" si="405"/>
        <v>0</v>
      </c>
      <c r="X1529" s="748" t="e">
        <f t="shared" si="406"/>
        <v>#DIV/0!</v>
      </c>
      <c r="Y1529" s="451">
        <f>IFERROR(VLOOKUP(E:E,'Item Data Support Sheet'!A:J,6,0),0)</f>
        <v>0</v>
      </c>
      <c r="Z1529" s="428">
        <f>IFERROR(VLOOKUP(E:E,'Item Data Support Sheet'!A:O,4,0),0)</f>
        <v>0</v>
      </c>
      <c r="AA1529" s="428">
        <f t="shared" si="407"/>
        <v>0</v>
      </c>
      <c r="AB1529" s="429" t="str">
        <f t="shared" si="408"/>
        <v xml:space="preserve"> </v>
      </c>
      <c r="AC1529" s="424">
        <f t="shared" si="409"/>
        <v>0</v>
      </c>
      <c r="AD1529" s="371">
        <f t="shared" si="410"/>
        <v>0</v>
      </c>
      <c r="AE1529" s="748" t="e">
        <f t="shared" si="411"/>
        <v>#DIV/0!</v>
      </c>
      <c r="AF1529" s="417">
        <f t="shared" si="412"/>
        <v>0</v>
      </c>
      <c r="AG1529" s="416">
        <f t="shared" si="413"/>
        <v>0</v>
      </c>
      <c r="AH1529" s="372" t="str">
        <f t="shared" si="414"/>
        <v xml:space="preserve"> </v>
      </c>
      <c r="AI1529" s="373">
        <f t="shared" si="415"/>
        <v>0</v>
      </c>
      <c r="AJ1529" s="418" t="e">
        <f>VLOOKUP(D1529,'Standard Cycle time'!C:D,2,0)</f>
        <v>#N/A</v>
      </c>
      <c r="AK1529" s="418" t="e">
        <f t="shared" si="416"/>
        <v>#DIV/0!</v>
      </c>
      <c r="AL1529" s="374" t="e">
        <f t="shared" si="417"/>
        <v>#N/A</v>
      </c>
      <c r="AM1529" s="372" t="e">
        <f t="shared" si="418"/>
        <v>#DIV/0!</v>
      </c>
      <c r="AN1529" s="799"/>
      <c r="AO1529" s="448"/>
      <c r="AP1529" s="440"/>
      <c r="AQ1529" s="440"/>
      <c r="AR1529" s="440"/>
      <c r="AS1529" s="440"/>
      <c r="AT1529" s="440"/>
      <c r="AU1529" s="440"/>
      <c r="AV1529" s="440"/>
      <c r="AW1529" s="440"/>
      <c r="AX1529" s="440"/>
      <c r="AY1529" s="440"/>
      <c r="AZ1529" s="440"/>
      <c r="BA1529" s="440"/>
      <c r="BB1529" s="440"/>
      <c r="BC1529" s="440"/>
      <c r="BD1529" s="440"/>
      <c r="BE1529" s="440"/>
      <c r="BF1529" s="440"/>
      <c r="BG1529" s="440"/>
      <c r="BH1529" s="440"/>
      <c r="BI1529" s="440"/>
      <c r="BJ1529" s="440"/>
      <c r="BK1529" s="440"/>
      <c r="BL1529" s="440"/>
      <c r="BM1529" s="440"/>
      <c r="BN1529" s="440"/>
      <c r="BO1529" s="440"/>
      <c r="BP1529" s="440"/>
      <c r="BQ1529" s="440"/>
      <c r="BR1529" s="415"/>
      <c r="BS1529" s="415"/>
      <c r="BT1529" s="935"/>
      <c r="BU1529" s="935"/>
      <c r="BV1529" s="935"/>
      <c r="BW1529" s="935"/>
      <c r="BX1529" s="935"/>
      <c r="BY1529" s="935"/>
      <c r="BZ1529" s="935"/>
      <c r="CA1529" s="935"/>
      <c r="CB1529" s="935"/>
      <c r="CC1529" s="935"/>
      <c r="CD1529" s="935"/>
      <c r="CE1529" s="935"/>
      <c r="CF1529" s="935"/>
      <c r="CG1529" s="935"/>
      <c r="CH1529" s="935"/>
      <c r="CI1529" s="935"/>
      <c r="CJ1529" s="935"/>
      <c r="CK1529" s="935"/>
      <c r="CL1529" s="935"/>
      <c r="CM1529" s="935"/>
      <c r="CN1529" s="935"/>
      <c r="CO1529" s="935"/>
      <c r="CP1529" s="935"/>
      <c r="CQ1529" s="935"/>
      <c r="CR1529" s="935"/>
      <c r="CS1529" s="935"/>
      <c r="CT1529" s="935"/>
      <c r="CU1529" s="935"/>
      <c r="CV1529" s="935"/>
    </row>
    <row r="1530" spans="2:100" s="441" customFormat="1">
      <c r="B1530" s="868"/>
      <c r="C1530" s="493"/>
      <c r="D1530" s="376"/>
      <c r="E1530" s="447"/>
      <c r="F1530" s="500"/>
      <c r="G1530" s="497"/>
      <c r="H1530" s="602" t="str">
        <f>IFERROR(VLOOKUP(E:E,'Item Data Support Sheet'!A:O,2,0),"")</f>
        <v/>
      </c>
      <c r="I1530" s="501"/>
      <c r="J1530" s="501"/>
      <c r="K1530" s="499"/>
      <c r="L1530" s="499"/>
      <c r="M1530" s="366"/>
      <c r="N1530" s="367">
        <f t="shared" si="403"/>
        <v>0</v>
      </c>
      <c r="O1530" s="61"/>
      <c r="P1530" s="368"/>
      <c r="Q1530" s="368"/>
      <c r="R1530" s="494"/>
      <c r="S1530" s="493"/>
      <c r="T1530" s="494"/>
      <c r="U1530" s="493"/>
      <c r="V1530" s="502"/>
      <c r="W1530" s="453">
        <f t="shared" si="405"/>
        <v>0</v>
      </c>
      <c r="X1530" s="748" t="e">
        <f t="shared" si="406"/>
        <v>#DIV/0!</v>
      </c>
      <c r="Y1530" s="451">
        <f>IFERROR(VLOOKUP(E:E,'Item Data Support Sheet'!A:J,6,0),0)</f>
        <v>0</v>
      </c>
      <c r="Z1530" s="428">
        <f>IFERROR(VLOOKUP(E:E,'Item Data Support Sheet'!A:O,4,0),0)</f>
        <v>0</v>
      </c>
      <c r="AA1530" s="428">
        <f t="shared" si="407"/>
        <v>0</v>
      </c>
      <c r="AB1530" s="429" t="str">
        <f t="shared" si="408"/>
        <v xml:space="preserve"> </v>
      </c>
      <c r="AC1530" s="424">
        <f t="shared" si="409"/>
        <v>0</v>
      </c>
      <c r="AD1530" s="371">
        <f t="shared" si="410"/>
        <v>0</v>
      </c>
      <c r="AE1530" s="748" t="e">
        <f t="shared" si="411"/>
        <v>#DIV/0!</v>
      </c>
      <c r="AF1530" s="417">
        <f t="shared" si="412"/>
        <v>0</v>
      </c>
      <c r="AG1530" s="416">
        <f t="shared" si="413"/>
        <v>0</v>
      </c>
      <c r="AH1530" s="372" t="str">
        <f t="shared" si="414"/>
        <v xml:space="preserve"> </v>
      </c>
      <c r="AI1530" s="373">
        <f t="shared" si="415"/>
        <v>0</v>
      </c>
      <c r="AJ1530" s="418" t="e">
        <f>VLOOKUP(D1530,'Standard Cycle time'!C:D,2,0)</f>
        <v>#N/A</v>
      </c>
      <c r="AK1530" s="418" t="e">
        <f t="shared" si="416"/>
        <v>#DIV/0!</v>
      </c>
      <c r="AL1530" s="374" t="e">
        <f t="shared" si="417"/>
        <v>#N/A</v>
      </c>
      <c r="AM1530" s="372" t="e">
        <f t="shared" si="418"/>
        <v>#DIV/0!</v>
      </c>
      <c r="AN1530" s="799"/>
      <c r="AO1530" s="448"/>
      <c r="AP1530" s="440"/>
      <c r="AQ1530" s="440"/>
      <c r="AR1530" s="440"/>
      <c r="AS1530" s="440"/>
      <c r="AT1530" s="440"/>
      <c r="AU1530" s="440"/>
      <c r="AV1530" s="440"/>
      <c r="AW1530" s="440"/>
      <c r="AX1530" s="440"/>
      <c r="AY1530" s="440"/>
      <c r="AZ1530" s="440"/>
      <c r="BA1530" s="440"/>
      <c r="BB1530" s="440"/>
      <c r="BC1530" s="440"/>
      <c r="BD1530" s="440"/>
      <c r="BE1530" s="440"/>
      <c r="BF1530" s="440"/>
      <c r="BG1530" s="440"/>
      <c r="BH1530" s="440"/>
      <c r="BI1530" s="440"/>
      <c r="BJ1530" s="440"/>
      <c r="BK1530" s="440"/>
      <c r="BL1530" s="440"/>
      <c r="BM1530" s="440"/>
      <c r="BN1530" s="440"/>
      <c r="BO1530" s="440"/>
      <c r="BP1530" s="440"/>
      <c r="BQ1530" s="440"/>
      <c r="BR1530" s="415"/>
      <c r="BS1530" s="415"/>
      <c r="BT1530" s="935"/>
      <c r="BU1530" s="935"/>
      <c r="BV1530" s="935"/>
      <c r="BW1530" s="935"/>
      <c r="BX1530" s="935"/>
      <c r="BY1530" s="935"/>
      <c r="BZ1530" s="935"/>
      <c r="CA1530" s="935"/>
      <c r="CB1530" s="935"/>
      <c r="CC1530" s="935"/>
      <c r="CD1530" s="935"/>
      <c r="CE1530" s="935"/>
      <c r="CF1530" s="935"/>
      <c r="CG1530" s="935"/>
      <c r="CH1530" s="935"/>
      <c r="CI1530" s="935"/>
      <c r="CJ1530" s="935"/>
      <c r="CK1530" s="935"/>
      <c r="CL1530" s="935"/>
      <c r="CM1530" s="935"/>
      <c r="CN1530" s="935"/>
      <c r="CO1530" s="935"/>
      <c r="CP1530" s="935"/>
      <c r="CQ1530" s="935"/>
      <c r="CR1530" s="935"/>
      <c r="CS1530" s="935"/>
      <c r="CT1530" s="935"/>
      <c r="CU1530" s="935"/>
      <c r="CV1530" s="935"/>
    </row>
    <row r="1531" spans="2:100" s="441" customFormat="1">
      <c r="B1531" s="868"/>
      <c r="C1531" s="493"/>
      <c r="D1531" s="376"/>
      <c r="E1531" s="447"/>
      <c r="F1531" s="500"/>
      <c r="G1531" s="497"/>
      <c r="H1531" s="602" t="str">
        <f>IFERROR(VLOOKUP(E:E,'Item Data Support Sheet'!A:O,2,0),"")</f>
        <v/>
      </c>
      <c r="I1531" s="501"/>
      <c r="J1531" s="501"/>
      <c r="K1531" s="499"/>
      <c r="L1531" s="499"/>
      <c r="M1531" s="366"/>
      <c r="N1531" s="367">
        <f t="shared" si="403"/>
        <v>0</v>
      </c>
      <c r="O1531" s="61"/>
      <c r="P1531" s="368"/>
      <c r="Q1531" s="368"/>
      <c r="R1531" s="494"/>
      <c r="S1531" s="493"/>
      <c r="T1531" s="494"/>
      <c r="U1531" s="493"/>
      <c r="V1531" s="502"/>
      <c r="W1531" s="453">
        <f t="shared" si="405"/>
        <v>0</v>
      </c>
      <c r="X1531" s="748" t="e">
        <f t="shared" si="406"/>
        <v>#DIV/0!</v>
      </c>
      <c r="Y1531" s="451">
        <f>IFERROR(VLOOKUP(E:E,'Item Data Support Sheet'!A:J,6,0),0)</f>
        <v>0</v>
      </c>
      <c r="Z1531" s="428">
        <f>IFERROR(VLOOKUP(E:E,'Item Data Support Sheet'!A:O,4,0),0)</f>
        <v>0</v>
      </c>
      <c r="AA1531" s="428">
        <f t="shared" si="407"/>
        <v>0</v>
      </c>
      <c r="AB1531" s="429" t="str">
        <f t="shared" si="408"/>
        <v xml:space="preserve"> </v>
      </c>
      <c r="AC1531" s="424">
        <f t="shared" si="409"/>
        <v>0</v>
      </c>
      <c r="AD1531" s="371">
        <f t="shared" si="410"/>
        <v>0</v>
      </c>
      <c r="AE1531" s="748" t="e">
        <f t="shared" si="411"/>
        <v>#DIV/0!</v>
      </c>
      <c r="AF1531" s="417">
        <f t="shared" si="412"/>
        <v>0</v>
      </c>
      <c r="AG1531" s="416">
        <f t="shared" si="413"/>
        <v>0</v>
      </c>
      <c r="AH1531" s="372" t="str">
        <f t="shared" si="414"/>
        <v xml:space="preserve"> </v>
      </c>
      <c r="AI1531" s="373">
        <f t="shared" si="415"/>
        <v>0</v>
      </c>
      <c r="AJ1531" s="418" t="e">
        <f>VLOOKUP(D1531,'Standard Cycle time'!C:D,2,0)</f>
        <v>#N/A</v>
      </c>
      <c r="AK1531" s="418" t="e">
        <f t="shared" si="416"/>
        <v>#DIV/0!</v>
      </c>
      <c r="AL1531" s="374" t="e">
        <f t="shared" si="417"/>
        <v>#N/A</v>
      </c>
      <c r="AM1531" s="372" t="e">
        <f t="shared" si="418"/>
        <v>#DIV/0!</v>
      </c>
      <c r="AN1531" s="799"/>
      <c r="AO1531" s="448"/>
      <c r="AP1531" s="440"/>
      <c r="AQ1531" s="440"/>
      <c r="AR1531" s="440"/>
      <c r="AS1531" s="440"/>
      <c r="AT1531" s="440"/>
      <c r="AU1531" s="440"/>
      <c r="AV1531" s="440"/>
      <c r="AW1531" s="440"/>
      <c r="AX1531" s="440"/>
      <c r="AY1531" s="440"/>
      <c r="AZ1531" s="440"/>
      <c r="BA1531" s="440"/>
      <c r="BB1531" s="440"/>
      <c r="BC1531" s="440"/>
      <c r="BD1531" s="440"/>
      <c r="BE1531" s="440"/>
      <c r="BF1531" s="440"/>
      <c r="BG1531" s="440"/>
      <c r="BH1531" s="440"/>
      <c r="BI1531" s="440"/>
      <c r="BJ1531" s="440"/>
      <c r="BK1531" s="440"/>
      <c r="BL1531" s="440"/>
      <c r="BM1531" s="440"/>
      <c r="BN1531" s="440"/>
      <c r="BO1531" s="440"/>
      <c r="BP1531" s="440"/>
      <c r="BQ1531" s="440"/>
      <c r="BR1531" s="415"/>
      <c r="BS1531" s="415"/>
      <c r="BT1531" s="935"/>
      <c r="BU1531" s="935"/>
      <c r="BV1531" s="935"/>
      <c r="BW1531" s="935"/>
      <c r="BX1531" s="935"/>
      <c r="BY1531" s="935"/>
      <c r="BZ1531" s="935"/>
      <c r="CA1531" s="935"/>
      <c r="CB1531" s="935"/>
      <c r="CC1531" s="935"/>
      <c r="CD1531" s="935"/>
      <c r="CE1531" s="935"/>
      <c r="CF1531" s="935"/>
      <c r="CG1531" s="935"/>
      <c r="CH1531" s="935"/>
      <c r="CI1531" s="935"/>
      <c r="CJ1531" s="935"/>
      <c r="CK1531" s="935"/>
      <c r="CL1531" s="935"/>
      <c r="CM1531" s="935"/>
      <c r="CN1531" s="935"/>
      <c r="CO1531" s="935"/>
      <c r="CP1531" s="935"/>
      <c r="CQ1531" s="935"/>
      <c r="CR1531" s="935"/>
      <c r="CS1531" s="935"/>
      <c r="CT1531" s="935"/>
      <c r="CU1531" s="935"/>
      <c r="CV1531" s="935"/>
    </row>
    <row r="1532" spans="2:100" s="441" customFormat="1">
      <c r="B1532" s="868"/>
      <c r="C1532" s="493"/>
      <c r="D1532" s="376"/>
      <c r="E1532" s="447"/>
      <c r="F1532" s="500"/>
      <c r="G1532" s="497"/>
      <c r="H1532" s="602" t="str">
        <f>IFERROR(VLOOKUP(E:E,'Item Data Support Sheet'!A:O,2,0),"")</f>
        <v/>
      </c>
      <c r="I1532" s="501"/>
      <c r="J1532" s="501"/>
      <c r="K1532" s="499"/>
      <c r="L1532" s="499"/>
      <c r="M1532" s="366"/>
      <c r="N1532" s="367">
        <f t="shared" si="403"/>
        <v>0</v>
      </c>
      <c r="O1532" s="61"/>
      <c r="P1532" s="368"/>
      <c r="Q1532" s="368"/>
      <c r="R1532" s="494"/>
      <c r="S1532" s="493"/>
      <c r="T1532" s="494"/>
      <c r="U1532" s="493"/>
      <c r="V1532" s="502"/>
      <c r="W1532" s="453">
        <f t="shared" si="405"/>
        <v>0</v>
      </c>
      <c r="X1532" s="748" t="e">
        <f t="shared" si="406"/>
        <v>#DIV/0!</v>
      </c>
      <c r="Y1532" s="451">
        <f>IFERROR(VLOOKUP(E:E,'Item Data Support Sheet'!A:J,6,0),0)</f>
        <v>0</v>
      </c>
      <c r="Z1532" s="428">
        <f>IFERROR(VLOOKUP(E:E,'Item Data Support Sheet'!A:O,4,0),0)</f>
        <v>0</v>
      </c>
      <c r="AA1532" s="428">
        <f t="shared" si="407"/>
        <v>0</v>
      </c>
      <c r="AB1532" s="429" t="str">
        <f t="shared" si="408"/>
        <v xml:space="preserve"> </v>
      </c>
      <c r="AC1532" s="424">
        <f t="shared" si="409"/>
        <v>0</v>
      </c>
      <c r="AD1532" s="371">
        <f t="shared" si="410"/>
        <v>0</v>
      </c>
      <c r="AE1532" s="748" t="e">
        <f t="shared" si="411"/>
        <v>#DIV/0!</v>
      </c>
      <c r="AF1532" s="417">
        <f t="shared" si="412"/>
        <v>0</v>
      </c>
      <c r="AG1532" s="416">
        <f t="shared" si="413"/>
        <v>0</v>
      </c>
      <c r="AH1532" s="372" t="str">
        <f t="shared" si="414"/>
        <v xml:space="preserve"> </v>
      </c>
      <c r="AI1532" s="373">
        <f t="shared" si="415"/>
        <v>0</v>
      </c>
      <c r="AJ1532" s="418" t="e">
        <f>VLOOKUP(D1532,'Standard Cycle time'!C:D,2,0)</f>
        <v>#N/A</v>
      </c>
      <c r="AK1532" s="418" t="e">
        <f t="shared" si="416"/>
        <v>#DIV/0!</v>
      </c>
      <c r="AL1532" s="374" t="e">
        <f t="shared" si="417"/>
        <v>#N/A</v>
      </c>
      <c r="AM1532" s="372" t="e">
        <f t="shared" si="418"/>
        <v>#DIV/0!</v>
      </c>
      <c r="AN1532" s="799"/>
      <c r="AO1532" s="448"/>
      <c r="AP1532" s="440"/>
      <c r="AQ1532" s="440"/>
      <c r="AR1532" s="440"/>
      <c r="AS1532" s="440"/>
      <c r="AT1532" s="440"/>
      <c r="AU1532" s="440"/>
      <c r="AV1532" s="440"/>
      <c r="AW1532" s="440"/>
      <c r="AX1532" s="440"/>
      <c r="AY1532" s="440"/>
      <c r="AZ1532" s="440"/>
      <c r="BA1532" s="440"/>
      <c r="BB1532" s="440"/>
      <c r="BC1532" s="440"/>
      <c r="BD1532" s="440"/>
      <c r="BE1532" s="440"/>
      <c r="BF1532" s="440"/>
      <c r="BG1532" s="440"/>
      <c r="BH1532" s="440"/>
      <c r="BI1532" s="440"/>
      <c r="BJ1532" s="440"/>
      <c r="BK1532" s="440"/>
      <c r="BL1532" s="440"/>
      <c r="BM1532" s="440"/>
      <c r="BN1532" s="440"/>
      <c r="BO1532" s="440"/>
      <c r="BP1532" s="440"/>
      <c r="BQ1532" s="440"/>
      <c r="BR1532" s="415"/>
      <c r="BS1532" s="415"/>
      <c r="BT1532" s="935"/>
      <c r="BU1532" s="935"/>
      <c r="BV1532" s="935"/>
      <c r="BW1532" s="935"/>
      <c r="BX1532" s="935"/>
      <c r="BY1532" s="935"/>
      <c r="BZ1532" s="935"/>
      <c r="CA1532" s="935"/>
      <c r="CB1532" s="935"/>
      <c r="CC1532" s="935"/>
      <c r="CD1532" s="935"/>
      <c r="CE1532" s="935"/>
      <c r="CF1532" s="935"/>
      <c r="CG1532" s="935"/>
      <c r="CH1532" s="935"/>
      <c r="CI1532" s="935"/>
      <c r="CJ1532" s="935"/>
      <c r="CK1532" s="935"/>
      <c r="CL1532" s="935"/>
      <c r="CM1532" s="935"/>
      <c r="CN1532" s="935"/>
      <c r="CO1532" s="935"/>
      <c r="CP1532" s="935"/>
      <c r="CQ1532" s="935"/>
      <c r="CR1532" s="935"/>
      <c r="CS1532" s="935"/>
      <c r="CT1532" s="935"/>
      <c r="CU1532" s="935"/>
      <c r="CV1532" s="935"/>
    </row>
    <row r="1533" spans="2:100" s="441" customFormat="1">
      <c r="B1533" s="868"/>
      <c r="C1533" s="493"/>
      <c r="D1533" s="376"/>
      <c r="E1533" s="447"/>
      <c r="F1533" s="500"/>
      <c r="G1533" s="497"/>
      <c r="H1533" s="602" t="str">
        <f>IFERROR(VLOOKUP(E:E,'Item Data Support Sheet'!A:O,2,0),"")</f>
        <v/>
      </c>
      <c r="I1533" s="501"/>
      <c r="J1533" s="501"/>
      <c r="K1533" s="499"/>
      <c r="L1533" s="499"/>
      <c r="M1533" s="366"/>
      <c r="N1533" s="367">
        <f t="shared" si="403"/>
        <v>0</v>
      </c>
      <c r="O1533" s="61"/>
      <c r="P1533" s="368"/>
      <c r="Q1533" s="368"/>
      <c r="R1533" s="494"/>
      <c r="S1533" s="493"/>
      <c r="T1533" s="494"/>
      <c r="U1533" s="493"/>
      <c r="V1533" s="502"/>
      <c r="W1533" s="453">
        <f t="shared" si="405"/>
        <v>0</v>
      </c>
      <c r="X1533" s="748" t="e">
        <f t="shared" si="406"/>
        <v>#DIV/0!</v>
      </c>
      <c r="Y1533" s="451">
        <f>IFERROR(VLOOKUP(E:E,'Item Data Support Sheet'!A:J,6,0),0)</f>
        <v>0</v>
      </c>
      <c r="Z1533" s="428">
        <f>IFERROR(VLOOKUP(E:E,'Item Data Support Sheet'!A:O,4,0),0)</f>
        <v>0</v>
      </c>
      <c r="AA1533" s="428">
        <f t="shared" si="407"/>
        <v>0</v>
      </c>
      <c r="AB1533" s="429" t="str">
        <f t="shared" si="408"/>
        <v xml:space="preserve"> </v>
      </c>
      <c r="AC1533" s="424">
        <f t="shared" si="409"/>
        <v>0</v>
      </c>
      <c r="AD1533" s="371">
        <f t="shared" si="410"/>
        <v>0</v>
      </c>
      <c r="AE1533" s="748" t="e">
        <f t="shared" si="411"/>
        <v>#DIV/0!</v>
      </c>
      <c r="AF1533" s="417">
        <f t="shared" si="412"/>
        <v>0</v>
      </c>
      <c r="AG1533" s="416">
        <f t="shared" si="413"/>
        <v>0</v>
      </c>
      <c r="AH1533" s="372" t="str">
        <f t="shared" si="414"/>
        <v xml:space="preserve"> </v>
      </c>
      <c r="AI1533" s="373">
        <f t="shared" si="415"/>
        <v>0</v>
      </c>
      <c r="AJ1533" s="418" t="e">
        <f>VLOOKUP(D1533,'Standard Cycle time'!C:D,2,0)</f>
        <v>#N/A</v>
      </c>
      <c r="AK1533" s="418" t="e">
        <f t="shared" si="416"/>
        <v>#DIV/0!</v>
      </c>
      <c r="AL1533" s="374" t="e">
        <f t="shared" si="417"/>
        <v>#N/A</v>
      </c>
      <c r="AM1533" s="372" t="e">
        <f t="shared" si="418"/>
        <v>#DIV/0!</v>
      </c>
      <c r="AN1533" s="799"/>
      <c r="AO1533" s="448"/>
      <c r="AP1533" s="440"/>
      <c r="AQ1533" s="440"/>
      <c r="AR1533" s="440"/>
      <c r="AS1533" s="440"/>
      <c r="AT1533" s="440"/>
      <c r="AU1533" s="440"/>
      <c r="AV1533" s="440"/>
      <c r="AW1533" s="440"/>
      <c r="AX1533" s="440"/>
      <c r="AY1533" s="440"/>
      <c r="AZ1533" s="440"/>
      <c r="BA1533" s="440"/>
      <c r="BB1533" s="440"/>
      <c r="BC1533" s="440"/>
      <c r="BD1533" s="440"/>
      <c r="BE1533" s="440"/>
      <c r="BF1533" s="440"/>
      <c r="BG1533" s="440"/>
      <c r="BH1533" s="440"/>
      <c r="BI1533" s="440"/>
      <c r="BJ1533" s="440"/>
      <c r="BK1533" s="440"/>
      <c r="BL1533" s="440"/>
      <c r="BM1533" s="440"/>
      <c r="BN1533" s="440"/>
      <c r="BO1533" s="440"/>
      <c r="BP1533" s="440"/>
      <c r="BQ1533" s="440"/>
      <c r="BR1533" s="415"/>
      <c r="BS1533" s="415"/>
      <c r="BT1533" s="935"/>
      <c r="BU1533" s="935"/>
      <c r="BV1533" s="935"/>
      <c r="BW1533" s="935"/>
      <c r="BX1533" s="935"/>
      <c r="BY1533" s="935"/>
      <c r="BZ1533" s="935"/>
      <c r="CA1533" s="935"/>
      <c r="CB1533" s="935"/>
      <c r="CC1533" s="935"/>
      <c r="CD1533" s="935"/>
      <c r="CE1533" s="935"/>
      <c r="CF1533" s="935"/>
      <c r="CG1533" s="935"/>
      <c r="CH1533" s="935"/>
      <c r="CI1533" s="935"/>
      <c r="CJ1533" s="935"/>
      <c r="CK1533" s="935"/>
      <c r="CL1533" s="935"/>
      <c r="CM1533" s="935"/>
      <c r="CN1533" s="935"/>
      <c r="CO1533" s="935"/>
      <c r="CP1533" s="935"/>
      <c r="CQ1533" s="935"/>
      <c r="CR1533" s="935"/>
      <c r="CS1533" s="935"/>
      <c r="CT1533" s="935"/>
      <c r="CU1533" s="935"/>
      <c r="CV1533" s="935"/>
    </row>
    <row r="1534" spans="2:100" s="441" customFormat="1">
      <c r="B1534" s="868"/>
      <c r="C1534" s="493"/>
      <c r="D1534" s="376"/>
      <c r="E1534" s="447"/>
      <c r="F1534" s="500"/>
      <c r="G1534" s="497"/>
      <c r="H1534" s="602" t="str">
        <f>IFERROR(VLOOKUP(E:E,'Item Data Support Sheet'!A:O,2,0),"")</f>
        <v/>
      </c>
      <c r="I1534" s="501"/>
      <c r="J1534" s="501"/>
      <c r="K1534" s="499"/>
      <c r="L1534" s="499"/>
      <c r="M1534" s="366"/>
      <c r="N1534" s="367">
        <f t="shared" si="403"/>
        <v>0</v>
      </c>
      <c r="O1534" s="61"/>
      <c r="P1534" s="368"/>
      <c r="Q1534" s="368"/>
      <c r="R1534" s="494"/>
      <c r="S1534" s="493"/>
      <c r="T1534" s="494"/>
      <c r="U1534" s="493"/>
      <c r="V1534" s="502"/>
      <c r="W1534" s="453">
        <f t="shared" si="405"/>
        <v>0</v>
      </c>
      <c r="X1534" s="748" t="e">
        <f t="shared" si="406"/>
        <v>#DIV/0!</v>
      </c>
      <c r="Y1534" s="451">
        <f>IFERROR(VLOOKUP(E:E,'Item Data Support Sheet'!A:J,6,0),0)</f>
        <v>0</v>
      </c>
      <c r="Z1534" s="428">
        <f>IFERROR(VLOOKUP(E:E,'Item Data Support Sheet'!A:O,4,0),0)</f>
        <v>0</v>
      </c>
      <c r="AA1534" s="428">
        <f t="shared" si="407"/>
        <v>0</v>
      </c>
      <c r="AB1534" s="429" t="str">
        <f t="shared" si="408"/>
        <v xml:space="preserve"> </v>
      </c>
      <c r="AC1534" s="424">
        <f t="shared" si="409"/>
        <v>0</v>
      </c>
      <c r="AD1534" s="371">
        <f t="shared" si="410"/>
        <v>0</v>
      </c>
      <c r="AE1534" s="748" t="e">
        <f t="shared" si="411"/>
        <v>#DIV/0!</v>
      </c>
      <c r="AF1534" s="417">
        <f t="shared" si="412"/>
        <v>0</v>
      </c>
      <c r="AG1534" s="416">
        <f t="shared" si="413"/>
        <v>0</v>
      </c>
      <c r="AH1534" s="372" t="str">
        <f t="shared" si="414"/>
        <v xml:space="preserve"> </v>
      </c>
      <c r="AI1534" s="373">
        <f t="shared" si="415"/>
        <v>0</v>
      </c>
      <c r="AJ1534" s="418" t="e">
        <f>VLOOKUP(D1534,'Standard Cycle time'!C:D,2,0)</f>
        <v>#N/A</v>
      </c>
      <c r="AK1534" s="418" t="e">
        <f t="shared" si="416"/>
        <v>#DIV/0!</v>
      </c>
      <c r="AL1534" s="374" t="e">
        <f t="shared" si="417"/>
        <v>#N/A</v>
      </c>
      <c r="AM1534" s="372" t="e">
        <f t="shared" si="418"/>
        <v>#DIV/0!</v>
      </c>
      <c r="AN1534" s="799"/>
      <c r="AO1534" s="448"/>
      <c r="AP1534" s="440"/>
      <c r="AQ1534" s="440"/>
      <c r="AR1534" s="440"/>
      <c r="AS1534" s="440"/>
      <c r="AT1534" s="440"/>
      <c r="AU1534" s="440"/>
      <c r="AV1534" s="440"/>
      <c r="AW1534" s="440"/>
      <c r="AX1534" s="440"/>
      <c r="AY1534" s="440"/>
      <c r="AZ1534" s="440"/>
      <c r="BA1534" s="440"/>
      <c r="BB1534" s="440"/>
      <c r="BC1534" s="440"/>
      <c r="BD1534" s="440"/>
      <c r="BE1534" s="440"/>
      <c r="BF1534" s="440"/>
      <c r="BG1534" s="440"/>
      <c r="BH1534" s="440"/>
      <c r="BI1534" s="440"/>
      <c r="BJ1534" s="440"/>
      <c r="BK1534" s="440"/>
      <c r="BL1534" s="440"/>
      <c r="BM1534" s="440"/>
      <c r="BN1534" s="440"/>
      <c r="BO1534" s="440"/>
      <c r="BP1534" s="440"/>
      <c r="BQ1534" s="440"/>
      <c r="BR1534" s="415"/>
      <c r="BS1534" s="415"/>
      <c r="BT1534" s="935"/>
      <c r="BU1534" s="935"/>
      <c r="BV1534" s="935"/>
      <c r="BW1534" s="935"/>
      <c r="BX1534" s="935"/>
      <c r="BY1534" s="935"/>
      <c r="BZ1534" s="935"/>
      <c r="CA1534" s="935"/>
      <c r="CB1534" s="935"/>
      <c r="CC1534" s="935"/>
      <c r="CD1534" s="935"/>
      <c r="CE1534" s="935"/>
      <c r="CF1534" s="935"/>
      <c r="CG1534" s="935"/>
      <c r="CH1534" s="935"/>
      <c r="CI1534" s="935"/>
      <c r="CJ1534" s="935"/>
      <c r="CK1534" s="935"/>
      <c r="CL1534" s="935"/>
      <c r="CM1534" s="935"/>
      <c r="CN1534" s="935"/>
      <c r="CO1534" s="935"/>
      <c r="CP1534" s="935"/>
      <c r="CQ1534" s="935"/>
      <c r="CR1534" s="935"/>
      <c r="CS1534" s="935"/>
      <c r="CT1534" s="935"/>
      <c r="CU1534" s="935"/>
      <c r="CV1534" s="935"/>
    </row>
    <row r="1535" spans="2:100" s="441" customFormat="1">
      <c r="B1535" s="868"/>
      <c r="C1535" s="493"/>
      <c r="D1535" s="376"/>
      <c r="E1535" s="447"/>
      <c r="F1535" s="500"/>
      <c r="G1535" s="497"/>
      <c r="H1535" s="602" t="str">
        <f>IFERROR(VLOOKUP(E:E,'Item Data Support Sheet'!A:O,2,0),"")</f>
        <v/>
      </c>
      <c r="I1535" s="501"/>
      <c r="J1535" s="501"/>
      <c r="K1535" s="499"/>
      <c r="L1535" s="499"/>
      <c r="M1535" s="366"/>
      <c r="N1535" s="367">
        <f t="shared" si="403"/>
        <v>0</v>
      </c>
      <c r="O1535" s="61"/>
      <c r="P1535" s="368"/>
      <c r="Q1535" s="368"/>
      <c r="R1535" s="494"/>
      <c r="S1535" s="493"/>
      <c r="T1535" s="494"/>
      <c r="U1535" s="493"/>
      <c r="V1535" s="502"/>
      <c r="W1535" s="453">
        <f t="shared" si="405"/>
        <v>0</v>
      </c>
      <c r="X1535" s="748" t="e">
        <f t="shared" si="406"/>
        <v>#DIV/0!</v>
      </c>
      <c r="Y1535" s="451">
        <f>IFERROR(VLOOKUP(E:E,'Item Data Support Sheet'!A:J,6,0),0)</f>
        <v>0</v>
      </c>
      <c r="Z1535" s="428">
        <f>IFERROR(VLOOKUP(E:E,'Item Data Support Sheet'!A:O,4,0),0)</f>
        <v>0</v>
      </c>
      <c r="AA1535" s="428">
        <f t="shared" si="407"/>
        <v>0</v>
      </c>
      <c r="AB1535" s="429" t="str">
        <f t="shared" si="408"/>
        <v xml:space="preserve"> </v>
      </c>
      <c r="AC1535" s="424">
        <f t="shared" si="409"/>
        <v>0</v>
      </c>
      <c r="AD1535" s="371">
        <f t="shared" si="410"/>
        <v>0</v>
      </c>
      <c r="AE1535" s="748" t="e">
        <f t="shared" si="411"/>
        <v>#DIV/0!</v>
      </c>
      <c r="AF1535" s="417">
        <f t="shared" si="412"/>
        <v>0</v>
      </c>
      <c r="AG1535" s="416">
        <f t="shared" si="413"/>
        <v>0</v>
      </c>
      <c r="AH1535" s="372" t="str">
        <f t="shared" si="414"/>
        <v xml:space="preserve"> </v>
      </c>
      <c r="AI1535" s="373">
        <f t="shared" si="415"/>
        <v>0</v>
      </c>
      <c r="AJ1535" s="418" t="e">
        <f>VLOOKUP(D1535,'Standard Cycle time'!C:D,2,0)</f>
        <v>#N/A</v>
      </c>
      <c r="AK1535" s="418" t="e">
        <f t="shared" si="416"/>
        <v>#DIV/0!</v>
      </c>
      <c r="AL1535" s="374" t="e">
        <f t="shared" si="417"/>
        <v>#N/A</v>
      </c>
      <c r="AM1535" s="372" t="e">
        <f t="shared" si="418"/>
        <v>#DIV/0!</v>
      </c>
      <c r="AN1535" s="799"/>
      <c r="AO1535" s="448"/>
      <c r="AP1535" s="440"/>
      <c r="AQ1535" s="440"/>
      <c r="AR1535" s="440"/>
      <c r="AS1535" s="440"/>
      <c r="AT1535" s="440"/>
      <c r="AU1535" s="440"/>
      <c r="AV1535" s="440"/>
      <c r="AW1535" s="440"/>
      <c r="AX1535" s="440"/>
      <c r="AY1535" s="440"/>
      <c r="AZ1535" s="440"/>
      <c r="BA1535" s="440"/>
      <c r="BB1535" s="440"/>
      <c r="BC1535" s="440"/>
      <c r="BD1535" s="440"/>
      <c r="BE1535" s="440"/>
      <c r="BF1535" s="440"/>
      <c r="BG1535" s="440"/>
      <c r="BH1535" s="440"/>
      <c r="BI1535" s="440"/>
      <c r="BJ1535" s="440"/>
      <c r="BK1535" s="440"/>
      <c r="BL1535" s="440"/>
      <c r="BM1535" s="440"/>
      <c r="BN1535" s="440"/>
      <c r="BO1535" s="440"/>
      <c r="BP1535" s="440"/>
      <c r="BQ1535" s="440"/>
      <c r="BR1535" s="415"/>
      <c r="BS1535" s="415"/>
      <c r="BT1535" s="935"/>
      <c r="BU1535" s="935"/>
      <c r="BV1535" s="935"/>
      <c r="BW1535" s="935"/>
      <c r="BX1535" s="935"/>
      <c r="BY1535" s="935"/>
      <c r="BZ1535" s="935"/>
      <c r="CA1535" s="935"/>
      <c r="CB1535" s="935"/>
      <c r="CC1535" s="935"/>
      <c r="CD1535" s="935"/>
      <c r="CE1535" s="935"/>
      <c r="CF1535" s="935"/>
      <c r="CG1535" s="935"/>
      <c r="CH1535" s="935"/>
      <c r="CI1535" s="935"/>
      <c r="CJ1535" s="935"/>
      <c r="CK1535" s="935"/>
      <c r="CL1535" s="935"/>
      <c r="CM1535" s="935"/>
      <c r="CN1535" s="935"/>
      <c r="CO1535" s="935"/>
      <c r="CP1535" s="935"/>
      <c r="CQ1535" s="935"/>
      <c r="CR1535" s="935"/>
      <c r="CS1535" s="935"/>
      <c r="CT1535" s="935"/>
      <c r="CU1535" s="935"/>
      <c r="CV1535" s="935"/>
    </row>
    <row r="1536" spans="2:100" s="441" customFormat="1">
      <c r="B1536" s="868"/>
      <c r="C1536" s="493"/>
      <c r="D1536" s="376"/>
      <c r="E1536" s="447"/>
      <c r="F1536" s="500"/>
      <c r="G1536" s="497"/>
      <c r="H1536" s="602" t="str">
        <f>IFERROR(VLOOKUP(E:E,'Item Data Support Sheet'!A:O,2,0),"")</f>
        <v/>
      </c>
      <c r="I1536" s="501"/>
      <c r="J1536" s="501"/>
      <c r="K1536" s="499"/>
      <c r="L1536" s="499"/>
      <c r="M1536" s="366"/>
      <c r="N1536" s="367">
        <f t="shared" si="403"/>
        <v>0</v>
      </c>
      <c r="O1536" s="61"/>
      <c r="P1536" s="368"/>
      <c r="Q1536" s="368"/>
      <c r="R1536" s="494"/>
      <c r="S1536" s="493"/>
      <c r="T1536" s="494"/>
      <c r="U1536" s="493"/>
      <c r="V1536" s="502"/>
      <c r="W1536" s="453">
        <f t="shared" si="405"/>
        <v>0</v>
      </c>
      <c r="X1536" s="748" t="e">
        <f t="shared" si="406"/>
        <v>#DIV/0!</v>
      </c>
      <c r="Y1536" s="451">
        <f>IFERROR(VLOOKUP(E:E,'Item Data Support Sheet'!A:J,6,0),0)</f>
        <v>0</v>
      </c>
      <c r="Z1536" s="428">
        <f>IFERROR(VLOOKUP(E:E,'Item Data Support Sheet'!A:O,4,0),0)</f>
        <v>0</v>
      </c>
      <c r="AA1536" s="428">
        <f t="shared" si="407"/>
        <v>0</v>
      </c>
      <c r="AB1536" s="429" t="str">
        <f t="shared" si="408"/>
        <v xml:space="preserve"> </v>
      </c>
      <c r="AC1536" s="424">
        <f t="shared" si="409"/>
        <v>0</v>
      </c>
      <c r="AD1536" s="371">
        <f t="shared" si="410"/>
        <v>0</v>
      </c>
      <c r="AE1536" s="748" t="e">
        <f t="shared" si="411"/>
        <v>#DIV/0!</v>
      </c>
      <c r="AF1536" s="417">
        <f t="shared" si="412"/>
        <v>0</v>
      </c>
      <c r="AG1536" s="416">
        <f t="shared" si="413"/>
        <v>0</v>
      </c>
      <c r="AH1536" s="372" t="str">
        <f t="shared" si="414"/>
        <v xml:space="preserve"> </v>
      </c>
      <c r="AI1536" s="373">
        <f t="shared" si="415"/>
        <v>0</v>
      </c>
      <c r="AJ1536" s="418" t="e">
        <f>VLOOKUP(D1536,'Standard Cycle time'!C:D,2,0)</f>
        <v>#N/A</v>
      </c>
      <c r="AK1536" s="418" t="e">
        <f t="shared" si="416"/>
        <v>#DIV/0!</v>
      </c>
      <c r="AL1536" s="374" t="e">
        <f t="shared" si="417"/>
        <v>#N/A</v>
      </c>
      <c r="AM1536" s="372" t="e">
        <f t="shared" si="418"/>
        <v>#DIV/0!</v>
      </c>
      <c r="AN1536" s="799"/>
      <c r="AO1536" s="448"/>
      <c r="AP1536" s="440"/>
      <c r="AQ1536" s="440"/>
      <c r="AR1536" s="440"/>
      <c r="AS1536" s="440"/>
      <c r="AT1536" s="440"/>
      <c r="AU1536" s="440"/>
      <c r="AV1536" s="440"/>
      <c r="AW1536" s="440"/>
      <c r="AX1536" s="440"/>
      <c r="AY1536" s="440"/>
      <c r="AZ1536" s="440"/>
      <c r="BA1536" s="440"/>
      <c r="BB1536" s="440"/>
      <c r="BC1536" s="440"/>
      <c r="BD1536" s="440"/>
      <c r="BE1536" s="440"/>
      <c r="BF1536" s="440"/>
      <c r="BG1536" s="440"/>
      <c r="BH1536" s="440"/>
      <c r="BI1536" s="440"/>
      <c r="BJ1536" s="440"/>
      <c r="BK1536" s="440"/>
      <c r="BL1536" s="440"/>
      <c r="BM1536" s="440"/>
      <c r="BN1536" s="440"/>
      <c r="BO1536" s="440"/>
      <c r="BP1536" s="440"/>
      <c r="BQ1536" s="440"/>
      <c r="BR1536" s="415"/>
      <c r="BS1536" s="415"/>
      <c r="BT1536" s="935"/>
      <c r="BU1536" s="935"/>
      <c r="BV1536" s="935"/>
      <c r="BW1536" s="935"/>
      <c r="BX1536" s="935"/>
      <c r="BY1536" s="935"/>
      <c r="BZ1536" s="935"/>
      <c r="CA1536" s="935"/>
      <c r="CB1536" s="935"/>
      <c r="CC1536" s="935"/>
      <c r="CD1536" s="935"/>
      <c r="CE1536" s="935"/>
      <c r="CF1536" s="935"/>
      <c r="CG1536" s="935"/>
      <c r="CH1536" s="935"/>
      <c r="CI1536" s="935"/>
      <c r="CJ1536" s="935"/>
      <c r="CK1536" s="935"/>
      <c r="CL1536" s="935"/>
      <c r="CM1536" s="935"/>
      <c r="CN1536" s="935"/>
      <c r="CO1536" s="935"/>
      <c r="CP1536" s="935"/>
      <c r="CQ1536" s="935"/>
      <c r="CR1536" s="935"/>
      <c r="CS1536" s="935"/>
      <c r="CT1536" s="935"/>
      <c r="CU1536" s="935"/>
      <c r="CV1536" s="935"/>
    </row>
    <row r="1537" spans="2:100" s="441" customFormat="1">
      <c r="B1537" s="868"/>
      <c r="C1537" s="493"/>
      <c r="D1537" s="376"/>
      <c r="E1537" s="447"/>
      <c r="F1537" s="500"/>
      <c r="G1537" s="497"/>
      <c r="H1537" s="602" t="str">
        <f>IFERROR(VLOOKUP(E:E,'Item Data Support Sheet'!A:O,2,0),"")</f>
        <v/>
      </c>
      <c r="I1537" s="501"/>
      <c r="J1537" s="501"/>
      <c r="K1537" s="499"/>
      <c r="L1537" s="499"/>
      <c r="M1537" s="366"/>
      <c r="N1537" s="367">
        <f t="shared" si="403"/>
        <v>0</v>
      </c>
      <c r="O1537" s="61"/>
      <c r="P1537" s="368"/>
      <c r="Q1537" s="368"/>
      <c r="R1537" s="494"/>
      <c r="S1537" s="493"/>
      <c r="T1537" s="494"/>
      <c r="U1537" s="493"/>
      <c r="V1537" s="502"/>
      <c r="W1537" s="453">
        <f t="shared" si="405"/>
        <v>0</v>
      </c>
      <c r="X1537" s="748" t="e">
        <f t="shared" si="406"/>
        <v>#DIV/0!</v>
      </c>
      <c r="Y1537" s="451">
        <f>IFERROR(VLOOKUP(E:E,'Item Data Support Sheet'!A:J,6,0),0)</f>
        <v>0</v>
      </c>
      <c r="Z1537" s="428">
        <f>IFERROR(VLOOKUP(E:E,'Item Data Support Sheet'!A:O,4,0),0)</f>
        <v>0</v>
      </c>
      <c r="AA1537" s="428">
        <f t="shared" si="407"/>
        <v>0</v>
      </c>
      <c r="AB1537" s="429" t="str">
        <f t="shared" si="408"/>
        <v xml:space="preserve"> </v>
      </c>
      <c r="AC1537" s="424">
        <f t="shared" si="409"/>
        <v>0</v>
      </c>
      <c r="AD1537" s="371">
        <f t="shared" si="410"/>
        <v>0</v>
      </c>
      <c r="AE1537" s="748" t="e">
        <f t="shared" si="411"/>
        <v>#DIV/0!</v>
      </c>
      <c r="AF1537" s="417">
        <f t="shared" si="412"/>
        <v>0</v>
      </c>
      <c r="AG1537" s="416">
        <f t="shared" si="413"/>
        <v>0</v>
      </c>
      <c r="AH1537" s="372" t="str">
        <f t="shared" si="414"/>
        <v xml:space="preserve"> </v>
      </c>
      <c r="AI1537" s="373">
        <f t="shared" si="415"/>
        <v>0</v>
      </c>
      <c r="AJ1537" s="418" t="e">
        <f>VLOOKUP(D1537,'Standard Cycle time'!C:D,2,0)</f>
        <v>#N/A</v>
      </c>
      <c r="AK1537" s="418" t="e">
        <f t="shared" si="416"/>
        <v>#DIV/0!</v>
      </c>
      <c r="AL1537" s="374" t="e">
        <f t="shared" si="417"/>
        <v>#N/A</v>
      </c>
      <c r="AM1537" s="372" t="e">
        <f t="shared" si="418"/>
        <v>#DIV/0!</v>
      </c>
      <c r="AN1537" s="799"/>
      <c r="AO1537" s="448"/>
      <c r="AP1537" s="440"/>
      <c r="AQ1537" s="440"/>
      <c r="AR1537" s="440"/>
      <c r="AS1537" s="440"/>
      <c r="AT1537" s="440"/>
      <c r="AU1537" s="440"/>
      <c r="AV1537" s="440"/>
      <c r="AW1537" s="440"/>
      <c r="AX1537" s="440"/>
      <c r="AY1537" s="440"/>
      <c r="AZ1537" s="440"/>
      <c r="BA1537" s="440"/>
      <c r="BB1537" s="440"/>
      <c r="BC1537" s="440"/>
      <c r="BD1537" s="440"/>
      <c r="BE1537" s="440"/>
      <c r="BF1537" s="440"/>
      <c r="BG1537" s="440"/>
      <c r="BH1537" s="440"/>
      <c r="BI1537" s="440"/>
      <c r="BJ1537" s="440"/>
      <c r="BK1537" s="440"/>
      <c r="BL1537" s="440"/>
      <c r="BM1537" s="440"/>
      <c r="BN1537" s="440"/>
      <c r="BO1537" s="440"/>
      <c r="BP1537" s="440"/>
      <c r="BQ1537" s="440"/>
      <c r="BR1537" s="415"/>
      <c r="BS1537" s="415"/>
      <c r="BT1537" s="935"/>
      <c r="BU1537" s="935"/>
      <c r="BV1537" s="935"/>
      <c r="BW1537" s="935"/>
      <c r="BX1537" s="935"/>
      <c r="BY1537" s="935"/>
      <c r="BZ1537" s="935"/>
      <c r="CA1537" s="935"/>
      <c r="CB1537" s="935"/>
      <c r="CC1537" s="935"/>
      <c r="CD1537" s="935"/>
      <c r="CE1537" s="935"/>
      <c r="CF1537" s="935"/>
      <c r="CG1537" s="935"/>
      <c r="CH1537" s="935"/>
      <c r="CI1537" s="935"/>
      <c r="CJ1537" s="935"/>
      <c r="CK1537" s="935"/>
      <c r="CL1537" s="935"/>
      <c r="CM1537" s="935"/>
      <c r="CN1537" s="935"/>
      <c r="CO1537" s="935"/>
      <c r="CP1537" s="935"/>
      <c r="CQ1537" s="935"/>
      <c r="CR1537" s="935"/>
      <c r="CS1537" s="935"/>
      <c r="CT1537" s="935"/>
      <c r="CU1537" s="935"/>
      <c r="CV1537" s="935"/>
    </row>
    <row r="1538" spans="2:100" s="441" customFormat="1">
      <c r="B1538" s="868"/>
      <c r="C1538" s="493"/>
      <c r="D1538" s="376"/>
      <c r="E1538" s="447"/>
      <c r="F1538" s="500"/>
      <c r="G1538" s="497"/>
      <c r="H1538" s="602" t="str">
        <f>IFERROR(VLOOKUP(E:E,'Item Data Support Sheet'!A:O,2,0),"")</f>
        <v/>
      </c>
      <c r="I1538" s="501"/>
      <c r="J1538" s="501"/>
      <c r="K1538" s="499"/>
      <c r="L1538" s="499"/>
      <c r="M1538" s="366"/>
      <c r="N1538" s="367">
        <f t="shared" si="403"/>
        <v>0</v>
      </c>
      <c r="O1538" s="61"/>
      <c r="P1538" s="368"/>
      <c r="Q1538" s="368"/>
      <c r="R1538" s="494"/>
      <c r="S1538" s="493"/>
      <c r="T1538" s="494"/>
      <c r="U1538" s="493"/>
      <c r="V1538" s="502"/>
      <c r="W1538" s="453">
        <f t="shared" si="405"/>
        <v>0</v>
      </c>
      <c r="X1538" s="748" t="e">
        <f t="shared" si="406"/>
        <v>#DIV/0!</v>
      </c>
      <c r="Y1538" s="451">
        <f>IFERROR(VLOOKUP(E:E,'Item Data Support Sheet'!A:J,6,0),0)</f>
        <v>0</v>
      </c>
      <c r="Z1538" s="428">
        <f>IFERROR(VLOOKUP(E:E,'Item Data Support Sheet'!A:O,4,0),0)</f>
        <v>0</v>
      </c>
      <c r="AA1538" s="428">
        <f t="shared" si="407"/>
        <v>0</v>
      </c>
      <c r="AB1538" s="429" t="str">
        <f t="shared" si="408"/>
        <v xml:space="preserve"> </v>
      </c>
      <c r="AC1538" s="424">
        <f t="shared" si="409"/>
        <v>0</v>
      </c>
      <c r="AD1538" s="371">
        <f t="shared" si="410"/>
        <v>0</v>
      </c>
      <c r="AE1538" s="748" t="e">
        <f t="shared" si="411"/>
        <v>#DIV/0!</v>
      </c>
      <c r="AF1538" s="417">
        <f t="shared" si="412"/>
        <v>0</v>
      </c>
      <c r="AG1538" s="416">
        <f t="shared" si="413"/>
        <v>0</v>
      </c>
      <c r="AH1538" s="372" t="str">
        <f t="shared" si="414"/>
        <v xml:space="preserve"> </v>
      </c>
      <c r="AI1538" s="373">
        <f t="shared" si="415"/>
        <v>0</v>
      </c>
      <c r="AJ1538" s="418" t="e">
        <f>VLOOKUP(D1538,'Standard Cycle time'!C:D,2,0)</f>
        <v>#N/A</v>
      </c>
      <c r="AK1538" s="418" t="e">
        <f t="shared" si="416"/>
        <v>#DIV/0!</v>
      </c>
      <c r="AL1538" s="374" t="e">
        <f t="shared" si="417"/>
        <v>#N/A</v>
      </c>
      <c r="AM1538" s="372" t="e">
        <f t="shared" si="418"/>
        <v>#DIV/0!</v>
      </c>
      <c r="AN1538" s="799"/>
      <c r="AO1538" s="448"/>
      <c r="AP1538" s="440"/>
      <c r="AQ1538" s="440"/>
      <c r="AR1538" s="440"/>
      <c r="AS1538" s="440"/>
      <c r="AT1538" s="440"/>
      <c r="AU1538" s="440"/>
      <c r="AV1538" s="440"/>
      <c r="AW1538" s="440"/>
      <c r="AX1538" s="440"/>
      <c r="AY1538" s="440"/>
      <c r="AZ1538" s="440"/>
      <c r="BA1538" s="440"/>
      <c r="BB1538" s="440"/>
      <c r="BC1538" s="440"/>
      <c r="BD1538" s="440"/>
      <c r="BE1538" s="440"/>
      <c r="BF1538" s="440"/>
      <c r="BG1538" s="440"/>
      <c r="BH1538" s="440"/>
      <c r="BI1538" s="440"/>
      <c r="BJ1538" s="440"/>
      <c r="BK1538" s="440"/>
      <c r="BL1538" s="440"/>
      <c r="BM1538" s="440"/>
      <c r="BN1538" s="440"/>
      <c r="BO1538" s="440"/>
      <c r="BP1538" s="440"/>
      <c r="BQ1538" s="440"/>
      <c r="BR1538" s="415"/>
      <c r="BS1538" s="415"/>
      <c r="BT1538" s="935"/>
      <c r="BU1538" s="935"/>
      <c r="BV1538" s="935"/>
      <c r="BW1538" s="935"/>
      <c r="BX1538" s="935"/>
      <c r="BY1538" s="935"/>
      <c r="BZ1538" s="935"/>
      <c r="CA1538" s="935"/>
      <c r="CB1538" s="935"/>
      <c r="CC1538" s="935"/>
      <c r="CD1538" s="935"/>
      <c r="CE1538" s="935"/>
      <c r="CF1538" s="935"/>
      <c r="CG1538" s="935"/>
      <c r="CH1538" s="935"/>
      <c r="CI1538" s="935"/>
      <c r="CJ1538" s="935"/>
      <c r="CK1538" s="935"/>
      <c r="CL1538" s="935"/>
      <c r="CM1538" s="935"/>
      <c r="CN1538" s="935"/>
      <c r="CO1538" s="935"/>
      <c r="CP1538" s="935"/>
      <c r="CQ1538" s="935"/>
      <c r="CR1538" s="935"/>
      <c r="CS1538" s="935"/>
      <c r="CT1538" s="935"/>
      <c r="CU1538" s="935"/>
      <c r="CV1538" s="935"/>
    </row>
    <row r="1539" spans="2:100" s="441" customFormat="1">
      <c r="B1539" s="868"/>
      <c r="C1539" s="493"/>
      <c r="D1539" s="376"/>
      <c r="E1539" s="447"/>
      <c r="F1539" s="500"/>
      <c r="G1539" s="497"/>
      <c r="H1539" s="602" t="str">
        <f>IFERROR(VLOOKUP(E:E,'Item Data Support Sheet'!A:O,2,0),"")</f>
        <v/>
      </c>
      <c r="I1539" s="501"/>
      <c r="J1539" s="501"/>
      <c r="K1539" s="499"/>
      <c r="L1539" s="499"/>
      <c r="M1539" s="366"/>
      <c r="N1539" s="367">
        <f t="shared" si="403"/>
        <v>0</v>
      </c>
      <c r="O1539" s="61"/>
      <c r="P1539" s="368"/>
      <c r="Q1539" s="368"/>
      <c r="R1539" s="494"/>
      <c r="S1539" s="493"/>
      <c r="T1539" s="494"/>
      <c r="U1539" s="493"/>
      <c r="V1539" s="502"/>
      <c r="W1539" s="453">
        <f t="shared" si="405"/>
        <v>0</v>
      </c>
      <c r="X1539" s="748" t="e">
        <f t="shared" si="406"/>
        <v>#DIV/0!</v>
      </c>
      <c r="Y1539" s="451">
        <f>IFERROR(VLOOKUP(E:E,'Item Data Support Sheet'!A:J,6,0),0)</f>
        <v>0</v>
      </c>
      <c r="Z1539" s="428">
        <f>IFERROR(VLOOKUP(E:E,'Item Data Support Sheet'!A:O,4,0),0)</f>
        <v>0</v>
      </c>
      <c r="AA1539" s="428">
        <f t="shared" si="407"/>
        <v>0</v>
      </c>
      <c r="AB1539" s="429" t="str">
        <f t="shared" si="408"/>
        <v xml:space="preserve"> </v>
      </c>
      <c r="AC1539" s="424">
        <f t="shared" si="409"/>
        <v>0</v>
      </c>
      <c r="AD1539" s="371">
        <f t="shared" si="410"/>
        <v>0</v>
      </c>
      <c r="AE1539" s="748" t="e">
        <f t="shared" si="411"/>
        <v>#DIV/0!</v>
      </c>
      <c r="AF1539" s="417">
        <f t="shared" si="412"/>
        <v>0</v>
      </c>
      <c r="AG1539" s="416">
        <f t="shared" si="413"/>
        <v>0</v>
      </c>
      <c r="AH1539" s="372" t="str">
        <f t="shared" si="414"/>
        <v xml:space="preserve"> </v>
      </c>
      <c r="AI1539" s="373">
        <f t="shared" si="415"/>
        <v>0</v>
      </c>
      <c r="AJ1539" s="418" t="e">
        <f>VLOOKUP(D1539,'Standard Cycle time'!C:D,2,0)</f>
        <v>#N/A</v>
      </c>
      <c r="AK1539" s="418" t="e">
        <f t="shared" si="416"/>
        <v>#DIV/0!</v>
      </c>
      <c r="AL1539" s="374" t="e">
        <f t="shared" si="417"/>
        <v>#N/A</v>
      </c>
      <c r="AM1539" s="372" t="e">
        <f t="shared" si="418"/>
        <v>#DIV/0!</v>
      </c>
      <c r="AN1539" s="799"/>
      <c r="AO1539" s="448"/>
      <c r="AP1539" s="440"/>
      <c r="AQ1539" s="440"/>
      <c r="AR1539" s="440"/>
      <c r="AS1539" s="440"/>
      <c r="AT1539" s="440"/>
      <c r="AU1539" s="440"/>
      <c r="AV1539" s="440"/>
      <c r="AW1539" s="440"/>
      <c r="AX1539" s="440"/>
      <c r="AY1539" s="440"/>
      <c r="AZ1539" s="440"/>
      <c r="BA1539" s="440"/>
      <c r="BB1539" s="440"/>
      <c r="BC1539" s="440"/>
      <c r="BD1539" s="440"/>
      <c r="BE1539" s="440"/>
      <c r="BF1539" s="440"/>
      <c r="BG1539" s="440"/>
      <c r="BH1539" s="440"/>
      <c r="BI1539" s="440"/>
      <c r="BJ1539" s="440"/>
      <c r="BK1539" s="440"/>
      <c r="BL1539" s="440"/>
      <c r="BM1539" s="440"/>
      <c r="BN1539" s="440"/>
      <c r="BO1539" s="440"/>
      <c r="BP1539" s="440"/>
      <c r="BQ1539" s="440"/>
      <c r="BR1539" s="415"/>
      <c r="BS1539" s="415"/>
      <c r="BT1539" s="935"/>
      <c r="BU1539" s="935"/>
      <c r="BV1539" s="935"/>
      <c r="BW1539" s="935"/>
      <c r="BX1539" s="935"/>
      <c r="BY1539" s="935"/>
      <c r="BZ1539" s="935"/>
      <c r="CA1539" s="935"/>
      <c r="CB1539" s="935"/>
      <c r="CC1539" s="935"/>
      <c r="CD1539" s="935"/>
      <c r="CE1539" s="935"/>
      <c r="CF1539" s="935"/>
      <c r="CG1539" s="935"/>
      <c r="CH1539" s="935"/>
      <c r="CI1539" s="935"/>
      <c r="CJ1539" s="935"/>
      <c r="CK1539" s="935"/>
      <c r="CL1539" s="935"/>
      <c r="CM1539" s="935"/>
      <c r="CN1539" s="935"/>
      <c r="CO1539" s="935"/>
      <c r="CP1539" s="935"/>
      <c r="CQ1539" s="935"/>
      <c r="CR1539" s="935"/>
      <c r="CS1539" s="935"/>
      <c r="CT1539" s="935"/>
      <c r="CU1539" s="935"/>
      <c r="CV1539" s="935"/>
    </row>
    <row r="1540" spans="2:100" s="441" customFormat="1">
      <c r="B1540" s="868"/>
      <c r="C1540" s="493"/>
      <c r="D1540" s="376"/>
      <c r="E1540" s="447"/>
      <c r="F1540" s="500"/>
      <c r="G1540" s="497"/>
      <c r="H1540" s="602" t="str">
        <f>IFERROR(VLOOKUP(E:E,'Item Data Support Sheet'!A:O,2,0),"")</f>
        <v/>
      </c>
      <c r="I1540" s="501"/>
      <c r="J1540" s="501"/>
      <c r="K1540" s="438"/>
      <c r="L1540" s="499"/>
      <c r="M1540" s="366"/>
      <c r="N1540" s="367">
        <f t="shared" ref="N1540:N1603" si="419">+O1540+Q1540+T1540+U1540</f>
        <v>0</v>
      </c>
      <c r="O1540" s="61"/>
      <c r="P1540" s="368"/>
      <c r="Q1540" s="368"/>
      <c r="R1540" s="494"/>
      <c r="S1540" s="493"/>
      <c r="T1540" s="494"/>
      <c r="U1540" s="493"/>
      <c r="V1540" s="502"/>
      <c r="W1540" s="453">
        <f t="shared" si="405"/>
        <v>0</v>
      </c>
      <c r="X1540" s="748" t="e">
        <f t="shared" si="406"/>
        <v>#DIV/0!</v>
      </c>
      <c r="Y1540" s="451">
        <f>IFERROR(VLOOKUP(E:E,'Item Data Support Sheet'!A:J,6,0),0)</f>
        <v>0</v>
      </c>
      <c r="Z1540" s="428">
        <f>IFERROR(VLOOKUP(E:E,'Item Data Support Sheet'!A:O,4,0),0)</f>
        <v>0</v>
      </c>
      <c r="AA1540" s="428">
        <f t="shared" si="407"/>
        <v>0</v>
      </c>
      <c r="AB1540" s="429" t="str">
        <f t="shared" si="408"/>
        <v xml:space="preserve"> </v>
      </c>
      <c r="AC1540" s="424">
        <f t="shared" si="409"/>
        <v>0</v>
      </c>
      <c r="AD1540" s="371">
        <f t="shared" si="410"/>
        <v>0</v>
      </c>
      <c r="AE1540" s="748" t="e">
        <f t="shared" si="411"/>
        <v>#DIV/0!</v>
      </c>
      <c r="AF1540" s="417">
        <f t="shared" si="412"/>
        <v>0</v>
      </c>
      <c r="AG1540" s="416">
        <f t="shared" si="413"/>
        <v>0</v>
      </c>
      <c r="AH1540" s="372" t="str">
        <f t="shared" si="414"/>
        <v xml:space="preserve"> </v>
      </c>
      <c r="AI1540" s="373">
        <f t="shared" si="415"/>
        <v>0</v>
      </c>
      <c r="AJ1540" s="418" t="e">
        <f>VLOOKUP(D1540,'Standard Cycle time'!C:D,2,0)</f>
        <v>#N/A</v>
      </c>
      <c r="AK1540" s="418" t="e">
        <f t="shared" si="416"/>
        <v>#DIV/0!</v>
      </c>
      <c r="AL1540" s="374" t="e">
        <f t="shared" si="417"/>
        <v>#N/A</v>
      </c>
      <c r="AM1540" s="372" t="e">
        <f t="shared" si="418"/>
        <v>#DIV/0!</v>
      </c>
      <c r="AN1540" s="799"/>
      <c r="AO1540" s="448"/>
      <c r="AP1540" s="440"/>
      <c r="AQ1540" s="440"/>
      <c r="AR1540" s="440"/>
      <c r="AS1540" s="440"/>
      <c r="AT1540" s="440"/>
      <c r="AU1540" s="440"/>
      <c r="AV1540" s="440"/>
      <c r="AW1540" s="440"/>
      <c r="AX1540" s="440"/>
      <c r="AY1540" s="440"/>
      <c r="AZ1540" s="440"/>
      <c r="BA1540" s="440"/>
      <c r="BB1540" s="440"/>
      <c r="BC1540" s="440"/>
      <c r="BD1540" s="440"/>
      <c r="BE1540" s="440"/>
      <c r="BF1540" s="440"/>
      <c r="BG1540" s="440"/>
      <c r="BH1540" s="440"/>
      <c r="BI1540" s="440"/>
      <c r="BJ1540" s="440"/>
      <c r="BK1540" s="440"/>
      <c r="BL1540" s="440"/>
      <c r="BM1540" s="440"/>
      <c r="BN1540" s="440"/>
      <c r="BO1540" s="440"/>
      <c r="BP1540" s="440"/>
      <c r="BQ1540" s="440"/>
      <c r="BR1540" s="415"/>
      <c r="BS1540" s="415"/>
      <c r="BT1540" s="935"/>
      <c r="BU1540" s="935"/>
      <c r="BV1540" s="935"/>
      <c r="BW1540" s="935"/>
      <c r="BX1540" s="935"/>
      <c r="BY1540" s="935"/>
      <c r="BZ1540" s="935"/>
      <c r="CA1540" s="935"/>
      <c r="CB1540" s="935"/>
      <c r="CC1540" s="935"/>
      <c r="CD1540" s="935"/>
      <c r="CE1540" s="935"/>
      <c r="CF1540" s="935"/>
      <c r="CG1540" s="935"/>
      <c r="CH1540" s="935"/>
      <c r="CI1540" s="935"/>
      <c r="CJ1540" s="935"/>
      <c r="CK1540" s="935"/>
      <c r="CL1540" s="935"/>
      <c r="CM1540" s="935"/>
      <c r="CN1540" s="935"/>
      <c r="CO1540" s="935"/>
      <c r="CP1540" s="935"/>
      <c r="CQ1540" s="935"/>
      <c r="CR1540" s="935"/>
      <c r="CS1540" s="935"/>
      <c r="CT1540" s="935"/>
      <c r="CU1540" s="935"/>
      <c r="CV1540" s="935"/>
    </row>
    <row r="1541" spans="2:100" s="441" customFormat="1">
      <c r="B1541" s="868"/>
      <c r="C1541" s="493"/>
      <c r="D1541" s="376"/>
      <c r="E1541" s="447"/>
      <c r="F1541" s="500"/>
      <c r="G1541" s="497"/>
      <c r="H1541" s="602" t="str">
        <f>IFERROR(VLOOKUP(E:E,'Item Data Support Sheet'!A:O,2,0),"")</f>
        <v/>
      </c>
      <c r="I1541" s="501"/>
      <c r="J1541" s="501"/>
      <c r="K1541" s="438"/>
      <c r="L1541" s="499"/>
      <c r="M1541" s="366"/>
      <c r="N1541" s="367">
        <f t="shared" si="419"/>
        <v>0</v>
      </c>
      <c r="O1541" s="61"/>
      <c r="P1541" s="368"/>
      <c r="Q1541" s="368"/>
      <c r="R1541" s="494"/>
      <c r="S1541" s="493"/>
      <c r="T1541" s="494"/>
      <c r="U1541" s="493"/>
      <c r="V1541" s="502"/>
      <c r="W1541" s="453">
        <f t="shared" ref="W1541:W1604" si="420">IFERROR(O1541/V1541,0)</f>
        <v>0</v>
      </c>
      <c r="X1541" s="748" t="e">
        <f t="shared" ref="X1541:X1604" si="421">O1541/L1541</f>
        <v>#DIV/0!</v>
      </c>
      <c r="Y1541" s="451">
        <f>IFERROR(VLOOKUP(E:E,'Item Data Support Sheet'!A:J,6,0),0)</f>
        <v>0</v>
      </c>
      <c r="Z1541" s="428">
        <f>IFERROR(VLOOKUP(E:E,'Item Data Support Sheet'!A:O,4,0),0)</f>
        <v>0</v>
      </c>
      <c r="AA1541" s="428">
        <f t="shared" ref="AA1541:AA1604" si="422">IFERROR(((N1541)*(Z1541/1000))+P1541,0)</f>
        <v>0</v>
      </c>
      <c r="AB1541" s="429" t="str">
        <f t="shared" ref="AB1541:AB1604" si="423">IFERROR((O1541*(Z1541/1000)/(AA1541))," ")</f>
        <v xml:space="preserve"> </v>
      </c>
      <c r="AC1541" s="424">
        <f t="shared" ref="AC1541:AC1604" si="424">IFERROR((T1541)/((T1541)+O1541),0)</f>
        <v>0</v>
      </c>
      <c r="AD1541" s="371">
        <f t="shared" ref="AD1541:AD1604" si="425">IFERROR(Q1541/(Q1541+N1541),0)</f>
        <v>0</v>
      </c>
      <c r="AE1541" s="748" t="e">
        <f t="shared" ref="AE1541:AE1604" si="426">(N1541-T1541)/N1541</f>
        <v>#DIV/0!</v>
      </c>
      <c r="AF1541" s="417">
        <f t="shared" ref="AF1541:AF1604" si="427">BR1541</f>
        <v>0</v>
      </c>
      <c r="AG1541" s="416">
        <f t="shared" ref="AG1541:AG1604" si="428">K1541-AF1541</f>
        <v>0</v>
      </c>
      <c r="AH1541" s="372" t="str">
        <f t="shared" ref="AH1541:AH1604" si="429">IFERROR(AG1541/K1541," ")</f>
        <v xml:space="preserve"> </v>
      </c>
      <c r="AI1541" s="373">
        <f t="shared" ref="AI1541:AI1604" si="430">IFERROR(O1541/K1541,0)</f>
        <v>0</v>
      </c>
      <c r="AJ1541" s="418" t="e">
        <f>VLOOKUP(D1541,'Standard Cycle time'!C:D,2,0)</f>
        <v>#N/A</v>
      </c>
      <c r="AK1541" s="418" t="e">
        <f t="shared" ref="AK1541:AK1604" si="431">AG1541*V1541*3600/O1541</f>
        <v>#DIV/0!</v>
      </c>
      <c r="AL1541" s="374" t="e">
        <f t="shared" ref="AL1541:AL1604" si="432">AJ1541/AK1541</f>
        <v>#N/A</v>
      </c>
      <c r="AM1541" s="372" t="e">
        <f t="shared" ref="AM1541:AM1604" si="433">AE1541*AL1541*AH1541</f>
        <v>#DIV/0!</v>
      </c>
      <c r="AN1541" s="799"/>
      <c r="AO1541" s="448"/>
      <c r="AP1541" s="440"/>
      <c r="AQ1541" s="440"/>
      <c r="AR1541" s="440"/>
      <c r="AS1541" s="440"/>
      <c r="AT1541" s="440"/>
      <c r="AU1541" s="440"/>
      <c r="AV1541" s="440"/>
      <c r="AW1541" s="440"/>
      <c r="AX1541" s="440"/>
      <c r="AY1541" s="440"/>
      <c r="AZ1541" s="440"/>
      <c r="BA1541" s="440"/>
      <c r="BB1541" s="440"/>
      <c r="BC1541" s="440"/>
      <c r="BD1541" s="440"/>
      <c r="BE1541" s="440"/>
      <c r="BF1541" s="440"/>
      <c r="BG1541" s="440"/>
      <c r="BH1541" s="440"/>
      <c r="BI1541" s="440"/>
      <c r="BJ1541" s="440"/>
      <c r="BK1541" s="440"/>
      <c r="BL1541" s="440"/>
      <c r="BM1541" s="440"/>
      <c r="BN1541" s="440"/>
      <c r="BO1541" s="440"/>
      <c r="BP1541" s="440"/>
      <c r="BQ1541" s="440"/>
      <c r="BR1541" s="415"/>
      <c r="BS1541" s="415"/>
      <c r="BT1541" s="935"/>
      <c r="BU1541" s="935"/>
      <c r="BV1541" s="935"/>
      <c r="BW1541" s="935"/>
      <c r="BX1541" s="935"/>
      <c r="BY1541" s="935"/>
      <c r="BZ1541" s="935"/>
      <c r="CA1541" s="935"/>
      <c r="CB1541" s="935"/>
      <c r="CC1541" s="935"/>
      <c r="CD1541" s="935"/>
      <c r="CE1541" s="935"/>
      <c r="CF1541" s="935"/>
      <c r="CG1541" s="935"/>
      <c r="CH1541" s="935"/>
      <c r="CI1541" s="935"/>
      <c r="CJ1541" s="935"/>
      <c r="CK1541" s="935"/>
      <c r="CL1541" s="935"/>
      <c r="CM1541" s="935"/>
      <c r="CN1541" s="935"/>
      <c r="CO1541" s="935"/>
      <c r="CP1541" s="935"/>
      <c r="CQ1541" s="935"/>
      <c r="CR1541" s="935"/>
      <c r="CS1541" s="935"/>
      <c r="CT1541" s="935"/>
      <c r="CU1541" s="935"/>
      <c r="CV1541" s="935"/>
    </row>
    <row r="1542" spans="2:100" s="441" customFormat="1">
      <c r="B1542" s="868"/>
      <c r="C1542" s="493"/>
      <c r="D1542" s="376"/>
      <c r="E1542" s="447"/>
      <c r="F1542" s="500"/>
      <c r="G1542" s="497"/>
      <c r="H1542" s="602" t="str">
        <f>IFERROR(VLOOKUP(E:E,'Item Data Support Sheet'!A:O,2,0),"")</f>
        <v/>
      </c>
      <c r="I1542" s="501"/>
      <c r="J1542" s="501"/>
      <c r="K1542" s="438"/>
      <c r="L1542" s="499"/>
      <c r="M1542" s="366"/>
      <c r="N1542" s="367">
        <f t="shared" si="419"/>
        <v>0</v>
      </c>
      <c r="O1542" s="61"/>
      <c r="P1542" s="368"/>
      <c r="Q1542" s="368"/>
      <c r="R1542" s="494"/>
      <c r="S1542" s="493"/>
      <c r="T1542" s="494"/>
      <c r="U1542" s="493"/>
      <c r="V1542" s="502"/>
      <c r="W1542" s="453">
        <f t="shared" si="420"/>
        <v>0</v>
      </c>
      <c r="X1542" s="748" t="e">
        <f t="shared" si="421"/>
        <v>#DIV/0!</v>
      </c>
      <c r="Y1542" s="451">
        <f>IFERROR(VLOOKUP(E:E,'Item Data Support Sheet'!A:J,6,0),0)</f>
        <v>0</v>
      </c>
      <c r="Z1542" s="428">
        <f>IFERROR(VLOOKUP(E:E,'Item Data Support Sheet'!A:O,4,0),0)</f>
        <v>0</v>
      </c>
      <c r="AA1542" s="428">
        <f t="shared" si="422"/>
        <v>0</v>
      </c>
      <c r="AB1542" s="429" t="str">
        <f t="shared" si="423"/>
        <v xml:space="preserve"> </v>
      </c>
      <c r="AC1542" s="424">
        <f t="shared" si="424"/>
        <v>0</v>
      </c>
      <c r="AD1542" s="371">
        <f t="shared" si="425"/>
        <v>0</v>
      </c>
      <c r="AE1542" s="748" t="e">
        <f t="shared" si="426"/>
        <v>#DIV/0!</v>
      </c>
      <c r="AF1542" s="417">
        <f t="shared" si="427"/>
        <v>0</v>
      </c>
      <c r="AG1542" s="416">
        <f t="shared" si="428"/>
        <v>0</v>
      </c>
      <c r="AH1542" s="372" t="str">
        <f t="shared" si="429"/>
        <v xml:space="preserve"> </v>
      </c>
      <c r="AI1542" s="373">
        <f t="shared" si="430"/>
        <v>0</v>
      </c>
      <c r="AJ1542" s="418" t="e">
        <f>VLOOKUP(D1542,'Standard Cycle time'!C:D,2,0)</f>
        <v>#N/A</v>
      </c>
      <c r="AK1542" s="418" t="e">
        <f t="shared" si="431"/>
        <v>#DIV/0!</v>
      </c>
      <c r="AL1542" s="374" t="e">
        <f t="shared" si="432"/>
        <v>#N/A</v>
      </c>
      <c r="AM1542" s="372" t="e">
        <f t="shared" si="433"/>
        <v>#DIV/0!</v>
      </c>
      <c r="AN1542" s="799"/>
      <c r="AO1542" s="448"/>
      <c r="AP1542" s="440"/>
      <c r="AQ1542" s="440"/>
      <c r="AR1542" s="440"/>
      <c r="AS1542" s="440"/>
      <c r="AT1542" s="440"/>
      <c r="AU1542" s="440"/>
      <c r="AV1542" s="440"/>
      <c r="AW1542" s="440"/>
      <c r="AX1542" s="440"/>
      <c r="AY1542" s="440"/>
      <c r="AZ1542" s="440"/>
      <c r="BA1542" s="440"/>
      <c r="BB1542" s="440"/>
      <c r="BC1542" s="440"/>
      <c r="BD1542" s="440"/>
      <c r="BE1542" s="440"/>
      <c r="BF1542" s="440"/>
      <c r="BG1542" s="440"/>
      <c r="BH1542" s="440"/>
      <c r="BI1542" s="440"/>
      <c r="BJ1542" s="440"/>
      <c r="BK1542" s="440"/>
      <c r="BL1542" s="440"/>
      <c r="BM1542" s="440"/>
      <c r="BN1542" s="440"/>
      <c r="BO1542" s="440"/>
      <c r="BP1542" s="440"/>
      <c r="BQ1542" s="440"/>
      <c r="BR1542" s="415"/>
      <c r="BS1542" s="415"/>
      <c r="BT1542" s="935"/>
      <c r="BU1542" s="935"/>
      <c r="BV1542" s="935"/>
      <c r="BW1542" s="935"/>
      <c r="BX1542" s="935"/>
      <c r="BY1542" s="935"/>
      <c r="BZ1542" s="935"/>
      <c r="CA1542" s="935"/>
      <c r="CB1542" s="935"/>
      <c r="CC1542" s="935"/>
      <c r="CD1542" s="935"/>
      <c r="CE1542" s="935"/>
      <c r="CF1542" s="935"/>
      <c r="CG1542" s="935"/>
      <c r="CH1542" s="935"/>
      <c r="CI1542" s="935"/>
      <c r="CJ1542" s="935"/>
      <c r="CK1542" s="935"/>
      <c r="CL1542" s="935"/>
      <c r="CM1542" s="935"/>
      <c r="CN1542" s="935"/>
      <c r="CO1542" s="935"/>
      <c r="CP1542" s="935"/>
      <c r="CQ1542" s="935"/>
      <c r="CR1542" s="935"/>
      <c r="CS1542" s="935"/>
      <c r="CT1542" s="935"/>
      <c r="CU1542" s="935"/>
      <c r="CV1542" s="935"/>
    </row>
    <row r="1543" spans="2:100" s="441" customFormat="1">
      <c r="B1543" s="868"/>
      <c r="C1543" s="493"/>
      <c r="D1543" s="376"/>
      <c r="E1543" s="447"/>
      <c r="F1543" s="500"/>
      <c r="G1543" s="497"/>
      <c r="H1543" s="602" t="str">
        <f>IFERROR(VLOOKUP(E:E,'Item Data Support Sheet'!A:O,2,0),"")</f>
        <v/>
      </c>
      <c r="I1543" s="501"/>
      <c r="J1543" s="501"/>
      <c r="K1543" s="438"/>
      <c r="L1543" s="499"/>
      <c r="M1543" s="366"/>
      <c r="N1543" s="367">
        <f t="shared" si="419"/>
        <v>0</v>
      </c>
      <c r="O1543" s="61"/>
      <c r="P1543" s="368"/>
      <c r="Q1543" s="368"/>
      <c r="R1543" s="494"/>
      <c r="S1543" s="493"/>
      <c r="T1543" s="494"/>
      <c r="U1543" s="493"/>
      <c r="V1543" s="502"/>
      <c r="W1543" s="453">
        <f t="shared" si="420"/>
        <v>0</v>
      </c>
      <c r="X1543" s="748" t="e">
        <f t="shared" si="421"/>
        <v>#DIV/0!</v>
      </c>
      <c r="Y1543" s="451">
        <f>IFERROR(VLOOKUP(E:E,'Item Data Support Sheet'!A:J,6,0),0)</f>
        <v>0</v>
      </c>
      <c r="Z1543" s="428">
        <f>IFERROR(VLOOKUP(E:E,'Item Data Support Sheet'!A:O,4,0),0)</f>
        <v>0</v>
      </c>
      <c r="AA1543" s="428">
        <f t="shared" si="422"/>
        <v>0</v>
      </c>
      <c r="AB1543" s="429" t="str">
        <f t="shared" si="423"/>
        <v xml:space="preserve"> </v>
      </c>
      <c r="AC1543" s="424">
        <f t="shared" si="424"/>
        <v>0</v>
      </c>
      <c r="AD1543" s="371">
        <f t="shared" si="425"/>
        <v>0</v>
      </c>
      <c r="AE1543" s="748" t="e">
        <f t="shared" si="426"/>
        <v>#DIV/0!</v>
      </c>
      <c r="AF1543" s="417">
        <f t="shared" si="427"/>
        <v>0</v>
      </c>
      <c r="AG1543" s="416">
        <f t="shared" si="428"/>
        <v>0</v>
      </c>
      <c r="AH1543" s="372" t="str">
        <f t="shared" si="429"/>
        <v xml:space="preserve"> </v>
      </c>
      <c r="AI1543" s="373">
        <f t="shared" si="430"/>
        <v>0</v>
      </c>
      <c r="AJ1543" s="418" t="e">
        <f>VLOOKUP(D1543,'Standard Cycle time'!C:D,2,0)</f>
        <v>#N/A</v>
      </c>
      <c r="AK1543" s="418" t="e">
        <f t="shared" si="431"/>
        <v>#DIV/0!</v>
      </c>
      <c r="AL1543" s="374" t="e">
        <f t="shared" si="432"/>
        <v>#N/A</v>
      </c>
      <c r="AM1543" s="372" t="e">
        <f t="shared" si="433"/>
        <v>#DIV/0!</v>
      </c>
      <c r="AN1543" s="799"/>
      <c r="AO1543" s="448"/>
      <c r="AP1543" s="440"/>
      <c r="AQ1543" s="440"/>
      <c r="AR1543" s="440"/>
      <c r="AS1543" s="440"/>
      <c r="AT1543" s="440"/>
      <c r="AU1543" s="440"/>
      <c r="AV1543" s="440"/>
      <c r="AW1543" s="440"/>
      <c r="AX1543" s="440"/>
      <c r="AY1543" s="440"/>
      <c r="AZ1543" s="440"/>
      <c r="BA1543" s="440"/>
      <c r="BB1543" s="440"/>
      <c r="BC1543" s="440"/>
      <c r="BD1543" s="440"/>
      <c r="BE1543" s="440"/>
      <c r="BF1543" s="440"/>
      <c r="BG1543" s="440"/>
      <c r="BH1543" s="440"/>
      <c r="BI1543" s="440"/>
      <c r="BJ1543" s="440"/>
      <c r="BK1543" s="440"/>
      <c r="BL1543" s="440"/>
      <c r="BM1543" s="440"/>
      <c r="BN1543" s="440"/>
      <c r="BO1543" s="440"/>
      <c r="BP1543" s="440"/>
      <c r="BQ1543" s="440"/>
      <c r="BR1543" s="415"/>
      <c r="BS1543" s="415"/>
      <c r="BT1543" s="935"/>
      <c r="BU1543" s="935"/>
      <c r="BV1543" s="935"/>
      <c r="BW1543" s="935"/>
      <c r="BX1543" s="935"/>
      <c r="BY1543" s="935"/>
      <c r="BZ1543" s="935"/>
      <c r="CA1543" s="935"/>
      <c r="CB1543" s="935"/>
      <c r="CC1543" s="935"/>
      <c r="CD1543" s="935"/>
      <c r="CE1543" s="935"/>
      <c r="CF1543" s="935"/>
      <c r="CG1543" s="935"/>
      <c r="CH1543" s="935"/>
      <c r="CI1543" s="935"/>
      <c r="CJ1543" s="935"/>
      <c r="CK1543" s="935"/>
      <c r="CL1543" s="935"/>
      <c r="CM1543" s="935"/>
      <c r="CN1543" s="935"/>
      <c r="CO1543" s="935"/>
      <c r="CP1543" s="935"/>
      <c r="CQ1543" s="935"/>
      <c r="CR1543" s="935"/>
      <c r="CS1543" s="935"/>
      <c r="CT1543" s="935"/>
      <c r="CU1543" s="935"/>
      <c r="CV1543" s="935"/>
    </row>
    <row r="1544" spans="2:100" s="441" customFormat="1">
      <c r="B1544" s="868"/>
      <c r="C1544" s="493"/>
      <c r="D1544" s="376"/>
      <c r="E1544" s="447"/>
      <c r="F1544" s="500"/>
      <c r="G1544" s="497"/>
      <c r="H1544" s="602" t="str">
        <f>IFERROR(VLOOKUP(E:E,'Item Data Support Sheet'!A:O,2,0),"")</f>
        <v/>
      </c>
      <c r="I1544" s="501"/>
      <c r="J1544" s="501"/>
      <c r="K1544" s="438"/>
      <c r="L1544" s="499"/>
      <c r="M1544" s="366"/>
      <c r="N1544" s="367">
        <f t="shared" si="419"/>
        <v>0</v>
      </c>
      <c r="O1544" s="61"/>
      <c r="P1544" s="368"/>
      <c r="Q1544" s="368"/>
      <c r="R1544" s="494"/>
      <c r="S1544" s="493"/>
      <c r="T1544" s="494"/>
      <c r="U1544" s="493"/>
      <c r="V1544" s="502"/>
      <c r="W1544" s="453">
        <f t="shared" si="420"/>
        <v>0</v>
      </c>
      <c r="X1544" s="748" t="e">
        <f t="shared" si="421"/>
        <v>#DIV/0!</v>
      </c>
      <c r="Y1544" s="451">
        <f>IFERROR(VLOOKUP(E:E,'Item Data Support Sheet'!A:J,6,0),0)</f>
        <v>0</v>
      </c>
      <c r="Z1544" s="428">
        <f>IFERROR(VLOOKUP(E:E,'Item Data Support Sheet'!A:O,4,0),0)</f>
        <v>0</v>
      </c>
      <c r="AA1544" s="428">
        <f t="shared" si="422"/>
        <v>0</v>
      </c>
      <c r="AB1544" s="429" t="str">
        <f t="shared" si="423"/>
        <v xml:space="preserve"> </v>
      </c>
      <c r="AC1544" s="424">
        <f t="shared" si="424"/>
        <v>0</v>
      </c>
      <c r="AD1544" s="371">
        <f t="shared" si="425"/>
        <v>0</v>
      </c>
      <c r="AE1544" s="748" t="e">
        <f t="shared" si="426"/>
        <v>#DIV/0!</v>
      </c>
      <c r="AF1544" s="417">
        <f t="shared" si="427"/>
        <v>0</v>
      </c>
      <c r="AG1544" s="416">
        <f t="shared" si="428"/>
        <v>0</v>
      </c>
      <c r="AH1544" s="372" t="str">
        <f t="shared" si="429"/>
        <v xml:space="preserve"> </v>
      </c>
      <c r="AI1544" s="373">
        <f t="shared" si="430"/>
        <v>0</v>
      </c>
      <c r="AJ1544" s="418" t="e">
        <f>VLOOKUP(D1544,'Standard Cycle time'!C:D,2,0)</f>
        <v>#N/A</v>
      </c>
      <c r="AK1544" s="418" t="e">
        <f t="shared" si="431"/>
        <v>#DIV/0!</v>
      </c>
      <c r="AL1544" s="374" t="e">
        <f t="shared" si="432"/>
        <v>#N/A</v>
      </c>
      <c r="AM1544" s="372" t="e">
        <f t="shared" si="433"/>
        <v>#DIV/0!</v>
      </c>
      <c r="AN1544" s="799"/>
      <c r="AO1544" s="448"/>
      <c r="AP1544" s="440"/>
      <c r="AQ1544" s="440"/>
      <c r="AR1544" s="440"/>
      <c r="AS1544" s="440"/>
      <c r="AT1544" s="440"/>
      <c r="AU1544" s="440"/>
      <c r="AV1544" s="440"/>
      <c r="AW1544" s="440"/>
      <c r="AX1544" s="440"/>
      <c r="AY1544" s="440"/>
      <c r="AZ1544" s="440"/>
      <c r="BA1544" s="440"/>
      <c r="BB1544" s="440"/>
      <c r="BC1544" s="440"/>
      <c r="BD1544" s="440"/>
      <c r="BE1544" s="440"/>
      <c r="BF1544" s="440"/>
      <c r="BG1544" s="440"/>
      <c r="BH1544" s="440"/>
      <c r="BI1544" s="440"/>
      <c r="BJ1544" s="440"/>
      <c r="BK1544" s="440"/>
      <c r="BL1544" s="440"/>
      <c r="BM1544" s="440"/>
      <c r="BN1544" s="440"/>
      <c r="BO1544" s="440"/>
      <c r="BP1544" s="440"/>
      <c r="BQ1544" s="440"/>
      <c r="BR1544" s="415"/>
      <c r="BS1544" s="415"/>
      <c r="BT1544" s="935"/>
      <c r="BU1544" s="935"/>
      <c r="BV1544" s="935"/>
      <c r="BW1544" s="935"/>
      <c r="BX1544" s="935"/>
      <c r="BY1544" s="935"/>
      <c r="BZ1544" s="935"/>
      <c r="CA1544" s="935"/>
      <c r="CB1544" s="935"/>
      <c r="CC1544" s="935"/>
      <c r="CD1544" s="935"/>
      <c r="CE1544" s="935"/>
      <c r="CF1544" s="935"/>
      <c r="CG1544" s="935"/>
      <c r="CH1544" s="935"/>
      <c r="CI1544" s="935"/>
      <c r="CJ1544" s="935"/>
      <c r="CK1544" s="935"/>
      <c r="CL1544" s="935"/>
      <c r="CM1544" s="935"/>
      <c r="CN1544" s="935"/>
      <c r="CO1544" s="935"/>
      <c r="CP1544" s="935"/>
      <c r="CQ1544" s="935"/>
      <c r="CR1544" s="935"/>
      <c r="CS1544" s="935"/>
      <c r="CT1544" s="935"/>
      <c r="CU1544" s="935"/>
      <c r="CV1544" s="935"/>
    </row>
    <row r="1545" spans="2:100" s="441" customFormat="1">
      <c r="B1545" s="868"/>
      <c r="C1545" s="493"/>
      <c r="D1545" s="376"/>
      <c r="E1545" s="447"/>
      <c r="F1545" s="500"/>
      <c r="G1545" s="497"/>
      <c r="H1545" s="602" t="str">
        <f>IFERROR(VLOOKUP(E:E,'Item Data Support Sheet'!A:O,2,0),"")</f>
        <v/>
      </c>
      <c r="I1545" s="501"/>
      <c r="J1545" s="501"/>
      <c r="K1545" s="438"/>
      <c r="L1545" s="499"/>
      <c r="M1545" s="366"/>
      <c r="N1545" s="367">
        <f t="shared" si="419"/>
        <v>0</v>
      </c>
      <c r="O1545" s="61"/>
      <c r="P1545" s="368"/>
      <c r="Q1545" s="368"/>
      <c r="R1545" s="494"/>
      <c r="S1545" s="493"/>
      <c r="T1545" s="494"/>
      <c r="U1545" s="493"/>
      <c r="V1545" s="502"/>
      <c r="W1545" s="453">
        <f t="shared" si="420"/>
        <v>0</v>
      </c>
      <c r="X1545" s="748" t="e">
        <f t="shared" si="421"/>
        <v>#DIV/0!</v>
      </c>
      <c r="Y1545" s="451">
        <f>IFERROR(VLOOKUP(E:E,'Item Data Support Sheet'!A:J,6,0),0)</f>
        <v>0</v>
      </c>
      <c r="Z1545" s="428">
        <f>IFERROR(VLOOKUP(E:E,'Item Data Support Sheet'!A:O,4,0),0)</f>
        <v>0</v>
      </c>
      <c r="AA1545" s="428">
        <f t="shared" si="422"/>
        <v>0</v>
      </c>
      <c r="AB1545" s="429" t="str">
        <f t="shared" si="423"/>
        <v xml:space="preserve"> </v>
      </c>
      <c r="AC1545" s="424">
        <f t="shared" si="424"/>
        <v>0</v>
      </c>
      <c r="AD1545" s="371">
        <f t="shared" si="425"/>
        <v>0</v>
      </c>
      <c r="AE1545" s="748" t="e">
        <f t="shared" si="426"/>
        <v>#DIV/0!</v>
      </c>
      <c r="AF1545" s="417">
        <f t="shared" si="427"/>
        <v>0</v>
      </c>
      <c r="AG1545" s="416">
        <f t="shared" si="428"/>
        <v>0</v>
      </c>
      <c r="AH1545" s="372" t="str">
        <f t="shared" si="429"/>
        <v xml:space="preserve"> </v>
      </c>
      <c r="AI1545" s="373">
        <f t="shared" si="430"/>
        <v>0</v>
      </c>
      <c r="AJ1545" s="418" t="e">
        <f>VLOOKUP(D1545,'Standard Cycle time'!C:D,2,0)</f>
        <v>#N/A</v>
      </c>
      <c r="AK1545" s="418" t="e">
        <f t="shared" si="431"/>
        <v>#DIV/0!</v>
      </c>
      <c r="AL1545" s="374" t="e">
        <f t="shared" si="432"/>
        <v>#N/A</v>
      </c>
      <c r="AM1545" s="372" t="e">
        <f t="shared" si="433"/>
        <v>#DIV/0!</v>
      </c>
      <c r="AN1545" s="799"/>
      <c r="AO1545" s="448"/>
      <c r="AP1545" s="440"/>
      <c r="AQ1545" s="440"/>
      <c r="AR1545" s="440"/>
      <c r="AS1545" s="440"/>
      <c r="AT1545" s="440"/>
      <c r="AU1545" s="440"/>
      <c r="AV1545" s="440"/>
      <c r="AW1545" s="440"/>
      <c r="AX1545" s="440"/>
      <c r="AY1545" s="440"/>
      <c r="AZ1545" s="440"/>
      <c r="BA1545" s="440"/>
      <c r="BB1545" s="440"/>
      <c r="BC1545" s="440"/>
      <c r="BD1545" s="440"/>
      <c r="BE1545" s="440"/>
      <c r="BF1545" s="440"/>
      <c r="BG1545" s="440"/>
      <c r="BH1545" s="440"/>
      <c r="BI1545" s="440"/>
      <c r="BJ1545" s="440"/>
      <c r="BK1545" s="440"/>
      <c r="BL1545" s="440"/>
      <c r="BM1545" s="440"/>
      <c r="BN1545" s="440"/>
      <c r="BO1545" s="440"/>
      <c r="BP1545" s="440"/>
      <c r="BQ1545" s="440"/>
      <c r="BR1545" s="415"/>
      <c r="BS1545" s="415"/>
      <c r="BT1545" s="935"/>
      <c r="BU1545" s="935"/>
      <c r="BV1545" s="935"/>
      <c r="BW1545" s="935"/>
      <c r="BX1545" s="935"/>
      <c r="BY1545" s="935"/>
      <c r="BZ1545" s="935"/>
      <c r="CA1545" s="935"/>
      <c r="CB1545" s="935"/>
      <c r="CC1545" s="935"/>
      <c r="CD1545" s="935"/>
      <c r="CE1545" s="935"/>
      <c r="CF1545" s="935"/>
      <c r="CG1545" s="935"/>
      <c r="CH1545" s="935"/>
      <c r="CI1545" s="935"/>
      <c r="CJ1545" s="935"/>
      <c r="CK1545" s="935"/>
      <c r="CL1545" s="935"/>
      <c r="CM1545" s="935"/>
      <c r="CN1545" s="935"/>
      <c r="CO1545" s="935"/>
      <c r="CP1545" s="935"/>
      <c r="CQ1545" s="935"/>
      <c r="CR1545" s="935"/>
      <c r="CS1545" s="935"/>
      <c r="CT1545" s="935"/>
      <c r="CU1545" s="935"/>
      <c r="CV1545" s="935"/>
    </row>
    <row r="1546" spans="2:100" s="441" customFormat="1">
      <c r="B1546" s="868"/>
      <c r="C1546" s="493"/>
      <c r="D1546" s="376"/>
      <c r="E1546" s="447"/>
      <c r="F1546" s="500"/>
      <c r="G1546" s="497"/>
      <c r="H1546" s="602" t="str">
        <f>IFERROR(VLOOKUP(E:E,'Item Data Support Sheet'!A:O,2,0),"")</f>
        <v/>
      </c>
      <c r="I1546" s="501"/>
      <c r="J1546" s="501"/>
      <c r="K1546" s="438"/>
      <c r="L1546" s="499"/>
      <c r="M1546" s="366"/>
      <c r="N1546" s="367">
        <f t="shared" si="419"/>
        <v>0</v>
      </c>
      <c r="O1546" s="61"/>
      <c r="P1546" s="368"/>
      <c r="Q1546" s="368"/>
      <c r="R1546" s="494"/>
      <c r="S1546" s="493"/>
      <c r="T1546" s="494"/>
      <c r="U1546" s="493"/>
      <c r="V1546" s="502"/>
      <c r="W1546" s="453">
        <f t="shared" si="420"/>
        <v>0</v>
      </c>
      <c r="X1546" s="748" t="e">
        <f t="shared" si="421"/>
        <v>#DIV/0!</v>
      </c>
      <c r="Y1546" s="451">
        <f>IFERROR(VLOOKUP(E:E,'Item Data Support Sheet'!A:J,6,0),0)</f>
        <v>0</v>
      </c>
      <c r="Z1546" s="428">
        <f>IFERROR(VLOOKUP(E:E,'Item Data Support Sheet'!A:O,4,0),0)</f>
        <v>0</v>
      </c>
      <c r="AA1546" s="428">
        <f t="shared" si="422"/>
        <v>0</v>
      </c>
      <c r="AB1546" s="429" t="str">
        <f t="shared" si="423"/>
        <v xml:space="preserve"> </v>
      </c>
      <c r="AC1546" s="424">
        <f t="shared" si="424"/>
        <v>0</v>
      </c>
      <c r="AD1546" s="371">
        <f t="shared" si="425"/>
        <v>0</v>
      </c>
      <c r="AE1546" s="748" t="e">
        <f t="shared" si="426"/>
        <v>#DIV/0!</v>
      </c>
      <c r="AF1546" s="417">
        <f t="shared" si="427"/>
        <v>0</v>
      </c>
      <c r="AG1546" s="416">
        <f t="shared" si="428"/>
        <v>0</v>
      </c>
      <c r="AH1546" s="372" t="str">
        <f t="shared" si="429"/>
        <v xml:space="preserve"> </v>
      </c>
      <c r="AI1546" s="373">
        <f t="shared" si="430"/>
        <v>0</v>
      </c>
      <c r="AJ1546" s="418" t="e">
        <f>VLOOKUP(D1546,'Standard Cycle time'!C:D,2,0)</f>
        <v>#N/A</v>
      </c>
      <c r="AK1546" s="418" t="e">
        <f t="shared" si="431"/>
        <v>#DIV/0!</v>
      </c>
      <c r="AL1546" s="374" t="e">
        <f t="shared" si="432"/>
        <v>#N/A</v>
      </c>
      <c r="AM1546" s="372" t="e">
        <f t="shared" si="433"/>
        <v>#DIV/0!</v>
      </c>
      <c r="AN1546" s="799"/>
      <c r="AO1546" s="448"/>
      <c r="AP1546" s="440"/>
      <c r="AQ1546" s="440"/>
      <c r="AR1546" s="440"/>
      <c r="AS1546" s="440"/>
      <c r="AT1546" s="440"/>
      <c r="AU1546" s="440"/>
      <c r="AV1546" s="440"/>
      <c r="AW1546" s="440"/>
      <c r="AX1546" s="440"/>
      <c r="AY1546" s="440"/>
      <c r="AZ1546" s="440"/>
      <c r="BA1546" s="440"/>
      <c r="BB1546" s="440"/>
      <c r="BC1546" s="440"/>
      <c r="BD1546" s="440"/>
      <c r="BE1546" s="440"/>
      <c r="BF1546" s="440"/>
      <c r="BG1546" s="440"/>
      <c r="BH1546" s="440"/>
      <c r="BI1546" s="440"/>
      <c r="BJ1546" s="440"/>
      <c r="BK1546" s="440"/>
      <c r="BL1546" s="440"/>
      <c r="BM1546" s="440"/>
      <c r="BN1546" s="440"/>
      <c r="BO1546" s="440"/>
      <c r="BP1546" s="440"/>
      <c r="BQ1546" s="440"/>
      <c r="BR1546" s="415"/>
      <c r="BS1546" s="415"/>
      <c r="BT1546" s="935"/>
      <c r="BU1546" s="935"/>
      <c r="BV1546" s="935"/>
      <c r="BW1546" s="935"/>
      <c r="BX1546" s="935"/>
      <c r="BY1546" s="935"/>
      <c r="BZ1546" s="935"/>
      <c r="CA1546" s="935"/>
      <c r="CB1546" s="935"/>
      <c r="CC1546" s="935"/>
      <c r="CD1546" s="935"/>
      <c r="CE1546" s="935"/>
      <c r="CF1546" s="935"/>
      <c r="CG1546" s="935"/>
      <c r="CH1546" s="935"/>
      <c r="CI1546" s="935"/>
      <c r="CJ1546" s="935"/>
      <c r="CK1546" s="935"/>
      <c r="CL1546" s="935"/>
      <c r="CM1546" s="935"/>
      <c r="CN1546" s="935"/>
      <c r="CO1546" s="935"/>
      <c r="CP1546" s="935"/>
      <c r="CQ1546" s="935"/>
      <c r="CR1546" s="935"/>
      <c r="CS1546" s="935"/>
      <c r="CT1546" s="935"/>
      <c r="CU1546" s="935"/>
      <c r="CV1546" s="935"/>
    </row>
    <row r="1547" spans="2:100" s="441" customFormat="1">
      <c r="B1547" s="868"/>
      <c r="C1547" s="493"/>
      <c r="D1547" s="376"/>
      <c r="E1547" s="447"/>
      <c r="F1547" s="500"/>
      <c r="G1547" s="497"/>
      <c r="H1547" s="602" t="str">
        <f>IFERROR(VLOOKUP(E:E,'Item Data Support Sheet'!A:O,2,0),"")</f>
        <v/>
      </c>
      <c r="I1547" s="501"/>
      <c r="J1547" s="501"/>
      <c r="K1547" s="438"/>
      <c r="L1547" s="499"/>
      <c r="M1547" s="366"/>
      <c r="N1547" s="367">
        <f t="shared" si="419"/>
        <v>0</v>
      </c>
      <c r="O1547" s="61"/>
      <c r="P1547" s="368"/>
      <c r="Q1547" s="368"/>
      <c r="R1547" s="494"/>
      <c r="S1547" s="493"/>
      <c r="T1547" s="494"/>
      <c r="U1547" s="493"/>
      <c r="V1547" s="502"/>
      <c r="W1547" s="453">
        <f t="shared" si="420"/>
        <v>0</v>
      </c>
      <c r="X1547" s="748" t="e">
        <f t="shared" si="421"/>
        <v>#DIV/0!</v>
      </c>
      <c r="Y1547" s="451">
        <f>IFERROR(VLOOKUP(E:E,'Item Data Support Sheet'!A:J,6,0),0)</f>
        <v>0</v>
      </c>
      <c r="Z1547" s="428">
        <f>IFERROR(VLOOKUP(E:E,'Item Data Support Sheet'!A:O,4,0),0)</f>
        <v>0</v>
      </c>
      <c r="AA1547" s="428">
        <f t="shared" si="422"/>
        <v>0</v>
      </c>
      <c r="AB1547" s="429" t="str">
        <f t="shared" si="423"/>
        <v xml:space="preserve"> </v>
      </c>
      <c r="AC1547" s="424">
        <f t="shared" si="424"/>
        <v>0</v>
      </c>
      <c r="AD1547" s="371">
        <f t="shared" si="425"/>
        <v>0</v>
      </c>
      <c r="AE1547" s="748" t="e">
        <f t="shared" si="426"/>
        <v>#DIV/0!</v>
      </c>
      <c r="AF1547" s="417">
        <f t="shared" si="427"/>
        <v>0</v>
      </c>
      <c r="AG1547" s="416">
        <f t="shared" si="428"/>
        <v>0</v>
      </c>
      <c r="AH1547" s="372" t="str">
        <f t="shared" si="429"/>
        <v xml:space="preserve"> </v>
      </c>
      <c r="AI1547" s="373">
        <f t="shared" si="430"/>
        <v>0</v>
      </c>
      <c r="AJ1547" s="418" t="e">
        <f>VLOOKUP(D1547,'Standard Cycle time'!C:D,2,0)</f>
        <v>#N/A</v>
      </c>
      <c r="AK1547" s="418" t="e">
        <f t="shared" si="431"/>
        <v>#DIV/0!</v>
      </c>
      <c r="AL1547" s="374" t="e">
        <f t="shared" si="432"/>
        <v>#N/A</v>
      </c>
      <c r="AM1547" s="372" t="e">
        <f t="shared" si="433"/>
        <v>#DIV/0!</v>
      </c>
      <c r="AN1547" s="799"/>
      <c r="AO1547" s="448"/>
      <c r="AP1547" s="440"/>
      <c r="AQ1547" s="440"/>
      <c r="AR1547" s="440"/>
      <c r="AS1547" s="440"/>
      <c r="AT1547" s="440"/>
      <c r="AU1547" s="440"/>
      <c r="AV1547" s="440"/>
      <c r="AW1547" s="440"/>
      <c r="AX1547" s="440"/>
      <c r="AY1547" s="440"/>
      <c r="AZ1547" s="440"/>
      <c r="BA1547" s="440"/>
      <c r="BB1547" s="440"/>
      <c r="BC1547" s="440"/>
      <c r="BD1547" s="440"/>
      <c r="BE1547" s="440"/>
      <c r="BF1547" s="440"/>
      <c r="BG1547" s="440"/>
      <c r="BH1547" s="440"/>
      <c r="BI1547" s="440"/>
      <c r="BJ1547" s="440"/>
      <c r="BK1547" s="440"/>
      <c r="BL1547" s="440"/>
      <c r="BM1547" s="440"/>
      <c r="BN1547" s="440"/>
      <c r="BO1547" s="440"/>
      <c r="BP1547" s="440"/>
      <c r="BQ1547" s="440"/>
      <c r="BR1547" s="415"/>
      <c r="BS1547" s="415"/>
      <c r="BT1547" s="935"/>
      <c r="BU1547" s="935"/>
      <c r="BV1547" s="935"/>
      <c r="BW1547" s="935"/>
      <c r="BX1547" s="935"/>
      <c r="BY1547" s="935"/>
      <c r="BZ1547" s="935"/>
      <c r="CA1547" s="935"/>
      <c r="CB1547" s="935"/>
      <c r="CC1547" s="935"/>
      <c r="CD1547" s="935"/>
      <c r="CE1547" s="935"/>
      <c r="CF1547" s="935"/>
      <c r="CG1547" s="935"/>
      <c r="CH1547" s="935"/>
      <c r="CI1547" s="935"/>
      <c r="CJ1547" s="935"/>
      <c r="CK1547" s="935"/>
      <c r="CL1547" s="935"/>
      <c r="CM1547" s="935"/>
      <c r="CN1547" s="935"/>
      <c r="CO1547" s="935"/>
      <c r="CP1547" s="935"/>
      <c r="CQ1547" s="935"/>
      <c r="CR1547" s="935"/>
      <c r="CS1547" s="935"/>
      <c r="CT1547" s="935"/>
      <c r="CU1547" s="935"/>
      <c r="CV1547" s="935"/>
    </row>
    <row r="1548" spans="2:100" s="441" customFormat="1">
      <c r="B1548" s="868"/>
      <c r="C1548" s="493"/>
      <c r="D1548" s="376"/>
      <c r="E1548" s="447"/>
      <c r="F1548" s="500"/>
      <c r="G1548" s="497"/>
      <c r="H1548" s="602" t="str">
        <f>IFERROR(VLOOKUP(E:E,'Item Data Support Sheet'!A:O,2,0),"")</f>
        <v/>
      </c>
      <c r="I1548" s="501"/>
      <c r="J1548" s="501"/>
      <c r="K1548" s="438"/>
      <c r="L1548" s="499"/>
      <c r="M1548" s="366"/>
      <c r="N1548" s="367">
        <f t="shared" si="419"/>
        <v>0</v>
      </c>
      <c r="O1548" s="61"/>
      <c r="P1548" s="368"/>
      <c r="Q1548" s="368"/>
      <c r="R1548" s="494"/>
      <c r="S1548" s="493"/>
      <c r="T1548" s="494"/>
      <c r="U1548" s="493"/>
      <c r="V1548" s="502"/>
      <c r="W1548" s="453">
        <f t="shared" si="420"/>
        <v>0</v>
      </c>
      <c r="X1548" s="748" t="e">
        <f t="shared" si="421"/>
        <v>#DIV/0!</v>
      </c>
      <c r="Y1548" s="451">
        <f>IFERROR(VLOOKUP(E:E,'Item Data Support Sheet'!A:J,6,0),0)</f>
        <v>0</v>
      </c>
      <c r="Z1548" s="428">
        <f>IFERROR(VLOOKUP(E:E,'Item Data Support Sheet'!A:O,4,0),0)</f>
        <v>0</v>
      </c>
      <c r="AA1548" s="428">
        <f t="shared" si="422"/>
        <v>0</v>
      </c>
      <c r="AB1548" s="429" t="str">
        <f t="shared" si="423"/>
        <v xml:space="preserve"> </v>
      </c>
      <c r="AC1548" s="424">
        <f t="shared" si="424"/>
        <v>0</v>
      </c>
      <c r="AD1548" s="371">
        <f t="shared" si="425"/>
        <v>0</v>
      </c>
      <c r="AE1548" s="748" t="e">
        <f t="shared" si="426"/>
        <v>#DIV/0!</v>
      </c>
      <c r="AF1548" s="417">
        <f t="shared" si="427"/>
        <v>0</v>
      </c>
      <c r="AG1548" s="416">
        <f t="shared" si="428"/>
        <v>0</v>
      </c>
      <c r="AH1548" s="372" t="str">
        <f t="shared" si="429"/>
        <v xml:space="preserve"> </v>
      </c>
      <c r="AI1548" s="373">
        <f t="shared" si="430"/>
        <v>0</v>
      </c>
      <c r="AJ1548" s="418" t="e">
        <f>VLOOKUP(D1548,'Standard Cycle time'!C:D,2,0)</f>
        <v>#N/A</v>
      </c>
      <c r="AK1548" s="418" t="e">
        <f t="shared" si="431"/>
        <v>#DIV/0!</v>
      </c>
      <c r="AL1548" s="374" t="e">
        <f t="shared" si="432"/>
        <v>#N/A</v>
      </c>
      <c r="AM1548" s="372" t="e">
        <f t="shared" si="433"/>
        <v>#DIV/0!</v>
      </c>
      <c r="AN1548" s="799"/>
      <c r="AO1548" s="448"/>
      <c r="AP1548" s="440"/>
      <c r="AQ1548" s="440"/>
      <c r="AR1548" s="440"/>
      <c r="AS1548" s="440"/>
      <c r="AT1548" s="440"/>
      <c r="AU1548" s="440"/>
      <c r="AV1548" s="440"/>
      <c r="AW1548" s="440"/>
      <c r="AX1548" s="440"/>
      <c r="AY1548" s="440"/>
      <c r="AZ1548" s="440"/>
      <c r="BA1548" s="440"/>
      <c r="BB1548" s="440"/>
      <c r="BC1548" s="440"/>
      <c r="BD1548" s="440"/>
      <c r="BE1548" s="440"/>
      <c r="BF1548" s="440"/>
      <c r="BG1548" s="440"/>
      <c r="BH1548" s="440"/>
      <c r="BI1548" s="440"/>
      <c r="BJ1548" s="440"/>
      <c r="BK1548" s="440"/>
      <c r="BL1548" s="440"/>
      <c r="BM1548" s="440"/>
      <c r="BN1548" s="440"/>
      <c r="BO1548" s="440"/>
      <c r="BP1548" s="440"/>
      <c r="BQ1548" s="440"/>
      <c r="BR1548" s="415"/>
      <c r="BS1548" s="415"/>
      <c r="BT1548" s="935"/>
      <c r="BU1548" s="935"/>
      <c r="BV1548" s="935"/>
      <c r="BW1548" s="935"/>
      <c r="BX1548" s="935"/>
      <c r="BY1548" s="935"/>
      <c r="BZ1548" s="935"/>
      <c r="CA1548" s="935"/>
      <c r="CB1548" s="935"/>
      <c r="CC1548" s="935"/>
      <c r="CD1548" s="935"/>
      <c r="CE1548" s="935"/>
      <c r="CF1548" s="935"/>
      <c r="CG1548" s="935"/>
      <c r="CH1548" s="935"/>
      <c r="CI1548" s="935"/>
      <c r="CJ1548" s="935"/>
      <c r="CK1548" s="935"/>
      <c r="CL1548" s="935"/>
      <c r="CM1548" s="935"/>
      <c r="CN1548" s="935"/>
      <c r="CO1548" s="935"/>
      <c r="CP1548" s="935"/>
      <c r="CQ1548" s="935"/>
      <c r="CR1548" s="935"/>
      <c r="CS1548" s="935"/>
      <c r="CT1548" s="935"/>
      <c r="CU1548" s="935"/>
      <c r="CV1548" s="935"/>
    </row>
    <row r="1549" spans="2:100" s="441" customFormat="1">
      <c r="B1549" s="868"/>
      <c r="C1549" s="493"/>
      <c r="D1549" s="376"/>
      <c r="E1549" s="447"/>
      <c r="F1549" s="500"/>
      <c r="G1549" s="497"/>
      <c r="H1549" s="602" t="str">
        <f>IFERROR(VLOOKUP(E:E,'Item Data Support Sheet'!A:O,2,0),"")</f>
        <v/>
      </c>
      <c r="I1549" s="501"/>
      <c r="J1549" s="501"/>
      <c r="K1549" s="438"/>
      <c r="L1549" s="499"/>
      <c r="M1549" s="366"/>
      <c r="N1549" s="367">
        <f t="shared" si="419"/>
        <v>0</v>
      </c>
      <c r="O1549" s="61"/>
      <c r="P1549" s="368"/>
      <c r="Q1549" s="368"/>
      <c r="R1549" s="494"/>
      <c r="S1549" s="493"/>
      <c r="T1549" s="494"/>
      <c r="U1549" s="493"/>
      <c r="V1549" s="502"/>
      <c r="W1549" s="453">
        <f t="shared" si="420"/>
        <v>0</v>
      </c>
      <c r="X1549" s="748" t="e">
        <f t="shared" si="421"/>
        <v>#DIV/0!</v>
      </c>
      <c r="Y1549" s="451">
        <f>IFERROR(VLOOKUP(E:E,'Item Data Support Sheet'!A:J,6,0),0)</f>
        <v>0</v>
      </c>
      <c r="Z1549" s="428">
        <f>IFERROR(VLOOKUP(E:E,'Item Data Support Sheet'!A:O,4,0),0)</f>
        <v>0</v>
      </c>
      <c r="AA1549" s="428">
        <f t="shared" si="422"/>
        <v>0</v>
      </c>
      <c r="AB1549" s="429" t="str">
        <f t="shared" si="423"/>
        <v xml:space="preserve"> </v>
      </c>
      <c r="AC1549" s="424">
        <f t="shared" si="424"/>
        <v>0</v>
      </c>
      <c r="AD1549" s="371">
        <f t="shared" si="425"/>
        <v>0</v>
      </c>
      <c r="AE1549" s="748" t="e">
        <f t="shared" si="426"/>
        <v>#DIV/0!</v>
      </c>
      <c r="AF1549" s="417">
        <f t="shared" si="427"/>
        <v>0</v>
      </c>
      <c r="AG1549" s="416">
        <f t="shared" si="428"/>
        <v>0</v>
      </c>
      <c r="AH1549" s="372" t="str">
        <f t="shared" si="429"/>
        <v xml:space="preserve"> </v>
      </c>
      <c r="AI1549" s="373">
        <f t="shared" si="430"/>
        <v>0</v>
      </c>
      <c r="AJ1549" s="418" t="e">
        <f>VLOOKUP(D1549,'Standard Cycle time'!C:D,2,0)</f>
        <v>#N/A</v>
      </c>
      <c r="AK1549" s="418" t="e">
        <f t="shared" si="431"/>
        <v>#DIV/0!</v>
      </c>
      <c r="AL1549" s="374" t="e">
        <f t="shared" si="432"/>
        <v>#N/A</v>
      </c>
      <c r="AM1549" s="372" t="e">
        <f t="shared" si="433"/>
        <v>#DIV/0!</v>
      </c>
      <c r="AN1549" s="799"/>
      <c r="AO1549" s="448"/>
      <c r="AP1549" s="440"/>
      <c r="AQ1549" s="440"/>
      <c r="AR1549" s="440"/>
      <c r="AS1549" s="440"/>
      <c r="AT1549" s="440"/>
      <c r="AU1549" s="440"/>
      <c r="AV1549" s="440"/>
      <c r="AW1549" s="440"/>
      <c r="AX1549" s="440"/>
      <c r="AY1549" s="440"/>
      <c r="AZ1549" s="440"/>
      <c r="BA1549" s="440"/>
      <c r="BB1549" s="440"/>
      <c r="BC1549" s="440"/>
      <c r="BD1549" s="440"/>
      <c r="BE1549" s="440"/>
      <c r="BF1549" s="440"/>
      <c r="BG1549" s="440"/>
      <c r="BH1549" s="440"/>
      <c r="BI1549" s="440"/>
      <c r="BJ1549" s="440"/>
      <c r="BK1549" s="440"/>
      <c r="BL1549" s="440"/>
      <c r="BM1549" s="440"/>
      <c r="BN1549" s="440"/>
      <c r="BO1549" s="440"/>
      <c r="BP1549" s="440"/>
      <c r="BQ1549" s="440"/>
      <c r="BR1549" s="415"/>
      <c r="BS1549" s="415"/>
      <c r="BT1549" s="935"/>
      <c r="BU1549" s="935"/>
      <c r="BV1549" s="935"/>
      <c r="BW1549" s="935"/>
      <c r="BX1549" s="935"/>
      <c r="BY1549" s="935"/>
      <c r="BZ1549" s="935"/>
      <c r="CA1549" s="935"/>
      <c r="CB1549" s="935"/>
      <c r="CC1549" s="935"/>
      <c r="CD1549" s="935"/>
      <c r="CE1549" s="935"/>
      <c r="CF1549" s="935"/>
      <c r="CG1549" s="935"/>
      <c r="CH1549" s="935"/>
      <c r="CI1549" s="935"/>
      <c r="CJ1549" s="935"/>
      <c r="CK1549" s="935"/>
      <c r="CL1549" s="935"/>
      <c r="CM1549" s="935"/>
      <c r="CN1549" s="935"/>
      <c r="CO1549" s="935"/>
      <c r="CP1549" s="935"/>
      <c r="CQ1549" s="935"/>
      <c r="CR1549" s="935"/>
      <c r="CS1549" s="935"/>
      <c r="CT1549" s="935"/>
      <c r="CU1549" s="935"/>
      <c r="CV1549" s="935"/>
    </row>
    <row r="1550" spans="2:100" s="441" customFormat="1">
      <c r="B1550" s="868"/>
      <c r="C1550" s="493"/>
      <c r="D1550" s="376"/>
      <c r="E1550" s="447"/>
      <c r="F1550" s="500"/>
      <c r="G1550" s="497"/>
      <c r="H1550" s="602" t="str">
        <f>IFERROR(VLOOKUP(E:E,'Item Data Support Sheet'!A:O,2,0),"")</f>
        <v/>
      </c>
      <c r="I1550" s="501"/>
      <c r="J1550" s="501"/>
      <c r="K1550" s="438"/>
      <c r="L1550" s="499"/>
      <c r="M1550" s="366"/>
      <c r="N1550" s="367">
        <f t="shared" si="419"/>
        <v>0</v>
      </c>
      <c r="O1550" s="61"/>
      <c r="P1550" s="368"/>
      <c r="Q1550" s="368"/>
      <c r="R1550" s="494"/>
      <c r="S1550" s="493"/>
      <c r="T1550" s="494"/>
      <c r="U1550" s="493"/>
      <c r="V1550" s="502"/>
      <c r="W1550" s="453">
        <f t="shared" si="420"/>
        <v>0</v>
      </c>
      <c r="X1550" s="748" t="e">
        <f t="shared" si="421"/>
        <v>#DIV/0!</v>
      </c>
      <c r="Y1550" s="451">
        <f>IFERROR(VLOOKUP(E:E,'Item Data Support Sheet'!A:J,6,0),0)</f>
        <v>0</v>
      </c>
      <c r="Z1550" s="428">
        <f>IFERROR(VLOOKUP(E:E,'Item Data Support Sheet'!A:O,4,0),0)</f>
        <v>0</v>
      </c>
      <c r="AA1550" s="428">
        <f t="shared" si="422"/>
        <v>0</v>
      </c>
      <c r="AB1550" s="429" t="str">
        <f t="shared" si="423"/>
        <v xml:space="preserve"> </v>
      </c>
      <c r="AC1550" s="424">
        <f t="shared" si="424"/>
        <v>0</v>
      </c>
      <c r="AD1550" s="371">
        <f t="shared" si="425"/>
        <v>0</v>
      </c>
      <c r="AE1550" s="748" t="e">
        <f t="shared" si="426"/>
        <v>#DIV/0!</v>
      </c>
      <c r="AF1550" s="417">
        <f t="shared" si="427"/>
        <v>0</v>
      </c>
      <c r="AG1550" s="416">
        <f t="shared" si="428"/>
        <v>0</v>
      </c>
      <c r="AH1550" s="372" t="str">
        <f t="shared" si="429"/>
        <v xml:space="preserve"> </v>
      </c>
      <c r="AI1550" s="373">
        <f t="shared" si="430"/>
        <v>0</v>
      </c>
      <c r="AJ1550" s="418" t="e">
        <f>VLOOKUP(D1550,'Standard Cycle time'!C:D,2,0)</f>
        <v>#N/A</v>
      </c>
      <c r="AK1550" s="418" t="e">
        <f t="shared" si="431"/>
        <v>#DIV/0!</v>
      </c>
      <c r="AL1550" s="374" t="e">
        <f t="shared" si="432"/>
        <v>#N/A</v>
      </c>
      <c r="AM1550" s="372" t="e">
        <f t="shared" si="433"/>
        <v>#DIV/0!</v>
      </c>
      <c r="AN1550" s="799"/>
      <c r="AO1550" s="448"/>
      <c r="AP1550" s="440"/>
      <c r="AQ1550" s="440"/>
      <c r="AR1550" s="440"/>
      <c r="AS1550" s="440"/>
      <c r="AT1550" s="440"/>
      <c r="AU1550" s="440"/>
      <c r="AV1550" s="440"/>
      <c r="AW1550" s="440"/>
      <c r="AX1550" s="440"/>
      <c r="AY1550" s="440"/>
      <c r="AZ1550" s="440"/>
      <c r="BA1550" s="440"/>
      <c r="BB1550" s="440"/>
      <c r="BC1550" s="440"/>
      <c r="BD1550" s="440"/>
      <c r="BE1550" s="440"/>
      <c r="BF1550" s="440"/>
      <c r="BG1550" s="440"/>
      <c r="BH1550" s="440"/>
      <c r="BI1550" s="440"/>
      <c r="BJ1550" s="440"/>
      <c r="BK1550" s="440"/>
      <c r="BL1550" s="440"/>
      <c r="BM1550" s="440"/>
      <c r="BN1550" s="440"/>
      <c r="BO1550" s="440"/>
      <c r="BP1550" s="440"/>
      <c r="BQ1550" s="440"/>
      <c r="BR1550" s="415"/>
      <c r="BS1550" s="415"/>
      <c r="BT1550" s="935"/>
      <c r="BU1550" s="935"/>
      <c r="BV1550" s="935"/>
      <c r="BW1550" s="935"/>
      <c r="BX1550" s="935"/>
      <c r="BY1550" s="935"/>
      <c r="BZ1550" s="935"/>
      <c r="CA1550" s="935"/>
      <c r="CB1550" s="935"/>
      <c r="CC1550" s="935"/>
      <c r="CD1550" s="935"/>
      <c r="CE1550" s="935"/>
      <c r="CF1550" s="935"/>
      <c r="CG1550" s="935"/>
      <c r="CH1550" s="935"/>
      <c r="CI1550" s="935"/>
      <c r="CJ1550" s="935"/>
      <c r="CK1550" s="935"/>
      <c r="CL1550" s="935"/>
      <c r="CM1550" s="935"/>
      <c r="CN1550" s="935"/>
      <c r="CO1550" s="935"/>
      <c r="CP1550" s="935"/>
      <c r="CQ1550" s="935"/>
      <c r="CR1550" s="935"/>
      <c r="CS1550" s="935"/>
      <c r="CT1550" s="935"/>
      <c r="CU1550" s="935"/>
      <c r="CV1550" s="935"/>
    </row>
    <row r="1551" spans="2:100" s="441" customFormat="1">
      <c r="B1551" s="868"/>
      <c r="C1551" s="493"/>
      <c r="D1551" s="376"/>
      <c r="E1551" s="447"/>
      <c r="F1551" s="500"/>
      <c r="G1551" s="497"/>
      <c r="H1551" s="602" t="str">
        <f>IFERROR(VLOOKUP(E:E,'Item Data Support Sheet'!A:O,2,0),"")</f>
        <v/>
      </c>
      <c r="I1551" s="501"/>
      <c r="J1551" s="501"/>
      <c r="K1551" s="438"/>
      <c r="L1551" s="499"/>
      <c r="M1551" s="366"/>
      <c r="N1551" s="367">
        <f t="shared" si="419"/>
        <v>0</v>
      </c>
      <c r="O1551" s="61"/>
      <c r="P1551" s="368"/>
      <c r="Q1551" s="368"/>
      <c r="R1551" s="494"/>
      <c r="S1551" s="493"/>
      <c r="T1551" s="494"/>
      <c r="U1551" s="493"/>
      <c r="V1551" s="502"/>
      <c r="W1551" s="453">
        <f t="shared" si="420"/>
        <v>0</v>
      </c>
      <c r="X1551" s="748" t="e">
        <f t="shared" si="421"/>
        <v>#DIV/0!</v>
      </c>
      <c r="Y1551" s="451">
        <f>IFERROR(VLOOKUP(E:E,'Item Data Support Sheet'!A:J,6,0),0)</f>
        <v>0</v>
      </c>
      <c r="Z1551" s="428">
        <f>IFERROR(VLOOKUP(E:E,'Item Data Support Sheet'!A:O,4,0),0)</f>
        <v>0</v>
      </c>
      <c r="AA1551" s="428">
        <f t="shared" si="422"/>
        <v>0</v>
      </c>
      <c r="AB1551" s="429" t="str">
        <f t="shared" si="423"/>
        <v xml:space="preserve"> </v>
      </c>
      <c r="AC1551" s="424">
        <f t="shared" si="424"/>
        <v>0</v>
      </c>
      <c r="AD1551" s="371">
        <f t="shared" si="425"/>
        <v>0</v>
      </c>
      <c r="AE1551" s="748" t="e">
        <f t="shared" si="426"/>
        <v>#DIV/0!</v>
      </c>
      <c r="AF1551" s="417">
        <f t="shared" si="427"/>
        <v>0</v>
      </c>
      <c r="AG1551" s="416">
        <f t="shared" si="428"/>
        <v>0</v>
      </c>
      <c r="AH1551" s="372" t="str">
        <f t="shared" si="429"/>
        <v xml:space="preserve"> </v>
      </c>
      <c r="AI1551" s="373">
        <f t="shared" si="430"/>
        <v>0</v>
      </c>
      <c r="AJ1551" s="418" t="e">
        <f>VLOOKUP(D1551,'Standard Cycle time'!C:D,2,0)</f>
        <v>#N/A</v>
      </c>
      <c r="AK1551" s="418" t="e">
        <f t="shared" si="431"/>
        <v>#DIV/0!</v>
      </c>
      <c r="AL1551" s="374" t="e">
        <f t="shared" si="432"/>
        <v>#N/A</v>
      </c>
      <c r="AM1551" s="372" t="e">
        <f t="shared" si="433"/>
        <v>#DIV/0!</v>
      </c>
      <c r="AN1551" s="799"/>
      <c r="AO1551" s="448"/>
      <c r="AP1551" s="440"/>
      <c r="AQ1551" s="440"/>
      <c r="AR1551" s="440"/>
      <c r="AS1551" s="440"/>
      <c r="AT1551" s="440"/>
      <c r="AU1551" s="440"/>
      <c r="AV1551" s="440"/>
      <c r="AW1551" s="440"/>
      <c r="AX1551" s="440"/>
      <c r="AY1551" s="440"/>
      <c r="AZ1551" s="440"/>
      <c r="BA1551" s="440"/>
      <c r="BB1551" s="440"/>
      <c r="BC1551" s="440"/>
      <c r="BD1551" s="440"/>
      <c r="BE1551" s="440"/>
      <c r="BF1551" s="440"/>
      <c r="BG1551" s="440"/>
      <c r="BH1551" s="440"/>
      <c r="BI1551" s="440"/>
      <c r="BJ1551" s="440"/>
      <c r="BK1551" s="440"/>
      <c r="BL1551" s="440"/>
      <c r="BM1551" s="440"/>
      <c r="BN1551" s="440"/>
      <c r="BO1551" s="440"/>
      <c r="BP1551" s="440"/>
      <c r="BQ1551" s="440"/>
      <c r="BR1551" s="415"/>
      <c r="BS1551" s="415"/>
      <c r="BT1551" s="935"/>
      <c r="BU1551" s="935"/>
      <c r="BV1551" s="935"/>
      <c r="BW1551" s="935"/>
      <c r="BX1551" s="935"/>
      <c r="BY1551" s="935"/>
      <c r="BZ1551" s="935"/>
      <c r="CA1551" s="935"/>
      <c r="CB1551" s="935"/>
      <c r="CC1551" s="935"/>
      <c r="CD1551" s="935"/>
      <c r="CE1551" s="935"/>
      <c r="CF1551" s="935"/>
      <c r="CG1551" s="935"/>
      <c r="CH1551" s="935"/>
      <c r="CI1551" s="935"/>
      <c r="CJ1551" s="935"/>
      <c r="CK1551" s="935"/>
      <c r="CL1551" s="935"/>
      <c r="CM1551" s="935"/>
      <c r="CN1551" s="935"/>
      <c r="CO1551" s="935"/>
      <c r="CP1551" s="935"/>
      <c r="CQ1551" s="935"/>
      <c r="CR1551" s="935"/>
      <c r="CS1551" s="935"/>
      <c r="CT1551" s="935"/>
      <c r="CU1551" s="935"/>
      <c r="CV1551" s="935"/>
    </row>
    <row r="1552" spans="2:100" s="441" customFormat="1">
      <c r="B1552" s="868"/>
      <c r="C1552" s="493"/>
      <c r="D1552" s="376"/>
      <c r="E1552" s="447"/>
      <c r="F1552" s="500"/>
      <c r="G1552" s="497"/>
      <c r="H1552" s="602" t="str">
        <f>IFERROR(VLOOKUP(E:E,'Item Data Support Sheet'!A:O,2,0),"")</f>
        <v/>
      </c>
      <c r="I1552" s="501"/>
      <c r="J1552" s="501"/>
      <c r="K1552" s="438"/>
      <c r="L1552" s="499"/>
      <c r="M1552" s="366"/>
      <c r="N1552" s="367">
        <f t="shared" si="419"/>
        <v>0</v>
      </c>
      <c r="O1552" s="61"/>
      <c r="P1552" s="368"/>
      <c r="Q1552" s="368"/>
      <c r="R1552" s="494"/>
      <c r="S1552" s="493"/>
      <c r="T1552" s="494"/>
      <c r="U1552" s="493"/>
      <c r="V1552" s="502"/>
      <c r="W1552" s="453">
        <f t="shared" si="420"/>
        <v>0</v>
      </c>
      <c r="X1552" s="748" t="e">
        <f t="shared" si="421"/>
        <v>#DIV/0!</v>
      </c>
      <c r="Y1552" s="451">
        <f>IFERROR(VLOOKUP(E:E,'Item Data Support Sheet'!A:J,6,0),0)</f>
        <v>0</v>
      </c>
      <c r="Z1552" s="428">
        <f>IFERROR(VLOOKUP(E:E,'Item Data Support Sheet'!A:O,4,0),0)</f>
        <v>0</v>
      </c>
      <c r="AA1552" s="428">
        <f t="shared" si="422"/>
        <v>0</v>
      </c>
      <c r="AB1552" s="429" t="str">
        <f t="shared" si="423"/>
        <v xml:space="preserve"> </v>
      </c>
      <c r="AC1552" s="424">
        <f t="shared" si="424"/>
        <v>0</v>
      </c>
      <c r="AD1552" s="371">
        <f t="shared" si="425"/>
        <v>0</v>
      </c>
      <c r="AE1552" s="748" t="e">
        <f t="shared" si="426"/>
        <v>#DIV/0!</v>
      </c>
      <c r="AF1552" s="417">
        <f t="shared" si="427"/>
        <v>0</v>
      </c>
      <c r="AG1552" s="416">
        <f t="shared" si="428"/>
        <v>0</v>
      </c>
      <c r="AH1552" s="372" t="str">
        <f t="shared" si="429"/>
        <v xml:space="preserve"> </v>
      </c>
      <c r="AI1552" s="373">
        <f t="shared" si="430"/>
        <v>0</v>
      </c>
      <c r="AJ1552" s="418" t="e">
        <f>VLOOKUP(D1552,'Standard Cycle time'!C:D,2,0)</f>
        <v>#N/A</v>
      </c>
      <c r="AK1552" s="418" t="e">
        <f t="shared" si="431"/>
        <v>#DIV/0!</v>
      </c>
      <c r="AL1552" s="374" t="e">
        <f t="shared" si="432"/>
        <v>#N/A</v>
      </c>
      <c r="AM1552" s="372" t="e">
        <f t="shared" si="433"/>
        <v>#DIV/0!</v>
      </c>
      <c r="AN1552" s="799"/>
      <c r="AO1552" s="448"/>
      <c r="AP1552" s="440"/>
      <c r="AQ1552" s="440"/>
      <c r="AR1552" s="440"/>
      <c r="AS1552" s="440"/>
      <c r="AT1552" s="440"/>
      <c r="AU1552" s="440"/>
      <c r="AV1552" s="440"/>
      <c r="AW1552" s="440"/>
      <c r="AX1552" s="440"/>
      <c r="AY1552" s="440"/>
      <c r="AZ1552" s="440"/>
      <c r="BA1552" s="440"/>
      <c r="BB1552" s="440"/>
      <c r="BC1552" s="440"/>
      <c r="BD1552" s="440"/>
      <c r="BE1552" s="440"/>
      <c r="BF1552" s="440"/>
      <c r="BG1552" s="440"/>
      <c r="BH1552" s="440"/>
      <c r="BI1552" s="440"/>
      <c r="BJ1552" s="440"/>
      <c r="BK1552" s="440"/>
      <c r="BL1552" s="440"/>
      <c r="BM1552" s="440"/>
      <c r="BN1552" s="440"/>
      <c r="BO1552" s="440"/>
      <c r="BP1552" s="440"/>
      <c r="BQ1552" s="440"/>
      <c r="BR1552" s="415"/>
      <c r="BS1552" s="415"/>
      <c r="BT1552" s="935"/>
      <c r="BU1552" s="935"/>
      <c r="BV1552" s="935"/>
      <c r="BW1552" s="935"/>
      <c r="BX1552" s="935"/>
      <c r="BY1552" s="935"/>
      <c r="BZ1552" s="935"/>
      <c r="CA1552" s="935"/>
      <c r="CB1552" s="935"/>
      <c r="CC1552" s="935"/>
      <c r="CD1552" s="935"/>
      <c r="CE1552" s="935"/>
      <c r="CF1552" s="935"/>
      <c r="CG1552" s="935"/>
      <c r="CH1552" s="935"/>
      <c r="CI1552" s="935"/>
      <c r="CJ1552" s="935"/>
      <c r="CK1552" s="935"/>
      <c r="CL1552" s="935"/>
      <c r="CM1552" s="935"/>
      <c r="CN1552" s="935"/>
      <c r="CO1552" s="935"/>
      <c r="CP1552" s="935"/>
      <c r="CQ1552" s="935"/>
      <c r="CR1552" s="935"/>
      <c r="CS1552" s="935"/>
      <c r="CT1552" s="935"/>
      <c r="CU1552" s="935"/>
      <c r="CV1552" s="935"/>
    </row>
    <row r="1553" spans="2:100" s="441" customFormat="1">
      <c r="B1553" s="868"/>
      <c r="C1553" s="493"/>
      <c r="D1553" s="376"/>
      <c r="E1553" s="447"/>
      <c r="F1553" s="500"/>
      <c r="G1553" s="497"/>
      <c r="H1553" s="602" t="str">
        <f>IFERROR(VLOOKUP(E:E,'Item Data Support Sheet'!A:O,2,0),"")</f>
        <v/>
      </c>
      <c r="I1553" s="501"/>
      <c r="J1553" s="501"/>
      <c r="K1553" s="438"/>
      <c r="L1553" s="499"/>
      <c r="M1553" s="366"/>
      <c r="N1553" s="367">
        <f t="shared" si="419"/>
        <v>0</v>
      </c>
      <c r="O1553" s="61"/>
      <c r="P1553" s="368"/>
      <c r="Q1553" s="368"/>
      <c r="R1553" s="494"/>
      <c r="S1553" s="493"/>
      <c r="T1553" s="494"/>
      <c r="U1553" s="493"/>
      <c r="V1553" s="502"/>
      <c r="W1553" s="453">
        <f t="shared" si="420"/>
        <v>0</v>
      </c>
      <c r="X1553" s="748" t="e">
        <f t="shared" si="421"/>
        <v>#DIV/0!</v>
      </c>
      <c r="Y1553" s="451">
        <f>IFERROR(VLOOKUP(E:E,'Item Data Support Sheet'!A:J,6,0),0)</f>
        <v>0</v>
      </c>
      <c r="Z1553" s="428">
        <f>IFERROR(VLOOKUP(E:E,'Item Data Support Sheet'!A:O,4,0),0)</f>
        <v>0</v>
      </c>
      <c r="AA1553" s="428">
        <f t="shared" si="422"/>
        <v>0</v>
      </c>
      <c r="AB1553" s="429" t="str">
        <f t="shared" si="423"/>
        <v xml:space="preserve"> </v>
      </c>
      <c r="AC1553" s="424">
        <f t="shared" si="424"/>
        <v>0</v>
      </c>
      <c r="AD1553" s="371">
        <f t="shared" si="425"/>
        <v>0</v>
      </c>
      <c r="AE1553" s="748" t="e">
        <f t="shared" si="426"/>
        <v>#DIV/0!</v>
      </c>
      <c r="AF1553" s="417">
        <f t="shared" si="427"/>
        <v>0</v>
      </c>
      <c r="AG1553" s="416">
        <f t="shared" si="428"/>
        <v>0</v>
      </c>
      <c r="AH1553" s="372" t="str">
        <f t="shared" si="429"/>
        <v xml:space="preserve"> </v>
      </c>
      <c r="AI1553" s="373">
        <f t="shared" si="430"/>
        <v>0</v>
      </c>
      <c r="AJ1553" s="418" t="e">
        <f>VLOOKUP(D1553,'Standard Cycle time'!C:D,2,0)</f>
        <v>#N/A</v>
      </c>
      <c r="AK1553" s="418" t="e">
        <f t="shared" si="431"/>
        <v>#DIV/0!</v>
      </c>
      <c r="AL1553" s="374" t="e">
        <f t="shared" si="432"/>
        <v>#N/A</v>
      </c>
      <c r="AM1553" s="372" t="e">
        <f t="shared" si="433"/>
        <v>#DIV/0!</v>
      </c>
      <c r="AN1553" s="799"/>
      <c r="AO1553" s="448"/>
      <c r="AP1553" s="440"/>
      <c r="AQ1553" s="440"/>
      <c r="AR1553" s="440"/>
      <c r="AS1553" s="440"/>
      <c r="AT1553" s="440"/>
      <c r="AU1553" s="440"/>
      <c r="AV1553" s="440"/>
      <c r="AW1553" s="440"/>
      <c r="AX1553" s="440"/>
      <c r="AY1553" s="440"/>
      <c r="AZ1553" s="440"/>
      <c r="BA1553" s="440"/>
      <c r="BB1553" s="440"/>
      <c r="BC1553" s="440"/>
      <c r="BD1553" s="440"/>
      <c r="BE1553" s="440"/>
      <c r="BF1553" s="440"/>
      <c r="BG1553" s="440"/>
      <c r="BH1553" s="440"/>
      <c r="BI1553" s="440"/>
      <c r="BJ1553" s="440"/>
      <c r="BK1553" s="440"/>
      <c r="BL1553" s="440"/>
      <c r="BM1553" s="440"/>
      <c r="BN1553" s="440"/>
      <c r="BO1553" s="440"/>
      <c r="BP1553" s="440"/>
      <c r="BQ1553" s="440"/>
      <c r="BR1553" s="415"/>
      <c r="BS1553" s="415"/>
      <c r="BT1553" s="935"/>
      <c r="BU1553" s="935"/>
      <c r="BV1553" s="935"/>
      <c r="BW1553" s="935"/>
      <c r="BX1553" s="935"/>
      <c r="BY1553" s="935"/>
      <c r="BZ1553" s="935"/>
      <c r="CA1553" s="935"/>
      <c r="CB1553" s="935"/>
      <c r="CC1553" s="935"/>
      <c r="CD1553" s="935"/>
      <c r="CE1553" s="935"/>
      <c r="CF1553" s="935"/>
      <c r="CG1553" s="935"/>
      <c r="CH1553" s="935"/>
      <c r="CI1553" s="935"/>
      <c r="CJ1553" s="935"/>
      <c r="CK1553" s="935"/>
      <c r="CL1553" s="935"/>
      <c r="CM1553" s="935"/>
      <c r="CN1553" s="935"/>
      <c r="CO1553" s="935"/>
      <c r="CP1553" s="935"/>
      <c r="CQ1553" s="935"/>
      <c r="CR1553" s="935"/>
      <c r="CS1553" s="935"/>
      <c r="CT1553" s="935"/>
      <c r="CU1553" s="935"/>
      <c r="CV1553" s="935"/>
    </row>
    <row r="1554" spans="2:100" s="441" customFormat="1">
      <c r="B1554" s="868"/>
      <c r="C1554" s="493"/>
      <c r="D1554" s="376"/>
      <c r="E1554" s="447"/>
      <c r="F1554" s="500"/>
      <c r="G1554" s="497"/>
      <c r="H1554" s="602" t="str">
        <f>IFERROR(VLOOKUP(E:E,'Item Data Support Sheet'!A:O,2,0),"")</f>
        <v/>
      </c>
      <c r="I1554" s="501"/>
      <c r="J1554" s="501"/>
      <c r="K1554" s="438"/>
      <c r="L1554" s="499"/>
      <c r="M1554" s="366"/>
      <c r="N1554" s="367">
        <f t="shared" si="419"/>
        <v>0</v>
      </c>
      <c r="O1554" s="61"/>
      <c r="P1554" s="368"/>
      <c r="Q1554" s="368"/>
      <c r="R1554" s="494"/>
      <c r="S1554" s="493"/>
      <c r="T1554" s="494"/>
      <c r="U1554" s="493"/>
      <c r="V1554" s="502"/>
      <c r="W1554" s="453">
        <f t="shared" si="420"/>
        <v>0</v>
      </c>
      <c r="X1554" s="748" t="e">
        <f t="shared" si="421"/>
        <v>#DIV/0!</v>
      </c>
      <c r="Y1554" s="451">
        <f>IFERROR(VLOOKUP(E:E,'Item Data Support Sheet'!A:J,6,0),0)</f>
        <v>0</v>
      </c>
      <c r="Z1554" s="428">
        <f>IFERROR(VLOOKUP(E:E,'Item Data Support Sheet'!A:O,4,0),0)</f>
        <v>0</v>
      </c>
      <c r="AA1554" s="428">
        <f t="shared" si="422"/>
        <v>0</v>
      </c>
      <c r="AB1554" s="429" t="str">
        <f t="shared" si="423"/>
        <v xml:space="preserve"> </v>
      </c>
      <c r="AC1554" s="424">
        <f t="shared" si="424"/>
        <v>0</v>
      </c>
      <c r="AD1554" s="371">
        <f t="shared" si="425"/>
        <v>0</v>
      </c>
      <c r="AE1554" s="748" t="e">
        <f t="shared" si="426"/>
        <v>#DIV/0!</v>
      </c>
      <c r="AF1554" s="417">
        <f t="shared" si="427"/>
        <v>0</v>
      </c>
      <c r="AG1554" s="416">
        <f t="shared" si="428"/>
        <v>0</v>
      </c>
      <c r="AH1554" s="372" t="str">
        <f t="shared" si="429"/>
        <v xml:space="preserve"> </v>
      </c>
      <c r="AI1554" s="373">
        <f t="shared" si="430"/>
        <v>0</v>
      </c>
      <c r="AJ1554" s="418" t="e">
        <f>VLOOKUP(D1554,'Standard Cycle time'!C:D,2,0)</f>
        <v>#N/A</v>
      </c>
      <c r="AK1554" s="418" t="e">
        <f t="shared" si="431"/>
        <v>#DIV/0!</v>
      </c>
      <c r="AL1554" s="374" t="e">
        <f t="shared" si="432"/>
        <v>#N/A</v>
      </c>
      <c r="AM1554" s="372" t="e">
        <f t="shared" si="433"/>
        <v>#DIV/0!</v>
      </c>
      <c r="AN1554" s="799"/>
      <c r="AO1554" s="448"/>
      <c r="AP1554" s="440"/>
      <c r="AQ1554" s="440"/>
      <c r="AR1554" s="440"/>
      <c r="AS1554" s="440"/>
      <c r="AT1554" s="440"/>
      <c r="AU1554" s="440"/>
      <c r="AV1554" s="440"/>
      <c r="AW1554" s="440"/>
      <c r="AX1554" s="440"/>
      <c r="AY1554" s="440"/>
      <c r="AZ1554" s="440"/>
      <c r="BA1554" s="440"/>
      <c r="BB1554" s="440"/>
      <c r="BC1554" s="440"/>
      <c r="BD1554" s="440"/>
      <c r="BE1554" s="440"/>
      <c r="BF1554" s="440"/>
      <c r="BG1554" s="440"/>
      <c r="BH1554" s="440"/>
      <c r="BI1554" s="440"/>
      <c r="BJ1554" s="440"/>
      <c r="BK1554" s="440"/>
      <c r="BL1554" s="440"/>
      <c r="BM1554" s="440"/>
      <c r="BN1554" s="440"/>
      <c r="BO1554" s="440"/>
      <c r="BP1554" s="440"/>
      <c r="BQ1554" s="440"/>
      <c r="BR1554" s="415"/>
      <c r="BS1554" s="415"/>
      <c r="BT1554" s="935"/>
      <c r="BU1554" s="935"/>
      <c r="BV1554" s="935"/>
      <c r="BW1554" s="935"/>
      <c r="BX1554" s="935"/>
      <c r="BY1554" s="935"/>
      <c r="BZ1554" s="935"/>
      <c r="CA1554" s="935"/>
      <c r="CB1554" s="935"/>
      <c r="CC1554" s="935"/>
      <c r="CD1554" s="935"/>
      <c r="CE1554" s="935"/>
      <c r="CF1554" s="935"/>
      <c r="CG1554" s="935"/>
      <c r="CH1554" s="935"/>
      <c r="CI1554" s="935"/>
      <c r="CJ1554" s="935"/>
      <c r="CK1554" s="935"/>
      <c r="CL1554" s="935"/>
      <c r="CM1554" s="935"/>
      <c r="CN1554" s="935"/>
      <c r="CO1554" s="935"/>
      <c r="CP1554" s="935"/>
      <c r="CQ1554" s="935"/>
      <c r="CR1554" s="935"/>
      <c r="CS1554" s="935"/>
      <c r="CT1554" s="935"/>
      <c r="CU1554" s="935"/>
      <c r="CV1554" s="935"/>
    </row>
    <row r="1555" spans="2:100" s="441" customFormat="1">
      <c r="B1555" s="868"/>
      <c r="C1555" s="493"/>
      <c r="D1555" s="376"/>
      <c r="E1555" s="447"/>
      <c r="F1555" s="500"/>
      <c r="G1555" s="497"/>
      <c r="H1555" s="602" t="str">
        <f>IFERROR(VLOOKUP(E:E,'Item Data Support Sheet'!A:O,2,0),"")</f>
        <v/>
      </c>
      <c r="I1555" s="501"/>
      <c r="J1555" s="501"/>
      <c r="K1555" s="438"/>
      <c r="L1555" s="499"/>
      <c r="M1555" s="366"/>
      <c r="N1555" s="367">
        <f t="shared" si="419"/>
        <v>0</v>
      </c>
      <c r="O1555" s="61"/>
      <c r="P1555" s="368"/>
      <c r="Q1555" s="368"/>
      <c r="R1555" s="494"/>
      <c r="S1555" s="493"/>
      <c r="T1555" s="494"/>
      <c r="U1555" s="493"/>
      <c r="V1555" s="502"/>
      <c r="W1555" s="453">
        <f t="shared" si="420"/>
        <v>0</v>
      </c>
      <c r="X1555" s="748" t="e">
        <f t="shared" si="421"/>
        <v>#DIV/0!</v>
      </c>
      <c r="Y1555" s="451">
        <f>IFERROR(VLOOKUP(E:E,'Item Data Support Sheet'!A:J,6,0),0)</f>
        <v>0</v>
      </c>
      <c r="Z1555" s="428">
        <f>IFERROR(VLOOKUP(E:E,'Item Data Support Sheet'!A:O,4,0),0)</f>
        <v>0</v>
      </c>
      <c r="AA1555" s="428">
        <f t="shared" si="422"/>
        <v>0</v>
      </c>
      <c r="AB1555" s="429" t="str">
        <f t="shared" si="423"/>
        <v xml:space="preserve"> </v>
      </c>
      <c r="AC1555" s="424">
        <f t="shared" si="424"/>
        <v>0</v>
      </c>
      <c r="AD1555" s="371">
        <f t="shared" si="425"/>
        <v>0</v>
      </c>
      <c r="AE1555" s="748" t="e">
        <f t="shared" si="426"/>
        <v>#DIV/0!</v>
      </c>
      <c r="AF1555" s="417">
        <f t="shared" si="427"/>
        <v>0</v>
      </c>
      <c r="AG1555" s="416">
        <f t="shared" si="428"/>
        <v>0</v>
      </c>
      <c r="AH1555" s="372" t="str">
        <f t="shared" si="429"/>
        <v xml:space="preserve"> </v>
      </c>
      <c r="AI1555" s="373">
        <f t="shared" si="430"/>
        <v>0</v>
      </c>
      <c r="AJ1555" s="418" t="e">
        <f>VLOOKUP(D1555,'Standard Cycle time'!C:D,2,0)</f>
        <v>#N/A</v>
      </c>
      <c r="AK1555" s="418" t="e">
        <f t="shared" si="431"/>
        <v>#DIV/0!</v>
      </c>
      <c r="AL1555" s="374" t="e">
        <f t="shared" si="432"/>
        <v>#N/A</v>
      </c>
      <c r="AM1555" s="372" t="e">
        <f t="shared" si="433"/>
        <v>#DIV/0!</v>
      </c>
      <c r="AN1555" s="799"/>
      <c r="AO1555" s="448"/>
      <c r="AP1555" s="440"/>
      <c r="AQ1555" s="440"/>
      <c r="AR1555" s="440"/>
      <c r="AS1555" s="440"/>
      <c r="AT1555" s="440"/>
      <c r="AU1555" s="440"/>
      <c r="AV1555" s="440"/>
      <c r="AW1555" s="440"/>
      <c r="AX1555" s="440"/>
      <c r="AY1555" s="440"/>
      <c r="AZ1555" s="440"/>
      <c r="BA1555" s="440"/>
      <c r="BB1555" s="440"/>
      <c r="BC1555" s="440"/>
      <c r="BD1555" s="440"/>
      <c r="BE1555" s="440"/>
      <c r="BF1555" s="440"/>
      <c r="BG1555" s="440"/>
      <c r="BH1555" s="440"/>
      <c r="BI1555" s="440"/>
      <c r="BJ1555" s="440"/>
      <c r="BK1555" s="440"/>
      <c r="BL1555" s="440"/>
      <c r="BM1555" s="440"/>
      <c r="BN1555" s="440"/>
      <c r="BO1555" s="440"/>
      <c r="BP1555" s="440"/>
      <c r="BQ1555" s="440"/>
      <c r="BR1555" s="415"/>
      <c r="BS1555" s="415"/>
      <c r="BT1555" s="935"/>
      <c r="BU1555" s="935"/>
      <c r="BV1555" s="935"/>
      <c r="BW1555" s="935"/>
      <c r="BX1555" s="935"/>
      <c r="BY1555" s="935"/>
      <c r="BZ1555" s="935"/>
      <c r="CA1555" s="935"/>
      <c r="CB1555" s="935"/>
      <c r="CC1555" s="935"/>
      <c r="CD1555" s="935"/>
      <c r="CE1555" s="935"/>
      <c r="CF1555" s="935"/>
      <c r="CG1555" s="935"/>
      <c r="CH1555" s="935"/>
      <c r="CI1555" s="935"/>
      <c r="CJ1555" s="935"/>
      <c r="CK1555" s="935"/>
      <c r="CL1555" s="935"/>
      <c r="CM1555" s="935"/>
      <c r="CN1555" s="935"/>
      <c r="CO1555" s="935"/>
      <c r="CP1555" s="935"/>
      <c r="CQ1555" s="935"/>
      <c r="CR1555" s="935"/>
      <c r="CS1555" s="935"/>
      <c r="CT1555" s="935"/>
      <c r="CU1555" s="935"/>
      <c r="CV1555" s="935"/>
    </row>
    <row r="1556" spans="2:100" s="441" customFormat="1">
      <c r="B1556" s="868"/>
      <c r="C1556" s="493"/>
      <c r="D1556" s="376"/>
      <c r="E1556" s="447"/>
      <c r="F1556" s="500"/>
      <c r="G1556" s="497"/>
      <c r="H1556" s="602" t="str">
        <f>IFERROR(VLOOKUP(E:E,'Item Data Support Sheet'!A:O,2,0),"")</f>
        <v/>
      </c>
      <c r="I1556" s="501"/>
      <c r="J1556" s="501"/>
      <c r="K1556" s="438"/>
      <c r="L1556" s="499"/>
      <c r="M1556" s="366"/>
      <c r="N1556" s="367">
        <f t="shared" si="419"/>
        <v>0</v>
      </c>
      <c r="O1556" s="61"/>
      <c r="P1556" s="368"/>
      <c r="Q1556" s="368"/>
      <c r="R1556" s="494"/>
      <c r="S1556" s="493"/>
      <c r="T1556" s="494"/>
      <c r="U1556" s="493"/>
      <c r="V1556" s="502"/>
      <c r="W1556" s="453">
        <f t="shared" si="420"/>
        <v>0</v>
      </c>
      <c r="X1556" s="748" t="e">
        <f t="shared" si="421"/>
        <v>#DIV/0!</v>
      </c>
      <c r="Y1556" s="451">
        <f>IFERROR(VLOOKUP(E:E,'Item Data Support Sheet'!A:J,6,0),0)</f>
        <v>0</v>
      </c>
      <c r="Z1556" s="428">
        <f>IFERROR(VLOOKUP(E:E,'Item Data Support Sheet'!A:O,4,0),0)</f>
        <v>0</v>
      </c>
      <c r="AA1556" s="428">
        <f t="shared" si="422"/>
        <v>0</v>
      </c>
      <c r="AB1556" s="429" t="str">
        <f t="shared" si="423"/>
        <v xml:space="preserve"> </v>
      </c>
      <c r="AC1556" s="424">
        <f t="shared" si="424"/>
        <v>0</v>
      </c>
      <c r="AD1556" s="371">
        <f t="shared" si="425"/>
        <v>0</v>
      </c>
      <c r="AE1556" s="748" t="e">
        <f t="shared" si="426"/>
        <v>#DIV/0!</v>
      </c>
      <c r="AF1556" s="417">
        <f t="shared" si="427"/>
        <v>0</v>
      </c>
      <c r="AG1556" s="416">
        <f t="shared" si="428"/>
        <v>0</v>
      </c>
      <c r="AH1556" s="372" t="str">
        <f t="shared" si="429"/>
        <v xml:space="preserve"> </v>
      </c>
      <c r="AI1556" s="373">
        <f t="shared" si="430"/>
        <v>0</v>
      </c>
      <c r="AJ1556" s="418" t="e">
        <f>VLOOKUP(D1556,'Standard Cycle time'!C:D,2,0)</f>
        <v>#N/A</v>
      </c>
      <c r="AK1556" s="418" t="e">
        <f t="shared" si="431"/>
        <v>#DIV/0!</v>
      </c>
      <c r="AL1556" s="374" t="e">
        <f t="shared" si="432"/>
        <v>#N/A</v>
      </c>
      <c r="AM1556" s="372" t="e">
        <f t="shared" si="433"/>
        <v>#DIV/0!</v>
      </c>
      <c r="AN1556" s="799"/>
      <c r="AO1556" s="448"/>
      <c r="AP1556" s="440"/>
      <c r="AQ1556" s="440"/>
      <c r="AR1556" s="440"/>
      <c r="AS1556" s="440"/>
      <c r="AT1556" s="440"/>
      <c r="AU1556" s="440"/>
      <c r="AV1556" s="440"/>
      <c r="AW1556" s="440"/>
      <c r="AX1556" s="440"/>
      <c r="AY1556" s="440"/>
      <c r="AZ1556" s="440"/>
      <c r="BA1556" s="440"/>
      <c r="BB1556" s="440"/>
      <c r="BC1556" s="440"/>
      <c r="BD1556" s="440"/>
      <c r="BE1556" s="440"/>
      <c r="BF1556" s="440"/>
      <c r="BG1556" s="440"/>
      <c r="BH1556" s="440"/>
      <c r="BI1556" s="440"/>
      <c r="BJ1556" s="440"/>
      <c r="BK1556" s="440"/>
      <c r="BL1556" s="440"/>
      <c r="BM1556" s="440"/>
      <c r="BN1556" s="440"/>
      <c r="BO1556" s="440"/>
      <c r="BP1556" s="440"/>
      <c r="BQ1556" s="440"/>
      <c r="BR1556" s="415"/>
      <c r="BS1556" s="415"/>
      <c r="BT1556" s="935"/>
      <c r="BU1556" s="935"/>
      <c r="BV1556" s="935"/>
      <c r="BW1556" s="935"/>
      <c r="BX1556" s="935"/>
      <c r="BY1556" s="935"/>
      <c r="BZ1556" s="935"/>
      <c r="CA1556" s="935"/>
      <c r="CB1556" s="935"/>
      <c r="CC1556" s="935"/>
      <c r="CD1556" s="935"/>
      <c r="CE1556" s="935"/>
      <c r="CF1556" s="935"/>
      <c r="CG1556" s="935"/>
      <c r="CH1556" s="935"/>
      <c r="CI1556" s="935"/>
      <c r="CJ1556" s="935"/>
      <c r="CK1556" s="935"/>
      <c r="CL1556" s="935"/>
      <c r="CM1556" s="935"/>
      <c r="CN1556" s="935"/>
      <c r="CO1556" s="935"/>
      <c r="CP1556" s="935"/>
      <c r="CQ1556" s="935"/>
      <c r="CR1556" s="935"/>
      <c r="CS1556" s="935"/>
      <c r="CT1556" s="935"/>
      <c r="CU1556" s="935"/>
      <c r="CV1556" s="935"/>
    </row>
    <row r="1557" spans="2:100" s="441" customFormat="1">
      <c r="B1557" s="868"/>
      <c r="C1557" s="493"/>
      <c r="D1557" s="376"/>
      <c r="E1557" s="447"/>
      <c r="F1557" s="500"/>
      <c r="G1557" s="497"/>
      <c r="H1557" s="602" t="str">
        <f>IFERROR(VLOOKUP(E:E,'Item Data Support Sheet'!A:O,2,0),"")</f>
        <v/>
      </c>
      <c r="I1557" s="501"/>
      <c r="J1557" s="501"/>
      <c r="K1557" s="438"/>
      <c r="L1557" s="499"/>
      <c r="M1557" s="366"/>
      <c r="N1557" s="367">
        <f t="shared" si="419"/>
        <v>0</v>
      </c>
      <c r="O1557" s="61"/>
      <c r="P1557" s="368"/>
      <c r="Q1557" s="368"/>
      <c r="R1557" s="494"/>
      <c r="S1557" s="493"/>
      <c r="T1557" s="494"/>
      <c r="U1557" s="493"/>
      <c r="V1557" s="502"/>
      <c r="W1557" s="453">
        <f t="shared" si="420"/>
        <v>0</v>
      </c>
      <c r="X1557" s="748" t="e">
        <f t="shared" si="421"/>
        <v>#DIV/0!</v>
      </c>
      <c r="Y1557" s="451">
        <f>IFERROR(VLOOKUP(E:E,'Item Data Support Sheet'!A:J,6,0),0)</f>
        <v>0</v>
      </c>
      <c r="Z1557" s="428">
        <f>IFERROR(VLOOKUP(E:E,'Item Data Support Sheet'!A:O,4,0),0)</f>
        <v>0</v>
      </c>
      <c r="AA1557" s="428">
        <f t="shared" si="422"/>
        <v>0</v>
      </c>
      <c r="AB1557" s="429" t="str">
        <f t="shared" si="423"/>
        <v xml:space="preserve"> </v>
      </c>
      <c r="AC1557" s="424">
        <f t="shared" si="424"/>
        <v>0</v>
      </c>
      <c r="AD1557" s="371">
        <f t="shared" si="425"/>
        <v>0</v>
      </c>
      <c r="AE1557" s="748" t="e">
        <f t="shared" si="426"/>
        <v>#DIV/0!</v>
      </c>
      <c r="AF1557" s="417">
        <f t="shared" si="427"/>
        <v>0</v>
      </c>
      <c r="AG1557" s="416">
        <f t="shared" si="428"/>
        <v>0</v>
      </c>
      <c r="AH1557" s="372" t="str">
        <f t="shared" si="429"/>
        <v xml:space="preserve"> </v>
      </c>
      <c r="AI1557" s="373">
        <f t="shared" si="430"/>
        <v>0</v>
      </c>
      <c r="AJ1557" s="418" t="e">
        <f>VLOOKUP(D1557,'Standard Cycle time'!C:D,2,0)</f>
        <v>#N/A</v>
      </c>
      <c r="AK1557" s="418" t="e">
        <f t="shared" si="431"/>
        <v>#DIV/0!</v>
      </c>
      <c r="AL1557" s="374" t="e">
        <f t="shared" si="432"/>
        <v>#N/A</v>
      </c>
      <c r="AM1557" s="372" t="e">
        <f t="shared" si="433"/>
        <v>#DIV/0!</v>
      </c>
      <c r="AN1557" s="799"/>
      <c r="AO1557" s="448"/>
      <c r="AP1557" s="440"/>
      <c r="AQ1557" s="440"/>
      <c r="AR1557" s="440"/>
      <c r="AS1557" s="440"/>
      <c r="AT1557" s="440"/>
      <c r="AU1557" s="440"/>
      <c r="AV1557" s="440"/>
      <c r="AW1557" s="440"/>
      <c r="AX1557" s="440"/>
      <c r="AY1557" s="440"/>
      <c r="AZ1557" s="440"/>
      <c r="BA1557" s="440"/>
      <c r="BB1557" s="440"/>
      <c r="BC1557" s="440"/>
      <c r="BD1557" s="440"/>
      <c r="BE1557" s="440"/>
      <c r="BF1557" s="440"/>
      <c r="BG1557" s="440"/>
      <c r="BH1557" s="440"/>
      <c r="BI1557" s="440"/>
      <c r="BJ1557" s="440"/>
      <c r="BK1557" s="440"/>
      <c r="BL1557" s="440"/>
      <c r="BM1557" s="440"/>
      <c r="BN1557" s="440"/>
      <c r="BO1557" s="440"/>
      <c r="BP1557" s="440"/>
      <c r="BQ1557" s="440"/>
      <c r="BR1557" s="415"/>
      <c r="BS1557" s="415"/>
      <c r="BT1557" s="935"/>
      <c r="BU1557" s="935"/>
      <c r="BV1557" s="935"/>
      <c r="BW1557" s="935"/>
      <c r="BX1557" s="935"/>
      <c r="BY1557" s="935"/>
      <c r="BZ1557" s="935"/>
      <c r="CA1557" s="935"/>
      <c r="CB1557" s="935"/>
      <c r="CC1557" s="935"/>
      <c r="CD1557" s="935"/>
      <c r="CE1557" s="935"/>
      <c r="CF1557" s="935"/>
      <c r="CG1557" s="935"/>
      <c r="CH1557" s="935"/>
      <c r="CI1557" s="935"/>
      <c r="CJ1557" s="935"/>
      <c r="CK1557" s="935"/>
      <c r="CL1557" s="935"/>
      <c r="CM1557" s="935"/>
      <c r="CN1557" s="935"/>
      <c r="CO1557" s="935"/>
      <c r="CP1557" s="935"/>
      <c r="CQ1557" s="935"/>
      <c r="CR1557" s="935"/>
      <c r="CS1557" s="935"/>
      <c r="CT1557" s="935"/>
      <c r="CU1557" s="935"/>
      <c r="CV1557" s="935"/>
    </row>
    <row r="1558" spans="2:100" s="441" customFormat="1">
      <c r="B1558" s="868"/>
      <c r="C1558" s="493"/>
      <c r="D1558" s="376"/>
      <c r="E1558" s="447"/>
      <c r="F1558" s="500"/>
      <c r="G1558" s="497"/>
      <c r="H1558" s="602" t="str">
        <f>IFERROR(VLOOKUP(E:E,'Item Data Support Sheet'!A:O,2,0),"")</f>
        <v/>
      </c>
      <c r="I1558" s="501"/>
      <c r="J1558" s="501"/>
      <c r="K1558" s="438"/>
      <c r="L1558" s="499"/>
      <c r="M1558" s="366"/>
      <c r="N1558" s="367">
        <f t="shared" si="419"/>
        <v>0</v>
      </c>
      <c r="O1558" s="61"/>
      <c r="P1558" s="368"/>
      <c r="Q1558" s="368"/>
      <c r="R1558" s="494"/>
      <c r="S1558" s="493"/>
      <c r="T1558" s="494"/>
      <c r="U1558" s="493"/>
      <c r="V1558" s="502"/>
      <c r="W1558" s="453">
        <f t="shared" si="420"/>
        <v>0</v>
      </c>
      <c r="X1558" s="748" t="e">
        <f t="shared" si="421"/>
        <v>#DIV/0!</v>
      </c>
      <c r="Y1558" s="451">
        <f>IFERROR(VLOOKUP(E:E,'Item Data Support Sheet'!A:J,6,0),0)</f>
        <v>0</v>
      </c>
      <c r="Z1558" s="428">
        <f>IFERROR(VLOOKUP(E:E,'Item Data Support Sheet'!A:O,4,0),0)</f>
        <v>0</v>
      </c>
      <c r="AA1558" s="428">
        <f t="shared" si="422"/>
        <v>0</v>
      </c>
      <c r="AB1558" s="429" t="str">
        <f t="shared" si="423"/>
        <v xml:space="preserve"> </v>
      </c>
      <c r="AC1558" s="424">
        <f t="shared" si="424"/>
        <v>0</v>
      </c>
      <c r="AD1558" s="371">
        <f t="shared" si="425"/>
        <v>0</v>
      </c>
      <c r="AE1558" s="748" t="e">
        <f t="shared" si="426"/>
        <v>#DIV/0!</v>
      </c>
      <c r="AF1558" s="417">
        <f t="shared" si="427"/>
        <v>0</v>
      </c>
      <c r="AG1558" s="416">
        <f t="shared" si="428"/>
        <v>0</v>
      </c>
      <c r="AH1558" s="372" t="str">
        <f t="shared" si="429"/>
        <v xml:space="preserve"> </v>
      </c>
      <c r="AI1558" s="373">
        <f t="shared" si="430"/>
        <v>0</v>
      </c>
      <c r="AJ1558" s="418" t="e">
        <f>VLOOKUP(D1558,'Standard Cycle time'!C:D,2,0)</f>
        <v>#N/A</v>
      </c>
      <c r="AK1558" s="418" t="e">
        <f t="shared" si="431"/>
        <v>#DIV/0!</v>
      </c>
      <c r="AL1558" s="374" t="e">
        <f t="shared" si="432"/>
        <v>#N/A</v>
      </c>
      <c r="AM1558" s="372" t="e">
        <f t="shared" si="433"/>
        <v>#DIV/0!</v>
      </c>
      <c r="AN1558" s="799"/>
      <c r="AO1558" s="448"/>
      <c r="AP1558" s="440"/>
      <c r="AQ1558" s="440"/>
      <c r="AR1558" s="440"/>
      <c r="AS1558" s="440"/>
      <c r="AT1558" s="440"/>
      <c r="AU1558" s="440"/>
      <c r="AV1558" s="440"/>
      <c r="AW1558" s="440"/>
      <c r="AX1558" s="440"/>
      <c r="AY1558" s="440"/>
      <c r="AZ1558" s="440"/>
      <c r="BA1558" s="440"/>
      <c r="BB1558" s="440"/>
      <c r="BC1558" s="440"/>
      <c r="BD1558" s="440"/>
      <c r="BE1558" s="440"/>
      <c r="BF1558" s="440"/>
      <c r="BG1558" s="440"/>
      <c r="BH1558" s="440"/>
      <c r="BI1558" s="440"/>
      <c r="BJ1558" s="440"/>
      <c r="BK1558" s="440"/>
      <c r="BL1558" s="440"/>
      <c r="BM1558" s="440"/>
      <c r="BN1558" s="440"/>
      <c r="BO1558" s="440"/>
      <c r="BP1558" s="440"/>
      <c r="BQ1558" s="440"/>
      <c r="BR1558" s="415"/>
      <c r="BS1558" s="415"/>
      <c r="BT1558" s="935"/>
      <c r="BU1558" s="935"/>
      <c r="BV1558" s="935"/>
      <c r="BW1558" s="935"/>
      <c r="BX1558" s="935"/>
      <c r="BY1558" s="935"/>
      <c r="BZ1558" s="935"/>
      <c r="CA1558" s="935"/>
      <c r="CB1558" s="935"/>
      <c r="CC1558" s="935"/>
      <c r="CD1558" s="935"/>
      <c r="CE1558" s="935"/>
      <c r="CF1558" s="935"/>
      <c r="CG1558" s="935"/>
      <c r="CH1558" s="935"/>
      <c r="CI1558" s="935"/>
      <c r="CJ1558" s="935"/>
      <c r="CK1558" s="935"/>
      <c r="CL1558" s="935"/>
      <c r="CM1558" s="935"/>
      <c r="CN1558" s="935"/>
      <c r="CO1558" s="935"/>
      <c r="CP1558" s="935"/>
      <c r="CQ1558" s="935"/>
      <c r="CR1558" s="935"/>
      <c r="CS1558" s="935"/>
      <c r="CT1558" s="935"/>
      <c r="CU1558" s="935"/>
      <c r="CV1558" s="935"/>
    </row>
    <row r="1559" spans="2:100" s="441" customFormat="1">
      <c r="B1559" s="868"/>
      <c r="C1559" s="493"/>
      <c r="D1559" s="376"/>
      <c r="E1559" s="447"/>
      <c r="F1559" s="500"/>
      <c r="G1559" s="497"/>
      <c r="H1559" s="602" t="str">
        <f>IFERROR(VLOOKUP(E:E,'Item Data Support Sheet'!A:O,2,0),"")</f>
        <v/>
      </c>
      <c r="I1559" s="501"/>
      <c r="J1559" s="501"/>
      <c r="K1559" s="438"/>
      <c r="L1559" s="499"/>
      <c r="M1559" s="366"/>
      <c r="N1559" s="367">
        <f t="shared" si="419"/>
        <v>0</v>
      </c>
      <c r="O1559" s="61"/>
      <c r="P1559" s="368"/>
      <c r="Q1559" s="368"/>
      <c r="R1559" s="494"/>
      <c r="S1559" s="493"/>
      <c r="T1559" s="494"/>
      <c r="U1559" s="493"/>
      <c r="V1559" s="502"/>
      <c r="W1559" s="453">
        <f t="shared" si="420"/>
        <v>0</v>
      </c>
      <c r="X1559" s="748" t="e">
        <f t="shared" si="421"/>
        <v>#DIV/0!</v>
      </c>
      <c r="Y1559" s="451">
        <f>IFERROR(VLOOKUP(E:E,'Item Data Support Sheet'!A:J,6,0),0)</f>
        <v>0</v>
      </c>
      <c r="Z1559" s="428">
        <f>IFERROR(VLOOKUP(E:E,'Item Data Support Sheet'!A:O,4,0),0)</f>
        <v>0</v>
      </c>
      <c r="AA1559" s="428">
        <f t="shared" si="422"/>
        <v>0</v>
      </c>
      <c r="AB1559" s="429" t="str">
        <f t="shared" si="423"/>
        <v xml:space="preserve"> </v>
      </c>
      <c r="AC1559" s="424">
        <f t="shared" si="424"/>
        <v>0</v>
      </c>
      <c r="AD1559" s="371">
        <f t="shared" si="425"/>
        <v>0</v>
      </c>
      <c r="AE1559" s="748" t="e">
        <f t="shared" si="426"/>
        <v>#DIV/0!</v>
      </c>
      <c r="AF1559" s="417">
        <f t="shared" si="427"/>
        <v>0</v>
      </c>
      <c r="AG1559" s="416">
        <f t="shared" si="428"/>
        <v>0</v>
      </c>
      <c r="AH1559" s="372" t="str">
        <f t="shared" si="429"/>
        <v xml:space="preserve"> </v>
      </c>
      <c r="AI1559" s="373">
        <f t="shared" si="430"/>
        <v>0</v>
      </c>
      <c r="AJ1559" s="418" t="e">
        <f>VLOOKUP(D1559,'Standard Cycle time'!C:D,2,0)</f>
        <v>#N/A</v>
      </c>
      <c r="AK1559" s="418" t="e">
        <f t="shared" si="431"/>
        <v>#DIV/0!</v>
      </c>
      <c r="AL1559" s="374" t="e">
        <f t="shared" si="432"/>
        <v>#N/A</v>
      </c>
      <c r="AM1559" s="372" t="e">
        <f t="shared" si="433"/>
        <v>#DIV/0!</v>
      </c>
      <c r="AN1559" s="799"/>
      <c r="AO1559" s="448"/>
      <c r="AP1559" s="440"/>
      <c r="AQ1559" s="440"/>
      <c r="AR1559" s="440"/>
      <c r="AS1559" s="440"/>
      <c r="AT1559" s="440"/>
      <c r="AU1559" s="440"/>
      <c r="AV1559" s="440"/>
      <c r="AW1559" s="440"/>
      <c r="AX1559" s="440"/>
      <c r="AY1559" s="440"/>
      <c r="AZ1559" s="440"/>
      <c r="BA1559" s="440"/>
      <c r="BB1559" s="440"/>
      <c r="BC1559" s="440"/>
      <c r="BD1559" s="440"/>
      <c r="BE1559" s="440"/>
      <c r="BF1559" s="440"/>
      <c r="BG1559" s="440"/>
      <c r="BH1559" s="440"/>
      <c r="BI1559" s="440"/>
      <c r="BJ1559" s="440"/>
      <c r="BK1559" s="440"/>
      <c r="BL1559" s="440"/>
      <c r="BM1559" s="440"/>
      <c r="BN1559" s="440"/>
      <c r="BO1559" s="440"/>
      <c r="BP1559" s="440"/>
      <c r="BQ1559" s="440"/>
      <c r="BR1559" s="415"/>
      <c r="BS1559" s="415"/>
      <c r="BT1559" s="935"/>
      <c r="BU1559" s="935"/>
      <c r="BV1559" s="935"/>
      <c r="BW1559" s="935"/>
      <c r="BX1559" s="935"/>
      <c r="BY1559" s="935"/>
      <c r="BZ1559" s="935"/>
      <c r="CA1559" s="935"/>
      <c r="CB1559" s="935"/>
      <c r="CC1559" s="935"/>
      <c r="CD1559" s="935"/>
      <c r="CE1559" s="935"/>
      <c r="CF1559" s="935"/>
      <c r="CG1559" s="935"/>
      <c r="CH1559" s="935"/>
      <c r="CI1559" s="935"/>
      <c r="CJ1559" s="935"/>
      <c r="CK1559" s="935"/>
      <c r="CL1559" s="935"/>
      <c r="CM1559" s="935"/>
      <c r="CN1559" s="935"/>
      <c r="CO1559" s="935"/>
      <c r="CP1559" s="935"/>
      <c r="CQ1559" s="935"/>
      <c r="CR1559" s="935"/>
      <c r="CS1559" s="935"/>
      <c r="CT1559" s="935"/>
      <c r="CU1559" s="935"/>
      <c r="CV1559" s="935"/>
    </row>
    <row r="1560" spans="2:100" s="441" customFormat="1">
      <c r="B1560" s="868"/>
      <c r="C1560" s="493"/>
      <c r="D1560" s="376"/>
      <c r="E1560" s="447"/>
      <c r="F1560" s="500"/>
      <c r="G1560" s="497"/>
      <c r="H1560" s="602" t="str">
        <f>IFERROR(VLOOKUP(E:E,'Item Data Support Sheet'!A:O,2,0),"")</f>
        <v/>
      </c>
      <c r="I1560" s="501"/>
      <c r="J1560" s="501"/>
      <c r="K1560" s="438"/>
      <c r="L1560" s="499"/>
      <c r="M1560" s="366"/>
      <c r="N1560" s="367">
        <f t="shared" si="419"/>
        <v>0</v>
      </c>
      <c r="O1560" s="61"/>
      <c r="P1560" s="368"/>
      <c r="Q1560" s="368"/>
      <c r="R1560" s="494"/>
      <c r="S1560" s="493"/>
      <c r="T1560" s="494"/>
      <c r="U1560" s="493"/>
      <c r="V1560" s="502"/>
      <c r="W1560" s="453">
        <f t="shared" si="420"/>
        <v>0</v>
      </c>
      <c r="X1560" s="748" t="e">
        <f t="shared" si="421"/>
        <v>#DIV/0!</v>
      </c>
      <c r="Y1560" s="451">
        <f>IFERROR(VLOOKUP(E:E,'Item Data Support Sheet'!A:J,6,0),0)</f>
        <v>0</v>
      </c>
      <c r="Z1560" s="428">
        <f>IFERROR(VLOOKUP(E:E,'Item Data Support Sheet'!A:O,4,0),0)</f>
        <v>0</v>
      </c>
      <c r="AA1560" s="428">
        <f t="shared" si="422"/>
        <v>0</v>
      </c>
      <c r="AB1560" s="429" t="str">
        <f t="shared" si="423"/>
        <v xml:space="preserve"> </v>
      </c>
      <c r="AC1560" s="424">
        <f t="shared" si="424"/>
        <v>0</v>
      </c>
      <c r="AD1560" s="371">
        <f t="shared" si="425"/>
        <v>0</v>
      </c>
      <c r="AE1560" s="748" t="e">
        <f t="shared" si="426"/>
        <v>#DIV/0!</v>
      </c>
      <c r="AF1560" s="417">
        <f t="shared" si="427"/>
        <v>0</v>
      </c>
      <c r="AG1560" s="416">
        <f t="shared" si="428"/>
        <v>0</v>
      </c>
      <c r="AH1560" s="372" t="str">
        <f t="shared" si="429"/>
        <v xml:space="preserve"> </v>
      </c>
      <c r="AI1560" s="373">
        <f t="shared" si="430"/>
        <v>0</v>
      </c>
      <c r="AJ1560" s="418" t="e">
        <f>VLOOKUP(D1560,'Standard Cycle time'!C:D,2,0)</f>
        <v>#N/A</v>
      </c>
      <c r="AK1560" s="418" t="e">
        <f t="shared" si="431"/>
        <v>#DIV/0!</v>
      </c>
      <c r="AL1560" s="374" t="e">
        <f t="shared" si="432"/>
        <v>#N/A</v>
      </c>
      <c r="AM1560" s="372" t="e">
        <f t="shared" si="433"/>
        <v>#DIV/0!</v>
      </c>
      <c r="AN1560" s="799"/>
      <c r="AO1560" s="448"/>
      <c r="AP1560" s="440"/>
      <c r="AQ1560" s="440"/>
      <c r="AR1560" s="440"/>
      <c r="AS1560" s="440"/>
      <c r="AT1560" s="440"/>
      <c r="AU1560" s="440"/>
      <c r="AV1560" s="440"/>
      <c r="AW1560" s="440"/>
      <c r="AX1560" s="440"/>
      <c r="AY1560" s="440"/>
      <c r="AZ1560" s="440"/>
      <c r="BA1560" s="440"/>
      <c r="BB1560" s="440"/>
      <c r="BC1560" s="440"/>
      <c r="BD1560" s="440"/>
      <c r="BE1560" s="440"/>
      <c r="BF1560" s="440"/>
      <c r="BG1560" s="440"/>
      <c r="BH1560" s="440"/>
      <c r="BI1560" s="440"/>
      <c r="BJ1560" s="440"/>
      <c r="BK1560" s="440"/>
      <c r="BL1560" s="440"/>
      <c r="BM1560" s="440"/>
      <c r="BN1560" s="440"/>
      <c r="BO1560" s="440"/>
      <c r="BP1560" s="440"/>
      <c r="BQ1560" s="440"/>
      <c r="BR1560" s="415"/>
      <c r="BS1560" s="415"/>
      <c r="BT1560" s="935"/>
      <c r="BU1560" s="935"/>
      <c r="BV1560" s="935"/>
      <c r="BW1560" s="935"/>
      <c r="BX1560" s="935"/>
      <c r="BY1560" s="935"/>
      <c r="BZ1560" s="935"/>
      <c r="CA1560" s="935"/>
      <c r="CB1560" s="935"/>
      <c r="CC1560" s="935"/>
      <c r="CD1560" s="935"/>
      <c r="CE1560" s="935"/>
      <c r="CF1560" s="935"/>
      <c r="CG1560" s="935"/>
      <c r="CH1560" s="935"/>
      <c r="CI1560" s="935"/>
      <c r="CJ1560" s="935"/>
      <c r="CK1560" s="935"/>
      <c r="CL1560" s="935"/>
      <c r="CM1560" s="935"/>
      <c r="CN1560" s="935"/>
      <c r="CO1560" s="935"/>
      <c r="CP1560" s="935"/>
      <c r="CQ1560" s="935"/>
      <c r="CR1560" s="935"/>
      <c r="CS1560" s="935"/>
      <c r="CT1560" s="935"/>
      <c r="CU1560" s="935"/>
      <c r="CV1560" s="935"/>
    </row>
    <row r="1561" spans="2:100" s="441" customFormat="1">
      <c r="B1561" s="868"/>
      <c r="C1561" s="493"/>
      <c r="D1561" s="376"/>
      <c r="E1561" s="447"/>
      <c r="F1561" s="500"/>
      <c r="G1561" s="497"/>
      <c r="H1561" s="602" t="str">
        <f>IFERROR(VLOOKUP(E:E,'Item Data Support Sheet'!A:O,2,0),"")</f>
        <v/>
      </c>
      <c r="I1561" s="501"/>
      <c r="J1561" s="501"/>
      <c r="K1561" s="438"/>
      <c r="L1561" s="499"/>
      <c r="M1561" s="366"/>
      <c r="N1561" s="367">
        <f t="shared" si="419"/>
        <v>0</v>
      </c>
      <c r="O1561" s="61"/>
      <c r="P1561" s="368"/>
      <c r="Q1561" s="368"/>
      <c r="R1561" s="494"/>
      <c r="S1561" s="493"/>
      <c r="T1561" s="494"/>
      <c r="U1561" s="493"/>
      <c r="V1561" s="502"/>
      <c r="W1561" s="453">
        <f t="shared" si="420"/>
        <v>0</v>
      </c>
      <c r="X1561" s="748" t="e">
        <f t="shared" si="421"/>
        <v>#DIV/0!</v>
      </c>
      <c r="Y1561" s="451">
        <f>IFERROR(VLOOKUP(E:E,'Item Data Support Sheet'!A:J,6,0),0)</f>
        <v>0</v>
      </c>
      <c r="Z1561" s="428">
        <f>IFERROR(VLOOKUP(E:E,'Item Data Support Sheet'!A:O,4,0),0)</f>
        <v>0</v>
      </c>
      <c r="AA1561" s="428">
        <f t="shared" si="422"/>
        <v>0</v>
      </c>
      <c r="AB1561" s="429" t="str">
        <f t="shared" si="423"/>
        <v xml:space="preserve"> </v>
      </c>
      <c r="AC1561" s="424">
        <f t="shared" si="424"/>
        <v>0</v>
      </c>
      <c r="AD1561" s="371">
        <f t="shared" si="425"/>
        <v>0</v>
      </c>
      <c r="AE1561" s="748" t="e">
        <f t="shared" si="426"/>
        <v>#DIV/0!</v>
      </c>
      <c r="AF1561" s="417">
        <f t="shared" si="427"/>
        <v>0</v>
      </c>
      <c r="AG1561" s="416">
        <f t="shared" si="428"/>
        <v>0</v>
      </c>
      <c r="AH1561" s="372" t="str">
        <f t="shared" si="429"/>
        <v xml:space="preserve"> </v>
      </c>
      <c r="AI1561" s="373">
        <f t="shared" si="430"/>
        <v>0</v>
      </c>
      <c r="AJ1561" s="418" t="e">
        <f>VLOOKUP(D1561,'Standard Cycle time'!C:D,2,0)</f>
        <v>#N/A</v>
      </c>
      <c r="AK1561" s="418" t="e">
        <f t="shared" si="431"/>
        <v>#DIV/0!</v>
      </c>
      <c r="AL1561" s="374" t="e">
        <f t="shared" si="432"/>
        <v>#N/A</v>
      </c>
      <c r="AM1561" s="372" t="e">
        <f t="shared" si="433"/>
        <v>#DIV/0!</v>
      </c>
      <c r="AN1561" s="799"/>
      <c r="AO1561" s="448"/>
      <c r="AP1561" s="440"/>
      <c r="AQ1561" s="440"/>
      <c r="AR1561" s="440"/>
      <c r="AS1561" s="440"/>
      <c r="AT1561" s="440"/>
      <c r="AU1561" s="440"/>
      <c r="AV1561" s="440"/>
      <c r="AW1561" s="440"/>
      <c r="AX1561" s="440"/>
      <c r="AY1561" s="440"/>
      <c r="AZ1561" s="440"/>
      <c r="BA1561" s="440"/>
      <c r="BB1561" s="440"/>
      <c r="BC1561" s="440"/>
      <c r="BD1561" s="440"/>
      <c r="BE1561" s="440"/>
      <c r="BF1561" s="440"/>
      <c r="BG1561" s="440"/>
      <c r="BH1561" s="440"/>
      <c r="BI1561" s="440"/>
      <c r="BJ1561" s="440"/>
      <c r="BK1561" s="440"/>
      <c r="BL1561" s="440"/>
      <c r="BM1561" s="440"/>
      <c r="BN1561" s="440"/>
      <c r="BO1561" s="440"/>
      <c r="BP1561" s="440"/>
      <c r="BQ1561" s="440"/>
      <c r="BR1561" s="415"/>
      <c r="BS1561" s="415"/>
      <c r="BT1561" s="935"/>
      <c r="BU1561" s="935"/>
      <c r="BV1561" s="935"/>
      <c r="BW1561" s="935"/>
      <c r="BX1561" s="935"/>
      <c r="BY1561" s="935"/>
      <c r="BZ1561" s="935"/>
      <c r="CA1561" s="935"/>
      <c r="CB1561" s="935"/>
      <c r="CC1561" s="935"/>
      <c r="CD1561" s="935"/>
      <c r="CE1561" s="935"/>
      <c r="CF1561" s="935"/>
      <c r="CG1561" s="935"/>
      <c r="CH1561" s="935"/>
      <c r="CI1561" s="935"/>
      <c r="CJ1561" s="935"/>
      <c r="CK1561" s="935"/>
      <c r="CL1561" s="935"/>
      <c r="CM1561" s="935"/>
      <c r="CN1561" s="935"/>
      <c r="CO1561" s="935"/>
      <c r="CP1561" s="935"/>
      <c r="CQ1561" s="935"/>
      <c r="CR1561" s="935"/>
      <c r="CS1561" s="935"/>
      <c r="CT1561" s="935"/>
      <c r="CU1561" s="935"/>
      <c r="CV1561" s="935"/>
    </row>
    <row r="1562" spans="2:100" s="441" customFormat="1">
      <c r="B1562" s="868"/>
      <c r="C1562" s="493"/>
      <c r="D1562" s="376"/>
      <c r="E1562" s="447"/>
      <c r="F1562" s="500"/>
      <c r="G1562" s="497"/>
      <c r="H1562" s="602" t="str">
        <f>IFERROR(VLOOKUP(E:E,'Item Data Support Sheet'!A:O,2,0),"")</f>
        <v/>
      </c>
      <c r="I1562" s="501"/>
      <c r="J1562" s="501"/>
      <c r="K1562" s="438"/>
      <c r="L1562" s="499"/>
      <c r="M1562" s="366"/>
      <c r="N1562" s="367">
        <f t="shared" si="419"/>
        <v>0</v>
      </c>
      <c r="O1562" s="61"/>
      <c r="P1562" s="368"/>
      <c r="Q1562" s="368"/>
      <c r="R1562" s="494"/>
      <c r="S1562" s="493"/>
      <c r="T1562" s="494"/>
      <c r="U1562" s="493"/>
      <c r="V1562" s="502"/>
      <c r="W1562" s="453">
        <f t="shared" si="420"/>
        <v>0</v>
      </c>
      <c r="X1562" s="748" t="e">
        <f t="shared" si="421"/>
        <v>#DIV/0!</v>
      </c>
      <c r="Y1562" s="451">
        <f>IFERROR(VLOOKUP(E:E,'Item Data Support Sheet'!A:J,6,0),0)</f>
        <v>0</v>
      </c>
      <c r="Z1562" s="428">
        <f>IFERROR(VLOOKUP(E:E,'Item Data Support Sheet'!A:O,4,0),0)</f>
        <v>0</v>
      </c>
      <c r="AA1562" s="428">
        <f t="shared" si="422"/>
        <v>0</v>
      </c>
      <c r="AB1562" s="429" t="str">
        <f t="shared" si="423"/>
        <v xml:space="preserve"> </v>
      </c>
      <c r="AC1562" s="424">
        <f t="shared" si="424"/>
        <v>0</v>
      </c>
      <c r="AD1562" s="371">
        <f t="shared" si="425"/>
        <v>0</v>
      </c>
      <c r="AE1562" s="748" t="e">
        <f t="shared" si="426"/>
        <v>#DIV/0!</v>
      </c>
      <c r="AF1562" s="417">
        <f t="shared" si="427"/>
        <v>0</v>
      </c>
      <c r="AG1562" s="416">
        <f t="shared" si="428"/>
        <v>0</v>
      </c>
      <c r="AH1562" s="372" t="str">
        <f t="shared" si="429"/>
        <v xml:space="preserve"> </v>
      </c>
      <c r="AI1562" s="373">
        <f t="shared" si="430"/>
        <v>0</v>
      </c>
      <c r="AJ1562" s="418" t="e">
        <f>VLOOKUP(D1562,'Standard Cycle time'!C:D,2,0)</f>
        <v>#N/A</v>
      </c>
      <c r="AK1562" s="418" t="e">
        <f t="shared" si="431"/>
        <v>#DIV/0!</v>
      </c>
      <c r="AL1562" s="374" t="e">
        <f t="shared" si="432"/>
        <v>#N/A</v>
      </c>
      <c r="AM1562" s="372" t="e">
        <f t="shared" si="433"/>
        <v>#DIV/0!</v>
      </c>
      <c r="AN1562" s="799"/>
      <c r="AO1562" s="448"/>
      <c r="AP1562" s="440"/>
      <c r="AQ1562" s="440"/>
      <c r="AR1562" s="440"/>
      <c r="AS1562" s="440"/>
      <c r="AT1562" s="440"/>
      <c r="AU1562" s="440"/>
      <c r="AV1562" s="440"/>
      <c r="AW1562" s="440"/>
      <c r="AX1562" s="440"/>
      <c r="AY1562" s="440"/>
      <c r="AZ1562" s="440"/>
      <c r="BA1562" s="440"/>
      <c r="BB1562" s="440"/>
      <c r="BC1562" s="440"/>
      <c r="BD1562" s="440"/>
      <c r="BE1562" s="440"/>
      <c r="BF1562" s="440"/>
      <c r="BG1562" s="440"/>
      <c r="BH1562" s="440"/>
      <c r="BI1562" s="440"/>
      <c r="BJ1562" s="440"/>
      <c r="BK1562" s="440"/>
      <c r="BL1562" s="440"/>
      <c r="BM1562" s="440"/>
      <c r="BN1562" s="440"/>
      <c r="BO1562" s="440"/>
      <c r="BP1562" s="440"/>
      <c r="BQ1562" s="440"/>
      <c r="BR1562" s="415"/>
      <c r="BS1562" s="415"/>
      <c r="BT1562" s="935"/>
      <c r="BU1562" s="935"/>
      <c r="BV1562" s="935"/>
      <c r="BW1562" s="935"/>
      <c r="BX1562" s="935"/>
      <c r="BY1562" s="935"/>
      <c r="BZ1562" s="935"/>
      <c r="CA1562" s="935"/>
      <c r="CB1562" s="935"/>
      <c r="CC1562" s="935"/>
      <c r="CD1562" s="935"/>
      <c r="CE1562" s="935"/>
      <c r="CF1562" s="935"/>
      <c r="CG1562" s="935"/>
      <c r="CH1562" s="935"/>
      <c r="CI1562" s="935"/>
      <c r="CJ1562" s="935"/>
      <c r="CK1562" s="935"/>
      <c r="CL1562" s="935"/>
      <c r="CM1562" s="935"/>
      <c r="CN1562" s="935"/>
      <c r="CO1562" s="935"/>
      <c r="CP1562" s="935"/>
      <c r="CQ1562" s="935"/>
      <c r="CR1562" s="935"/>
      <c r="CS1562" s="935"/>
      <c r="CT1562" s="935"/>
      <c r="CU1562" s="935"/>
      <c r="CV1562" s="935"/>
    </row>
    <row r="1563" spans="2:100" s="441" customFormat="1">
      <c r="B1563" s="868"/>
      <c r="C1563" s="493"/>
      <c r="D1563" s="376"/>
      <c r="E1563" s="447"/>
      <c r="F1563" s="500"/>
      <c r="G1563" s="497"/>
      <c r="H1563" s="602" t="str">
        <f>IFERROR(VLOOKUP(E:E,'Item Data Support Sheet'!A:O,2,0),"")</f>
        <v/>
      </c>
      <c r="I1563" s="501"/>
      <c r="J1563" s="501"/>
      <c r="K1563" s="438"/>
      <c r="L1563" s="499"/>
      <c r="M1563" s="366"/>
      <c r="N1563" s="367">
        <f t="shared" si="419"/>
        <v>0</v>
      </c>
      <c r="O1563" s="61"/>
      <c r="P1563" s="368"/>
      <c r="Q1563" s="368"/>
      <c r="R1563" s="494"/>
      <c r="S1563" s="493"/>
      <c r="T1563" s="494"/>
      <c r="U1563" s="493"/>
      <c r="V1563" s="502"/>
      <c r="W1563" s="453">
        <f t="shared" si="420"/>
        <v>0</v>
      </c>
      <c r="X1563" s="748" t="e">
        <f t="shared" si="421"/>
        <v>#DIV/0!</v>
      </c>
      <c r="Y1563" s="451">
        <f>IFERROR(VLOOKUP(E:E,'Item Data Support Sheet'!A:J,6,0),0)</f>
        <v>0</v>
      </c>
      <c r="Z1563" s="428">
        <f>IFERROR(VLOOKUP(E:E,'Item Data Support Sheet'!A:O,4,0),0)</f>
        <v>0</v>
      </c>
      <c r="AA1563" s="428">
        <f t="shared" si="422"/>
        <v>0</v>
      </c>
      <c r="AB1563" s="429" t="str">
        <f t="shared" si="423"/>
        <v xml:space="preserve"> </v>
      </c>
      <c r="AC1563" s="424">
        <f t="shared" si="424"/>
        <v>0</v>
      </c>
      <c r="AD1563" s="371">
        <f t="shared" si="425"/>
        <v>0</v>
      </c>
      <c r="AE1563" s="748" t="e">
        <f t="shared" si="426"/>
        <v>#DIV/0!</v>
      </c>
      <c r="AF1563" s="417">
        <f t="shared" si="427"/>
        <v>0</v>
      </c>
      <c r="AG1563" s="416">
        <f t="shared" si="428"/>
        <v>0</v>
      </c>
      <c r="AH1563" s="372" t="str">
        <f t="shared" si="429"/>
        <v xml:space="preserve"> </v>
      </c>
      <c r="AI1563" s="373">
        <f t="shared" si="430"/>
        <v>0</v>
      </c>
      <c r="AJ1563" s="418" t="e">
        <f>VLOOKUP(D1563,'Standard Cycle time'!C:D,2,0)</f>
        <v>#N/A</v>
      </c>
      <c r="AK1563" s="418" t="e">
        <f t="shared" si="431"/>
        <v>#DIV/0!</v>
      </c>
      <c r="AL1563" s="374" t="e">
        <f t="shared" si="432"/>
        <v>#N/A</v>
      </c>
      <c r="AM1563" s="372" t="e">
        <f t="shared" si="433"/>
        <v>#DIV/0!</v>
      </c>
      <c r="AN1563" s="799"/>
      <c r="AO1563" s="448"/>
      <c r="AP1563" s="440"/>
      <c r="AQ1563" s="440"/>
      <c r="AR1563" s="440"/>
      <c r="AS1563" s="440"/>
      <c r="AT1563" s="440"/>
      <c r="AU1563" s="440"/>
      <c r="AV1563" s="440"/>
      <c r="AW1563" s="440"/>
      <c r="AX1563" s="440"/>
      <c r="AY1563" s="440"/>
      <c r="AZ1563" s="440"/>
      <c r="BA1563" s="440"/>
      <c r="BB1563" s="440"/>
      <c r="BC1563" s="440"/>
      <c r="BD1563" s="440"/>
      <c r="BE1563" s="440"/>
      <c r="BF1563" s="440"/>
      <c r="BG1563" s="440"/>
      <c r="BH1563" s="440"/>
      <c r="BI1563" s="440"/>
      <c r="BJ1563" s="440"/>
      <c r="BK1563" s="440"/>
      <c r="BL1563" s="440"/>
      <c r="BM1563" s="440"/>
      <c r="BN1563" s="440"/>
      <c r="BO1563" s="440"/>
      <c r="BP1563" s="440"/>
      <c r="BQ1563" s="440"/>
      <c r="BR1563" s="415"/>
      <c r="BS1563" s="415"/>
      <c r="BT1563" s="935"/>
      <c r="BU1563" s="935"/>
      <c r="BV1563" s="935"/>
      <c r="BW1563" s="935"/>
      <c r="BX1563" s="935"/>
      <c r="BY1563" s="935"/>
      <c r="BZ1563" s="935"/>
      <c r="CA1563" s="935"/>
      <c r="CB1563" s="935"/>
      <c r="CC1563" s="935"/>
      <c r="CD1563" s="935"/>
      <c r="CE1563" s="935"/>
      <c r="CF1563" s="935"/>
      <c r="CG1563" s="935"/>
      <c r="CH1563" s="935"/>
      <c r="CI1563" s="935"/>
      <c r="CJ1563" s="935"/>
      <c r="CK1563" s="935"/>
      <c r="CL1563" s="935"/>
      <c r="CM1563" s="935"/>
      <c r="CN1563" s="935"/>
      <c r="CO1563" s="935"/>
      <c r="CP1563" s="935"/>
      <c r="CQ1563" s="935"/>
      <c r="CR1563" s="935"/>
      <c r="CS1563" s="935"/>
      <c r="CT1563" s="935"/>
      <c r="CU1563" s="935"/>
      <c r="CV1563" s="935"/>
    </row>
    <row r="1564" spans="2:100" s="441" customFormat="1">
      <c r="B1564" s="868"/>
      <c r="C1564" s="493"/>
      <c r="D1564" s="376"/>
      <c r="E1564" s="447"/>
      <c r="F1564" s="500"/>
      <c r="G1564" s="497"/>
      <c r="H1564" s="602" t="str">
        <f>IFERROR(VLOOKUP(E:E,'Item Data Support Sheet'!A:O,2,0),"")</f>
        <v/>
      </c>
      <c r="I1564" s="501"/>
      <c r="J1564" s="501"/>
      <c r="K1564" s="438"/>
      <c r="L1564" s="499"/>
      <c r="M1564" s="366"/>
      <c r="N1564" s="367">
        <f t="shared" si="419"/>
        <v>0</v>
      </c>
      <c r="O1564" s="61"/>
      <c r="P1564" s="368"/>
      <c r="Q1564" s="368"/>
      <c r="R1564" s="494"/>
      <c r="S1564" s="493"/>
      <c r="T1564" s="494"/>
      <c r="U1564" s="493"/>
      <c r="V1564" s="502"/>
      <c r="W1564" s="453">
        <f t="shared" si="420"/>
        <v>0</v>
      </c>
      <c r="X1564" s="748" t="e">
        <f t="shared" si="421"/>
        <v>#DIV/0!</v>
      </c>
      <c r="Y1564" s="451">
        <f>IFERROR(VLOOKUP(E:E,'Item Data Support Sheet'!A:J,6,0),0)</f>
        <v>0</v>
      </c>
      <c r="Z1564" s="428">
        <f>IFERROR(VLOOKUP(E:E,'Item Data Support Sheet'!A:O,4,0),0)</f>
        <v>0</v>
      </c>
      <c r="AA1564" s="428">
        <f t="shared" si="422"/>
        <v>0</v>
      </c>
      <c r="AB1564" s="429" t="str">
        <f t="shared" si="423"/>
        <v xml:space="preserve"> </v>
      </c>
      <c r="AC1564" s="424">
        <f t="shared" si="424"/>
        <v>0</v>
      </c>
      <c r="AD1564" s="371">
        <f t="shared" si="425"/>
        <v>0</v>
      </c>
      <c r="AE1564" s="748" t="e">
        <f t="shared" si="426"/>
        <v>#DIV/0!</v>
      </c>
      <c r="AF1564" s="417">
        <f t="shared" si="427"/>
        <v>0</v>
      </c>
      <c r="AG1564" s="416">
        <f t="shared" si="428"/>
        <v>0</v>
      </c>
      <c r="AH1564" s="372" t="str">
        <f t="shared" si="429"/>
        <v xml:space="preserve"> </v>
      </c>
      <c r="AI1564" s="373">
        <f t="shared" si="430"/>
        <v>0</v>
      </c>
      <c r="AJ1564" s="418" t="e">
        <f>VLOOKUP(D1564,'Standard Cycle time'!C:D,2,0)</f>
        <v>#N/A</v>
      </c>
      <c r="AK1564" s="418" t="e">
        <f t="shared" si="431"/>
        <v>#DIV/0!</v>
      </c>
      <c r="AL1564" s="374" t="e">
        <f t="shared" si="432"/>
        <v>#N/A</v>
      </c>
      <c r="AM1564" s="372" t="e">
        <f t="shared" si="433"/>
        <v>#DIV/0!</v>
      </c>
      <c r="AN1564" s="799"/>
      <c r="AO1564" s="448"/>
      <c r="AP1564" s="440"/>
      <c r="AQ1564" s="440"/>
      <c r="AR1564" s="440"/>
      <c r="AS1564" s="440"/>
      <c r="AT1564" s="440"/>
      <c r="AU1564" s="440"/>
      <c r="AV1564" s="440"/>
      <c r="AW1564" s="440"/>
      <c r="AX1564" s="440"/>
      <c r="AY1564" s="440"/>
      <c r="AZ1564" s="440"/>
      <c r="BA1564" s="440"/>
      <c r="BB1564" s="440"/>
      <c r="BC1564" s="440"/>
      <c r="BD1564" s="440"/>
      <c r="BE1564" s="440"/>
      <c r="BF1564" s="440"/>
      <c r="BG1564" s="440"/>
      <c r="BH1564" s="440"/>
      <c r="BI1564" s="440"/>
      <c r="BJ1564" s="440"/>
      <c r="BK1564" s="440"/>
      <c r="BL1564" s="440"/>
      <c r="BM1564" s="440"/>
      <c r="BN1564" s="440"/>
      <c r="BO1564" s="440"/>
      <c r="BP1564" s="440"/>
      <c r="BQ1564" s="440"/>
      <c r="BR1564" s="415"/>
      <c r="BS1564" s="415"/>
      <c r="BT1564" s="935"/>
      <c r="BU1564" s="935"/>
      <c r="BV1564" s="935"/>
      <c r="BW1564" s="935"/>
      <c r="BX1564" s="935"/>
      <c r="BY1564" s="935"/>
      <c r="BZ1564" s="935"/>
      <c r="CA1564" s="935"/>
      <c r="CB1564" s="935"/>
      <c r="CC1564" s="935"/>
      <c r="CD1564" s="935"/>
      <c r="CE1564" s="935"/>
      <c r="CF1564" s="935"/>
      <c r="CG1564" s="935"/>
      <c r="CH1564" s="935"/>
      <c r="CI1564" s="935"/>
      <c r="CJ1564" s="935"/>
      <c r="CK1564" s="935"/>
      <c r="CL1564" s="935"/>
      <c r="CM1564" s="935"/>
      <c r="CN1564" s="935"/>
      <c r="CO1564" s="935"/>
      <c r="CP1564" s="935"/>
      <c r="CQ1564" s="935"/>
      <c r="CR1564" s="935"/>
      <c r="CS1564" s="935"/>
      <c r="CT1564" s="935"/>
      <c r="CU1564" s="935"/>
      <c r="CV1564" s="935"/>
    </row>
    <row r="1565" spans="2:100" s="441" customFormat="1">
      <c r="B1565" s="868"/>
      <c r="C1565" s="493"/>
      <c r="D1565" s="376"/>
      <c r="E1565" s="447"/>
      <c r="F1565" s="500"/>
      <c r="G1565" s="497"/>
      <c r="H1565" s="602" t="str">
        <f>IFERROR(VLOOKUP(E:E,'Item Data Support Sheet'!A:O,2,0),"")</f>
        <v/>
      </c>
      <c r="I1565" s="501"/>
      <c r="J1565" s="501"/>
      <c r="K1565" s="438"/>
      <c r="L1565" s="499"/>
      <c r="M1565" s="366"/>
      <c r="N1565" s="367">
        <f t="shared" si="419"/>
        <v>0</v>
      </c>
      <c r="O1565" s="61"/>
      <c r="P1565" s="368"/>
      <c r="Q1565" s="368"/>
      <c r="R1565" s="494"/>
      <c r="S1565" s="493"/>
      <c r="T1565" s="494"/>
      <c r="U1565" s="493"/>
      <c r="V1565" s="502"/>
      <c r="W1565" s="453">
        <f t="shared" si="420"/>
        <v>0</v>
      </c>
      <c r="X1565" s="748" t="e">
        <f t="shared" si="421"/>
        <v>#DIV/0!</v>
      </c>
      <c r="Y1565" s="451">
        <f>IFERROR(VLOOKUP(E:E,'Item Data Support Sheet'!A:J,6,0),0)</f>
        <v>0</v>
      </c>
      <c r="Z1565" s="428">
        <f>IFERROR(VLOOKUP(E:E,'Item Data Support Sheet'!A:O,4,0),0)</f>
        <v>0</v>
      </c>
      <c r="AA1565" s="428">
        <f t="shared" si="422"/>
        <v>0</v>
      </c>
      <c r="AB1565" s="429" t="str">
        <f t="shared" si="423"/>
        <v xml:space="preserve"> </v>
      </c>
      <c r="AC1565" s="424">
        <f t="shared" si="424"/>
        <v>0</v>
      </c>
      <c r="AD1565" s="371">
        <f t="shared" si="425"/>
        <v>0</v>
      </c>
      <c r="AE1565" s="748" t="e">
        <f t="shared" si="426"/>
        <v>#DIV/0!</v>
      </c>
      <c r="AF1565" s="417">
        <f t="shared" si="427"/>
        <v>0</v>
      </c>
      <c r="AG1565" s="416">
        <f t="shared" si="428"/>
        <v>0</v>
      </c>
      <c r="AH1565" s="372" t="str">
        <f t="shared" si="429"/>
        <v xml:space="preserve"> </v>
      </c>
      <c r="AI1565" s="373">
        <f t="shared" si="430"/>
        <v>0</v>
      </c>
      <c r="AJ1565" s="418" t="e">
        <f>VLOOKUP(D1565,'Standard Cycle time'!C:D,2,0)</f>
        <v>#N/A</v>
      </c>
      <c r="AK1565" s="418" t="e">
        <f t="shared" si="431"/>
        <v>#DIV/0!</v>
      </c>
      <c r="AL1565" s="374" t="e">
        <f t="shared" si="432"/>
        <v>#N/A</v>
      </c>
      <c r="AM1565" s="372" t="e">
        <f t="shared" si="433"/>
        <v>#DIV/0!</v>
      </c>
      <c r="AN1565" s="799"/>
      <c r="AO1565" s="448"/>
      <c r="AP1565" s="440"/>
      <c r="AQ1565" s="440"/>
      <c r="AR1565" s="440"/>
      <c r="AS1565" s="440"/>
      <c r="AT1565" s="440"/>
      <c r="AU1565" s="440"/>
      <c r="AV1565" s="440"/>
      <c r="AW1565" s="440"/>
      <c r="AX1565" s="440"/>
      <c r="AY1565" s="440"/>
      <c r="AZ1565" s="440"/>
      <c r="BA1565" s="440"/>
      <c r="BB1565" s="440"/>
      <c r="BC1565" s="440"/>
      <c r="BD1565" s="440"/>
      <c r="BE1565" s="440"/>
      <c r="BF1565" s="440"/>
      <c r="BG1565" s="440"/>
      <c r="BH1565" s="440"/>
      <c r="BI1565" s="440"/>
      <c r="BJ1565" s="440"/>
      <c r="BK1565" s="440"/>
      <c r="BL1565" s="440"/>
      <c r="BM1565" s="440"/>
      <c r="BN1565" s="440"/>
      <c r="BO1565" s="440"/>
      <c r="BP1565" s="440"/>
      <c r="BQ1565" s="440"/>
      <c r="BR1565" s="415"/>
      <c r="BS1565" s="415"/>
      <c r="BT1565" s="935"/>
      <c r="BU1565" s="935"/>
      <c r="BV1565" s="935"/>
      <c r="BW1565" s="935"/>
      <c r="BX1565" s="935"/>
      <c r="BY1565" s="935"/>
      <c r="BZ1565" s="935"/>
      <c r="CA1565" s="935"/>
      <c r="CB1565" s="935"/>
      <c r="CC1565" s="935"/>
      <c r="CD1565" s="935"/>
      <c r="CE1565" s="935"/>
      <c r="CF1565" s="935"/>
      <c r="CG1565" s="935"/>
      <c r="CH1565" s="935"/>
      <c r="CI1565" s="935"/>
      <c r="CJ1565" s="935"/>
      <c r="CK1565" s="935"/>
      <c r="CL1565" s="935"/>
      <c r="CM1565" s="935"/>
      <c r="CN1565" s="935"/>
      <c r="CO1565" s="935"/>
      <c r="CP1565" s="935"/>
      <c r="CQ1565" s="935"/>
      <c r="CR1565" s="935"/>
      <c r="CS1565" s="935"/>
      <c r="CT1565" s="935"/>
      <c r="CU1565" s="935"/>
      <c r="CV1565" s="935"/>
    </row>
    <row r="1566" spans="2:100" s="441" customFormat="1">
      <c r="B1566" s="868"/>
      <c r="C1566" s="493"/>
      <c r="D1566" s="376"/>
      <c r="E1566" s="447"/>
      <c r="F1566" s="500"/>
      <c r="G1566" s="497"/>
      <c r="H1566" s="365" t="str">
        <f>IFERROR(VLOOKUP(E:E,'Item Data Support Sheet'!A:O,2,0),"")</f>
        <v/>
      </c>
      <c r="I1566" s="501"/>
      <c r="J1566" s="501"/>
      <c r="K1566" s="438"/>
      <c r="L1566" s="499"/>
      <c r="M1566" s="366"/>
      <c r="N1566" s="367">
        <f t="shared" si="419"/>
        <v>0</v>
      </c>
      <c r="O1566" s="61"/>
      <c r="P1566" s="368"/>
      <c r="Q1566" s="368"/>
      <c r="R1566" s="494"/>
      <c r="S1566" s="493"/>
      <c r="T1566" s="494"/>
      <c r="U1566" s="493"/>
      <c r="V1566" s="502"/>
      <c r="W1566" s="453">
        <f t="shared" si="420"/>
        <v>0</v>
      </c>
      <c r="X1566" s="748" t="e">
        <f t="shared" si="421"/>
        <v>#DIV/0!</v>
      </c>
      <c r="Y1566" s="451">
        <f>IFERROR(VLOOKUP(E:E,'Item Data Support Sheet'!A:J,6,0),0)</f>
        <v>0</v>
      </c>
      <c r="Z1566" s="428">
        <f>IFERROR(VLOOKUP(E:E,'Item Data Support Sheet'!A:O,4,0),0)</f>
        <v>0</v>
      </c>
      <c r="AA1566" s="428">
        <f t="shared" si="422"/>
        <v>0</v>
      </c>
      <c r="AB1566" s="429" t="str">
        <f t="shared" si="423"/>
        <v xml:space="preserve"> </v>
      </c>
      <c r="AC1566" s="424">
        <f t="shared" si="424"/>
        <v>0</v>
      </c>
      <c r="AD1566" s="371">
        <f t="shared" si="425"/>
        <v>0</v>
      </c>
      <c r="AE1566" s="748" t="e">
        <f t="shared" si="426"/>
        <v>#DIV/0!</v>
      </c>
      <c r="AF1566" s="417">
        <f t="shared" si="427"/>
        <v>0</v>
      </c>
      <c r="AG1566" s="416">
        <f t="shared" si="428"/>
        <v>0</v>
      </c>
      <c r="AH1566" s="372" t="str">
        <f t="shared" si="429"/>
        <v xml:space="preserve"> </v>
      </c>
      <c r="AI1566" s="373">
        <f t="shared" si="430"/>
        <v>0</v>
      </c>
      <c r="AJ1566" s="418" t="e">
        <f>VLOOKUP(D1566,'Standard Cycle time'!C:D,2,0)</f>
        <v>#N/A</v>
      </c>
      <c r="AK1566" s="418" t="e">
        <f t="shared" si="431"/>
        <v>#DIV/0!</v>
      </c>
      <c r="AL1566" s="374" t="e">
        <f t="shared" si="432"/>
        <v>#N/A</v>
      </c>
      <c r="AM1566" s="372" t="e">
        <f t="shared" si="433"/>
        <v>#DIV/0!</v>
      </c>
      <c r="AN1566" s="799"/>
      <c r="AO1566" s="448"/>
      <c r="AP1566" s="440"/>
      <c r="AQ1566" s="440"/>
      <c r="AR1566" s="440"/>
      <c r="AS1566" s="440"/>
      <c r="AT1566" s="440"/>
      <c r="AU1566" s="440"/>
      <c r="AV1566" s="440"/>
      <c r="AW1566" s="440"/>
      <c r="AX1566" s="440"/>
      <c r="AY1566" s="440"/>
      <c r="AZ1566" s="440"/>
      <c r="BA1566" s="440"/>
      <c r="BB1566" s="440"/>
      <c r="BC1566" s="440"/>
      <c r="BD1566" s="440"/>
      <c r="BE1566" s="440"/>
      <c r="BF1566" s="440"/>
      <c r="BG1566" s="440"/>
      <c r="BH1566" s="440"/>
      <c r="BI1566" s="440"/>
      <c r="BJ1566" s="440"/>
      <c r="BK1566" s="440"/>
      <c r="BL1566" s="440"/>
      <c r="BM1566" s="440"/>
      <c r="BN1566" s="440"/>
      <c r="BO1566" s="440"/>
      <c r="BP1566" s="440"/>
      <c r="BQ1566" s="440"/>
      <c r="BR1566" s="415"/>
      <c r="BS1566" s="415"/>
      <c r="BT1566" s="935"/>
      <c r="BU1566" s="935"/>
      <c r="BV1566" s="935"/>
      <c r="BW1566" s="935"/>
      <c r="BX1566" s="935"/>
      <c r="BY1566" s="935"/>
      <c r="BZ1566" s="935"/>
      <c r="CA1566" s="935"/>
      <c r="CB1566" s="935"/>
      <c r="CC1566" s="935"/>
      <c r="CD1566" s="935"/>
      <c r="CE1566" s="935"/>
      <c r="CF1566" s="935"/>
      <c r="CG1566" s="935"/>
      <c r="CH1566" s="935"/>
      <c r="CI1566" s="935"/>
      <c r="CJ1566" s="935"/>
      <c r="CK1566" s="935"/>
      <c r="CL1566" s="935"/>
      <c r="CM1566" s="935"/>
      <c r="CN1566" s="935"/>
      <c r="CO1566" s="935"/>
      <c r="CP1566" s="935"/>
      <c r="CQ1566" s="935"/>
      <c r="CR1566" s="935"/>
      <c r="CS1566" s="935"/>
      <c r="CT1566" s="935"/>
      <c r="CU1566" s="935"/>
      <c r="CV1566" s="935"/>
    </row>
    <row r="1567" spans="2:100" s="441" customFormat="1">
      <c r="B1567" s="868"/>
      <c r="C1567" s="493"/>
      <c r="D1567" s="376"/>
      <c r="E1567" s="447"/>
      <c r="F1567" s="500"/>
      <c r="G1567" s="497"/>
      <c r="H1567" s="365" t="str">
        <f>IFERROR(VLOOKUP(E:E,'Item Data Support Sheet'!A:O,2,0),"")</f>
        <v/>
      </c>
      <c r="I1567" s="501"/>
      <c r="J1567" s="501"/>
      <c r="K1567" s="438"/>
      <c r="L1567" s="499"/>
      <c r="M1567" s="366"/>
      <c r="N1567" s="367">
        <f t="shared" si="419"/>
        <v>0</v>
      </c>
      <c r="O1567" s="61"/>
      <c r="P1567" s="368"/>
      <c r="Q1567" s="368"/>
      <c r="R1567" s="494"/>
      <c r="S1567" s="493"/>
      <c r="T1567" s="494"/>
      <c r="U1567" s="493"/>
      <c r="V1567" s="502"/>
      <c r="W1567" s="453">
        <f t="shared" si="420"/>
        <v>0</v>
      </c>
      <c r="X1567" s="748" t="e">
        <f t="shared" si="421"/>
        <v>#DIV/0!</v>
      </c>
      <c r="Y1567" s="451">
        <f>IFERROR(VLOOKUP(E:E,'Item Data Support Sheet'!A:J,6,0),0)</f>
        <v>0</v>
      </c>
      <c r="Z1567" s="428">
        <f>IFERROR(VLOOKUP(E:E,'Item Data Support Sheet'!A:O,4,0),0)</f>
        <v>0</v>
      </c>
      <c r="AA1567" s="428">
        <f t="shared" si="422"/>
        <v>0</v>
      </c>
      <c r="AB1567" s="429" t="str">
        <f t="shared" si="423"/>
        <v xml:space="preserve"> </v>
      </c>
      <c r="AC1567" s="424">
        <f t="shared" si="424"/>
        <v>0</v>
      </c>
      <c r="AD1567" s="371">
        <f t="shared" si="425"/>
        <v>0</v>
      </c>
      <c r="AE1567" s="748" t="e">
        <f t="shared" si="426"/>
        <v>#DIV/0!</v>
      </c>
      <c r="AF1567" s="417">
        <f t="shared" si="427"/>
        <v>0</v>
      </c>
      <c r="AG1567" s="416">
        <f t="shared" si="428"/>
        <v>0</v>
      </c>
      <c r="AH1567" s="372" t="str">
        <f t="shared" si="429"/>
        <v xml:space="preserve"> </v>
      </c>
      <c r="AI1567" s="373">
        <f t="shared" si="430"/>
        <v>0</v>
      </c>
      <c r="AJ1567" s="418" t="e">
        <f>VLOOKUP(D1567,'Standard Cycle time'!C:D,2,0)</f>
        <v>#N/A</v>
      </c>
      <c r="AK1567" s="418" t="e">
        <f t="shared" si="431"/>
        <v>#DIV/0!</v>
      </c>
      <c r="AL1567" s="374" t="e">
        <f t="shared" si="432"/>
        <v>#N/A</v>
      </c>
      <c r="AM1567" s="372" t="e">
        <f t="shared" si="433"/>
        <v>#DIV/0!</v>
      </c>
      <c r="AN1567" s="799"/>
      <c r="AO1567" s="448"/>
      <c r="AP1567" s="440"/>
      <c r="AQ1567" s="440"/>
      <c r="AR1567" s="440"/>
      <c r="AS1567" s="440"/>
      <c r="AT1567" s="440"/>
      <c r="AU1567" s="440"/>
      <c r="AV1567" s="440"/>
      <c r="AW1567" s="440"/>
      <c r="AX1567" s="440"/>
      <c r="AY1567" s="440"/>
      <c r="AZ1567" s="440"/>
      <c r="BA1567" s="440"/>
      <c r="BB1567" s="440"/>
      <c r="BC1567" s="440"/>
      <c r="BD1567" s="440"/>
      <c r="BE1567" s="440"/>
      <c r="BF1567" s="440"/>
      <c r="BG1567" s="440"/>
      <c r="BH1567" s="440"/>
      <c r="BI1567" s="440"/>
      <c r="BJ1567" s="440"/>
      <c r="BK1567" s="440"/>
      <c r="BL1567" s="440"/>
      <c r="BM1567" s="440"/>
      <c r="BN1567" s="440"/>
      <c r="BO1567" s="440"/>
      <c r="BP1567" s="440"/>
      <c r="BQ1567" s="440"/>
      <c r="BR1567" s="415"/>
      <c r="BS1567" s="415"/>
      <c r="BT1567" s="935"/>
      <c r="BU1567" s="935"/>
      <c r="BV1567" s="935"/>
      <c r="BW1567" s="935"/>
      <c r="BX1567" s="935"/>
      <c r="BY1567" s="935"/>
      <c r="BZ1567" s="935"/>
      <c r="CA1567" s="935"/>
      <c r="CB1567" s="935"/>
      <c r="CC1567" s="935"/>
      <c r="CD1567" s="935"/>
      <c r="CE1567" s="935"/>
      <c r="CF1567" s="935"/>
      <c r="CG1567" s="935"/>
      <c r="CH1567" s="935"/>
      <c r="CI1567" s="935"/>
      <c r="CJ1567" s="935"/>
      <c r="CK1567" s="935"/>
      <c r="CL1567" s="935"/>
      <c r="CM1567" s="935"/>
      <c r="CN1567" s="935"/>
      <c r="CO1567" s="935"/>
      <c r="CP1567" s="935"/>
      <c r="CQ1567" s="935"/>
      <c r="CR1567" s="935"/>
      <c r="CS1567" s="935"/>
      <c r="CT1567" s="935"/>
      <c r="CU1567" s="935"/>
      <c r="CV1567" s="935"/>
    </row>
    <row r="1568" spans="2:100" s="441" customFormat="1">
      <c r="B1568" s="868"/>
      <c r="C1568" s="493"/>
      <c r="D1568" s="376"/>
      <c r="E1568" s="447"/>
      <c r="F1568" s="500"/>
      <c r="G1568" s="497"/>
      <c r="H1568" s="365" t="str">
        <f>IFERROR(VLOOKUP(E:E,'Item Data Support Sheet'!A:O,2,0),"")</f>
        <v/>
      </c>
      <c r="I1568" s="501"/>
      <c r="J1568" s="501"/>
      <c r="K1568" s="438"/>
      <c r="L1568" s="499"/>
      <c r="M1568" s="366"/>
      <c r="N1568" s="367">
        <f t="shared" si="419"/>
        <v>0</v>
      </c>
      <c r="O1568" s="61"/>
      <c r="P1568" s="368"/>
      <c r="Q1568" s="368"/>
      <c r="R1568" s="494"/>
      <c r="S1568" s="493"/>
      <c r="T1568" s="494"/>
      <c r="U1568" s="493"/>
      <c r="V1568" s="502"/>
      <c r="W1568" s="453">
        <f t="shared" si="420"/>
        <v>0</v>
      </c>
      <c r="X1568" s="748" t="e">
        <f t="shared" si="421"/>
        <v>#DIV/0!</v>
      </c>
      <c r="Y1568" s="451">
        <f>IFERROR(VLOOKUP(E:E,'Item Data Support Sheet'!A:J,6,0),0)</f>
        <v>0</v>
      </c>
      <c r="Z1568" s="428">
        <f>IFERROR(VLOOKUP(E:E,'Item Data Support Sheet'!A:O,4,0),0)</f>
        <v>0</v>
      </c>
      <c r="AA1568" s="428">
        <f t="shared" si="422"/>
        <v>0</v>
      </c>
      <c r="AB1568" s="429" t="str">
        <f t="shared" si="423"/>
        <v xml:space="preserve"> </v>
      </c>
      <c r="AC1568" s="424">
        <f t="shared" si="424"/>
        <v>0</v>
      </c>
      <c r="AD1568" s="371">
        <f t="shared" si="425"/>
        <v>0</v>
      </c>
      <c r="AE1568" s="748" t="e">
        <f t="shared" si="426"/>
        <v>#DIV/0!</v>
      </c>
      <c r="AF1568" s="417">
        <f t="shared" si="427"/>
        <v>0</v>
      </c>
      <c r="AG1568" s="416">
        <f t="shared" si="428"/>
        <v>0</v>
      </c>
      <c r="AH1568" s="372" t="str">
        <f t="shared" si="429"/>
        <v xml:space="preserve"> </v>
      </c>
      <c r="AI1568" s="373">
        <f t="shared" si="430"/>
        <v>0</v>
      </c>
      <c r="AJ1568" s="418" t="e">
        <f>VLOOKUP(D1568,'Standard Cycle time'!C:D,2,0)</f>
        <v>#N/A</v>
      </c>
      <c r="AK1568" s="418" t="e">
        <f t="shared" si="431"/>
        <v>#DIV/0!</v>
      </c>
      <c r="AL1568" s="374" t="e">
        <f t="shared" si="432"/>
        <v>#N/A</v>
      </c>
      <c r="AM1568" s="372" t="e">
        <f t="shared" si="433"/>
        <v>#DIV/0!</v>
      </c>
      <c r="AN1568" s="799"/>
      <c r="AO1568" s="448"/>
      <c r="AP1568" s="440"/>
      <c r="AQ1568" s="440"/>
      <c r="AR1568" s="440"/>
      <c r="AS1568" s="440"/>
      <c r="AT1568" s="440"/>
      <c r="AU1568" s="440"/>
      <c r="AV1568" s="440"/>
      <c r="AW1568" s="440"/>
      <c r="AX1568" s="440"/>
      <c r="AY1568" s="440"/>
      <c r="AZ1568" s="440"/>
      <c r="BA1568" s="440"/>
      <c r="BB1568" s="440"/>
      <c r="BC1568" s="440"/>
      <c r="BD1568" s="440"/>
      <c r="BE1568" s="440"/>
      <c r="BF1568" s="440"/>
      <c r="BG1568" s="440"/>
      <c r="BH1568" s="440"/>
      <c r="BI1568" s="440"/>
      <c r="BJ1568" s="440"/>
      <c r="BK1568" s="440"/>
      <c r="BL1568" s="440"/>
      <c r="BM1568" s="440"/>
      <c r="BN1568" s="440"/>
      <c r="BO1568" s="440"/>
      <c r="BP1568" s="440"/>
      <c r="BQ1568" s="440"/>
      <c r="BR1568" s="415"/>
      <c r="BS1568" s="415"/>
      <c r="BT1568" s="935"/>
      <c r="BU1568" s="935"/>
      <c r="BV1568" s="935"/>
      <c r="BW1568" s="935"/>
      <c r="BX1568" s="935"/>
      <c r="BY1568" s="935"/>
      <c r="BZ1568" s="935"/>
      <c r="CA1568" s="935"/>
      <c r="CB1568" s="935"/>
      <c r="CC1568" s="935"/>
      <c r="CD1568" s="935"/>
      <c r="CE1568" s="935"/>
      <c r="CF1568" s="935"/>
      <c r="CG1568" s="935"/>
      <c r="CH1568" s="935"/>
      <c r="CI1568" s="935"/>
      <c r="CJ1568" s="935"/>
      <c r="CK1568" s="935"/>
      <c r="CL1568" s="935"/>
      <c r="CM1568" s="935"/>
      <c r="CN1568" s="935"/>
      <c r="CO1568" s="935"/>
      <c r="CP1568" s="935"/>
      <c r="CQ1568" s="935"/>
      <c r="CR1568" s="935"/>
      <c r="CS1568" s="935"/>
      <c r="CT1568" s="935"/>
      <c r="CU1568" s="935"/>
      <c r="CV1568" s="935"/>
    </row>
    <row r="1569" spans="2:100" s="441" customFormat="1">
      <c r="B1569" s="868"/>
      <c r="C1569" s="493"/>
      <c r="D1569" s="376"/>
      <c r="E1569" s="447"/>
      <c r="F1569" s="500"/>
      <c r="G1569" s="497"/>
      <c r="H1569" s="365" t="str">
        <f>IFERROR(VLOOKUP(E:E,'Item Data Support Sheet'!A:O,2,0),"")</f>
        <v/>
      </c>
      <c r="I1569" s="501"/>
      <c r="J1569" s="501"/>
      <c r="K1569" s="438"/>
      <c r="L1569" s="499"/>
      <c r="M1569" s="366"/>
      <c r="N1569" s="367">
        <f t="shared" si="419"/>
        <v>0</v>
      </c>
      <c r="O1569" s="61"/>
      <c r="P1569" s="368"/>
      <c r="Q1569" s="368"/>
      <c r="R1569" s="494"/>
      <c r="S1569" s="493"/>
      <c r="T1569" s="494"/>
      <c r="U1569" s="493"/>
      <c r="V1569" s="502"/>
      <c r="W1569" s="453">
        <f t="shared" si="420"/>
        <v>0</v>
      </c>
      <c r="X1569" s="748" t="e">
        <f t="shared" si="421"/>
        <v>#DIV/0!</v>
      </c>
      <c r="Y1569" s="451">
        <f>IFERROR(VLOOKUP(E:E,'Item Data Support Sheet'!A:J,6,0),0)</f>
        <v>0</v>
      </c>
      <c r="Z1569" s="428">
        <f>IFERROR(VLOOKUP(E:E,'Item Data Support Sheet'!A:O,4,0),0)</f>
        <v>0</v>
      </c>
      <c r="AA1569" s="428">
        <f t="shared" si="422"/>
        <v>0</v>
      </c>
      <c r="AB1569" s="429" t="str">
        <f t="shared" si="423"/>
        <v xml:space="preserve"> </v>
      </c>
      <c r="AC1569" s="424">
        <f t="shared" si="424"/>
        <v>0</v>
      </c>
      <c r="AD1569" s="371">
        <f t="shared" si="425"/>
        <v>0</v>
      </c>
      <c r="AE1569" s="748" t="e">
        <f t="shared" si="426"/>
        <v>#DIV/0!</v>
      </c>
      <c r="AF1569" s="417">
        <f t="shared" si="427"/>
        <v>0</v>
      </c>
      <c r="AG1569" s="416">
        <f t="shared" si="428"/>
        <v>0</v>
      </c>
      <c r="AH1569" s="372" t="str">
        <f t="shared" si="429"/>
        <v xml:space="preserve"> </v>
      </c>
      <c r="AI1569" s="373">
        <f t="shared" si="430"/>
        <v>0</v>
      </c>
      <c r="AJ1569" s="418" t="e">
        <f>VLOOKUP(D1569,'Standard Cycle time'!C:D,2,0)</f>
        <v>#N/A</v>
      </c>
      <c r="AK1569" s="418" t="e">
        <f t="shared" si="431"/>
        <v>#DIV/0!</v>
      </c>
      <c r="AL1569" s="374" t="e">
        <f t="shared" si="432"/>
        <v>#N/A</v>
      </c>
      <c r="AM1569" s="372" t="e">
        <f t="shared" si="433"/>
        <v>#DIV/0!</v>
      </c>
      <c r="AN1569" s="799"/>
      <c r="AO1569" s="448"/>
      <c r="AP1569" s="440"/>
      <c r="AQ1569" s="440"/>
      <c r="AR1569" s="440"/>
      <c r="AS1569" s="440"/>
      <c r="AT1569" s="440"/>
      <c r="AU1569" s="440"/>
      <c r="AV1569" s="440"/>
      <c r="AW1569" s="440"/>
      <c r="AX1569" s="440"/>
      <c r="AY1569" s="440"/>
      <c r="AZ1569" s="440"/>
      <c r="BA1569" s="440"/>
      <c r="BB1569" s="440"/>
      <c r="BC1569" s="440"/>
      <c r="BD1569" s="440"/>
      <c r="BE1569" s="440"/>
      <c r="BF1569" s="440"/>
      <c r="BG1569" s="440"/>
      <c r="BH1569" s="440"/>
      <c r="BI1569" s="440"/>
      <c r="BJ1569" s="440"/>
      <c r="BK1569" s="440"/>
      <c r="BL1569" s="440"/>
      <c r="BM1569" s="440"/>
      <c r="BN1569" s="440"/>
      <c r="BO1569" s="440"/>
      <c r="BP1569" s="440"/>
      <c r="BQ1569" s="440"/>
      <c r="BR1569" s="415"/>
      <c r="BS1569" s="415"/>
      <c r="BT1569" s="935"/>
      <c r="BU1569" s="935"/>
      <c r="BV1569" s="935"/>
      <c r="BW1569" s="935"/>
      <c r="BX1569" s="935"/>
      <c r="BY1569" s="935"/>
      <c r="BZ1569" s="935"/>
      <c r="CA1569" s="935"/>
      <c r="CB1569" s="935"/>
      <c r="CC1569" s="935"/>
      <c r="CD1569" s="935"/>
      <c r="CE1569" s="935"/>
      <c r="CF1569" s="935"/>
      <c r="CG1569" s="935"/>
      <c r="CH1569" s="935"/>
      <c r="CI1569" s="935"/>
      <c r="CJ1569" s="935"/>
      <c r="CK1569" s="935"/>
      <c r="CL1569" s="935"/>
      <c r="CM1569" s="935"/>
      <c r="CN1569" s="935"/>
      <c r="CO1569" s="935"/>
      <c r="CP1569" s="935"/>
      <c r="CQ1569" s="935"/>
      <c r="CR1569" s="935"/>
      <c r="CS1569" s="935"/>
      <c r="CT1569" s="935"/>
      <c r="CU1569" s="935"/>
      <c r="CV1569" s="935"/>
    </row>
    <row r="1570" spans="2:100" s="441" customFormat="1">
      <c r="B1570" s="868"/>
      <c r="C1570" s="493"/>
      <c r="D1570" s="376"/>
      <c r="E1570" s="447"/>
      <c r="F1570" s="500"/>
      <c r="G1570" s="497"/>
      <c r="H1570" s="365" t="str">
        <f>IFERROR(VLOOKUP(E:E,'Item Data Support Sheet'!A:O,2,0),"")</f>
        <v/>
      </c>
      <c r="I1570" s="501"/>
      <c r="J1570" s="501"/>
      <c r="K1570" s="438"/>
      <c r="L1570" s="499"/>
      <c r="M1570" s="366"/>
      <c r="N1570" s="367">
        <f t="shared" si="419"/>
        <v>0</v>
      </c>
      <c r="O1570" s="61"/>
      <c r="P1570" s="368"/>
      <c r="Q1570" s="368"/>
      <c r="R1570" s="494"/>
      <c r="S1570" s="493"/>
      <c r="T1570" s="494"/>
      <c r="U1570" s="493"/>
      <c r="V1570" s="502"/>
      <c r="W1570" s="453">
        <f t="shared" si="420"/>
        <v>0</v>
      </c>
      <c r="X1570" s="748" t="e">
        <f t="shared" si="421"/>
        <v>#DIV/0!</v>
      </c>
      <c r="Y1570" s="451">
        <f>IFERROR(VLOOKUP(E:E,'Item Data Support Sheet'!A:J,6,0),0)</f>
        <v>0</v>
      </c>
      <c r="Z1570" s="428">
        <f>IFERROR(VLOOKUP(E:E,'Item Data Support Sheet'!A:O,4,0),0)</f>
        <v>0</v>
      </c>
      <c r="AA1570" s="428">
        <f t="shared" si="422"/>
        <v>0</v>
      </c>
      <c r="AB1570" s="429" t="str">
        <f t="shared" si="423"/>
        <v xml:space="preserve"> </v>
      </c>
      <c r="AC1570" s="424">
        <f t="shared" si="424"/>
        <v>0</v>
      </c>
      <c r="AD1570" s="371">
        <f t="shared" si="425"/>
        <v>0</v>
      </c>
      <c r="AE1570" s="748" t="e">
        <f t="shared" si="426"/>
        <v>#DIV/0!</v>
      </c>
      <c r="AF1570" s="417">
        <f t="shared" si="427"/>
        <v>0</v>
      </c>
      <c r="AG1570" s="416">
        <f t="shared" si="428"/>
        <v>0</v>
      </c>
      <c r="AH1570" s="372" t="str">
        <f t="shared" si="429"/>
        <v xml:space="preserve"> </v>
      </c>
      <c r="AI1570" s="373">
        <f t="shared" si="430"/>
        <v>0</v>
      </c>
      <c r="AJ1570" s="418" t="e">
        <f>VLOOKUP(D1570,'Standard Cycle time'!C:D,2,0)</f>
        <v>#N/A</v>
      </c>
      <c r="AK1570" s="418" t="e">
        <f t="shared" si="431"/>
        <v>#DIV/0!</v>
      </c>
      <c r="AL1570" s="374" t="e">
        <f t="shared" si="432"/>
        <v>#N/A</v>
      </c>
      <c r="AM1570" s="372" t="e">
        <f t="shared" si="433"/>
        <v>#DIV/0!</v>
      </c>
      <c r="AN1570" s="799"/>
      <c r="AO1570" s="448"/>
      <c r="AP1570" s="440"/>
      <c r="AQ1570" s="440"/>
      <c r="AR1570" s="440"/>
      <c r="AS1570" s="440"/>
      <c r="AT1570" s="440"/>
      <c r="AU1570" s="440"/>
      <c r="AV1570" s="440"/>
      <c r="AW1570" s="440"/>
      <c r="AX1570" s="440"/>
      <c r="AY1570" s="440"/>
      <c r="AZ1570" s="440"/>
      <c r="BA1570" s="440"/>
      <c r="BB1570" s="440"/>
      <c r="BC1570" s="440"/>
      <c r="BD1570" s="440"/>
      <c r="BE1570" s="440"/>
      <c r="BF1570" s="440"/>
      <c r="BG1570" s="440"/>
      <c r="BH1570" s="440"/>
      <c r="BI1570" s="440"/>
      <c r="BJ1570" s="440"/>
      <c r="BK1570" s="440"/>
      <c r="BL1570" s="440"/>
      <c r="BM1570" s="440"/>
      <c r="BN1570" s="440"/>
      <c r="BO1570" s="440"/>
      <c r="BP1570" s="440"/>
      <c r="BQ1570" s="440"/>
      <c r="BR1570" s="415"/>
      <c r="BS1570" s="415"/>
      <c r="BT1570" s="935"/>
      <c r="BU1570" s="935"/>
      <c r="BV1570" s="935"/>
      <c r="BW1570" s="935"/>
      <c r="BX1570" s="935"/>
      <c r="BY1570" s="935"/>
      <c r="BZ1570" s="935"/>
      <c r="CA1570" s="935"/>
      <c r="CB1570" s="935"/>
      <c r="CC1570" s="935"/>
      <c r="CD1570" s="935"/>
      <c r="CE1570" s="935"/>
      <c r="CF1570" s="935"/>
      <c r="CG1570" s="935"/>
      <c r="CH1570" s="935"/>
      <c r="CI1570" s="935"/>
      <c r="CJ1570" s="935"/>
      <c r="CK1570" s="935"/>
      <c r="CL1570" s="935"/>
      <c r="CM1570" s="935"/>
      <c r="CN1570" s="935"/>
      <c r="CO1570" s="935"/>
      <c r="CP1570" s="935"/>
      <c r="CQ1570" s="935"/>
      <c r="CR1570" s="935"/>
      <c r="CS1570" s="935"/>
      <c r="CT1570" s="935"/>
      <c r="CU1570" s="935"/>
      <c r="CV1570" s="935"/>
    </row>
    <row r="1571" spans="2:100" s="441" customFormat="1">
      <c r="B1571" s="868"/>
      <c r="C1571" s="493"/>
      <c r="D1571" s="376"/>
      <c r="E1571" s="447"/>
      <c r="F1571" s="500"/>
      <c r="G1571" s="497"/>
      <c r="H1571" s="365" t="str">
        <f>IFERROR(VLOOKUP(E:E,'Item Data Support Sheet'!A:O,2,0),"")</f>
        <v/>
      </c>
      <c r="I1571" s="501"/>
      <c r="J1571" s="501"/>
      <c r="K1571" s="438"/>
      <c r="L1571" s="499"/>
      <c r="M1571" s="366"/>
      <c r="N1571" s="367">
        <f t="shared" si="419"/>
        <v>0</v>
      </c>
      <c r="O1571" s="61"/>
      <c r="P1571" s="368"/>
      <c r="Q1571" s="368"/>
      <c r="R1571" s="494"/>
      <c r="S1571" s="493"/>
      <c r="T1571" s="494"/>
      <c r="U1571" s="493"/>
      <c r="V1571" s="502"/>
      <c r="W1571" s="453">
        <f t="shared" si="420"/>
        <v>0</v>
      </c>
      <c r="X1571" s="748" t="e">
        <f t="shared" si="421"/>
        <v>#DIV/0!</v>
      </c>
      <c r="Y1571" s="451">
        <f>IFERROR(VLOOKUP(E:E,'Item Data Support Sheet'!A:J,6,0),0)</f>
        <v>0</v>
      </c>
      <c r="Z1571" s="428">
        <f>IFERROR(VLOOKUP(E:E,'Item Data Support Sheet'!A:O,4,0),0)</f>
        <v>0</v>
      </c>
      <c r="AA1571" s="428">
        <f t="shared" si="422"/>
        <v>0</v>
      </c>
      <c r="AB1571" s="429" t="str">
        <f t="shared" si="423"/>
        <v xml:space="preserve"> </v>
      </c>
      <c r="AC1571" s="424">
        <f t="shared" si="424"/>
        <v>0</v>
      </c>
      <c r="AD1571" s="371">
        <f t="shared" si="425"/>
        <v>0</v>
      </c>
      <c r="AE1571" s="748" t="e">
        <f t="shared" si="426"/>
        <v>#DIV/0!</v>
      </c>
      <c r="AF1571" s="417">
        <f t="shared" si="427"/>
        <v>0</v>
      </c>
      <c r="AG1571" s="416">
        <f t="shared" si="428"/>
        <v>0</v>
      </c>
      <c r="AH1571" s="372" t="str">
        <f t="shared" si="429"/>
        <v xml:space="preserve"> </v>
      </c>
      <c r="AI1571" s="373">
        <f t="shared" si="430"/>
        <v>0</v>
      </c>
      <c r="AJ1571" s="418" t="e">
        <f>VLOOKUP(D1571,'Standard Cycle time'!C:D,2,0)</f>
        <v>#N/A</v>
      </c>
      <c r="AK1571" s="418" t="e">
        <f t="shared" si="431"/>
        <v>#DIV/0!</v>
      </c>
      <c r="AL1571" s="374" t="e">
        <f t="shared" si="432"/>
        <v>#N/A</v>
      </c>
      <c r="AM1571" s="372" t="e">
        <f t="shared" si="433"/>
        <v>#DIV/0!</v>
      </c>
      <c r="AN1571" s="799"/>
      <c r="AO1571" s="448"/>
      <c r="AP1571" s="440"/>
      <c r="AQ1571" s="440"/>
      <c r="AR1571" s="440"/>
      <c r="AS1571" s="440"/>
      <c r="AT1571" s="440"/>
      <c r="AU1571" s="440"/>
      <c r="AV1571" s="440"/>
      <c r="AW1571" s="440"/>
      <c r="AX1571" s="440"/>
      <c r="AY1571" s="440"/>
      <c r="AZ1571" s="440"/>
      <c r="BA1571" s="440"/>
      <c r="BB1571" s="440"/>
      <c r="BC1571" s="440"/>
      <c r="BD1571" s="440"/>
      <c r="BE1571" s="440"/>
      <c r="BF1571" s="440"/>
      <c r="BG1571" s="440"/>
      <c r="BH1571" s="440"/>
      <c r="BI1571" s="440"/>
      <c r="BJ1571" s="440"/>
      <c r="BK1571" s="440"/>
      <c r="BL1571" s="440"/>
      <c r="BM1571" s="440"/>
      <c r="BN1571" s="440"/>
      <c r="BO1571" s="440"/>
      <c r="BP1571" s="440"/>
      <c r="BQ1571" s="440"/>
      <c r="BR1571" s="415"/>
      <c r="BS1571" s="415"/>
      <c r="BT1571" s="935"/>
      <c r="BU1571" s="935"/>
      <c r="BV1571" s="935"/>
      <c r="BW1571" s="935"/>
      <c r="BX1571" s="935"/>
      <c r="BY1571" s="935"/>
      <c r="BZ1571" s="935"/>
      <c r="CA1571" s="935"/>
      <c r="CB1571" s="935"/>
      <c r="CC1571" s="935"/>
      <c r="CD1571" s="935"/>
      <c r="CE1571" s="935"/>
      <c r="CF1571" s="935"/>
      <c r="CG1571" s="935"/>
      <c r="CH1571" s="935"/>
      <c r="CI1571" s="935"/>
      <c r="CJ1571" s="935"/>
      <c r="CK1571" s="935"/>
      <c r="CL1571" s="935"/>
      <c r="CM1571" s="935"/>
      <c r="CN1571" s="935"/>
      <c r="CO1571" s="935"/>
      <c r="CP1571" s="935"/>
      <c r="CQ1571" s="935"/>
      <c r="CR1571" s="935"/>
      <c r="CS1571" s="935"/>
      <c r="CT1571" s="935"/>
      <c r="CU1571" s="935"/>
      <c r="CV1571" s="935"/>
    </row>
    <row r="1572" spans="2:100" s="441" customFormat="1">
      <c r="B1572" s="868"/>
      <c r="C1572" s="493"/>
      <c r="D1572" s="376"/>
      <c r="E1572" s="447"/>
      <c r="F1572" s="500"/>
      <c r="G1572" s="497"/>
      <c r="H1572" s="365" t="str">
        <f>IFERROR(VLOOKUP(E:E,'Item Data Support Sheet'!A:O,2,0),"")</f>
        <v/>
      </c>
      <c r="I1572" s="501"/>
      <c r="J1572" s="501"/>
      <c r="K1572" s="438"/>
      <c r="L1572" s="499"/>
      <c r="M1572" s="366"/>
      <c r="N1572" s="367">
        <f t="shared" si="419"/>
        <v>0</v>
      </c>
      <c r="O1572" s="61"/>
      <c r="P1572" s="368"/>
      <c r="Q1572" s="368"/>
      <c r="R1572" s="494"/>
      <c r="S1572" s="493"/>
      <c r="T1572" s="494"/>
      <c r="U1572" s="493"/>
      <c r="V1572" s="502"/>
      <c r="W1572" s="453">
        <f t="shared" si="420"/>
        <v>0</v>
      </c>
      <c r="X1572" s="748" t="e">
        <f t="shared" si="421"/>
        <v>#DIV/0!</v>
      </c>
      <c r="Y1572" s="451">
        <f>IFERROR(VLOOKUP(E:E,'Item Data Support Sheet'!A:J,6,0),0)</f>
        <v>0</v>
      </c>
      <c r="Z1572" s="428">
        <f>IFERROR(VLOOKUP(E:E,'Item Data Support Sheet'!A:O,4,0),0)</f>
        <v>0</v>
      </c>
      <c r="AA1572" s="428">
        <f t="shared" si="422"/>
        <v>0</v>
      </c>
      <c r="AB1572" s="429" t="str">
        <f t="shared" si="423"/>
        <v xml:space="preserve"> </v>
      </c>
      <c r="AC1572" s="424">
        <f t="shared" si="424"/>
        <v>0</v>
      </c>
      <c r="AD1572" s="371">
        <f t="shared" si="425"/>
        <v>0</v>
      </c>
      <c r="AE1572" s="748" t="e">
        <f t="shared" si="426"/>
        <v>#DIV/0!</v>
      </c>
      <c r="AF1572" s="417">
        <f t="shared" si="427"/>
        <v>0</v>
      </c>
      <c r="AG1572" s="416">
        <f t="shared" si="428"/>
        <v>0</v>
      </c>
      <c r="AH1572" s="372" t="str">
        <f t="shared" si="429"/>
        <v xml:space="preserve"> </v>
      </c>
      <c r="AI1572" s="373">
        <f t="shared" si="430"/>
        <v>0</v>
      </c>
      <c r="AJ1572" s="418" t="e">
        <f>VLOOKUP(D1572,'Standard Cycle time'!C:D,2,0)</f>
        <v>#N/A</v>
      </c>
      <c r="AK1572" s="418" t="e">
        <f t="shared" si="431"/>
        <v>#DIV/0!</v>
      </c>
      <c r="AL1572" s="374" t="e">
        <f t="shared" si="432"/>
        <v>#N/A</v>
      </c>
      <c r="AM1572" s="372" t="e">
        <f t="shared" si="433"/>
        <v>#DIV/0!</v>
      </c>
      <c r="AN1572" s="799"/>
      <c r="AO1572" s="448"/>
      <c r="AP1572" s="440"/>
      <c r="AQ1572" s="440"/>
      <c r="AR1572" s="440"/>
      <c r="AS1572" s="440"/>
      <c r="AT1572" s="440"/>
      <c r="AU1572" s="440"/>
      <c r="AV1572" s="440"/>
      <c r="AW1572" s="440"/>
      <c r="AX1572" s="440"/>
      <c r="AY1572" s="440"/>
      <c r="AZ1572" s="440"/>
      <c r="BA1572" s="440"/>
      <c r="BB1572" s="440"/>
      <c r="BC1572" s="440"/>
      <c r="BD1572" s="440"/>
      <c r="BE1572" s="440"/>
      <c r="BF1572" s="440"/>
      <c r="BG1572" s="440"/>
      <c r="BH1572" s="440"/>
      <c r="BI1572" s="440"/>
      <c r="BJ1572" s="440"/>
      <c r="BK1572" s="440"/>
      <c r="BL1572" s="440"/>
      <c r="BM1572" s="440"/>
      <c r="BN1572" s="440"/>
      <c r="BO1572" s="440"/>
      <c r="BP1572" s="440"/>
      <c r="BQ1572" s="440"/>
      <c r="BR1572" s="415"/>
      <c r="BS1572" s="415"/>
      <c r="BT1572" s="935"/>
      <c r="BU1572" s="935"/>
      <c r="BV1572" s="935"/>
      <c r="BW1572" s="935"/>
      <c r="BX1572" s="935"/>
      <c r="BY1572" s="935"/>
      <c r="BZ1572" s="935"/>
      <c r="CA1572" s="935"/>
      <c r="CB1572" s="935"/>
      <c r="CC1572" s="935"/>
      <c r="CD1572" s="935"/>
      <c r="CE1572" s="935"/>
      <c r="CF1572" s="935"/>
      <c r="CG1572" s="935"/>
      <c r="CH1572" s="935"/>
      <c r="CI1572" s="935"/>
      <c r="CJ1572" s="935"/>
      <c r="CK1572" s="935"/>
      <c r="CL1572" s="935"/>
      <c r="CM1572" s="935"/>
      <c r="CN1572" s="935"/>
      <c r="CO1572" s="935"/>
      <c r="CP1572" s="935"/>
      <c r="CQ1572" s="935"/>
      <c r="CR1572" s="935"/>
      <c r="CS1572" s="935"/>
      <c r="CT1572" s="935"/>
      <c r="CU1572" s="935"/>
      <c r="CV1572" s="935"/>
    </row>
    <row r="1573" spans="2:100" s="441" customFormat="1">
      <c r="B1573" s="868"/>
      <c r="C1573" s="493"/>
      <c r="D1573" s="376"/>
      <c r="E1573" s="447"/>
      <c r="F1573" s="500"/>
      <c r="G1573" s="497"/>
      <c r="H1573" s="365" t="str">
        <f>IFERROR(VLOOKUP(E:E,'Item Data Support Sheet'!A:O,2,0),"")</f>
        <v/>
      </c>
      <c r="I1573" s="501"/>
      <c r="J1573" s="501"/>
      <c r="K1573" s="438"/>
      <c r="L1573" s="499"/>
      <c r="M1573" s="366"/>
      <c r="N1573" s="367">
        <f t="shared" si="419"/>
        <v>0</v>
      </c>
      <c r="O1573" s="61"/>
      <c r="P1573" s="368"/>
      <c r="Q1573" s="368"/>
      <c r="R1573" s="494"/>
      <c r="S1573" s="493"/>
      <c r="T1573" s="494"/>
      <c r="U1573" s="493"/>
      <c r="V1573" s="502"/>
      <c r="W1573" s="453">
        <f t="shared" si="420"/>
        <v>0</v>
      </c>
      <c r="X1573" s="748" t="e">
        <f t="shared" si="421"/>
        <v>#DIV/0!</v>
      </c>
      <c r="Y1573" s="451">
        <f>IFERROR(VLOOKUP(E:E,'Item Data Support Sheet'!A:J,6,0),0)</f>
        <v>0</v>
      </c>
      <c r="Z1573" s="428">
        <f>IFERROR(VLOOKUP(E:E,'Item Data Support Sheet'!A:O,4,0),0)</f>
        <v>0</v>
      </c>
      <c r="AA1573" s="428">
        <f t="shared" si="422"/>
        <v>0</v>
      </c>
      <c r="AB1573" s="429" t="str">
        <f t="shared" si="423"/>
        <v xml:space="preserve"> </v>
      </c>
      <c r="AC1573" s="424">
        <f t="shared" si="424"/>
        <v>0</v>
      </c>
      <c r="AD1573" s="371">
        <f t="shared" si="425"/>
        <v>0</v>
      </c>
      <c r="AE1573" s="748" t="e">
        <f t="shared" si="426"/>
        <v>#DIV/0!</v>
      </c>
      <c r="AF1573" s="417">
        <f t="shared" si="427"/>
        <v>0</v>
      </c>
      <c r="AG1573" s="416">
        <f t="shared" si="428"/>
        <v>0</v>
      </c>
      <c r="AH1573" s="372" t="str">
        <f t="shared" si="429"/>
        <v xml:space="preserve"> </v>
      </c>
      <c r="AI1573" s="373">
        <f t="shared" si="430"/>
        <v>0</v>
      </c>
      <c r="AJ1573" s="418" t="e">
        <f>VLOOKUP(D1573,'Standard Cycle time'!C:D,2,0)</f>
        <v>#N/A</v>
      </c>
      <c r="AK1573" s="418" t="e">
        <f t="shared" si="431"/>
        <v>#DIV/0!</v>
      </c>
      <c r="AL1573" s="374" t="e">
        <f t="shared" si="432"/>
        <v>#N/A</v>
      </c>
      <c r="AM1573" s="372" t="e">
        <f t="shared" si="433"/>
        <v>#DIV/0!</v>
      </c>
      <c r="AN1573" s="799"/>
      <c r="AO1573" s="448"/>
      <c r="AP1573" s="440"/>
      <c r="AQ1573" s="440"/>
      <c r="AR1573" s="440"/>
      <c r="AS1573" s="440"/>
      <c r="AT1573" s="440"/>
      <c r="AU1573" s="440"/>
      <c r="AV1573" s="440"/>
      <c r="AW1573" s="440"/>
      <c r="AX1573" s="440"/>
      <c r="AY1573" s="440"/>
      <c r="AZ1573" s="440"/>
      <c r="BA1573" s="440"/>
      <c r="BB1573" s="440"/>
      <c r="BC1573" s="440"/>
      <c r="BD1573" s="440"/>
      <c r="BE1573" s="440"/>
      <c r="BF1573" s="440"/>
      <c r="BG1573" s="440"/>
      <c r="BH1573" s="440"/>
      <c r="BI1573" s="440"/>
      <c r="BJ1573" s="440"/>
      <c r="BK1573" s="440"/>
      <c r="BL1573" s="440"/>
      <c r="BM1573" s="440"/>
      <c r="BN1573" s="440"/>
      <c r="BO1573" s="440"/>
      <c r="BP1573" s="440"/>
      <c r="BQ1573" s="440"/>
      <c r="BR1573" s="415"/>
      <c r="BS1573" s="415"/>
      <c r="BT1573" s="935"/>
      <c r="BU1573" s="935"/>
      <c r="BV1573" s="935"/>
      <c r="BW1573" s="935"/>
      <c r="BX1573" s="935"/>
      <c r="BY1573" s="935"/>
      <c r="BZ1573" s="935"/>
      <c r="CA1573" s="935"/>
      <c r="CB1573" s="935"/>
      <c r="CC1573" s="935"/>
      <c r="CD1573" s="935"/>
      <c r="CE1573" s="935"/>
      <c r="CF1573" s="935"/>
      <c r="CG1573" s="935"/>
      <c r="CH1573" s="935"/>
      <c r="CI1573" s="935"/>
      <c r="CJ1573" s="935"/>
      <c r="CK1573" s="935"/>
      <c r="CL1573" s="935"/>
      <c r="CM1573" s="935"/>
      <c r="CN1573" s="935"/>
      <c r="CO1573" s="935"/>
      <c r="CP1573" s="935"/>
      <c r="CQ1573" s="935"/>
      <c r="CR1573" s="935"/>
      <c r="CS1573" s="935"/>
      <c r="CT1573" s="935"/>
      <c r="CU1573" s="935"/>
      <c r="CV1573" s="935"/>
    </row>
    <row r="1574" spans="2:100" s="441" customFormat="1">
      <c r="B1574" s="868"/>
      <c r="C1574" s="493"/>
      <c r="D1574" s="376"/>
      <c r="E1574" s="447"/>
      <c r="F1574" s="500"/>
      <c r="G1574" s="497"/>
      <c r="H1574" s="365" t="str">
        <f>IFERROR(VLOOKUP(E:E,'Item Data Support Sheet'!A:O,2,0),"")</f>
        <v/>
      </c>
      <c r="I1574" s="501"/>
      <c r="J1574" s="501"/>
      <c r="K1574" s="438"/>
      <c r="L1574" s="499"/>
      <c r="M1574" s="366"/>
      <c r="N1574" s="367">
        <f t="shared" si="419"/>
        <v>0</v>
      </c>
      <c r="O1574" s="61"/>
      <c r="P1574" s="368"/>
      <c r="Q1574" s="368"/>
      <c r="R1574" s="494"/>
      <c r="S1574" s="493"/>
      <c r="T1574" s="494"/>
      <c r="U1574" s="493"/>
      <c r="V1574" s="502"/>
      <c r="W1574" s="453">
        <f t="shared" si="420"/>
        <v>0</v>
      </c>
      <c r="X1574" s="748" t="e">
        <f t="shared" si="421"/>
        <v>#DIV/0!</v>
      </c>
      <c r="Y1574" s="451">
        <f>IFERROR(VLOOKUP(E:E,'Item Data Support Sheet'!A:J,6,0),0)</f>
        <v>0</v>
      </c>
      <c r="Z1574" s="428">
        <f>IFERROR(VLOOKUP(E:E,'Item Data Support Sheet'!A:O,4,0),0)</f>
        <v>0</v>
      </c>
      <c r="AA1574" s="428">
        <f t="shared" si="422"/>
        <v>0</v>
      </c>
      <c r="AB1574" s="429" t="str">
        <f t="shared" si="423"/>
        <v xml:space="preserve"> </v>
      </c>
      <c r="AC1574" s="424">
        <f t="shared" si="424"/>
        <v>0</v>
      </c>
      <c r="AD1574" s="371">
        <f t="shared" si="425"/>
        <v>0</v>
      </c>
      <c r="AE1574" s="748" t="e">
        <f t="shared" si="426"/>
        <v>#DIV/0!</v>
      </c>
      <c r="AF1574" s="417">
        <f t="shared" si="427"/>
        <v>0</v>
      </c>
      <c r="AG1574" s="416">
        <f t="shared" si="428"/>
        <v>0</v>
      </c>
      <c r="AH1574" s="372" t="str">
        <f t="shared" si="429"/>
        <v xml:space="preserve"> </v>
      </c>
      <c r="AI1574" s="373">
        <f t="shared" si="430"/>
        <v>0</v>
      </c>
      <c r="AJ1574" s="418" t="e">
        <f>VLOOKUP(D1574,'Standard Cycle time'!C:D,2,0)</f>
        <v>#N/A</v>
      </c>
      <c r="AK1574" s="418" t="e">
        <f t="shared" si="431"/>
        <v>#DIV/0!</v>
      </c>
      <c r="AL1574" s="374" t="e">
        <f t="shared" si="432"/>
        <v>#N/A</v>
      </c>
      <c r="AM1574" s="372" t="e">
        <f t="shared" si="433"/>
        <v>#DIV/0!</v>
      </c>
      <c r="AN1574" s="799"/>
      <c r="AO1574" s="448"/>
      <c r="AP1574" s="440"/>
      <c r="AQ1574" s="440"/>
      <c r="AR1574" s="440"/>
      <c r="AS1574" s="440"/>
      <c r="AT1574" s="440"/>
      <c r="AU1574" s="440"/>
      <c r="AV1574" s="440"/>
      <c r="AW1574" s="440"/>
      <c r="AX1574" s="440"/>
      <c r="AY1574" s="440"/>
      <c r="AZ1574" s="440"/>
      <c r="BA1574" s="440"/>
      <c r="BB1574" s="440"/>
      <c r="BC1574" s="440"/>
      <c r="BD1574" s="440"/>
      <c r="BE1574" s="440"/>
      <c r="BF1574" s="440"/>
      <c r="BG1574" s="440"/>
      <c r="BH1574" s="440"/>
      <c r="BI1574" s="440"/>
      <c r="BJ1574" s="440"/>
      <c r="BK1574" s="440"/>
      <c r="BL1574" s="440"/>
      <c r="BM1574" s="440"/>
      <c r="BN1574" s="440"/>
      <c r="BO1574" s="440"/>
      <c r="BP1574" s="440"/>
      <c r="BQ1574" s="440"/>
      <c r="BR1574" s="415"/>
      <c r="BS1574" s="415"/>
      <c r="BT1574" s="935"/>
      <c r="BU1574" s="935"/>
      <c r="BV1574" s="935"/>
      <c r="BW1574" s="935"/>
      <c r="BX1574" s="935"/>
      <c r="BY1574" s="935"/>
      <c r="BZ1574" s="935"/>
      <c r="CA1574" s="935"/>
      <c r="CB1574" s="935"/>
      <c r="CC1574" s="935"/>
      <c r="CD1574" s="935"/>
      <c r="CE1574" s="935"/>
      <c r="CF1574" s="935"/>
      <c r="CG1574" s="935"/>
      <c r="CH1574" s="935"/>
      <c r="CI1574" s="935"/>
      <c r="CJ1574" s="935"/>
      <c r="CK1574" s="935"/>
      <c r="CL1574" s="935"/>
      <c r="CM1574" s="935"/>
      <c r="CN1574" s="935"/>
      <c r="CO1574" s="935"/>
      <c r="CP1574" s="935"/>
      <c r="CQ1574" s="935"/>
      <c r="CR1574" s="935"/>
      <c r="CS1574" s="935"/>
      <c r="CT1574" s="935"/>
      <c r="CU1574" s="935"/>
      <c r="CV1574" s="935"/>
    </row>
    <row r="1575" spans="2:100" s="441" customFormat="1">
      <c r="B1575" s="868"/>
      <c r="C1575" s="493"/>
      <c r="D1575" s="376"/>
      <c r="E1575" s="447"/>
      <c r="F1575" s="500"/>
      <c r="G1575" s="497"/>
      <c r="H1575" s="365" t="str">
        <f>IFERROR(VLOOKUP(E:E,'Item Data Support Sheet'!A:O,2,0),"")</f>
        <v/>
      </c>
      <c r="I1575" s="501"/>
      <c r="J1575" s="501"/>
      <c r="K1575" s="438"/>
      <c r="L1575" s="499"/>
      <c r="M1575" s="366"/>
      <c r="N1575" s="367">
        <f t="shared" si="419"/>
        <v>0</v>
      </c>
      <c r="O1575" s="61"/>
      <c r="P1575" s="368"/>
      <c r="Q1575" s="368"/>
      <c r="R1575" s="494"/>
      <c r="S1575" s="493"/>
      <c r="T1575" s="494"/>
      <c r="U1575" s="493"/>
      <c r="V1575" s="502"/>
      <c r="W1575" s="453">
        <f t="shared" si="420"/>
        <v>0</v>
      </c>
      <c r="X1575" s="748" t="e">
        <f t="shared" si="421"/>
        <v>#DIV/0!</v>
      </c>
      <c r="Y1575" s="451">
        <f>IFERROR(VLOOKUP(E:E,'Item Data Support Sheet'!A:J,6,0),0)</f>
        <v>0</v>
      </c>
      <c r="Z1575" s="428">
        <f>IFERROR(VLOOKUP(E:E,'Item Data Support Sheet'!A:O,4,0),0)</f>
        <v>0</v>
      </c>
      <c r="AA1575" s="428">
        <f t="shared" si="422"/>
        <v>0</v>
      </c>
      <c r="AB1575" s="429" t="str">
        <f t="shared" si="423"/>
        <v xml:space="preserve"> </v>
      </c>
      <c r="AC1575" s="424">
        <f t="shared" si="424"/>
        <v>0</v>
      </c>
      <c r="AD1575" s="371">
        <f t="shared" si="425"/>
        <v>0</v>
      </c>
      <c r="AE1575" s="748" t="e">
        <f t="shared" si="426"/>
        <v>#DIV/0!</v>
      </c>
      <c r="AF1575" s="417">
        <f t="shared" si="427"/>
        <v>0</v>
      </c>
      <c r="AG1575" s="416">
        <f t="shared" si="428"/>
        <v>0</v>
      </c>
      <c r="AH1575" s="372" t="str">
        <f t="shared" si="429"/>
        <v xml:space="preserve"> </v>
      </c>
      <c r="AI1575" s="373">
        <f t="shared" si="430"/>
        <v>0</v>
      </c>
      <c r="AJ1575" s="418" t="e">
        <f>VLOOKUP(D1575,'Standard Cycle time'!C:D,2,0)</f>
        <v>#N/A</v>
      </c>
      <c r="AK1575" s="418" t="e">
        <f t="shared" si="431"/>
        <v>#DIV/0!</v>
      </c>
      <c r="AL1575" s="374" t="e">
        <f t="shared" si="432"/>
        <v>#N/A</v>
      </c>
      <c r="AM1575" s="372" t="e">
        <f t="shared" si="433"/>
        <v>#DIV/0!</v>
      </c>
      <c r="AN1575" s="799"/>
      <c r="AO1575" s="448"/>
      <c r="AP1575" s="440"/>
      <c r="AQ1575" s="440"/>
      <c r="AR1575" s="440"/>
      <c r="AS1575" s="440"/>
      <c r="AT1575" s="440"/>
      <c r="AU1575" s="440"/>
      <c r="AV1575" s="440"/>
      <c r="AW1575" s="440"/>
      <c r="AX1575" s="440"/>
      <c r="AY1575" s="440"/>
      <c r="AZ1575" s="440"/>
      <c r="BA1575" s="440"/>
      <c r="BB1575" s="440"/>
      <c r="BC1575" s="440"/>
      <c r="BD1575" s="440"/>
      <c r="BE1575" s="440"/>
      <c r="BF1575" s="440"/>
      <c r="BG1575" s="440"/>
      <c r="BH1575" s="440"/>
      <c r="BI1575" s="440"/>
      <c r="BJ1575" s="440"/>
      <c r="BK1575" s="440"/>
      <c r="BL1575" s="440"/>
      <c r="BM1575" s="440"/>
      <c r="BN1575" s="440"/>
      <c r="BO1575" s="440"/>
      <c r="BP1575" s="440"/>
      <c r="BQ1575" s="440"/>
      <c r="BR1575" s="415"/>
      <c r="BS1575" s="415"/>
      <c r="BT1575" s="935"/>
      <c r="BU1575" s="935"/>
      <c r="BV1575" s="935"/>
      <c r="BW1575" s="935"/>
      <c r="BX1575" s="935"/>
      <c r="BY1575" s="935"/>
      <c r="BZ1575" s="935"/>
      <c r="CA1575" s="935"/>
      <c r="CB1575" s="935"/>
      <c r="CC1575" s="935"/>
      <c r="CD1575" s="935"/>
      <c r="CE1575" s="935"/>
      <c r="CF1575" s="935"/>
      <c r="CG1575" s="935"/>
      <c r="CH1575" s="935"/>
      <c r="CI1575" s="935"/>
      <c r="CJ1575" s="935"/>
      <c r="CK1575" s="935"/>
      <c r="CL1575" s="935"/>
      <c r="CM1575" s="935"/>
      <c r="CN1575" s="935"/>
      <c r="CO1575" s="935"/>
      <c r="CP1575" s="935"/>
      <c r="CQ1575" s="935"/>
      <c r="CR1575" s="935"/>
      <c r="CS1575" s="935"/>
      <c r="CT1575" s="935"/>
      <c r="CU1575" s="935"/>
      <c r="CV1575" s="935"/>
    </row>
    <row r="1576" spans="2:100" s="441" customFormat="1">
      <c r="B1576" s="868"/>
      <c r="C1576" s="493"/>
      <c r="D1576" s="376"/>
      <c r="E1576" s="447"/>
      <c r="F1576" s="500"/>
      <c r="G1576" s="497"/>
      <c r="H1576" s="365" t="str">
        <f>IFERROR(VLOOKUP(E:E,'Item Data Support Sheet'!A:O,2,0),"")</f>
        <v/>
      </c>
      <c r="I1576" s="501"/>
      <c r="J1576" s="501"/>
      <c r="K1576" s="438"/>
      <c r="L1576" s="499"/>
      <c r="M1576" s="366"/>
      <c r="N1576" s="367">
        <f t="shared" si="419"/>
        <v>0</v>
      </c>
      <c r="O1576" s="61"/>
      <c r="P1576" s="368"/>
      <c r="Q1576" s="368"/>
      <c r="R1576" s="494"/>
      <c r="S1576" s="493"/>
      <c r="T1576" s="494"/>
      <c r="U1576" s="493"/>
      <c r="V1576" s="502"/>
      <c r="W1576" s="453">
        <f t="shared" si="420"/>
        <v>0</v>
      </c>
      <c r="X1576" s="748" t="e">
        <f t="shared" si="421"/>
        <v>#DIV/0!</v>
      </c>
      <c r="Y1576" s="451">
        <f>IFERROR(VLOOKUP(E:E,'Item Data Support Sheet'!A:J,6,0),0)</f>
        <v>0</v>
      </c>
      <c r="Z1576" s="428">
        <f>IFERROR(VLOOKUP(E:E,'Item Data Support Sheet'!A:O,4,0),0)</f>
        <v>0</v>
      </c>
      <c r="AA1576" s="428">
        <f t="shared" si="422"/>
        <v>0</v>
      </c>
      <c r="AB1576" s="429" t="str">
        <f t="shared" si="423"/>
        <v xml:space="preserve"> </v>
      </c>
      <c r="AC1576" s="424">
        <f t="shared" si="424"/>
        <v>0</v>
      </c>
      <c r="AD1576" s="371">
        <f t="shared" si="425"/>
        <v>0</v>
      </c>
      <c r="AE1576" s="748" t="e">
        <f t="shared" si="426"/>
        <v>#DIV/0!</v>
      </c>
      <c r="AF1576" s="417">
        <f t="shared" si="427"/>
        <v>0</v>
      </c>
      <c r="AG1576" s="416">
        <f t="shared" si="428"/>
        <v>0</v>
      </c>
      <c r="AH1576" s="372" t="str">
        <f t="shared" si="429"/>
        <v xml:space="preserve"> </v>
      </c>
      <c r="AI1576" s="373">
        <f t="shared" si="430"/>
        <v>0</v>
      </c>
      <c r="AJ1576" s="418" t="e">
        <f>VLOOKUP(D1576,'Standard Cycle time'!C:D,2,0)</f>
        <v>#N/A</v>
      </c>
      <c r="AK1576" s="418" t="e">
        <f t="shared" si="431"/>
        <v>#DIV/0!</v>
      </c>
      <c r="AL1576" s="374" t="e">
        <f t="shared" si="432"/>
        <v>#N/A</v>
      </c>
      <c r="AM1576" s="372" t="e">
        <f t="shared" si="433"/>
        <v>#DIV/0!</v>
      </c>
      <c r="AN1576" s="799"/>
      <c r="AO1576" s="448"/>
      <c r="AP1576" s="440"/>
      <c r="AQ1576" s="440"/>
      <c r="AR1576" s="440"/>
      <c r="AS1576" s="440"/>
      <c r="AT1576" s="440"/>
      <c r="AU1576" s="440"/>
      <c r="AV1576" s="440"/>
      <c r="AW1576" s="440"/>
      <c r="AX1576" s="440"/>
      <c r="AY1576" s="440"/>
      <c r="AZ1576" s="440"/>
      <c r="BA1576" s="440"/>
      <c r="BB1576" s="440"/>
      <c r="BC1576" s="440"/>
      <c r="BD1576" s="440"/>
      <c r="BE1576" s="440"/>
      <c r="BF1576" s="440"/>
      <c r="BG1576" s="440"/>
      <c r="BH1576" s="440"/>
      <c r="BI1576" s="440"/>
      <c r="BJ1576" s="440"/>
      <c r="BK1576" s="440"/>
      <c r="BL1576" s="440"/>
      <c r="BM1576" s="440"/>
      <c r="BN1576" s="440"/>
      <c r="BO1576" s="440"/>
      <c r="BP1576" s="440"/>
      <c r="BQ1576" s="440"/>
      <c r="BR1576" s="415"/>
      <c r="BS1576" s="415"/>
      <c r="BT1576" s="935"/>
      <c r="BU1576" s="935"/>
      <c r="BV1576" s="935"/>
      <c r="BW1576" s="935"/>
      <c r="BX1576" s="935"/>
      <c r="BY1576" s="935"/>
      <c r="BZ1576" s="935"/>
      <c r="CA1576" s="935"/>
      <c r="CB1576" s="935"/>
      <c r="CC1576" s="935"/>
      <c r="CD1576" s="935"/>
      <c r="CE1576" s="935"/>
      <c r="CF1576" s="935"/>
      <c r="CG1576" s="935"/>
      <c r="CH1576" s="935"/>
      <c r="CI1576" s="935"/>
      <c r="CJ1576" s="935"/>
      <c r="CK1576" s="935"/>
      <c r="CL1576" s="935"/>
      <c r="CM1576" s="935"/>
      <c r="CN1576" s="935"/>
      <c r="CO1576" s="935"/>
      <c r="CP1576" s="935"/>
      <c r="CQ1576" s="935"/>
      <c r="CR1576" s="935"/>
      <c r="CS1576" s="935"/>
      <c r="CT1576" s="935"/>
      <c r="CU1576" s="935"/>
      <c r="CV1576" s="935"/>
    </row>
    <row r="1577" spans="2:100" s="441" customFormat="1">
      <c r="B1577" s="868"/>
      <c r="C1577" s="493"/>
      <c r="D1577" s="376"/>
      <c r="E1577" s="447"/>
      <c r="F1577" s="500"/>
      <c r="G1577" s="497"/>
      <c r="H1577" s="365" t="str">
        <f>IFERROR(VLOOKUP(E:E,'Item Data Support Sheet'!A:O,2,0),"")</f>
        <v/>
      </c>
      <c r="I1577" s="501"/>
      <c r="J1577" s="501"/>
      <c r="K1577" s="438"/>
      <c r="L1577" s="499"/>
      <c r="M1577" s="366"/>
      <c r="N1577" s="367">
        <f t="shared" si="419"/>
        <v>0</v>
      </c>
      <c r="O1577" s="61"/>
      <c r="P1577" s="368"/>
      <c r="Q1577" s="368"/>
      <c r="R1577" s="494"/>
      <c r="S1577" s="493"/>
      <c r="T1577" s="494"/>
      <c r="U1577" s="493"/>
      <c r="V1577" s="502"/>
      <c r="W1577" s="453">
        <f t="shared" si="420"/>
        <v>0</v>
      </c>
      <c r="X1577" s="748" t="e">
        <f t="shared" si="421"/>
        <v>#DIV/0!</v>
      </c>
      <c r="Y1577" s="451">
        <f>IFERROR(VLOOKUP(E:E,'Item Data Support Sheet'!A:J,6,0),0)</f>
        <v>0</v>
      </c>
      <c r="Z1577" s="428">
        <f>IFERROR(VLOOKUP(E:E,'Item Data Support Sheet'!A:O,4,0),0)</f>
        <v>0</v>
      </c>
      <c r="AA1577" s="428">
        <f t="shared" si="422"/>
        <v>0</v>
      </c>
      <c r="AB1577" s="429" t="str">
        <f t="shared" si="423"/>
        <v xml:space="preserve"> </v>
      </c>
      <c r="AC1577" s="424">
        <f t="shared" si="424"/>
        <v>0</v>
      </c>
      <c r="AD1577" s="371">
        <f t="shared" si="425"/>
        <v>0</v>
      </c>
      <c r="AE1577" s="748" t="e">
        <f t="shared" si="426"/>
        <v>#DIV/0!</v>
      </c>
      <c r="AF1577" s="417">
        <f t="shared" si="427"/>
        <v>0</v>
      </c>
      <c r="AG1577" s="416">
        <f t="shared" si="428"/>
        <v>0</v>
      </c>
      <c r="AH1577" s="372" t="str">
        <f t="shared" si="429"/>
        <v xml:space="preserve"> </v>
      </c>
      <c r="AI1577" s="373">
        <f t="shared" si="430"/>
        <v>0</v>
      </c>
      <c r="AJ1577" s="418" t="e">
        <f>VLOOKUP(D1577,'Standard Cycle time'!C:D,2,0)</f>
        <v>#N/A</v>
      </c>
      <c r="AK1577" s="418" t="e">
        <f t="shared" si="431"/>
        <v>#DIV/0!</v>
      </c>
      <c r="AL1577" s="374" t="e">
        <f t="shared" si="432"/>
        <v>#N/A</v>
      </c>
      <c r="AM1577" s="372" t="e">
        <f t="shared" si="433"/>
        <v>#DIV/0!</v>
      </c>
      <c r="AN1577" s="799"/>
      <c r="AO1577" s="448"/>
      <c r="AP1577" s="440"/>
      <c r="AQ1577" s="440"/>
      <c r="AR1577" s="440"/>
      <c r="AS1577" s="440"/>
      <c r="AT1577" s="440"/>
      <c r="AU1577" s="440"/>
      <c r="AV1577" s="440"/>
      <c r="AW1577" s="440"/>
      <c r="AX1577" s="440"/>
      <c r="AY1577" s="440"/>
      <c r="AZ1577" s="440"/>
      <c r="BA1577" s="440"/>
      <c r="BB1577" s="440"/>
      <c r="BC1577" s="440"/>
      <c r="BD1577" s="440"/>
      <c r="BE1577" s="440"/>
      <c r="BF1577" s="440"/>
      <c r="BG1577" s="440"/>
      <c r="BH1577" s="440"/>
      <c r="BI1577" s="440"/>
      <c r="BJ1577" s="440"/>
      <c r="BK1577" s="440"/>
      <c r="BL1577" s="440"/>
      <c r="BM1577" s="440"/>
      <c r="BN1577" s="440"/>
      <c r="BO1577" s="440"/>
      <c r="BP1577" s="440"/>
      <c r="BQ1577" s="440"/>
      <c r="BR1577" s="415"/>
      <c r="BS1577" s="415"/>
      <c r="BT1577" s="935"/>
      <c r="BU1577" s="935"/>
      <c r="BV1577" s="935"/>
      <c r="BW1577" s="935"/>
      <c r="BX1577" s="935"/>
      <c r="BY1577" s="935"/>
      <c r="BZ1577" s="935"/>
      <c r="CA1577" s="935"/>
      <c r="CB1577" s="935"/>
      <c r="CC1577" s="935"/>
      <c r="CD1577" s="935"/>
      <c r="CE1577" s="935"/>
      <c r="CF1577" s="935"/>
      <c r="CG1577" s="935"/>
      <c r="CH1577" s="935"/>
      <c r="CI1577" s="935"/>
      <c r="CJ1577" s="935"/>
      <c r="CK1577" s="935"/>
      <c r="CL1577" s="935"/>
      <c r="CM1577" s="935"/>
      <c r="CN1577" s="935"/>
      <c r="CO1577" s="935"/>
      <c r="CP1577" s="935"/>
      <c r="CQ1577" s="935"/>
      <c r="CR1577" s="935"/>
      <c r="CS1577" s="935"/>
      <c r="CT1577" s="935"/>
      <c r="CU1577" s="935"/>
      <c r="CV1577" s="935"/>
    </row>
    <row r="1578" spans="2:100" s="441" customFormat="1">
      <c r="B1578" s="868"/>
      <c r="C1578" s="493"/>
      <c r="D1578" s="376"/>
      <c r="E1578" s="447"/>
      <c r="F1578" s="500"/>
      <c r="G1578" s="497"/>
      <c r="H1578" s="365" t="str">
        <f>IFERROR(VLOOKUP(E:E,'Item Data Support Sheet'!A:O,2,0),"")</f>
        <v/>
      </c>
      <c r="I1578" s="501"/>
      <c r="J1578" s="501"/>
      <c r="K1578" s="438"/>
      <c r="L1578" s="499"/>
      <c r="M1578" s="366"/>
      <c r="N1578" s="367">
        <f t="shared" si="419"/>
        <v>0</v>
      </c>
      <c r="O1578" s="61"/>
      <c r="P1578" s="368"/>
      <c r="Q1578" s="368"/>
      <c r="R1578" s="494"/>
      <c r="S1578" s="493"/>
      <c r="T1578" s="494"/>
      <c r="U1578" s="493"/>
      <c r="V1578" s="502"/>
      <c r="W1578" s="453">
        <f t="shared" si="420"/>
        <v>0</v>
      </c>
      <c r="X1578" s="748" t="e">
        <f t="shared" si="421"/>
        <v>#DIV/0!</v>
      </c>
      <c r="Y1578" s="451">
        <f>IFERROR(VLOOKUP(E:E,'Item Data Support Sheet'!A:J,6,0),0)</f>
        <v>0</v>
      </c>
      <c r="Z1578" s="428">
        <f>IFERROR(VLOOKUP(E:E,'Item Data Support Sheet'!A:O,4,0),0)</f>
        <v>0</v>
      </c>
      <c r="AA1578" s="428">
        <f t="shared" si="422"/>
        <v>0</v>
      </c>
      <c r="AB1578" s="429" t="str">
        <f t="shared" si="423"/>
        <v xml:space="preserve"> </v>
      </c>
      <c r="AC1578" s="424">
        <f t="shared" si="424"/>
        <v>0</v>
      </c>
      <c r="AD1578" s="371">
        <f t="shared" si="425"/>
        <v>0</v>
      </c>
      <c r="AE1578" s="748" t="e">
        <f t="shared" si="426"/>
        <v>#DIV/0!</v>
      </c>
      <c r="AF1578" s="417">
        <f t="shared" si="427"/>
        <v>0</v>
      </c>
      <c r="AG1578" s="416">
        <f t="shared" si="428"/>
        <v>0</v>
      </c>
      <c r="AH1578" s="372" t="str">
        <f t="shared" si="429"/>
        <v xml:space="preserve"> </v>
      </c>
      <c r="AI1578" s="373">
        <f t="shared" si="430"/>
        <v>0</v>
      </c>
      <c r="AJ1578" s="418" t="e">
        <f>VLOOKUP(D1578,'Standard Cycle time'!C:D,2,0)</f>
        <v>#N/A</v>
      </c>
      <c r="AK1578" s="418" t="e">
        <f t="shared" si="431"/>
        <v>#DIV/0!</v>
      </c>
      <c r="AL1578" s="374" t="e">
        <f t="shared" si="432"/>
        <v>#N/A</v>
      </c>
      <c r="AM1578" s="372" t="e">
        <f t="shared" si="433"/>
        <v>#DIV/0!</v>
      </c>
      <c r="AN1578" s="799"/>
      <c r="AO1578" s="448"/>
      <c r="AP1578" s="440"/>
      <c r="AQ1578" s="440"/>
      <c r="AR1578" s="440"/>
      <c r="AS1578" s="440"/>
      <c r="AT1578" s="440"/>
      <c r="AU1578" s="440"/>
      <c r="AV1578" s="440"/>
      <c r="AW1578" s="440"/>
      <c r="AX1578" s="440"/>
      <c r="AY1578" s="440"/>
      <c r="AZ1578" s="440"/>
      <c r="BA1578" s="440"/>
      <c r="BB1578" s="440"/>
      <c r="BC1578" s="440"/>
      <c r="BD1578" s="440"/>
      <c r="BE1578" s="440"/>
      <c r="BF1578" s="440"/>
      <c r="BG1578" s="440"/>
      <c r="BH1578" s="440"/>
      <c r="BI1578" s="440"/>
      <c r="BJ1578" s="440"/>
      <c r="BK1578" s="440"/>
      <c r="BL1578" s="440"/>
      <c r="BM1578" s="440"/>
      <c r="BN1578" s="440"/>
      <c r="BO1578" s="440"/>
      <c r="BP1578" s="440"/>
      <c r="BQ1578" s="440"/>
      <c r="BR1578" s="415"/>
      <c r="BS1578" s="415"/>
      <c r="BT1578" s="935"/>
      <c r="BU1578" s="935"/>
      <c r="BV1578" s="935"/>
      <c r="BW1578" s="935"/>
      <c r="BX1578" s="935"/>
      <c r="BY1578" s="935"/>
      <c r="BZ1578" s="935"/>
      <c r="CA1578" s="935"/>
      <c r="CB1578" s="935"/>
      <c r="CC1578" s="935"/>
      <c r="CD1578" s="935"/>
      <c r="CE1578" s="935"/>
      <c r="CF1578" s="935"/>
      <c r="CG1578" s="935"/>
      <c r="CH1578" s="935"/>
      <c r="CI1578" s="935"/>
      <c r="CJ1578" s="935"/>
      <c r="CK1578" s="935"/>
      <c r="CL1578" s="935"/>
      <c r="CM1578" s="935"/>
      <c r="CN1578" s="935"/>
      <c r="CO1578" s="935"/>
      <c r="CP1578" s="935"/>
      <c r="CQ1578" s="935"/>
      <c r="CR1578" s="935"/>
      <c r="CS1578" s="935"/>
      <c r="CT1578" s="935"/>
      <c r="CU1578" s="935"/>
      <c r="CV1578" s="935"/>
    </row>
    <row r="1579" spans="2:100" s="441" customFormat="1">
      <c r="B1579" s="868"/>
      <c r="C1579" s="493"/>
      <c r="D1579" s="376"/>
      <c r="E1579" s="447"/>
      <c r="F1579" s="500"/>
      <c r="G1579" s="497"/>
      <c r="H1579" s="365" t="str">
        <f>IFERROR(VLOOKUP(E:E,'Item Data Support Sheet'!A:O,2,0),"")</f>
        <v/>
      </c>
      <c r="I1579" s="501"/>
      <c r="J1579" s="501"/>
      <c r="K1579" s="438"/>
      <c r="L1579" s="499"/>
      <c r="M1579" s="366"/>
      <c r="N1579" s="367">
        <f t="shared" si="419"/>
        <v>0</v>
      </c>
      <c r="O1579" s="61"/>
      <c r="P1579" s="368"/>
      <c r="Q1579" s="368"/>
      <c r="R1579" s="494"/>
      <c r="S1579" s="493"/>
      <c r="T1579" s="494"/>
      <c r="U1579" s="493"/>
      <c r="V1579" s="502"/>
      <c r="W1579" s="453">
        <f t="shared" si="420"/>
        <v>0</v>
      </c>
      <c r="X1579" s="748" t="e">
        <f t="shared" si="421"/>
        <v>#DIV/0!</v>
      </c>
      <c r="Y1579" s="451">
        <f>IFERROR(VLOOKUP(E:E,'Item Data Support Sheet'!A:J,6,0),0)</f>
        <v>0</v>
      </c>
      <c r="Z1579" s="428">
        <f>IFERROR(VLOOKUP(E:E,'Item Data Support Sheet'!A:O,4,0),0)</f>
        <v>0</v>
      </c>
      <c r="AA1579" s="428">
        <f t="shared" si="422"/>
        <v>0</v>
      </c>
      <c r="AB1579" s="429" t="str">
        <f t="shared" si="423"/>
        <v xml:space="preserve"> </v>
      </c>
      <c r="AC1579" s="424">
        <f t="shared" si="424"/>
        <v>0</v>
      </c>
      <c r="AD1579" s="371">
        <f t="shared" si="425"/>
        <v>0</v>
      </c>
      <c r="AE1579" s="748" t="e">
        <f t="shared" si="426"/>
        <v>#DIV/0!</v>
      </c>
      <c r="AF1579" s="417">
        <f t="shared" si="427"/>
        <v>0</v>
      </c>
      <c r="AG1579" s="416">
        <f t="shared" si="428"/>
        <v>0</v>
      </c>
      <c r="AH1579" s="372" t="str">
        <f t="shared" si="429"/>
        <v xml:space="preserve"> </v>
      </c>
      <c r="AI1579" s="373">
        <f t="shared" si="430"/>
        <v>0</v>
      </c>
      <c r="AJ1579" s="418" t="e">
        <f>VLOOKUP(D1579,'Standard Cycle time'!C:D,2,0)</f>
        <v>#N/A</v>
      </c>
      <c r="AK1579" s="418" t="e">
        <f t="shared" si="431"/>
        <v>#DIV/0!</v>
      </c>
      <c r="AL1579" s="374" t="e">
        <f t="shared" si="432"/>
        <v>#N/A</v>
      </c>
      <c r="AM1579" s="372" t="e">
        <f t="shared" si="433"/>
        <v>#DIV/0!</v>
      </c>
      <c r="AN1579" s="799"/>
      <c r="AO1579" s="448"/>
      <c r="AP1579" s="440"/>
      <c r="AQ1579" s="440"/>
      <c r="AR1579" s="440"/>
      <c r="AS1579" s="440"/>
      <c r="AT1579" s="440"/>
      <c r="AU1579" s="440"/>
      <c r="AV1579" s="440"/>
      <c r="AW1579" s="440"/>
      <c r="AX1579" s="440"/>
      <c r="AY1579" s="440"/>
      <c r="AZ1579" s="440"/>
      <c r="BA1579" s="440"/>
      <c r="BB1579" s="440"/>
      <c r="BC1579" s="440"/>
      <c r="BD1579" s="440"/>
      <c r="BE1579" s="440"/>
      <c r="BF1579" s="440"/>
      <c r="BG1579" s="440"/>
      <c r="BH1579" s="440"/>
      <c r="BI1579" s="440"/>
      <c r="BJ1579" s="440"/>
      <c r="BK1579" s="440"/>
      <c r="BL1579" s="440"/>
      <c r="BM1579" s="440"/>
      <c r="BN1579" s="440"/>
      <c r="BO1579" s="440"/>
      <c r="BP1579" s="440"/>
      <c r="BQ1579" s="440"/>
      <c r="BR1579" s="415"/>
      <c r="BS1579" s="415"/>
      <c r="BT1579" s="935"/>
      <c r="BU1579" s="935"/>
      <c r="BV1579" s="935"/>
      <c r="BW1579" s="935"/>
      <c r="BX1579" s="935"/>
      <c r="BY1579" s="935"/>
      <c r="BZ1579" s="935"/>
      <c r="CA1579" s="935"/>
      <c r="CB1579" s="935"/>
      <c r="CC1579" s="935"/>
      <c r="CD1579" s="935"/>
      <c r="CE1579" s="935"/>
      <c r="CF1579" s="935"/>
      <c r="CG1579" s="935"/>
      <c r="CH1579" s="935"/>
      <c r="CI1579" s="935"/>
      <c r="CJ1579" s="935"/>
      <c r="CK1579" s="935"/>
      <c r="CL1579" s="935"/>
      <c r="CM1579" s="935"/>
      <c r="CN1579" s="935"/>
      <c r="CO1579" s="935"/>
      <c r="CP1579" s="935"/>
      <c r="CQ1579" s="935"/>
      <c r="CR1579" s="935"/>
      <c r="CS1579" s="935"/>
      <c r="CT1579" s="935"/>
      <c r="CU1579" s="935"/>
      <c r="CV1579" s="935"/>
    </row>
    <row r="1580" spans="2:100" s="441" customFormat="1">
      <c r="B1580" s="868"/>
      <c r="C1580" s="493"/>
      <c r="D1580" s="376"/>
      <c r="E1580" s="447"/>
      <c r="F1580" s="500"/>
      <c r="G1580" s="497"/>
      <c r="H1580" s="365" t="str">
        <f>IFERROR(VLOOKUP(E:E,'Item Data Support Sheet'!A:O,2,0),"")</f>
        <v/>
      </c>
      <c r="I1580" s="501"/>
      <c r="J1580" s="501"/>
      <c r="K1580" s="438"/>
      <c r="L1580" s="499"/>
      <c r="M1580" s="366"/>
      <c r="N1580" s="367">
        <f t="shared" si="419"/>
        <v>0</v>
      </c>
      <c r="O1580" s="61"/>
      <c r="P1580" s="368"/>
      <c r="Q1580" s="368"/>
      <c r="R1580" s="494"/>
      <c r="S1580" s="493"/>
      <c r="T1580" s="494"/>
      <c r="U1580" s="493"/>
      <c r="V1580" s="502"/>
      <c r="W1580" s="453">
        <f t="shared" si="420"/>
        <v>0</v>
      </c>
      <c r="X1580" s="748" t="e">
        <f t="shared" si="421"/>
        <v>#DIV/0!</v>
      </c>
      <c r="Y1580" s="451">
        <f>IFERROR(VLOOKUP(E:E,'Item Data Support Sheet'!A:J,6,0),0)</f>
        <v>0</v>
      </c>
      <c r="Z1580" s="428">
        <f>IFERROR(VLOOKUP(E:E,'Item Data Support Sheet'!A:O,4,0),0)</f>
        <v>0</v>
      </c>
      <c r="AA1580" s="428">
        <f t="shared" si="422"/>
        <v>0</v>
      </c>
      <c r="AB1580" s="429" t="str">
        <f t="shared" si="423"/>
        <v xml:space="preserve"> </v>
      </c>
      <c r="AC1580" s="424">
        <f t="shared" si="424"/>
        <v>0</v>
      </c>
      <c r="AD1580" s="371">
        <f t="shared" si="425"/>
        <v>0</v>
      </c>
      <c r="AE1580" s="748" t="e">
        <f t="shared" si="426"/>
        <v>#DIV/0!</v>
      </c>
      <c r="AF1580" s="417">
        <f t="shared" si="427"/>
        <v>0</v>
      </c>
      <c r="AG1580" s="416">
        <f t="shared" si="428"/>
        <v>0</v>
      </c>
      <c r="AH1580" s="372" t="str">
        <f t="shared" si="429"/>
        <v xml:space="preserve"> </v>
      </c>
      <c r="AI1580" s="373">
        <f t="shared" si="430"/>
        <v>0</v>
      </c>
      <c r="AJ1580" s="418" t="e">
        <f>VLOOKUP(D1580,'Standard Cycle time'!C:D,2,0)</f>
        <v>#N/A</v>
      </c>
      <c r="AK1580" s="418" t="e">
        <f t="shared" si="431"/>
        <v>#DIV/0!</v>
      </c>
      <c r="AL1580" s="374" t="e">
        <f t="shared" si="432"/>
        <v>#N/A</v>
      </c>
      <c r="AM1580" s="372" t="e">
        <f t="shared" si="433"/>
        <v>#DIV/0!</v>
      </c>
      <c r="AN1580" s="799"/>
      <c r="AO1580" s="448"/>
      <c r="AP1580" s="440"/>
      <c r="AQ1580" s="440"/>
      <c r="AR1580" s="440"/>
      <c r="AS1580" s="440"/>
      <c r="AT1580" s="440"/>
      <c r="AU1580" s="440"/>
      <c r="AV1580" s="440"/>
      <c r="AW1580" s="440"/>
      <c r="AX1580" s="440"/>
      <c r="AY1580" s="440"/>
      <c r="AZ1580" s="440"/>
      <c r="BA1580" s="440"/>
      <c r="BB1580" s="440"/>
      <c r="BC1580" s="440"/>
      <c r="BD1580" s="440"/>
      <c r="BE1580" s="440"/>
      <c r="BF1580" s="440"/>
      <c r="BG1580" s="440"/>
      <c r="BH1580" s="440"/>
      <c r="BI1580" s="440"/>
      <c r="BJ1580" s="440"/>
      <c r="BK1580" s="440"/>
      <c r="BL1580" s="440"/>
      <c r="BM1580" s="440"/>
      <c r="BN1580" s="440"/>
      <c r="BO1580" s="440"/>
      <c r="BP1580" s="440"/>
      <c r="BQ1580" s="440"/>
      <c r="BR1580" s="415"/>
      <c r="BS1580" s="415"/>
      <c r="BT1580" s="935"/>
      <c r="BU1580" s="935"/>
      <c r="BV1580" s="935"/>
      <c r="BW1580" s="935"/>
      <c r="BX1580" s="935"/>
      <c r="BY1580" s="935"/>
      <c r="BZ1580" s="935"/>
      <c r="CA1580" s="935"/>
      <c r="CB1580" s="935"/>
      <c r="CC1580" s="935"/>
      <c r="CD1580" s="935"/>
      <c r="CE1580" s="935"/>
      <c r="CF1580" s="935"/>
      <c r="CG1580" s="935"/>
      <c r="CH1580" s="935"/>
      <c r="CI1580" s="935"/>
      <c r="CJ1580" s="935"/>
      <c r="CK1580" s="935"/>
      <c r="CL1580" s="935"/>
      <c r="CM1580" s="935"/>
      <c r="CN1580" s="935"/>
      <c r="CO1580" s="935"/>
      <c r="CP1580" s="935"/>
      <c r="CQ1580" s="935"/>
      <c r="CR1580" s="935"/>
      <c r="CS1580" s="935"/>
      <c r="CT1580" s="935"/>
      <c r="CU1580" s="935"/>
      <c r="CV1580" s="935"/>
    </row>
    <row r="1581" spans="2:100" s="441" customFormat="1">
      <c r="B1581" s="868"/>
      <c r="C1581" s="493"/>
      <c r="D1581" s="376"/>
      <c r="E1581" s="447"/>
      <c r="F1581" s="500"/>
      <c r="G1581" s="497"/>
      <c r="H1581" s="365" t="str">
        <f>IFERROR(VLOOKUP(E:E,'Item Data Support Sheet'!A:O,2,0),"")</f>
        <v/>
      </c>
      <c r="I1581" s="501"/>
      <c r="J1581" s="501"/>
      <c r="K1581" s="438"/>
      <c r="L1581" s="499"/>
      <c r="M1581" s="366"/>
      <c r="N1581" s="367">
        <f t="shared" si="419"/>
        <v>0</v>
      </c>
      <c r="O1581" s="61"/>
      <c r="P1581" s="368"/>
      <c r="Q1581" s="368"/>
      <c r="R1581" s="494"/>
      <c r="S1581" s="493"/>
      <c r="T1581" s="494"/>
      <c r="U1581" s="493"/>
      <c r="V1581" s="502"/>
      <c r="W1581" s="453">
        <f t="shared" si="420"/>
        <v>0</v>
      </c>
      <c r="X1581" s="748" t="e">
        <f t="shared" si="421"/>
        <v>#DIV/0!</v>
      </c>
      <c r="Y1581" s="451">
        <f>IFERROR(VLOOKUP(E:E,'Item Data Support Sheet'!A:J,6,0),0)</f>
        <v>0</v>
      </c>
      <c r="Z1581" s="428">
        <f>IFERROR(VLOOKUP(E:E,'Item Data Support Sheet'!A:O,4,0),0)</f>
        <v>0</v>
      </c>
      <c r="AA1581" s="428">
        <f t="shared" si="422"/>
        <v>0</v>
      </c>
      <c r="AB1581" s="429" t="str">
        <f t="shared" si="423"/>
        <v xml:space="preserve"> </v>
      </c>
      <c r="AC1581" s="424">
        <f t="shared" si="424"/>
        <v>0</v>
      </c>
      <c r="AD1581" s="371">
        <f t="shared" si="425"/>
        <v>0</v>
      </c>
      <c r="AE1581" s="748" t="e">
        <f t="shared" si="426"/>
        <v>#DIV/0!</v>
      </c>
      <c r="AF1581" s="417">
        <f t="shared" si="427"/>
        <v>0</v>
      </c>
      <c r="AG1581" s="416">
        <f t="shared" si="428"/>
        <v>0</v>
      </c>
      <c r="AH1581" s="372" t="str">
        <f t="shared" si="429"/>
        <v xml:space="preserve"> </v>
      </c>
      <c r="AI1581" s="373">
        <f t="shared" si="430"/>
        <v>0</v>
      </c>
      <c r="AJ1581" s="418" t="e">
        <f>VLOOKUP(D1581,'Standard Cycle time'!C:D,2,0)</f>
        <v>#N/A</v>
      </c>
      <c r="AK1581" s="418" t="e">
        <f t="shared" si="431"/>
        <v>#DIV/0!</v>
      </c>
      <c r="AL1581" s="374" t="e">
        <f t="shared" si="432"/>
        <v>#N/A</v>
      </c>
      <c r="AM1581" s="372" t="e">
        <f t="shared" si="433"/>
        <v>#DIV/0!</v>
      </c>
      <c r="AN1581" s="799"/>
      <c r="AO1581" s="448"/>
      <c r="AP1581" s="440"/>
      <c r="AQ1581" s="440"/>
      <c r="AR1581" s="440"/>
      <c r="AS1581" s="440"/>
      <c r="AT1581" s="440"/>
      <c r="AU1581" s="440"/>
      <c r="AV1581" s="440"/>
      <c r="AW1581" s="440"/>
      <c r="AX1581" s="440"/>
      <c r="AY1581" s="440"/>
      <c r="AZ1581" s="440"/>
      <c r="BA1581" s="440"/>
      <c r="BB1581" s="440"/>
      <c r="BC1581" s="440"/>
      <c r="BD1581" s="440"/>
      <c r="BE1581" s="440"/>
      <c r="BF1581" s="440"/>
      <c r="BG1581" s="440"/>
      <c r="BH1581" s="440"/>
      <c r="BI1581" s="440"/>
      <c r="BJ1581" s="440"/>
      <c r="BK1581" s="440"/>
      <c r="BL1581" s="440"/>
      <c r="BM1581" s="440"/>
      <c r="BN1581" s="440"/>
      <c r="BO1581" s="440"/>
      <c r="BP1581" s="440"/>
      <c r="BQ1581" s="440"/>
      <c r="BR1581" s="415"/>
      <c r="BS1581" s="415"/>
      <c r="BT1581" s="935"/>
      <c r="BU1581" s="935"/>
      <c r="BV1581" s="935"/>
      <c r="BW1581" s="935"/>
      <c r="BX1581" s="935"/>
      <c r="BY1581" s="935"/>
      <c r="BZ1581" s="935"/>
      <c r="CA1581" s="935"/>
      <c r="CB1581" s="935"/>
      <c r="CC1581" s="935"/>
      <c r="CD1581" s="935"/>
      <c r="CE1581" s="935"/>
      <c r="CF1581" s="935"/>
      <c r="CG1581" s="935"/>
      <c r="CH1581" s="935"/>
      <c r="CI1581" s="935"/>
      <c r="CJ1581" s="935"/>
      <c r="CK1581" s="935"/>
      <c r="CL1581" s="935"/>
      <c r="CM1581" s="935"/>
      <c r="CN1581" s="935"/>
      <c r="CO1581" s="935"/>
      <c r="CP1581" s="935"/>
      <c r="CQ1581" s="935"/>
      <c r="CR1581" s="935"/>
      <c r="CS1581" s="935"/>
      <c r="CT1581" s="935"/>
      <c r="CU1581" s="935"/>
      <c r="CV1581" s="935"/>
    </row>
    <row r="1582" spans="2:100" s="441" customFormat="1">
      <c r="B1582" s="868"/>
      <c r="C1582" s="493"/>
      <c r="D1582" s="376"/>
      <c r="E1582" s="447"/>
      <c r="F1582" s="500"/>
      <c r="G1582" s="497"/>
      <c r="H1582" s="365" t="str">
        <f>IFERROR(VLOOKUP(E:E,'Item Data Support Sheet'!A:O,2,0),"")</f>
        <v/>
      </c>
      <c r="I1582" s="501"/>
      <c r="J1582" s="501"/>
      <c r="K1582" s="438"/>
      <c r="L1582" s="499"/>
      <c r="M1582" s="366"/>
      <c r="N1582" s="367">
        <f t="shared" si="419"/>
        <v>0</v>
      </c>
      <c r="O1582" s="61"/>
      <c r="P1582" s="368"/>
      <c r="Q1582" s="368"/>
      <c r="R1582" s="494"/>
      <c r="S1582" s="493"/>
      <c r="T1582" s="494"/>
      <c r="U1582" s="493"/>
      <c r="V1582" s="502"/>
      <c r="W1582" s="453">
        <f t="shared" si="420"/>
        <v>0</v>
      </c>
      <c r="X1582" s="748" t="e">
        <f t="shared" si="421"/>
        <v>#DIV/0!</v>
      </c>
      <c r="Y1582" s="451">
        <f>IFERROR(VLOOKUP(E:E,'Item Data Support Sheet'!A:J,6,0),0)</f>
        <v>0</v>
      </c>
      <c r="Z1582" s="428">
        <f>IFERROR(VLOOKUP(E:E,'Item Data Support Sheet'!A:O,4,0),0)</f>
        <v>0</v>
      </c>
      <c r="AA1582" s="428">
        <f t="shared" si="422"/>
        <v>0</v>
      </c>
      <c r="AB1582" s="429" t="str">
        <f t="shared" si="423"/>
        <v xml:space="preserve"> </v>
      </c>
      <c r="AC1582" s="424">
        <f t="shared" si="424"/>
        <v>0</v>
      </c>
      <c r="AD1582" s="371">
        <f t="shared" si="425"/>
        <v>0</v>
      </c>
      <c r="AE1582" s="748" t="e">
        <f t="shared" si="426"/>
        <v>#DIV/0!</v>
      </c>
      <c r="AF1582" s="417">
        <f t="shared" si="427"/>
        <v>0</v>
      </c>
      <c r="AG1582" s="416">
        <f t="shared" si="428"/>
        <v>0</v>
      </c>
      <c r="AH1582" s="372" t="str">
        <f t="shared" si="429"/>
        <v xml:space="preserve"> </v>
      </c>
      <c r="AI1582" s="373">
        <f t="shared" si="430"/>
        <v>0</v>
      </c>
      <c r="AJ1582" s="418" t="e">
        <f>VLOOKUP(D1582,'Standard Cycle time'!C:D,2,0)</f>
        <v>#N/A</v>
      </c>
      <c r="AK1582" s="418" t="e">
        <f t="shared" si="431"/>
        <v>#DIV/0!</v>
      </c>
      <c r="AL1582" s="374" t="e">
        <f t="shared" si="432"/>
        <v>#N/A</v>
      </c>
      <c r="AM1582" s="372" t="e">
        <f t="shared" si="433"/>
        <v>#DIV/0!</v>
      </c>
      <c r="AN1582" s="799"/>
      <c r="AO1582" s="448"/>
      <c r="AP1582" s="440"/>
      <c r="AQ1582" s="440"/>
      <c r="AR1582" s="440"/>
      <c r="AS1582" s="440"/>
      <c r="AT1582" s="440"/>
      <c r="AU1582" s="440"/>
      <c r="AV1582" s="440"/>
      <c r="AW1582" s="440"/>
      <c r="AX1582" s="440"/>
      <c r="AY1582" s="440"/>
      <c r="AZ1582" s="440"/>
      <c r="BA1582" s="440"/>
      <c r="BB1582" s="440"/>
      <c r="BC1582" s="440"/>
      <c r="BD1582" s="440"/>
      <c r="BE1582" s="440"/>
      <c r="BF1582" s="440"/>
      <c r="BG1582" s="440"/>
      <c r="BH1582" s="440"/>
      <c r="BI1582" s="440"/>
      <c r="BJ1582" s="440"/>
      <c r="BK1582" s="440"/>
      <c r="BL1582" s="440"/>
      <c r="BM1582" s="440"/>
      <c r="BN1582" s="440"/>
      <c r="BO1582" s="440"/>
      <c r="BP1582" s="440"/>
      <c r="BQ1582" s="440"/>
      <c r="BR1582" s="415"/>
      <c r="BS1582" s="415"/>
      <c r="BT1582" s="935"/>
      <c r="BU1582" s="935"/>
      <c r="BV1582" s="935"/>
      <c r="BW1582" s="935"/>
      <c r="BX1582" s="935"/>
      <c r="BY1582" s="935"/>
      <c r="BZ1582" s="935"/>
      <c r="CA1582" s="935"/>
      <c r="CB1582" s="935"/>
      <c r="CC1582" s="935"/>
      <c r="CD1582" s="935"/>
      <c r="CE1582" s="935"/>
      <c r="CF1582" s="935"/>
      <c r="CG1582" s="935"/>
      <c r="CH1582" s="935"/>
      <c r="CI1582" s="935"/>
      <c r="CJ1582" s="935"/>
      <c r="CK1582" s="935"/>
      <c r="CL1582" s="935"/>
      <c r="CM1582" s="935"/>
      <c r="CN1582" s="935"/>
      <c r="CO1582" s="935"/>
      <c r="CP1582" s="935"/>
      <c r="CQ1582" s="935"/>
      <c r="CR1582" s="935"/>
      <c r="CS1582" s="935"/>
      <c r="CT1582" s="935"/>
      <c r="CU1582" s="935"/>
      <c r="CV1582" s="935"/>
    </row>
    <row r="1583" spans="2:100" s="441" customFormat="1">
      <c r="B1583" s="868"/>
      <c r="C1583" s="493"/>
      <c r="D1583" s="376"/>
      <c r="E1583" s="447"/>
      <c r="F1583" s="500"/>
      <c r="G1583" s="497"/>
      <c r="H1583" s="365" t="str">
        <f>IFERROR(VLOOKUP(E:E,'Item Data Support Sheet'!A:O,2,0),"")</f>
        <v/>
      </c>
      <c r="I1583" s="501"/>
      <c r="J1583" s="501"/>
      <c r="K1583" s="438"/>
      <c r="L1583" s="499"/>
      <c r="M1583" s="366"/>
      <c r="N1583" s="367">
        <f t="shared" si="419"/>
        <v>0</v>
      </c>
      <c r="O1583" s="61"/>
      <c r="P1583" s="368"/>
      <c r="Q1583" s="368"/>
      <c r="R1583" s="494"/>
      <c r="S1583" s="493"/>
      <c r="T1583" s="494"/>
      <c r="U1583" s="493"/>
      <c r="V1583" s="502"/>
      <c r="W1583" s="453">
        <f t="shared" si="420"/>
        <v>0</v>
      </c>
      <c r="X1583" s="748" t="e">
        <f t="shared" si="421"/>
        <v>#DIV/0!</v>
      </c>
      <c r="Y1583" s="451">
        <f>IFERROR(VLOOKUP(E:E,'Item Data Support Sheet'!A:J,6,0),0)</f>
        <v>0</v>
      </c>
      <c r="Z1583" s="428">
        <f>IFERROR(VLOOKUP(E:E,'Item Data Support Sheet'!A:O,4,0),0)</f>
        <v>0</v>
      </c>
      <c r="AA1583" s="428">
        <f t="shared" si="422"/>
        <v>0</v>
      </c>
      <c r="AB1583" s="429" t="str">
        <f t="shared" si="423"/>
        <v xml:space="preserve"> </v>
      </c>
      <c r="AC1583" s="424">
        <f t="shared" si="424"/>
        <v>0</v>
      </c>
      <c r="AD1583" s="371">
        <f t="shared" si="425"/>
        <v>0</v>
      </c>
      <c r="AE1583" s="748" t="e">
        <f t="shared" si="426"/>
        <v>#DIV/0!</v>
      </c>
      <c r="AF1583" s="417">
        <f t="shared" si="427"/>
        <v>0</v>
      </c>
      <c r="AG1583" s="416">
        <f t="shared" si="428"/>
        <v>0</v>
      </c>
      <c r="AH1583" s="372" t="str">
        <f t="shared" si="429"/>
        <v xml:space="preserve"> </v>
      </c>
      <c r="AI1583" s="373">
        <f t="shared" si="430"/>
        <v>0</v>
      </c>
      <c r="AJ1583" s="418" t="e">
        <f>VLOOKUP(D1583,'Standard Cycle time'!C:D,2,0)</f>
        <v>#N/A</v>
      </c>
      <c r="AK1583" s="418" t="e">
        <f t="shared" si="431"/>
        <v>#DIV/0!</v>
      </c>
      <c r="AL1583" s="374" t="e">
        <f t="shared" si="432"/>
        <v>#N/A</v>
      </c>
      <c r="AM1583" s="372" t="e">
        <f t="shared" si="433"/>
        <v>#DIV/0!</v>
      </c>
      <c r="AN1583" s="799"/>
      <c r="AO1583" s="448"/>
      <c r="AP1583" s="440"/>
      <c r="AQ1583" s="440"/>
      <c r="AR1583" s="440"/>
      <c r="AS1583" s="440"/>
      <c r="AT1583" s="440"/>
      <c r="AU1583" s="440"/>
      <c r="AV1583" s="440"/>
      <c r="AW1583" s="440"/>
      <c r="AX1583" s="440"/>
      <c r="AY1583" s="440"/>
      <c r="AZ1583" s="440"/>
      <c r="BA1583" s="440"/>
      <c r="BB1583" s="440"/>
      <c r="BC1583" s="440"/>
      <c r="BD1583" s="440"/>
      <c r="BE1583" s="440"/>
      <c r="BF1583" s="440"/>
      <c r="BG1583" s="440"/>
      <c r="BH1583" s="440"/>
      <c r="BI1583" s="440"/>
      <c r="BJ1583" s="440"/>
      <c r="BK1583" s="440"/>
      <c r="BL1583" s="440"/>
      <c r="BM1583" s="440"/>
      <c r="BN1583" s="440"/>
      <c r="BO1583" s="440"/>
      <c r="BP1583" s="440"/>
      <c r="BQ1583" s="440"/>
      <c r="BR1583" s="415"/>
      <c r="BS1583" s="415"/>
      <c r="BT1583" s="935"/>
      <c r="BU1583" s="935"/>
      <c r="BV1583" s="935"/>
      <c r="BW1583" s="935"/>
      <c r="BX1583" s="935"/>
      <c r="BY1583" s="935"/>
      <c r="BZ1583" s="935"/>
      <c r="CA1583" s="935"/>
      <c r="CB1583" s="935"/>
      <c r="CC1583" s="935"/>
      <c r="CD1583" s="935"/>
      <c r="CE1583" s="935"/>
      <c r="CF1583" s="935"/>
      <c r="CG1583" s="935"/>
      <c r="CH1583" s="935"/>
      <c r="CI1583" s="935"/>
      <c r="CJ1583" s="935"/>
      <c r="CK1583" s="935"/>
      <c r="CL1583" s="935"/>
      <c r="CM1583" s="935"/>
      <c r="CN1583" s="935"/>
      <c r="CO1583" s="935"/>
      <c r="CP1583" s="935"/>
      <c r="CQ1583" s="935"/>
      <c r="CR1583" s="935"/>
      <c r="CS1583" s="935"/>
      <c r="CT1583" s="935"/>
      <c r="CU1583" s="935"/>
      <c r="CV1583" s="935"/>
    </row>
    <row r="1584" spans="2:100" s="441" customFormat="1">
      <c r="B1584" s="868"/>
      <c r="C1584" s="493"/>
      <c r="D1584" s="376"/>
      <c r="E1584" s="447"/>
      <c r="F1584" s="500"/>
      <c r="G1584" s="497"/>
      <c r="H1584" s="365" t="str">
        <f>IFERROR(VLOOKUP(E:E,'Item Data Support Sheet'!A:O,2,0),"")</f>
        <v/>
      </c>
      <c r="I1584" s="501"/>
      <c r="J1584" s="501"/>
      <c r="K1584" s="438"/>
      <c r="L1584" s="499"/>
      <c r="M1584" s="366"/>
      <c r="N1584" s="367">
        <f t="shared" si="419"/>
        <v>0</v>
      </c>
      <c r="O1584" s="61"/>
      <c r="P1584" s="368"/>
      <c r="Q1584" s="368"/>
      <c r="R1584" s="494"/>
      <c r="S1584" s="493"/>
      <c r="T1584" s="494"/>
      <c r="U1584" s="493"/>
      <c r="V1584" s="502"/>
      <c r="W1584" s="453">
        <f t="shared" si="420"/>
        <v>0</v>
      </c>
      <c r="X1584" s="748" t="e">
        <f t="shared" si="421"/>
        <v>#DIV/0!</v>
      </c>
      <c r="Y1584" s="451">
        <f>IFERROR(VLOOKUP(E:E,'Item Data Support Sheet'!A:J,6,0),0)</f>
        <v>0</v>
      </c>
      <c r="Z1584" s="428">
        <f>IFERROR(VLOOKUP(E:E,'Item Data Support Sheet'!A:O,4,0),0)</f>
        <v>0</v>
      </c>
      <c r="AA1584" s="428">
        <f t="shared" si="422"/>
        <v>0</v>
      </c>
      <c r="AB1584" s="429" t="str">
        <f t="shared" si="423"/>
        <v xml:space="preserve"> </v>
      </c>
      <c r="AC1584" s="424">
        <f t="shared" si="424"/>
        <v>0</v>
      </c>
      <c r="AD1584" s="371">
        <f t="shared" si="425"/>
        <v>0</v>
      </c>
      <c r="AE1584" s="748" t="e">
        <f t="shared" si="426"/>
        <v>#DIV/0!</v>
      </c>
      <c r="AF1584" s="417">
        <f t="shared" si="427"/>
        <v>0</v>
      </c>
      <c r="AG1584" s="416">
        <f t="shared" si="428"/>
        <v>0</v>
      </c>
      <c r="AH1584" s="372" t="str">
        <f t="shared" si="429"/>
        <v xml:space="preserve"> </v>
      </c>
      <c r="AI1584" s="373">
        <f t="shared" si="430"/>
        <v>0</v>
      </c>
      <c r="AJ1584" s="418" t="e">
        <f>VLOOKUP(D1584,'Standard Cycle time'!C:D,2,0)</f>
        <v>#N/A</v>
      </c>
      <c r="AK1584" s="418" t="e">
        <f t="shared" si="431"/>
        <v>#DIV/0!</v>
      </c>
      <c r="AL1584" s="374" t="e">
        <f t="shared" si="432"/>
        <v>#N/A</v>
      </c>
      <c r="AM1584" s="372" t="e">
        <f t="shared" si="433"/>
        <v>#DIV/0!</v>
      </c>
      <c r="AN1584" s="799"/>
      <c r="AO1584" s="448"/>
      <c r="AP1584" s="440"/>
      <c r="AQ1584" s="440"/>
      <c r="AR1584" s="440"/>
      <c r="AS1584" s="440"/>
      <c r="AT1584" s="440"/>
      <c r="AU1584" s="440"/>
      <c r="AV1584" s="440"/>
      <c r="AW1584" s="440"/>
      <c r="AX1584" s="440"/>
      <c r="AY1584" s="440"/>
      <c r="AZ1584" s="440"/>
      <c r="BA1584" s="440"/>
      <c r="BB1584" s="440"/>
      <c r="BC1584" s="440"/>
      <c r="BD1584" s="440"/>
      <c r="BE1584" s="440"/>
      <c r="BF1584" s="440"/>
      <c r="BG1584" s="440"/>
      <c r="BH1584" s="440"/>
      <c r="BI1584" s="440"/>
      <c r="BJ1584" s="440"/>
      <c r="BK1584" s="440"/>
      <c r="BL1584" s="440"/>
      <c r="BM1584" s="440"/>
      <c r="BN1584" s="440"/>
      <c r="BO1584" s="440"/>
      <c r="BP1584" s="440"/>
      <c r="BQ1584" s="440"/>
      <c r="BR1584" s="415"/>
      <c r="BS1584" s="415"/>
      <c r="BT1584" s="935"/>
      <c r="BU1584" s="935"/>
      <c r="BV1584" s="935"/>
      <c r="BW1584" s="935"/>
      <c r="BX1584" s="935"/>
      <c r="BY1584" s="935"/>
      <c r="BZ1584" s="935"/>
      <c r="CA1584" s="935"/>
      <c r="CB1584" s="935"/>
      <c r="CC1584" s="935"/>
      <c r="CD1584" s="935"/>
      <c r="CE1584" s="935"/>
      <c r="CF1584" s="935"/>
      <c r="CG1584" s="935"/>
      <c r="CH1584" s="935"/>
      <c r="CI1584" s="935"/>
      <c r="CJ1584" s="935"/>
      <c r="CK1584" s="935"/>
      <c r="CL1584" s="935"/>
      <c r="CM1584" s="935"/>
      <c r="CN1584" s="935"/>
      <c r="CO1584" s="935"/>
      <c r="CP1584" s="935"/>
      <c r="CQ1584" s="935"/>
      <c r="CR1584" s="935"/>
      <c r="CS1584" s="935"/>
      <c r="CT1584" s="935"/>
      <c r="CU1584" s="935"/>
      <c r="CV1584" s="935"/>
    </row>
    <row r="1585" spans="2:100" s="441" customFormat="1">
      <c r="B1585" s="868"/>
      <c r="C1585" s="493"/>
      <c r="D1585" s="376"/>
      <c r="E1585" s="447"/>
      <c r="F1585" s="500"/>
      <c r="G1585" s="497"/>
      <c r="H1585" s="365" t="str">
        <f>IFERROR(VLOOKUP(E:E,'Item Data Support Sheet'!A:O,2,0),"")</f>
        <v/>
      </c>
      <c r="I1585" s="501"/>
      <c r="J1585" s="501"/>
      <c r="K1585" s="438"/>
      <c r="L1585" s="499"/>
      <c r="M1585" s="366"/>
      <c r="N1585" s="367">
        <f t="shared" si="419"/>
        <v>0</v>
      </c>
      <c r="O1585" s="61"/>
      <c r="P1585" s="368"/>
      <c r="Q1585" s="368"/>
      <c r="R1585" s="494"/>
      <c r="S1585" s="493"/>
      <c r="T1585" s="494"/>
      <c r="U1585" s="493"/>
      <c r="V1585" s="502"/>
      <c r="W1585" s="453">
        <f t="shared" si="420"/>
        <v>0</v>
      </c>
      <c r="X1585" s="748" t="e">
        <f t="shared" si="421"/>
        <v>#DIV/0!</v>
      </c>
      <c r="Y1585" s="451">
        <f>IFERROR(VLOOKUP(E:E,'Item Data Support Sheet'!A:J,6,0),0)</f>
        <v>0</v>
      </c>
      <c r="Z1585" s="428">
        <f>IFERROR(VLOOKUP(E:E,'Item Data Support Sheet'!A:O,4,0),0)</f>
        <v>0</v>
      </c>
      <c r="AA1585" s="428">
        <f t="shared" si="422"/>
        <v>0</v>
      </c>
      <c r="AB1585" s="429" t="str">
        <f t="shared" si="423"/>
        <v xml:space="preserve"> </v>
      </c>
      <c r="AC1585" s="424">
        <f t="shared" si="424"/>
        <v>0</v>
      </c>
      <c r="AD1585" s="371">
        <f t="shared" si="425"/>
        <v>0</v>
      </c>
      <c r="AE1585" s="748" t="e">
        <f t="shared" si="426"/>
        <v>#DIV/0!</v>
      </c>
      <c r="AF1585" s="417">
        <f t="shared" si="427"/>
        <v>0</v>
      </c>
      <c r="AG1585" s="416">
        <f t="shared" si="428"/>
        <v>0</v>
      </c>
      <c r="AH1585" s="372" t="str">
        <f t="shared" si="429"/>
        <v xml:space="preserve"> </v>
      </c>
      <c r="AI1585" s="373">
        <f t="shared" si="430"/>
        <v>0</v>
      </c>
      <c r="AJ1585" s="418" t="e">
        <f>VLOOKUP(D1585,'Standard Cycle time'!C:D,2,0)</f>
        <v>#N/A</v>
      </c>
      <c r="AK1585" s="418" t="e">
        <f t="shared" si="431"/>
        <v>#DIV/0!</v>
      </c>
      <c r="AL1585" s="374" t="e">
        <f t="shared" si="432"/>
        <v>#N/A</v>
      </c>
      <c r="AM1585" s="372" t="e">
        <f t="shared" si="433"/>
        <v>#DIV/0!</v>
      </c>
      <c r="AN1585" s="799"/>
      <c r="AO1585" s="448"/>
      <c r="AP1585" s="440"/>
      <c r="AQ1585" s="440"/>
      <c r="AR1585" s="440"/>
      <c r="AS1585" s="440"/>
      <c r="AT1585" s="440"/>
      <c r="AU1585" s="440"/>
      <c r="AV1585" s="440"/>
      <c r="AW1585" s="440"/>
      <c r="AX1585" s="440"/>
      <c r="AY1585" s="440"/>
      <c r="AZ1585" s="440"/>
      <c r="BA1585" s="440"/>
      <c r="BB1585" s="440"/>
      <c r="BC1585" s="440"/>
      <c r="BD1585" s="440"/>
      <c r="BE1585" s="440"/>
      <c r="BF1585" s="440"/>
      <c r="BG1585" s="440"/>
      <c r="BH1585" s="440"/>
      <c r="BI1585" s="440"/>
      <c r="BJ1585" s="440"/>
      <c r="BK1585" s="440"/>
      <c r="BL1585" s="440"/>
      <c r="BM1585" s="440"/>
      <c r="BN1585" s="440"/>
      <c r="BO1585" s="440"/>
      <c r="BP1585" s="440"/>
      <c r="BQ1585" s="440"/>
      <c r="BR1585" s="415"/>
      <c r="BS1585" s="415"/>
      <c r="BT1585" s="935"/>
      <c r="BU1585" s="935"/>
      <c r="BV1585" s="935"/>
      <c r="BW1585" s="935"/>
      <c r="BX1585" s="935"/>
      <c r="BY1585" s="935"/>
      <c r="BZ1585" s="935"/>
      <c r="CA1585" s="935"/>
      <c r="CB1585" s="935"/>
      <c r="CC1585" s="935"/>
      <c r="CD1585" s="935"/>
      <c r="CE1585" s="935"/>
      <c r="CF1585" s="935"/>
      <c r="CG1585" s="935"/>
      <c r="CH1585" s="935"/>
      <c r="CI1585" s="935"/>
      <c r="CJ1585" s="935"/>
      <c r="CK1585" s="935"/>
      <c r="CL1585" s="935"/>
      <c r="CM1585" s="935"/>
      <c r="CN1585" s="935"/>
      <c r="CO1585" s="935"/>
      <c r="CP1585" s="935"/>
      <c r="CQ1585" s="935"/>
      <c r="CR1585" s="935"/>
      <c r="CS1585" s="935"/>
      <c r="CT1585" s="935"/>
      <c r="CU1585" s="935"/>
      <c r="CV1585" s="935"/>
    </row>
    <row r="1586" spans="2:100" s="441" customFormat="1">
      <c r="B1586" s="868"/>
      <c r="C1586" s="493"/>
      <c r="D1586" s="376"/>
      <c r="E1586" s="447"/>
      <c r="F1586" s="500"/>
      <c r="G1586" s="497"/>
      <c r="H1586" s="365" t="str">
        <f>IFERROR(VLOOKUP(E:E,'Item Data Support Sheet'!A:O,2,0),"")</f>
        <v/>
      </c>
      <c r="I1586" s="501"/>
      <c r="J1586" s="501"/>
      <c r="K1586" s="438"/>
      <c r="L1586" s="499"/>
      <c r="M1586" s="366"/>
      <c r="N1586" s="367">
        <f t="shared" si="419"/>
        <v>0</v>
      </c>
      <c r="O1586" s="61"/>
      <c r="P1586" s="368"/>
      <c r="Q1586" s="368"/>
      <c r="R1586" s="494"/>
      <c r="S1586" s="493"/>
      <c r="T1586" s="494"/>
      <c r="U1586" s="493"/>
      <c r="V1586" s="502"/>
      <c r="W1586" s="453">
        <f t="shared" si="420"/>
        <v>0</v>
      </c>
      <c r="X1586" s="748" t="e">
        <f t="shared" si="421"/>
        <v>#DIV/0!</v>
      </c>
      <c r="Y1586" s="451">
        <f>IFERROR(VLOOKUP(E:E,'Item Data Support Sheet'!A:J,6,0),0)</f>
        <v>0</v>
      </c>
      <c r="Z1586" s="428">
        <f>IFERROR(VLOOKUP(E:E,'Item Data Support Sheet'!A:O,4,0),0)</f>
        <v>0</v>
      </c>
      <c r="AA1586" s="428">
        <f t="shared" si="422"/>
        <v>0</v>
      </c>
      <c r="AB1586" s="429" t="str">
        <f t="shared" si="423"/>
        <v xml:space="preserve"> </v>
      </c>
      <c r="AC1586" s="424">
        <f t="shared" si="424"/>
        <v>0</v>
      </c>
      <c r="AD1586" s="371">
        <f t="shared" si="425"/>
        <v>0</v>
      </c>
      <c r="AE1586" s="748" t="e">
        <f t="shared" si="426"/>
        <v>#DIV/0!</v>
      </c>
      <c r="AF1586" s="417">
        <f t="shared" si="427"/>
        <v>0</v>
      </c>
      <c r="AG1586" s="416">
        <f t="shared" si="428"/>
        <v>0</v>
      </c>
      <c r="AH1586" s="372" t="str">
        <f t="shared" si="429"/>
        <v xml:space="preserve"> </v>
      </c>
      <c r="AI1586" s="373">
        <f t="shared" si="430"/>
        <v>0</v>
      </c>
      <c r="AJ1586" s="418" t="e">
        <f>VLOOKUP(D1586,'Standard Cycle time'!C:D,2,0)</f>
        <v>#N/A</v>
      </c>
      <c r="AK1586" s="418" t="e">
        <f t="shared" si="431"/>
        <v>#DIV/0!</v>
      </c>
      <c r="AL1586" s="374" t="e">
        <f t="shared" si="432"/>
        <v>#N/A</v>
      </c>
      <c r="AM1586" s="372" t="e">
        <f t="shared" si="433"/>
        <v>#DIV/0!</v>
      </c>
      <c r="AN1586" s="799"/>
      <c r="AO1586" s="448"/>
      <c r="AP1586" s="440"/>
      <c r="AQ1586" s="440"/>
      <c r="AR1586" s="440"/>
      <c r="AS1586" s="440"/>
      <c r="AT1586" s="440"/>
      <c r="AU1586" s="440"/>
      <c r="AV1586" s="440"/>
      <c r="AW1586" s="440"/>
      <c r="AX1586" s="440"/>
      <c r="AY1586" s="440"/>
      <c r="AZ1586" s="440"/>
      <c r="BA1586" s="440"/>
      <c r="BB1586" s="440"/>
      <c r="BC1586" s="440"/>
      <c r="BD1586" s="440"/>
      <c r="BE1586" s="440"/>
      <c r="BF1586" s="440"/>
      <c r="BG1586" s="440"/>
      <c r="BH1586" s="440"/>
      <c r="BI1586" s="440"/>
      <c r="BJ1586" s="440"/>
      <c r="BK1586" s="440"/>
      <c r="BL1586" s="440"/>
      <c r="BM1586" s="440"/>
      <c r="BN1586" s="440"/>
      <c r="BO1586" s="440"/>
      <c r="BP1586" s="440"/>
      <c r="BQ1586" s="440"/>
      <c r="BR1586" s="415"/>
      <c r="BS1586" s="415"/>
      <c r="BT1586" s="935"/>
      <c r="BU1586" s="935"/>
      <c r="BV1586" s="935"/>
      <c r="BW1586" s="935"/>
      <c r="BX1586" s="935"/>
      <c r="BY1586" s="935"/>
      <c r="BZ1586" s="935"/>
      <c r="CA1586" s="935"/>
      <c r="CB1586" s="935"/>
      <c r="CC1586" s="935"/>
      <c r="CD1586" s="935"/>
      <c r="CE1586" s="935"/>
      <c r="CF1586" s="935"/>
      <c r="CG1586" s="935"/>
      <c r="CH1586" s="935"/>
      <c r="CI1586" s="935"/>
      <c r="CJ1586" s="935"/>
      <c r="CK1586" s="935"/>
      <c r="CL1586" s="935"/>
      <c r="CM1586" s="935"/>
      <c r="CN1586" s="935"/>
      <c r="CO1586" s="935"/>
      <c r="CP1586" s="935"/>
      <c r="CQ1586" s="935"/>
      <c r="CR1586" s="935"/>
      <c r="CS1586" s="935"/>
      <c r="CT1586" s="935"/>
      <c r="CU1586" s="935"/>
      <c r="CV1586" s="935"/>
    </row>
    <row r="1587" spans="2:100" s="441" customFormat="1">
      <c r="B1587" s="868"/>
      <c r="C1587" s="493"/>
      <c r="D1587" s="376"/>
      <c r="E1587" s="447"/>
      <c r="F1587" s="500"/>
      <c r="G1587" s="497"/>
      <c r="H1587" s="365" t="str">
        <f>IFERROR(VLOOKUP(E:E,'Item Data Support Sheet'!A:O,2,0),"")</f>
        <v/>
      </c>
      <c r="I1587" s="501"/>
      <c r="J1587" s="501"/>
      <c r="K1587" s="438"/>
      <c r="L1587" s="499"/>
      <c r="M1587" s="366"/>
      <c r="N1587" s="367">
        <f t="shared" si="419"/>
        <v>0</v>
      </c>
      <c r="O1587" s="61"/>
      <c r="P1587" s="368"/>
      <c r="Q1587" s="368"/>
      <c r="R1587" s="494"/>
      <c r="S1587" s="493"/>
      <c r="T1587" s="494"/>
      <c r="U1587" s="493"/>
      <c r="V1587" s="502"/>
      <c r="W1587" s="453">
        <f t="shared" si="420"/>
        <v>0</v>
      </c>
      <c r="X1587" s="748" t="e">
        <f t="shared" si="421"/>
        <v>#DIV/0!</v>
      </c>
      <c r="Y1587" s="451">
        <f>IFERROR(VLOOKUP(E:E,'Item Data Support Sheet'!A:J,6,0),0)</f>
        <v>0</v>
      </c>
      <c r="Z1587" s="428">
        <f>IFERROR(VLOOKUP(E:E,'Item Data Support Sheet'!A:O,4,0),0)</f>
        <v>0</v>
      </c>
      <c r="AA1587" s="428">
        <f t="shared" si="422"/>
        <v>0</v>
      </c>
      <c r="AB1587" s="429" t="str">
        <f t="shared" si="423"/>
        <v xml:space="preserve"> </v>
      </c>
      <c r="AC1587" s="424">
        <f t="shared" si="424"/>
        <v>0</v>
      </c>
      <c r="AD1587" s="371">
        <f t="shared" si="425"/>
        <v>0</v>
      </c>
      <c r="AE1587" s="748" t="e">
        <f t="shared" si="426"/>
        <v>#DIV/0!</v>
      </c>
      <c r="AF1587" s="417">
        <f t="shared" si="427"/>
        <v>0</v>
      </c>
      <c r="AG1587" s="416">
        <f t="shared" si="428"/>
        <v>0</v>
      </c>
      <c r="AH1587" s="372" t="str">
        <f t="shared" si="429"/>
        <v xml:space="preserve"> </v>
      </c>
      <c r="AI1587" s="373">
        <f t="shared" si="430"/>
        <v>0</v>
      </c>
      <c r="AJ1587" s="418" t="e">
        <f>VLOOKUP(D1587,'Standard Cycle time'!C:D,2,0)</f>
        <v>#N/A</v>
      </c>
      <c r="AK1587" s="418" t="e">
        <f t="shared" si="431"/>
        <v>#DIV/0!</v>
      </c>
      <c r="AL1587" s="374" t="e">
        <f t="shared" si="432"/>
        <v>#N/A</v>
      </c>
      <c r="AM1587" s="372" t="e">
        <f t="shared" si="433"/>
        <v>#DIV/0!</v>
      </c>
      <c r="AN1587" s="799"/>
      <c r="AO1587" s="448"/>
      <c r="AP1587" s="440"/>
      <c r="AQ1587" s="440"/>
      <c r="AR1587" s="440"/>
      <c r="AS1587" s="440"/>
      <c r="AT1587" s="440"/>
      <c r="AU1587" s="440"/>
      <c r="AV1587" s="440"/>
      <c r="AW1587" s="440"/>
      <c r="AX1587" s="440"/>
      <c r="AY1587" s="440"/>
      <c r="AZ1587" s="440"/>
      <c r="BA1587" s="440"/>
      <c r="BB1587" s="440"/>
      <c r="BC1587" s="440"/>
      <c r="BD1587" s="440"/>
      <c r="BE1587" s="440"/>
      <c r="BF1587" s="440"/>
      <c r="BG1587" s="440"/>
      <c r="BH1587" s="440"/>
      <c r="BI1587" s="440"/>
      <c r="BJ1587" s="440"/>
      <c r="BK1587" s="440"/>
      <c r="BL1587" s="440"/>
      <c r="BM1587" s="440"/>
      <c r="BN1587" s="440"/>
      <c r="BO1587" s="440"/>
      <c r="BP1587" s="440"/>
      <c r="BQ1587" s="440"/>
      <c r="BR1587" s="415"/>
      <c r="BS1587" s="415"/>
      <c r="BT1587" s="935"/>
      <c r="BU1587" s="935"/>
      <c r="BV1587" s="935"/>
      <c r="BW1587" s="935"/>
      <c r="BX1587" s="935"/>
      <c r="BY1587" s="935"/>
      <c r="BZ1587" s="935"/>
      <c r="CA1587" s="935"/>
      <c r="CB1587" s="935"/>
      <c r="CC1587" s="935"/>
      <c r="CD1587" s="935"/>
      <c r="CE1587" s="935"/>
      <c r="CF1587" s="935"/>
      <c r="CG1587" s="935"/>
      <c r="CH1587" s="935"/>
      <c r="CI1587" s="935"/>
      <c r="CJ1587" s="935"/>
      <c r="CK1587" s="935"/>
      <c r="CL1587" s="935"/>
      <c r="CM1587" s="935"/>
      <c r="CN1587" s="935"/>
      <c r="CO1587" s="935"/>
      <c r="CP1587" s="935"/>
      <c r="CQ1587" s="935"/>
      <c r="CR1587" s="935"/>
      <c r="CS1587" s="935"/>
      <c r="CT1587" s="935"/>
      <c r="CU1587" s="935"/>
      <c r="CV1587" s="935"/>
    </row>
    <row r="1588" spans="2:100" s="441" customFormat="1">
      <c r="B1588" s="868"/>
      <c r="C1588" s="493"/>
      <c r="D1588" s="376"/>
      <c r="E1588" s="447"/>
      <c r="F1588" s="500"/>
      <c r="G1588" s="497"/>
      <c r="H1588" s="365" t="str">
        <f>IFERROR(VLOOKUP(E:E,'Item Data Support Sheet'!A:O,2,0),"")</f>
        <v/>
      </c>
      <c r="I1588" s="501"/>
      <c r="J1588" s="501"/>
      <c r="K1588" s="438"/>
      <c r="L1588" s="499"/>
      <c r="M1588" s="366"/>
      <c r="N1588" s="367">
        <f t="shared" si="419"/>
        <v>0</v>
      </c>
      <c r="O1588" s="61"/>
      <c r="P1588" s="368"/>
      <c r="Q1588" s="368"/>
      <c r="R1588" s="494"/>
      <c r="S1588" s="493"/>
      <c r="T1588" s="494"/>
      <c r="U1588" s="493"/>
      <c r="V1588" s="502"/>
      <c r="W1588" s="453">
        <f t="shared" si="420"/>
        <v>0</v>
      </c>
      <c r="X1588" s="748" t="e">
        <f t="shared" si="421"/>
        <v>#DIV/0!</v>
      </c>
      <c r="Y1588" s="451">
        <f>IFERROR(VLOOKUP(E:E,'Item Data Support Sheet'!A:J,6,0),0)</f>
        <v>0</v>
      </c>
      <c r="Z1588" s="428">
        <f>IFERROR(VLOOKUP(E:E,'Item Data Support Sheet'!A:O,4,0),0)</f>
        <v>0</v>
      </c>
      <c r="AA1588" s="428">
        <f t="shared" si="422"/>
        <v>0</v>
      </c>
      <c r="AB1588" s="429" t="str">
        <f t="shared" si="423"/>
        <v xml:space="preserve"> </v>
      </c>
      <c r="AC1588" s="424">
        <f t="shared" si="424"/>
        <v>0</v>
      </c>
      <c r="AD1588" s="371">
        <f t="shared" si="425"/>
        <v>0</v>
      </c>
      <c r="AE1588" s="748" t="e">
        <f t="shared" si="426"/>
        <v>#DIV/0!</v>
      </c>
      <c r="AF1588" s="417">
        <f t="shared" si="427"/>
        <v>0</v>
      </c>
      <c r="AG1588" s="416">
        <f t="shared" si="428"/>
        <v>0</v>
      </c>
      <c r="AH1588" s="372" t="str">
        <f t="shared" si="429"/>
        <v xml:space="preserve"> </v>
      </c>
      <c r="AI1588" s="373">
        <f t="shared" si="430"/>
        <v>0</v>
      </c>
      <c r="AJ1588" s="418" t="e">
        <f>VLOOKUP(D1588,'Standard Cycle time'!C:D,2,0)</f>
        <v>#N/A</v>
      </c>
      <c r="AK1588" s="418" t="e">
        <f t="shared" si="431"/>
        <v>#DIV/0!</v>
      </c>
      <c r="AL1588" s="374" t="e">
        <f t="shared" si="432"/>
        <v>#N/A</v>
      </c>
      <c r="AM1588" s="372" t="e">
        <f t="shared" si="433"/>
        <v>#DIV/0!</v>
      </c>
      <c r="AN1588" s="799"/>
      <c r="AO1588" s="448"/>
      <c r="AP1588" s="440"/>
      <c r="AQ1588" s="440"/>
      <c r="AR1588" s="440"/>
      <c r="AS1588" s="440"/>
      <c r="AT1588" s="440"/>
      <c r="AU1588" s="440"/>
      <c r="AV1588" s="440"/>
      <c r="AW1588" s="440"/>
      <c r="AX1588" s="440"/>
      <c r="AY1588" s="440"/>
      <c r="AZ1588" s="440"/>
      <c r="BA1588" s="440"/>
      <c r="BB1588" s="440"/>
      <c r="BC1588" s="440"/>
      <c r="BD1588" s="440"/>
      <c r="BE1588" s="440"/>
      <c r="BF1588" s="440"/>
      <c r="BG1588" s="440"/>
      <c r="BH1588" s="440"/>
      <c r="BI1588" s="440"/>
      <c r="BJ1588" s="440"/>
      <c r="BK1588" s="440"/>
      <c r="BL1588" s="440"/>
      <c r="BM1588" s="440"/>
      <c r="BN1588" s="440"/>
      <c r="BO1588" s="440"/>
      <c r="BP1588" s="440"/>
      <c r="BQ1588" s="440"/>
      <c r="BR1588" s="415"/>
      <c r="BS1588" s="415"/>
      <c r="BT1588" s="935"/>
      <c r="BU1588" s="935"/>
      <c r="BV1588" s="935"/>
      <c r="BW1588" s="935"/>
      <c r="BX1588" s="935"/>
      <c r="BY1588" s="935"/>
      <c r="BZ1588" s="935"/>
      <c r="CA1588" s="935"/>
      <c r="CB1588" s="935"/>
      <c r="CC1588" s="935"/>
      <c r="CD1588" s="935"/>
      <c r="CE1588" s="935"/>
      <c r="CF1588" s="935"/>
      <c r="CG1588" s="935"/>
      <c r="CH1588" s="935"/>
      <c r="CI1588" s="935"/>
      <c r="CJ1588" s="935"/>
      <c r="CK1588" s="935"/>
      <c r="CL1588" s="935"/>
      <c r="CM1588" s="935"/>
      <c r="CN1588" s="935"/>
      <c r="CO1588" s="935"/>
      <c r="CP1588" s="935"/>
      <c r="CQ1588" s="935"/>
      <c r="CR1588" s="935"/>
      <c r="CS1588" s="935"/>
      <c r="CT1588" s="935"/>
      <c r="CU1588" s="935"/>
      <c r="CV1588" s="935"/>
    </row>
    <row r="1589" spans="2:100" s="441" customFormat="1">
      <c r="B1589" s="868"/>
      <c r="C1589" s="493"/>
      <c r="D1589" s="376"/>
      <c r="E1589" s="447"/>
      <c r="F1589" s="500"/>
      <c r="G1589" s="497"/>
      <c r="H1589" s="365" t="str">
        <f>IFERROR(VLOOKUP(E:E,'Item Data Support Sheet'!A:O,2,0),"")</f>
        <v/>
      </c>
      <c r="I1589" s="501"/>
      <c r="J1589" s="501"/>
      <c r="K1589" s="438"/>
      <c r="L1589" s="499"/>
      <c r="M1589" s="366"/>
      <c r="N1589" s="367">
        <f t="shared" si="419"/>
        <v>0</v>
      </c>
      <c r="O1589" s="61"/>
      <c r="P1589" s="368"/>
      <c r="Q1589" s="368"/>
      <c r="R1589" s="494"/>
      <c r="S1589" s="493"/>
      <c r="T1589" s="494"/>
      <c r="U1589" s="493"/>
      <c r="V1589" s="502"/>
      <c r="W1589" s="453">
        <f t="shared" si="420"/>
        <v>0</v>
      </c>
      <c r="X1589" s="748" t="e">
        <f t="shared" si="421"/>
        <v>#DIV/0!</v>
      </c>
      <c r="Y1589" s="451">
        <f>IFERROR(VLOOKUP(E:E,'Item Data Support Sheet'!A:J,6,0),0)</f>
        <v>0</v>
      </c>
      <c r="Z1589" s="428">
        <f>IFERROR(VLOOKUP(E:E,'Item Data Support Sheet'!A:O,4,0),0)</f>
        <v>0</v>
      </c>
      <c r="AA1589" s="428">
        <f t="shared" si="422"/>
        <v>0</v>
      </c>
      <c r="AB1589" s="429" t="str">
        <f t="shared" si="423"/>
        <v xml:space="preserve"> </v>
      </c>
      <c r="AC1589" s="424">
        <f t="shared" si="424"/>
        <v>0</v>
      </c>
      <c r="AD1589" s="371">
        <f t="shared" si="425"/>
        <v>0</v>
      </c>
      <c r="AE1589" s="748" t="e">
        <f t="shared" si="426"/>
        <v>#DIV/0!</v>
      </c>
      <c r="AF1589" s="417">
        <f t="shared" si="427"/>
        <v>0</v>
      </c>
      <c r="AG1589" s="416">
        <f t="shared" si="428"/>
        <v>0</v>
      </c>
      <c r="AH1589" s="372" t="str">
        <f t="shared" si="429"/>
        <v xml:space="preserve"> </v>
      </c>
      <c r="AI1589" s="373">
        <f t="shared" si="430"/>
        <v>0</v>
      </c>
      <c r="AJ1589" s="418" t="e">
        <f>VLOOKUP(D1589,'Standard Cycle time'!C:D,2,0)</f>
        <v>#N/A</v>
      </c>
      <c r="AK1589" s="418" t="e">
        <f t="shared" si="431"/>
        <v>#DIV/0!</v>
      </c>
      <c r="AL1589" s="374" t="e">
        <f t="shared" si="432"/>
        <v>#N/A</v>
      </c>
      <c r="AM1589" s="372" t="e">
        <f t="shared" si="433"/>
        <v>#DIV/0!</v>
      </c>
      <c r="AN1589" s="799"/>
      <c r="AO1589" s="448"/>
      <c r="AP1589" s="440"/>
      <c r="AQ1589" s="440"/>
      <c r="AR1589" s="440"/>
      <c r="AS1589" s="440"/>
      <c r="AT1589" s="440"/>
      <c r="AU1589" s="440"/>
      <c r="AV1589" s="440"/>
      <c r="AW1589" s="440"/>
      <c r="AX1589" s="440"/>
      <c r="AY1589" s="440"/>
      <c r="AZ1589" s="440"/>
      <c r="BA1589" s="440"/>
      <c r="BB1589" s="440"/>
      <c r="BC1589" s="440"/>
      <c r="BD1589" s="440"/>
      <c r="BE1589" s="440"/>
      <c r="BF1589" s="440"/>
      <c r="BG1589" s="440"/>
      <c r="BH1589" s="440"/>
      <c r="BI1589" s="440"/>
      <c r="BJ1589" s="440"/>
      <c r="BK1589" s="440"/>
      <c r="BL1589" s="440"/>
      <c r="BM1589" s="440"/>
      <c r="BN1589" s="440"/>
      <c r="BO1589" s="440"/>
      <c r="BP1589" s="440"/>
      <c r="BQ1589" s="440"/>
      <c r="BR1589" s="415"/>
      <c r="BS1589" s="415"/>
      <c r="BT1589" s="935"/>
      <c r="BU1589" s="935"/>
      <c r="BV1589" s="935"/>
      <c r="BW1589" s="935"/>
      <c r="BX1589" s="935"/>
      <c r="BY1589" s="935"/>
      <c r="BZ1589" s="935"/>
      <c r="CA1589" s="935"/>
      <c r="CB1589" s="935"/>
      <c r="CC1589" s="935"/>
      <c r="CD1589" s="935"/>
      <c r="CE1589" s="935"/>
      <c r="CF1589" s="935"/>
      <c r="CG1589" s="935"/>
      <c r="CH1589" s="935"/>
      <c r="CI1589" s="935"/>
      <c r="CJ1589" s="935"/>
      <c r="CK1589" s="935"/>
      <c r="CL1589" s="935"/>
      <c r="CM1589" s="935"/>
      <c r="CN1589" s="935"/>
      <c r="CO1589" s="935"/>
      <c r="CP1589" s="935"/>
      <c r="CQ1589" s="935"/>
      <c r="CR1589" s="935"/>
      <c r="CS1589" s="935"/>
      <c r="CT1589" s="935"/>
      <c r="CU1589" s="935"/>
      <c r="CV1589" s="935"/>
    </row>
    <row r="1590" spans="2:100" s="441" customFormat="1">
      <c r="B1590" s="868"/>
      <c r="C1590" s="493"/>
      <c r="D1590" s="376"/>
      <c r="E1590" s="447"/>
      <c r="F1590" s="500"/>
      <c r="G1590" s="497"/>
      <c r="H1590" s="365" t="str">
        <f>IFERROR(VLOOKUP(E:E,'Item Data Support Sheet'!A:O,2,0),"")</f>
        <v/>
      </c>
      <c r="I1590" s="501"/>
      <c r="J1590" s="501"/>
      <c r="K1590" s="438"/>
      <c r="L1590" s="499"/>
      <c r="M1590" s="366"/>
      <c r="N1590" s="367">
        <f t="shared" si="419"/>
        <v>0</v>
      </c>
      <c r="O1590" s="61"/>
      <c r="P1590" s="368"/>
      <c r="Q1590" s="368"/>
      <c r="R1590" s="494"/>
      <c r="S1590" s="493"/>
      <c r="T1590" s="494"/>
      <c r="U1590" s="493"/>
      <c r="V1590" s="502"/>
      <c r="W1590" s="453">
        <f t="shared" si="420"/>
        <v>0</v>
      </c>
      <c r="X1590" s="748" t="e">
        <f t="shared" si="421"/>
        <v>#DIV/0!</v>
      </c>
      <c r="Y1590" s="451">
        <f>IFERROR(VLOOKUP(E:E,'Item Data Support Sheet'!A:J,6,0),0)</f>
        <v>0</v>
      </c>
      <c r="Z1590" s="428">
        <f>IFERROR(VLOOKUP(E:E,'Item Data Support Sheet'!A:O,4,0),0)</f>
        <v>0</v>
      </c>
      <c r="AA1590" s="428">
        <f t="shared" si="422"/>
        <v>0</v>
      </c>
      <c r="AB1590" s="429" t="str">
        <f t="shared" si="423"/>
        <v xml:space="preserve"> </v>
      </c>
      <c r="AC1590" s="424">
        <f t="shared" si="424"/>
        <v>0</v>
      </c>
      <c r="AD1590" s="371">
        <f t="shared" si="425"/>
        <v>0</v>
      </c>
      <c r="AE1590" s="748" t="e">
        <f t="shared" si="426"/>
        <v>#DIV/0!</v>
      </c>
      <c r="AF1590" s="417">
        <f t="shared" si="427"/>
        <v>0</v>
      </c>
      <c r="AG1590" s="416">
        <f t="shared" si="428"/>
        <v>0</v>
      </c>
      <c r="AH1590" s="372" t="str">
        <f t="shared" si="429"/>
        <v xml:space="preserve"> </v>
      </c>
      <c r="AI1590" s="373">
        <f t="shared" si="430"/>
        <v>0</v>
      </c>
      <c r="AJ1590" s="418" t="e">
        <f>VLOOKUP(D1590,'Standard Cycle time'!C:D,2,0)</f>
        <v>#N/A</v>
      </c>
      <c r="AK1590" s="418" t="e">
        <f t="shared" si="431"/>
        <v>#DIV/0!</v>
      </c>
      <c r="AL1590" s="374" t="e">
        <f t="shared" si="432"/>
        <v>#N/A</v>
      </c>
      <c r="AM1590" s="372" t="e">
        <f t="shared" si="433"/>
        <v>#DIV/0!</v>
      </c>
      <c r="AN1590" s="799"/>
      <c r="AO1590" s="448"/>
      <c r="AP1590" s="440"/>
      <c r="AQ1590" s="440"/>
      <c r="AR1590" s="440"/>
      <c r="AS1590" s="440"/>
      <c r="AT1590" s="440"/>
      <c r="AU1590" s="440"/>
      <c r="AV1590" s="440"/>
      <c r="AW1590" s="440"/>
      <c r="AX1590" s="440"/>
      <c r="AY1590" s="440"/>
      <c r="AZ1590" s="440"/>
      <c r="BA1590" s="440"/>
      <c r="BB1590" s="440"/>
      <c r="BC1590" s="440"/>
      <c r="BD1590" s="440"/>
      <c r="BE1590" s="440"/>
      <c r="BF1590" s="440"/>
      <c r="BG1590" s="440"/>
      <c r="BH1590" s="440"/>
      <c r="BI1590" s="440"/>
      <c r="BJ1590" s="440"/>
      <c r="BK1590" s="440"/>
      <c r="BL1590" s="440"/>
      <c r="BM1590" s="440"/>
      <c r="BN1590" s="440"/>
      <c r="BO1590" s="440"/>
      <c r="BP1590" s="440"/>
      <c r="BQ1590" s="440"/>
      <c r="BR1590" s="415"/>
      <c r="BS1590" s="415"/>
      <c r="BT1590" s="935"/>
      <c r="BU1590" s="935"/>
      <c r="BV1590" s="935"/>
      <c r="BW1590" s="935"/>
      <c r="BX1590" s="935"/>
      <c r="BY1590" s="935"/>
      <c r="BZ1590" s="935"/>
      <c r="CA1590" s="935"/>
      <c r="CB1590" s="935"/>
      <c r="CC1590" s="935"/>
      <c r="CD1590" s="935"/>
      <c r="CE1590" s="935"/>
      <c r="CF1590" s="935"/>
      <c r="CG1590" s="935"/>
      <c r="CH1590" s="935"/>
      <c r="CI1590" s="935"/>
      <c r="CJ1590" s="935"/>
      <c r="CK1590" s="935"/>
      <c r="CL1590" s="935"/>
      <c r="CM1590" s="935"/>
      <c r="CN1590" s="935"/>
      <c r="CO1590" s="935"/>
      <c r="CP1590" s="935"/>
      <c r="CQ1590" s="935"/>
      <c r="CR1590" s="935"/>
      <c r="CS1590" s="935"/>
      <c r="CT1590" s="935"/>
      <c r="CU1590" s="935"/>
      <c r="CV1590" s="935"/>
    </row>
    <row r="1591" spans="2:100" s="441" customFormat="1">
      <c r="B1591" s="868"/>
      <c r="C1591" s="493"/>
      <c r="D1591" s="376"/>
      <c r="E1591" s="447"/>
      <c r="F1591" s="500"/>
      <c r="G1591" s="497"/>
      <c r="H1591" s="365" t="str">
        <f>IFERROR(VLOOKUP(E:E,'Item Data Support Sheet'!A:O,2,0),"")</f>
        <v/>
      </c>
      <c r="I1591" s="501"/>
      <c r="J1591" s="501"/>
      <c r="K1591" s="438"/>
      <c r="L1591" s="499"/>
      <c r="M1591" s="366"/>
      <c r="N1591" s="367">
        <f t="shared" si="419"/>
        <v>0</v>
      </c>
      <c r="O1591" s="61"/>
      <c r="P1591" s="368"/>
      <c r="Q1591" s="368"/>
      <c r="R1591" s="494"/>
      <c r="S1591" s="493"/>
      <c r="T1591" s="494"/>
      <c r="U1591" s="493"/>
      <c r="V1591" s="502"/>
      <c r="W1591" s="453">
        <f t="shared" si="420"/>
        <v>0</v>
      </c>
      <c r="X1591" s="748" t="e">
        <f t="shared" si="421"/>
        <v>#DIV/0!</v>
      </c>
      <c r="Y1591" s="451">
        <f>IFERROR(VLOOKUP(E:E,'Item Data Support Sheet'!A:J,6,0),0)</f>
        <v>0</v>
      </c>
      <c r="Z1591" s="428">
        <f>IFERROR(VLOOKUP(E:E,'Item Data Support Sheet'!A:O,4,0),0)</f>
        <v>0</v>
      </c>
      <c r="AA1591" s="428">
        <f t="shared" si="422"/>
        <v>0</v>
      </c>
      <c r="AB1591" s="429" t="str">
        <f t="shared" si="423"/>
        <v xml:space="preserve"> </v>
      </c>
      <c r="AC1591" s="424">
        <f t="shared" si="424"/>
        <v>0</v>
      </c>
      <c r="AD1591" s="371">
        <f t="shared" si="425"/>
        <v>0</v>
      </c>
      <c r="AE1591" s="748" t="e">
        <f t="shared" si="426"/>
        <v>#DIV/0!</v>
      </c>
      <c r="AF1591" s="417">
        <f t="shared" si="427"/>
        <v>0</v>
      </c>
      <c r="AG1591" s="416">
        <f t="shared" si="428"/>
        <v>0</v>
      </c>
      <c r="AH1591" s="372" t="str">
        <f t="shared" si="429"/>
        <v xml:space="preserve"> </v>
      </c>
      <c r="AI1591" s="373">
        <f t="shared" si="430"/>
        <v>0</v>
      </c>
      <c r="AJ1591" s="418" t="e">
        <f>VLOOKUP(D1591,'Standard Cycle time'!C:D,2,0)</f>
        <v>#N/A</v>
      </c>
      <c r="AK1591" s="418" t="e">
        <f t="shared" si="431"/>
        <v>#DIV/0!</v>
      </c>
      <c r="AL1591" s="374" t="e">
        <f t="shared" si="432"/>
        <v>#N/A</v>
      </c>
      <c r="AM1591" s="372" t="e">
        <f t="shared" si="433"/>
        <v>#DIV/0!</v>
      </c>
      <c r="AN1591" s="799"/>
      <c r="AO1591" s="448"/>
      <c r="AP1591" s="440"/>
      <c r="AQ1591" s="440"/>
      <c r="AR1591" s="440"/>
      <c r="AS1591" s="440"/>
      <c r="AT1591" s="440"/>
      <c r="AU1591" s="440"/>
      <c r="AV1591" s="440"/>
      <c r="AW1591" s="440"/>
      <c r="AX1591" s="440"/>
      <c r="AY1591" s="440"/>
      <c r="AZ1591" s="440"/>
      <c r="BA1591" s="440"/>
      <c r="BB1591" s="440"/>
      <c r="BC1591" s="440"/>
      <c r="BD1591" s="440"/>
      <c r="BE1591" s="440"/>
      <c r="BF1591" s="440"/>
      <c r="BG1591" s="440"/>
      <c r="BH1591" s="440"/>
      <c r="BI1591" s="440"/>
      <c r="BJ1591" s="440"/>
      <c r="BK1591" s="440"/>
      <c r="BL1591" s="440"/>
      <c r="BM1591" s="440"/>
      <c r="BN1591" s="440"/>
      <c r="BO1591" s="440"/>
      <c r="BP1591" s="440"/>
      <c r="BQ1591" s="440"/>
      <c r="BR1591" s="415"/>
      <c r="BS1591" s="415"/>
      <c r="BT1591" s="935"/>
      <c r="BU1591" s="935"/>
      <c r="BV1591" s="935"/>
      <c r="BW1591" s="935"/>
      <c r="BX1591" s="935"/>
      <c r="BY1591" s="935"/>
      <c r="BZ1591" s="935"/>
      <c r="CA1591" s="935"/>
      <c r="CB1591" s="935"/>
      <c r="CC1591" s="935"/>
      <c r="CD1591" s="935"/>
      <c r="CE1591" s="935"/>
      <c r="CF1591" s="935"/>
      <c r="CG1591" s="935"/>
      <c r="CH1591" s="935"/>
      <c r="CI1591" s="935"/>
      <c r="CJ1591" s="935"/>
      <c r="CK1591" s="935"/>
      <c r="CL1591" s="935"/>
      <c r="CM1591" s="935"/>
      <c r="CN1591" s="935"/>
      <c r="CO1591" s="935"/>
      <c r="CP1591" s="935"/>
      <c r="CQ1591" s="935"/>
      <c r="CR1591" s="935"/>
      <c r="CS1591" s="935"/>
      <c r="CT1591" s="935"/>
      <c r="CU1591" s="935"/>
      <c r="CV1591" s="935"/>
    </row>
    <row r="1592" spans="2:100" s="441" customFormat="1">
      <c r="B1592" s="868"/>
      <c r="C1592" s="493"/>
      <c r="D1592" s="376"/>
      <c r="E1592" s="447"/>
      <c r="F1592" s="500"/>
      <c r="G1592" s="497"/>
      <c r="H1592" s="365" t="str">
        <f>IFERROR(VLOOKUP(E:E,'Item Data Support Sheet'!A:O,2,0),"")</f>
        <v/>
      </c>
      <c r="I1592" s="501"/>
      <c r="J1592" s="501"/>
      <c r="K1592" s="438"/>
      <c r="L1592" s="499"/>
      <c r="M1592" s="366"/>
      <c r="N1592" s="367">
        <f t="shared" si="419"/>
        <v>0</v>
      </c>
      <c r="O1592" s="61"/>
      <c r="P1592" s="368"/>
      <c r="Q1592" s="368"/>
      <c r="R1592" s="494"/>
      <c r="S1592" s="493"/>
      <c r="T1592" s="494"/>
      <c r="U1592" s="493"/>
      <c r="V1592" s="502"/>
      <c r="W1592" s="453">
        <f t="shared" si="420"/>
        <v>0</v>
      </c>
      <c r="X1592" s="748" t="e">
        <f t="shared" si="421"/>
        <v>#DIV/0!</v>
      </c>
      <c r="Y1592" s="451">
        <f>IFERROR(VLOOKUP(E:E,'Item Data Support Sheet'!A:J,6,0),0)</f>
        <v>0</v>
      </c>
      <c r="Z1592" s="428">
        <f>IFERROR(VLOOKUP(E:E,'Item Data Support Sheet'!A:O,4,0),0)</f>
        <v>0</v>
      </c>
      <c r="AA1592" s="428">
        <f t="shared" si="422"/>
        <v>0</v>
      </c>
      <c r="AB1592" s="429" t="str">
        <f t="shared" si="423"/>
        <v xml:space="preserve"> </v>
      </c>
      <c r="AC1592" s="424">
        <f t="shared" si="424"/>
        <v>0</v>
      </c>
      <c r="AD1592" s="371">
        <f t="shared" si="425"/>
        <v>0</v>
      </c>
      <c r="AE1592" s="748" t="e">
        <f t="shared" si="426"/>
        <v>#DIV/0!</v>
      </c>
      <c r="AF1592" s="417">
        <f t="shared" si="427"/>
        <v>0</v>
      </c>
      <c r="AG1592" s="416">
        <f t="shared" si="428"/>
        <v>0</v>
      </c>
      <c r="AH1592" s="372" t="str">
        <f t="shared" si="429"/>
        <v xml:space="preserve"> </v>
      </c>
      <c r="AI1592" s="373">
        <f t="shared" si="430"/>
        <v>0</v>
      </c>
      <c r="AJ1592" s="418" t="e">
        <f>VLOOKUP(D1592,'Standard Cycle time'!C:D,2,0)</f>
        <v>#N/A</v>
      </c>
      <c r="AK1592" s="418" t="e">
        <f t="shared" si="431"/>
        <v>#DIV/0!</v>
      </c>
      <c r="AL1592" s="374" t="e">
        <f t="shared" si="432"/>
        <v>#N/A</v>
      </c>
      <c r="AM1592" s="372" t="e">
        <f t="shared" si="433"/>
        <v>#DIV/0!</v>
      </c>
      <c r="AN1592" s="799"/>
      <c r="AO1592" s="448"/>
      <c r="AP1592" s="440"/>
      <c r="AQ1592" s="440"/>
      <c r="AR1592" s="440"/>
      <c r="AS1592" s="440"/>
      <c r="AT1592" s="440"/>
      <c r="AU1592" s="440"/>
      <c r="AV1592" s="440"/>
      <c r="AW1592" s="440"/>
      <c r="AX1592" s="440"/>
      <c r="AY1592" s="440"/>
      <c r="AZ1592" s="440"/>
      <c r="BA1592" s="440"/>
      <c r="BB1592" s="440"/>
      <c r="BC1592" s="440"/>
      <c r="BD1592" s="440"/>
      <c r="BE1592" s="440"/>
      <c r="BF1592" s="440"/>
      <c r="BG1592" s="440"/>
      <c r="BH1592" s="440"/>
      <c r="BI1592" s="440"/>
      <c r="BJ1592" s="440"/>
      <c r="BK1592" s="440"/>
      <c r="BL1592" s="440"/>
      <c r="BM1592" s="440"/>
      <c r="BN1592" s="440"/>
      <c r="BO1592" s="440"/>
      <c r="BP1592" s="440"/>
      <c r="BQ1592" s="440"/>
      <c r="BR1592" s="415"/>
      <c r="BS1592" s="415"/>
      <c r="BT1592" s="935"/>
      <c r="BU1592" s="935"/>
      <c r="BV1592" s="935"/>
      <c r="BW1592" s="935"/>
      <c r="BX1592" s="935"/>
      <c r="BY1592" s="935"/>
      <c r="BZ1592" s="935"/>
      <c r="CA1592" s="935"/>
      <c r="CB1592" s="935"/>
      <c r="CC1592" s="935"/>
      <c r="CD1592" s="935"/>
      <c r="CE1592" s="935"/>
      <c r="CF1592" s="935"/>
      <c r="CG1592" s="935"/>
      <c r="CH1592" s="935"/>
      <c r="CI1592" s="935"/>
      <c r="CJ1592" s="935"/>
      <c r="CK1592" s="935"/>
      <c r="CL1592" s="935"/>
      <c r="CM1592" s="935"/>
      <c r="CN1592" s="935"/>
      <c r="CO1592" s="935"/>
      <c r="CP1592" s="935"/>
      <c r="CQ1592" s="935"/>
      <c r="CR1592" s="935"/>
      <c r="CS1592" s="935"/>
      <c r="CT1592" s="935"/>
      <c r="CU1592" s="935"/>
      <c r="CV1592" s="935"/>
    </row>
    <row r="1593" spans="2:100" s="441" customFormat="1">
      <c r="B1593" s="868"/>
      <c r="C1593" s="493"/>
      <c r="D1593" s="376"/>
      <c r="E1593" s="447"/>
      <c r="F1593" s="500"/>
      <c r="G1593" s="497"/>
      <c r="H1593" s="365" t="str">
        <f>IFERROR(VLOOKUP(E:E,'Item Data Support Sheet'!A:O,2,0),"")</f>
        <v/>
      </c>
      <c r="I1593" s="501"/>
      <c r="J1593" s="501"/>
      <c r="K1593" s="438"/>
      <c r="L1593" s="499"/>
      <c r="M1593" s="366"/>
      <c r="N1593" s="367">
        <f t="shared" si="419"/>
        <v>0</v>
      </c>
      <c r="O1593" s="61"/>
      <c r="P1593" s="368"/>
      <c r="Q1593" s="368"/>
      <c r="R1593" s="494"/>
      <c r="S1593" s="493"/>
      <c r="T1593" s="494"/>
      <c r="U1593" s="493"/>
      <c r="V1593" s="502"/>
      <c r="W1593" s="453">
        <f t="shared" si="420"/>
        <v>0</v>
      </c>
      <c r="X1593" s="748" t="e">
        <f t="shared" si="421"/>
        <v>#DIV/0!</v>
      </c>
      <c r="Y1593" s="451">
        <f>IFERROR(VLOOKUP(E:E,'Item Data Support Sheet'!A:J,6,0),0)</f>
        <v>0</v>
      </c>
      <c r="Z1593" s="428">
        <f>IFERROR(VLOOKUP(E:E,'Item Data Support Sheet'!A:O,4,0),0)</f>
        <v>0</v>
      </c>
      <c r="AA1593" s="428">
        <f t="shared" si="422"/>
        <v>0</v>
      </c>
      <c r="AB1593" s="429" t="str">
        <f t="shared" si="423"/>
        <v xml:space="preserve"> </v>
      </c>
      <c r="AC1593" s="424">
        <f t="shared" si="424"/>
        <v>0</v>
      </c>
      <c r="AD1593" s="371">
        <f t="shared" si="425"/>
        <v>0</v>
      </c>
      <c r="AE1593" s="748" t="e">
        <f t="shared" si="426"/>
        <v>#DIV/0!</v>
      </c>
      <c r="AF1593" s="417">
        <f t="shared" si="427"/>
        <v>0</v>
      </c>
      <c r="AG1593" s="416">
        <f t="shared" si="428"/>
        <v>0</v>
      </c>
      <c r="AH1593" s="372" t="str">
        <f t="shared" si="429"/>
        <v xml:space="preserve"> </v>
      </c>
      <c r="AI1593" s="373">
        <f t="shared" si="430"/>
        <v>0</v>
      </c>
      <c r="AJ1593" s="418" t="e">
        <f>VLOOKUP(D1593,'Standard Cycle time'!C:D,2,0)</f>
        <v>#N/A</v>
      </c>
      <c r="AK1593" s="418" t="e">
        <f t="shared" si="431"/>
        <v>#DIV/0!</v>
      </c>
      <c r="AL1593" s="374" t="e">
        <f t="shared" si="432"/>
        <v>#N/A</v>
      </c>
      <c r="AM1593" s="372" t="e">
        <f t="shared" si="433"/>
        <v>#DIV/0!</v>
      </c>
      <c r="AN1593" s="799"/>
      <c r="AO1593" s="448"/>
      <c r="AP1593" s="440"/>
      <c r="AQ1593" s="440"/>
      <c r="AR1593" s="440"/>
      <c r="AS1593" s="440"/>
      <c r="AT1593" s="440"/>
      <c r="AU1593" s="440"/>
      <c r="AV1593" s="440"/>
      <c r="AW1593" s="440"/>
      <c r="AX1593" s="440"/>
      <c r="AY1593" s="440"/>
      <c r="AZ1593" s="440"/>
      <c r="BA1593" s="440"/>
      <c r="BB1593" s="440"/>
      <c r="BC1593" s="440"/>
      <c r="BD1593" s="440"/>
      <c r="BE1593" s="440"/>
      <c r="BF1593" s="440"/>
      <c r="BG1593" s="440"/>
      <c r="BH1593" s="440"/>
      <c r="BI1593" s="440"/>
      <c r="BJ1593" s="440"/>
      <c r="BK1593" s="440"/>
      <c r="BL1593" s="440"/>
      <c r="BM1593" s="440"/>
      <c r="BN1593" s="440"/>
      <c r="BO1593" s="440"/>
      <c r="BP1593" s="440"/>
      <c r="BQ1593" s="440"/>
      <c r="BR1593" s="415"/>
      <c r="BS1593" s="415"/>
      <c r="BT1593" s="935"/>
      <c r="BU1593" s="935"/>
      <c r="BV1593" s="935"/>
      <c r="BW1593" s="935"/>
      <c r="BX1593" s="935"/>
      <c r="BY1593" s="935"/>
      <c r="BZ1593" s="935"/>
      <c r="CA1593" s="935"/>
      <c r="CB1593" s="935"/>
      <c r="CC1593" s="935"/>
      <c r="CD1593" s="935"/>
      <c r="CE1593" s="935"/>
      <c r="CF1593" s="935"/>
      <c r="CG1593" s="935"/>
      <c r="CH1593" s="935"/>
      <c r="CI1593" s="935"/>
      <c r="CJ1593" s="935"/>
      <c r="CK1593" s="935"/>
      <c r="CL1593" s="935"/>
      <c r="CM1593" s="935"/>
      <c r="CN1593" s="935"/>
      <c r="CO1593" s="935"/>
      <c r="CP1593" s="935"/>
      <c r="CQ1593" s="935"/>
      <c r="CR1593" s="935"/>
      <c r="CS1593" s="935"/>
      <c r="CT1593" s="935"/>
      <c r="CU1593" s="935"/>
      <c r="CV1593" s="935"/>
    </row>
    <row r="1594" spans="2:100" s="441" customFormat="1">
      <c r="B1594" s="868"/>
      <c r="C1594" s="493"/>
      <c r="D1594" s="376"/>
      <c r="E1594" s="447"/>
      <c r="F1594" s="500"/>
      <c r="G1594" s="497"/>
      <c r="H1594" s="365" t="str">
        <f>IFERROR(VLOOKUP(E:E,'Item Data Support Sheet'!A:O,2,0),"")</f>
        <v/>
      </c>
      <c r="I1594" s="501"/>
      <c r="J1594" s="501"/>
      <c r="K1594" s="438"/>
      <c r="L1594" s="499"/>
      <c r="M1594" s="366"/>
      <c r="N1594" s="367">
        <f t="shared" si="419"/>
        <v>0</v>
      </c>
      <c r="O1594" s="61"/>
      <c r="P1594" s="368"/>
      <c r="Q1594" s="368"/>
      <c r="R1594" s="494"/>
      <c r="S1594" s="493"/>
      <c r="T1594" s="494"/>
      <c r="U1594" s="493"/>
      <c r="V1594" s="502"/>
      <c r="W1594" s="453">
        <f t="shared" si="420"/>
        <v>0</v>
      </c>
      <c r="X1594" s="748" t="e">
        <f t="shared" si="421"/>
        <v>#DIV/0!</v>
      </c>
      <c r="Y1594" s="451">
        <f>IFERROR(VLOOKUP(E:E,'Item Data Support Sheet'!A:J,6,0),0)</f>
        <v>0</v>
      </c>
      <c r="Z1594" s="428">
        <f>IFERROR(VLOOKUP(E:E,'Item Data Support Sheet'!A:O,4,0),0)</f>
        <v>0</v>
      </c>
      <c r="AA1594" s="428">
        <f t="shared" si="422"/>
        <v>0</v>
      </c>
      <c r="AB1594" s="429" t="str">
        <f t="shared" si="423"/>
        <v xml:space="preserve"> </v>
      </c>
      <c r="AC1594" s="424">
        <f t="shared" si="424"/>
        <v>0</v>
      </c>
      <c r="AD1594" s="371">
        <f t="shared" si="425"/>
        <v>0</v>
      </c>
      <c r="AE1594" s="748" t="e">
        <f t="shared" si="426"/>
        <v>#DIV/0!</v>
      </c>
      <c r="AF1594" s="417">
        <f t="shared" si="427"/>
        <v>0</v>
      </c>
      <c r="AG1594" s="416">
        <f t="shared" si="428"/>
        <v>0</v>
      </c>
      <c r="AH1594" s="372" t="str">
        <f t="shared" si="429"/>
        <v xml:space="preserve"> </v>
      </c>
      <c r="AI1594" s="373">
        <f t="shared" si="430"/>
        <v>0</v>
      </c>
      <c r="AJ1594" s="418" t="e">
        <f>VLOOKUP(D1594,'Standard Cycle time'!C:D,2,0)</f>
        <v>#N/A</v>
      </c>
      <c r="AK1594" s="418" t="e">
        <f t="shared" si="431"/>
        <v>#DIV/0!</v>
      </c>
      <c r="AL1594" s="374" t="e">
        <f t="shared" si="432"/>
        <v>#N/A</v>
      </c>
      <c r="AM1594" s="372" t="e">
        <f t="shared" si="433"/>
        <v>#DIV/0!</v>
      </c>
      <c r="AN1594" s="799"/>
      <c r="AO1594" s="448"/>
      <c r="AP1594" s="440"/>
      <c r="AQ1594" s="440"/>
      <c r="AR1594" s="440"/>
      <c r="AS1594" s="440"/>
      <c r="AT1594" s="440"/>
      <c r="AU1594" s="440"/>
      <c r="AV1594" s="440"/>
      <c r="AW1594" s="440"/>
      <c r="AX1594" s="440"/>
      <c r="AY1594" s="440"/>
      <c r="AZ1594" s="440"/>
      <c r="BA1594" s="440"/>
      <c r="BB1594" s="440"/>
      <c r="BC1594" s="440"/>
      <c r="BD1594" s="440"/>
      <c r="BE1594" s="440"/>
      <c r="BF1594" s="440"/>
      <c r="BG1594" s="440"/>
      <c r="BH1594" s="440"/>
      <c r="BI1594" s="440"/>
      <c r="BJ1594" s="440"/>
      <c r="BK1594" s="440"/>
      <c r="BL1594" s="440"/>
      <c r="BM1594" s="440"/>
      <c r="BN1594" s="440"/>
      <c r="BO1594" s="440"/>
      <c r="BP1594" s="440"/>
      <c r="BQ1594" s="440"/>
      <c r="BR1594" s="415"/>
      <c r="BS1594" s="415"/>
      <c r="BT1594" s="935"/>
      <c r="BU1594" s="935"/>
      <c r="BV1594" s="935"/>
      <c r="BW1594" s="935"/>
      <c r="BX1594" s="935"/>
      <c r="BY1594" s="935"/>
      <c r="BZ1594" s="935"/>
      <c r="CA1594" s="935"/>
      <c r="CB1594" s="935"/>
      <c r="CC1594" s="935"/>
      <c r="CD1594" s="935"/>
      <c r="CE1594" s="935"/>
      <c r="CF1594" s="935"/>
      <c r="CG1594" s="935"/>
      <c r="CH1594" s="935"/>
      <c r="CI1594" s="935"/>
      <c r="CJ1594" s="935"/>
      <c r="CK1594" s="935"/>
      <c r="CL1594" s="935"/>
      <c r="CM1594" s="935"/>
      <c r="CN1594" s="935"/>
      <c r="CO1594" s="935"/>
      <c r="CP1594" s="935"/>
      <c r="CQ1594" s="935"/>
      <c r="CR1594" s="935"/>
      <c r="CS1594" s="935"/>
      <c r="CT1594" s="935"/>
      <c r="CU1594" s="935"/>
      <c r="CV1594" s="935"/>
    </row>
    <row r="1595" spans="2:100">
      <c r="H1595" s="365" t="str">
        <f>IFERROR(VLOOKUP(E:E,'Item Data Support Sheet'!A:O,2,0),"")</f>
        <v/>
      </c>
      <c r="N1595" s="367">
        <f t="shared" si="419"/>
        <v>0</v>
      </c>
      <c r="W1595" s="453">
        <f t="shared" si="420"/>
        <v>0</v>
      </c>
      <c r="X1595" s="748" t="e">
        <f t="shared" si="421"/>
        <v>#DIV/0!</v>
      </c>
      <c r="Y1595" s="451">
        <f>IFERROR(VLOOKUP(E:E,'Item Data Support Sheet'!A:J,6,0),0)</f>
        <v>0</v>
      </c>
      <c r="Z1595" s="428">
        <f>IFERROR(VLOOKUP(E:E,'Item Data Support Sheet'!A:O,4,0),0)</f>
        <v>0</v>
      </c>
      <c r="AA1595" s="428">
        <f t="shared" si="422"/>
        <v>0</v>
      </c>
      <c r="AB1595" s="429" t="str">
        <f t="shared" si="423"/>
        <v xml:space="preserve"> </v>
      </c>
      <c r="AC1595" s="424">
        <f t="shared" si="424"/>
        <v>0</v>
      </c>
      <c r="AD1595" s="371">
        <f t="shared" si="425"/>
        <v>0</v>
      </c>
      <c r="AE1595" s="748" t="e">
        <f t="shared" si="426"/>
        <v>#DIV/0!</v>
      </c>
      <c r="AF1595" s="417">
        <f t="shared" si="427"/>
        <v>0</v>
      </c>
      <c r="AG1595" s="416">
        <f t="shared" si="428"/>
        <v>0</v>
      </c>
      <c r="AH1595" s="372" t="str">
        <f t="shared" si="429"/>
        <v xml:space="preserve"> </v>
      </c>
      <c r="AI1595" s="373">
        <f t="shared" si="430"/>
        <v>0</v>
      </c>
      <c r="AJ1595" s="418" t="e">
        <f>VLOOKUP(D1595,'Standard Cycle time'!C:D,2,0)</f>
        <v>#N/A</v>
      </c>
      <c r="AK1595" s="418" t="e">
        <f t="shared" si="431"/>
        <v>#DIV/0!</v>
      </c>
      <c r="AL1595" s="374" t="e">
        <f t="shared" si="432"/>
        <v>#N/A</v>
      </c>
      <c r="AM1595" s="372" t="e">
        <f t="shared" si="433"/>
        <v>#DIV/0!</v>
      </c>
    </row>
    <row r="1596" spans="2:100">
      <c r="H1596" s="365" t="str">
        <f>IFERROR(VLOOKUP(E:E,'Item Data Support Sheet'!A:O,2,0),"")</f>
        <v/>
      </c>
      <c r="N1596" s="367">
        <f t="shared" si="419"/>
        <v>0</v>
      </c>
      <c r="W1596" s="453">
        <f t="shared" si="420"/>
        <v>0</v>
      </c>
      <c r="X1596" s="748" t="e">
        <f t="shared" si="421"/>
        <v>#DIV/0!</v>
      </c>
      <c r="Y1596" s="451">
        <f>IFERROR(VLOOKUP(E:E,'Item Data Support Sheet'!A:J,6,0),0)</f>
        <v>0</v>
      </c>
      <c r="Z1596" s="428">
        <f>IFERROR(VLOOKUP(E:E,'Item Data Support Sheet'!A:O,4,0),0)</f>
        <v>0</v>
      </c>
      <c r="AA1596" s="428">
        <f t="shared" si="422"/>
        <v>0</v>
      </c>
      <c r="AB1596" s="429" t="str">
        <f t="shared" si="423"/>
        <v xml:space="preserve"> </v>
      </c>
      <c r="AC1596" s="424">
        <f t="shared" si="424"/>
        <v>0</v>
      </c>
      <c r="AD1596" s="371">
        <f t="shared" si="425"/>
        <v>0</v>
      </c>
      <c r="AE1596" s="748" t="e">
        <f t="shared" si="426"/>
        <v>#DIV/0!</v>
      </c>
      <c r="AF1596" s="417">
        <f t="shared" si="427"/>
        <v>0</v>
      </c>
      <c r="AG1596" s="416">
        <f t="shared" si="428"/>
        <v>0</v>
      </c>
      <c r="AH1596" s="372" t="str">
        <f t="shared" si="429"/>
        <v xml:space="preserve"> </v>
      </c>
      <c r="AI1596" s="373">
        <f t="shared" si="430"/>
        <v>0</v>
      </c>
      <c r="AJ1596" s="418" t="e">
        <f>VLOOKUP(D1596,'Standard Cycle time'!C:D,2,0)</f>
        <v>#N/A</v>
      </c>
      <c r="AK1596" s="418" t="e">
        <f t="shared" si="431"/>
        <v>#DIV/0!</v>
      </c>
      <c r="AL1596" s="374" t="e">
        <f t="shared" si="432"/>
        <v>#N/A</v>
      </c>
      <c r="AM1596" s="372" t="e">
        <f t="shared" si="433"/>
        <v>#DIV/0!</v>
      </c>
    </row>
    <row r="1597" spans="2:100">
      <c r="H1597" s="365" t="str">
        <f>IFERROR(VLOOKUP(E:E,'Item Data Support Sheet'!A:O,2,0),"")</f>
        <v/>
      </c>
      <c r="N1597" s="367">
        <f t="shared" si="419"/>
        <v>0</v>
      </c>
      <c r="W1597" s="453">
        <f t="shared" si="420"/>
        <v>0</v>
      </c>
      <c r="X1597" s="748" t="e">
        <f t="shared" si="421"/>
        <v>#DIV/0!</v>
      </c>
      <c r="Y1597" s="451">
        <f>IFERROR(VLOOKUP(E:E,'Item Data Support Sheet'!A:J,6,0),0)</f>
        <v>0</v>
      </c>
      <c r="Z1597" s="428">
        <f>IFERROR(VLOOKUP(E:E,'Item Data Support Sheet'!A:O,4,0),0)</f>
        <v>0</v>
      </c>
      <c r="AA1597" s="428">
        <f t="shared" si="422"/>
        <v>0</v>
      </c>
      <c r="AB1597" s="429" t="str">
        <f t="shared" si="423"/>
        <v xml:space="preserve"> </v>
      </c>
      <c r="AC1597" s="424">
        <f t="shared" si="424"/>
        <v>0</v>
      </c>
      <c r="AD1597" s="371">
        <f t="shared" si="425"/>
        <v>0</v>
      </c>
      <c r="AE1597" s="748" t="e">
        <f t="shared" si="426"/>
        <v>#DIV/0!</v>
      </c>
      <c r="AF1597" s="417">
        <f t="shared" si="427"/>
        <v>0</v>
      </c>
      <c r="AG1597" s="416">
        <f t="shared" si="428"/>
        <v>0</v>
      </c>
      <c r="AH1597" s="372" t="str">
        <f t="shared" si="429"/>
        <v xml:space="preserve"> </v>
      </c>
      <c r="AI1597" s="373">
        <f t="shared" si="430"/>
        <v>0</v>
      </c>
      <c r="AJ1597" s="418" t="e">
        <f>VLOOKUP(D1597,'Standard Cycle time'!C:D,2,0)</f>
        <v>#N/A</v>
      </c>
      <c r="AK1597" s="418" t="e">
        <f t="shared" si="431"/>
        <v>#DIV/0!</v>
      </c>
      <c r="AL1597" s="374" t="e">
        <f t="shared" si="432"/>
        <v>#N/A</v>
      </c>
      <c r="AM1597" s="372" t="e">
        <f t="shared" si="433"/>
        <v>#DIV/0!</v>
      </c>
    </row>
    <row r="1598" spans="2:100">
      <c r="H1598" s="365" t="str">
        <f>IFERROR(VLOOKUP(E:E,'Item Data Support Sheet'!A:O,2,0),"")</f>
        <v/>
      </c>
      <c r="N1598" s="367">
        <f t="shared" si="419"/>
        <v>0</v>
      </c>
      <c r="W1598" s="453">
        <f t="shared" si="420"/>
        <v>0</v>
      </c>
      <c r="X1598" s="748" t="e">
        <f t="shared" si="421"/>
        <v>#DIV/0!</v>
      </c>
      <c r="Y1598" s="451">
        <f>IFERROR(VLOOKUP(E:E,'Item Data Support Sheet'!A:J,6,0),0)</f>
        <v>0</v>
      </c>
      <c r="Z1598" s="428">
        <f>IFERROR(VLOOKUP(E:E,'Item Data Support Sheet'!A:O,4,0),0)</f>
        <v>0</v>
      </c>
      <c r="AA1598" s="428">
        <f t="shared" si="422"/>
        <v>0</v>
      </c>
      <c r="AB1598" s="429" t="str">
        <f t="shared" si="423"/>
        <v xml:space="preserve"> </v>
      </c>
      <c r="AC1598" s="424">
        <f t="shared" si="424"/>
        <v>0</v>
      </c>
      <c r="AD1598" s="371">
        <f t="shared" si="425"/>
        <v>0</v>
      </c>
      <c r="AE1598" s="748" t="e">
        <f t="shared" si="426"/>
        <v>#DIV/0!</v>
      </c>
      <c r="AF1598" s="417">
        <f t="shared" si="427"/>
        <v>0</v>
      </c>
      <c r="AG1598" s="416">
        <f t="shared" si="428"/>
        <v>0</v>
      </c>
      <c r="AH1598" s="372" t="str">
        <f t="shared" si="429"/>
        <v xml:space="preserve"> </v>
      </c>
      <c r="AI1598" s="373">
        <f t="shared" si="430"/>
        <v>0</v>
      </c>
      <c r="AJ1598" s="418" t="e">
        <f>VLOOKUP(D1598,'Standard Cycle time'!C:D,2,0)</f>
        <v>#N/A</v>
      </c>
      <c r="AK1598" s="418" t="e">
        <f t="shared" si="431"/>
        <v>#DIV/0!</v>
      </c>
      <c r="AL1598" s="374" t="e">
        <f t="shared" si="432"/>
        <v>#N/A</v>
      </c>
      <c r="AM1598" s="372" t="e">
        <f t="shared" si="433"/>
        <v>#DIV/0!</v>
      </c>
    </row>
    <row r="1599" spans="2:100">
      <c r="H1599" s="365" t="str">
        <f>IFERROR(VLOOKUP(E:E,'Item Data Support Sheet'!A:O,2,0),"")</f>
        <v/>
      </c>
      <c r="N1599" s="367">
        <f t="shared" si="419"/>
        <v>0</v>
      </c>
      <c r="W1599" s="453">
        <f t="shared" si="420"/>
        <v>0</v>
      </c>
      <c r="X1599" s="748" t="e">
        <f t="shared" si="421"/>
        <v>#DIV/0!</v>
      </c>
      <c r="Y1599" s="451">
        <f>IFERROR(VLOOKUP(E:E,'Item Data Support Sheet'!A:J,6,0),0)</f>
        <v>0</v>
      </c>
      <c r="Z1599" s="428">
        <f>IFERROR(VLOOKUP(E:E,'Item Data Support Sheet'!A:O,4,0),0)</f>
        <v>0</v>
      </c>
      <c r="AA1599" s="428">
        <f t="shared" si="422"/>
        <v>0</v>
      </c>
      <c r="AB1599" s="429" t="str">
        <f t="shared" si="423"/>
        <v xml:space="preserve"> </v>
      </c>
      <c r="AC1599" s="424">
        <f t="shared" si="424"/>
        <v>0</v>
      </c>
      <c r="AD1599" s="371">
        <f t="shared" si="425"/>
        <v>0</v>
      </c>
      <c r="AE1599" s="748" t="e">
        <f t="shared" si="426"/>
        <v>#DIV/0!</v>
      </c>
      <c r="AF1599" s="417">
        <f t="shared" si="427"/>
        <v>0</v>
      </c>
      <c r="AG1599" s="416">
        <f t="shared" si="428"/>
        <v>0</v>
      </c>
      <c r="AH1599" s="372" t="str">
        <f t="shared" si="429"/>
        <v xml:space="preserve"> </v>
      </c>
      <c r="AI1599" s="373">
        <f t="shared" si="430"/>
        <v>0</v>
      </c>
      <c r="AJ1599" s="418" t="e">
        <f>VLOOKUP(D1599,'Standard Cycle time'!C:D,2,0)</f>
        <v>#N/A</v>
      </c>
      <c r="AK1599" s="418" t="e">
        <f t="shared" si="431"/>
        <v>#DIV/0!</v>
      </c>
      <c r="AL1599" s="374" t="e">
        <f t="shared" si="432"/>
        <v>#N/A</v>
      </c>
      <c r="AM1599" s="372" t="e">
        <f t="shared" si="433"/>
        <v>#DIV/0!</v>
      </c>
    </row>
    <row r="1600" spans="2:100">
      <c r="H1600" s="365" t="str">
        <f>IFERROR(VLOOKUP(E:E,'Item Data Support Sheet'!A:O,2,0),"")</f>
        <v/>
      </c>
      <c r="N1600" s="367">
        <f t="shared" si="419"/>
        <v>0</v>
      </c>
      <c r="W1600" s="453">
        <f t="shared" si="420"/>
        <v>0</v>
      </c>
      <c r="X1600" s="748" t="e">
        <f t="shared" si="421"/>
        <v>#DIV/0!</v>
      </c>
      <c r="Y1600" s="451">
        <f>IFERROR(VLOOKUP(E:E,'Item Data Support Sheet'!A:J,6,0),0)</f>
        <v>0</v>
      </c>
      <c r="Z1600" s="428">
        <f>IFERROR(VLOOKUP(E:E,'Item Data Support Sheet'!A:O,4,0),0)</f>
        <v>0</v>
      </c>
      <c r="AA1600" s="428">
        <f t="shared" si="422"/>
        <v>0</v>
      </c>
      <c r="AB1600" s="429" t="str">
        <f t="shared" si="423"/>
        <v xml:space="preserve"> </v>
      </c>
      <c r="AC1600" s="424">
        <f t="shared" si="424"/>
        <v>0</v>
      </c>
      <c r="AD1600" s="371">
        <f t="shared" si="425"/>
        <v>0</v>
      </c>
      <c r="AE1600" s="748" t="e">
        <f t="shared" si="426"/>
        <v>#DIV/0!</v>
      </c>
      <c r="AF1600" s="417">
        <f t="shared" si="427"/>
        <v>0</v>
      </c>
      <c r="AG1600" s="416">
        <f t="shared" si="428"/>
        <v>0</v>
      </c>
      <c r="AH1600" s="372" t="str">
        <f t="shared" si="429"/>
        <v xml:space="preserve"> </v>
      </c>
      <c r="AI1600" s="373">
        <f t="shared" si="430"/>
        <v>0</v>
      </c>
      <c r="AJ1600" s="418" t="e">
        <f>VLOOKUP(D1600,'Standard Cycle time'!C:D,2,0)</f>
        <v>#N/A</v>
      </c>
      <c r="AK1600" s="418" t="e">
        <f t="shared" si="431"/>
        <v>#DIV/0!</v>
      </c>
      <c r="AL1600" s="374" t="e">
        <f t="shared" si="432"/>
        <v>#N/A</v>
      </c>
      <c r="AM1600" s="372" t="e">
        <f t="shared" si="433"/>
        <v>#DIV/0!</v>
      </c>
    </row>
    <row r="1601" spans="8:39">
      <c r="H1601" s="365" t="str">
        <f>IFERROR(VLOOKUP(E:E,'Item Data Support Sheet'!A:O,2,0),"")</f>
        <v/>
      </c>
      <c r="N1601" s="367">
        <f t="shared" si="419"/>
        <v>0</v>
      </c>
      <c r="W1601" s="453">
        <f t="shared" si="420"/>
        <v>0</v>
      </c>
      <c r="X1601" s="748" t="e">
        <f t="shared" si="421"/>
        <v>#DIV/0!</v>
      </c>
      <c r="Y1601" s="451">
        <f>IFERROR(VLOOKUP(E:E,'Item Data Support Sheet'!A:J,6,0),0)</f>
        <v>0</v>
      </c>
      <c r="Z1601" s="428">
        <f>IFERROR(VLOOKUP(E:E,'Item Data Support Sheet'!A:O,4,0),0)</f>
        <v>0</v>
      </c>
      <c r="AA1601" s="428">
        <f t="shared" si="422"/>
        <v>0</v>
      </c>
      <c r="AB1601" s="429" t="str">
        <f t="shared" si="423"/>
        <v xml:space="preserve"> </v>
      </c>
      <c r="AC1601" s="424">
        <f t="shared" si="424"/>
        <v>0</v>
      </c>
      <c r="AD1601" s="371">
        <f t="shared" si="425"/>
        <v>0</v>
      </c>
      <c r="AE1601" s="748" t="e">
        <f t="shared" si="426"/>
        <v>#DIV/0!</v>
      </c>
      <c r="AF1601" s="417">
        <f t="shared" si="427"/>
        <v>0</v>
      </c>
      <c r="AG1601" s="416">
        <f t="shared" si="428"/>
        <v>0</v>
      </c>
      <c r="AH1601" s="372" t="str">
        <f t="shared" si="429"/>
        <v xml:space="preserve"> </v>
      </c>
      <c r="AI1601" s="373">
        <f t="shared" si="430"/>
        <v>0</v>
      </c>
      <c r="AJ1601" s="418" t="e">
        <f>VLOOKUP(D1601,'Standard Cycle time'!C:D,2,0)</f>
        <v>#N/A</v>
      </c>
      <c r="AK1601" s="418" t="e">
        <f t="shared" si="431"/>
        <v>#DIV/0!</v>
      </c>
      <c r="AL1601" s="374" t="e">
        <f t="shared" si="432"/>
        <v>#N/A</v>
      </c>
      <c r="AM1601" s="372" t="e">
        <f t="shared" si="433"/>
        <v>#DIV/0!</v>
      </c>
    </row>
    <row r="1602" spans="8:39">
      <c r="H1602" s="365" t="str">
        <f>IFERROR(VLOOKUP(E:E,'Item Data Support Sheet'!A:O,2,0),"")</f>
        <v/>
      </c>
      <c r="N1602" s="367">
        <f t="shared" si="419"/>
        <v>0</v>
      </c>
      <c r="W1602" s="453">
        <f t="shared" si="420"/>
        <v>0</v>
      </c>
      <c r="X1602" s="748" t="e">
        <f t="shared" si="421"/>
        <v>#DIV/0!</v>
      </c>
      <c r="Y1602" s="451">
        <f>IFERROR(VLOOKUP(E:E,'Item Data Support Sheet'!A:J,6,0),0)</f>
        <v>0</v>
      </c>
      <c r="Z1602" s="428">
        <f>IFERROR(VLOOKUP(E:E,'Item Data Support Sheet'!A:O,4,0),0)</f>
        <v>0</v>
      </c>
      <c r="AA1602" s="428">
        <f t="shared" si="422"/>
        <v>0</v>
      </c>
      <c r="AB1602" s="429" t="str">
        <f t="shared" si="423"/>
        <v xml:space="preserve"> </v>
      </c>
      <c r="AC1602" s="424">
        <f t="shared" si="424"/>
        <v>0</v>
      </c>
      <c r="AD1602" s="371">
        <f t="shared" si="425"/>
        <v>0</v>
      </c>
      <c r="AE1602" s="748" t="e">
        <f t="shared" si="426"/>
        <v>#DIV/0!</v>
      </c>
      <c r="AF1602" s="417">
        <f t="shared" si="427"/>
        <v>0</v>
      </c>
      <c r="AG1602" s="416">
        <f t="shared" si="428"/>
        <v>0</v>
      </c>
      <c r="AH1602" s="372" t="str">
        <f t="shared" si="429"/>
        <v xml:space="preserve"> </v>
      </c>
      <c r="AI1602" s="373">
        <f t="shared" si="430"/>
        <v>0</v>
      </c>
      <c r="AJ1602" s="418" t="e">
        <f>VLOOKUP(D1602,'Standard Cycle time'!C:D,2,0)</f>
        <v>#N/A</v>
      </c>
      <c r="AK1602" s="418" t="e">
        <f t="shared" si="431"/>
        <v>#DIV/0!</v>
      </c>
      <c r="AL1602" s="374" t="e">
        <f t="shared" si="432"/>
        <v>#N/A</v>
      </c>
      <c r="AM1602" s="372" t="e">
        <f t="shared" si="433"/>
        <v>#DIV/0!</v>
      </c>
    </row>
    <row r="1603" spans="8:39">
      <c r="H1603" s="365" t="str">
        <f>IFERROR(VLOOKUP(E:E,'Item Data Support Sheet'!A:O,2,0),"")</f>
        <v/>
      </c>
      <c r="N1603" s="367">
        <f t="shared" si="419"/>
        <v>0</v>
      </c>
      <c r="W1603" s="453">
        <f t="shared" si="420"/>
        <v>0</v>
      </c>
      <c r="X1603" s="748" t="e">
        <f t="shared" si="421"/>
        <v>#DIV/0!</v>
      </c>
      <c r="Y1603" s="451">
        <f>IFERROR(VLOOKUP(E:E,'Item Data Support Sheet'!A:J,6,0),0)</f>
        <v>0</v>
      </c>
      <c r="Z1603" s="428">
        <f>IFERROR(VLOOKUP(E:E,'Item Data Support Sheet'!A:O,4,0),0)</f>
        <v>0</v>
      </c>
      <c r="AA1603" s="428">
        <f t="shared" si="422"/>
        <v>0</v>
      </c>
      <c r="AB1603" s="429" t="str">
        <f t="shared" si="423"/>
        <v xml:space="preserve"> </v>
      </c>
      <c r="AC1603" s="424">
        <f t="shared" si="424"/>
        <v>0</v>
      </c>
      <c r="AD1603" s="371">
        <f t="shared" si="425"/>
        <v>0</v>
      </c>
      <c r="AE1603" s="748" t="e">
        <f t="shared" si="426"/>
        <v>#DIV/0!</v>
      </c>
      <c r="AF1603" s="417">
        <f t="shared" si="427"/>
        <v>0</v>
      </c>
      <c r="AG1603" s="416">
        <f t="shared" si="428"/>
        <v>0</v>
      </c>
      <c r="AH1603" s="372" t="str">
        <f t="shared" si="429"/>
        <v xml:space="preserve"> </v>
      </c>
      <c r="AI1603" s="373">
        <f t="shared" si="430"/>
        <v>0</v>
      </c>
      <c r="AJ1603" s="418" t="e">
        <f>VLOOKUP(D1603,'Standard Cycle time'!C:D,2,0)</f>
        <v>#N/A</v>
      </c>
      <c r="AK1603" s="418" t="e">
        <f t="shared" si="431"/>
        <v>#DIV/0!</v>
      </c>
      <c r="AL1603" s="374" t="e">
        <f t="shared" si="432"/>
        <v>#N/A</v>
      </c>
      <c r="AM1603" s="372" t="e">
        <f t="shared" si="433"/>
        <v>#DIV/0!</v>
      </c>
    </row>
    <row r="1604" spans="8:39">
      <c r="H1604" s="365" t="str">
        <f>IFERROR(VLOOKUP(E:E,'Item Data Support Sheet'!A:O,2,0),"")</f>
        <v/>
      </c>
      <c r="N1604" s="367">
        <f t="shared" ref="N1604:N1617" si="434">+O1604+Q1604+T1604+U1604</f>
        <v>0</v>
      </c>
      <c r="W1604" s="453">
        <f t="shared" si="420"/>
        <v>0</v>
      </c>
      <c r="X1604" s="748" t="e">
        <f t="shared" si="421"/>
        <v>#DIV/0!</v>
      </c>
      <c r="Y1604" s="451">
        <f>IFERROR(VLOOKUP(E:E,'Item Data Support Sheet'!A:J,6,0),0)</f>
        <v>0</v>
      </c>
      <c r="Z1604" s="428">
        <f>IFERROR(VLOOKUP(E:E,'Item Data Support Sheet'!A:O,4,0),0)</f>
        <v>0</v>
      </c>
      <c r="AA1604" s="428">
        <f t="shared" si="422"/>
        <v>0</v>
      </c>
      <c r="AB1604" s="429" t="str">
        <f t="shared" si="423"/>
        <v xml:space="preserve"> </v>
      </c>
      <c r="AC1604" s="424">
        <f t="shared" si="424"/>
        <v>0</v>
      </c>
      <c r="AD1604" s="371">
        <f t="shared" si="425"/>
        <v>0</v>
      </c>
      <c r="AE1604" s="748" t="e">
        <f t="shared" si="426"/>
        <v>#DIV/0!</v>
      </c>
      <c r="AF1604" s="417">
        <f t="shared" si="427"/>
        <v>0</v>
      </c>
      <c r="AG1604" s="416">
        <f t="shared" si="428"/>
        <v>0</v>
      </c>
      <c r="AH1604" s="372" t="str">
        <f t="shared" si="429"/>
        <v xml:space="preserve"> </v>
      </c>
      <c r="AI1604" s="373">
        <f t="shared" si="430"/>
        <v>0</v>
      </c>
      <c r="AJ1604" s="418" t="e">
        <f>VLOOKUP(D1604,'Standard Cycle time'!C:D,2,0)</f>
        <v>#N/A</v>
      </c>
      <c r="AK1604" s="418" t="e">
        <f t="shared" si="431"/>
        <v>#DIV/0!</v>
      </c>
      <c r="AL1604" s="374" t="e">
        <f t="shared" si="432"/>
        <v>#N/A</v>
      </c>
      <c r="AM1604" s="372" t="e">
        <f t="shared" si="433"/>
        <v>#DIV/0!</v>
      </c>
    </row>
    <row r="1605" spans="8:39">
      <c r="H1605" s="365" t="str">
        <f>IFERROR(VLOOKUP(E:E,'Item Data Support Sheet'!A:O,2,0),"")</f>
        <v/>
      </c>
      <c r="N1605" s="367">
        <f t="shared" si="434"/>
        <v>0</v>
      </c>
      <c r="W1605" s="453">
        <f t="shared" ref="W1605:W1641" si="435">IFERROR(O1605/V1605,0)</f>
        <v>0</v>
      </c>
      <c r="X1605" s="748" t="e">
        <f t="shared" ref="X1605:X1641" si="436">O1605/L1605</f>
        <v>#DIV/0!</v>
      </c>
      <c r="Y1605" s="451">
        <f>IFERROR(VLOOKUP(E:E,'Item Data Support Sheet'!A:J,6,0),0)</f>
        <v>0</v>
      </c>
      <c r="Z1605" s="428">
        <f>IFERROR(VLOOKUP(E:E,'Item Data Support Sheet'!A:O,4,0),0)</f>
        <v>0</v>
      </c>
      <c r="AA1605" s="428">
        <f t="shared" ref="AA1605:AA1641" si="437">IFERROR(((N1605)*(Z1605/1000))+P1605,0)</f>
        <v>0</v>
      </c>
      <c r="AB1605" s="429" t="str">
        <f t="shared" ref="AB1605:AB1641" si="438">IFERROR((O1605*(Z1605/1000)/(AA1605))," ")</f>
        <v xml:space="preserve"> </v>
      </c>
      <c r="AC1605" s="424">
        <f t="shared" ref="AC1605:AC1641" si="439">IFERROR((T1605)/((T1605)+O1605),0)</f>
        <v>0</v>
      </c>
      <c r="AD1605" s="371">
        <f t="shared" ref="AD1605:AD1641" si="440">IFERROR(Q1605/(Q1605+N1605),0)</f>
        <v>0</v>
      </c>
      <c r="AE1605" s="748" t="e">
        <f t="shared" ref="AE1605:AE1641" si="441">(N1605-T1605)/N1605</f>
        <v>#DIV/0!</v>
      </c>
      <c r="AF1605" s="417">
        <f t="shared" ref="AF1605:AF1641" si="442">BR1605</f>
        <v>0</v>
      </c>
      <c r="AG1605" s="416">
        <f t="shared" ref="AG1605:AG1641" si="443">K1605-AF1605</f>
        <v>0</v>
      </c>
      <c r="AH1605" s="372" t="str">
        <f t="shared" ref="AH1605:AH1641" si="444">IFERROR(AG1605/K1605," ")</f>
        <v xml:space="preserve"> </v>
      </c>
      <c r="AI1605" s="373">
        <f t="shared" ref="AI1605:AI1641" si="445">IFERROR(O1605/K1605,0)</f>
        <v>0</v>
      </c>
      <c r="AJ1605" s="418" t="e">
        <f>VLOOKUP(D1605,'Standard Cycle time'!C:D,2,0)</f>
        <v>#N/A</v>
      </c>
      <c r="AK1605" s="418" t="e">
        <f t="shared" ref="AK1605:AK1641" si="446">AG1605*V1605*3600/O1605</f>
        <v>#DIV/0!</v>
      </c>
      <c r="AL1605" s="374" t="e">
        <f t="shared" ref="AL1605:AL1641" si="447">AJ1605/AK1605</f>
        <v>#N/A</v>
      </c>
      <c r="AM1605" s="372" t="e">
        <f t="shared" ref="AM1605:AM1641" si="448">AE1605*AL1605*AH1605</f>
        <v>#DIV/0!</v>
      </c>
    </row>
    <row r="1606" spans="8:39">
      <c r="H1606" s="365" t="str">
        <f>IFERROR(VLOOKUP(E:E,'Item Data Support Sheet'!A:O,2,0),"")</f>
        <v/>
      </c>
      <c r="N1606" s="367">
        <f t="shared" si="434"/>
        <v>0</v>
      </c>
      <c r="W1606" s="453">
        <f t="shared" si="435"/>
        <v>0</v>
      </c>
      <c r="X1606" s="748" t="e">
        <f t="shared" si="436"/>
        <v>#DIV/0!</v>
      </c>
      <c r="Y1606" s="451">
        <f>IFERROR(VLOOKUP(E:E,'Item Data Support Sheet'!A:J,6,0),0)</f>
        <v>0</v>
      </c>
      <c r="Z1606" s="428">
        <f>IFERROR(VLOOKUP(E:E,'Item Data Support Sheet'!A:O,4,0),0)</f>
        <v>0</v>
      </c>
      <c r="AA1606" s="428">
        <f t="shared" si="437"/>
        <v>0</v>
      </c>
      <c r="AB1606" s="429" t="str">
        <f t="shared" si="438"/>
        <v xml:space="preserve"> </v>
      </c>
      <c r="AC1606" s="424">
        <f t="shared" si="439"/>
        <v>0</v>
      </c>
      <c r="AD1606" s="371">
        <f t="shared" si="440"/>
        <v>0</v>
      </c>
      <c r="AE1606" s="748" t="e">
        <f t="shared" si="441"/>
        <v>#DIV/0!</v>
      </c>
      <c r="AF1606" s="417">
        <f t="shared" si="442"/>
        <v>0</v>
      </c>
      <c r="AG1606" s="416">
        <f t="shared" si="443"/>
        <v>0</v>
      </c>
      <c r="AH1606" s="372" t="str">
        <f t="shared" si="444"/>
        <v xml:space="preserve"> </v>
      </c>
      <c r="AI1606" s="373">
        <f t="shared" si="445"/>
        <v>0</v>
      </c>
      <c r="AJ1606" s="418" t="e">
        <f>VLOOKUP(D1606,'Standard Cycle time'!C:D,2,0)</f>
        <v>#N/A</v>
      </c>
      <c r="AK1606" s="418" t="e">
        <f t="shared" si="446"/>
        <v>#DIV/0!</v>
      </c>
      <c r="AL1606" s="374" t="e">
        <f t="shared" si="447"/>
        <v>#N/A</v>
      </c>
      <c r="AM1606" s="372" t="e">
        <f t="shared" si="448"/>
        <v>#DIV/0!</v>
      </c>
    </row>
    <row r="1607" spans="8:39">
      <c r="H1607" s="365" t="str">
        <f>IFERROR(VLOOKUP(E:E,'Item Data Support Sheet'!A:O,2,0),"")</f>
        <v/>
      </c>
      <c r="N1607" s="367">
        <f t="shared" si="434"/>
        <v>0</v>
      </c>
      <c r="W1607" s="453">
        <f t="shared" si="435"/>
        <v>0</v>
      </c>
      <c r="X1607" s="748" t="e">
        <f t="shared" si="436"/>
        <v>#DIV/0!</v>
      </c>
      <c r="Y1607" s="451">
        <f>IFERROR(VLOOKUP(E:E,'Item Data Support Sheet'!A:J,6,0),0)</f>
        <v>0</v>
      </c>
      <c r="Z1607" s="428">
        <f>IFERROR(VLOOKUP(E:E,'Item Data Support Sheet'!A:O,4,0),0)</f>
        <v>0</v>
      </c>
      <c r="AA1607" s="428">
        <f t="shared" si="437"/>
        <v>0</v>
      </c>
      <c r="AB1607" s="429" t="str">
        <f t="shared" si="438"/>
        <v xml:space="preserve"> </v>
      </c>
      <c r="AC1607" s="424">
        <f t="shared" si="439"/>
        <v>0</v>
      </c>
      <c r="AD1607" s="371">
        <f t="shared" si="440"/>
        <v>0</v>
      </c>
      <c r="AE1607" s="748" t="e">
        <f t="shared" si="441"/>
        <v>#DIV/0!</v>
      </c>
      <c r="AF1607" s="417">
        <f t="shared" si="442"/>
        <v>0</v>
      </c>
      <c r="AG1607" s="416">
        <f t="shared" si="443"/>
        <v>0</v>
      </c>
      <c r="AH1607" s="372" t="str">
        <f t="shared" si="444"/>
        <v xml:space="preserve"> </v>
      </c>
      <c r="AI1607" s="373">
        <f t="shared" si="445"/>
        <v>0</v>
      </c>
      <c r="AJ1607" s="418" t="e">
        <f>VLOOKUP(D1607,'Standard Cycle time'!C:D,2,0)</f>
        <v>#N/A</v>
      </c>
      <c r="AK1607" s="418" t="e">
        <f t="shared" si="446"/>
        <v>#DIV/0!</v>
      </c>
      <c r="AL1607" s="374" t="e">
        <f t="shared" si="447"/>
        <v>#N/A</v>
      </c>
      <c r="AM1607" s="372" t="e">
        <f t="shared" si="448"/>
        <v>#DIV/0!</v>
      </c>
    </row>
    <row r="1608" spans="8:39">
      <c r="H1608" s="365" t="str">
        <f>IFERROR(VLOOKUP(E:E,'Item Data Support Sheet'!A:O,2,0),"")</f>
        <v/>
      </c>
      <c r="N1608" s="367">
        <f t="shared" si="434"/>
        <v>0</v>
      </c>
      <c r="W1608" s="453">
        <f t="shared" si="435"/>
        <v>0</v>
      </c>
      <c r="X1608" s="748" t="e">
        <f t="shared" si="436"/>
        <v>#DIV/0!</v>
      </c>
      <c r="Y1608" s="451">
        <f>IFERROR(VLOOKUP(E:E,'Item Data Support Sheet'!A:J,6,0),0)</f>
        <v>0</v>
      </c>
      <c r="Z1608" s="428">
        <f>IFERROR(VLOOKUP(E:E,'Item Data Support Sheet'!A:O,4,0),0)</f>
        <v>0</v>
      </c>
      <c r="AA1608" s="428">
        <f t="shared" si="437"/>
        <v>0</v>
      </c>
      <c r="AB1608" s="429" t="str">
        <f t="shared" si="438"/>
        <v xml:space="preserve"> </v>
      </c>
      <c r="AC1608" s="424">
        <f t="shared" si="439"/>
        <v>0</v>
      </c>
      <c r="AD1608" s="371">
        <f t="shared" si="440"/>
        <v>0</v>
      </c>
      <c r="AE1608" s="748" t="e">
        <f t="shared" si="441"/>
        <v>#DIV/0!</v>
      </c>
      <c r="AF1608" s="417">
        <f t="shared" si="442"/>
        <v>0</v>
      </c>
      <c r="AG1608" s="416">
        <f t="shared" si="443"/>
        <v>0</v>
      </c>
      <c r="AH1608" s="372" t="str">
        <f t="shared" si="444"/>
        <v xml:space="preserve"> </v>
      </c>
      <c r="AI1608" s="373">
        <f t="shared" si="445"/>
        <v>0</v>
      </c>
      <c r="AJ1608" s="418" t="e">
        <f>VLOOKUP(D1608,'Standard Cycle time'!C:D,2,0)</f>
        <v>#N/A</v>
      </c>
      <c r="AK1608" s="418" t="e">
        <f t="shared" si="446"/>
        <v>#DIV/0!</v>
      </c>
      <c r="AL1608" s="374" t="e">
        <f t="shared" si="447"/>
        <v>#N/A</v>
      </c>
      <c r="AM1608" s="372" t="e">
        <f t="shared" si="448"/>
        <v>#DIV/0!</v>
      </c>
    </row>
    <row r="1609" spans="8:39">
      <c r="H1609" s="365" t="str">
        <f>IFERROR(VLOOKUP(E:E,'Item Data Support Sheet'!A:O,2,0),"")</f>
        <v/>
      </c>
      <c r="N1609" s="367">
        <f t="shared" si="434"/>
        <v>0</v>
      </c>
      <c r="W1609" s="453">
        <f t="shared" si="435"/>
        <v>0</v>
      </c>
      <c r="X1609" s="748" t="e">
        <f t="shared" si="436"/>
        <v>#DIV/0!</v>
      </c>
      <c r="Y1609" s="451">
        <f>IFERROR(VLOOKUP(E:E,'Item Data Support Sheet'!A:J,6,0),0)</f>
        <v>0</v>
      </c>
      <c r="Z1609" s="428">
        <f>IFERROR(VLOOKUP(E:E,'Item Data Support Sheet'!A:O,4,0),0)</f>
        <v>0</v>
      </c>
      <c r="AA1609" s="428">
        <f t="shared" si="437"/>
        <v>0</v>
      </c>
      <c r="AB1609" s="429" t="str">
        <f t="shared" si="438"/>
        <v xml:space="preserve"> </v>
      </c>
      <c r="AC1609" s="424">
        <f t="shared" si="439"/>
        <v>0</v>
      </c>
      <c r="AD1609" s="371">
        <f t="shared" si="440"/>
        <v>0</v>
      </c>
      <c r="AE1609" s="748" t="e">
        <f t="shared" si="441"/>
        <v>#DIV/0!</v>
      </c>
      <c r="AF1609" s="417">
        <f t="shared" si="442"/>
        <v>0</v>
      </c>
      <c r="AG1609" s="416">
        <f t="shared" si="443"/>
        <v>0</v>
      </c>
      <c r="AH1609" s="372" t="str">
        <f t="shared" si="444"/>
        <v xml:space="preserve"> </v>
      </c>
      <c r="AI1609" s="373">
        <f t="shared" si="445"/>
        <v>0</v>
      </c>
      <c r="AJ1609" s="418" t="e">
        <f>VLOOKUP(D1609,'Standard Cycle time'!C:D,2,0)</f>
        <v>#N/A</v>
      </c>
      <c r="AK1609" s="418" t="e">
        <f t="shared" si="446"/>
        <v>#DIV/0!</v>
      </c>
      <c r="AL1609" s="374" t="e">
        <f t="shared" si="447"/>
        <v>#N/A</v>
      </c>
      <c r="AM1609" s="372" t="e">
        <f t="shared" si="448"/>
        <v>#DIV/0!</v>
      </c>
    </row>
    <row r="1610" spans="8:39">
      <c r="H1610" s="365" t="str">
        <f>IFERROR(VLOOKUP(E:E,'Item Data Support Sheet'!A:O,2,0),"")</f>
        <v/>
      </c>
      <c r="N1610" s="367">
        <f t="shared" si="434"/>
        <v>0</v>
      </c>
      <c r="W1610" s="453">
        <f t="shared" si="435"/>
        <v>0</v>
      </c>
      <c r="X1610" s="748" t="e">
        <f t="shared" si="436"/>
        <v>#DIV/0!</v>
      </c>
      <c r="Y1610" s="451">
        <f>IFERROR(VLOOKUP(E:E,'Item Data Support Sheet'!A:J,6,0),0)</f>
        <v>0</v>
      </c>
      <c r="Z1610" s="428">
        <f>IFERROR(VLOOKUP(E:E,'Item Data Support Sheet'!A:O,4,0),0)</f>
        <v>0</v>
      </c>
      <c r="AA1610" s="428">
        <f t="shared" si="437"/>
        <v>0</v>
      </c>
      <c r="AB1610" s="429" t="str">
        <f t="shared" si="438"/>
        <v xml:space="preserve"> </v>
      </c>
      <c r="AC1610" s="424">
        <f t="shared" si="439"/>
        <v>0</v>
      </c>
      <c r="AD1610" s="371">
        <f t="shared" si="440"/>
        <v>0</v>
      </c>
      <c r="AE1610" s="748" t="e">
        <f t="shared" si="441"/>
        <v>#DIV/0!</v>
      </c>
      <c r="AF1610" s="417">
        <f t="shared" si="442"/>
        <v>0</v>
      </c>
      <c r="AG1610" s="416">
        <f t="shared" si="443"/>
        <v>0</v>
      </c>
      <c r="AH1610" s="372" t="str">
        <f t="shared" si="444"/>
        <v xml:space="preserve"> </v>
      </c>
      <c r="AI1610" s="373">
        <f t="shared" si="445"/>
        <v>0</v>
      </c>
      <c r="AJ1610" s="418" t="e">
        <f>VLOOKUP(D1610,'Standard Cycle time'!C:D,2,0)</f>
        <v>#N/A</v>
      </c>
      <c r="AK1610" s="418" t="e">
        <f t="shared" si="446"/>
        <v>#DIV/0!</v>
      </c>
      <c r="AL1610" s="374" t="e">
        <f t="shared" si="447"/>
        <v>#N/A</v>
      </c>
      <c r="AM1610" s="372" t="e">
        <f t="shared" si="448"/>
        <v>#DIV/0!</v>
      </c>
    </row>
    <row r="1611" spans="8:39">
      <c r="H1611" s="365" t="str">
        <f>IFERROR(VLOOKUP(E:E,'Item Data Support Sheet'!A:O,2,0),"")</f>
        <v/>
      </c>
      <c r="N1611" s="367">
        <f t="shared" si="434"/>
        <v>0</v>
      </c>
      <c r="W1611" s="453">
        <f t="shared" si="435"/>
        <v>0</v>
      </c>
      <c r="X1611" s="748" t="e">
        <f t="shared" si="436"/>
        <v>#DIV/0!</v>
      </c>
      <c r="Y1611" s="451">
        <f>IFERROR(VLOOKUP(E:E,'Item Data Support Sheet'!A:J,6,0),0)</f>
        <v>0</v>
      </c>
      <c r="Z1611" s="428">
        <f>IFERROR(VLOOKUP(E:E,'Item Data Support Sheet'!A:O,4,0),0)</f>
        <v>0</v>
      </c>
      <c r="AA1611" s="428">
        <f t="shared" si="437"/>
        <v>0</v>
      </c>
      <c r="AB1611" s="429" t="str">
        <f t="shared" si="438"/>
        <v xml:space="preserve"> </v>
      </c>
      <c r="AC1611" s="424">
        <f t="shared" si="439"/>
        <v>0</v>
      </c>
      <c r="AD1611" s="371">
        <f t="shared" si="440"/>
        <v>0</v>
      </c>
      <c r="AE1611" s="748" t="e">
        <f t="shared" si="441"/>
        <v>#DIV/0!</v>
      </c>
      <c r="AF1611" s="417">
        <f t="shared" si="442"/>
        <v>0</v>
      </c>
      <c r="AG1611" s="416">
        <f t="shared" si="443"/>
        <v>0</v>
      </c>
      <c r="AH1611" s="372" t="str">
        <f t="shared" si="444"/>
        <v xml:space="preserve"> </v>
      </c>
      <c r="AI1611" s="373">
        <f t="shared" si="445"/>
        <v>0</v>
      </c>
      <c r="AJ1611" s="418" t="e">
        <f>VLOOKUP(D1611,'Standard Cycle time'!C:D,2,0)</f>
        <v>#N/A</v>
      </c>
      <c r="AK1611" s="418" t="e">
        <f t="shared" si="446"/>
        <v>#DIV/0!</v>
      </c>
      <c r="AL1611" s="374" t="e">
        <f t="shared" si="447"/>
        <v>#N/A</v>
      </c>
      <c r="AM1611" s="372" t="e">
        <f t="shared" si="448"/>
        <v>#DIV/0!</v>
      </c>
    </row>
    <row r="1612" spans="8:39">
      <c r="H1612" s="365" t="str">
        <f>IFERROR(VLOOKUP(E:E,'Item Data Support Sheet'!A:O,2,0),"")</f>
        <v/>
      </c>
      <c r="N1612" s="367">
        <f t="shared" si="434"/>
        <v>0</v>
      </c>
      <c r="W1612" s="453">
        <f t="shared" si="435"/>
        <v>0</v>
      </c>
      <c r="X1612" s="748" t="e">
        <f t="shared" si="436"/>
        <v>#DIV/0!</v>
      </c>
      <c r="Y1612" s="451">
        <f>IFERROR(VLOOKUP(E:E,'Item Data Support Sheet'!A:J,6,0),0)</f>
        <v>0</v>
      </c>
      <c r="Z1612" s="428">
        <f>IFERROR(VLOOKUP(E:E,'Item Data Support Sheet'!A:O,4,0),0)</f>
        <v>0</v>
      </c>
      <c r="AA1612" s="428">
        <f t="shared" si="437"/>
        <v>0</v>
      </c>
      <c r="AB1612" s="429" t="str">
        <f t="shared" si="438"/>
        <v xml:space="preserve"> </v>
      </c>
      <c r="AC1612" s="424">
        <f t="shared" si="439"/>
        <v>0</v>
      </c>
      <c r="AD1612" s="371">
        <f t="shared" si="440"/>
        <v>0</v>
      </c>
      <c r="AE1612" s="748" t="e">
        <f t="shared" si="441"/>
        <v>#DIV/0!</v>
      </c>
      <c r="AF1612" s="417">
        <f t="shared" si="442"/>
        <v>0</v>
      </c>
      <c r="AG1612" s="416">
        <f t="shared" si="443"/>
        <v>0</v>
      </c>
      <c r="AH1612" s="372" t="str">
        <f t="shared" si="444"/>
        <v xml:space="preserve"> </v>
      </c>
      <c r="AI1612" s="373">
        <f t="shared" si="445"/>
        <v>0</v>
      </c>
      <c r="AJ1612" s="418" t="e">
        <f>VLOOKUP(D1612,'Standard Cycle time'!C:D,2,0)</f>
        <v>#N/A</v>
      </c>
      <c r="AK1612" s="418" t="e">
        <f t="shared" si="446"/>
        <v>#DIV/0!</v>
      </c>
      <c r="AL1612" s="374" t="e">
        <f t="shared" si="447"/>
        <v>#N/A</v>
      </c>
      <c r="AM1612" s="372" t="e">
        <f t="shared" si="448"/>
        <v>#DIV/0!</v>
      </c>
    </row>
    <row r="1613" spans="8:39">
      <c r="H1613" s="365" t="str">
        <f>IFERROR(VLOOKUP(E:E,'Item Data Support Sheet'!A:O,2,0),"")</f>
        <v/>
      </c>
      <c r="N1613" s="367">
        <f t="shared" si="434"/>
        <v>0</v>
      </c>
      <c r="W1613" s="453">
        <f t="shared" si="435"/>
        <v>0</v>
      </c>
      <c r="X1613" s="748" t="e">
        <f t="shared" si="436"/>
        <v>#DIV/0!</v>
      </c>
      <c r="Y1613" s="451">
        <f>IFERROR(VLOOKUP(E:E,'Item Data Support Sheet'!A:J,6,0),0)</f>
        <v>0</v>
      </c>
      <c r="Z1613" s="428">
        <f>IFERROR(VLOOKUP(E:E,'Item Data Support Sheet'!A:O,4,0),0)</f>
        <v>0</v>
      </c>
      <c r="AA1613" s="428">
        <f t="shared" si="437"/>
        <v>0</v>
      </c>
      <c r="AB1613" s="429" t="str">
        <f t="shared" si="438"/>
        <v xml:space="preserve"> </v>
      </c>
      <c r="AC1613" s="424">
        <f t="shared" si="439"/>
        <v>0</v>
      </c>
      <c r="AD1613" s="371">
        <f t="shared" si="440"/>
        <v>0</v>
      </c>
      <c r="AE1613" s="748" t="e">
        <f t="shared" si="441"/>
        <v>#DIV/0!</v>
      </c>
      <c r="AF1613" s="417">
        <f t="shared" si="442"/>
        <v>0</v>
      </c>
      <c r="AG1613" s="416">
        <f t="shared" si="443"/>
        <v>0</v>
      </c>
      <c r="AH1613" s="372" t="str">
        <f t="shared" si="444"/>
        <v xml:space="preserve"> </v>
      </c>
      <c r="AI1613" s="373">
        <f t="shared" si="445"/>
        <v>0</v>
      </c>
      <c r="AJ1613" s="418" t="e">
        <f>VLOOKUP(D1613,'Standard Cycle time'!C:D,2,0)</f>
        <v>#N/A</v>
      </c>
      <c r="AK1613" s="418" t="e">
        <f t="shared" si="446"/>
        <v>#DIV/0!</v>
      </c>
      <c r="AL1613" s="374" t="e">
        <f t="shared" si="447"/>
        <v>#N/A</v>
      </c>
      <c r="AM1613" s="372" t="e">
        <f t="shared" si="448"/>
        <v>#DIV/0!</v>
      </c>
    </row>
    <row r="1614" spans="8:39">
      <c r="H1614" s="365" t="str">
        <f>IFERROR(VLOOKUP(E:E,'Item Data Support Sheet'!A:O,2,0),"")</f>
        <v/>
      </c>
      <c r="N1614" s="367">
        <f t="shared" si="434"/>
        <v>0</v>
      </c>
      <c r="W1614" s="453">
        <f t="shared" si="435"/>
        <v>0</v>
      </c>
      <c r="X1614" s="748" t="e">
        <f t="shared" si="436"/>
        <v>#DIV/0!</v>
      </c>
      <c r="Y1614" s="451">
        <f>IFERROR(VLOOKUP(E:E,'Item Data Support Sheet'!A:J,6,0),0)</f>
        <v>0</v>
      </c>
      <c r="Z1614" s="428">
        <f>IFERROR(VLOOKUP(E:E,'Item Data Support Sheet'!A:O,4,0),0)</f>
        <v>0</v>
      </c>
      <c r="AA1614" s="428">
        <f t="shared" si="437"/>
        <v>0</v>
      </c>
      <c r="AB1614" s="429" t="str">
        <f t="shared" si="438"/>
        <v xml:space="preserve"> </v>
      </c>
      <c r="AC1614" s="424">
        <f t="shared" si="439"/>
        <v>0</v>
      </c>
      <c r="AD1614" s="371">
        <f t="shared" si="440"/>
        <v>0</v>
      </c>
      <c r="AE1614" s="748" t="e">
        <f t="shared" si="441"/>
        <v>#DIV/0!</v>
      </c>
      <c r="AF1614" s="417">
        <f t="shared" si="442"/>
        <v>0</v>
      </c>
      <c r="AG1614" s="416">
        <f t="shared" si="443"/>
        <v>0</v>
      </c>
      <c r="AH1614" s="372" t="str">
        <f t="shared" si="444"/>
        <v xml:space="preserve"> </v>
      </c>
      <c r="AI1614" s="373">
        <f t="shared" si="445"/>
        <v>0</v>
      </c>
      <c r="AJ1614" s="418" t="e">
        <f>VLOOKUP(D1614,'Standard Cycle time'!C:D,2,0)</f>
        <v>#N/A</v>
      </c>
      <c r="AK1614" s="418" t="e">
        <f t="shared" si="446"/>
        <v>#DIV/0!</v>
      </c>
      <c r="AL1614" s="374" t="e">
        <f t="shared" si="447"/>
        <v>#N/A</v>
      </c>
      <c r="AM1614" s="372" t="e">
        <f t="shared" si="448"/>
        <v>#DIV/0!</v>
      </c>
    </row>
    <row r="1615" spans="8:39">
      <c r="H1615" s="365" t="str">
        <f>IFERROR(VLOOKUP(E:E,'Item Data Support Sheet'!A:O,2,0),"")</f>
        <v/>
      </c>
      <c r="N1615" s="367">
        <f t="shared" si="434"/>
        <v>0</v>
      </c>
      <c r="W1615" s="453">
        <f t="shared" si="435"/>
        <v>0</v>
      </c>
      <c r="X1615" s="748" t="e">
        <f t="shared" si="436"/>
        <v>#DIV/0!</v>
      </c>
      <c r="Y1615" s="451">
        <f>IFERROR(VLOOKUP(E:E,'Item Data Support Sheet'!A:J,6,0),0)</f>
        <v>0</v>
      </c>
      <c r="Z1615" s="428">
        <f>IFERROR(VLOOKUP(E:E,'Item Data Support Sheet'!A:O,4,0),0)</f>
        <v>0</v>
      </c>
      <c r="AA1615" s="428">
        <f t="shared" si="437"/>
        <v>0</v>
      </c>
      <c r="AB1615" s="429" t="str">
        <f t="shared" si="438"/>
        <v xml:space="preserve"> </v>
      </c>
      <c r="AC1615" s="424">
        <f t="shared" si="439"/>
        <v>0</v>
      </c>
      <c r="AD1615" s="371">
        <f t="shared" si="440"/>
        <v>0</v>
      </c>
      <c r="AE1615" s="748" t="e">
        <f t="shared" si="441"/>
        <v>#DIV/0!</v>
      </c>
      <c r="AF1615" s="417">
        <f t="shared" si="442"/>
        <v>0</v>
      </c>
      <c r="AG1615" s="416">
        <f t="shared" si="443"/>
        <v>0</v>
      </c>
      <c r="AH1615" s="372" t="str">
        <f t="shared" si="444"/>
        <v xml:space="preserve"> </v>
      </c>
      <c r="AI1615" s="373">
        <f t="shared" si="445"/>
        <v>0</v>
      </c>
      <c r="AJ1615" s="418" t="e">
        <f>VLOOKUP(D1615,'Standard Cycle time'!C:D,2,0)</f>
        <v>#N/A</v>
      </c>
      <c r="AK1615" s="418" t="e">
        <f t="shared" si="446"/>
        <v>#DIV/0!</v>
      </c>
      <c r="AL1615" s="374" t="e">
        <f t="shared" si="447"/>
        <v>#N/A</v>
      </c>
      <c r="AM1615" s="372" t="e">
        <f t="shared" si="448"/>
        <v>#DIV/0!</v>
      </c>
    </row>
    <row r="1616" spans="8:39">
      <c r="H1616" s="365" t="str">
        <f>IFERROR(VLOOKUP(E:E,'Item Data Support Sheet'!A:O,2,0),"")</f>
        <v/>
      </c>
      <c r="N1616" s="367">
        <f t="shared" si="434"/>
        <v>0</v>
      </c>
      <c r="W1616" s="453">
        <f t="shared" si="435"/>
        <v>0</v>
      </c>
      <c r="X1616" s="748" t="e">
        <f t="shared" si="436"/>
        <v>#DIV/0!</v>
      </c>
      <c r="Y1616" s="451">
        <f>IFERROR(VLOOKUP(E:E,'Item Data Support Sheet'!A:J,6,0),0)</f>
        <v>0</v>
      </c>
      <c r="Z1616" s="428">
        <f>IFERROR(VLOOKUP(E:E,'Item Data Support Sheet'!A:O,4,0),0)</f>
        <v>0</v>
      </c>
      <c r="AA1616" s="428">
        <f t="shared" si="437"/>
        <v>0</v>
      </c>
      <c r="AB1616" s="429" t="str">
        <f t="shared" si="438"/>
        <v xml:space="preserve"> </v>
      </c>
      <c r="AC1616" s="424">
        <f t="shared" si="439"/>
        <v>0</v>
      </c>
      <c r="AD1616" s="371">
        <f t="shared" si="440"/>
        <v>0</v>
      </c>
      <c r="AE1616" s="748" t="e">
        <f t="shared" si="441"/>
        <v>#DIV/0!</v>
      </c>
      <c r="AF1616" s="417">
        <f t="shared" si="442"/>
        <v>0</v>
      </c>
      <c r="AG1616" s="416">
        <f t="shared" si="443"/>
        <v>0</v>
      </c>
      <c r="AH1616" s="372" t="str">
        <f t="shared" si="444"/>
        <v xml:space="preserve"> </v>
      </c>
      <c r="AI1616" s="373">
        <f t="shared" si="445"/>
        <v>0</v>
      </c>
      <c r="AJ1616" s="418" t="e">
        <f>VLOOKUP(D1616,'Standard Cycle time'!C:D,2,0)</f>
        <v>#N/A</v>
      </c>
      <c r="AK1616" s="418" t="e">
        <f t="shared" si="446"/>
        <v>#DIV/0!</v>
      </c>
      <c r="AL1616" s="374" t="e">
        <f t="shared" si="447"/>
        <v>#N/A</v>
      </c>
      <c r="AM1616" s="372" t="e">
        <f t="shared" si="448"/>
        <v>#DIV/0!</v>
      </c>
    </row>
    <row r="1617" spans="8:39">
      <c r="H1617" s="365" t="str">
        <f>IFERROR(VLOOKUP(E:E,'Item Data Support Sheet'!A:O,2,0),"")</f>
        <v/>
      </c>
      <c r="N1617" s="367">
        <f t="shared" si="434"/>
        <v>0</v>
      </c>
      <c r="W1617" s="453">
        <f t="shared" si="435"/>
        <v>0</v>
      </c>
      <c r="X1617" s="748" t="e">
        <f t="shared" si="436"/>
        <v>#DIV/0!</v>
      </c>
      <c r="Y1617" s="451">
        <f>IFERROR(VLOOKUP(E:E,'Item Data Support Sheet'!A:J,6,0),0)</f>
        <v>0</v>
      </c>
      <c r="Z1617" s="428">
        <f>IFERROR(VLOOKUP(E:E,'Item Data Support Sheet'!A:O,4,0),0)</f>
        <v>0</v>
      </c>
      <c r="AA1617" s="428">
        <f t="shared" si="437"/>
        <v>0</v>
      </c>
      <c r="AB1617" s="429" t="str">
        <f t="shared" si="438"/>
        <v xml:space="preserve"> </v>
      </c>
      <c r="AC1617" s="424">
        <f t="shared" si="439"/>
        <v>0</v>
      </c>
      <c r="AD1617" s="371">
        <f t="shared" si="440"/>
        <v>0</v>
      </c>
      <c r="AE1617" s="748" t="e">
        <f t="shared" si="441"/>
        <v>#DIV/0!</v>
      </c>
      <c r="AF1617" s="417">
        <f t="shared" si="442"/>
        <v>0</v>
      </c>
      <c r="AG1617" s="416">
        <f t="shared" si="443"/>
        <v>0</v>
      </c>
      <c r="AH1617" s="372" t="str">
        <f t="shared" si="444"/>
        <v xml:space="preserve"> </v>
      </c>
      <c r="AI1617" s="373">
        <f t="shared" si="445"/>
        <v>0</v>
      </c>
      <c r="AJ1617" s="418" t="e">
        <f>VLOOKUP(D1617,'Standard Cycle time'!C:D,2,0)</f>
        <v>#N/A</v>
      </c>
      <c r="AK1617" s="418" t="e">
        <f t="shared" si="446"/>
        <v>#DIV/0!</v>
      </c>
      <c r="AL1617" s="374" t="e">
        <f t="shared" si="447"/>
        <v>#N/A</v>
      </c>
      <c r="AM1617" s="372" t="e">
        <f t="shared" si="448"/>
        <v>#DIV/0!</v>
      </c>
    </row>
    <row r="1618" spans="8:39">
      <c r="H1618" s="365" t="str">
        <f>IFERROR(VLOOKUP(E:E,'Item Data Support Sheet'!A:O,2,0),"")</f>
        <v/>
      </c>
      <c r="W1618" s="453">
        <f t="shared" si="435"/>
        <v>0</v>
      </c>
      <c r="X1618" s="748" t="e">
        <f t="shared" si="436"/>
        <v>#DIV/0!</v>
      </c>
      <c r="Y1618" s="451">
        <f>IFERROR(VLOOKUP(E:E,'Item Data Support Sheet'!A:J,6,0),0)</f>
        <v>0</v>
      </c>
      <c r="Z1618" s="428">
        <f>IFERROR(VLOOKUP(E:E,'Item Data Support Sheet'!A:O,4,0),0)</f>
        <v>0</v>
      </c>
      <c r="AA1618" s="428">
        <f t="shared" si="437"/>
        <v>0</v>
      </c>
      <c r="AB1618" s="429" t="str">
        <f t="shared" si="438"/>
        <v xml:space="preserve"> </v>
      </c>
      <c r="AC1618" s="424">
        <f t="shared" si="439"/>
        <v>0</v>
      </c>
      <c r="AD1618" s="371">
        <f t="shared" si="440"/>
        <v>0</v>
      </c>
      <c r="AE1618" s="748" t="e">
        <f t="shared" si="441"/>
        <v>#DIV/0!</v>
      </c>
      <c r="AF1618" s="417">
        <f t="shared" si="442"/>
        <v>0</v>
      </c>
      <c r="AG1618" s="416">
        <f t="shared" si="443"/>
        <v>0</v>
      </c>
      <c r="AH1618" s="372" t="str">
        <f t="shared" si="444"/>
        <v xml:space="preserve"> </v>
      </c>
      <c r="AI1618" s="373">
        <f t="shared" si="445"/>
        <v>0</v>
      </c>
      <c r="AJ1618" s="418" t="e">
        <f>VLOOKUP(D1618,'Standard Cycle time'!C:D,2,0)</f>
        <v>#N/A</v>
      </c>
      <c r="AK1618" s="418" t="e">
        <f t="shared" si="446"/>
        <v>#DIV/0!</v>
      </c>
      <c r="AL1618" s="374" t="e">
        <f t="shared" si="447"/>
        <v>#N/A</v>
      </c>
      <c r="AM1618" s="372" t="e">
        <f t="shared" si="448"/>
        <v>#DIV/0!</v>
      </c>
    </row>
    <row r="1619" spans="8:39">
      <c r="H1619" s="365" t="str">
        <f>IFERROR(VLOOKUP(E:E,'Item Data Support Sheet'!A:O,2,0),"")</f>
        <v/>
      </c>
      <c r="W1619" s="453">
        <f t="shared" si="435"/>
        <v>0</v>
      </c>
      <c r="X1619" s="748" t="e">
        <f t="shared" si="436"/>
        <v>#DIV/0!</v>
      </c>
      <c r="Y1619" s="451">
        <f>IFERROR(VLOOKUP(E:E,'Item Data Support Sheet'!A:J,6,0),0)</f>
        <v>0</v>
      </c>
      <c r="Z1619" s="428">
        <f>IFERROR(VLOOKUP(E:E,'Item Data Support Sheet'!A:O,4,0),0)</f>
        <v>0</v>
      </c>
      <c r="AA1619" s="428">
        <f t="shared" si="437"/>
        <v>0</v>
      </c>
      <c r="AB1619" s="429" t="str">
        <f t="shared" si="438"/>
        <v xml:space="preserve"> </v>
      </c>
      <c r="AC1619" s="424">
        <f t="shared" si="439"/>
        <v>0</v>
      </c>
      <c r="AD1619" s="371">
        <f t="shared" si="440"/>
        <v>0</v>
      </c>
      <c r="AE1619" s="748" t="e">
        <f t="shared" si="441"/>
        <v>#DIV/0!</v>
      </c>
      <c r="AF1619" s="417">
        <f t="shared" si="442"/>
        <v>0</v>
      </c>
      <c r="AG1619" s="416">
        <f t="shared" si="443"/>
        <v>0</v>
      </c>
      <c r="AH1619" s="372" t="str">
        <f t="shared" si="444"/>
        <v xml:space="preserve"> </v>
      </c>
      <c r="AI1619" s="373">
        <f t="shared" si="445"/>
        <v>0</v>
      </c>
      <c r="AJ1619" s="418" t="e">
        <f>VLOOKUP(D1619,'Standard Cycle time'!C:D,2,0)</f>
        <v>#N/A</v>
      </c>
      <c r="AK1619" s="418" t="e">
        <f t="shared" si="446"/>
        <v>#DIV/0!</v>
      </c>
      <c r="AL1619" s="374" t="e">
        <f t="shared" si="447"/>
        <v>#N/A</v>
      </c>
      <c r="AM1619" s="372" t="e">
        <f t="shared" si="448"/>
        <v>#DIV/0!</v>
      </c>
    </row>
    <row r="1620" spans="8:39">
      <c r="H1620" s="365" t="str">
        <f>IFERROR(VLOOKUP(E:E,'Item Data Support Sheet'!A:O,2,0),"")</f>
        <v/>
      </c>
      <c r="W1620" s="453">
        <f t="shared" si="435"/>
        <v>0</v>
      </c>
      <c r="X1620" s="748" t="e">
        <f t="shared" si="436"/>
        <v>#DIV/0!</v>
      </c>
      <c r="Y1620" s="451">
        <f>IFERROR(VLOOKUP(E:E,'Item Data Support Sheet'!A:J,6,0),0)</f>
        <v>0</v>
      </c>
      <c r="Z1620" s="428">
        <f>IFERROR(VLOOKUP(E:E,'Item Data Support Sheet'!A:O,4,0),0)</f>
        <v>0</v>
      </c>
      <c r="AA1620" s="428">
        <f t="shared" si="437"/>
        <v>0</v>
      </c>
      <c r="AB1620" s="429" t="str">
        <f t="shared" si="438"/>
        <v xml:space="preserve"> </v>
      </c>
      <c r="AC1620" s="424">
        <f t="shared" si="439"/>
        <v>0</v>
      </c>
      <c r="AD1620" s="371">
        <f t="shared" si="440"/>
        <v>0</v>
      </c>
      <c r="AE1620" s="748" t="e">
        <f t="shared" si="441"/>
        <v>#DIV/0!</v>
      </c>
      <c r="AF1620" s="417">
        <f t="shared" si="442"/>
        <v>0</v>
      </c>
      <c r="AG1620" s="416">
        <f t="shared" si="443"/>
        <v>0</v>
      </c>
      <c r="AH1620" s="372" t="str">
        <f t="shared" si="444"/>
        <v xml:space="preserve"> </v>
      </c>
      <c r="AI1620" s="373">
        <f t="shared" si="445"/>
        <v>0</v>
      </c>
      <c r="AJ1620" s="418" t="e">
        <f>VLOOKUP(D1620,'Standard Cycle time'!C:D,2,0)</f>
        <v>#N/A</v>
      </c>
      <c r="AK1620" s="418" t="e">
        <f t="shared" si="446"/>
        <v>#DIV/0!</v>
      </c>
      <c r="AL1620" s="374" t="e">
        <f t="shared" si="447"/>
        <v>#N/A</v>
      </c>
      <c r="AM1620" s="372" t="e">
        <f t="shared" si="448"/>
        <v>#DIV/0!</v>
      </c>
    </row>
    <row r="1621" spans="8:39">
      <c r="H1621" s="365" t="str">
        <f>IFERROR(VLOOKUP(E:E,'Item Data Support Sheet'!A:O,2,0),"")</f>
        <v/>
      </c>
      <c r="W1621" s="453">
        <f t="shared" si="435"/>
        <v>0</v>
      </c>
      <c r="X1621" s="748" t="e">
        <f t="shared" si="436"/>
        <v>#DIV/0!</v>
      </c>
      <c r="Y1621" s="451">
        <f>IFERROR(VLOOKUP(E:E,'Item Data Support Sheet'!A:J,6,0),0)</f>
        <v>0</v>
      </c>
      <c r="Z1621" s="428">
        <f>IFERROR(VLOOKUP(E:E,'Item Data Support Sheet'!A:O,4,0),0)</f>
        <v>0</v>
      </c>
      <c r="AA1621" s="428">
        <f t="shared" si="437"/>
        <v>0</v>
      </c>
      <c r="AB1621" s="429" t="str">
        <f t="shared" si="438"/>
        <v xml:space="preserve"> </v>
      </c>
      <c r="AC1621" s="424">
        <f t="shared" si="439"/>
        <v>0</v>
      </c>
      <c r="AD1621" s="371">
        <f t="shared" si="440"/>
        <v>0</v>
      </c>
      <c r="AE1621" s="748" t="e">
        <f t="shared" si="441"/>
        <v>#DIV/0!</v>
      </c>
      <c r="AF1621" s="417">
        <f t="shared" si="442"/>
        <v>0</v>
      </c>
      <c r="AG1621" s="416">
        <f t="shared" si="443"/>
        <v>0</v>
      </c>
      <c r="AH1621" s="372" t="str">
        <f t="shared" si="444"/>
        <v xml:space="preserve"> </v>
      </c>
      <c r="AI1621" s="373">
        <f t="shared" si="445"/>
        <v>0</v>
      </c>
      <c r="AJ1621" s="418" t="e">
        <f>VLOOKUP(D1621,'Standard Cycle time'!C:D,2,0)</f>
        <v>#N/A</v>
      </c>
      <c r="AK1621" s="418" t="e">
        <f t="shared" si="446"/>
        <v>#DIV/0!</v>
      </c>
      <c r="AL1621" s="374" t="e">
        <f t="shared" si="447"/>
        <v>#N/A</v>
      </c>
      <c r="AM1621" s="372" t="e">
        <f t="shared" si="448"/>
        <v>#DIV/0!</v>
      </c>
    </row>
    <row r="1622" spans="8:39">
      <c r="H1622" s="365" t="str">
        <f>IFERROR(VLOOKUP(E:E,'Item Data Support Sheet'!A:O,2,0),"")</f>
        <v/>
      </c>
      <c r="W1622" s="453">
        <f t="shared" si="435"/>
        <v>0</v>
      </c>
      <c r="X1622" s="748" t="e">
        <f t="shared" si="436"/>
        <v>#DIV/0!</v>
      </c>
      <c r="Y1622" s="451">
        <f>IFERROR(VLOOKUP(E:E,'Item Data Support Sheet'!A:J,6,0),0)</f>
        <v>0</v>
      </c>
      <c r="Z1622" s="428">
        <f>IFERROR(VLOOKUP(E:E,'Item Data Support Sheet'!A:O,4,0),0)</f>
        <v>0</v>
      </c>
      <c r="AA1622" s="428">
        <f t="shared" si="437"/>
        <v>0</v>
      </c>
      <c r="AB1622" s="429" t="str">
        <f t="shared" si="438"/>
        <v xml:space="preserve"> </v>
      </c>
      <c r="AC1622" s="424">
        <f t="shared" si="439"/>
        <v>0</v>
      </c>
      <c r="AD1622" s="371">
        <f t="shared" si="440"/>
        <v>0</v>
      </c>
      <c r="AE1622" s="748" t="e">
        <f t="shared" si="441"/>
        <v>#DIV/0!</v>
      </c>
      <c r="AF1622" s="417">
        <f t="shared" si="442"/>
        <v>0</v>
      </c>
      <c r="AG1622" s="416">
        <f t="shared" si="443"/>
        <v>0</v>
      </c>
      <c r="AH1622" s="372" t="str">
        <f t="shared" si="444"/>
        <v xml:space="preserve"> </v>
      </c>
      <c r="AI1622" s="373">
        <f t="shared" si="445"/>
        <v>0</v>
      </c>
      <c r="AJ1622" s="418" t="e">
        <f>VLOOKUP(D1622,'Standard Cycle time'!C:D,2,0)</f>
        <v>#N/A</v>
      </c>
      <c r="AK1622" s="418" t="e">
        <f t="shared" si="446"/>
        <v>#DIV/0!</v>
      </c>
      <c r="AL1622" s="374" t="e">
        <f t="shared" si="447"/>
        <v>#N/A</v>
      </c>
      <c r="AM1622" s="372" t="e">
        <f t="shared" si="448"/>
        <v>#DIV/0!</v>
      </c>
    </row>
    <row r="1623" spans="8:39">
      <c r="H1623" s="365" t="str">
        <f>IFERROR(VLOOKUP(E:E,'Item Data Support Sheet'!A:O,2,0),"")</f>
        <v/>
      </c>
      <c r="W1623" s="453">
        <f t="shared" si="435"/>
        <v>0</v>
      </c>
      <c r="X1623" s="748" t="e">
        <f t="shared" si="436"/>
        <v>#DIV/0!</v>
      </c>
      <c r="Y1623" s="451">
        <f>IFERROR(VLOOKUP(E:E,'Item Data Support Sheet'!A:J,6,0),0)</f>
        <v>0</v>
      </c>
      <c r="Z1623" s="428">
        <f>IFERROR(VLOOKUP(E:E,'Item Data Support Sheet'!A:O,4,0),0)</f>
        <v>0</v>
      </c>
      <c r="AA1623" s="428">
        <f t="shared" si="437"/>
        <v>0</v>
      </c>
      <c r="AB1623" s="429" t="str">
        <f t="shared" si="438"/>
        <v xml:space="preserve"> </v>
      </c>
      <c r="AC1623" s="424">
        <f t="shared" si="439"/>
        <v>0</v>
      </c>
      <c r="AD1623" s="371">
        <f t="shared" si="440"/>
        <v>0</v>
      </c>
      <c r="AE1623" s="748" t="e">
        <f t="shared" si="441"/>
        <v>#DIV/0!</v>
      </c>
      <c r="AF1623" s="417">
        <f t="shared" si="442"/>
        <v>0</v>
      </c>
      <c r="AG1623" s="416">
        <f t="shared" si="443"/>
        <v>0</v>
      </c>
      <c r="AH1623" s="372" t="str">
        <f t="shared" si="444"/>
        <v xml:space="preserve"> </v>
      </c>
      <c r="AI1623" s="373">
        <f t="shared" si="445"/>
        <v>0</v>
      </c>
      <c r="AJ1623" s="418" t="e">
        <f>VLOOKUP(D1623,'Standard Cycle time'!C:D,2,0)</f>
        <v>#N/A</v>
      </c>
      <c r="AK1623" s="418" t="e">
        <f t="shared" si="446"/>
        <v>#DIV/0!</v>
      </c>
      <c r="AL1623" s="374" t="e">
        <f t="shared" si="447"/>
        <v>#N/A</v>
      </c>
      <c r="AM1623" s="372" t="e">
        <f t="shared" si="448"/>
        <v>#DIV/0!</v>
      </c>
    </row>
    <row r="1624" spans="8:39">
      <c r="H1624" s="365" t="str">
        <f>IFERROR(VLOOKUP(E:E,'Item Data Support Sheet'!A:O,2,0),"")</f>
        <v/>
      </c>
      <c r="W1624" s="453">
        <f t="shared" si="435"/>
        <v>0</v>
      </c>
      <c r="X1624" s="748" t="e">
        <f t="shared" si="436"/>
        <v>#DIV/0!</v>
      </c>
      <c r="Y1624" s="451">
        <f>IFERROR(VLOOKUP(E:E,'Item Data Support Sheet'!A:J,6,0),0)</f>
        <v>0</v>
      </c>
      <c r="Z1624" s="428">
        <f>IFERROR(VLOOKUP(E:E,'Item Data Support Sheet'!A:O,4,0),0)</f>
        <v>0</v>
      </c>
      <c r="AA1624" s="428">
        <f t="shared" si="437"/>
        <v>0</v>
      </c>
      <c r="AB1624" s="429" t="str">
        <f t="shared" si="438"/>
        <v xml:space="preserve"> </v>
      </c>
      <c r="AC1624" s="424">
        <f t="shared" si="439"/>
        <v>0</v>
      </c>
      <c r="AD1624" s="371">
        <f t="shared" si="440"/>
        <v>0</v>
      </c>
      <c r="AE1624" s="748" t="e">
        <f t="shared" si="441"/>
        <v>#DIV/0!</v>
      </c>
      <c r="AF1624" s="417">
        <f t="shared" si="442"/>
        <v>0</v>
      </c>
      <c r="AG1624" s="416">
        <f t="shared" si="443"/>
        <v>0</v>
      </c>
      <c r="AH1624" s="372" t="str">
        <f t="shared" si="444"/>
        <v xml:space="preserve"> </v>
      </c>
      <c r="AI1624" s="373">
        <f t="shared" si="445"/>
        <v>0</v>
      </c>
      <c r="AJ1624" s="418" t="e">
        <f>VLOOKUP(D1624,'Standard Cycle time'!C:D,2,0)</f>
        <v>#N/A</v>
      </c>
      <c r="AK1624" s="418" t="e">
        <f t="shared" si="446"/>
        <v>#DIV/0!</v>
      </c>
      <c r="AL1624" s="374" t="e">
        <f t="shared" si="447"/>
        <v>#N/A</v>
      </c>
      <c r="AM1624" s="372" t="e">
        <f t="shared" si="448"/>
        <v>#DIV/0!</v>
      </c>
    </row>
    <row r="1625" spans="8:39">
      <c r="H1625" s="365" t="str">
        <f>IFERROR(VLOOKUP(E:E,'Item Data Support Sheet'!A:O,2,0),"")</f>
        <v/>
      </c>
      <c r="W1625" s="453">
        <f t="shared" si="435"/>
        <v>0</v>
      </c>
      <c r="X1625" s="748" t="e">
        <f t="shared" si="436"/>
        <v>#DIV/0!</v>
      </c>
      <c r="Y1625" s="451">
        <f>IFERROR(VLOOKUP(E:E,'Item Data Support Sheet'!A:J,6,0),0)</f>
        <v>0</v>
      </c>
      <c r="Z1625" s="428">
        <f>IFERROR(VLOOKUP(E:E,'Item Data Support Sheet'!A:O,4,0),0)</f>
        <v>0</v>
      </c>
      <c r="AA1625" s="428">
        <f t="shared" si="437"/>
        <v>0</v>
      </c>
      <c r="AB1625" s="429" t="str">
        <f t="shared" si="438"/>
        <v xml:space="preserve"> </v>
      </c>
      <c r="AC1625" s="424">
        <f t="shared" si="439"/>
        <v>0</v>
      </c>
      <c r="AD1625" s="371">
        <f t="shared" si="440"/>
        <v>0</v>
      </c>
      <c r="AE1625" s="748" t="e">
        <f t="shared" si="441"/>
        <v>#DIV/0!</v>
      </c>
      <c r="AF1625" s="417">
        <f t="shared" si="442"/>
        <v>0</v>
      </c>
      <c r="AG1625" s="416">
        <f t="shared" si="443"/>
        <v>0</v>
      </c>
      <c r="AH1625" s="372" t="str">
        <f t="shared" si="444"/>
        <v xml:space="preserve"> </v>
      </c>
      <c r="AI1625" s="373">
        <f t="shared" si="445"/>
        <v>0</v>
      </c>
      <c r="AJ1625" s="418" t="e">
        <f>VLOOKUP(D1625,'Standard Cycle time'!C:D,2,0)</f>
        <v>#N/A</v>
      </c>
      <c r="AK1625" s="418" t="e">
        <f t="shared" si="446"/>
        <v>#DIV/0!</v>
      </c>
      <c r="AL1625" s="374" t="e">
        <f t="shared" si="447"/>
        <v>#N/A</v>
      </c>
      <c r="AM1625" s="372" t="e">
        <f t="shared" si="448"/>
        <v>#DIV/0!</v>
      </c>
    </row>
    <row r="1626" spans="8:39">
      <c r="H1626" s="365" t="str">
        <f>IFERROR(VLOOKUP(E:E,'Item Data Support Sheet'!A:O,2,0),"")</f>
        <v/>
      </c>
      <c r="W1626" s="453">
        <f t="shared" si="435"/>
        <v>0</v>
      </c>
      <c r="X1626" s="748" t="e">
        <f t="shared" si="436"/>
        <v>#DIV/0!</v>
      </c>
      <c r="Y1626" s="451">
        <f>IFERROR(VLOOKUP(E:E,'Item Data Support Sheet'!A:J,6,0),0)</f>
        <v>0</v>
      </c>
      <c r="Z1626" s="428">
        <f>IFERROR(VLOOKUP(E:E,'Item Data Support Sheet'!A:O,4,0),0)</f>
        <v>0</v>
      </c>
      <c r="AA1626" s="428">
        <f t="shared" si="437"/>
        <v>0</v>
      </c>
      <c r="AB1626" s="429" t="str">
        <f t="shared" si="438"/>
        <v xml:space="preserve"> </v>
      </c>
      <c r="AC1626" s="424">
        <f t="shared" si="439"/>
        <v>0</v>
      </c>
      <c r="AD1626" s="371">
        <f t="shared" si="440"/>
        <v>0</v>
      </c>
      <c r="AE1626" s="748" t="e">
        <f t="shared" si="441"/>
        <v>#DIV/0!</v>
      </c>
      <c r="AF1626" s="417">
        <f t="shared" si="442"/>
        <v>0</v>
      </c>
      <c r="AG1626" s="416">
        <f t="shared" si="443"/>
        <v>0</v>
      </c>
      <c r="AH1626" s="372" t="str">
        <f t="shared" si="444"/>
        <v xml:space="preserve"> </v>
      </c>
      <c r="AI1626" s="373">
        <f t="shared" si="445"/>
        <v>0</v>
      </c>
      <c r="AJ1626" s="418" t="e">
        <f>VLOOKUP(D1626,'Standard Cycle time'!C:D,2,0)</f>
        <v>#N/A</v>
      </c>
      <c r="AK1626" s="418" t="e">
        <f t="shared" si="446"/>
        <v>#DIV/0!</v>
      </c>
      <c r="AL1626" s="374" t="e">
        <f t="shared" si="447"/>
        <v>#N/A</v>
      </c>
      <c r="AM1626" s="372" t="e">
        <f t="shared" si="448"/>
        <v>#DIV/0!</v>
      </c>
    </row>
    <row r="1627" spans="8:39">
      <c r="H1627" s="365" t="str">
        <f>IFERROR(VLOOKUP(E:E,'Item Data Support Sheet'!A:O,2,0),"")</f>
        <v/>
      </c>
      <c r="W1627" s="453">
        <f t="shared" si="435"/>
        <v>0</v>
      </c>
      <c r="X1627" s="748" t="e">
        <f t="shared" si="436"/>
        <v>#DIV/0!</v>
      </c>
      <c r="Y1627" s="451">
        <f>IFERROR(VLOOKUP(E:E,'Item Data Support Sheet'!A:J,6,0),0)</f>
        <v>0</v>
      </c>
      <c r="Z1627" s="428">
        <f>IFERROR(VLOOKUP(E:E,'Item Data Support Sheet'!A:O,4,0),0)</f>
        <v>0</v>
      </c>
      <c r="AA1627" s="428">
        <f t="shared" si="437"/>
        <v>0</v>
      </c>
      <c r="AB1627" s="429" t="str">
        <f t="shared" si="438"/>
        <v xml:space="preserve"> </v>
      </c>
      <c r="AC1627" s="424">
        <f t="shared" si="439"/>
        <v>0</v>
      </c>
      <c r="AD1627" s="371">
        <f t="shared" si="440"/>
        <v>0</v>
      </c>
      <c r="AE1627" s="748" t="e">
        <f t="shared" si="441"/>
        <v>#DIV/0!</v>
      </c>
      <c r="AF1627" s="417">
        <f t="shared" si="442"/>
        <v>0</v>
      </c>
      <c r="AG1627" s="416">
        <f t="shared" si="443"/>
        <v>0</v>
      </c>
      <c r="AH1627" s="372" t="str">
        <f t="shared" si="444"/>
        <v xml:space="preserve"> </v>
      </c>
      <c r="AI1627" s="373">
        <f t="shared" si="445"/>
        <v>0</v>
      </c>
      <c r="AJ1627" s="418" t="e">
        <f>VLOOKUP(D1627,'Standard Cycle time'!C:D,2,0)</f>
        <v>#N/A</v>
      </c>
      <c r="AK1627" s="418" t="e">
        <f t="shared" si="446"/>
        <v>#DIV/0!</v>
      </c>
      <c r="AL1627" s="374" t="e">
        <f t="shared" si="447"/>
        <v>#N/A</v>
      </c>
      <c r="AM1627" s="372" t="e">
        <f t="shared" si="448"/>
        <v>#DIV/0!</v>
      </c>
    </row>
    <row r="1628" spans="8:39">
      <c r="H1628" s="365" t="str">
        <f>IFERROR(VLOOKUP(E:E,'Item Data Support Sheet'!A:O,2,0),"")</f>
        <v/>
      </c>
      <c r="W1628" s="453">
        <f t="shared" si="435"/>
        <v>0</v>
      </c>
      <c r="X1628" s="748" t="e">
        <f t="shared" si="436"/>
        <v>#DIV/0!</v>
      </c>
      <c r="Y1628" s="451">
        <f>IFERROR(VLOOKUP(E:E,'Item Data Support Sheet'!A:J,6,0),0)</f>
        <v>0</v>
      </c>
      <c r="Z1628" s="428">
        <f>IFERROR(VLOOKUP(E:E,'Item Data Support Sheet'!A:O,4,0),0)</f>
        <v>0</v>
      </c>
      <c r="AA1628" s="428">
        <f t="shared" si="437"/>
        <v>0</v>
      </c>
      <c r="AB1628" s="429" t="str">
        <f t="shared" si="438"/>
        <v xml:space="preserve"> </v>
      </c>
      <c r="AC1628" s="424">
        <f t="shared" si="439"/>
        <v>0</v>
      </c>
      <c r="AD1628" s="371">
        <f t="shared" si="440"/>
        <v>0</v>
      </c>
      <c r="AE1628" s="748" t="e">
        <f t="shared" si="441"/>
        <v>#DIV/0!</v>
      </c>
      <c r="AF1628" s="417">
        <f t="shared" si="442"/>
        <v>0</v>
      </c>
      <c r="AG1628" s="416">
        <f t="shared" si="443"/>
        <v>0</v>
      </c>
      <c r="AH1628" s="372" t="str">
        <f t="shared" si="444"/>
        <v xml:space="preserve"> </v>
      </c>
      <c r="AI1628" s="373">
        <f t="shared" si="445"/>
        <v>0</v>
      </c>
      <c r="AJ1628" s="418" t="e">
        <f>VLOOKUP(D1628,'Standard Cycle time'!C:D,2,0)</f>
        <v>#N/A</v>
      </c>
      <c r="AK1628" s="418" t="e">
        <f t="shared" si="446"/>
        <v>#DIV/0!</v>
      </c>
      <c r="AL1628" s="374" t="e">
        <f t="shared" si="447"/>
        <v>#N/A</v>
      </c>
      <c r="AM1628" s="372" t="e">
        <f t="shared" si="448"/>
        <v>#DIV/0!</v>
      </c>
    </row>
    <row r="1629" spans="8:39">
      <c r="H1629" s="365" t="str">
        <f>IFERROR(VLOOKUP(E:E,'Item Data Support Sheet'!A:O,2,0),"")</f>
        <v/>
      </c>
      <c r="W1629" s="453">
        <f t="shared" si="435"/>
        <v>0</v>
      </c>
      <c r="X1629" s="748" t="e">
        <f t="shared" si="436"/>
        <v>#DIV/0!</v>
      </c>
      <c r="Y1629" s="451">
        <f>IFERROR(VLOOKUP(E:E,'Item Data Support Sheet'!A:J,6,0),0)</f>
        <v>0</v>
      </c>
      <c r="Z1629" s="428">
        <f>IFERROR(VLOOKUP(E:E,'Item Data Support Sheet'!A:O,4,0),0)</f>
        <v>0</v>
      </c>
      <c r="AA1629" s="428">
        <f t="shared" si="437"/>
        <v>0</v>
      </c>
      <c r="AB1629" s="429" t="str">
        <f t="shared" si="438"/>
        <v xml:space="preserve"> </v>
      </c>
      <c r="AC1629" s="424">
        <f t="shared" si="439"/>
        <v>0</v>
      </c>
      <c r="AD1629" s="371">
        <f t="shared" si="440"/>
        <v>0</v>
      </c>
      <c r="AE1629" s="748" t="e">
        <f t="shared" si="441"/>
        <v>#DIV/0!</v>
      </c>
      <c r="AF1629" s="417">
        <f t="shared" si="442"/>
        <v>0</v>
      </c>
      <c r="AG1629" s="416">
        <f t="shared" si="443"/>
        <v>0</v>
      </c>
      <c r="AH1629" s="372" t="str">
        <f t="shared" si="444"/>
        <v xml:space="preserve"> </v>
      </c>
      <c r="AI1629" s="373">
        <f t="shared" si="445"/>
        <v>0</v>
      </c>
      <c r="AJ1629" s="418" t="e">
        <f>VLOOKUP(D1629,'Standard Cycle time'!C:D,2,0)</f>
        <v>#N/A</v>
      </c>
      <c r="AK1629" s="418" t="e">
        <f t="shared" si="446"/>
        <v>#DIV/0!</v>
      </c>
      <c r="AL1629" s="374" t="e">
        <f t="shared" si="447"/>
        <v>#N/A</v>
      </c>
      <c r="AM1629" s="372" t="e">
        <f t="shared" si="448"/>
        <v>#DIV/0!</v>
      </c>
    </row>
    <row r="1630" spans="8:39">
      <c r="H1630" s="365" t="str">
        <f>IFERROR(VLOOKUP(E:E,'Item Data Support Sheet'!A:O,2,0),"")</f>
        <v/>
      </c>
      <c r="W1630" s="453">
        <f t="shared" si="435"/>
        <v>0</v>
      </c>
      <c r="X1630" s="748" t="e">
        <f t="shared" si="436"/>
        <v>#DIV/0!</v>
      </c>
      <c r="Y1630" s="451">
        <f>IFERROR(VLOOKUP(E:E,'Item Data Support Sheet'!A:J,6,0),0)</f>
        <v>0</v>
      </c>
      <c r="Z1630" s="428">
        <f>IFERROR(VLOOKUP(E:E,'Item Data Support Sheet'!A:O,4,0),0)</f>
        <v>0</v>
      </c>
      <c r="AA1630" s="428">
        <f t="shared" si="437"/>
        <v>0</v>
      </c>
      <c r="AB1630" s="429" t="str">
        <f t="shared" si="438"/>
        <v xml:space="preserve"> </v>
      </c>
      <c r="AC1630" s="424">
        <f t="shared" si="439"/>
        <v>0</v>
      </c>
      <c r="AD1630" s="371">
        <f t="shared" si="440"/>
        <v>0</v>
      </c>
      <c r="AE1630" s="748" t="e">
        <f t="shared" si="441"/>
        <v>#DIV/0!</v>
      </c>
      <c r="AF1630" s="417">
        <f t="shared" si="442"/>
        <v>0</v>
      </c>
      <c r="AG1630" s="416">
        <f t="shared" si="443"/>
        <v>0</v>
      </c>
      <c r="AH1630" s="372" t="str">
        <f t="shared" si="444"/>
        <v xml:space="preserve"> </v>
      </c>
      <c r="AI1630" s="373">
        <f t="shared" si="445"/>
        <v>0</v>
      </c>
      <c r="AJ1630" s="418" t="e">
        <f>VLOOKUP(D1630,'Standard Cycle time'!C:D,2,0)</f>
        <v>#N/A</v>
      </c>
      <c r="AK1630" s="418" t="e">
        <f t="shared" si="446"/>
        <v>#DIV/0!</v>
      </c>
      <c r="AL1630" s="374" t="e">
        <f t="shared" si="447"/>
        <v>#N/A</v>
      </c>
      <c r="AM1630" s="372" t="e">
        <f t="shared" si="448"/>
        <v>#DIV/0!</v>
      </c>
    </row>
    <row r="1631" spans="8:39">
      <c r="H1631" s="365" t="str">
        <f>IFERROR(VLOOKUP(E:E,'Item Data Support Sheet'!A:O,2,0),"")</f>
        <v/>
      </c>
      <c r="W1631" s="453">
        <f t="shared" si="435"/>
        <v>0</v>
      </c>
      <c r="X1631" s="748" t="e">
        <f t="shared" si="436"/>
        <v>#DIV/0!</v>
      </c>
      <c r="Y1631" s="451">
        <f>IFERROR(VLOOKUP(E:E,'Item Data Support Sheet'!A:J,6,0),0)</f>
        <v>0</v>
      </c>
      <c r="Z1631" s="428">
        <f>IFERROR(VLOOKUP(E:E,'Item Data Support Sheet'!A:O,4,0),0)</f>
        <v>0</v>
      </c>
      <c r="AA1631" s="428">
        <f t="shared" si="437"/>
        <v>0</v>
      </c>
      <c r="AB1631" s="429" t="str">
        <f t="shared" si="438"/>
        <v xml:space="preserve"> </v>
      </c>
      <c r="AC1631" s="424">
        <f t="shared" si="439"/>
        <v>0</v>
      </c>
      <c r="AD1631" s="371">
        <f t="shared" si="440"/>
        <v>0</v>
      </c>
      <c r="AE1631" s="748" t="e">
        <f t="shared" si="441"/>
        <v>#DIV/0!</v>
      </c>
      <c r="AF1631" s="417">
        <f t="shared" si="442"/>
        <v>0</v>
      </c>
      <c r="AG1631" s="416">
        <f t="shared" si="443"/>
        <v>0</v>
      </c>
      <c r="AH1631" s="372" t="str">
        <f t="shared" si="444"/>
        <v xml:space="preserve"> </v>
      </c>
      <c r="AI1631" s="373">
        <f t="shared" si="445"/>
        <v>0</v>
      </c>
      <c r="AJ1631" s="418" t="e">
        <f>VLOOKUP(D1631,'Standard Cycle time'!C:D,2,0)</f>
        <v>#N/A</v>
      </c>
      <c r="AK1631" s="418" t="e">
        <f t="shared" si="446"/>
        <v>#DIV/0!</v>
      </c>
      <c r="AL1631" s="374" t="e">
        <f t="shared" si="447"/>
        <v>#N/A</v>
      </c>
      <c r="AM1631" s="372" t="e">
        <f t="shared" si="448"/>
        <v>#DIV/0!</v>
      </c>
    </row>
    <row r="1632" spans="8:39">
      <c r="H1632" s="365" t="str">
        <f>IFERROR(VLOOKUP(E:E,'Item Data Support Sheet'!A:O,2,0),"")</f>
        <v/>
      </c>
      <c r="W1632" s="453">
        <f t="shared" si="435"/>
        <v>0</v>
      </c>
      <c r="X1632" s="748" t="e">
        <f t="shared" si="436"/>
        <v>#DIV/0!</v>
      </c>
      <c r="Y1632" s="451">
        <f>IFERROR(VLOOKUP(E:E,'Item Data Support Sheet'!A:J,6,0),0)</f>
        <v>0</v>
      </c>
      <c r="Z1632" s="428">
        <f>IFERROR(VLOOKUP(E:E,'Item Data Support Sheet'!A:O,4,0),0)</f>
        <v>0</v>
      </c>
      <c r="AA1632" s="428">
        <f t="shared" si="437"/>
        <v>0</v>
      </c>
      <c r="AB1632" s="429" t="str">
        <f t="shared" si="438"/>
        <v xml:space="preserve"> </v>
      </c>
      <c r="AC1632" s="424">
        <f t="shared" si="439"/>
        <v>0</v>
      </c>
      <c r="AD1632" s="371">
        <f t="shared" si="440"/>
        <v>0</v>
      </c>
      <c r="AE1632" s="748" t="e">
        <f t="shared" si="441"/>
        <v>#DIV/0!</v>
      </c>
      <c r="AF1632" s="417">
        <f t="shared" si="442"/>
        <v>0</v>
      </c>
      <c r="AG1632" s="416">
        <f t="shared" si="443"/>
        <v>0</v>
      </c>
      <c r="AH1632" s="372" t="str">
        <f t="shared" si="444"/>
        <v xml:space="preserve"> </v>
      </c>
      <c r="AI1632" s="373">
        <f t="shared" si="445"/>
        <v>0</v>
      </c>
      <c r="AJ1632" s="418" t="e">
        <f>VLOOKUP(D1632,'Standard Cycle time'!C:D,2,0)</f>
        <v>#N/A</v>
      </c>
      <c r="AK1632" s="418" t="e">
        <f t="shared" si="446"/>
        <v>#DIV/0!</v>
      </c>
      <c r="AL1632" s="374" t="e">
        <f t="shared" si="447"/>
        <v>#N/A</v>
      </c>
      <c r="AM1632" s="372" t="e">
        <f t="shared" si="448"/>
        <v>#DIV/0!</v>
      </c>
    </row>
    <row r="1633" spans="8:39">
      <c r="H1633" s="365" t="str">
        <f>IFERROR(VLOOKUP(E:E,'Item Data Support Sheet'!A:O,2,0),"")</f>
        <v/>
      </c>
      <c r="W1633" s="453">
        <f t="shared" si="435"/>
        <v>0</v>
      </c>
      <c r="X1633" s="748" t="e">
        <f t="shared" si="436"/>
        <v>#DIV/0!</v>
      </c>
      <c r="Y1633" s="451">
        <f>IFERROR(VLOOKUP(E:E,'Item Data Support Sheet'!A:J,6,0),0)</f>
        <v>0</v>
      </c>
      <c r="Z1633" s="428">
        <f>IFERROR(VLOOKUP(E:E,'Item Data Support Sheet'!A:O,4,0),0)</f>
        <v>0</v>
      </c>
      <c r="AA1633" s="428">
        <f t="shared" si="437"/>
        <v>0</v>
      </c>
      <c r="AB1633" s="429" t="str">
        <f t="shared" si="438"/>
        <v xml:space="preserve"> </v>
      </c>
      <c r="AC1633" s="424">
        <f t="shared" si="439"/>
        <v>0</v>
      </c>
      <c r="AD1633" s="371">
        <f t="shared" si="440"/>
        <v>0</v>
      </c>
      <c r="AE1633" s="748" t="e">
        <f t="shared" si="441"/>
        <v>#DIV/0!</v>
      </c>
      <c r="AF1633" s="417">
        <f t="shared" si="442"/>
        <v>0</v>
      </c>
      <c r="AG1633" s="416">
        <f t="shared" si="443"/>
        <v>0</v>
      </c>
      <c r="AH1633" s="372" t="str">
        <f t="shared" si="444"/>
        <v xml:space="preserve"> </v>
      </c>
      <c r="AI1633" s="373">
        <f t="shared" si="445"/>
        <v>0</v>
      </c>
      <c r="AJ1633" s="418" t="e">
        <f>VLOOKUP(D1633,'Standard Cycle time'!C:D,2,0)</f>
        <v>#N/A</v>
      </c>
      <c r="AK1633" s="418" t="e">
        <f t="shared" si="446"/>
        <v>#DIV/0!</v>
      </c>
      <c r="AL1633" s="374" t="e">
        <f t="shared" si="447"/>
        <v>#N/A</v>
      </c>
      <c r="AM1633" s="372" t="e">
        <f t="shared" si="448"/>
        <v>#DIV/0!</v>
      </c>
    </row>
    <row r="1634" spans="8:39">
      <c r="H1634" s="365" t="str">
        <f>IFERROR(VLOOKUP(E:E,'Item Data Support Sheet'!A:O,2,0),"")</f>
        <v/>
      </c>
      <c r="W1634" s="453">
        <f t="shared" si="435"/>
        <v>0</v>
      </c>
      <c r="X1634" s="748" t="e">
        <f t="shared" si="436"/>
        <v>#DIV/0!</v>
      </c>
      <c r="Y1634" s="451">
        <f>IFERROR(VLOOKUP(E:E,'Item Data Support Sheet'!A:J,6,0),0)</f>
        <v>0</v>
      </c>
      <c r="Z1634" s="428">
        <f>IFERROR(VLOOKUP(E:E,'Item Data Support Sheet'!A:O,4,0),0)</f>
        <v>0</v>
      </c>
      <c r="AA1634" s="428">
        <f t="shared" si="437"/>
        <v>0</v>
      </c>
      <c r="AB1634" s="429" t="str">
        <f t="shared" si="438"/>
        <v xml:space="preserve"> </v>
      </c>
      <c r="AC1634" s="424">
        <f t="shared" si="439"/>
        <v>0</v>
      </c>
      <c r="AD1634" s="371">
        <f t="shared" si="440"/>
        <v>0</v>
      </c>
      <c r="AE1634" s="748" t="e">
        <f t="shared" si="441"/>
        <v>#DIV/0!</v>
      </c>
      <c r="AF1634" s="417">
        <f t="shared" si="442"/>
        <v>0</v>
      </c>
      <c r="AG1634" s="416">
        <f t="shared" si="443"/>
        <v>0</v>
      </c>
      <c r="AH1634" s="372" t="str">
        <f t="shared" si="444"/>
        <v xml:space="preserve"> </v>
      </c>
      <c r="AI1634" s="373">
        <f t="shared" si="445"/>
        <v>0</v>
      </c>
      <c r="AJ1634" s="418" t="e">
        <f>VLOOKUP(D1634,'Standard Cycle time'!C:D,2,0)</f>
        <v>#N/A</v>
      </c>
      <c r="AK1634" s="418" t="e">
        <f t="shared" si="446"/>
        <v>#DIV/0!</v>
      </c>
      <c r="AL1634" s="374" t="e">
        <f t="shared" si="447"/>
        <v>#N/A</v>
      </c>
      <c r="AM1634" s="372" t="e">
        <f t="shared" si="448"/>
        <v>#DIV/0!</v>
      </c>
    </row>
    <row r="1635" spans="8:39">
      <c r="H1635" s="365" t="str">
        <f>IFERROR(VLOOKUP(E:E,'Item Data Support Sheet'!A:O,2,0),"")</f>
        <v/>
      </c>
      <c r="W1635" s="453">
        <f t="shared" si="435"/>
        <v>0</v>
      </c>
      <c r="X1635" s="748" t="e">
        <f t="shared" si="436"/>
        <v>#DIV/0!</v>
      </c>
      <c r="Y1635" s="451">
        <f>IFERROR(VLOOKUP(E:E,'Item Data Support Sheet'!A:J,6,0),0)</f>
        <v>0</v>
      </c>
      <c r="Z1635" s="428">
        <f>IFERROR(VLOOKUP(E:E,'Item Data Support Sheet'!A:O,4,0),0)</f>
        <v>0</v>
      </c>
      <c r="AA1635" s="428">
        <f t="shared" si="437"/>
        <v>0</v>
      </c>
      <c r="AB1635" s="429" t="str">
        <f t="shared" si="438"/>
        <v xml:space="preserve"> </v>
      </c>
      <c r="AC1635" s="424">
        <f t="shared" si="439"/>
        <v>0</v>
      </c>
      <c r="AD1635" s="371">
        <f t="shared" si="440"/>
        <v>0</v>
      </c>
      <c r="AE1635" s="748" t="e">
        <f t="shared" si="441"/>
        <v>#DIV/0!</v>
      </c>
      <c r="AF1635" s="417">
        <f t="shared" si="442"/>
        <v>0</v>
      </c>
      <c r="AG1635" s="416">
        <f t="shared" si="443"/>
        <v>0</v>
      </c>
      <c r="AH1635" s="372" t="str">
        <f t="shared" si="444"/>
        <v xml:space="preserve"> </v>
      </c>
      <c r="AI1635" s="373">
        <f t="shared" si="445"/>
        <v>0</v>
      </c>
      <c r="AJ1635" s="418" t="e">
        <f>VLOOKUP(D1635,'Standard Cycle time'!C:D,2,0)</f>
        <v>#N/A</v>
      </c>
      <c r="AK1635" s="418" t="e">
        <f t="shared" si="446"/>
        <v>#DIV/0!</v>
      </c>
      <c r="AL1635" s="374" t="e">
        <f t="shared" si="447"/>
        <v>#N/A</v>
      </c>
      <c r="AM1635" s="372" t="e">
        <f t="shared" si="448"/>
        <v>#DIV/0!</v>
      </c>
    </row>
    <row r="1636" spans="8:39">
      <c r="H1636" s="365" t="str">
        <f>IFERROR(VLOOKUP(E:E,'Item Data Support Sheet'!A:O,2,0),"")</f>
        <v/>
      </c>
      <c r="W1636" s="453">
        <f t="shared" si="435"/>
        <v>0</v>
      </c>
      <c r="X1636" s="748" t="e">
        <f t="shared" si="436"/>
        <v>#DIV/0!</v>
      </c>
      <c r="Y1636" s="451">
        <f>IFERROR(VLOOKUP(E:E,'Item Data Support Sheet'!A:J,6,0),0)</f>
        <v>0</v>
      </c>
      <c r="Z1636" s="428">
        <f>IFERROR(VLOOKUP(E:E,'Item Data Support Sheet'!A:O,4,0),0)</f>
        <v>0</v>
      </c>
      <c r="AA1636" s="428">
        <f t="shared" si="437"/>
        <v>0</v>
      </c>
      <c r="AB1636" s="429" t="str">
        <f t="shared" si="438"/>
        <v xml:space="preserve"> </v>
      </c>
      <c r="AC1636" s="424">
        <f t="shared" si="439"/>
        <v>0</v>
      </c>
      <c r="AD1636" s="371">
        <f t="shared" si="440"/>
        <v>0</v>
      </c>
      <c r="AE1636" s="748" t="e">
        <f t="shared" si="441"/>
        <v>#DIV/0!</v>
      </c>
      <c r="AF1636" s="417">
        <f t="shared" si="442"/>
        <v>0</v>
      </c>
      <c r="AG1636" s="416">
        <f t="shared" si="443"/>
        <v>0</v>
      </c>
      <c r="AH1636" s="372" t="str">
        <f t="shared" si="444"/>
        <v xml:space="preserve"> </v>
      </c>
      <c r="AI1636" s="373">
        <f t="shared" si="445"/>
        <v>0</v>
      </c>
      <c r="AJ1636" s="418" t="e">
        <f>VLOOKUP(D1636,'Standard Cycle time'!C:D,2,0)</f>
        <v>#N/A</v>
      </c>
      <c r="AK1636" s="418" t="e">
        <f t="shared" si="446"/>
        <v>#DIV/0!</v>
      </c>
      <c r="AL1636" s="374" t="e">
        <f t="shared" si="447"/>
        <v>#N/A</v>
      </c>
      <c r="AM1636" s="372" t="e">
        <f t="shared" si="448"/>
        <v>#DIV/0!</v>
      </c>
    </row>
    <row r="1637" spans="8:39">
      <c r="H1637" s="365" t="str">
        <f>IFERROR(VLOOKUP(E:E,'Item Data Support Sheet'!A:O,2,0),"")</f>
        <v/>
      </c>
      <c r="W1637" s="453">
        <f t="shared" si="435"/>
        <v>0</v>
      </c>
      <c r="X1637" s="748" t="e">
        <f t="shared" si="436"/>
        <v>#DIV/0!</v>
      </c>
      <c r="Y1637" s="451">
        <f>IFERROR(VLOOKUP(E:E,'Item Data Support Sheet'!A:J,6,0),0)</f>
        <v>0</v>
      </c>
      <c r="Z1637" s="428">
        <f>IFERROR(VLOOKUP(E:E,'Item Data Support Sheet'!A:O,4,0),0)</f>
        <v>0</v>
      </c>
      <c r="AA1637" s="428">
        <f t="shared" si="437"/>
        <v>0</v>
      </c>
      <c r="AB1637" s="429" t="str">
        <f t="shared" si="438"/>
        <v xml:space="preserve"> </v>
      </c>
      <c r="AC1637" s="424">
        <f t="shared" si="439"/>
        <v>0</v>
      </c>
      <c r="AD1637" s="371">
        <f t="shared" si="440"/>
        <v>0</v>
      </c>
      <c r="AE1637" s="748" t="e">
        <f t="shared" si="441"/>
        <v>#DIV/0!</v>
      </c>
      <c r="AF1637" s="417">
        <f t="shared" si="442"/>
        <v>0</v>
      </c>
      <c r="AG1637" s="416">
        <f t="shared" si="443"/>
        <v>0</v>
      </c>
      <c r="AH1637" s="372" t="str">
        <f t="shared" si="444"/>
        <v xml:space="preserve"> </v>
      </c>
      <c r="AI1637" s="373">
        <f t="shared" si="445"/>
        <v>0</v>
      </c>
      <c r="AJ1637" s="418" t="e">
        <f>VLOOKUP(D1637,'Standard Cycle time'!C:D,2,0)</f>
        <v>#N/A</v>
      </c>
      <c r="AK1637" s="418" t="e">
        <f t="shared" si="446"/>
        <v>#DIV/0!</v>
      </c>
      <c r="AL1637" s="374" t="e">
        <f t="shared" si="447"/>
        <v>#N/A</v>
      </c>
      <c r="AM1637" s="372" t="e">
        <f t="shared" si="448"/>
        <v>#DIV/0!</v>
      </c>
    </row>
    <row r="1638" spans="8:39">
      <c r="H1638" s="365" t="str">
        <f>IFERROR(VLOOKUP(E:E,'Item Data Support Sheet'!A:O,2,0),"")</f>
        <v/>
      </c>
      <c r="W1638" s="453">
        <f t="shared" si="435"/>
        <v>0</v>
      </c>
      <c r="X1638" s="748" t="e">
        <f t="shared" si="436"/>
        <v>#DIV/0!</v>
      </c>
      <c r="Y1638" s="451">
        <f>IFERROR(VLOOKUP(E:E,'Item Data Support Sheet'!A:J,6,0),0)</f>
        <v>0</v>
      </c>
      <c r="Z1638" s="428">
        <f>IFERROR(VLOOKUP(E:E,'Item Data Support Sheet'!A:O,4,0),0)</f>
        <v>0</v>
      </c>
      <c r="AA1638" s="428">
        <f t="shared" si="437"/>
        <v>0</v>
      </c>
      <c r="AB1638" s="429" t="str">
        <f t="shared" si="438"/>
        <v xml:space="preserve"> </v>
      </c>
      <c r="AC1638" s="424">
        <f t="shared" si="439"/>
        <v>0</v>
      </c>
      <c r="AD1638" s="371">
        <f t="shared" si="440"/>
        <v>0</v>
      </c>
      <c r="AE1638" s="748" t="e">
        <f t="shared" si="441"/>
        <v>#DIV/0!</v>
      </c>
      <c r="AF1638" s="417">
        <f t="shared" si="442"/>
        <v>0</v>
      </c>
      <c r="AG1638" s="416">
        <f t="shared" si="443"/>
        <v>0</v>
      </c>
      <c r="AH1638" s="372" t="str">
        <f t="shared" si="444"/>
        <v xml:space="preserve"> </v>
      </c>
      <c r="AI1638" s="373">
        <f t="shared" si="445"/>
        <v>0</v>
      </c>
      <c r="AJ1638" s="418" t="e">
        <f>VLOOKUP(D1638,'Standard Cycle time'!C:D,2,0)</f>
        <v>#N/A</v>
      </c>
      <c r="AK1638" s="418" t="e">
        <f t="shared" si="446"/>
        <v>#DIV/0!</v>
      </c>
      <c r="AL1638" s="374" t="e">
        <f t="shared" si="447"/>
        <v>#N/A</v>
      </c>
      <c r="AM1638" s="372" t="e">
        <f t="shared" si="448"/>
        <v>#DIV/0!</v>
      </c>
    </row>
    <row r="1639" spans="8:39">
      <c r="H1639" s="365" t="str">
        <f>IFERROR(VLOOKUP(E:E,'Item Data Support Sheet'!A:O,2,0),"")</f>
        <v/>
      </c>
      <c r="W1639" s="453">
        <f t="shared" si="435"/>
        <v>0</v>
      </c>
      <c r="X1639" s="748" t="e">
        <f t="shared" si="436"/>
        <v>#DIV/0!</v>
      </c>
      <c r="Y1639" s="451">
        <f>IFERROR(VLOOKUP(E:E,'Item Data Support Sheet'!A:J,6,0),0)</f>
        <v>0</v>
      </c>
      <c r="Z1639" s="428">
        <f>IFERROR(VLOOKUP(E:E,'Item Data Support Sheet'!A:O,4,0),0)</f>
        <v>0</v>
      </c>
      <c r="AA1639" s="428">
        <f t="shared" si="437"/>
        <v>0</v>
      </c>
      <c r="AB1639" s="429" t="str">
        <f t="shared" si="438"/>
        <v xml:space="preserve"> </v>
      </c>
      <c r="AC1639" s="424">
        <f t="shared" si="439"/>
        <v>0</v>
      </c>
      <c r="AD1639" s="371">
        <f t="shared" si="440"/>
        <v>0</v>
      </c>
      <c r="AE1639" s="748" t="e">
        <f t="shared" si="441"/>
        <v>#DIV/0!</v>
      </c>
      <c r="AF1639" s="417">
        <f t="shared" si="442"/>
        <v>0</v>
      </c>
      <c r="AG1639" s="416">
        <f t="shared" si="443"/>
        <v>0</v>
      </c>
      <c r="AH1639" s="372" t="str">
        <f t="shared" si="444"/>
        <v xml:space="preserve"> </v>
      </c>
      <c r="AI1639" s="373">
        <f t="shared" si="445"/>
        <v>0</v>
      </c>
      <c r="AJ1639" s="418" t="e">
        <f>VLOOKUP(D1639,'Standard Cycle time'!C:D,2,0)</f>
        <v>#N/A</v>
      </c>
      <c r="AK1639" s="418" t="e">
        <f t="shared" si="446"/>
        <v>#DIV/0!</v>
      </c>
      <c r="AL1639" s="374" t="e">
        <f t="shared" si="447"/>
        <v>#N/A</v>
      </c>
      <c r="AM1639" s="372" t="e">
        <f t="shared" si="448"/>
        <v>#DIV/0!</v>
      </c>
    </row>
    <row r="1640" spans="8:39">
      <c r="H1640" s="365" t="str">
        <f>IFERROR(VLOOKUP(E:E,'Item Data Support Sheet'!A:O,2,0),"")</f>
        <v/>
      </c>
      <c r="W1640" s="453">
        <f t="shared" si="435"/>
        <v>0</v>
      </c>
      <c r="X1640" s="748" t="e">
        <f t="shared" si="436"/>
        <v>#DIV/0!</v>
      </c>
      <c r="Y1640" s="451">
        <f>IFERROR(VLOOKUP(E:E,'Item Data Support Sheet'!A:J,6,0),0)</f>
        <v>0</v>
      </c>
      <c r="Z1640" s="428">
        <f>IFERROR(VLOOKUP(E:E,'Item Data Support Sheet'!A:O,4,0),0)</f>
        <v>0</v>
      </c>
      <c r="AA1640" s="428">
        <f t="shared" si="437"/>
        <v>0</v>
      </c>
      <c r="AB1640" s="429" t="str">
        <f t="shared" si="438"/>
        <v xml:space="preserve"> </v>
      </c>
      <c r="AC1640" s="424">
        <f t="shared" si="439"/>
        <v>0</v>
      </c>
      <c r="AD1640" s="371">
        <f t="shared" si="440"/>
        <v>0</v>
      </c>
      <c r="AE1640" s="748" t="e">
        <f t="shared" si="441"/>
        <v>#DIV/0!</v>
      </c>
      <c r="AF1640" s="417">
        <f t="shared" si="442"/>
        <v>0</v>
      </c>
      <c r="AG1640" s="416">
        <f t="shared" si="443"/>
        <v>0</v>
      </c>
      <c r="AH1640" s="372" t="str">
        <f t="shared" si="444"/>
        <v xml:space="preserve"> </v>
      </c>
      <c r="AI1640" s="373">
        <f t="shared" si="445"/>
        <v>0</v>
      </c>
      <c r="AJ1640" s="418" t="e">
        <f>VLOOKUP(D1640,'Standard Cycle time'!C:D,2,0)</f>
        <v>#N/A</v>
      </c>
      <c r="AK1640" s="418" t="e">
        <f t="shared" si="446"/>
        <v>#DIV/0!</v>
      </c>
      <c r="AL1640" s="374" t="e">
        <f t="shared" si="447"/>
        <v>#N/A</v>
      </c>
      <c r="AM1640" s="372" t="e">
        <f t="shared" si="448"/>
        <v>#DIV/0!</v>
      </c>
    </row>
    <row r="1641" spans="8:39">
      <c r="H1641" s="365" t="str">
        <f>IFERROR(VLOOKUP(E:E,'Item Data Support Sheet'!A:O,2,0),"")</f>
        <v/>
      </c>
      <c r="W1641" s="453">
        <f t="shared" si="435"/>
        <v>0</v>
      </c>
      <c r="X1641" s="748" t="e">
        <f t="shared" si="436"/>
        <v>#DIV/0!</v>
      </c>
      <c r="Y1641" s="451">
        <f>IFERROR(VLOOKUP(E:E,'Item Data Support Sheet'!A:J,6,0),0)</f>
        <v>0</v>
      </c>
      <c r="Z1641" s="428">
        <f>IFERROR(VLOOKUP(E:E,'Item Data Support Sheet'!A:O,4,0),0)</f>
        <v>0</v>
      </c>
      <c r="AA1641" s="428">
        <f t="shared" si="437"/>
        <v>0</v>
      </c>
      <c r="AB1641" s="429" t="str">
        <f t="shared" si="438"/>
        <v xml:space="preserve"> </v>
      </c>
      <c r="AC1641" s="424">
        <f t="shared" si="439"/>
        <v>0</v>
      </c>
      <c r="AD1641" s="371">
        <f t="shared" si="440"/>
        <v>0</v>
      </c>
      <c r="AE1641" s="748" t="e">
        <f t="shared" si="441"/>
        <v>#DIV/0!</v>
      </c>
      <c r="AF1641" s="417">
        <f t="shared" si="442"/>
        <v>0</v>
      </c>
      <c r="AG1641" s="416">
        <f t="shared" si="443"/>
        <v>0</v>
      </c>
      <c r="AH1641" s="372" t="str">
        <f t="shared" si="444"/>
        <v xml:space="preserve"> </v>
      </c>
      <c r="AI1641" s="373">
        <f t="shared" si="445"/>
        <v>0</v>
      </c>
      <c r="AJ1641" s="418" t="e">
        <f>VLOOKUP(D1641,'Standard Cycle time'!C:D,2,0)</f>
        <v>#N/A</v>
      </c>
      <c r="AK1641" s="418" t="e">
        <f t="shared" si="446"/>
        <v>#DIV/0!</v>
      </c>
      <c r="AL1641" s="374" t="e">
        <f t="shared" si="447"/>
        <v>#N/A</v>
      </c>
      <c r="AM1641" s="372" t="e">
        <f t="shared" si="448"/>
        <v>#DIV/0!</v>
      </c>
    </row>
    <row r="1642" spans="8:39">
      <c r="H1642" s="365" t="str">
        <f>IFERROR(VLOOKUP(E:E,'Item Data Support Sheet'!A:O,2,0),"")</f>
        <v/>
      </c>
    </row>
    <row r="1643" spans="8:39">
      <c r="H1643" s="365" t="str">
        <f>IFERROR(VLOOKUP(E:E,'Item Data Support Sheet'!A:O,2,0),"")</f>
        <v/>
      </c>
    </row>
    <row r="1644" spans="8:39">
      <c r="H1644" s="365" t="str">
        <f>IFERROR(VLOOKUP(E:E,'Item Data Support Sheet'!A:O,2,0),"")</f>
        <v/>
      </c>
    </row>
    <row r="1645" spans="8:39">
      <c r="H1645" s="365" t="str">
        <f>IFERROR(VLOOKUP(E:E,'Item Data Support Sheet'!A:O,2,0),"")</f>
        <v/>
      </c>
    </row>
    <row r="1646" spans="8:39">
      <c r="H1646" s="365" t="str">
        <f>IFERROR(VLOOKUP(E:E,'Item Data Support Sheet'!A:O,2,0),"")</f>
        <v/>
      </c>
    </row>
    <row r="1647" spans="8:39">
      <c r="H1647" s="365" t="str">
        <f>IFERROR(VLOOKUP(E:E,'Item Data Support Sheet'!A:O,2,0),"")</f>
        <v/>
      </c>
    </row>
    <row r="1648" spans="8:39">
      <c r="H1648" s="365" t="str">
        <f>IFERROR(VLOOKUP(E:E,'Item Data Support Sheet'!A:O,2,0),"")</f>
        <v/>
      </c>
    </row>
    <row r="1649" spans="8:8">
      <c r="H1649" s="365" t="str">
        <f>IFERROR(VLOOKUP(E:E,'Item Data Support Sheet'!A:O,2,0),"")</f>
        <v/>
      </c>
    </row>
    <row r="1650" spans="8:8">
      <c r="H1650" s="365" t="str">
        <f>IFERROR(VLOOKUP(E:E,'Item Data Support Sheet'!A:O,2,0),"")</f>
        <v/>
      </c>
    </row>
    <row r="1651" spans="8:8">
      <c r="H1651" s="365" t="str">
        <f>IFERROR(VLOOKUP(E:E,'Item Data Support Sheet'!A:O,2,0),"")</f>
        <v/>
      </c>
    </row>
    <row r="1652" spans="8:8">
      <c r="H1652" s="365" t="str">
        <f>IFERROR(VLOOKUP(E:E,'Item Data Support Sheet'!A:O,2,0),"")</f>
        <v/>
      </c>
    </row>
    <row r="1653" spans="8:8">
      <c r="H1653" s="365" t="str">
        <f>IFERROR(VLOOKUP(E:E,'Item Data Support Sheet'!A:O,2,0),"")</f>
        <v/>
      </c>
    </row>
    <row r="1654" spans="8:8">
      <c r="H1654" s="365" t="str">
        <f>IFERROR(VLOOKUP(E:E,'Item Data Support Sheet'!A:O,2,0),"")</f>
        <v/>
      </c>
    </row>
    <row r="1655" spans="8:8">
      <c r="H1655" s="365" t="str">
        <f>IFERROR(VLOOKUP(E:E,'Item Data Support Sheet'!A:O,2,0),"")</f>
        <v/>
      </c>
    </row>
    <row r="1656" spans="8:8">
      <c r="H1656" s="365" t="str">
        <f>IFERROR(VLOOKUP(E:E,'Item Data Support Sheet'!A:O,2,0),"")</f>
        <v/>
      </c>
    </row>
    <row r="1657" spans="8:8">
      <c r="H1657" s="365" t="str">
        <f>IFERROR(VLOOKUP(E:E,'Item Data Support Sheet'!A:O,2,0),"")</f>
        <v/>
      </c>
    </row>
    <row r="1658" spans="8:8">
      <c r="H1658" s="365" t="str">
        <f>IFERROR(VLOOKUP(E:E,'Item Data Support Sheet'!A:O,2,0),"")</f>
        <v/>
      </c>
    </row>
    <row r="1659" spans="8:8">
      <c r="H1659" s="365" t="str">
        <f>IFERROR(VLOOKUP(E:E,'Item Data Support Sheet'!A:O,2,0),"")</f>
        <v/>
      </c>
    </row>
    <row r="1660" spans="8:8">
      <c r="H1660" s="365" t="str">
        <f>IFERROR(VLOOKUP(E:E,'Item Data Support Sheet'!A:O,2,0),"")</f>
        <v/>
      </c>
    </row>
    <row r="1661" spans="8:8">
      <c r="H1661" s="365" t="str">
        <f>IFERROR(VLOOKUP(E:E,'Item Data Support Sheet'!A:O,2,0),"")</f>
        <v/>
      </c>
    </row>
    <row r="1662" spans="8:8">
      <c r="H1662" s="365" t="str">
        <f>IFERROR(VLOOKUP(E:E,'Item Data Support Sheet'!A:O,2,0),"")</f>
        <v/>
      </c>
    </row>
    <row r="1663" spans="8:8">
      <c r="H1663" s="365" t="str">
        <f>IFERROR(VLOOKUP(E:E,'Item Data Support Sheet'!A:O,2,0),"")</f>
        <v/>
      </c>
    </row>
    <row r="1664" spans="8:8">
      <c r="H1664" s="365" t="str">
        <f>IFERROR(VLOOKUP(E:E,'Item Data Support Sheet'!A:O,2,0),"")</f>
        <v/>
      </c>
    </row>
    <row r="1665" spans="8:8">
      <c r="H1665" s="365" t="str">
        <f>IFERROR(VLOOKUP(E:E,'Item Data Support Sheet'!A:O,2,0),"")</f>
        <v/>
      </c>
    </row>
    <row r="1666" spans="8:8">
      <c r="H1666" s="365" t="str">
        <f>IFERROR(VLOOKUP(E:E,'Item Data Support Sheet'!A:O,2,0),"")</f>
        <v/>
      </c>
    </row>
    <row r="1667" spans="8:8">
      <c r="H1667" s="365" t="str">
        <f>IFERROR(VLOOKUP(E:E,'Item Data Support Sheet'!A:O,2,0),"")</f>
        <v/>
      </c>
    </row>
    <row r="1668" spans="8:8">
      <c r="H1668" s="365" t="str">
        <f>IFERROR(VLOOKUP(E:E,'Item Data Support Sheet'!A:O,2,0),"")</f>
        <v/>
      </c>
    </row>
    <row r="1669" spans="8:8">
      <c r="H1669" s="365" t="str">
        <f>IFERROR(VLOOKUP(E:E,'Item Data Support Sheet'!A:O,2,0),"")</f>
        <v/>
      </c>
    </row>
    <row r="1670" spans="8:8">
      <c r="H1670" s="365" t="str">
        <f>IFERROR(VLOOKUP(E:E,'Item Data Support Sheet'!A:O,2,0),"")</f>
        <v/>
      </c>
    </row>
    <row r="1671" spans="8:8">
      <c r="H1671" s="365" t="str">
        <f>IFERROR(VLOOKUP(E:E,'Item Data Support Sheet'!A:O,2,0),"")</f>
        <v/>
      </c>
    </row>
    <row r="1672" spans="8:8">
      <c r="H1672" s="365" t="str">
        <f>IFERROR(VLOOKUP(E:E,'Item Data Support Sheet'!A:O,2,0),"")</f>
        <v/>
      </c>
    </row>
    <row r="1673" spans="8:8">
      <c r="H1673" s="365" t="str">
        <f>IFERROR(VLOOKUP(E:E,'Item Data Support Sheet'!A:O,2,0),"")</f>
        <v/>
      </c>
    </row>
    <row r="1674" spans="8:8">
      <c r="H1674" s="365" t="str">
        <f>IFERROR(VLOOKUP(E:E,'Item Data Support Sheet'!A:O,2,0),"")</f>
        <v/>
      </c>
    </row>
    <row r="1675" spans="8:8">
      <c r="H1675" s="365" t="str">
        <f>IFERROR(VLOOKUP(E:E,'Item Data Support Sheet'!A:O,2,0),"")</f>
        <v/>
      </c>
    </row>
    <row r="1676" spans="8:8">
      <c r="H1676" s="365" t="str">
        <f>IFERROR(VLOOKUP(E:E,'Item Data Support Sheet'!A:O,2,0),"")</f>
        <v/>
      </c>
    </row>
    <row r="1677" spans="8:8">
      <c r="H1677" s="365" t="str">
        <f>IFERROR(VLOOKUP(E:E,'Item Data Support Sheet'!A:O,2,0),"")</f>
        <v/>
      </c>
    </row>
    <row r="1678" spans="8:8">
      <c r="H1678" s="365" t="str">
        <f>IFERROR(VLOOKUP(E:E,'Item Data Support Sheet'!A:O,2,0),"")</f>
        <v/>
      </c>
    </row>
    <row r="1679" spans="8:8">
      <c r="H1679" s="365" t="str">
        <f>IFERROR(VLOOKUP(E:E,'Item Data Support Sheet'!A:O,2,0),"")</f>
        <v/>
      </c>
    </row>
    <row r="1680" spans="8:8">
      <c r="H1680" s="365" t="str">
        <f>IFERROR(VLOOKUP(E:E,'Item Data Support Sheet'!A:O,2,0),"")</f>
        <v/>
      </c>
    </row>
    <row r="1681" spans="8:8">
      <c r="H1681" s="365" t="str">
        <f>IFERROR(VLOOKUP(E:E,'Item Data Support Sheet'!A:O,2,0),"")</f>
        <v/>
      </c>
    </row>
    <row r="1682" spans="8:8">
      <c r="H1682" s="365" t="str">
        <f>IFERROR(VLOOKUP(E:E,'Item Data Support Sheet'!A:O,2,0),"")</f>
        <v/>
      </c>
    </row>
    <row r="1683" spans="8:8">
      <c r="H1683" s="365" t="str">
        <f>IFERROR(VLOOKUP(E:E,'Item Data Support Sheet'!A:O,2,0),"")</f>
        <v/>
      </c>
    </row>
    <row r="1684" spans="8:8">
      <c r="H1684" s="365" t="str">
        <f>IFERROR(VLOOKUP(E:E,'Item Data Support Sheet'!A:O,2,0),"")</f>
        <v/>
      </c>
    </row>
    <row r="1685" spans="8:8">
      <c r="H1685" s="365" t="str">
        <f>IFERROR(VLOOKUP(E:E,'Item Data Support Sheet'!A:O,2,0),"")</f>
        <v/>
      </c>
    </row>
    <row r="1686" spans="8:8">
      <c r="H1686" s="365" t="str">
        <f>IFERROR(VLOOKUP(E:E,'Item Data Support Sheet'!A:O,2,0),"")</f>
        <v/>
      </c>
    </row>
    <row r="1687" spans="8:8">
      <c r="H1687" s="365" t="str">
        <f>IFERROR(VLOOKUP(E:E,'Item Data Support Sheet'!A:O,2,0),"")</f>
        <v/>
      </c>
    </row>
    <row r="1688" spans="8:8">
      <c r="H1688" s="365" t="str">
        <f>IFERROR(VLOOKUP(E:E,'Item Data Support Sheet'!A:O,2,0),"")</f>
        <v/>
      </c>
    </row>
    <row r="1689" spans="8:8">
      <c r="H1689" s="365" t="str">
        <f>IFERROR(VLOOKUP(E:E,'Item Data Support Sheet'!A:O,2,0),"")</f>
        <v/>
      </c>
    </row>
    <row r="1690" spans="8:8">
      <c r="H1690" s="365" t="str">
        <f>IFERROR(VLOOKUP(E:E,'Item Data Support Sheet'!A:O,2,0),"")</f>
        <v/>
      </c>
    </row>
    <row r="1691" spans="8:8">
      <c r="H1691" s="365" t="str">
        <f>IFERROR(VLOOKUP(E:E,'Item Data Support Sheet'!A:O,2,0),"")</f>
        <v/>
      </c>
    </row>
    <row r="1692" spans="8:8">
      <c r="H1692" s="365" t="str">
        <f>IFERROR(VLOOKUP(E:E,'Item Data Support Sheet'!A:O,2,0),"")</f>
        <v/>
      </c>
    </row>
    <row r="1693" spans="8:8">
      <c r="H1693" s="365" t="str">
        <f>IFERROR(VLOOKUP(E:E,'Item Data Support Sheet'!A:O,2,0),"")</f>
        <v/>
      </c>
    </row>
    <row r="1694" spans="8:8">
      <c r="H1694" s="365" t="str">
        <f>IFERROR(VLOOKUP(E:E,'Item Data Support Sheet'!A:O,2,0),"")</f>
        <v/>
      </c>
    </row>
    <row r="1695" spans="8:8">
      <c r="H1695" s="365" t="str">
        <f>IFERROR(VLOOKUP(E:E,'Item Data Support Sheet'!A:O,2,0),"")</f>
        <v/>
      </c>
    </row>
    <row r="1696" spans="8:8">
      <c r="H1696" s="365" t="str">
        <f>IFERROR(VLOOKUP(E:E,'Item Data Support Sheet'!A:O,2,0),"")</f>
        <v/>
      </c>
    </row>
    <row r="1697" spans="8:8">
      <c r="H1697" s="365" t="str">
        <f>IFERROR(VLOOKUP(E:E,'Item Data Support Sheet'!A:O,2,0),"")</f>
        <v/>
      </c>
    </row>
    <row r="1698" spans="8:8">
      <c r="H1698" s="365" t="str">
        <f>IFERROR(VLOOKUP(E:E,'Item Data Support Sheet'!A:O,2,0),"")</f>
        <v/>
      </c>
    </row>
    <row r="1699" spans="8:8">
      <c r="H1699" s="365" t="str">
        <f>IFERROR(VLOOKUP(E:E,'Item Data Support Sheet'!A:O,2,0),"")</f>
        <v/>
      </c>
    </row>
    <row r="1700" spans="8:8">
      <c r="H1700" s="365" t="str">
        <f>IFERROR(VLOOKUP(E:E,'Item Data Support Sheet'!A:O,2,0),"")</f>
        <v/>
      </c>
    </row>
    <row r="1701" spans="8:8">
      <c r="H1701" s="365" t="str">
        <f>IFERROR(VLOOKUP(E:E,'Item Data Support Sheet'!A:O,2,0),"")</f>
        <v/>
      </c>
    </row>
    <row r="1702" spans="8:8">
      <c r="H1702" s="365" t="str">
        <f>IFERROR(VLOOKUP(E:E,'Item Data Support Sheet'!A:O,2,0),"")</f>
        <v/>
      </c>
    </row>
    <row r="1703" spans="8:8">
      <c r="H1703" s="365" t="str">
        <f>IFERROR(VLOOKUP(E:E,'Item Data Support Sheet'!A:O,2,0),"")</f>
        <v/>
      </c>
    </row>
    <row r="1704" spans="8:8">
      <c r="H1704" s="365" t="str">
        <f>IFERROR(VLOOKUP(E:E,'Item Data Support Sheet'!A:O,2,0),"")</f>
        <v/>
      </c>
    </row>
    <row r="1705" spans="8:8">
      <c r="H1705" s="365" t="str">
        <f>IFERROR(VLOOKUP(E:E,'Item Data Support Sheet'!A:O,2,0),"")</f>
        <v/>
      </c>
    </row>
    <row r="1706" spans="8:8">
      <c r="H1706" s="365" t="str">
        <f>IFERROR(VLOOKUP(E:E,'Item Data Support Sheet'!A:O,2,0),"")</f>
        <v/>
      </c>
    </row>
    <row r="1707" spans="8:8">
      <c r="H1707" s="365" t="str">
        <f>IFERROR(VLOOKUP(E:E,'Item Data Support Sheet'!A:O,2,0),"")</f>
        <v/>
      </c>
    </row>
    <row r="1708" spans="8:8">
      <c r="H1708" s="365" t="str">
        <f>IFERROR(VLOOKUP(E:E,'Item Data Support Sheet'!A:O,2,0),"")</f>
        <v/>
      </c>
    </row>
    <row r="1709" spans="8:8">
      <c r="H1709" s="365" t="str">
        <f>IFERROR(VLOOKUP(E:E,'Item Data Support Sheet'!A:O,2,0),"")</f>
        <v/>
      </c>
    </row>
    <row r="1710" spans="8:8">
      <c r="H1710" s="365" t="str">
        <f>IFERROR(VLOOKUP(E:E,'Item Data Support Sheet'!A:O,2,0),"")</f>
        <v/>
      </c>
    </row>
    <row r="1711" spans="8:8">
      <c r="H1711" s="365" t="str">
        <f>IFERROR(VLOOKUP(E:E,'Item Data Support Sheet'!A:O,2,0),"")</f>
        <v/>
      </c>
    </row>
    <row r="1712" spans="8:8">
      <c r="H1712" s="365" t="str">
        <f>IFERROR(VLOOKUP(E:E,'Item Data Support Sheet'!A:O,2,0),"")</f>
        <v/>
      </c>
    </row>
    <row r="1713" spans="8:8">
      <c r="H1713" s="365" t="str">
        <f>IFERROR(VLOOKUP(E:E,'Item Data Support Sheet'!A:O,2,0),"")</f>
        <v/>
      </c>
    </row>
    <row r="1714" spans="8:8">
      <c r="H1714" s="365" t="str">
        <f>IFERROR(VLOOKUP(E:E,'Item Data Support Sheet'!A:O,2,0),"")</f>
        <v/>
      </c>
    </row>
    <row r="1715" spans="8:8">
      <c r="H1715" s="365" t="str">
        <f>IFERROR(VLOOKUP(E:E,'Item Data Support Sheet'!A:O,2,0),"")</f>
        <v/>
      </c>
    </row>
    <row r="1716" spans="8:8">
      <c r="H1716" s="365" t="str">
        <f>IFERROR(VLOOKUP(E:E,'Item Data Support Sheet'!A:O,2,0),"")</f>
        <v/>
      </c>
    </row>
    <row r="1717" spans="8:8">
      <c r="H1717" s="365" t="str">
        <f>IFERROR(VLOOKUP(E:E,'Item Data Support Sheet'!A:O,2,0),"")</f>
        <v/>
      </c>
    </row>
    <row r="1718" spans="8:8">
      <c r="H1718" s="365" t="str">
        <f>IFERROR(VLOOKUP(E:E,'Item Data Support Sheet'!A:O,2,0),"")</f>
        <v/>
      </c>
    </row>
    <row r="1719" spans="8:8">
      <c r="H1719" s="365" t="str">
        <f>IFERROR(VLOOKUP(E:E,'Item Data Support Sheet'!A:O,2,0),"")</f>
        <v/>
      </c>
    </row>
    <row r="1720" spans="8:8">
      <c r="H1720" s="365" t="str">
        <f>IFERROR(VLOOKUP(E:E,'Item Data Support Sheet'!A:O,2,0),"")</f>
        <v/>
      </c>
    </row>
    <row r="1721" spans="8:8">
      <c r="H1721" s="365" t="str">
        <f>IFERROR(VLOOKUP(E:E,'Item Data Support Sheet'!A:O,2,0),"")</f>
        <v/>
      </c>
    </row>
    <row r="1722" spans="8:8">
      <c r="H1722" s="365" t="str">
        <f>IFERROR(VLOOKUP(E:E,'Item Data Support Sheet'!A:O,2,0),"")</f>
        <v/>
      </c>
    </row>
    <row r="1723" spans="8:8">
      <c r="H1723" s="365" t="str">
        <f>IFERROR(VLOOKUP(E:E,'Item Data Support Sheet'!A:O,2,0),"")</f>
        <v/>
      </c>
    </row>
    <row r="1724" spans="8:8">
      <c r="H1724" s="365" t="str">
        <f>IFERROR(VLOOKUP(E:E,'Item Data Support Sheet'!A:O,2,0),"")</f>
        <v/>
      </c>
    </row>
    <row r="1725" spans="8:8">
      <c r="H1725" s="365" t="str">
        <f>IFERROR(VLOOKUP(E:E,'Item Data Support Sheet'!A:O,2,0),"")</f>
        <v/>
      </c>
    </row>
    <row r="1726" spans="8:8">
      <c r="H1726" s="365" t="str">
        <f>IFERROR(VLOOKUP(E:E,'Item Data Support Sheet'!A:O,2,0),"")</f>
        <v/>
      </c>
    </row>
    <row r="1727" spans="8:8">
      <c r="H1727" s="365" t="str">
        <f>IFERROR(VLOOKUP(E:E,'Item Data Support Sheet'!A:O,2,0),"")</f>
        <v/>
      </c>
    </row>
    <row r="1728" spans="8:8">
      <c r="H1728" s="365" t="str">
        <f>IFERROR(VLOOKUP(E:E,'Item Data Support Sheet'!A:O,2,0),"")</f>
        <v/>
      </c>
    </row>
    <row r="1729" spans="8:8">
      <c r="H1729" s="365" t="str">
        <f>IFERROR(VLOOKUP(E:E,'Item Data Support Sheet'!A:O,2,0),"")</f>
        <v/>
      </c>
    </row>
    <row r="1730" spans="8:8">
      <c r="H1730" s="365" t="str">
        <f>IFERROR(VLOOKUP(E:E,'Item Data Support Sheet'!A:O,2,0),"")</f>
        <v/>
      </c>
    </row>
    <row r="1731" spans="8:8">
      <c r="H1731" s="365" t="str">
        <f>IFERROR(VLOOKUP(E:E,'Item Data Support Sheet'!A:O,2,0),"")</f>
        <v/>
      </c>
    </row>
    <row r="1732" spans="8:8">
      <c r="H1732" s="365" t="str">
        <f>IFERROR(VLOOKUP(E:E,'Item Data Support Sheet'!A:O,2,0),"")</f>
        <v/>
      </c>
    </row>
    <row r="1733" spans="8:8">
      <c r="H1733" s="365" t="str">
        <f>IFERROR(VLOOKUP(E:E,'Item Data Support Sheet'!A:O,2,0),"")</f>
        <v/>
      </c>
    </row>
    <row r="1734" spans="8:8">
      <c r="H1734" s="365" t="str">
        <f>IFERROR(VLOOKUP(E:E,'Item Data Support Sheet'!A:O,2,0),"")</f>
        <v/>
      </c>
    </row>
    <row r="1735" spans="8:8">
      <c r="H1735" s="365" t="str">
        <f>IFERROR(VLOOKUP(E:E,'Item Data Support Sheet'!A:O,2,0),"")</f>
        <v/>
      </c>
    </row>
    <row r="1736" spans="8:8">
      <c r="H1736" s="365" t="str">
        <f>IFERROR(VLOOKUP(E:E,'Item Data Support Sheet'!A:O,2,0),"")</f>
        <v/>
      </c>
    </row>
    <row r="1737" spans="8:8">
      <c r="H1737" s="365" t="str">
        <f>IFERROR(VLOOKUP(E:E,'Item Data Support Sheet'!A:O,2,0),"")</f>
        <v/>
      </c>
    </row>
    <row r="1738" spans="8:8">
      <c r="H1738" s="365" t="str">
        <f>IFERROR(VLOOKUP(E:E,'Item Data Support Sheet'!A:O,2,0),"")</f>
        <v/>
      </c>
    </row>
    <row r="1739" spans="8:8">
      <c r="H1739" s="365" t="str">
        <f>IFERROR(VLOOKUP(E:E,'Item Data Support Sheet'!A:O,2,0),"")</f>
        <v/>
      </c>
    </row>
    <row r="1740" spans="8:8">
      <c r="H1740" s="365" t="str">
        <f>IFERROR(VLOOKUP(E:E,'Item Data Support Sheet'!A:O,2,0),"")</f>
        <v/>
      </c>
    </row>
    <row r="1741" spans="8:8">
      <c r="H1741" s="365" t="str">
        <f>IFERROR(VLOOKUP(E:E,'Item Data Support Sheet'!A:O,2,0),"")</f>
        <v/>
      </c>
    </row>
    <row r="1742" spans="8:8">
      <c r="H1742" s="365" t="str">
        <f>IFERROR(VLOOKUP(E:E,'Item Data Support Sheet'!A:O,2,0),"")</f>
        <v/>
      </c>
    </row>
    <row r="1743" spans="8:8">
      <c r="H1743" s="365" t="str">
        <f>IFERROR(VLOOKUP(E:E,'Item Data Support Sheet'!A:O,2,0),"")</f>
        <v/>
      </c>
    </row>
    <row r="1744" spans="8:8">
      <c r="H1744" s="365" t="str">
        <f>IFERROR(VLOOKUP(E:E,'Item Data Support Sheet'!A:O,2,0),"")</f>
        <v/>
      </c>
    </row>
    <row r="1745" spans="8:8">
      <c r="H1745" s="365" t="str">
        <f>IFERROR(VLOOKUP(E:E,'Item Data Support Sheet'!A:O,2,0),"")</f>
        <v/>
      </c>
    </row>
    <row r="1746" spans="8:8">
      <c r="H1746" s="365" t="str">
        <f>IFERROR(VLOOKUP(E:E,'Item Data Support Sheet'!A:O,2,0),"")</f>
        <v/>
      </c>
    </row>
    <row r="1747" spans="8:8">
      <c r="H1747" s="365" t="str">
        <f>IFERROR(VLOOKUP(E:E,'Item Data Support Sheet'!A:O,2,0),"")</f>
        <v/>
      </c>
    </row>
    <row r="1748" spans="8:8">
      <c r="H1748" s="365" t="str">
        <f>IFERROR(VLOOKUP(E:E,'Item Data Support Sheet'!A:O,2,0),"")</f>
        <v/>
      </c>
    </row>
    <row r="1749" spans="8:8">
      <c r="H1749" s="365" t="str">
        <f>IFERROR(VLOOKUP(E:E,'Item Data Support Sheet'!A:O,2,0),"")</f>
        <v/>
      </c>
    </row>
    <row r="1750" spans="8:8">
      <c r="H1750" s="365" t="str">
        <f>IFERROR(VLOOKUP(E:E,'Item Data Support Sheet'!A:O,2,0),"")</f>
        <v/>
      </c>
    </row>
    <row r="1751" spans="8:8">
      <c r="H1751" s="365" t="str">
        <f>IFERROR(VLOOKUP(E:E,'Item Data Support Sheet'!A:O,2,0),"")</f>
        <v/>
      </c>
    </row>
    <row r="1752" spans="8:8">
      <c r="H1752" s="365" t="str">
        <f>IFERROR(VLOOKUP(E:E,'Item Data Support Sheet'!A:O,2,0),"")</f>
        <v/>
      </c>
    </row>
    <row r="1753" spans="8:8">
      <c r="H1753" s="365" t="str">
        <f>IFERROR(VLOOKUP(E:E,'Item Data Support Sheet'!A:O,2,0),"")</f>
        <v/>
      </c>
    </row>
    <row r="1754" spans="8:8">
      <c r="H1754" s="365" t="str">
        <f>IFERROR(VLOOKUP(E:E,'Item Data Support Sheet'!A:O,2,0),"")</f>
        <v/>
      </c>
    </row>
    <row r="1755" spans="8:8">
      <c r="H1755" s="365" t="str">
        <f>IFERROR(VLOOKUP(E:E,'Item Data Support Sheet'!A:O,2,0),"")</f>
        <v/>
      </c>
    </row>
    <row r="1756" spans="8:8">
      <c r="H1756" s="365" t="str">
        <f>IFERROR(VLOOKUP(E:E,'Item Data Support Sheet'!A:O,2,0),"")</f>
        <v/>
      </c>
    </row>
    <row r="1757" spans="8:8">
      <c r="H1757" s="365" t="str">
        <f>IFERROR(VLOOKUP(E:E,'Item Data Support Sheet'!A:O,2,0),"")</f>
        <v/>
      </c>
    </row>
    <row r="1758" spans="8:8">
      <c r="H1758" s="365" t="str">
        <f>IFERROR(VLOOKUP(E:E,'Item Data Support Sheet'!A:O,2,0),"")</f>
        <v/>
      </c>
    </row>
    <row r="1759" spans="8:8">
      <c r="H1759" s="365" t="str">
        <f>IFERROR(VLOOKUP(E:E,'Item Data Support Sheet'!A:O,2,0),"")</f>
        <v/>
      </c>
    </row>
    <row r="1760" spans="8:8">
      <c r="H1760" s="365" t="str">
        <f>IFERROR(VLOOKUP(E:E,'Item Data Support Sheet'!A:O,2,0),"")</f>
        <v/>
      </c>
    </row>
    <row r="1761" spans="8:8">
      <c r="H1761" s="365" t="str">
        <f>IFERROR(VLOOKUP(E:E,'Item Data Support Sheet'!A:O,2,0),"")</f>
        <v/>
      </c>
    </row>
    <row r="1762" spans="8:8">
      <c r="H1762" s="365" t="str">
        <f>IFERROR(VLOOKUP(E:E,'Item Data Support Sheet'!A:O,2,0),"")</f>
        <v/>
      </c>
    </row>
    <row r="1763" spans="8:8">
      <c r="H1763" s="365" t="str">
        <f>IFERROR(VLOOKUP(E:E,'Item Data Support Sheet'!A:O,2,0),"")</f>
        <v/>
      </c>
    </row>
    <row r="1764" spans="8:8">
      <c r="H1764" s="365" t="str">
        <f>IFERROR(VLOOKUP(E:E,'Item Data Support Sheet'!A:O,2,0),"")</f>
        <v/>
      </c>
    </row>
    <row r="1765" spans="8:8">
      <c r="H1765" s="365" t="str">
        <f>IFERROR(VLOOKUP(E:E,'Item Data Support Sheet'!A:O,2,0),"")</f>
        <v/>
      </c>
    </row>
    <row r="1766" spans="8:8">
      <c r="H1766" s="365" t="str">
        <f>IFERROR(VLOOKUP(E:E,'Item Data Support Sheet'!A:O,2,0),"")</f>
        <v/>
      </c>
    </row>
    <row r="1767" spans="8:8">
      <c r="H1767" s="365" t="str">
        <f>IFERROR(VLOOKUP(E:E,'Item Data Support Sheet'!A:O,2,0),"")</f>
        <v/>
      </c>
    </row>
    <row r="1768" spans="8:8">
      <c r="H1768" s="365" t="str">
        <f>IFERROR(VLOOKUP(E:E,'Item Data Support Sheet'!A:O,2,0),"")</f>
        <v/>
      </c>
    </row>
    <row r="1769" spans="8:8">
      <c r="H1769" s="365" t="str">
        <f>IFERROR(VLOOKUP(E:E,'Item Data Support Sheet'!A:O,2,0),"")</f>
        <v/>
      </c>
    </row>
    <row r="1770" spans="8:8">
      <c r="H1770" s="365" t="str">
        <f>IFERROR(VLOOKUP(E:E,'Item Data Support Sheet'!A:O,2,0),"")</f>
        <v/>
      </c>
    </row>
    <row r="1771" spans="8:8">
      <c r="H1771" s="365" t="str">
        <f>IFERROR(VLOOKUP(E:E,'Item Data Support Sheet'!A:O,2,0),"")</f>
        <v/>
      </c>
    </row>
    <row r="1772" spans="8:8">
      <c r="H1772" s="365" t="str">
        <f>IFERROR(VLOOKUP(E:E,'Item Data Support Sheet'!A:O,2,0),"")</f>
        <v/>
      </c>
    </row>
    <row r="1773" spans="8:8">
      <c r="H1773" s="365" t="str">
        <f>IFERROR(VLOOKUP(E:E,'Item Data Support Sheet'!A:O,2,0),"")</f>
        <v/>
      </c>
    </row>
    <row r="1774" spans="8:8">
      <c r="H1774" s="365" t="str">
        <f>IFERROR(VLOOKUP(E:E,'Item Data Support Sheet'!A:O,2,0),"")</f>
        <v/>
      </c>
    </row>
    <row r="1775" spans="8:8">
      <c r="H1775" s="365" t="str">
        <f>IFERROR(VLOOKUP(E:E,'Item Data Support Sheet'!A:O,2,0),"")</f>
        <v/>
      </c>
    </row>
    <row r="1776" spans="8:8">
      <c r="H1776" s="365" t="str">
        <f>IFERROR(VLOOKUP(E:E,'Item Data Support Sheet'!A:O,2,0),"")</f>
        <v/>
      </c>
    </row>
    <row r="1777" spans="8:8">
      <c r="H1777" s="365" t="str">
        <f>IFERROR(VLOOKUP(E:E,'Item Data Support Sheet'!A:O,2,0),"")</f>
        <v/>
      </c>
    </row>
    <row r="1778" spans="8:8">
      <c r="H1778" s="365" t="str">
        <f>IFERROR(VLOOKUP(E:E,'Item Data Support Sheet'!A:O,2,0),"")</f>
        <v/>
      </c>
    </row>
    <row r="1779" spans="8:8">
      <c r="H1779" s="365" t="str">
        <f>IFERROR(VLOOKUP(E:E,'Item Data Support Sheet'!A:O,2,0),"")</f>
        <v/>
      </c>
    </row>
    <row r="1780" spans="8:8">
      <c r="H1780" s="365" t="str">
        <f>IFERROR(VLOOKUP(E:E,'Item Data Support Sheet'!A:O,2,0),"")</f>
        <v/>
      </c>
    </row>
    <row r="1781" spans="8:8">
      <c r="H1781" s="365" t="str">
        <f>IFERROR(VLOOKUP(E:E,'Item Data Support Sheet'!A:O,2,0),"")</f>
        <v/>
      </c>
    </row>
    <row r="1782" spans="8:8">
      <c r="H1782" s="365" t="str">
        <f>IFERROR(VLOOKUP(E:E,'Item Data Support Sheet'!A:O,2,0),"")</f>
        <v/>
      </c>
    </row>
    <row r="1783" spans="8:8">
      <c r="H1783" s="365" t="str">
        <f>IFERROR(VLOOKUP(E:E,'Item Data Support Sheet'!A:O,2,0),"")</f>
        <v/>
      </c>
    </row>
    <row r="1784" spans="8:8">
      <c r="H1784" s="365" t="str">
        <f>IFERROR(VLOOKUP(E:E,'Item Data Support Sheet'!A:O,2,0),"")</f>
        <v/>
      </c>
    </row>
    <row r="1785" spans="8:8">
      <c r="H1785" s="365" t="str">
        <f>IFERROR(VLOOKUP(E:E,'Item Data Support Sheet'!A:O,2,0),"")</f>
        <v/>
      </c>
    </row>
    <row r="1786" spans="8:8">
      <c r="H1786" s="365" t="str">
        <f>IFERROR(VLOOKUP(E:E,'Item Data Support Sheet'!A:O,2,0),"")</f>
        <v/>
      </c>
    </row>
    <row r="1787" spans="8:8">
      <c r="H1787" s="365" t="str">
        <f>IFERROR(VLOOKUP(E:E,'Item Data Support Sheet'!A:O,2,0),"")</f>
        <v/>
      </c>
    </row>
    <row r="1788" spans="8:8">
      <c r="H1788" s="365" t="str">
        <f>IFERROR(VLOOKUP(E:E,'Item Data Support Sheet'!A:O,2,0),"")</f>
        <v/>
      </c>
    </row>
    <row r="1789" spans="8:8">
      <c r="H1789" s="365" t="str">
        <f>IFERROR(VLOOKUP(E:E,'Item Data Support Sheet'!A:O,2,0),"")</f>
        <v/>
      </c>
    </row>
    <row r="1790" spans="8:8">
      <c r="H1790" s="365" t="str">
        <f>IFERROR(VLOOKUP(E:E,'Item Data Support Sheet'!A:O,2,0),"")</f>
        <v/>
      </c>
    </row>
    <row r="1791" spans="8:8">
      <c r="H1791" s="365" t="str">
        <f>IFERROR(VLOOKUP(E:E,'Item Data Support Sheet'!A:O,2,0),"")</f>
        <v/>
      </c>
    </row>
    <row r="1792" spans="8:8">
      <c r="H1792" s="365" t="str">
        <f>IFERROR(VLOOKUP(E:E,'Item Data Support Sheet'!A:O,2,0),"")</f>
        <v/>
      </c>
    </row>
    <row r="1793" spans="8:8">
      <c r="H1793" s="365" t="str">
        <f>IFERROR(VLOOKUP(E:E,'Item Data Support Sheet'!A:O,2,0),"")</f>
        <v/>
      </c>
    </row>
    <row r="1794" spans="8:8">
      <c r="H1794" s="365" t="str">
        <f>IFERROR(VLOOKUP(E:E,'Item Data Support Sheet'!A:O,2,0),"")</f>
        <v/>
      </c>
    </row>
    <row r="1795" spans="8:8">
      <c r="H1795" s="365" t="str">
        <f>IFERROR(VLOOKUP(E:E,'Item Data Support Sheet'!A:O,2,0),"")</f>
        <v/>
      </c>
    </row>
    <row r="1796" spans="8:8">
      <c r="H1796" s="365" t="str">
        <f>IFERROR(VLOOKUP(E:E,'Item Data Support Sheet'!A:O,2,0),"")</f>
        <v/>
      </c>
    </row>
    <row r="1797" spans="8:8">
      <c r="H1797" s="365" t="str">
        <f>IFERROR(VLOOKUP(E:E,'Item Data Support Sheet'!A:O,2,0),"")</f>
        <v/>
      </c>
    </row>
    <row r="1798" spans="8:8">
      <c r="H1798" s="365" t="str">
        <f>IFERROR(VLOOKUP(E:E,'Item Data Support Sheet'!A:O,2,0),"")</f>
        <v/>
      </c>
    </row>
    <row r="1799" spans="8:8">
      <c r="H1799" s="365" t="str">
        <f>IFERROR(VLOOKUP(E:E,'Item Data Support Sheet'!A:O,2,0),"")</f>
        <v/>
      </c>
    </row>
    <row r="1800" spans="8:8">
      <c r="H1800" s="365" t="str">
        <f>IFERROR(VLOOKUP(E:E,'Item Data Support Sheet'!A:O,2,0),"")</f>
        <v/>
      </c>
    </row>
    <row r="1801" spans="8:8">
      <c r="H1801" s="365" t="str">
        <f>IFERROR(VLOOKUP(E:E,'Item Data Support Sheet'!A:O,2,0),"")</f>
        <v/>
      </c>
    </row>
    <row r="1802" spans="8:8">
      <c r="H1802" s="365" t="str">
        <f>IFERROR(VLOOKUP(E:E,'Item Data Support Sheet'!A:O,2,0),"")</f>
        <v/>
      </c>
    </row>
    <row r="1803" spans="8:8">
      <c r="H1803" s="365" t="str">
        <f>IFERROR(VLOOKUP(E:E,'Item Data Support Sheet'!A:O,2,0),"")</f>
        <v/>
      </c>
    </row>
    <row r="1804" spans="8:8">
      <c r="H1804" s="365" t="str">
        <f>IFERROR(VLOOKUP(E:E,'Item Data Support Sheet'!A:O,2,0),"")</f>
        <v/>
      </c>
    </row>
    <row r="1805" spans="8:8">
      <c r="H1805" s="365" t="str">
        <f>IFERROR(VLOOKUP(E:E,'Item Data Support Sheet'!A:O,2,0),"")</f>
        <v/>
      </c>
    </row>
    <row r="1806" spans="8:8">
      <c r="H1806" s="365" t="str">
        <f>IFERROR(VLOOKUP(E:E,'Item Data Support Sheet'!A:O,2,0),"")</f>
        <v/>
      </c>
    </row>
    <row r="1807" spans="8:8">
      <c r="H1807" s="365" t="str">
        <f>IFERROR(VLOOKUP(E:E,'Item Data Support Sheet'!A:O,2,0),"")</f>
        <v/>
      </c>
    </row>
    <row r="1808" spans="8:8">
      <c r="H1808" s="365" t="str">
        <f>IFERROR(VLOOKUP(E:E,'Item Data Support Sheet'!A:O,2,0),"")</f>
        <v/>
      </c>
    </row>
    <row r="1809" spans="8:8">
      <c r="H1809" s="365" t="str">
        <f>IFERROR(VLOOKUP(E:E,'Item Data Support Sheet'!A:O,2,0),"")</f>
        <v/>
      </c>
    </row>
    <row r="1810" spans="8:8">
      <c r="H1810" s="365" t="str">
        <f>IFERROR(VLOOKUP(E:E,'Item Data Support Sheet'!A:O,2,0),"")</f>
        <v/>
      </c>
    </row>
    <row r="1811" spans="8:8">
      <c r="H1811" s="365" t="str">
        <f>IFERROR(VLOOKUP(E:E,'Item Data Support Sheet'!A:O,2,0),"")</f>
        <v/>
      </c>
    </row>
    <row r="1812" spans="8:8">
      <c r="H1812" s="365" t="str">
        <f>IFERROR(VLOOKUP(E:E,'Item Data Support Sheet'!A:O,2,0),"")</f>
        <v/>
      </c>
    </row>
    <row r="1813" spans="8:8">
      <c r="H1813" s="365" t="str">
        <f>IFERROR(VLOOKUP(E:E,'Item Data Support Sheet'!A:O,2,0),"")</f>
        <v/>
      </c>
    </row>
    <row r="1814" spans="8:8">
      <c r="H1814" s="365" t="str">
        <f>IFERROR(VLOOKUP(E:E,'Item Data Support Sheet'!A:O,2,0),"")</f>
        <v/>
      </c>
    </row>
    <row r="1815" spans="8:8">
      <c r="H1815" s="365" t="str">
        <f>IFERROR(VLOOKUP(E:E,'Item Data Support Sheet'!A:O,2,0),"")</f>
        <v/>
      </c>
    </row>
    <row r="1816" spans="8:8">
      <c r="H1816" s="365" t="str">
        <f>IFERROR(VLOOKUP(E:E,'Item Data Support Sheet'!A:O,2,0),"")</f>
        <v/>
      </c>
    </row>
    <row r="1817" spans="8:8">
      <c r="H1817" s="365" t="str">
        <f>IFERROR(VLOOKUP(E:E,'Item Data Support Sheet'!A:O,2,0),"")</f>
        <v/>
      </c>
    </row>
    <row r="1818" spans="8:8">
      <c r="H1818" s="365" t="str">
        <f>IFERROR(VLOOKUP(E:E,'Item Data Support Sheet'!A:O,2,0),"")</f>
        <v/>
      </c>
    </row>
    <row r="1819" spans="8:8">
      <c r="H1819" s="365" t="str">
        <f>IFERROR(VLOOKUP(E:E,'Item Data Support Sheet'!A:O,2,0),"")</f>
        <v/>
      </c>
    </row>
    <row r="1820" spans="8:8">
      <c r="H1820" s="365" t="str">
        <f>IFERROR(VLOOKUP(E:E,'Item Data Support Sheet'!A:O,2,0),"")</f>
        <v/>
      </c>
    </row>
    <row r="1821" spans="8:8">
      <c r="H1821" s="365" t="str">
        <f>IFERROR(VLOOKUP(E:E,'Item Data Support Sheet'!A:O,2,0),"")</f>
        <v/>
      </c>
    </row>
    <row r="1822" spans="8:8">
      <c r="H1822" s="365" t="str">
        <f>IFERROR(VLOOKUP(E:E,'Item Data Support Sheet'!A:O,2,0),"")</f>
        <v/>
      </c>
    </row>
    <row r="1823" spans="8:8">
      <c r="H1823" s="365" t="str">
        <f>IFERROR(VLOOKUP(E:E,'Item Data Support Sheet'!A:O,2,0),"")</f>
        <v/>
      </c>
    </row>
    <row r="1824" spans="8:8">
      <c r="H1824" s="365" t="str">
        <f>IFERROR(VLOOKUP(E:E,'Item Data Support Sheet'!A:O,2,0),"")</f>
        <v/>
      </c>
    </row>
    <row r="1825" spans="8:8">
      <c r="H1825" s="365" t="str">
        <f>IFERROR(VLOOKUP(E:E,'Item Data Support Sheet'!A:O,2,0),"")</f>
        <v/>
      </c>
    </row>
    <row r="1826" spans="8:8">
      <c r="H1826" s="365" t="str">
        <f>IFERROR(VLOOKUP(E:E,'Item Data Support Sheet'!A:O,2,0),"")</f>
        <v/>
      </c>
    </row>
    <row r="1827" spans="8:8">
      <c r="H1827" s="365" t="str">
        <f>IFERROR(VLOOKUP(E:E,'Item Data Support Sheet'!A:O,2,0),"")</f>
        <v/>
      </c>
    </row>
    <row r="1828" spans="8:8">
      <c r="H1828" s="365" t="str">
        <f>IFERROR(VLOOKUP(E:E,'Item Data Support Sheet'!A:O,2,0),"")</f>
        <v/>
      </c>
    </row>
    <row r="1829" spans="8:8">
      <c r="H1829" s="365" t="str">
        <f>IFERROR(VLOOKUP(E:E,'Item Data Support Sheet'!A:O,2,0),"")</f>
        <v/>
      </c>
    </row>
    <row r="1830" spans="8:8">
      <c r="H1830" s="365" t="str">
        <f>IFERROR(VLOOKUP(E:E,'Item Data Support Sheet'!A:O,2,0),"")</f>
        <v/>
      </c>
    </row>
    <row r="1831" spans="8:8">
      <c r="H1831" s="365" t="str">
        <f>IFERROR(VLOOKUP(E:E,'Item Data Support Sheet'!A:O,2,0),"")</f>
        <v/>
      </c>
    </row>
    <row r="1832" spans="8:8">
      <c r="H1832" s="365" t="str">
        <f>IFERROR(VLOOKUP(E:E,'Item Data Support Sheet'!A:O,2,0),"")</f>
        <v/>
      </c>
    </row>
    <row r="1833" spans="8:8">
      <c r="H1833" s="365" t="str">
        <f>IFERROR(VLOOKUP(E:E,'Item Data Support Sheet'!A:O,2,0),"")</f>
        <v/>
      </c>
    </row>
    <row r="1834" spans="8:8">
      <c r="H1834" s="365" t="str">
        <f>IFERROR(VLOOKUP(E:E,'Item Data Support Sheet'!A:O,2,0),"")</f>
        <v/>
      </c>
    </row>
    <row r="1835" spans="8:8">
      <c r="H1835" s="365" t="str">
        <f>IFERROR(VLOOKUP(E:E,'Item Data Support Sheet'!A:O,2,0),"")</f>
        <v/>
      </c>
    </row>
    <row r="1836" spans="8:8">
      <c r="H1836" s="365" t="str">
        <f>IFERROR(VLOOKUP(E:E,'Item Data Support Sheet'!A:O,2,0),"")</f>
        <v/>
      </c>
    </row>
    <row r="1837" spans="8:8">
      <c r="H1837" s="365" t="str">
        <f>IFERROR(VLOOKUP(E:E,'Item Data Support Sheet'!A:O,2,0),"")</f>
        <v/>
      </c>
    </row>
    <row r="1838" spans="8:8">
      <c r="H1838" s="365" t="str">
        <f>IFERROR(VLOOKUP(E:E,'Item Data Support Sheet'!A:O,2,0),"")</f>
        <v/>
      </c>
    </row>
    <row r="1839" spans="8:8">
      <c r="H1839" s="365" t="str">
        <f>IFERROR(VLOOKUP(E:E,'Item Data Support Sheet'!A:O,2,0),"")</f>
        <v/>
      </c>
    </row>
    <row r="1840" spans="8:8">
      <c r="H1840" s="365" t="str">
        <f>IFERROR(VLOOKUP(E:E,'Item Data Support Sheet'!A:O,2,0),"")</f>
        <v/>
      </c>
    </row>
    <row r="1841" spans="8:8">
      <c r="H1841" s="365" t="str">
        <f>IFERROR(VLOOKUP(E:E,'Item Data Support Sheet'!A:O,2,0),"")</f>
        <v/>
      </c>
    </row>
    <row r="1842" spans="8:8">
      <c r="H1842" s="365" t="str">
        <f>IFERROR(VLOOKUP(E:E,'Item Data Support Sheet'!A:O,2,0),"")</f>
        <v/>
      </c>
    </row>
    <row r="1843" spans="8:8">
      <c r="H1843" s="365" t="str">
        <f>IFERROR(VLOOKUP(E:E,'Item Data Support Sheet'!A:O,2,0),"")</f>
        <v/>
      </c>
    </row>
    <row r="1844" spans="8:8">
      <c r="H1844" s="365" t="str">
        <f>IFERROR(VLOOKUP(E:E,'Item Data Support Sheet'!A:O,2,0),"")</f>
        <v/>
      </c>
    </row>
    <row r="1845" spans="8:8">
      <c r="H1845" s="365" t="str">
        <f>IFERROR(VLOOKUP(E:E,'Item Data Support Sheet'!A:O,2,0),"")</f>
        <v/>
      </c>
    </row>
    <row r="1846" spans="8:8">
      <c r="H1846" s="365" t="str">
        <f>IFERROR(VLOOKUP(E:E,'Item Data Support Sheet'!A:O,2,0),"")</f>
        <v/>
      </c>
    </row>
    <row r="1847" spans="8:8">
      <c r="H1847" s="365" t="str">
        <f>IFERROR(VLOOKUP(E:E,'Item Data Support Sheet'!A:O,2,0),"")</f>
        <v/>
      </c>
    </row>
    <row r="1848" spans="8:8">
      <c r="H1848" s="365" t="str">
        <f>IFERROR(VLOOKUP(E:E,'Item Data Support Sheet'!A:O,2,0),"")</f>
        <v/>
      </c>
    </row>
    <row r="1849" spans="8:8">
      <c r="H1849" s="365" t="str">
        <f>IFERROR(VLOOKUP(E:E,'Item Data Support Sheet'!A:O,2,0),"")</f>
        <v/>
      </c>
    </row>
    <row r="1850" spans="8:8">
      <c r="H1850" s="365" t="str">
        <f>IFERROR(VLOOKUP(E:E,'Item Data Support Sheet'!A:O,2,0),"")</f>
        <v/>
      </c>
    </row>
    <row r="1851" spans="8:8">
      <c r="H1851" s="365" t="str">
        <f>IFERROR(VLOOKUP(E:E,'Item Data Support Sheet'!A:O,2,0),"")</f>
        <v/>
      </c>
    </row>
    <row r="1852" spans="8:8">
      <c r="H1852" s="365" t="str">
        <f>IFERROR(VLOOKUP(E:E,'Item Data Support Sheet'!A:O,2,0),"")</f>
        <v/>
      </c>
    </row>
    <row r="1853" spans="8:8">
      <c r="H1853" s="365" t="str">
        <f>IFERROR(VLOOKUP(E:E,'Item Data Support Sheet'!A:O,2,0),"")</f>
        <v/>
      </c>
    </row>
    <row r="1854" spans="8:8">
      <c r="H1854" s="365" t="str">
        <f>IFERROR(VLOOKUP(E:E,'Item Data Support Sheet'!A:O,2,0),"")</f>
        <v/>
      </c>
    </row>
    <row r="1855" spans="8:8">
      <c r="H1855" s="365" t="str">
        <f>IFERROR(VLOOKUP(E:E,'Item Data Support Sheet'!A:O,2,0),"")</f>
        <v/>
      </c>
    </row>
    <row r="1856" spans="8:8">
      <c r="H1856" s="365" t="str">
        <f>IFERROR(VLOOKUP(E:E,'Item Data Support Sheet'!A:O,2,0),"")</f>
        <v/>
      </c>
    </row>
    <row r="1857" spans="8:8">
      <c r="H1857" s="365" t="str">
        <f>IFERROR(VLOOKUP(E:E,'Item Data Support Sheet'!A:O,2,0),"")</f>
        <v/>
      </c>
    </row>
    <row r="1858" spans="8:8">
      <c r="H1858" s="365" t="str">
        <f>IFERROR(VLOOKUP(E:E,'Item Data Support Sheet'!A:O,2,0),"")</f>
        <v/>
      </c>
    </row>
    <row r="1859" spans="8:8">
      <c r="H1859" s="365" t="str">
        <f>IFERROR(VLOOKUP(E:E,'Item Data Support Sheet'!A:O,2,0),"")</f>
        <v/>
      </c>
    </row>
    <row r="1860" spans="8:8">
      <c r="H1860" s="365" t="str">
        <f>IFERROR(VLOOKUP(E:E,'Item Data Support Sheet'!A:O,2,0),"")</f>
        <v/>
      </c>
    </row>
    <row r="1861" spans="8:8">
      <c r="H1861" s="365" t="str">
        <f>IFERROR(VLOOKUP(E:E,'Item Data Support Sheet'!A:O,2,0),"")</f>
        <v/>
      </c>
    </row>
    <row r="1862" spans="8:8">
      <c r="H1862" s="365" t="s">
        <v>1808</v>
      </c>
    </row>
    <row r="1863" spans="8:8">
      <c r="H1863" s="365" t="s">
        <v>1528</v>
      </c>
    </row>
    <row r="1864" spans="8:8">
      <c r="H1864" s="365" t="s">
        <v>1535</v>
      </c>
    </row>
    <row r="1865" spans="8:8">
      <c r="H1865" s="365" t="s">
        <v>1557</v>
      </c>
    </row>
    <row r="1866" spans="8:8">
      <c r="H1866" s="365" t="s">
        <v>2154</v>
      </c>
    </row>
    <row r="1867" spans="8:8">
      <c r="H1867" s="365" t="s">
        <v>1531</v>
      </c>
    </row>
    <row r="1868" spans="8:8">
      <c r="H1868" s="365" t="s">
        <v>1605</v>
      </c>
    </row>
    <row r="1869" spans="8:8">
      <c r="H1869" s="365" t="s">
        <v>1543</v>
      </c>
    </row>
    <row r="1870" spans="8:8">
      <c r="H1870" s="365" t="s">
        <v>1541</v>
      </c>
    </row>
    <row r="1871" spans="8:8">
      <c r="H1871" s="365" t="s">
        <v>1808</v>
      </c>
    </row>
    <row r="1872" spans="8:8">
      <c r="H1872" s="365" t="s">
        <v>1535</v>
      </c>
    </row>
    <row r="1873" spans="8:8">
      <c r="H1873" s="365" t="s">
        <v>1536</v>
      </c>
    </row>
    <row r="1874" spans="8:8">
      <c r="H1874" s="365" t="s">
        <v>1528</v>
      </c>
    </row>
    <row r="1875" spans="8:8">
      <c r="H1875" s="365" t="s">
        <v>1557</v>
      </c>
    </row>
    <row r="1876" spans="8:8">
      <c r="H1876" s="365" t="s">
        <v>1532</v>
      </c>
    </row>
    <row r="1877" spans="8:8">
      <c r="H1877" s="365" t="s">
        <v>2154</v>
      </c>
    </row>
    <row r="1878" spans="8:8">
      <c r="H1878" s="365" t="s">
        <v>1557</v>
      </c>
    </row>
    <row r="1879" spans="8:8">
      <c r="H1879" s="365" t="s">
        <v>2154</v>
      </c>
    </row>
    <row r="1880" spans="8:8">
      <c r="H1880" s="365" t="s">
        <v>1557</v>
      </c>
    </row>
    <row r="1881" spans="8:8">
      <c r="H1881" s="365" t="s">
        <v>1526</v>
      </c>
    </row>
    <row r="1882" spans="8:8">
      <c r="H1882" s="365" t="s">
        <v>2154</v>
      </c>
    </row>
    <row r="1883" spans="8:8">
      <c r="H1883" s="365" t="s">
        <v>1808</v>
      </c>
    </row>
    <row r="1884" spans="8:8">
      <c r="H1884" s="365" t="s">
        <v>1536</v>
      </c>
    </row>
    <row r="1885" spans="8:8">
      <c r="H1885" s="365" t="s">
        <v>1605</v>
      </c>
    </row>
    <row r="1886" spans="8:8">
      <c r="H1886" s="365" t="s">
        <v>1537</v>
      </c>
    </row>
    <row r="1887" spans="8:8">
      <c r="H1887" s="365" t="s">
        <v>1541</v>
      </c>
    </row>
    <row r="1888" spans="8:8">
      <c r="H1888" s="365" t="s">
        <v>371</v>
      </c>
    </row>
    <row r="1889" spans="8:8">
      <c r="H1889" s="365" t="s">
        <v>372</v>
      </c>
    </row>
    <row r="1890" spans="8:8">
      <c r="H1890" s="365" t="s">
        <v>1561</v>
      </c>
    </row>
    <row r="1891" spans="8:8">
      <c r="H1891" s="365" t="s">
        <v>383</v>
      </c>
    </row>
    <row r="1892" spans="8:8">
      <c r="H1892" s="365" t="s">
        <v>1563</v>
      </c>
    </row>
    <row r="1893" spans="8:8">
      <c r="H1893" s="365" t="s">
        <v>1530</v>
      </c>
    </row>
    <row r="1894" spans="8:8">
      <c r="H1894" s="365" t="s">
        <v>1534</v>
      </c>
    </row>
    <row r="1895" spans="8:8">
      <c r="H1895" s="365" t="s">
        <v>1526</v>
      </c>
    </row>
    <row r="1896" spans="8:8">
      <c r="H1896" s="365" t="s">
        <v>1559</v>
      </c>
    </row>
    <row r="1897" spans="8:8">
      <c r="H1897" s="365" t="s">
        <v>2154</v>
      </c>
    </row>
    <row r="1898" spans="8:8">
      <c r="H1898" s="365" t="s">
        <v>1808</v>
      </c>
    </row>
    <row r="1899" spans="8:8">
      <c r="H1899" s="365" t="s">
        <v>1809</v>
      </c>
    </row>
    <row r="1900" spans="8:8">
      <c r="H1900" s="365" t="s">
        <v>1559</v>
      </c>
    </row>
    <row r="1901" spans="8:8">
      <c r="H1901" s="365" t="s">
        <v>2154</v>
      </c>
    </row>
    <row r="1902" spans="8:8">
      <c r="H1902" s="365" t="s">
        <v>1526</v>
      </c>
    </row>
    <row r="1903" spans="8:8">
      <c r="H1903" s="365" t="s">
        <v>1559</v>
      </c>
    </row>
    <row r="1904" spans="8:8">
      <c r="H1904" s="365" t="s">
        <v>1530</v>
      </c>
    </row>
    <row r="1905" spans="8:8">
      <c r="H1905" s="365" t="s">
        <v>1534</v>
      </c>
    </row>
    <row r="1906" spans="8:8">
      <c r="H1906" s="365" t="s">
        <v>1809</v>
      </c>
    </row>
    <row r="1907" spans="8:8">
      <c r="H1907" s="365" t="s">
        <v>1526</v>
      </c>
    </row>
    <row r="1908" spans="8:8">
      <c r="H1908" s="365" t="s">
        <v>2154</v>
      </c>
    </row>
    <row r="1909" spans="8:8">
      <c r="H1909" s="365" t="s">
        <v>1605</v>
      </c>
    </row>
    <row r="1910" spans="8:8">
      <c r="H1910" s="365" t="s">
        <v>1606</v>
      </c>
    </row>
    <row r="1911" spans="8:8">
      <c r="H1911" s="365" t="s">
        <v>1563</v>
      </c>
    </row>
    <row r="1912" spans="8:8">
      <c r="H1912" s="365" t="s">
        <v>1522</v>
      </c>
    </row>
    <row r="1913" spans="8:8">
      <c r="H1913" s="365" t="s">
        <v>1526</v>
      </c>
    </row>
    <row r="1914" spans="8:8">
      <c r="H1914" s="365" t="s">
        <v>1530</v>
      </c>
    </row>
    <row r="1915" spans="8:8">
      <c r="H1915" s="365" t="s">
        <v>1534</v>
      </c>
    </row>
    <row r="1916" spans="8:8">
      <c r="H1916" s="365" t="s">
        <v>2154</v>
      </c>
    </row>
    <row r="1917" spans="8:8">
      <c r="H1917" s="365" t="s">
        <v>1547</v>
      </c>
    </row>
    <row r="1918" spans="8:8">
      <c r="H1918" s="365" t="s">
        <v>1547</v>
      </c>
    </row>
    <row r="1919" spans="8:8">
      <c r="H1919" s="365" t="s">
        <v>2154</v>
      </c>
    </row>
    <row r="1920" spans="8:8">
      <c r="H1920" s="365" t="s">
        <v>1526</v>
      </c>
    </row>
    <row r="1921" spans="8:8">
      <c r="H1921" s="365" t="s">
        <v>1547</v>
      </c>
    </row>
    <row r="1922" spans="8:8">
      <c r="H1922" s="365" t="s">
        <v>1526</v>
      </c>
    </row>
    <row r="1923" spans="8:8">
      <c r="H1923" s="365" t="s">
        <v>2154</v>
      </c>
    </row>
    <row r="1924" spans="8:8">
      <c r="H1924" s="365" t="s">
        <v>1530</v>
      </c>
    </row>
    <row r="1925" spans="8:8">
      <c r="H1925" s="365" t="s">
        <v>1534</v>
      </c>
    </row>
    <row r="1926" spans="8:8">
      <c r="H1926" s="365" t="s">
        <v>1807</v>
      </c>
    </row>
    <row r="1927" spans="8:8">
      <c r="H1927" s="365" t="s">
        <v>1809</v>
      </c>
    </row>
    <row r="1928" spans="8:8">
      <c r="H1928" s="365" t="s">
        <v>1540</v>
      </c>
    </row>
    <row r="1929" spans="8:8">
      <c r="H1929" s="365" t="s">
        <v>1604</v>
      </c>
    </row>
    <row r="1930" spans="8:8">
      <c r="H1930" s="365" t="s">
        <v>1606</v>
      </c>
    </row>
    <row r="1931" spans="8:8">
      <c r="H1931" s="365" t="s">
        <v>1522</v>
      </c>
    </row>
    <row r="1932" spans="8:8">
      <c r="H1932" s="365" t="s">
        <v>1552</v>
      </c>
    </row>
    <row r="1933" spans="8:8">
      <c r="H1933" s="365" t="s">
        <v>1807</v>
      </c>
    </row>
    <row r="1934" spans="8:8">
      <c r="H1934" s="365" t="s">
        <v>1534</v>
      </c>
    </row>
    <row r="1935" spans="8:8">
      <c r="H1935" s="365" t="s">
        <v>1547</v>
      </c>
    </row>
    <row r="1936" spans="8:8">
      <c r="H1936" s="365" t="s">
        <v>1548</v>
      </c>
    </row>
    <row r="1937" spans="8:8">
      <c r="H1937" s="365" t="s">
        <v>1526</v>
      </c>
    </row>
    <row r="1938" spans="8:8">
      <c r="H1938" s="365" t="s">
        <v>1530</v>
      </c>
    </row>
    <row r="1939" spans="8:8">
      <c r="H1939" s="365" t="s">
        <v>2154</v>
      </c>
    </row>
    <row r="1940" spans="8:8">
      <c r="H1940" s="365" t="s">
        <v>1548</v>
      </c>
    </row>
    <row r="1941" spans="8:8">
      <c r="H1941" s="365" t="s">
        <v>1526</v>
      </c>
    </row>
    <row r="1942" spans="8:8">
      <c r="H1942" s="365" t="s">
        <v>2154</v>
      </c>
    </row>
    <row r="1943" spans="8:8">
      <c r="H1943" s="365" t="s">
        <v>1530</v>
      </c>
    </row>
    <row r="1944" spans="8:8">
      <c r="H1944" s="365" t="s">
        <v>1548</v>
      </c>
    </row>
    <row r="1945" spans="8:8">
      <c r="H1945" s="365" t="s">
        <v>1807</v>
      </c>
    </row>
    <row r="1946" spans="8:8">
      <c r="H1946" s="365" t="s">
        <v>1534</v>
      </c>
    </row>
    <row r="1947" spans="8:8">
      <c r="H1947" s="365" t="s">
        <v>2154</v>
      </c>
    </row>
    <row r="1948" spans="8:8">
      <c r="H1948" s="365" t="s">
        <v>1552</v>
      </c>
    </row>
    <row r="1949" spans="8:8">
      <c r="H1949" s="365" t="s">
        <v>1604</v>
      </c>
    </row>
    <row r="1950" spans="8:8">
      <c r="H1950" s="365" t="s">
        <v>1517</v>
      </c>
    </row>
    <row r="1951" spans="8:8">
      <c r="H1951" s="365" t="s">
        <v>1534</v>
      </c>
    </row>
    <row r="1952" spans="8:8">
      <c r="H1952" s="365" t="s">
        <v>1807</v>
      </c>
    </row>
    <row r="1953" spans="8:8">
      <c r="H1953" s="365" t="s">
        <v>1526</v>
      </c>
    </row>
    <row r="1954" spans="8:8">
      <c r="H1954" s="365" t="s">
        <v>1530</v>
      </c>
    </row>
    <row r="1955" spans="8:8">
      <c r="H1955" s="365" t="s">
        <v>2154</v>
      </c>
    </row>
    <row r="1956" spans="8:8">
      <c r="H1956" s="365" t="s">
        <v>1553</v>
      </c>
    </row>
    <row r="1957" spans="8:8">
      <c r="H1957" s="365" t="s">
        <v>1526</v>
      </c>
    </row>
    <row r="1958" spans="8:8">
      <c r="H1958" s="365" t="s">
        <v>2154</v>
      </c>
    </row>
    <row r="1959" spans="8:8">
      <c r="H1959" s="365" t="s">
        <v>2154</v>
      </c>
    </row>
    <row r="1960" spans="8:8">
      <c r="H1960" s="365" t="s">
        <v>1526</v>
      </c>
    </row>
    <row r="1961" spans="8:8">
      <c r="H1961" s="365" t="s">
        <v>1534</v>
      </c>
    </row>
    <row r="1962" spans="8:8">
      <c r="H1962" s="365" t="s">
        <v>1807</v>
      </c>
    </row>
    <row r="1963" spans="8:8">
      <c r="H1963" s="365" t="s">
        <v>1534</v>
      </c>
    </row>
    <row r="1964" spans="8:8">
      <c r="H1964" s="365" t="s">
        <v>372</v>
      </c>
    </row>
    <row r="1965" spans="8:8">
      <c r="H1965" s="365" t="s">
        <v>1553</v>
      </c>
    </row>
    <row r="1966" spans="8:8">
      <c r="H1966" s="365" t="s">
        <v>1538</v>
      </c>
    </row>
    <row r="1967" spans="8:8">
      <c r="H1967" s="365" t="s">
        <v>1604</v>
      </c>
    </row>
    <row r="1968" spans="8:8">
      <c r="H1968" s="365" t="s">
        <v>1807</v>
      </c>
    </row>
    <row r="1969" spans="8:8">
      <c r="H1969" s="365" t="s">
        <v>1534</v>
      </c>
    </row>
    <row r="1970" spans="8:8">
      <c r="H1970" s="365" t="s">
        <v>2154</v>
      </c>
    </row>
    <row r="1971" spans="8:8">
      <c r="H1971" s="365" t="s">
        <v>1522</v>
      </c>
    </row>
    <row r="1972" spans="8:8">
      <c r="H1972" s="365" t="s">
        <v>1526</v>
      </c>
    </row>
    <row r="1973" spans="8:8">
      <c r="H1973" s="365" t="s">
        <v>1526</v>
      </c>
    </row>
    <row r="1974" spans="8:8">
      <c r="H1974" s="365" t="s">
        <v>2154</v>
      </c>
    </row>
    <row r="1975" spans="8:8">
      <c r="H1975" s="365" t="s">
        <v>1526</v>
      </c>
    </row>
    <row r="1976" spans="8:8">
      <c r="H1976" s="365" t="s">
        <v>1534</v>
      </c>
    </row>
    <row r="1977" spans="8:8">
      <c r="H1977" s="365" t="s">
        <v>1807</v>
      </c>
    </row>
    <row r="1978" spans="8:8">
      <c r="H1978" s="365" t="s">
        <v>1522</v>
      </c>
    </row>
    <row r="1979" spans="8:8">
      <c r="H1979" s="365" t="s">
        <v>2154</v>
      </c>
    </row>
    <row r="1980" spans="8:8">
      <c r="H1980" s="365" t="s">
        <v>1604</v>
      </c>
    </row>
    <row r="1981" spans="8:8">
      <c r="H1981" s="365" t="s">
        <v>1526</v>
      </c>
    </row>
    <row r="1982" spans="8:8">
      <c r="H1982" s="365" t="s">
        <v>2154</v>
      </c>
    </row>
    <row r="1983" spans="8:8">
      <c r="H1983" s="365" t="s">
        <v>1522</v>
      </c>
    </row>
    <row r="1984" spans="8:8">
      <c r="H1984" s="365" t="s">
        <v>1807</v>
      </c>
    </row>
    <row r="1985" spans="8:8">
      <c r="H1985" s="365" t="s">
        <v>1534</v>
      </c>
    </row>
    <row r="1986" spans="8:8">
      <c r="H1986" s="365" t="s">
        <v>2154</v>
      </c>
    </row>
    <row r="1987" spans="8:8">
      <c r="H1987" s="365" t="s">
        <v>1526</v>
      </c>
    </row>
    <row r="1988" spans="8:8">
      <c r="H1988" s="365" t="s">
        <v>1534</v>
      </c>
    </row>
    <row r="1989" spans="8:8">
      <c r="H1989" s="365" t="s">
        <v>1807</v>
      </c>
    </row>
    <row r="1990" spans="8:8">
      <c r="H1990" s="365" t="s">
        <v>1526</v>
      </c>
    </row>
    <row r="1991" spans="8:8">
      <c r="H1991" s="365" t="s">
        <v>2154</v>
      </c>
    </row>
    <row r="1992" spans="8:8">
      <c r="H1992" s="365" t="s">
        <v>1522</v>
      </c>
    </row>
    <row r="1993" spans="8:8">
      <c r="H1993" s="365" t="s">
        <v>1604</v>
      </c>
    </row>
    <row r="1994" spans="8:8">
      <c r="H1994" s="365" t="s">
        <v>1534</v>
      </c>
    </row>
    <row r="1995" spans="8:8">
      <c r="H1995" s="365" t="s">
        <v>1807</v>
      </c>
    </row>
    <row r="1996" spans="8:8">
      <c r="H1996" s="365" t="s">
        <v>1526</v>
      </c>
    </row>
    <row r="1997" spans="8:8">
      <c r="H1997" s="365" t="s">
        <v>2154</v>
      </c>
    </row>
    <row r="1998" spans="8:8">
      <c r="H1998" s="365" t="s">
        <v>1522</v>
      </c>
    </row>
    <row r="1999" spans="8:8">
      <c r="H1999" s="365" t="s">
        <v>1526</v>
      </c>
    </row>
    <row r="2000" spans="8:8">
      <c r="H2000" s="365" t="s">
        <v>2154</v>
      </c>
    </row>
    <row r="2001" spans="8:8">
      <c r="H2001" s="365" t="s">
        <v>1516</v>
      </c>
    </row>
    <row r="2002" spans="8:8">
      <c r="H2002" s="365" t="s">
        <v>2154</v>
      </c>
    </row>
    <row r="2003" spans="8:8">
      <c r="H2003" s="365" t="s">
        <v>1534</v>
      </c>
    </row>
    <row r="2004" spans="8:8">
      <c r="H2004" s="365" t="s">
        <v>1807</v>
      </c>
    </row>
    <row r="2005" spans="8:8">
      <c r="H2005" s="365" t="s">
        <v>1522</v>
      </c>
    </row>
    <row r="2006" spans="8:8">
      <c r="H2006" s="365" t="s">
        <v>1534</v>
      </c>
    </row>
    <row r="2007" spans="8:8">
      <c r="H2007" s="365" t="s">
        <v>2154</v>
      </c>
    </row>
    <row r="2008" spans="8:8">
      <c r="H2008" s="365" t="s">
        <v>1527</v>
      </c>
    </row>
    <row r="2009" spans="8:8">
      <c r="H2009" s="365" t="s">
        <v>1807</v>
      </c>
    </row>
    <row r="2010" spans="8:8">
      <c r="H2010" s="365" t="s">
        <v>1516</v>
      </c>
    </row>
    <row r="2011" spans="8:8">
      <c r="H2011" s="365" t="s">
        <v>1522</v>
      </c>
    </row>
    <row r="2012" spans="8:8">
      <c r="H2012" s="365" t="s">
        <v>1604</v>
      </c>
    </row>
    <row r="2013" spans="8:8">
      <c r="H2013" s="365" t="s">
        <v>2092</v>
      </c>
    </row>
    <row r="2014" spans="8:8">
      <c r="H2014" s="365" t="s">
        <v>1527</v>
      </c>
    </row>
    <row r="2015" spans="8:8">
      <c r="H2015" s="365" t="s">
        <v>1516</v>
      </c>
    </row>
    <row r="2016" spans="8:8">
      <c r="H2016" s="365" t="s">
        <v>2154</v>
      </c>
    </row>
    <row r="2017" spans="8:8">
      <c r="H2017" s="365" t="s">
        <v>1516</v>
      </c>
    </row>
    <row r="2018" spans="8:8">
      <c r="H2018" s="365" t="s">
        <v>2154</v>
      </c>
    </row>
    <row r="2019" spans="8:8">
      <c r="H2019" s="365" t="s">
        <v>1527</v>
      </c>
    </row>
    <row r="2020" spans="8:8">
      <c r="H2020" s="365" t="s">
        <v>1534</v>
      </c>
    </row>
    <row r="2021" spans="8:8">
      <c r="H2021" s="365" t="s">
        <v>1807</v>
      </c>
    </row>
    <row r="2022" spans="8:8">
      <c r="H2022" s="365" t="s">
        <v>1522</v>
      </c>
    </row>
    <row r="2023" spans="8:8">
      <c r="H2023" s="365" t="s">
        <v>1604</v>
      </c>
    </row>
    <row r="2024" spans="8:8">
      <c r="H2024" s="365" t="s">
        <v>1535</v>
      </c>
    </row>
    <row r="2025" spans="8:8">
      <c r="H2025" s="365" t="s">
        <v>1807</v>
      </c>
    </row>
    <row r="2026" spans="8:8">
      <c r="H2026" s="365" t="s">
        <v>2154</v>
      </c>
    </row>
    <row r="2027" spans="8:8">
      <c r="H2027" s="365" t="s">
        <v>1527</v>
      </c>
    </row>
    <row r="2028" spans="8:8">
      <c r="H2028" s="365" t="s">
        <v>1516</v>
      </c>
    </row>
    <row r="2029" spans="8:8">
      <c r="H2029" s="365" t="s">
        <v>1521</v>
      </c>
    </row>
    <row r="2030" spans="8:8">
      <c r="H2030" s="365" t="s">
        <v>1516</v>
      </c>
    </row>
    <row r="2031" spans="8:8">
      <c r="H2031" s="365" t="s">
        <v>2154</v>
      </c>
    </row>
    <row r="2032" spans="8:8">
      <c r="H2032" s="365" t="s">
        <v>1527</v>
      </c>
    </row>
    <row r="2033" spans="8:8">
      <c r="H2033" s="365" t="s">
        <v>1527</v>
      </c>
    </row>
    <row r="2034" spans="8:8">
      <c r="H2034" s="365" t="s">
        <v>2154</v>
      </c>
    </row>
    <row r="2035" spans="8:8">
      <c r="H2035" s="365" t="s">
        <v>1521</v>
      </c>
    </row>
    <row r="2036" spans="8:8">
      <c r="H2036" s="365" t="s">
        <v>1535</v>
      </c>
    </row>
    <row r="2037" spans="8:8">
      <c r="H2037" s="365" t="s">
        <v>1807</v>
      </c>
    </row>
    <row r="2038" spans="8:8">
      <c r="H2038" s="365" t="s">
        <v>1535</v>
      </c>
    </row>
    <row r="2039" spans="8:8">
      <c r="H2039" s="365" t="s">
        <v>2154</v>
      </c>
    </row>
    <row r="2040" spans="8:8">
      <c r="H2040" s="365" t="s">
        <v>1527</v>
      </c>
    </row>
    <row r="2041" spans="8:8">
      <c r="H2041" s="365" t="s">
        <v>1807</v>
      </c>
    </row>
    <row r="2042" spans="8:8">
      <c r="H2042" s="365" t="s">
        <v>1808</v>
      </c>
    </row>
    <row r="2043" spans="8:8">
      <c r="H2043" s="365" t="s">
        <v>1604</v>
      </c>
    </row>
    <row r="2044" spans="8:8">
      <c r="H2044" s="365" t="s">
        <v>1521</v>
      </c>
    </row>
    <row r="2045" spans="8:8">
      <c r="H2045" s="365" t="s">
        <v>1527</v>
      </c>
    </row>
    <row r="2046" spans="8:8">
      <c r="H2046" s="365" t="s">
        <v>2154</v>
      </c>
    </row>
    <row r="2047" spans="8:8">
      <c r="H2047" s="365" t="s">
        <v>1808</v>
      </c>
    </row>
    <row r="2048" spans="8:8">
      <c r="H2048" s="365" t="s">
        <v>1535</v>
      </c>
    </row>
    <row r="2049" spans="8:8">
      <c r="H2049" s="365" t="s">
        <v>1527</v>
      </c>
    </row>
    <row r="2050" spans="8:8">
      <c r="H2050" s="365" t="s">
        <v>2154</v>
      </c>
    </row>
    <row r="2051" spans="8:8">
      <c r="H2051" s="365" t="s">
        <v>1552</v>
      </c>
    </row>
    <row r="2052" spans="8:8">
      <c r="H2052" s="365" t="s">
        <v>1553</v>
      </c>
    </row>
    <row r="2053" spans="8:8">
      <c r="H2053" s="365" t="s">
        <v>1521</v>
      </c>
    </row>
    <row r="2054" spans="8:8">
      <c r="H2054" s="365" t="s">
        <v>1517</v>
      </c>
    </row>
    <row r="2055" spans="8:8">
      <c r="H2055" s="365" t="s">
        <v>1604</v>
      </c>
    </row>
    <row r="2056" spans="8:8">
      <c r="H2056" s="365" t="s">
        <v>1605</v>
      </c>
    </row>
    <row r="2057" spans="8:8">
      <c r="H2057" s="365" t="s">
        <v>1538</v>
      </c>
    </row>
    <row r="2058" spans="8:8">
      <c r="H2058" s="365" t="s">
        <v>1808</v>
      </c>
    </row>
    <row r="2059" spans="8:8">
      <c r="H2059" s="365" t="s">
        <v>1535</v>
      </c>
    </row>
    <row r="2060" spans="8:8">
      <c r="H2060" s="365" t="s">
        <v>1517</v>
      </c>
    </row>
    <row r="2061" spans="8:8">
      <c r="H2061" s="365" t="s">
        <v>1527</v>
      </c>
    </row>
    <row r="2062" spans="8:8">
      <c r="H2062" s="365" t="s">
        <v>1521</v>
      </c>
    </row>
    <row r="2063" spans="8:8">
      <c r="H2063" s="365" t="s">
        <v>1517</v>
      </c>
    </row>
    <row r="2064" spans="8:8">
      <c r="H2064" s="365" t="s">
        <v>1527</v>
      </c>
    </row>
    <row r="2065" spans="8:8">
      <c r="H2065" s="365" t="s">
        <v>1517</v>
      </c>
    </row>
    <row r="2066" spans="8:8">
      <c r="H2066" s="365" t="s">
        <v>1515</v>
      </c>
    </row>
    <row r="2067" spans="8:8">
      <c r="H2067" s="365" t="s">
        <v>1527</v>
      </c>
    </row>
    <row r="2068" spans="8:8">
      <c r="H2068" s="365" t="s">
        <v>1535</v>
      </c>
    </row>
    <row r="2069" spans="8:8">
      <c r="H2069" s="365" t="s">
        <v>1521</v>
      </c>
    </row>
    <row r="2070" spans="8:8">
      <c r="H2070" s="365" t="s">
        <v>1523</v>
      </c>
    </row>
    <row r="2071" spans="8:8">
      <c r="H2071" s="365" t="s">
        <v>1605</v>
      </c>
    </row>
    <row r="2072" spans="8:8">
      <c r="H2072" s="365" t="s">
        <v>1537</v>
      </c>
    </row>
    <row r="2073" spans="8:8">
      <c r="H2073" s="365" t="s">
        <v>1535</v>
      </c>
    </row>
    <row r="2074" spans="8:8">
      <c r="H2074" s="365" t="s">
        <v>2154</v>
      </c>
    </row>
    <row r="2075" spans="8:8">
      <c r="H2075" s="365" t="s">
        <v>1527</v>
      </c>
    </row>
    <row r="2076" spans="8:8">
      <c r="H2076" s="365" t="s">
        <v>1517</v>
      </c>
    </row>
    <row r="2077" spans="8:8">
      <c r="H2077" s="365" t="s">
        <v>1515</v>
      </c>
    </row>
    <row r="2078" spans="8:8">
      <c r="H2078" s="365" t="s">
        <v>1523</v>
      </c>
    </row>
    <row r="2079" spans="8:8">
      <c r="H2079" s="365" t="s">
        <v>1515</v>
      </c>
    </row>
    <row r="2080" spans="8:8">
      <c r="H2080" s="365" t="s">
        <v>1527</v>
      </c>
    </row>
    <row r="2081" spans="8:8">
      <c r="H2081" s="365" t="s">
        <v>2154</v>
      </c>
    </row>
    <row r="2082" spans="8:8">
      <c r="H2082" s="365" t="s">
        <v>1515</v>
      </c>
    </row>
    <row r="2083" spans="8:8">
      <c r="H2083" s="365" t="s">
        <v>1527</v>
      </c>
    </row>
    <row r="2084" spans="8:8">
      <c r="H2084" s="365" t="s">
        <v>2154</v>
      </c>
    </row>
    <row r="2085" spans="8:8">
      <c r="H2085" s="365" t="s">
        <v>1535</v>
      </c>
    </row>
    <row r="2086" spans="8:8">
      <c r="H2086" s="365" t="s">
        <v>1523</v>
      </c>
    </row>
    <row r="2087" spans="8:8">
      <c r="H2087" s="365" t="s">
        <v>1520</v>
      </c>
    </row>
    <row r="2088" spans="8:8">
      <c r="H2088" s="365" t="s">
        <v>1515</v>
      </c>
    </row>
    <row r="2089" spans="8:8">
      <c r="H2089" s="365" t="s">
        <v>1527</v>
      </c>
    </row>
    <row r="2090" spans="8:8">
      <c r="H2090" s="365" t="s">
        <v>1535</v>
      </c>
    </row>
    <row r="2091" spans="8:8">
      <c r="H2091" s="365" t="s">
        <v>1520</v>
      </c>
    </row>
    <row r="2092" spans="8:8">
      <c r="H2092" s="365" t="s">
        <v>1538</v>
      </c>
    </row>
    <row r="2093" spans="8:8">
      <c r="H2093" s="365" t="s">
        <v>1535</v>
      </c>
    </row>
    <row r="2094" spans="8:8">
      <c r="H2094" s="365" t="s">
        <v>1808</v>
      </c>
    </row>
    <row r="2095" spans="8:8">
      <c r="H2095" s="365" t="s">
        <v>1515</v>
      </c>
    </row>
    <row r="2096" spans="8:8">
      <c r="H2096" s="365" t="s">
        <v>1527</v>
      </c>
    </row>
    <row r="2097" spans="8:8">
      <c r="H2097" s="365" t="s">
        <v>2113</v>
      </c>
    </row>
    <row r="2098" spans="8:8">
      <c r="H2098" s="365" t="s">
        <v>1520</v>
      </c>
    </row>
    <row r="2099" spans="8:8">
      <c r="H2099" s="365" t="s">
        <v>2113</v>
      </c>
    </row>
    <row r="2100" spans="8:8">
      <c r="H2100" s="365" t="s">
        <v>2113</v>
      </c>
    </row>
    <row r="2101" spans="8:8">
      <c r="H2101" s="365" t="s">
        <v>1527</v>
      </c>
    </row>
    <row r="2102" spans="8:8">
      <c r="H2102" s="365" t="s">
        <v>1515</v>
      </c>
    </row>
    <row r="2103" spans="8:8">
      <c r="H2103" s="365" t="s">
        <v>1515</v>
      </c>
    </row>
    <row r="2104" spans="8:8">
      <c r="H2104" s="365" t="s">
        <v>1528</v>
      </c>
    </row>
    <row r="2105" spans="8:8">
      <c r="H2105" s="365" t="s">
        <v>1535</v>
      </c>
    </row>
    <row r="2106" spans="8:8">
      <c r="H2106" s="365" t="s">
        <v>1808</v>
      </c>
    </row>
    <row r="2107" spans="8:8">
      <c r="H2107" s="365" t="s">
        <v>2113</v>
      </c>
    </row>
    <row r="2108" spans="8:8">
      <c r="H2108" s="365" t="s">
        <v>1519</v>
      </c>
    </row>
    <row r="2109" spans="8:8">
      <c r="H2109" s="365" t="s">
        <v>1520</v>
      </c>
    </row>
    <row r="2110" spans="8:8">
      <c r="H2110" s="365" t="s">
        <v>1605</v>
      </c>
    </row>
    <row r="2111" spans="8:8">
      <c r="H2111" s="365" t="s">
        <v>1540</v>
      </c>
    </row>
    <row r="2112" spans="8:8">
      <c r="H2112" s="365" t="s">
        <v>1535</v>
      </c>
    </row>
    <row r="2113" spans="8:8">
      <c r="H2113" s="365" t="s">
        <v>1808</v>
      </c>
    </row>
    <row r="2114" spans="8:8">
      <c r="H2114" s="365" t="s">
        <v>1528</v>
      </c>
    </row>
    <row r="2115" spans="8:8">
      <c r="H2115" s="365" t="s">
        <v>2113</v>
      </c>
    </row>
    <row r="2116" spans="8:8">
      <c r="H2116" s="365" t="s">
        <v>2113</v>
      </c>
    </row>
    <row r="2117" spans="8:8">
      <c r="H2117" s="365" t="s">
        <v>1519</v>
      </c>
    </row>
    <row r="2118" spans="8:8">
      <c r="H2118" s="365" t="s">
        <v>1515</v>
      </c>
    </row>
    <row r="2119" spans="8:8">
      <c r="H2119" s="365" t="s">
        <v>1524</v>
      </c>
    </row>
    <row r="2120" spans="8:8">
      <c r="H2120" s="365" t="s">
        <v>1515</v>
      </c>
    </row>
    <row r="2121" spans="8:8">
      <c r="H2121" s="365" t="s">
        <v>1519</v>
      </c>
    </row>
    <row r="2122" spans="8:8">
      <c r="H2122" s="365" t="s">
        <v>1528</v>
      </c>
    </row>
    <row r="2123" spans="8:8">
      <c r="H2123" s="365" t="s">
        <v>2113</v>
      </c>
    </row>
    <row r="2124" spans="8:8">
      <c r="H2124" s="365" t="s">
        <v>1515</v>
      </c>
    </row>
    <row r="2125" spans="8:8">
      <c r="H2125" s="365" t="s">
        <v>1528</v>
      </c>
    </row>
    <row r="2126" spans="8:8">
      <c r="H2126" s="365" t="s">
        <v>2113</v>
      </c>
    </row>
    <row r="2127" spans="8:8">
      <c r="H2127" s="365" t="s">
        <v>2113</v>
      </c>
    </row>
    <row r="2128" spans="8:8">
      <c r="H2128" s="365" t="s">
        <v>1808</v>
      </c>
    </row>
    <row r="2129" spans="8:8">
      <c r="H2129" s="365" t="s">
        <v>1535</v>
      </c>
    </row>
    <row r="2130" spans="8:8">
      <c r="H2130" s="365" t="s">
        <v>1524</v>
      </c>
    </row>
    <row r="2131" spans="8:8">
      <c r="H2131" s="365" t="s">
        <v>1605</v>
      </c>
    </row>
    <row r="2132" spans="8:8">
      <c r="H2132" s="365" t="s">
        <v>1528</v>
      </c>
    </row>
    <row r="2133" spans="8:8">
      <c r="H2133" s="365" t="s">
        <v>2113</v>
      </c>
    </row>
    <row r="2134" spans="8:8">
      <c r="H2134" s="365" t="s">
        <v>1536</v>
      </c>
    </row>
    <row r="2135" spans="8:8">
      <c r="H2135" s="365" t="s">
        <v>1535</v>
      </c>
    </row>
    <row r="2136" spans="8:8">
      <c r="H2136" s="365" t="s">
        <v>1808</v>
      </c>
    </row>
    <row r="2137" spans="8:8">
      <c r="H2137" s="365" t="s">
        <v>1515</v>
      </c>
    </row>
    <row r="2138" spans="8:8">
      <c r="H2138" s="365" t="s">
        <v>2113</v>
      </c>
    </row>
    <row r="2139" spans="8:8">
      <c r="H2139" s="365" t="s">
        <v>1596</v>
      </c>
    </row>
    <row r="2140" spans="8:8">
      <c r="H2140" s="365" t="s">
        <v>373</v>
      </c>
    </row>
    <row r="2141" spans="8:8">
      <c r="H2141" s="365" t="s">
        <v>1525</v>
      </c>
    </row>
    <row r="2142" spans="8:8">
      <c r="H2142" s="365" t="s">
        <v>1515</v>
      </c>
    </row>
    <row r="2143" spans="8:8">
      <c r="H2143" s="365" t="s">
        <v>2113</v>
      </c>
    </row>
    <row r="2144" spans="8:8">
      <c r="H2144" s="365" t="s">
        <v>2113</v>
      </c>
    </row>
    <row r="2145" spans="8:8">
      <c r="H2145" s="365" t="s">
        <v>2113</v>
      </c>
    </row>
    <row r="2146" spans="8:8">
      <c r="H2146" s="365" t="s">
        <v>2113</v>
      </c>
    </row>
    <row r="2147" spans="8:8">
      <c r="H2147" s="365" t="s">
        <v>1525</v>
      </c>
    </row>
    <row r="2148" spans="8:8">
      <c r="H2148" s="365" t="s">
        <v>1536</v>
      </c>
    </row>
    <row r="2149" spans="8:8">
      <c r="H2149" s="365" t="s">
        <v>1533</v>
      </c>
    </row>
    <row r="2150" spans="8:8">
      <c r="H2150" s="365" t="s">
        <v>1808</v>
      </c>
    </row>
    <row r="2151" spans="8:8">
      <c r="H2151" s="365" t="s">
        <v>1515</v>
      </c>
    </row>
    <row r="2152" spans="8:8">
      <c r="H2152" s="365" t="s">
        <v>1525</v>
      </c>
    </row>
    <row r="2153" spans="8:8">
      <c r="H2153" s="365" t="s">
        <v>373</v>
      </c>
    </row>
    <row r="2154" spans="8:8">
      <c r="H2154" s="365" t="s">
        <v>360</v>
      </c>
    </row>
    <row r="2155" spans="8:8">
      <c r="H2155" s="365" t="s">
        <v>383</v>
      </c>
    </row>
    <row r="2156" spans="8:8">
      <c r="H2156" s="365" t="s">
        <v>1539</v>
      </c>
    </row>
    <row r="2157" spans="8:8">
      <c r="H2157" s="365" t="s">
        <v>1605</v>
      </c>
    </row>
    <row r="2158" spans="8:8">
      <c r="H2158" s="365" t="s">
        <v>1606</v>
      </c>
    </row>
    <row r="2159" spans="8:8">
      <c r="H2159" s="365" t="s">
        <v>1533</v>
      </c>
    </row>
    <row r="2160" spans="8:8">
      <c r="H2160" s="365" t="s">
        <v>1525</v>
      </c>
    </row>
    <row r="2161" spans="8:8">
      <c r="H2161" s="365" t="s">
        <v>2113</v>
      </c>
    </row>
    <row r="2162" spans="8:8">
      <c r="H2162" s="365" t="s">
        <v>1515</v>
      </c>
    </row>
    <row r="2163" spans="8:8">
      <c r="H2163" s="365" t="s">
        <v>1809</v>
      </c>
    </row>
    <row r="2164" spans="8:8">
      <c r="H2164" s="365" t="s">
        <v>2113</v>
      </c>
    </row>
    <row r="2165" spans="8:8">
      <c r="H2165" s="365" t="s">
        <v>2113</v>
      </c>
    </row>
    <row r="2166" spans="8:8">
      <c r="H2166" s="365" t="s">
        <v>2113</v>
      </c>
    </row>
    <row r="2167" spans="8:8">
      <c r="H2167" s="365" t="s">
        <v>1525</v>
      </c>
    </row>
    <row r="2168" spans="8:8">
      <c r="H2168" s="365" t="s">
        <v>1515</v>
      </c>
    </row>
    <row r="2169" spans="8:8">
      <c r="H2169" s="365" t="s">
        <v>1533</v>
      </c>
    </row>
    <row r="2170" spans="8:8">
      <c r="H2170" s="365" t="s">
        <v>1809</v>
      </c>
    </row>
    <row r="2171" spans="8:8">
      <c r="H2171" s="365" t="s">
        <v>1806</v>
      </c>
    </row>
    <row r="2172" spans="8:8">
      <c r="H2172" s="365" t="s">
        <v>1525</v>
      </c>
    </row>
    <row r="2173" spans="8:8">
      <c r="H2173" s="365" t="s">
        <v>2113</v>
      </c>
    </row>
    <row r="2174" spans="8:8">
      <c r="H2174" s="365" t="s">
        <v>1519</v>
      </c>
    </row>
    <row r="2175" spans="8:8">
      <c r="H2175" s="365" t="s">
        <v>383</v>
      </c>
    </row>
    <row r="2176" spans="8:8">
      <c r="H2176" s="365" t="s">
        <v>1598</v>
      </c>
    </row>
    <row r="2177" spans="8:8">
      <c r="H2177" s="365" t="s">
        <v>388</v>
      </c>
    </row>
    <row r="2178" spans="8:8">
      <c r="H2178" s="365" t="s">
        <v>384</v>
      </c>
    </row>
    <row r="2179" spans="8:8">
      <c r="H2179" s="365" t="s">
        <v>2113</v>
      </c>
    </row>
    <row r="2180" spans="8:8">
      <c r="H2180" s="365" t="s">
        <v>1606</v>
      </c>
    </row>
    <row r="2181" spans="8:8">
      <c r="H2181" s="365" t="s">
        <v>1602</v>
      </c>
    </row>
    <row r="2182" spans="8:8">
      <c r="H2182" s="365" t="s">
        <v>1539</v>
      </c>
    </row>
    <row r="2183" spans="8:8">
      <c r="H2183" s="365" t="s">
        <v>1525</v>
      </c>
    </row>
    <row r="2184" spans="8:8">
      <c r="H2184" s="365" t="s">
        <v>1519</v>
      </c>
    </row>
    <row r="2185" spans="8:8">
      <c r="H2185" s="365" t="s">
        <v>1533</v>
      </c>
    </row>
    <row r="2186" spans="8:8">
      <c r="H2186" s="365" t="s">
        <v>1806</v>
      </c>
    </row>
    <row r="2187" spans="8:8">
      <c r="H2187" s="365" t="s">
        <v>2112</v>
      </c>
    </row>
    <row r="2188" spans="8:8">
      <c r="H2188" s="365" t="s">
        <v>2112</v>
      </c>
    </row>
    <row r="2189" spans="8:8">
      <c r="H2189" s="365" t="s">
        <v>2112</v>
      </c>
    </row>
    <row r="2190" spans="8:8">
      <c r="H2190" s="365" t="s">
        <v>1525</v>
      </c>
    </row>
    <row r="2191" spans="8:8">
      <c r="H2191" s="365" t="s">
        <v>1525</v>
      </c>
    </row>
    <row r="2192" spans="8:8">
      <c r="H2192" s="365" t="s">
        <v>1533</v>
      </c>
    </row>
    <row r="2193" spans="8:8">
      <c r="H2193" s="365" t="s">
        <v>1806</v>
      </c>
    </row>
    <row r="2194" spans="8:8">
      <c r="H2194" s="365" t="s">
        <v>1546</v>
      </c>
    </row>
    <row r="2195" spans="8:8">
      <c r="H2195" s="365" t="s">
        <v>2112</v>
      </c>
    </row>
    <row r="2196" spans="8:8">
      <c r="H2196" s="365" t="s">
        <v>1599</v>
      </c>
    </row>
    <row r="2197" spans="8:8">
      <c r="H2197" s="365" t="s">
        <v>1600</v>
      </c>
    </row>
    <row r="2198" spans="8:8">
      <c r="H2198" s="365" t="s">
        <v>387</v>
      </c>
    </row>
    <row r="2199" spans="8:8">
      <c r="H2199" s="365" t="s">
        <v>1602</v>
      </c>
    </row>
    <row r="2200" spans="8:8">
      <c r="H2200" s="365" t="s">
        <v>1540</v>
      </c>
    </row>
    <row r="2201" spans="8:8">
      <c r="H2201" s="365" t="s">
        <v>1539</v>
      </c>
    </row>
    <row r="2202" spans="8:8">
      <c r="H2202" s="365" t="s">
        <v>1546</v>
      </c>
    </row>
    <row r="2203" spans="8:8">
      <c r="H2203" s="365" t="s">
        <v>2112</v>
      </c>
    </row>
    <row r="2204" spans="8:8">
      <c r="H2204" s="365" t="s">
        <v>1525</v>
      </c>
    </row>
    <row r="2205" spans="8:8">
      <c r="H2205" s="365" t="s">
        <v>1533</v>
      </c>
    </row>
    <row r="2206" spans="8:8">
      <c r="H2206" s="365" t="s">
        <v>1806</v>
      </c>
    </row>
    <row r="2207" spans="8:8">
      <c r="H2207" s="365" t="s">
        <v>1525</v>
      </c>
    </row>
    <row r="2208" spans="8:8">
      <c r="H2208" s="365" t="s">
        <v>2112</v>
      </c>
    </row>
    <row r="2209" spans="8:8">
      <c r="H2209" s="365" t="s">
        <v>2112</v>
      </c>
    </row>
    <row r="2210" spans="8:8">
      <c r="H2210" s="365" t="s">
        <v>1533</v>
      </c>
    </row>
    <row r="2211" spans="8:8">
      <c r="H2211" s="365" t="s">
        <v>1806</v>
      </c>
    </row>
    <row r="2212" spans="8:8">
      <c r="H2212" s="365" t="s">
        <v>1519</v>
      </c>
    </row>
    <row r="2213" spans="8:8">
      <c r="H2213" s="365" t="s">
        <v>2112</v>
      </c>
    </row>
    <row r="2214" spans="8:8">
      <c r="H2214" s="365" t="s">
        <v>2085</v>
      </c>
    </row>
    <row r="2215" spans="8:8">
      <c r="H2215" s="365" t="s">
        <v>1525</v>
      </c>
    </row>
    <row r="2216" spans="8:8">
      <c r="H2216" s="365" t="s">
        <v>1522</v>
      </c>
    </row>
    <row r="2217" spans="8:8">
      <c r="H2217" s="365" t="s">
        <v>1602</v>
      </c>
    </row>
    <row r="2218" spans="8:8">
      <c r="H2218" s="365" t="s">
        <v>1539</v>
      </c>
    </row>
    <row r="2219" spans="8:8">
      <c r="H2219" s="365" t="s">
        <v>1605</v>
      </c>
    </row>
    <row r="2220" spans="8:8">
      <c r="H2220" s="365" t="s">
        <v>1806</v>
      </c>
    </row>
    <row r="2221" spans="8:8">
      <c r="H2221" s="365" t="s">
        <v>1808</v>
      </c>
    </row>
    <row r="2222" spans="8:8">
      <c r="H2222" s="365" t="s">
        <v>1519</v>
      </c>
    </row>
    <row r="2223" spans="8:8">
      <c r="H2223" s="365" t="s">
        <v>2085</v>
      </c>
    </row>
    <row r="2224" spans="8:8">
      <c r="H2224" s="365" t="s">
        <v>1533</v>
      </c>
    </row>
    <row r="2225" spans="8:8">
      <c r="H2225" s="365" t="s">
        <v>2088</v>
      </c>
    </row>
    <row r="2226" spans="8:8">
      <c r="H2226" s="365" t="s">
        <v>2112</v>
      </c>
    </row>
    <row r="2227" spans="8:8">
      <c r="H2227" s="365" t="s">
        <v>2085</v>
      </c>
    </row>
    <row r="2228" spans="8:8">
      <c r="H2228" s="365" t="s">
        <v>2112</v>
      </c>
    </row>
    <row r="2229" spans="8:8">
      <c r="H2229" s="365" t="s">
        <v>2112</v>
      </c>
    </row>
    <row r="2230" spans="8:8">
      <c r="H2230" s="365" t="s">
        <v>1808</v>
      </c>
    </row>
    <row r="2231" spans="8:8">
      <c r="H2231" s="365" t="s">
        <v>1519</v>
      </c>
    </row>
    <row r="2232" spans="8:8">
      <c r="H2232" s="365" t="s">
        <v>1519</v>
      </c>
    </row>
    <row r="2233" spans="8:8">
      <c r="H2233" s="365" t="s">
        <v>2088</v>
      </c>
    </row>
    <row r="2234" spans="8:8">
      <c r="H2234" s="365" t="s">
        <v>1808</v>
      </c>
    </row>
    <row r="2235" spans="8:8">
      <c r="H2235" s="365" t="s">
        <v>2112</v>
      </c>
    </row>
    <row r="2236" spans="8:8">
      <c r="H2236" s="365" t="s">
        <v>2112</v>
      </c>
    </row>
    <row r="2237" spans="8:8">
      <c r="H2237" s="365" t="s">
        <v>2085</v>
      </c>
    </row>
    <row r="2238" spans="8:8">
      <c r="H2238" s="365" t="s">
        <v>1605</v>
      </c>
    </row>
    <row r="2239" spans="8:8">
      <c r="H2239" s="365" t="s">
        <v>1537</v>
      </c>
    </row>
    <row r="2240" spans="8:8">
      <c r="H2240" s="365" t="s">
        <v>1539</v>
      </c>
    </row>
    <row r="2241" spans="8:8">
      <c r="H2241" s="365" t="s">
        <v>1522</v>
      </c>
    </row>
    <row r="2242" spans="8:8">
      <c r="H2242" s="365" t="s">
        <v>1808</v>
      </c>
    </row>
    <row r="2243" spans="8:8">
      <c r="H2243" s="365" t="s">
        <v>1519</v>
      </c>
    </row>
    <row r="2244" spans="8:8">
      <c r="H2244" s="365" t="s">
        <v>1536</v>
      </c>
    </row>
    <row r="2245" spans="8:8">
      <c r="H2245" s="365" t="s">
        <v>2088</v>
      </c>
    </row>
    <row r="2246" spans="8:8">
      <c r="H2246" s="365" t="s">
        <v>2112</v>
      </c>
    </row>
    <row r="2247" spans="8:8">
      <c r="H2247" s="365" t="s">
        <v>2112</v>
      </c>
    </row>
    <row r="2248" spans="8:8">
      <c r="H2248" s="365" t="s">
        <v>2111</v>
      </c>
    </row>
    <row r="2249" spans="8:8">
      <c r="H2249" s="365" t="s">
        <v>1808</v>
      </c>
    </row>
    <row r="2250" spans="8:8">
      <c r="H2250" s="365" t="s">
        <v>2089</v>
      </c>
    </row>
    <row r="2251" spans="8:8">
      <c r="H2251" s="365" t="s">
        <v>1536</v>
      </c>
    </row>
    <row r="2252" spans="8:8">
      <c r="H2252" s="365" t="s">
        <v>2089</v>
      </c>
    </row>
    <row r="2253" spans="8:8">
      <c r="H2253" s="365" t="s">
        <v>2111</v>
      </c>
    </row>
    <row r="2254" spans="8:8">
      <c r="H2254" s="365" t="s">
        <v>2090</v>
      </c>
    </row>
    <row r="2255" spans="8:8">
      <c r="H2255" s="365" t="s">
        <v>1605</v>
      </c>
    </row>
    <row r="2256" spans="8:8">
      <c r="H2256" s="365" t="s">
        <v>1522</v>
      </c>
    </row>
    <row r="2257" spans="8:8">
      <c r="H2257" s="365" t="s">
        <v>2089</v>
      </c>
    </row>
    <row r="2258" spans="8:8">
      <c r="H2258" s="365" t="s">
        <v>1809</v>
      </c>
    </row>
    <row r="2259" spans="8:8">
      <c r="H2259" s="365" t="s">
        <v>1536</v>
      </c>
    </row>
    <row r="2260" spans="8:8">
      <c r="H2260" s="365" t="s">
        <v>1533</v>
      </c>
    </row>
    <row r="2261" spans="8:8">
      <c r="H2261" s="365" t="s">
        <v>2111</v>
      </c>
    </row>
    <row r="2262" spans="8:8">
      <c r="H2262" s="365" t="s">
        <v>2111</v>
      </c>
    </row>
    <row r="2263" spans="8:8">
      <c r="H2263" s="365" t="s">
        <v>1809</v>
      </c>
    </row>
    <row r="2264" spans="8:8">
      <c r="H2264" s="365" t="s">
        <v>2111</v>
      </c>
    </row>
    <row r="2265" spans="8:8">
      <c r="H2265" s="365" t="s">
        <v>2111</v>
      </c>
    </row>
    <row r="2266" spans="8:8">
      <c r="H2266" s="365" t="s">
        <v>1809</v>
      </c>
    </row>
    <row r="2267" spans="8:8">
      <c r="H2267" s="365" t="s">
        <v>1806</v>
      </c>
    </row>
    <row r="2268" spans="8:8">
      <c r="H2268" s="365" t="s">
        <v>1606</v>
      </c>
    </row>
    <row r="2269" spans="8:8">
      <c r="H2269" s="365" t="s">
        <v>1602</v>
      </c>
    </row>
    <row r="2270" spans="8:8">
      <c r="H2270" s="365" t="s">
        <v>2090</v>
      </c>
    </row>
    <row r="2271" spans="8:8">
      <c r="H2271" s="365" t="s">
        <v>1806</v>
      </c>
    </row>
    <row r="2272" spans="8:8">
      <c r="H2272" s="365" t="s">
        <v>2111</v>
      </c>
    </row>
    <row r="2273" spans="8:8">
      <c r="H2273" s="365" t="s">
        <v>1541</v>
      </c>
    </row>
    <row r="2274" spans="8:8">
      <c r="H2274" s="365" t="s">
        <v>2111</v>
      </c>
    </row>
    <row r="2275" spans="8:8">
      <c r="H2275" s="365" t="s">
        <v>2111</v>
      </c>
    </row>
    <row r="2276" spans="8:8">
      <c r="H2276" s="365" t="s">
        <v>1518</v>
      </c>
    </row>
    <row r="2277" spans="8:8">
      <c r="H2277" s="365" t="s">
        <v>1806</v>
      </c>
    </row>
    <row r="2278" spans="8:8">
      <c r="H2278" s="365" t="s">
        <v>1524</v>
      </c>
    </row>
    <row r="2279" spans="8:8">
      <c r="H2279" s="365" t="s">
        <v>2085</v>
      </c>
    </row>
    <row r="2280" spans="8:8">
      <c r="H2280" s="365" t="s">
        <v>1602</v>
      </c>
    </row>
    <row r="2281" spans="8:8">
      <c r="H2281" s="365" t="s">
        <v>2085</v>
      </c>
    </row>
    <row r="2282" spans="8:8">
      <c r="H2282" s="365" t="s">
        <v>1518</v>
      </c>
    </row>
    <row r="2283" spans="8:8">
      <c r="H2283" s="365" t="s">
        <v>2111</v>
      </c>
    </row>
    <row r="2284" spans="8:8">
      <c r="H2284" s="365" t="s">
        <v>1524</v>
      </c>
    </row>
    <row r="2285" spans="8:8">
      <c r="H2285" s="365" t="s">
        <v>2111</v>
      </c>
    </row>
    <row r="2286" spans="8:8">
      <c r="H2286" s="365" t="s">
        <v>2111</v>
      </c>
    </row>
    <row r="2287" spans="8:8">
      <c r="H2287" s="365" t="s">
        <v>1518</v>
      </c>
    </row>
    <row r="2288" spans="8:8">
      <c r="H2288" s="365" t="s">
        <v>2085</v>
      </c>
    </row>
    <row r="2289" spans="8:8">
      <c r="H2289" s="365" t="s">
        <v>1518</v>
      </c>
    </row>
    <row r="2290" spans="8:8">
      <c r="H2290" s="365" t="s">
        <v>2111</v>
      </c>
    </row>
    <row r="2291" spans="8:8">
      <c r="H2291" s="365" t="s">
        <v>2111</v>
      </c>
    </row>
    <row r="2292" spans="8:8">
      <c r="H2292" s="365" t="s">
        <v>2088</v>
      </c>
    </row>
    <row r="2293" spans="8:8">
      <c r="H2293" s="365" t="s">
        <v>2089</v>
      </c>
    </row>
    <row r="2294" spans="8:8">
      <c r="H2294" s="365" t="s">
        <v>2085</v>
      </c>
    </row>
    <row r="2295" spans="8:8">
      <c r="H2295" s="365" t="s">
        <v>1524</v>
      </c>
    </row>
    <row r="2296" spans="8:8">
      <c r="H2296" s="365" t="s">
        <v>1523</v>
      </c>
    </row>
    <row r="2297" spans="8:8">
      <c r="H2297" s="365" t="s">
        <v>1602</v>
      </c>
    </row>
    <row r="2298" spans="8:8">
      <c r="H2298" s="365" t="s">
        <v>2090</v>
      </c>
    </row>
    <row r="2299" spans="8:8">
      <c r="H2299" s="365" t="s">
        <v>1540</v>
      </c>
    </row>
    <row r="2300" spans="8:8">
      <c r="H2300" s="365" t="s">
        <v>2092</v>
      </c>
    </row>
    <row r="2301" spans="8:8">
      <c r="H2301" s="365" t="s">
        <v>1518</v>
      </c>
    </row>
    <row r="2302" spans="8:8">
      <c r="H2302" s="365" t="s">
        <v>2085</v>
      </c>
    </row>
    <row r="2303" spans="8:8">
      <c r="H2303" s="365" t="s">
        <v>2111</v>
      </c>
    </row>
    <row r="2304" spans="8:8">
      <c r="H2304" s="365" t="s">
        <v>2111</v>
      </c>
    </row>
    <row r="2305" spans="8:8">
      <c r="H2305" s="365" t="s">
        <v>2088</v>
      </c>
    </row>
    <row r="2306" spans="8:8">
      <c r="H2306" s="365" t="s">
        <v>2089</v>
      </c>
    </row>
    <row r="2307" spans="8:8">
      <c r="H2307" s="365" t="s">
        <v>1523</v>
      </c>
    </row>
    <row r="2308" spans="8:8">
      <c r="H2308" s="365" t="s">
        <v>2085</v>
      </c>
    </row>
    <row r="2309" spans="8:8">
      <c r="H2309" s="365" t="s">
        <v>2111</v>
      </c>
    </row>
    <row r="2310" spans="8:8">
      <c r="H2310" s="365" t="s">
        <v>1518</v>
      </c>
    </row>
    <row r="2311" spans="8:8">
      <c r="H2311" s="365" t="s">
        <v>1518</v>
      </c>
    </row>
    <row r="2312" spans="8:8">
      <c r="H2312" s="365" t="s">
        <v>2085</v>
      </c>
    </row>
    <row r="2313" spans="8:8">
      <c r="H2313" s="365" t="s">
        <v>2088</v>
      </c>
    </row>
    <row r="2314" spans="8:8">
      <c r="H2314" s="365" t="s">
        <v>2089</v>
      </c>
    </row>
    <row r="2315" spans="8:8">
      <c r="H2315" s="365" t="s">
        <v>2111</v>
      </c>
    </row>
    <row r="2316" spans="8:8">
      <c r="H2316" s="365" t="s">
        <v>2111</v>
      </c>
    </row>
    <row r="2317" spans="8:8">
      <c r="H2317" s="365" t="s">
        <v>2090</v>
      </c>
    </row>
    <row r="2318" spans="8:8">
      <c r="H2318" s="365" t="s">
        <v>2092</v>
      </c>
    </row>
    <row r="2319" spans="8:8">
      <c r="H2319" s="365" t="s">
        <v>2088</v>
      </c>
    </row>
    <row r="2320" spans="8:8">
      <c r="H2320" s="365" t="s">
        <v>2089</v>
      </c>
    </row>
    <row r="2321" spans="8:8">
      <c r="H2321" s="365" t="s">
        <v>2085</v>
      </c>
    </row>
    <row r="2322" spans="8:8">
      <c r="H2322" s="365" t="s">
        <v>1518</v>
      </c>
    </row>
    <row r="2323" spans="8:8">
      <c r="H2323" s="365" t="s">
        <v>2111</v>
      </c>
    </row>
    <row r="2324" spans="8:8">
      <c r="H2324" s="365" t="s">
        <v>2111</v>
      </c>
    </row>
    <row r="2325" spans="8:8">
      <c r="H2325" s="365" t="s">
        <v>1523</v>
      </c>
    </row>
    <row r="2326" spans="8:8">
      <c r="H2326" s="365" t="s">
        <v>1523</v>
      </c>
    </row>
    <row r="2327" spans="8:8">
      <c r="H2327" s="365" t="s">
        <v>2085</v>
      </c>
    </row>
    <row r="2328" spans="8:8">
      <c r="H2328" s="365" t="s">
        <v>2111</v>
      </c>
    </row>
    <row r="2329" spans="8:8">
      <c r="H2329" s="365" t="s">
        <v>2111</v>
      </c>
    </row>
    <row r="2330" spans="8:8">
      <c r="H2330" s="365" t="s">
        <v>1519</v>
      </c>
    </row>
    <row r="2331" spans="8:8">
      <c r="H2331" s="365" t="s">
        <v>2085</v>
      </c>
    </row>
    <row r="2332" spans="8:8">
      <c r="H2332" s="365" t="s">
        <v>2088</v>
      </c>
    </row>
    <row r="2333" spans="8:8">
      <c r="H2333" s="365" t="s">
        <v>2089</v>
      </c>
    </row>
    <row r="2334" spans="8:8">
      <c r="H2334" s="365" t="s">
        <v>2111</v>
      </c>
    </row>
    <row r="2335" spans="8:8">
      <c r="H2335" s="365" t="s">
        <v>2090</v>
      </c>
    </row>
    <row r="2336" spans="8:8">
      <c r="H2336" s="365" t="s">
        <v>2088</v>
      </c>
    </row>
    <row r="2337" spans="8:8">
      <c r="H2337" s="365" t="s">
        <v>2089</v>
      </c>
    </row>
    <row r="2338" spans="8:8">
      <c r="H2338" s="365" t="s">
        <v>2111</v>
      </c>
    </row>
    <row r="2339" spans="8:8">
      <c r="H2339" s="365" t="s">
        <v>2085</v>
      </c>
    </row>
    <row r="2340" spans="8:8">
      <c r="H2340" s="365" t="s">
        <v>1516</v>
      </c>
    </row>
    <row r="2341" spans="8:8">
      <c r="H2341" s="365" t="s">
        <v>2085</v>
      </c>
    </row>
    <row r="2342" spans="8:8">
      <c r="H2342" s="365" t="s">
        <v>2111</v>
      </c>
    </row>
    <row r="2343" spans="8:8">
      <c r="H2343" s="365" t="s">
        <v>1520</v>
      </c>
    </row>
    <row r="2344" spans="8:8">
      <c r="H2344" s="365" t="s">
        <v>1520</v>
      </c>
    </row>
    <row r="2345" spans="8:8">
      <c r="H2345" s="365" t="s">
        <v>1516</v>
      </c>
    </row>
    <row r="2346" spans="8:8">
      <c r="H2346" s="365" t="s">
        <v>2085</v>
      </c>
    </row>
    <row r="2347" spans="8:8">
      <c r="H2347" s="365" t="s">
        <v>2088</v>
      </c>
    </row>
    <row r="2348" spans="8:8">
      <c r="H2348" s="365" t="s">
        <v>2111</v>
      </c>
    </row>
    <row r="2349" spans="8:8">
      <c r="H2349" s="365" t="s">
        <v>2111</v>
      </c>
    </row>
    <row r="2350" spans="8:8">
      <c r="H2350" s="365" t="s">
        <v>2089</v>
      </c>
    </row>
    <row r="2351" spans="8:8">
      <c r="H2351" s="365" t="s">
        <v>1520</v>
      </c>
    </row>
    <row r="2352" spans="8:8">
      <c r="H2352" s="365" t="s">
        <v>2090</v>
      </c>
    </row>
    <row r="2353" spans="8:8">
      <c r="H2353" s="365" t="s">
        <v>2088</v>
      </c>
    </row>
    <row r="2354" spans="8:8">
      <c r="H2354" s="365" t="s">
        <v>2089</v>
      </c>
    </row>
    <row r="2355" spans="8:8">
      <c r="H2355" s="365" t="s">
        <v>1535</v>
      </c>
    </row>
    <row r="2356" spans="8:8">
      <c r="H2356" s="365" t="s">
        <v>1808</v>
      </c>
    </row>
    <row r="2357" spans="8:8">
      <c r="H2357" s="365" t="s">
        <v>2111</v>
      </c>
    </row>
    <row r="2358" spans="8:8">
      <c r="H2358" s="365" t="s">
        <v>1527</v>
      </c>
    </row>
    <row r="2359" spans="8:8">
      <c r="H2359" s="365" t="s">
        <v>1516</v>
      </c>
    </row>
    <row r="2360" spans="8:8">
      <c r="H2360" s="365" t="s">
        <v>1520</v>
      </c>
    </row>
    <row r="2361" spans="8:8">
      <c r="H2361" s="365" t="s">
        <v>2112</v>
      </c>
    </row>
    <row r="2362" spans="8:8">
      <c r="H2362" s="365" t="s">
        <v>1527</v>
      </c>
    </row>
    <row r="2363" spans="8:8">
      <c r="H2363" s="365" t="s">
        <v>1516</v>
      </c>
    </row>
    <row r="2364" spans="8:8">
      <c r="H2364" s="365" t="s">
        <v>1516</v>
      </c>
    </row>
    <row r="2365" spans="8:8">
      <c r="H2365" s="365" t="s">
        <v>1527</v>
      </c>
    </row>
    <row r="2366" spans="8:8">
      <c r="H2366" s="365" t="s">
        <v>2112</v>
      </c>
    </row>
    <row r="2367" spans="8:8">
      <c r="H2367" s="365" t="s">
        <v>1535</v>
      </c>
    </row>
    <row r="2368" spans="8:8">
      <c r="H2368" s="365" t="s">
        <v>1808</v>
      </c>
    </row>
    <row r="2369" spans="8:8">
      <c r="H2369" s="365" t="s">
        <v>1520</v>
      </c>
    </row>
    <row r="2370" spans="8:8">
      <c r="H2370" s="365" t="s">
        <v>2090</v>
      </c>
    </row>
    <row r="2371" spans="8:8">
      <c r="H2371" s="365" t="s">
        <v>1605</v>
      </c>
    </row>
    <row r="2372" spans="8:8">
      <c r="H2372" s="365" t="s">
        <v>1539</v>
      </c>
    </row>
    <row r="2373" spans="8:8">
      <c r="H2373" s="365" t="s">
        <v>2112</v>
      </c>
    </row>
    <row r="2374" spans="8:8">
      <c r="H2374" s="365" t="s">
        <v>1535</v>
      </c>
    </row>
    <row r="2375" spans="8:8">
      <c r="H2375" s="365" t="s">
        <v>1808</v>
      </c>
    </row>
    <row r="2376" spans="8:8">
      <c r="H2376" s="365" t="s">
        <v>1527</v>
      </c>
    </row>
    <row r="2377" spans="8:8">
      <c r="H2377" s="365" t="s">
        <v>1516</v>
      </c>
    </row>
    <row r="2378" spans="8:8">
      <c r="H2378" s="365" t="s">
        <v>2112</v>
      </c>
    </row>
    <row r="2379" spans="8:8">
      <c r="H2379" s="365" t="s">
        <v>1520</v>
      </c>
    </row>
    <row r="2380" spans="8:8">
      <c r="H2380" s="365" t="s">
        <v>1516</v>
      </c>
    </row>
    <row r="2381" spans="8:8">
      <c r="H2381" s="365" t="s">
        <v>1527</v>
      </c>
    </row>
    <row r="2382" spans="8:8">
      <c r="H2382" s="365" t="s">
        <v>2112</v>
      </c>
    </row>
    <row r="2383" spans="8:8">
      <c r="H2383" s="365" t="s">
        <v>1516</v>
      </c>
    </row>
    <row r="2384" spans="8:8">
      <c r="H2384" s="365" t="s">
        <v>1527</v>
      </c>
    </row>
    <row r="2385" spans="8:8">
      <c r="H2385" s="365" t="s">
        <v>2112</v>
      </c>
    </row>
    <row r="2386" spans="8:8">
      <c r="H2386" s="365" t="s">
        <v>1535</v>
      </c>
    </row>
    <row r="2387" spans="8:8">
      <c r="H2387" s="365" t="s">
        <v>1808</v>
      </c>
    </row>
    <row r="2388" spans="8:8">
      <c r="H2388" s="365" t="s">
        <v>1520</v>
      </c>
    </row>
    <row r="2389" spans="8:8">
      <c r="H2389" s="365" t="s">
        <v>1605</v>
      </c>
    </row>
    <row r="2390" spans="8:8">
      <c r="H2390" s="365" t="s">
        <v>1539</v>
      </c>
    </row>
    <row r="2391" spans="8:8">
      <c r="H2391" s="365" t="s">
        <v>1540</v>
      </c>
    </row>
    <row r="2392" spans="8:8">
      <c r="H2392" s="365" t="s">
        <v>2112</v>
      </c>
    </row>
    <row r="2393" spans="8:8">
      <c r="H2393" s="365" t="s">
        <v>2114</v>
      </c>
    </row>
    <row r="2394" spans="8:8">
      <c r="H2394" s="365" t="s">
        <v>1516</v>
      </c>
    </row>
    <row r="2395" spans="8:8">
      <c r="H2395" s="365" t="s">
        <v>1527</v>
      </c>
    </row>
    <row r="2396" spans="8:8">
      <c r="H2396" s="365" t="s">
        <v>1535</v>
      </c>
    </row>
    <row r="2397" spans="8:8">
      <c r="H2397" s="365" t="s">
        <v>1808</v>
      </c>
    </row>
    <row r="2398" spans="8:8">
      <c r="H2398" s="365" t="s">
        <v>1547</v>
      </c>
    </row>
    <row r="2399" spans="8:8">
      <c r="H2399" s="365" t="s">
        <v>2114</v>
      </c>
    </row>
    <row r="2400" spans="8:8">
      <c r="H2400" s="365" t="s">
        <v>2114</v>
      </c>
    </row>
    <row r="2401" spans="8:8">
      <c r="H2401" s="365" t="s">
        <v>1527</v>
      </c>
    </row>
    <row r="2402" spans="8:8">
      <c r="H2402" s="365" t="s">
        <v>1547</v>
      </c>
    </row>
    <row r="2403" spans="8:8">
      <c r="H2403" s="365" t="s">
        <v>1527</v>
      </c>
    </row>
    <row r="2404" spans="8:8">
      <c r="H2404" s="365" t="s">
        <v>2114</v>
      </c>
    </row>
    <row r="2405" spans="8:8">
      <c r="H2405" s="365" t="s">
        <v>1535</v>
      </c>
    </row>
    <row r="2406" spans="8:8">
      <c r="H2406" s="365" t="s">
        <v>1808</v>
      </c>
    </row>
    <row r="2407" spans="8:8">
      <c r="H2407" s="365" t="s">
        <v>1539</v>
      </c>
    </row>
    <row r="2408" spans="8:8">
      <c r="H2408" s="365" t="s">
        <v>1605</v>
      </c>
    </row>
    <row r="2409" spans="8:8">
      <c r="H2409" s="365" t="s">
        <v>1598</v>
      </c>
    </row>
    <row r="2410" spans="8:8">
      <c r="H2410" s="365" t="s">
        <v>1597</v>
      </c>
    </row>
    <row r="2411" spans="8:8">
      <c r="H2411" s="365" t="s">
        <v>371</v>
      </c>
    </row>
    <row r="2412" spans="8:8">
      <c r="H2412" s="365" t="s">
        <v>1547</v>
      </c>
    </row>
    <row r="2413" spans="8:8">
      <c r="H2413" s="365" t="s">
        <v>1517</v>
      </c>
    </row>
    <row r="2414" spans="8:8">
      <c r="H2414" s="365" t="s">
        <v>2114</v>
      </c>
    </row>
    <row r="2415" spans="8:8">
      <c r="H2415" s="365" t="s">
        <v>2114</v>
      </c>
    </row>
    <row r="2416" spans="8:8">
      <c r="H2416" s="365" t="s">
        <v>1527</v>
      </c>
    </row>
    <row r="2417" spans="8:8">
      <c r="H2417" s="365" t="s">
        <v>1535</v>
      </c>
    </row>
    <row r="2418" spans="8:8">
      <c r="H2418" s="365" t="s">
        <v>1808</v>
      </c>
    </row>
    <row r="2419" spans="8:8">
      <c r="H2419" s="365" t="s">
        <v>1517</v>
      </c>
    </row>
    <row r="2420" spans="8:8">
      <c r="H2420" s="365" t="s">
        <v>1527</v>
      </c>
    </row>
    <row r="2421" spans="8:8">
      <c r="H2421" s="365" t="s">
        <v>2114</v>
      </c>
    </row>
    <row r="2422" spans="8:8">
      <c r="H2422" s="365" t="s">
        <v>1517</v>
      </c>
    </row>
    <row r="2423" spans="8:8">
      <c r="H2423" s="365" t="s">
        <v>1527</v>
      </c>
    </row>
    <row r="2424" spans="8:8">
      <c r="H2424" s="365" t="s">
        <v>2114</v>
      </c>
    </row>
    <row r="2425" spans="8:8">
      <c r="H2425" s="365" t="s">
        <v>2115</v>
      </c>
    </row>
    <row r="2426" spans="8:8">
      <c r="H2426" s="365" t="s">
        <v>1535</v>
      </c>
    </row>
    <row r="2427" spans="8:8">
      <c r="H2427" s="365" t="s">
        <v>1808</v>
      </c>
    </row>
    <row r="2428" spans="8:8">
      <c r="H2428" s="365" t="s">
        <v>3666</v>
      </c>
    </row>
    <row r="2429" spans="8:8">
      <c r="H2429" s="365" t="s">
        <v>1605</v>
      </c>
    </row>
    <row r="2430" spans="8:8">
      <c r="H2430" s="365" t="s">
        <v>1915</v>
      </c>
    </row>
    <row r="2431" spans="8:8">
      <c r="H2431" s="365" t="s">
        <v>1600</v>
      </c>
    </row>
    <row r="2432" spans="8:8">
      <c r="H2432" s="365" t="s">
        <v>1552</v>
      </c>
    </row>
    <row r="2433" spans="8:8">
      <c r="H2433" s="365" t="s">
        <v>1517</v>
      </c>
    </row>
    <row r="2434" spans="8:8">
      <c r="H2434" s="365" t="s">
        <v>2115</v>
      </c>
    </row>
    <row r="2435" spans="8:8">
      <c r="H2435" s="365" t="s">
        <v>2115</v>
      </c>
    </row>
    <row r="2436" spans="8:8">
      <c r="H2436" s="365" t="s">
        <v>1527</v>
      </c>
    </row>
    <row r="2437" spans="8:8">
      <c r="H2437" s="365" t="s">
        <v>1535</v>
      </c>
    </row>
    <row r="2438" spans="8:8">
      <c r="H2438" s="365" t="s">
        <v>1808</v>
      </c>
    </row>
    <row r="2439" spans="8:8">
      <c r="H2439" s="365" t="s">
        <v>1527</v>
      </c>
    </row>
    <row r="2440" spans="8:8">
      <c r="H2440" s="365" t="s">
        <v>2115</v>
      </c>
    </row>
    <row r="2441" spans="8:8">
      <c r="H2441" s="365" t="s">
        <v>2115</v>
      </c>
    </row>
    <row r="2442" spans="8:8">
      <c r="H2442" s="365" t="s">
        <v>1535</v>
      </c>
    </row>
    <row r="2443" spans="8:8">
      <c r="H2443" s="365" t="s">
        <v>1808</v>
      </c>
    </row>
    <row r="2444" spans="8:8">
      <c r="H2444" s="365" t="s">
        <v>2115</v>
      </c>
    </row>
    <row r="2445" spans="8:8">
      <c r="H2445" s="365" t="s">
        <v>1526</v>
      </c>
    </row>
    <row r="2446" spans="8:8">
      <c r="H2446" s="365" t="s">
        <v>1552</v>
      </c>
    </row>
    <row r="2447" spans="8:8">
      <c r="H2447" s="365" t="s">
        <v>1605</v>
      </c>
    </row>
    <row r="2448" spans="8:8">
      <c r="H2448" s="365" t="s">
        <v>1535</v>
      </c>
    </row>
    <row r="2449" spans="8:8">
      <c r="H2449" s="365" t="s">
        <v>1808</v>
      </c>
    </row>
    <row r="2450" spans="8:8">
      <c r="H2450" s="365" t="s">
        <v>2115</v>
      </c>
    </row>
    <row r="2451" spans="8:8">
      <c r="H2451" s="365" t="s">
        <v>1526</v>
      </c>
    </row>
    <row r="2452" spans="8:8">
      <c r="H2452" s="365" t="s">
        <v>1535</v>
      </c>
    </row>
    <row r="2453" spans="8:8">
      <c r="H2453" s="365" t="s">
        <v>1526</v>
      </c>
    </row>
    <row r="2454" spans="8:8">
      <c r="H2454" s="365" t="s">
        <v>2115</v>
      </c>
    </row>
    <row r="2455" spans="8:8">
      <c r="H2455" s="365" t="s">
        <v>1552</v>
      </c>
    </row>
    <row r="2456" spans="8:8">
      <c r="H2456" s="365" t="s">
        <v>1553</v>
      </c>
    </row>
    <row r="2457" spans="8:8">
      <c r="H2457" s="365" t="s">
        <v>383</v>
      </c>
    </row>
    <row r="2458" spans="8:8">
      <c r="H2458" s="365" t="s">
        <v>1534</v>
      </c>
    </row>
    <row r="2459" spans="8:8">
      <c r="H2459" s="365" t="s">
        <v>1808</v>
      </c>
    </row>
    <row r="2460" spans="8:8">
      <c r="H2460" s="365" t="s">
        <v>1807</v>
      </c>
    </row>
    <row r="2461" spans="8:8">
      <c r="H2461" s="365" t="s">
        <v>1526</v>
      </c>
    </row>
    <row r="2462" spans="8:8">
      <c r="H2462" s="365" t="s">
        <v>2115</v>
      </c>
    </row>
    <row r="2463" spans="8:8">
      <c r="H2463" s="365" t="s">
        <v>1522</v>
      </c>
    </row>
    <row r="2464" spans="8:8">
      <c r="H2464" s="365" t="s">
        <v>1604</v>
      </c>
    </row>
    <row r="2465" spans="8:8">
      <c r="H2465" s="365" t="s">
        <v>1605</v>
      </c>
    </row>
    <row r="2466" spans="8:8">
      <c r="H2466" s="365" t="s">
        <v>2115</v>
      </c>
    </row>
    <row r="2467" spans="8:8">
      <c r="H2467" s="365" t="s">
        <v>1534</v>
      </c>
    </row>
    <row r="2468" spans="8:8">
      <c r="H2468" s="365" t="s">
        <v>1807</v>
      </c>
    </row>
    <row r="2469" spans="8:8">
      <c r="H2469" s="365" t="s">
        <v>2115</v>
      </c>
    </row>
    <row r="2470" spans="8:8">
      <c r="H2470" s="365" t="s">
        <v>1526</v>
      </c>
    </row>
    <row r="2471" spans="8:8">
      <c r="H2471" s="365" t="s">
        <v>1522</v>
      </c>
    </row>
    <row r="2472" spans="8:8">
      <c r="H2472" s="365" t="s">
        <v>2115</v>
      </c>
    </row>
    <row r="2473" spans="8:8">
      <c r="H2473" s="365" t="s">
        <v>2116</v>
      </c>
    </row>
    <row r="2474" spans="8:8">
      <c r="H2474" s="365" t="s">
        <v>1526</v>
      </c>
    </row>
    <row r="2475" spans="8:8">
      <c r="H2475" s="365" t="s">
        <v>1534</v>
      </c>
    </row>
    <row r="2476" spans="8:8">
      <c r="H2476" s="365" t="s">
        <v>1807</v>
      </c>
    </row>
    <row r="2477" spans="8:8">
      <c r="H2477" s="365" t="s">
        <v>2116</v>
      </c>
    </row>
    <row r="2478" spans="8:8">
      <c r="H2478" s="365" t="s">
        <v>1526</v>
      </c>
    </row>
    <row r="2479" spans="8:8">
      <c r="H2479" s="365" t="s">
        <v>1522</v>
      </c>
    </row>
    <row r="2480" spans="8:8">
      <c r="H2480" s="365" t="s">
        <v>374</v>
      </c>
    </row>
    <row r="2481" spans="8:8">
      <c r="H2481" s="365" t="s">
        <v>1521</v>
      </c>
    </row>
    <row r="2482" spans="8:8">
      <c r="H2482" s="365" t="s">
        <v>1604</v>
      </c>
    </row>
    <row r="2483" spans="8:8">
      <c r="H2483" s="365" t="s">
        <v>1534</v>
      </c>
    </row>
    <row r="2484" spans="8:8">
      <c r="H2484" s="365" t="s">
        <v>1807</v>
      </c>
    </row>
    <row r="2485" spans="8:8">
      <c r="H2485" s="365" t="s">
        <v>2116</v>
      </c>
    </row>
    <row r="2486" spans="8:8">
      <c r="H2486" s="365" t="s">
        <v>1526</v>
      </c>
    </row>
    <row r="2487" spans="8:8">
      <c r="H2487" s="365" t="s">
        <v>1517</v>
      </c>
    </row>
    <row r="2488" spans="8:8">
      <c r="H2488" s="365" t="s">
        <v>1521</v>
      </c>
    </row>
    <row r="2489" spans="8:8">
      <c r="H2489" s="365" t="s">
        <v>2116</v>
      </c>
    </row>
    <row r="2490" spans="8:8">
      <c r="H2490" s="365" t="s">
        <v>1526</v>
      </c>
    </row>
    <row r="2491" spans="8:8">
      <c r="H2491" s="365" t="s">
        <v>1517</v>
      </c>
    </row>
    <row r="2492" spans="8:8">
      <c r="H2492" s="365" t="s">
        <v>1534</v>
      </c>
    </row>
    <row r="2493" spans="8:8">
      <c r="H2493" s="365" t="s">
        <v>1807</v>
      </c>
    </row>
    <row r="2494" spans="8:8">
      <c r="H2494" s="365" t="s">
        <v>1517</v>
      </c>
    </row>
    <row r="2495" spans="8:8">
      <c r="H2495" s="365" t="s">
        <v>2116</v>
      </c>
    </row>
    <row r="2496" spans="8:8">
      <c r="H2496" s="365" t="s">
        <v>1526</v>
      </c>
    </row>
    <row r="2497" spans="8:8">
      <c r="H2497" s="365" t="s">
        <v>1521</v>
      </c>
    </row>
    <row r="2498" spans="8:8">
      <c r="H2498" s="365" t="s">
        <v>1522</v>
      </c>
    </row>
    <row r="2499" spans="8:8">
      <c r="H2499" s="365" t="s">
        <v>1604</v>
      </c>
    </row>
    <row r="2500" spans="8:8">
      <c r="H2500" s="365" t="s">
        <v>1534</v>
      </c>
    </row>
    <row r="2501" spans="8:8">
      <c r="H2501" s="365" t="s">
        <v>1807</v>
      </c>
    </row>
    <row r="2502" spans="8:8">
      <c r="H2502" s="365" t="s">
        <v>1517</v>
      </c>
    </row>
    <row r="2503" spans="8:8">
      <c r="H2503" s="365" t="s">
        <v>2154</v>
      </c>
    </row>
    <row r="2504" spans="8:8">
      <c r="H2504" s="365" t="s">
        <v>1522</v>
      </c>
    </row>
    <row r="2505" spans="8:8">
      <c r="H2505" s="365" t="s">
        <v>2154</v>
      </c>
    </row>
    <row r="2506" spans="8:8">
      <c r="H2506" s="365" t="s">
        <v>1517</v>
      </c>
    </row>
    <row r="2507" spans="8:8">
      <c r="H2507" s="365" t="s">
        <v>1517</v>
      </c>
    </row>
    <row r="2508" spans="8:8">
      <c r="H2508" s="365" t="s">
        <v>2154</v>
      </c>
    </row>
    <row r="2509" spans="8:8">
      <c r="H2509" s="365" t="s">
        <v>1522</v>
      </c>
    </row>
    <row r="2510" spans="8:8">
      <c r="H2510" s="365" t="s">
        <v>1539</v>
      </c>
    </row>
    <row r="2511" spans="8:8">
      <c r="H2511" s="365" t="s">
        <v>1525</v>
      </c>
    </row>
    <row r="2512" spans="8:8">
      <c r="H2512" s="365" t="s">
        <v>2154</v>
      </c>
    </row>
    <row r="2513" spans="8:8">
      <c r="H2513" s="365" t="s">
        <v>1517</v>
      </c>
    </row>
    <row r="2514" spans="8:8">
      <c r="H2514" s="365" t="s">
        <v>1533</v>
      </c>
    </row>
    <row r="2515" spans="8:8">
      <c r="H2515" s="365" t="s">
        <v>1806</v>
      </c>
    </row>
    <row r="2516" spans="8:8">
      <c r="H2516" s="365" t="s">
        <v>1522</v>
      </c>
    </row>
    <row r="2517" spans="8:8">
      <c r="H2517" s="365" t="s">
        <v>1525</v>
      </c>
    </row>
    <row r="2518" spans="8:8">
      <c r="H2518" s="365" t="s">
        <v>2154</v>
      </c>
    </row>
    <row r="2519" spans="8:8">
      <c r="H2519" s="365" t="s">
        <v>1517</v>
      </c>
    </row>
    <row r="2520" spans="8:8">
      <c r="H2520" s="365" t="s">
        <v>1517</v>
      </c>
    </row>
    <row r="2521" spans="8:8">
      <c r="H2521" s="365" t="s">
        <v>1525</v>
      </c>
    </row>
    <row r="2522" spans="8:8">
      <c r="H2522" s="365" t="s">
        <v>1602</v>
      </c>
    </row>
    <row r="2523" spans="8:8">
      <c r="H2523" s="365" t="s">
        <v>1604</v>
      </c>
    </row>
    <row r="2524" spans="8:8">
      <c r="H2524" s="365" t="s">
        <v>1538</v>
      </c>
    </row>
    <row r="2525" spans="8:8">
      <c r="H2525" s="365" t="s">
        <v>2154</v>
      </c>
    </row>
    <row r="2526" spans="8:8">
      <c r="H2526" s="365" t="s">
        <v>1533</v>
      </c>
    </row>
    <row r="2527" spans="8:8">
      <c r="H2527" s="365" t="s">
        <v>1806</v>
      </c>
    </row>
    <row r="2528" spans="8:8">
      <c r="H2528" s="365" t="s">
        <v>1522</v>
      </c>
    </row>
    <row r="2529" spans="8:8">
      <c r="H2529" s="365" t="s">
        <v>1517</v>
      </c>
    </row>
    <row r="2530" spans="8:8">
      <c r="H2530" s="365" t="s">
        <v>1525</v>
      </c>
    </row>
    <row r="2531" spans="8:8">
      <c r="H2531" s="365" t="s">
        <v>2154</v>
      </c>
    </row>
    <row r="2532" spans="8:8">
      <c r="H2532" s="365" t="s">
        <v>1533</v>
      </c>
    </row>
    <row r="2533" spans="8:8">
      <c r="H2533" s="365" t="s">
        <v>1806</v>
      </c>
    </row>
    <row r="2534" spans="8:8">
      <c r="H2534" s="365" t="s">
        <v>1522</v>
      </c>
    </row>
    <row r="2535" spans="8:8">
      <c r="H2535" s="365" t="s">
        <v>1540</v>
      </c>
    </row>
    <row r="2536" spans="8:8">
      <c r="H2536" s="365" t="s">
        <v>1537</v>
      </c>
    </row>
    <row r="2537" spans="8:8">
      <c r="H2537" s="365" t="s">
        <v>1602</v>
      </c>
    </row>
    <row r="2538" spans="8:8">
      <c r="H2538" s="365" t="s">
        <v>1533</v>
      </c>
    </row>
    <row r="2539" spans="8:8">
      <c r="H2539" s="365" t="s">
        <v>1806</v>
      </c>
    </row>
    <row r="2540" spans="8:8">
      <c r="H2540" s="365" t="s">
        <v>1525</v>
      </c>
    </row>
    <row r="2541" spans="8:8">
      <c r="H2541" s="365" t="s">
        <v>2154</v>
      </c>
    </row>
    <row r="2542" spans="8:8">
      <c r="H2542" s="365" t="s">
        <v>1517</v>
      </c>
    </row>
    <row r="2543" spans="8:8">
      <c r="H2543" s="365" t="s">
        <v>1522</v>
      </c>
    </row>
    <row r="2544" spans="8:8">
      <c r="H2544" s="365" t="s">
        <v>1517</v>
      </c>
    </row>
    <row r="2545" spans="8:8">
      <c r="H2545" s="365" t="s">
        <v>2154</v>
      </c>
    </row>
    <row r="2546" spans="8:8">
      <c r="H2546" s="365" t="s">
        <v>1525</v>
      </c>
    </row>
    <row r="2547" spans="8:8">
      <c r="H2547" s="365" t="s">
        <v>1517</v>
      </c>
    </row>
    <row r="2548" spans="8:8">
      <c r="H2548" s="365" t="s">
        <v>1525</v>
      </c>
    </row>
    <row r="2549" spans="8:8">
      <c r="H2549" s="365" t="s">
        <v>2154</v>
      </c>
    </row>
    <row r="2550" spans="8:8">
      <c r="H2550" s="365" t="s">
        <v>1533</v>
      </c>
    </row>
    <row r="2551" spans="8:8">
      <c r="H2551" s="365" t="s">
        <v>1806</v>
      </c>
    </row>
    <row r="2552" spans="8:8">
      <c r="H2552" s="365" t="s">
        <v>1602</v>
      </c>
    </row>
    <row r="2553" spans="8:8">
      <c r="H2553" s="365" t="s">
        <v>1537</v>
      </c>
    </row>
    <row r="2554" spans="8:8">
      <c r="H2554" s="365" t="s">
        <v>1533</v>
      </c>
    </row>
    <row r="2555" spans="8:8">
      <c r="H2555" s="365" t="s">
        <v>1806</v>
      </c>
    </row>
    <row r="2556" spans="8:8">
      <c r="H2556" s="365" t="s">
        <v>2154</v>
      </c>
    </row>
    <row r="2557" spans="8:8">
      <c r="H2557" s="365" t="s">
        <v>1517</v>
      </c>
    </row>
    <row r="2558" spans="8:8">
      <c r="H2558" s="365" t="s">
        <v>1525</v>
      </c>
    </row>
    <row r="2559" spans="8:8">
      <c r="H2559" s="365" t="s">
        <v>2154</v>
      </c>
    </row>
    <row r="2560" spans="8:8">
      <c r="H2560" s="365" t="s">
        <v>1517</v>
      </c>
    </row>
    <row r="2561" spans="8:8">
      <c r="H2561" s="365" t="s">
        <v>1525</v>
      </c>
    </row>
    <row r="2562" spans="8:8">
      <c r="H2562" s="365" t="s">
        <v>1517</v>
      </c>
    </row>
    <row r="2563" spans="8:8">
      <c r="H2563" s="365" t="s">
        <v>1525</v>
      </c>
    </row>
    <row r="2564" spans="8:8">
      <c r="H2564" s="365" t="s">
        <v>2154</v>
      </c>
    </row>
    <row r="2565" spans="8:8">
      <c r="H2565" s="365" t="s">
        <v>1533</v>
      </c>
    </row>
    <row r="2566" spans="8:8">
      <c r="H2566" s="365" t="s">
        <v>1806</v>
      </c>
    </row>
    <row r="2567" spans="8:8">
      <c r="H2567" s="365" t="s">
        <v>1537</v>
      </c>
    </row>
    <row r="2568" spans="8:8">
      <c r="H2568" s="365" t="s">
        <v>1602</v>
      </c>
    </row>
    <row r="2569" spans="8:8">
      <c r="H2569" s="365" t="s">
        <v>1533</v>
      </c>
    </row>
    <row r="2570" spans="8:8">
      <c r="H2570" s="365" t="s">
        <v>1806</v>
      </c>
    </row>
    <row r="2571" spans="8:8">
      <c r="H2571" s="365" t="s">
        <v>2154</v>
      </c>
    </row>
    <row r="2572" spans="8:8">
      <c r="H2572" s="365" t="s">
        <v>1525</v>
      </c>
    </row>
    <row r="2573" spans="8:8">
      <c r="H2573" s="365" t="s">
        <v>1517</v>
      </c>
    </row>
    <row r="2574" spans="8:8">
      <c r="H2574" s="365" t="s">
        <v>2154</v>
      </c>
    </row>
    <row r="2575" spans="8:8">
      <c r="H2575" s="365" t="s">
        <v>1517</v>
      </c>
    </row>
    <row r="2576" spans="8:8">
      <c r="H2576" s="365" t="s">
        <v>1525</v>
      </c>
    </row>
    <row r="2577" spans="8:8">
      <c r="H2577" s="365" t="s">
        <v>1517</v>
      </c>
    </row>
    <row r="2578" spans="8:8">
      <c r="H2578" s="365" t="s">
        <v>1533</v>
      </c>
    </row>
    <row r="2579" spans="8:8">
      <c r="H2579" s="365" t="s">
        <v>1806</v>
      </c>
    </row>
    <row r="2580" spans="8:8">
      <c r="H2580" s="365" t="s">
        <v>1525</v>
      </c>
    </row>
    <row r="2581" spans="8:8">
      <c r="H2581" s="365" t="s">
        <v>2154</v>
      </c>
    </row>
    <row r="2582" spans="8:8">
      <c r="H2582" s="365" t="s">
        <v>1522</v>
      </c>
    </row>
    <row r="2583" spans="8:8">
      <c r="H2583" s="365" t="s">
        <v>1602</v>
      </c>
    </row>
    <row r="2584" spans="8:8">
      <c r="H2584" s="365" t="s">
        <v>1537</v>
      </c>
    </row>
    <row r="2585" spans="8:8">
      <c r="H2585" s="365" t="s">
        <v>1533</v>
      </c>
    </row>
    <row r="2586" spans="8:8">
      <c r="H2586" s="365" t="s">
        <v>1806</v>
      </c>
    </row>
    <row r="2587" spans="8:8">
      <c r="H2587" s="365" t="s">
        <v>1525</v>
      </c>
    </row>
    <row r="2588" spans="8:8">
      <c r="H2588" s="365" t="s">
        <v>2154</v>
      </c>
    </row>
    <row r="2589" spans="8:8">
      <c r="H2589" s="365" t="s">
        <v>1517</v>
      </c>
    </row>
    <row r="2590" spans="8:8">
      <c r="H2590" s="365" t="s">
        <v>1522</v>
      </c>
    </row>
    <row r="2591" spans="8:8">
      <c r="H2591" s="365" t="s">
        <v>1517</v>
      </c>
    </row>
    <row r="2592" spans="8:8">
      <c r="H2592" s="365" t="s">
        <v>2154</v>
      </c>
    </row>
    <row r="2593" spans="8:8">
      <c r="H2593" s="365" t="s">
        <v>1525</v>
      </c>
    </row>
    <row r="2594" spans="8:8">
      <c r="H2594" s="365" t="s">
        <v>1533</v>
      </c>
    </row>
    <row r="2595" spans="8:8">
      <c r="H2595" s="365" t="s">
        <v>1806</v>
      </c>
    </row>
    <row r="2596" spans="8:8">
      <c r="H2596" s="365" t="s">
        <v>2154</v>
      </c>
    </row>
    <row r="2597" spans="8:8">
      <c r="H2597" s="365" t="s">
        <v>1525</v>
      </c>
    </row>
    <row r="2598" spans="8:8">
      <c r="H2598" s="365" t="s">
        <v>1522</v>
      </c>
    </row>
    <row r="2599" spans="8:8">
      <c r="H2599" s="365" t="s">
        <v>1538</v>
      </c>
    </row>
    <row r="2600" spans="8:8">
      <c r="H2600" s="365" t="s">
        <v>1537</v>
      </c>
    </row>
    <row r="2601" spans="8:8">
      <c r="H2601" s="365" t="s">
        <v>1602</v>
      </c>
    </row>
    <row r="2602" spans="8:8">
      <c r="H2602" s="365" t="s">
        <v>1533</v>
      </c>
    </row>
    <row r="2603" spans="8:8">
      <c r="H2603" s="365" t="s">
        <v>1806</v>
      </c>
    </row>
    <row r="2604" spans="8:8">
      <c r="H2604" s="365" t="s">
        <v>1525</v>
      </c>
    </row>
    <row r="2605" spans="8:8">
      <c r="H2605" s="365" t="s">
        <v>2154</v>
      </c>
    </row>
    <row r="2606" spans="8:8">
      <c r="H2606" s="365" t="s">
        <v>1522</v>
      </c>
    </row>
    <row r="2607" spans="8:8">
      <c r="H2607" s="365" t="s">
        <v>1548</v>
      </c>
    </row>
    <row r="2608" spans="8:8">
      <c r="H2608" s="365" t="s">
        <v>2154</v>
      </c>
    </row>
    <row r="2609" spans="8:8">
      <c r="H2609" s="365" t="s">
        <v>1525</v>
      </c>
    </row>
    <row r="2610" spans="8:8">
      <c r="H2610" s="365" t="s">
        <v>1548</v>
      </c>
    </row>
    <row r="2611" spans="8:8">
      <c r="H2611" s="365" t="s">
        <v>1525</v>
      </c>
    </row>
    <row r="2612" spans="8:8">
      <c r="H2612" s="365" t="s">
        <v>2154</v>
      </c>
    </row>
    <row r="2613" spans="8:8">
      <c r="H2613" s="365" t="s">
        <v>1533</v>
      </c>
    </row>
    <row r="2614" spans="8:8">
      <c r="H2614" s="365" t="s">
        <v>1806</v>
      </c>
    </row>
    <row r="2615" spans="8:8">
      <c r="H2615" s="365" t="s">
        <v>1522</v>
      </c>
    </row>
    <row r="2616" spans="8:8">
      <c r="H2616" s="365" t="s">
        <v>1602</v>
      </c>
    </row>
    <row r="2617" spans="8:8">
      <c r="H2617" s="365" t="s">
        <v>1533</v>
      </c>
    </row>
    <row r="2618" spans="8:8">
      <c r="H2618" s="365" t="s">
        <v>1806</v>
      </c>
    </row>
    <row r="2619" spans="8:8">
      <c r="H2619" s="365" t="s">
        <v>1548</v>
      </c>
    </row>
    <row r="2620" spans="8:8">
      <c r="H2620" s="365" t="s">
        <v>1525</v>
      </c>
    </row>
    <row r="2621" spans="8:8">
      <c r="H2621" s="365" t="s">
        <v>2154</v>
      </c>
    </row>
    <row r="2622" spans="8:8">
      <c r="H2622" s="365" t="s">
        <v>1522</v>
      </c>
    </row>
    <row r="2623" spans="8:8">
      <c r="H2623" s="365" t="s">
        <v>1548</v>
      </c>
    </row>
    <row r="2624" spans="8:8">
      <c r="H2624" s="365" t="s">
        <v>2154</v>
      </c>
    </row>
    <row r="2625" spans="8:8">
      <c r="H2625" s="365" t="s">
        <v>1525</v>
      </c>
    </row>
    <row r="2626" spans="8:8">
      <c r="H2626" s="365" t="s">
        <v>2154</v>
      </c>
    </row>
    <row r="2627" spans="8:8">
      <c r="H2627" s="365" t="s">
        <v>1548</v>
      </c>
    </row>
    <row r="2628" spans="8:8">
      <c r="H2628" s="365" t="s">
        <v>1525</v>
      </c>
    </row>
    <row r="2629" spans="8:8">
      <c r="H2629" s="365" t="s">
        <v>1533</v>
      </c>
    </row>
    <row r="2630" spans="8:8">
      <c r="H2630" s="365" t="s">
        <v>1806</v>
      </c>
    </row>
    <row r="2631" spans="8:8">
      <c r="H2631" s="365" t="s">
        <v>1602</v>
      </c>
    </row>
    <row r="2632" spans="8:8">
      <c r="H2632" s="365" t="s">
        <v>1533</v>
      </c>
    </row>
    <row r="2633" spans="8:8">
      <c r="H2633" s="365" t="s">
        <v>1806</v>
      </c>
    </row>
    <row r="2634" spans="8:8">
      <c r="H2634" s="365" t="s">
        <v>2154</v>
      </c>
    </row>
    <row r="2635" spans="8:8">
      <c r="H2635" s="365" t="s">
        <v>1548</v>
      </c>
    </row>
    <row r="2636" spans="8:8">
      <c r="H2636" s="365" t="s">
        <v>1525</v>
      </c>
    </row>
    <row r="2637" spans="8:8">
      <c r="H2637" s="365" t="s">
        <v>1522</v>
      </c>
    </row>
    <row r="2638" spans="8:8">
      <c r="H2638" s="365" t="s">
        <v>1517</v>
      </c>
    </row>
    <row r="2639" spans="8:8">
      <c r="H2639" s="365" t="s">
        <v>1525</v>
      </c>
    </row>
    <row r="2640" spans="8:8">
      <c r="H2640" s="365" t="s">
        <v>2154</v>
      </c>
    </row>
    <row r="2641" spans="8:8">
      <c r="H2641" s="365" t="s">
        <v>2154</v>
      </c>
    </row>
    <row r="2642" spans="8:8">
      <c r="H2642" s="365" t="s">
        <v>1517</v>
      </c>
    </row>
    <row r="2643" spans="8:8">
      <c r="H2643" s="365" t="s">
        <v>1525</v>
      </c>
    </row>
    <row r="2644" spans="8:8">
      <c r="H2644" s="365" t="s">
        <v>1533</v>
      </c>
    </row>
    <row r="2645" spans="8:8">
      <c r="H2645" s="365" t="s">
        <v>1806</v>
      </c>
    </row>
    <row r="2646" spans="8:8">
      <c r="H2646" s="365" t="s">
        <v>1602</v>
      </c>
    </row>
    <row r="2647" spans="8:8">
      <c r="H2647" s="365" t="s">
        <v>1533</v>
      </c>
    </row>
    <row r="2648" spans="8:8">
      <c r="H2648" s="365" t="s">
        <v>1806</v>
      </c>
    </row>
    <row r="2649" spans="8:8">
      <c r="H2649" s="365" t="s">
        <v>2154</v>
      </c>
    </row>
    <row r="2650" spans="8:8">
      <c r="H2650" s="365" t="s">
        <v>1517</v>
      </c>
    </row>
    <row r="2651" spans="8:8">
      <c r="H2651" s="365" t="s">
        <v>1525</v>
      </c>
    </row>
    <row r="2652" spans="8:8">
      <c r="H2652" s="365" t="s">
        <v>1522</v>
      </c>
    </row>
    <row r="2653" spans="8:8">
      <c r="H2653" s="365" t="s">
        <v>1553</v>
      </c>
    </row>
    <row r="2654" spans="8:8">
      <c r="H2654" s="365" t="s">
        <v>1553</v>
      </c>
    </row>
    <row r="2655" spans="8:8">
      <c r="H2655" s="365" t="s">
        <v>1517</v>
      </c>
    </row>
    <row r="2656" spans="8:8">
      <c r="H2656" s="365" t="s">
        <v>2154</v>
      </c>
    </row>
    <row r="2657" spans="8:8">
      <c r="H2657" s="365" t="s">
        <v>1525</v>
      </c>
    </row>
    <row r="2658" spans="8:8">
      <c r="H2658" s="365" t="s">
        <v>1527</v>
      </c>
    </row>
    <row r="2659" spans="8:8">
      <c r="H2659" s="365" t="s">
        <v>2154</v>
      </c>
    </row>
    <row r="2660" spans="8:8">
      <c r="H2660" s="365" t="s">
        <v>1517</v>
      </c>
    </row>
    <row r="2661" spans="8:8">
      <c r="H2661" s="365" t="s">
        <v>1533</v>
      </c>
    </row>
    <row r="2662" spans="8:8">
      <c r="H2662" s="365" t="s">
        <v>1806</v>
      </c>
    </row>
    <row r="2663" spans="8:8">
      <c r="H2663" s="365" t="s">
        <v>1553</v>
      </c>
    </row>
    <row r="2664" spans="8:8">
      <c r="H2664" s="365" t="s">
        <v>1602</v>
      </c>
    </row>
    <row r="2665" spans="8:8">
      <c r="H2665" s="365" t="s">
        <v>1533</v>
      </c>
    </row>
    <row r="2666" spans="8:8">
      <c r="H2666" s="365" t="s">
        <v>1806</v>
      </c>
    </row>
    <row r="2667" spans="8:8">
      <c r="H2667" s="365" t="s">
        <v>2154</v>
      </c>
    </row>
    <row r="2668" spans="8:8">
      <c r="H2668" s="365" t="s">
        <v>1553</v>
      </c>
    </row>
    <row r="2669" spans="8:8">
      <c r="H2669" s="365" t="s">
        <v>1517</v>
      </c>
    </row>
    <row r="2670" spans="8:8">
      <c r="H2670" s="365" t="s">
        <v>2154</v>
      </c>
    </row>
    <row r="2671" spans="8:8">
      <c r="H2671" s="365" t="s">
        <v>1517</v>
      </c>
    </row>
    <row r="2672" spans="8:8">
      <c r="H2672" s="365" t="s">
        <v>2154</v>
      </c>
    </row>
    <row r="2673" spans="8:8">
      <c r="H2673" s="365" t="s">
        <v>1517</v>
      </c>
    </row>
    <row r="2674" spans="8:8">
      <c r="H2674" s="365" t="s">
        <v>1533</v>
      </c>
    </row>
    <row r="2675" spans="8:8">
      <c r="H2675" s="365" t="s">
        <v>1806</v>
      </c>
    </row>
    <row r="2676" spans="8:8">
      <c r="H2676" s="365" t="s">
        <v>372</v>
      </c>
    </row>
    <row r="2677" spans="8:8">
      <c r="H2677" s="365" t="s">
        <v>1602</v>
      </c>
    </row>
    <row r="2678" spans="8:8">
      <c r="H2678" s="365" t="s">
        <v>1521</v>
      </c>
    </row>
    <row r="2679" spans="8:8">
      <c r="H2679" s="365" t="s">
        <v>1517</v>
      </c>
    </row>
    <row r="2680" spans="8:8">
      <c r="H2680" s="365" t="s">
        <v>2154</v>
      </c>
    </row>
    <row r="2681" spans="8:8">
      <c r="H2681" s="365" t="s">
        <v>1528</v>
      </c>
    </row>
    <row r="2682" spans="8:8">
      <c r="H2682" s="365" t="s">
        <v>2154</v>
      </c>
    </row>
    <row r="2683" spans="8:8">
      <c r="H2683" s="365" t="s">
        <v>1517</v>
      </c>
    </row>
    <row r="2684" spans="8:8">
      <c r="H2684" s="365" t="s">
        <v>1517</v>
      </c>
    </row>
    <row r="2685" spans="8:8">
      <c r="H2685" s="365" t="s">
        <v>1528</v>
      </c>
    </row>
    <row r="2686" spans="8:8">
      <c r="H2686" s="365" t="s">
        <v>2154</v>
      </c>
    </row>
    <row r="2687" spans="8:8">
      <c r="H2687" s="365" t="s">
        <v>1536</v>
      </c>
    </row>
    <row r="2688" spans="8:8">
      <c r="H2688" s="365" t="s">
        <v>1809</v>
      </c>
    </row>
    <row r="2689" spans="8:8">
      <c r="H2689" s="365" t="s">
        <v>1521</v>
      </c>
    </row>
    <row r="2690" spans="8:8">
      <c r="H2690" s="365" t="s">
        <v>1606</v>
      </c>
    </row>
    <row r="2691" spans="8:8">
      <c r="H2691" s="365" t="s">
        <v>2154</v>
      </c>
    </row>
    <row r="2692" spans="8:8">
      <c r="H2692" s="365" t="s">
        <v>1528</v>
      </c>
    </row>
    <row r="2693" spans="8:8">
      <c r="H2693" s="365" t="s">
        <v>1517</v>
      </c>
    </row>
    <row r="2694" spans="8:8">
      <c r="H2694" s="365" t="s">
        <v>1536</v>
      </c>
    </row>
    <row r="2695" spans="8:8">
      <c r="H2695" s="365" t="s">
        <v>1809</v>
      </c>
    </row>
    <row r="2696" spans="8:8">
      <c r="H2696" s="365" t="s">
        <v>1521</v>
      </c>
    </row>
    <row r="2697" spans="8:8">
      <c r="H2697" s="365" t="s">
        <v>2154</v>
      </c>
    </row>
    <row r="2698" spans="8:8">
      <c r="H2698" s="365" t="s">
        <v>1517</v>
      </c>
    </row>
    <row r="2699" spans="8:8">
      <c r="H2699" s="365" t="s">
        <v>1528</v>
      </c>
    </row>
    <row r="2700" spans="8:8">
      <c r="H2700" s="365" t="s">
        <v>1517</v>
      </c>
    </row>
    <row r="2701" spans="8:8">
      <c r="H2701" s="365" t="s">
        <v>1528</v>
      </c>
    </row>
    <row r="2702" spans="8:8">
      <c r="H2702" s="365" t="s">
        <v>1536</v>
      </c>
    </row>
    <row r="2703" spans="8:8">
      <c r="H2703" s="365" t="s">
        <v>1809</v>
      </c>
    </row>
    <row r="2704" spans="8:8">
      <c r="H2704" s="365" t="s">
        <v>1521</v>
      </c>
    </row>
    <row r="2705" spans="8:8">
      <c r="H2705" s="365" t="s">
        <v>1522</v>
      </c>
    </row>
    <row r="2706" spans="8:8">
      <c r="H2706" s="365" t="s">
        <v>1606</v>
      </c>
    </row>
    <row r="2707" spans="8:8">
      <c r="H2707" s="365" t="s">
        <v>1540</v>
      </c>
    </row>
    <row r="2708" spans="8:8">
      <c r="H2708" s="365" t="s">
        <v>1528</v>
      </c>
    </row>
    <row r="2709" spans="8:8">
      <c r="H2709" s="365" t="s">
        <v>2154</v>
      </c>
    </row>
    <row r="2710" spans="8:8">
      <c r="H2710" s="365" t="s">
        <v>1517</v>
      </c>
    </row>
    <row r="2711" spans="8:8">
      <c r="H2711" s="365" t="s">
        <v>1903</v>
      </c>
    </row>
    <row r="2712" spans="8:8">
      <c r="H2712" s="365" t="s">
        <v>1536</v>
      </c>
    </row>
    <row r="2713" spans="8:8">
      <c r="H2713" s="365" t="s">
        <v>1809</v>
      </c>
    </row>
    <row r="2714" spans="8:8">
      <c r="H2714" s="365" t="s">
        <v>1522</v>
      </c>
    </row>
    <row r="2715" spans="8:8">
      <c r="H2715" s="365" t="s">
        <v>1517</v>
      </c>
    </row>
    <row r="2716" spans="8:8">
      <c r="H2716" s="365" t="s">
        <v>1528</v>
      </c>
    </row>
    <row r="2717" spans="8:8">
      <c r="H2717" s="365" t="s">
        <v>2154</v>
      </c>
    </row>
    <row r="2718" spans="8:8">
      <c r="H2718" s="365" t="s">
        <v>1519</v>
      </c>
    </row>
    <row r="2719" spans="8:8">
      <c r="H2719" s="365" t="s">
        <v>2154</v>
      </c>
    </row>
    <row r="2720" spans="8:8">
      <c r="H2720" s="365" t="s">
        <v>1536</v>
      </c>
    </row>
    <row r="2721" spans="8:8">
      <c r="H2721" s="365" t="s">
        <v>1809</v>
      </c>
    </row>
    <row r="2722" spans="8:8">
      <c r="H2722" s="365" t="s">
        <v>1528</v>
      </c>
    </row>
    <row r="2723" spans="8:8">
      <c r="H2723" s="365" t="s">
        <v>1522</v>
      </c>
    </row>
    <row r="2724" spans="8:8">
      <c r="H2724" s="365" t="s">
        <v>1606</v>
      </c>
    </row>
    <row r="2725" spans="8:8">
      <c r="H2725" s="365" t="s">
        <v>1540</v>
      </c>
    </row>
    <row r="2726" spans="8:8">
      <c r="H2726" s="365" t="s">
        <v>1903</v>
      </c>
    </row>
    <row r="2727" spans="8:8">
      <c r="H2727" s="365" t="s">
        <v>1536</v>
      </c>
    </row>
    <row r="2728" spans="8:8">
      <c r="H2728" s="365" t="s">
        <v>1809</v>
      </c>
    </row>
    <row r="2729" spans="8:8">
      <c r="H2729" s="365" t="s">
        <v>1519</v>
      </c>
    </row>
    <row r="2730" spans="8:8">
      <c r="H2730" s="365" t="s">
        <v>1527</v>
      </c>
    </row>
    <row r="2731" spans="8:8">
      <c r="H2731" s="365" t="s">
        <v>2154</v>
      </c>
    </row>
    <row r="2732" spans="8:8">
      <c r="H2732" s="365" t="s">
        <v>1522</v>
      </c>
    </row>
    <row r="2733" spans="8:8">
      <c r="H2733" s="365" t="s">
        <v>1527</v>
      </c>
    </row>
    <row r="2734" spans="8:8">
      <c r="H2734" s="365" t="s">
        <v>2154</v>
      </c>
    </row>
    <row r="2735" spans="8:8">
      <c r="H2735" s="365" t="s">
        <v>1527</v>
      </c>
    </row>
    <row r="2736" spans="8:8">
      <c r="H2736" s="365" t="s">
        <v>2154</v>
      </c>
    </row>
    <row r="2737" spans="8:8">
      <c r="H2737" s="365" t="s">
        <v>1535</v>
      </c>
    </row>
    <row r="2738" spans="8:8">
      <c r="H2738" s="365" t="s">
        <v>1808</v>
      </c>
    </row>
    <row r="2739" spans="8:8">
      <c r="H2739" s="365" t="s">
        <v>1522</v>
      </c>
    </row>
    <row r="2740" spans="8:8">
      <c r="H2740" s="365" t="s">
        <v>1606</v>
      </c>
    </row>
    <row r="2741" spans="8:8">
      <c r="H2741" s="365" t="s">
        <v>1605</v>
      </c>
    </row>
    <row r="2742" spans="8:8">
      <c r="H2742" s="365" t="s">
        <v>1527</v>
      </c>
    </row>
    <row r="2743" spans="8:8">
      <c r="H2743" s="365" t="s">
        <v>2154</v>
      </c>
    </row>
    <row r="2744" spans="8:8">
      <c r="H2744" s="365" t="s">
        <v>1519</v>
      </c>
    </row>
    <row r="2745" spans="8:8">
      <c r="H2745" s="365" t="s">
        <v>1535</v>
      </c>
    </row>
    <row r="2746" spans="8:8">
      <c r="H2746" s="365" t="s">
        <v>1808</v>
      </c>
    </row>
    <row r="2747" spans="8:8">
      <c r="H2747" s="365" t="s">
        <v>1522</v>
      </c>
    </row>
    <row r="2748" spans="8:8">
      <c r="H2748" s="365" t="s">
        <v>1519</v>
      </c>
    </row>
    <row r="2749" spans="8:8">
      <c r="H2749" s="365" t="s">
        <v>1527</v>
      </c>
    </row>
    <row r="2750" spans="8:8">
      <c r="H2750" s="365" t="s">
        <v>2154</v>
      </c>
    </row>
    <row r="2751" spans="8:8">
      <c r="H2751" s="365" t="s">
        <v>1527</v>
      </c>
    </row>
    <row r="2752" spans="8:8">
      <c r="H2752" s="365" t="s">
        <v>2154</v>
      </c>
    </row>
    <row r="2753" spans="8:8">
      <c r="H2753" s="365" t="s">
        <v>1535</v>
      </c>
    </row>
    <row r="2754" spans="8:8">
      <c r="H2754" s="365" t="s">
        <v>1808</v>
      </c>
    </row>
    <row r="2755" spans="8:8">
      <c r="H2755" s="365" t="s">
        <v>1519</v>
      </c>
    </row>
    <row r="2756" spans="8:8">
      <c r="H2756" s="365" t="s">
        <v>1522</v>
      </c>
    </row>
    <row r="2757" spans="8:8">
      <c r="H2757" s="365" t="s">
        <v>1605</v>
      </c>
    </row>
    <row r="2758" spans="8:8">
      <c r="H2758" s="365" t="s">
        <v>1540</v>
      </c>
    </row>
    <row r="2759" spans="8:8">
      <c r="H2759" s="365" t="s">
        <v>1539</v>
      </c>
    </row>
    <row r="2760" spans="8:8">
      <c r="H2760" s="365" t="s">
        <v>1527</v>
      </c>
    </row>
    <row r="2761" spans="8:8">
      <c r="H2761" s="365" t="s">
        <v>1519</v>
      </c>
    </row>
    <row r="2762" spans="8:8">
      <c r="H2762" s="365" t="s">
        <v>2154</v>
      </c>
    </row>
    <row r="2763" spans="8:8">
      <c r="H2763" s="365" t="s">
        <v>1535</v>
      </c>
    </row>
    <row r="2764" spans="8:8">
      <c r="H2764" s="365" t="s">
        <v>1808</v>
      </c>
    </row>
    <row r="2765" spans="8:8">
      <c r="H2765" s="365" t="s">
        <v>1522</v>
      </c>
    </row>
    <row r="2766" spans="8:8">
      <c r="H2766" s="365" t="s">
        <v>1519</v>
      </c>
    </row>
    <row r="2767" spans="8:8">
      <c r="H2767" s="365" t="s">
        <v>1527</v>
      </c>
    </row>
    <row r="2768" spans="8:8">
      <c r="H2768" s="365" t="s">
        <v>2154</v>
      </c>
    </row>
    <row r="2769" spans="8:8">
      <c r="H2769" s="365" t="s">
        <v>1519</v>
      </c>
    </row>
    <row r="2770" spans="8:8">
      <c r="H2770" s="365" t="s">
        <v>2154</v>
      </c>
    </row>
    <row r="2771" spans="8:8">
      <c r="H2771" s="365" t="s">
        <v>1535</v>
      </c>
    </row>
    <row r="2772" spans="8:8">
      <c r="H2772" s="365" t="s">
        <v>1808</v>
      </c>
    </row>
    <row r="2773" spans="8:8">
      <c r="H2773" s="365" t="s">
        <v>1527</v>
      </c>
    </row>
    <row r="2774" spans="8:8">
      <c r="H2774" s="365" t="s">
        <v>1518</v>
      </c>
    </row>
    <row r="2775" spans="8:8">
      <c r="H2775" s="365" t="s">
        <v>1522</v>
      </c>
    </row>
    <row r="2776" spans="8:8">
      <c r="H2776" s="365" t="s">
        <v>1605</v>
      </c>
    </row>
    <row r="2777" spans="8:8">
      <c r="H2777" s="365" t="s">
        <v>1539</v>
      </c>
    </row>
    <row r="2778" spans="8:8">
      <c r="H2778" s="365" t="s">
        <v>1527</v>
      </c>
    </row>
    <row r="2779" spans="8:8">
      <c r="H2779" s="365" t="s">
        <v>2154</v>
      </c>
    </row>
    <row r="2780" spans="8:8">
      <c r="H2780" s="365" t="s">
        <v>1518</v>
      </c>
    </row>
    <row r="2781" spans="8:8">
      <c r="H2781" s="365" t="s">
        <v>1535</v>
      </c>
    </row>
    <row r="2782" spans="8:8">
      <c r="H2782" s="365" t="s">
        <v>1808</v>
      </c>
    </row>
    <row r="2783" spans="8:8">
      <c r="H2783" s="365" t="s">
        <v>1522</v>
      </c>
    </row>
    <row r="2784" spans="8:8">
      <c r="H2784" s="365" t="s">
        <v>1526</v>
      </c>
    </row>
    <row r="2785" spans="8:8">
      <c r="H2785" s="365" t="s">
        <v>1518</v>
      </c>
    </row>
    <row r="2786" spans="8:8">
      <c r="H2786" s="365" t="s">
        <v>2154</v>
      </c>
    </row>
    <row r="2787" spans="8:8">
      <c r="H2787" s="365" t="s">
        <v>1527</v>
      </c>
    </row>
    <row r="2788" spans="8:8">
      <c r="H2788" s="365" t="s">
        <v>1526</v>
      </c>
    </row>
    <row r="2789" spans="8:8">
      <c r="H2789" s="365" t="s">
        <v>1526</v>
      </c>
    </row>
    <row r="2790" spans="8:8">
      <c r="H2790" s="365" t="s">
        <v>2154</v>
      </c>
    </row>
    <row r="2791" spans="8:8">
      <c r="H2791" s="365" t="s">
        <v>1535</v>
      </c>
    </row>
    <row r="2792" spans="8:8">
      <c r="H2792" s="365" t="s">
        <v>1808</v>
      </c>
    </row>
    <row r="2793" spans="8:8">
      <c r="H2793" s="365" t="s">
        <v>1527</v>
      </c>
    </row>
    <row r="2794" spans="8:8">
      <c r="H2794" s="365" t="s">
        <v>1518</v>
      </c>
    </row>
    <row r="2795" spans="8:8">
      <c r="H2795" s="365" t="s">
        <v>1522</v>
      </c>
    </row>
    <row r="2796" spans="8:8">
      <c r="H2796" s="365" t="s">
        <v>372</v>
      </c>
    </row>
    <row r="2797" spans="8:8">
      <c r="H2797" s="365" t="s">
        <v>1524</v>
      </c>
    </row>
    <row r="2798" spans="8:8">
      <c r="H2798" s="365" t="s">
        <v>1605</v>
      </c>
    </row>
    <row r="2799" spans="8:8">
      <c r="H2799" s="365" t="s">
        <v>1537</v>
      </c>
    </row>
    <row r="2800" spans="8:8">
      <c r="H2800" s="365" t="s">
        <v>1539</v>
      </c>
    </row>
    <row r="2801" spans="8:8">
      <c r="H2801" s="365" t="s">
        <v>1535</v>
      </c>
    </row>
    <row r="2802" spans="8:8">
      <c r="H2802" s="365" t="s">
        <v>1808</v>
      </c>
    </row>
    <row r="2803" spans="8:8">
      <c r="H2803" s="365" t="s">
        <v>1527</v>
      </c>
    </row>
    <row r="2804" spans="8:8">
      <c r="H2804" s="365" t="s">
        <v>2154</v>
      </c>
    </row>
    <row r="2805" spans="8:8">
      <c r="H2805" s="365" t="s">
        <v>1518</v>
      </c>
    </row>
    <row r="2806" spans="8:8">
      <c r="H2806" s="365" t="s">
        <v>1526</v>
      </c>
    </row>
    <row r="2807" spans="8:8">
      <c r="H2807" s="365" t="s">
        <v>1524</v>
      </c>
    </row>
    <row r="2808" spans="8:8">
      <c r="H2808" s="365" t="s">
        <v>1518</v>
      </c>
    </row>
    <row r="2809" spans="8:8">
      <c r="H2809" s="365" t="s">
        <v>1527</v>
      </c>
    </row>
    <row r="2810" spans="8:8">
      <c r="H2810" s="365" t="s">
        <v>2154</v>
      </c>
    </row>
    <row r="2811" spans="8:8">
      <c r="H2811" s="365" t="s">
        <v>1526</v>
      </c>
    </row>
    <row r="2812" spans="8:8">
      <c r="H2812" s="365" t="s">
        <v>1526</v>
      </c>
    </row>
    <row r="2813" spans="8:8">
      <c r="H2813" s="365" t="s">
        <v>2154</v>
      </c>
    </row>
    <row r="2814" spans="8:8">
      <c r="H2814" s="365" t="s">
        <v>1535</v>
      </c>
    </row>
    <row r="2815" spans="8:8">
      <c r="H2815" s="365" t="s">
        <v>1808</v>
      </c>
    </row>
    <row r="2816" spans="8:8">
      <c r="H2816" s="365" t="s">
        <v>1527</v>
      </c>
    </row>
    <row r="2817" spans="8:8">
      <c r="H2817" s="365" t="s">
        <v>1518</v>
      </c>
    </row>
    <row r="2818" spans="8:8">
      <c r="H2818" s="365" t="s">
        <v>1559</v>
      </c>
    </row>
    <row r="2819" spans="8:8">
      <c r="H2819" s="365" t="s">
        <v>1605</v>
      </c>
    </row>
    <row r="2820" spans="8:8">
      <c r="H2820" s="365" t="s">
        <v>1524</v>
      </c>
    </row>
    <row r="2821" spans="8:8">
      <c r="H2821" s="365" t="s">
        <v>1535</v>
      </c>
    </row>
    <row r="2822" spans="8:8">
      <c r="H2822" s="365" t="s">
        <v>1808</v>
      </c>
    </row>
    <row r="2823" spans="8:8">
      <c r="H2823" s="365" t="s">
        <v>1526</v>
      </c>
    </row>
    <row r="2824" spans="8:8">
      <c r="H2824" s="365" t="s">
        <v>1527</v>
      </c>
    </row>
    <row r="2825" spans="8:8">
      <c r="H2825" s="365" t="s">
        <v>2154</v>
      </c>
    </row>
    <row r="2826" spans="8:8">
      <c r="H2826" s="365" t="s">
        <v>1559</v>
      </c>
    </row>
    <row r="2827" spans="8:8">
      <c r="H2827" s="365" t="s">
        <v>1559</v>
      </c>
    </row>
    <row r="2828" spans="8:8">
      <c r="H2828" s="365" t="s">
        <v>1527</v>
      </c>
    </row>
    <row r="2829" spans="8:8">
      <c r="H2829" s="365" t="s">
        <v>2154</v>
      </c>
    </row>
    <row r="2830" spans="8:8">
      <c r="H2830" s="365" t="s">
        <v>1535</v>
      </c>
    </row>
    <row r="2831" spans="8:8">
      <c r="H2831" s="365" t="s">
        <v>1808</v>
      </c>
    </row>
    <row r="2832" spans="8:8">
      <c r="H2832" s="365" t="s">
        <v>1526</v>
      </c>
    </row>
    <row r="2833" spans="8:8">
      <c r="H2833" s="365" t="s">
        <v>1526</v>
      </c>
    </row>
    <row r="2834" spans="8:8">
      <c r="H2834" s="365" t="s">
        <v>2154</v>
      </c>
    </row>
    <row r="2835" spans="8:8">
      <c r="H2835" s="365" t="s">
        <v>1535</v>
      </c>
    </row>
    <row r="2836" spans="8:8">
      <c r="H2836" s="365" t="s">
        <v>1808</v>
      </c>
    </row>
    <row r="2837" spans="8:8">
      <c r="H2837" s="365" t="s">
        <v>1527</v>
      </c>
    </row>
    <row r="2838" spans="8:8">
      <c r="H2838" s="365" t="s">
        <v>1559</v>
      </c>
    </row>
    <row r="2839" spans="8:8">
      <c r="H2839" s="365" t="s">
        <v>1605</v>
      </c>
    </row>
    <row r="2840" spans="8:8">
      <c r="H2840" s="365" t="s">
        <v>1539</v>
      </c>
    </row>
    <row r="2841" spans="8:8">
      <c r="H2841" s="365" t="s">
        <v>1808</v>
      </c>
    </row>
    <row r="2842" spans="8:8">
      <c r="H2842" s="365" t="s">
        <v>1535</v>
      </c>
    </row>
    <row r="2843" spans="8:8">
      <c r="H2843" s="365" t="s">
        <v>2154</v>
      </c>
    </row>
    <row r="2844" spans="8:8">
      <c r="H2844" s="365" t="s">
        <v>1526</v>
      </c>
    </row>
    <row r="2845" spans="8:8">
      <c r="H2845" s="365" t="s">
        <v>1527</v>
      </c>
    </row>
    <row r="2846" spans="8:8">
      <c r="H2846" s="365" t="s">
        <v>1558</v>
      </c>
    </row>
    <row r="2847" spans="8:8">
      <c r="H2847" s="365" t="s">
        <v>1605</v>
      </c>
    </row>
    <row r="2848" spans="8:8">
      <c r="H2848" s="365" t="s">
        <v>1892</v>
      </c>
    </row>
    <row r="2849" spans="8:8">
      <c r="H2849" s="365" t="s">
        <v>1558</v>
      </c>
    </row>
    <row r="2850" spans="8:8">
      <c r="H2850" s="365" t="s">
        <v>2154</v>
      </c>
    </row>
    <row r="2851" spans="8:8">
      <c r="H2851" s="365" t="s">
        <v>1526</v>
      </c>
    </row>
    <row r="2852" spans="8:8">
      <c r="H2852" s="365" t="s">
        <v>1527</v>
      </c>
    </row>
    <row r="2853" spans="8:8">
      <c r="H2853" s="365" t="s">
        <v>1535</v>
      </c>
    </row>
    <row r="2854" spans="8:8">
      <c r="H2854" s="365" t="s">
        <v>1808</v>
      </c>
    </row>
    <row r="2855" spans="8:8">
      <c r="H2855" s="365" t="s">
        <v>1558</v>
      </c>
    </row>
    <row r="2856" spans="8:8">
      <c r="H2856" s="365" t="s">
        <v>2154</v>
      </c>
    </row>
    <row r="2857" spans="8:8">
      <c r="H2857" s="365" t="s">
        <v>1526</v>
      </c>
    </row>
    <row r="2858" spans="8:8">
      <c r="H2858" s="365" t="s">
        <v>1527</v>
      </c>
    </row>
    <row r="2859" spans="8:8">
      <c r="H2859" s="365" t="s">
        <v>1535</v>
      </c>
    </row>
    <row r="2860" spans="8:8">
      <c r="H2860" s="365" t="s">
        <v>1808</v>
      </c>
    </row>
    <row r="2861" spans="8:8">
      <c r="H2861" s="365" t="s">
        <v>1527</v>
      </c>
    </row>
    <row r="2862" spans="8:8">
      <c r="H2862" s="365" t="s">
        <v>1535</v>
      </c>
    </row>
    <row r="2863" spans="8:8">
      <c r="H2863" s="365" t="s">
        <v>1808</v>
      </c>
    </row>
    <row r="2864" spans="8:8">
      <c r="H2864" s="365" t="s">
        <v>1605</v>
      </c>
    </row>
    <row r="2865" spans="8:8">
      <c r="H2865" s="365" t="s">
        <v>1902</v>
      </c>
    </row>
    <row r="2866" spans="8:8">
      <c r="H2866" s="365" t="s">
        <v>1535</v>
      </c>
    </row>
    <row r="2867" spans="8:8">
      <c r="H2867" s="365" t="s">
        <v>1808</v>
      </c>
    </row>
    <row r="2868" spans="8:8">
      <c r="H2868" s="365" t="s">
        <v>1534</v>
      </c>
    </row>
    <row r="2869" spans="8:8">
      <c r="H2869" s="365" t="s">
        <v>1807</v>
      </c>
    </row>
    <row r="2870" spans="8:8">
      <c r="H2870" s="365" t="s">
        <v>1527</v>
      </c>
    </row>
    <row r="2871" spans="8:8">
      <c r="H2871" s="365" t="s">
        <v>2085</v>
      </c>
    </row>
    <row r="2872" spans="8:8">
      <c r="H2872" s="365" t="s">
        <v>2111</v>
      </c>
    </row>
    <row r="2873" spans="8:8">
      <c r="H2873" s="365" t="s">
        <v>2085</v>
      </c>
    </row>
    <row r="2874" spans="8:8">
      <c r="H2874" s="365" t="s">
        <v>1527</v>
      </c>
    </row>
    <row r="2875" spans="8:8">
      <c r="H2875" s="365" t="s">
        <v>1534</v>
      </c>
    </row>
    <row r="2876" spans="8:8">
      <c r="H2876" s="365" t="s">
        <v>1807</v>
      </c>
    </row>
    <row r="2877" spans="8:8">
      <c r="H2877" s="365" t="s">
        <v>2111</v>
      </c>
    </row>
    <row r="2878" spans="8:8">
      <c r="H2878" s="365" t="s">
        <v>1527</v>
      </c>
    </row>
    <row r="2879" spans="8:8">
      <c r="H2879" s="365" t="s">
        <v>2085</v>
      </c>
    </row>
    <row r="2880" spans="8:8">
      <c r="H2880" s="365" t="s">
        <v>2111</v>
      </c>
    </row>
    <row r="2881" spans="8:8">
      <c r="H2881" s="365" t="s">
        <v>1515</v>
      </c>
    </row>
    <row r="2882" spans="8:8">
      <c r="H2882" s="365" t="s">
        <v>1534</v>
      </c>
    </row>
    <row r="2883" spans="8:8">
      <c r="H2883" s="365" t="s">
        <v>1807</v>
      </c>
    </row>
    <row r="2884" spans="8:8">
      <c r="H2884" s="365" t="s">
        <v>1605</v>
      </c>
    </row>
    <row r="2885" spans="8:8">
      <c r="H2885" s="365" t="s">
        <v>1604</v>
      </c>
    </row>
    <row r="2886" spans="8:8">
      <c r="H2886" s="365" t="s">
        <v>1896</v>
      </c>
    </row>
    <row r="2887" spans="8:8">
      <c r="H2887" s="365" t="s">
        <v>1534</v>
      </c>
    </row>
    <row r="2888" spans="8:8">
      <c r="H2888" s="365" t="s">
        <v>1807</v>
      </c>
    </row>
    <row r="2889" spans="8:8">
      <c r="H2889" s="365" t="s">
        <v>2111</v>
      </c>
    </row>
    <row r="2890" spans="8:8">
      <c r="H2890" s="365" t="s">
        <v>2085</v>
      </c>
    </row>
    <row r="2891" spans="8:8">
      <c r="H2891" s="365" t="s">
        <v>1527</v>
      </c>
    </row>
    <row r="2892" spans="8:8">
      <c r="H2892" s="365" t="s">
        <v>2085</v>
      </c>
    </row>
    <row r="2893" spans="8:8">
      <c r="H2893" s="365" t="s">
        <v>1527</v>
      </c>
    </row>
    <row r="2894" spans="8:8">
      <c r="H2894" s="365" t="s">
        <v>1534</v>
      </c>
    </row>
    <row r="2895" spans="8:8">
      <c r="H2895" s="365" t="s">
        <v>1535</v>
      </c>
    </row>
    <row r="2896" spans="8:8">
      <c r="H2896" s="365" t="s">
        <v>1807</v>
      </c>
    </row>
    <row r="2897" spans="8:8">
      <c r="H2897" s="365" t="s">
        <v>1808</v>
      </c>
    </row>
    <row r="2898" spans="8:8">
      <c r="H2898" s="365" t="s">
        <v>2111</v>
      </c>
    </row>
    <row r="2899" spans="8:8">
      <c r="H2899" s="365" t="s">
        <v>2111</v>
      </c>
    </row>
    <row r="2900" spans="8:8">
      <c r="H2900" s="365" t="s">
        <v>2085</v>
      </c>
    </row>
    <row r="2901" spans="8:8">
      <c r="H2901" s="365" t="s">
        <v>1527</v>
      </c>
    </row>
    <row r="2902" spans="8:8">
      <c r="H2902" s="365" t="s">
        <v>1516</v>
      </c>
    </row>
    <row r="2903" spans="8:8">
      <c r="H2903" s="365" t="s">
        <v>1535</v>
      </c>
    </row>
    <row r="2904" spans="8:8">
      <c r="H2904" s="365" t="s">
        <v>2088</v>
      </c>
    </row>
    <row r="2905" spans="8:8">
      <c r="H2905" s="365" t="s">
        <v>1808</v>
      </c>
    </row>
    <row r="2906" spans="8:8">
      <c r="H2906" s="365" t="s">
        <v>2089</v>
      </c>
    </row>
    <row r="2907" spans="8:8">
      <c r="H2907" s="365" t="s">
        <v>1604</v>
      </c>
    </row>
    <row r="2908" spans="8:8">
      <c r="H2908" s="365" t="s">
        <v>1605</v>
      </c>
    </row>
    <row r="2909" spans="8:8">
      <c r="H2909" s="365" t="s">
        <v>2090</v>
      </c>
    </row>
    <row r="2910" spans="8:8">
      <c r="H2910" s="365" t="s">
        <v>1538</v>
      </c>
    </row>
    <row r="2911" spans="8:8">
      <c r="H2911" s="365" t="s">
        <v>388</v>
      </c>
    </row>
    <row r="2912" spans="8:8">
      <c r="H2912" s="365" t="s">
        <v>1914</v>
      </c>
    </row>
    <row r="2913" spans="8:8">
      <c r="H2913" s="365" t="s">
        <v>373</v>
      </c>
    </row>
    <row r="2914" spans="8:8">
      <c r="H2914" s="365" t="s">
        <v>2111</v>
      </c>
    </row>
    <row r="2915" spans="8:8">
      <c r="H2915" s="365" t="s">
        <v>1527</v>
      </c>
    </row>
    <row r="2916" spans="8:8">
      <c r="H2916" s="365" t="s">
        <v>2085</v>
      </c>
    </row>
    <row r="2917" spans="8:8">
      <c r="H2917" s="365" t="s">
        <v>1516</v>
      </c>
    </row>
    <row r="2918" spans="8:8">
      <c r="H2918" s="365" t="s">
        <v>2088</v>
      </c>
    </row>
    <row r="2919" spans="8:8">
      <c r="H2919" s="365" t="s">
        <v>2089</v>
      </c>
    </row>
    <row r="2920" spans="8:8">
      <c r="H2920" s="365" t="s">
        <v>2111</v>
      </c>
    </row>
    <row r="2921" spans="8:8">
      <c r="H2921" s="365" t="s">
        <v>2113</v>
      </c>
    </row>
    <row r="2922" spans="8:8">
      <c r="H2922" s="365" t="s">
        <v>2085</v>
      </c>
    </row>
    <row r="2923" spans="8:8">
      <c r="H2923" s="365" t="s">
        <v>1527</v>
      </c>
    </row>
    <row r="2924" spans="8:8">
      <c r="H2924" s="365" t="s">
        <v>1516</v>
      </c>
    </row>
    <row r="2925" spans="8:8">
      <c r="H2925" s="365" t="s">
        <v>2088</v>
      </c>
    </row>
    <row r="2926" spans="8:8">
      <c r="H2926" s="365" t="s">
        <v>2089</v>
      </c>
    </row>
    <row r="2927" spans="8:8">
      <c r="H2927" s="365" t="s">
        <v>2113</v>
      </c>
    </row>
    <row r="2928" spans="8:8">
      <c r="H2928" s="365" t="s">
        <v>2113</v>
      </c>
    </row>
    <row r="2929" spans="8:8">
      <c r="H2929" s="365" t="s">
        <v>2085</v>
      </c>
    </row>
    <row r="2930" spans="8:8">
      <c r="H2930" s="365" t="s">
        <v>1527</v>
      </c>
    </row>
    <row r="2931" spans="8:8">
      <c r="H2931" s="365" t="s">
        <v>1516</v>
      </c>
    </row>
    <row r="2932" spans="8:8">
      <c r="H2932" s="365" t="s">
        <v>2088</v>
      </c>
    </row>
    <row r="2933" spans="8:8">
      <c r="H2933" s="365" t="s">
        <v>2089</v>
      </c>
    </row>
    <row r="2934" spans="8:8">
      <c r="H2934" s="365" t="s">
        <v>1515</v>
      </c>
    </row>
    <row r="2935" spans="8:8">
      <c r="H2935" s="365" t="s">
        <v>2090</v>
      </c>
    </row>
    <row r="2936" spans="8:8">
      <c r="H2936" s="365" t="s">
        <v>1523</v>
      </c>
    </row>
    <row r="2937" spans="8:8">
      <c r="H2937" s="365" t="s">
        <v>2088</v>
      </c>
    </row>
    <row r="2938" spans="8:8">
      <c r="H2938" s="365" t="s">
        <v>2089</v>
      </c>
    </row>
    <row r="2939" spans="8:8">
      <c r="H2939" s="365" t="s">
        <v>1527</v>
      </c>
    </row>
    <row r="2940" spans="8:8">
      <c r="H2940" s="365" t="s">
        <v>2113</v>
      </c>
    </row>
    <row r="2941" spans="8:8">
      <c r="H2941" s="365" t="s">
        <v>1515</v>
      </c>
    </row>
    <row r="2942" spans="8:8">
      <c r="H2942" s="365" t="s">
        <v>1516</v>
      </c>
    </row>
    <row r="2943" spans="8:8">
      <c r="H2943" s="365" t="s">
        <v>2085</v>
      </c>
    </row>
    <row r="2944" spans="8:8">
      <c r="H2944" s="365" t="s">
        <v>1515</v>
      </c>
    </row>
    <row r="2945" spans="8:8">
      <c r="H2945" s="365" t="s">
        <v>2113</v>
      </c>
    </row>
    <row r="2946" spans="8:8">
      <c r="H2946" s="365" t="s">
        <v>2085</v>
      </c>
    </row>
    <row r="2947" spans="8:8">
      <c r="H2947" s="365" t="s">
        <v>2088</v>
      </c>
    </row>
    <row r="2948" spans="8:8">
      <c r="H2948" s="365" t="s">
        <v>2089</v>
      </c>
    </row>
    <row r="2949" spans="8:8">
      <c r="H2949" s="365" t="s">
        <v>1527</v>
      </c>
    </row>
    <row r="2950" spans="8:8">
      <c r="H2950" s="365" t="s">
        <v>1516</v>
      </c>
    </row>
    <row r="2951" spans="8:8">
      <c r="H2951" s="365" t="s">
        <v>2113</v>
      </c>
    </row>
    <row r="2952" spans="8:8">
      <c r="H2952" s="365" t="s">
        <v>2085</v>
      </c>
    </row>
    <row r="2953" spans="8:8">
      <c r="H2953" s="365" t="s">
        <v>1527</v>
      </c>
    </row>
    <row r="2954" spans="8:8">
      <c r="H2954" s="365" t="s">
        <v>1516</v>
      </c>
    </row>
    <row r="2955" spans="8:8">
      <c r="H2955" s="365" t="s">
        <v>2088</v>
      </c>
    </row>
    <row r="2956" spans="8:8">
      <c r="H2956" s="365" t="s">
        <v>2089</v>
      </c>
    </row>
    <row r="2957" spans="8:8">
      <c r="H2957" s="365" t="s">
        <v>1808</v>
      </c>
    </row>
    <row r="2958" spans="8:8">
      <c r="H2958" s="365" t="s">
        <v>1535</v>
      </c>
    </row>
    <row r="2959" spans="8:8">
      <c r="H2959" s="365" t="s">
        <v>1515</v>
      </c>
    </row>
    <row r="2960" spans="8:8">
      <c r="H2960" s="365" t="s">
        <v>2113</v>
      </c>
    </row>
    <row r="2961" spans="8:8">
      <c r="H2961" s="365" t="s">
        <v>1520</v>
      </c>
    </row>
    <row r="2962" spans="8:8">
      <c r="H2962" s="365" t="s">
        <v>1539</v>
      </c>
    </row>
    <row r="2963" spans="8:8">
      <c r="H2963" s="365" t="s">
        <v>1605</v>
      </c>
    </row>
    <row r="2964" spans="8:8">
      <c r="H2964" s="365" t="s">
        <v>2090</v>
      </c>
    </row>
    <row r="2965" spans="8:8">
      <c r="H2965" s="365" t="s">
        <v>1535</v>
      </c>
    </row>
    <row r="2966" spans="8:8">
      <c r="H2966" s="365" t="s">
        <v>1808</v>
      </c>
    </row>
    <row r="2967" spans="8:8">
      <c r="H2967" s="365" t="s">
        <v>2113</v>
      </c>
    </row>
    <row r="2968" spans="8:8">
      <c r="H2968" s="365" t="s">
        <v>1527</v>
      </c>
    </row>
    <row r="2969" spans="8:8">
      <c r="H2969" s="365" t="s">
        <v>1528</v>
      </c>
    </row>
    <row r="2970" spans="8:8">
      <c r="H2970" s="365" t="s">
        <v>1515</v>
      </c>
    </row>
    <row r="2971" spans="8:8">
      <c r="H2971" s="365" t="s">
        <v>1516</v>
      </c>
    </row>
    <row r="2972" spans="8:8">
      <c r="H2972" s="365" t="s">
        <v>1535</v>
      </c>
    </row>
    <row r="2973" spans="8:8">
      <c r="H2973" s="365" t="s">
        <v>1808</v>
      </c>
    </row>
    <row r="2974" spans="8:8">
      <c r="H2974" s="365" t="s">
        <v>1527</v>
      </c>
    </row>
    <row r="2975" spans="8:8">
      <c r="H2975" s="365" t="s">
        <v>1528</v>
      </c>
    </row>
    <row r="2976" spans="8:8">
      <c r="H2976" s="365" t="s">
        <v>1515</v>
      </c>
    </row>
    <row r="2977" spans="8:8">
      <c r="H2977" s="365" t="s">
        <v>2113</v>
      </c>
    </row>
    <row r="2978" spans="8:8">
      <c r="H2978" s="365" t="s">
        <v>2113</v>
      </c>
    </row>
    <row r="2979" spans="8:8">
      <c r="H2979" s="365" t="s">
        <v>1528</v>
      </c>
    </row>
    <row r="2980" spans="8:8">
      <c r="H2980" s="365" t="s">
        <v>1525</v>
      </c>
    </row>
    <row r="2981" spans="8:8">
      <c r="H2981" s="365" t="s">
        <v>1515</v>
      </c>
    </row>
    <row r="2982" spans="8:8">
      <c r="H2982" s="365" t="s">
        <v>1535</v>
      </c>
    </row>
    <row r="2983" spans="8:8">
      <c r="H2983" s="365" t="s">
        <v>1808</v>
      </c>
    </row>
    <row r="2984" spans="8:8">
      <c r="H2984" s="365" t="s">
        <v>2112</v>
      </c>
    </row>
    <row r="2985" spans="8:8">
      <c r="H2985" s="365" t="s">
        <v>2113</v>
      </c>
    </row>
    <row r="2986" spans="8:8">
      <c r="H2986" s="365" t="s">
        <v>1520</v>
      </c>
    </row>
    <row r="2987" spans="8:8">
      <c r="H2987" s="365" t="s">
        <v>1605</v>
      </c>
    </row>
    <row r="2988" spans="8:8">
      <c r="H2988" s="365" t="s">
        <v>1535</v>
      </c>
    </row>
    <row r="2989" spans="8:8">
      <c r="H2989" s="365" t="s">
        <v>1808</v>
      </c>
    </row>
    <row r="2990" spans="8:8">
      <c r="H2990" s="365" t="s">
        <v>1515</v>
      </c>
    </row>
    <row r="2991" spans="8:8">
      <c r="H2991" s="365" t="s">
        <v>1525</v>
      </c>
    </row>
    <row r="2992" spans="8:8">
      <c r="H2992" s="365" t="s">
        <v>1528</v>
      </c>
    </row>
    <row r="2993" spans="8:8">
      <c r="H2993" s="365" t="s">
        <v>2112</v>
      </c>
    </row>
    <row r="2994" spans="8:8">
      <c r="H2994" s="365" t="s">
        <v>1535</v>
      </c>
    </row>
    <row r="2995" spans="8:8">
      <c r="H2995" s="365" t="s">
        <v>1808</v>
      </c>
    </row>
    <row r="2996" spans="8:8">
      <c r="H2996" s="365" t="s">
        <v>1525</v>
      </c>
    </row>
    <row r="2997" spans="8:8">
      <c r="H2997" s="365" t="s">
        <v>1528</v>
      </c>
    </row>
    <row r="2998" spans="8:8">
      <c r="H2998" s="365" t="s">
        <v>2112</v>
      </c>
    </row>
    <row r="2999" spans="8:8">
      <c r="H2999" s="365" t="s">
        <v>1515</v>
      </c>
    </row>
    <row r="3000" spans="8:8">
      <c r="H3000" s="365" t="s">
        <v>1528</v>
      </c>
    </row>
    <row r="3001" spans="8:8">
      <c r="H3001" s="365" t="s">
        <v>1525</v>
      </c>
    </row>
    <row r="3002" spans="8:8">
      <c r="H3002" s="365" t="s">
        <v>1515</v>
      </c>
    </row>
    <row r="3003" spans="8:8">
      <c r="H3003" s="365" t="s">
        <v>1535</v>
      </c>
    </row>
    <row r="3004" spans="8:8">
      <c r="H3004" s="365" t="s">
        <v>1808</v>
      </c>
    </row>
    <row r="3005" spans="8:8">
      <c r="H3005" s="365" t="s">
        <v>2112</v>
      </c>
    </row>
    <row r="3006" spans="8:8">
      <c r="H3006" s="365" t="s">
        <v>1520</v>
      </c>
    </row>
    <row r="3007" spans="8:8">
      <c r="H3007" s="365" t="s">
        <v>1605</v>
      </c>
    </row>
    <row r="3008" spans="8:8">
      <c r="H3008" s="365" t="s">
        <v>2092</v>
      </c>
    </row>
    <row r="3009" spans="8:8">
      <c r="H3009" s="365" t="s">
        <v>2112</v>
      </c>
    </row>
    <row r="3010" spans="8:8">
      <c r="H3010" s="365" t="s">
        <v>1528</v>
      </c>
    </row>
    <row r="3011" spans="8:8">
      <c r="H3011" s="365" t="s">
        <v>1525</v>
      </c>
    </row>
    <row r="3012" spans="8:8">
      <c r="H3012" s="365" t="s">
        <v>1515</v>
      </c>
    </row>
    <row r="3013" spans="8:8">
      <c r="H3013" s="365" t="s">
        <v>1535</v>
      </c>
    </row>
    <row r="3014" spans="8:8">
      <c r="H3014" s="365" t="s">
        <v>1808</v>
      </c>
    </row>
    <row r="3015" spans="8:8">
      <c r="H3015" s="365" t="s">
        <v>1535</v>
      </c>
    </row>
    <row r="3016" spans="8:8">
      <c r="H3016" s="365" t="s">
        <v>1808</v>
      </c>
    </row>
    <row r="3017" spans="8:8">
      <c r="H3017" s="365" t="s">
        <v>1525</v>
      </c>
    </row>
    <row r="3018" spans="8:8">
      <c r="H3018" s="365" t="s">
        <v>1528</v>
      </c>
    </row>
    <row r="3019" spans="8:8">
      <c r="H3019" s="365" t="s">
        <v>1515</v>
      </c>
    </row>
    <row r="3020" spans="8:8">
      <c r="H3020" s="365" t="s">
        <v>2112</v>
      </c>
    </row>
    <row r="3021" spans="8:8">
      <c r="H3021" s="365"/>
    </row>
    <row r="3022" spans="8:8">
      <c r="H3022" s="365"/>
    </row>
    <row r="3023" spans="8:8">
      <c r="H3023" s="365"/>
    </row>
    <row r="3024" spans="8:8">
      <c r="H3024" s="365"/>
    </row>
    <row r="3025" spans="8:8">
      <c r="H3025" s="365"/>
    </row>
    <row r="3026" spans="8:8">
      <c r="H3026" s="365"/>
    </row>
    <row r="3027" spans="8:8">
      <c r="H3027" s="365"/>
    </row>
    <row r="3028" spans="8:8">
      <c r="H3028" s="365"/>
    </row>
    <row r="3029" spans="8:8">
      <c r="H3029" s="365"/>
    </row>
    <row r="3030" spans="8:8">
      <c r="H3030" s="365"/>
    </row>
    <row r="3031" spans="8:8">
      <c r="H3031" s="365"/>
    </row>
    <row r="3032" spans="8:8">
      <c r="H3032" s="365"/>
    </row>
    <row r="3033" spans="8:8">
      <c r="H3033" s="365"/>
    </row>
    <row r="3034" spans="8:8">
      <c r="H3034" s="365"/>
    </row>
    <row r="3035" spans="8:8">
      <c r="H3035" s="365"/>
    </row>
    <row r="3036" spans="8:8">
      <c r="H3036" s="365"/>
    </row>
    <row r="3037" spans="8:8">
      <c r="H3037" s="365"/>
    </row>
    <row r="3038" spans="8:8">
      <c r="H3038" s="365"/>
    </row>
    <row r="3039" spans="8:8">
      <c r="H3039" s="365"/>
    </row>
    <row r="3040" spans="8:8">
      <c r="H3040" s="365"/>
    </row>
    <row r="3041" spans="8:8">
      <c r="H3041" s="365"/>
    </row>
    <row r="3042" spans="8:8">
      <c r="H3042" s="365"/>
    </row>
    <row r="3043" spans="8:8">
      <c r="H3043" s="365"/>
    </row>
    <row r="3044" spans="8:8">
      <c r="H3044" s="365"/>
    </row>
    <row r="3045" spans="8:8">
      <c r="H3045" s="365"/>
    </row>
    <row r="3046" spans="8:8">
      <c r="H3046" s="365"/>
    </row>
    <row r="3047" spans="8:8">
      <c r="H3047" s="365"/>
    </row>
    <row r="3048" spans="8:8">
      <c r="H3048" s="365"/>
    </row>
    <row r="3049" spans="8:8">
      <c r="H3049" s="365"/>
    </row>
    <row r="3050" spans="8:8">
      <c r="H3050" s="365"/>
    </row>
    <row r="3051" spans="8:8">
      <c r="H3051" s="365"/>
    </row>
    <row r="3052" spans="8:8">
      <c r="H3052" s="365"/>
    </row>
    <row r="3053" spans="8:8">
      <c r="H3053" s="365"/>
    </row>
    <row r="3054" spans="8:8">
      <c r="H3054" s="365"/>
    </row>
    <row r="3055" spans="8:8">
      <c r="H3055" s="365"/>
    </row>
    <row r="3056" spans="8:8">
      <c r="H3056" s="365"/>
    </row>
    <row r="3057" spans="8:8">
      <c r="H3057" s="365"/>
    </row>
    <row r="3058" spans="8:8">
      <c r="H3058" s="365"/>
    </row>
    <row r="3059" spans="8:8">
      <c r="H3059" s="365"/>
    </row>
    <row r="3060" spans="8:8">
      <c r="H3060" s="365"/>
    </row>
    <row r="3061" spans="8:8">
      <c r="H3061" s="365"/>
    </row>
    <row r="3062" spans="8:8">
      <c r="H3062" s="365"/>
    </row>
    <row r="3063" spans="8:8">
      <c r="H3063" s="365"/>
    </row>
    <row r="3064" spans="8:8">
      <c r="H3064" s="365"/>
    </row>
    <row r="3065" spans="8:8">
      <c r="H3065" s="365"/>
    </row>
    <row r="3066" spans="8:8">
      <c r="H3066" s="365"/>
    </row>
    <row r="3067" spans="8:8">
      <c r="H3067" s="365"/>
    </row>
    <row r="3068" spans="8:8">
      <c r="H3068" s="365"/>
    </row>
    <row r="3069" spans="8:8">
      <c r="H3069" s="365"/>
    </row>
    <row r="3070" spans="8:8">
      <c r="H3070" s="365"/>
    </row>
    <row r="3071" spans="8:8">
      <c r="H3071" s="365"/>
    </row>
    <row r="3072" spans="8:8">
      <c r="H3072" s="365"/>
    </row>
    <row r="3073" spans="8:8">
      <c r="H3073" s="365"/>
    </row>
    <row r="3074" spans="8:8">
      <c r="H3074" s="365"/>
    </row>
    <row r="3075" spans="8:8">
      <c r="H3075" s="365"/>
    </row>
    <row r="3076" spans="8:8">
      <c r="H3076" s="365"/>
    </row>
    <row r="3077" spans="8:8">
      <c r="H3077" s="365"/>
    </row>
    <row r="3078" spans="8:8">
      <c r="H3078" s="365"/>
    </row>
    <row r="3079" spans="8:8">
      <c r="H3079" s="365"/>
    </row>
    <row r="3080" spans="8:8">
      <c r="H3080" s="365"/>
    </row>
    <row r="3081" spans="8:8">
      <c r="H3081" s="365"/>
    </row>
    <row r="3082" spans="8:8">
      <c r="H3082" s="365"/>
    </row>
    <row r="3083" spans="8:8">
      <c r="H3083" s="365"/>
    </row>
    <row r="3084" spans="8:8">
      <c r="H3084" s="365"/>
    </row>
    <row r="3085" spans="8:8">
      <c r="H3085" s="365"/>
    </row>
    <row r="3086" spans="8:8">
      <c r="H3086" s="365"/>
    </row>
    <row r="3087" spans="8:8">
      <c r="H3087" s="365"/>
    </row>
    <row r="3088" spans="8:8">
      <c r="H3088" s="365"/>
    </row>
    <row r="3089" spans="8:8">
      <c r="H3089" s="365"/>
    </row>
    <row r="3090" spans="8:8">
      <c r="H3090" s="365"/>
    </row>
    <row r="3091" spans="8:8">
      <c r="H3091" s="365"/>
    </row>
    <row r="3092" spans="8:8">
      <c r="H3092" s="365"/>
    </row>
    <row r="3093" spans="8:8">
      <c r="H3093" s="365"/>
    </row>
    <row r="3094" spans="8:8">
      <c r="H3094" s="365"/>
    </row>
    <row r="3095" spans="8:8">
      <c r="H3095" s="365"/>
    </row>
    <row r="3096" spans="8:8">
      <c r="H3096" s="365"/>
    </row>
    <row r="3097" spans="8:8">
      <c r="H3097" s="365"/>
    </row>
    <row r="3098" spans="8:8">
      <c r="H3098" s="365"/>
    </row>
    <row r="3099" spans="8:8">
      <c r="H3099" s="365"/>
    </row>
    <row r="3100" spans="8:8">
      <c r="H3100" s="365"/>
    </row>
    <row r="3101" spans="8:8">
      <c r="H3101" s="365"/>
    </row>
    <row r="3102" spans="8:8">
      <c r="H3102" s="365"/>
    </row>
  </sheetData>
  <autoFilter ref="B3:FU363"/>
  <mergeCells count="2">
    <mergeCell ref="B1:C1"/>
    <mergeCell ref="AP2:BQ2"/>
  </mergeCells>
  <conditionalFormatting sqref="C3 C19:C30 C50:C53 C32:C46 C86:C363 C55:C82">
    <cfRule type="containsText" dxfId="448" priority="1476" operator="containsText" text="G">
      <formula>NOT(ISERROR(SEARCH("G",C3)))</formula>
    </cfRule>
    <cfRule type="containsText" dxfId="447" priority="1477" operator="containsText" text="B">
      <formula>NOT(ISERROR(SEARCH("B",C3)))</formula>
    </cfRule>
    <cfRule type="containsText" dxfId="446" priority="1478" operator="containsText" text="A">
      <formula>NOT(ISERROR(SEARCH("A",C3)))</formula>
    </cfRule>
  </conditionalFormatting>
  <conditionalFormatting sqref="Q2">
    <cfRule type="containsText" dxfId="445" priority="1469" operator="containsText" text="'0">
      <formula>NOT(ISERROR(SEARCH("'0",Q2)))</formula>
    </cfRule>
    <cfRule type="containsText" dxfId="444" priority="1470" operator="containsText" text="PENDING">
      <formula>NOT(ISERROR(SEARCH("PENDING",Q2)))</formula>
    </cfRule>
    <cfRule type="containsText" dxfId="443" priority="1471" operator="containsText" text="0123456789">
      <formula>NOT(ISERROR(SEARCH("0123456789",Q2)))</formula>
    </cfRule>
    <cfRule type="containsText" dxfId="442" priority="1472" operator="containsText" text="N/A">
      <formula>NOT(ISERROR(SEARCH("N/A",Q2)))</formula>
    </cfRule>
  </conditionalFormatting>
  <conditionalFormatting sqref="R219:R236 T154:T236 T104:T149 R238:R363 T238:T363">
    <cfRule type="cellIs" dxfId="441" priority="1104" operator="greaterThan">
      <formula>0</formula>
    </cfRule>
    <cfRule type="cellIs" priority="1105" operator="greaterThan">
      <formula>32</formula>
    </cfRule>
    <cfRule type="cellIs" dxfId="440" priority="1106" operator="greaterThan">
      <formula>32</formula>
    </cfRule>
    <cfRule type="cellIs" dxfId="439" priority="1109" operator="greaterThan">
      <formula>0</formula>
    </cfRule>
    <cfRule type="cellIs" dxfId="438" priority="1110" operator="greaterThan">
      <formula>0</formula>
    </cfRule>
    <cfRule type="cellIs" dxfId="437" priority="1111" operator="greaterThan">
      <formula>0</formula>
    </cfRule>
  </conditionalFormatting>
  <conditionalFormatting sqref="R219:R236 T154:T236 T104:T149 R238:R363 T238:T363">
    <cfRule type="cellIs" dxfId="436" priority="1103" operator="greaterThan">
      <formula>0</formula>
    </cfRule>
  </conditionalFormatting>
  <conditionalFormatting sqref="E2:E3 E223:E230 E235:E236 E177:E189 E275:E341 E343:E363 E1595:E1048576">
    <cfRule type="containsText" dxfId="435" priority="1051" operator="containsText" text="fo048">
      <formula>NOT(ISERROR(SEARCH("fo048",E2)))</formula>
    </cfRule>
  </conditionalFormatting>
  <conditionalFormatting sqref="E21">
    <cfRule type="containsText" dxfId="434" priority="894" operator="containsText" text="fo048">
      <formula>NOT(ISERROR(SEARCH("fo048",E21)))</formula>
    </cfRule>
  </conditionalFormatting>
  <conditionalFormatting sqref="C22:C30 C32:C39">
    <cfRule type="containsText" dxfId="433" priority="880" operator="containsText" text="G">
      <formula>NOT(ISERROR(SEARCH("G",C22)))</formula>
    </cfRule>
    <cfRule type="containsText" dxfId="432" priority="881" operator="containsText" text="B">
      <formula>NOT(ISERROR(SEARCH("B",C22)))</formula>
    </cfRule>
    <cfRule type="containsText" dxfId="431" priority="882" operator="containsText" text="A">
      <formula>NOT(ISERROR(SEARCH("A",C22)))</formula>
    </cfRule>
  </conditionalFormatting>
  <conditionalFormatting sqref="C50:C53 C55:C63">
    <cfRule type="containsText" dxfId="430" priority="864" operator="containsText" text="G">
      <formula>NOT(ISERROR(SEARCH("G",C50)))</formula>
    </cfRule>
    <cfRule type="containsText" dxfId="429" priority="865" operator="containsText" text="B">
      <formula>NOT(ISERROR(SEARCH("B",C50)))</formula>
    </cfRule>
    <cfRule type="containsText" dxfId="428" priority="866" operator="containsText" text="A">
      <formula>NOT(ISERROR(SEARCH("A",C50)))</formula>
    </cfRule>
  </conditionalFormatting>
  <conditionalFormatting sqref="AN32:AN53 AO337 AN338:AN363 AN55:AN336">
    <cfRule type="cellIs" dxfId="427" priority="690" operator="equal">
      <formula>"Pending"</formula>
    </cfRule>
    <cfRule type="cellIs" dxfId="426" priority="691" operator="greaterThan">
      <formula>0</formula>
    </cfRule>
    <cfRule type="cellIs" dxfId="425" priority="692" operator="equal">
      <formula>"pending"</formula>
    </cfRule>
    <cfRule type="cellIs" dxfId="424" priority="693" operator="greaterThan">
      <formula>0</formula>
    </cfRule>
  </conditionalFormatting>
  <conditionalFormatting sqref="E241:E242 E205 E247:E259 E212:E214 E197:E200 E264:E273">
    <cfRule type="containsText" dxfId="423" priority="668" operator="containsText" text="fo048">
      <formula>NOT(ISERROR(SEARCH("fo048",E197)))</formula>
    </cfRule>
  </conditionalFormatting>
  <conditionalFormatting sqref="E26:E27 E86 E38:E39 E51:E52 E56:E57 E110:E112 E152 E114 E154:E156 E137 E72:E74 E95:E97 E139:E144">
    <cfRule type="containsText" dxfId="422" priority="652" operator="containsText" text="fo048">
      <formula>NOT(ISERROR(SEARCH("fo048",E26)))</formula>
    </cfRule>
  </conditionalFormatting>
  <conditionalFormatting sqref="E161:E162">
    <cfRule type="containsText" dxfId="421" priority="650" operator="containsText" text="fo048">
      <formula>NOT(ISERROR(SEARCH("fo048",E161)))</formula>
    </cfRule>
  </conditionalFormatting>
  <conditionalFormatting sqref="E164:E165">
    <cfRule type="containsText" dxfId="420" priority="649" operator="containsText" text="fo048">
      <formula>NOT(ISERROR(SEARCH("fo048",E164)))</formula>
    </cfRule>
  </conditionalFormatting>
  <conditionalFormatting sqref="E219:E221">
    <cfRule type="containsText" dxfId="419" priority="631" operator="containsText" text="fo048">
      <formula>NOT(ISERROR(SEARCH("fo048",E219)))</formula>
    </cfRule>
  </conditionalFormatting>
  <conditionalFormatting sqref="E49">
    <cfRule type="containsText" dxfId="418" priority="629" operator="containsText" text="fo048">
      <formula>NOT(ISERROR(SEARCH("fo048",E49)))</formula>
    </cfRule>
  </conditionalFormatting>
  <conditionalFormatting sqref="E133">
    <cfRule type="containsText" dxfId="417" priority="625" operator="containsText" text="fo048">
      <formula>NOT(ISERROR(SEARCH("fo048",E133)))</formula>
    </cfRule>
  </conditionalFormatting>
  <conditionalFormatting sqref="E131:E132">
    <cfRule type="containsText" dxfId="416" priority="624" operator="containsText" text="fo048">
      <formula>NOT(ISERROR(SEARCH("fo048",E131)))</formula>
    </cfRule>
  </conditionalFormatting>
  <conditionalFormatting sqref="E195">
    <cfRule type="containsText" dxfId="415" priority="576" operator="containsText" text="fo048">
      <formula>NOT(ISERROR(SEARCH("fo048",E195)))</formula>
    </cfRule>
  </conditionalFormatting>
  <conditionalFormatting sqref="R237 T237">
    <cfRule type="cellIs" dxfId="414" priority="567" operator="greaterThan">
      <formula>0</formula>
    </cfRule>
    <cfRule type="cellIs" priority="568" operator="greaterThan">
      <formula>32</formula>
    </cfRule>
    <cfRule type="cellIs" dxfId="413" priority="569" operator="greaterThan">
      <formula>32</formula>
    </cfRule>
    <cfRule type="cellIs" dxfId="412" priority="570" operator="greaterThan">
      <formula>0</formula>
    </cfRule>
    <cfRule type="cellIs" dxfId="411" priority="571" operator="greaterThan">
      <formula>0</formula>
    </cfRule>
    <cfRule type="cellIs" dxfId="410" priority="572" operator="greaterThan">
      <formula>0</formula>
    </cfRule>
  </conditionalFormatting>
  <conditionalFormatting sqref="R237 T237">
    <cfRule type="cellIs" dxfId="409" priority="566" operator="greaterThan">
      <formula>0</formula>
    </cfRule>
  </conditionalFormatting>
  <conditionalFormatting sqref="E30 E32:E33">
    <cfRule type="containsText" dxfId="408" priority="558" operator="containsText" text="fo048">
      <formula>NOT(ISERROR(SEARCH("fo048",E30)))</formula>
    </cfRule>
  </conditionalFormatting>
  <conditionalFormatting sqref="E55">
    <cfRule type="containsText" dxfId="407" priority="556" operator="containsText" text="fo048">
      <formula>NOT(ISERROR(SEARCH("fo048",E55)))</formula>
    </cfRule>
  </conditionalFormatting>
  <conditionalFormatting sqref="E67">
    <cfRule type="containsText" dxfId="406" priority="555" operator="containsText" text="fo048">
      <formula>NOT(ISERROR(SEARCH("fo048",E67)))</formula>
    </cfRule>
  </conditionalFormatting>
  <conditionalFormatting sqref="E163">
    <cfRule type="containsText" dxfId="405" priority="549" operator="containsText" text="fo048">
      <formula>NOT(ISERROR(SEARCH("fo048",E163)))</formula>
    </cfRule>
  </conditionalFormatting>
  <conditionalFormatting sqref="E201">
    <cfRule type="containsText" dxfId="404" priority="528" operator="containsText" text="fo048">
      <formula>NOT(ISERROR(SEARCH("fo048",E201)))</formula>
    </cfRule>
  </conditionalFormatting>
  <conditionalFormatting sqref="E215">
    <cfRule type="containsText" dxfId="403" priority="527" operator="containsText" text="fo048">
      <formula>NOT(ISERROR(SEARCH("fo048",E215)))</formula>
    </cfRule>
  </conditionalFormatting>
  <conditionalFormatting sqref="E231:E234">
    <cfRule type="containsText" dxfId="402" priority="526" operator="containsText" text="fo048">
      <formula>NOT(ISERROR(SEARCH("fo048",E231)))</formula>
    </cfRule>
  </conditionalFormatting>
  <conditionalFormatting sqref="E243:E246">
    <cfRule type="containsText" dxfId="401" priority="525" operator="containsText" text="fo048">
      <formula>NOT(ISERROR(SEARCH("fo048",E243)))</formula>
    </cfRule>
  </conditionalFormatting>
  <conditionalFormatting sqref="E17">
    <cfRule type="containsText" dxfId="400" priority="523" operator="containsText" text="fo048">
      <formula>NOT(ISERROR(SEARCH("fo048",E17)))</formula>
    </cfRule>
  </conditionalFormatting>
  <conditionalFormatting sqref="E82">
    <cfRule type="containsText" dxfId="399" priority="518" operator="containsText" text="fo048">
      <formula>NOT(ISERROR(SEARCH("fo048",E82)))</formula>
    </cfRule>
  </conditionalFormatting>
  <conditionalFormatting sqref="E109">
    <cfRule type="containsText" dxfId="398" priority="515" operator="containsText" text="fo048">
      <formula>NOT(ISERROR(SEARCH("fo048",E109)))</formula>
    </cfRule>
  </conditionalFormatting>
  <conditionalFormatting sqref="E122">
    <cfRule type="containsText" dxfId="397" priority="513" operator="containsText" text="fo048">
      <formula>NOT(ISERROR(SEARCH("fo048",E122)))</formula>
    </cfRule>
  </conditionalFormatting>
  <conditionalFormatting sqref="E148">
    <cfRule type="containsText" dxfId="396" priority="512" operator="containsText" text="fo048">
      <formula>NOT(ISERROR(SEARCH("fo048",E148)))</formula>
    </cfRule>
  </conditionalFormatting>
  <conditionalFormatting sqref="E149 E151">
    <cfRule type="containsText" dxfId="395" priority="508" operator="containsText" text="fo048">
      <formula>NOT(ISERROR(SEARCH("fo048",E149)))</formula>
    </cfRule>
  </conditionalFormatting>
  <conditionalFormatting sqref="E169">
    <cfRule type="containsText" dxfId="394" priority="507" operator="containsText" text="fo048">
      <formula>NOT(ISERROR(SEARCH("fo048",E169)))</formula>
    </cfRule>
  </conditionalFormatting>
  <conditionalFormatting sqref="E170:E172">
    <cfRule type="containsText" dxfId="393" priority="504" operator="containsText" text="fo048">
      <formula>NOT(ISERROR(SEARCH("fo048",E170)))</formula>
    </cfRule>
  </conditionalFormatting>
  <conditionalFormatting sqref="E190:E191">
    <cfRule type="containsText" dxfId="392" priority="483" operator="containsText" text="fo048">
      <formula>NOT(ISERROR(SEARCH("fo048",E190)))</formula>
    </cfRule>
  </conditionalFormatting>
  <conditionalFormatting sqref="E203:E204">
    <cfRule type="containsText" dxfId="391" priority="481" operator="containsText" text="fo048">
      <formula>NOT(ISERROR(SEARCH("fo048",E203)))</formula>
    </cfRule>
  </conditionalFormatting>
  <conditionalFormatting sqref="E218">
    <cfRule type="containsText" dxfId="390" priority="475" operator="containsText" text="fo048">
      <formula>NOT(ISERROR(SEARCH("fo048",E218)))</formula>
    </cfRule>
  </conditionalFormatting>
  <conditionalFormatting sqref="E217">
    <cfRule type="containsText" dxfId="389" priority="477" operator="containsText" text="fo048">
      <formula>NOT(ISERROR(SEARCH("fo048",E217)))</formula>
    </cfRule>
  </conditionalFormatting>
  <conditionalFormatting sqref="E216">
    <cfRule type="containsText" dxfId="388" priority="476" operator="containsText" text="fo048">
      <formula>NOT(ISERROR(SEARCH("fo048",E216)))</formula>
    </cfRule>
  </conditionalFormatting>
  <conditionalFormatting sqref="E237">
    <cfRule type="containsText" dxfId="387" priority="474" operator="containsText" text="fo048">
      <formula>NOT(ISERROR(SEARCH("fo048",E237)))</formula>
    </cfRule>
  </conditionalFormatting>
  <conditionalFormatting sqref="E238">
    <cfRule type="containsText" dxfId="386" priority="473" operator="containsText" text="fo048">
      <formula>NOT(ISERROR(SEARCH("fo048",E238)))</formula>
    </cfRule>
  </conditionalFormatting>
  <conditionalFormatting sqref="E239">
    <cfRule type="containsText" dxfId="385" priority="472" operator="containsText" text="fo048">
      <formula>NOT(ISERROR(SEARCH("fo048",E239)))</formula>
    </cfRule>
  </conditionalFormatting>
  <conditionalFormatting sqref="E240">
    <cfRule type="containsText" dxfId="384" priority="471" operator="containsText" text="fo048">
      <formula>NOT(ISERROR(SEARCH("fo048",E240)))</formula>
    </cfRule>
  </conditionalFormatting>
  <conditionalFormatting sqref="E261:E263">
    <cfRule type="containsText" dxfId="383" priority="470" operator="containsText" text="fo048">
      <formula>NOT(ISERROR(SEARCH("fo048",E261)))</formula>
    </cfRule>
  </conditionalFormatting>
  <conditionalFormatting sqref="E260">
    <cfRule type="containsText" dxfId="382" priority="469" operator="containsText" text="fo048">
      <formula>NOT(ISERROR(SEARCH("fo048",E260)))</formula>
    </cfRule>
  </conditionalFormatting>
  <conditionalFormatting sqref="E16">
    <cfRule type="containsText" dxfId="381" priority="463" operator="containsText" text="fo048">
      <formula>NOT(ISERROR(SEARCH("fo048",E16)))</formula>
    </cfRule>
  </conditionalFormatting>
  <conditionalFormatting sqref="E13:E15">
    <cfRule type="containsText" dxfId="380" priority="462" operator="containsText" text="fo048">
      <formula>NOT(ISERROR(SEARCH("fo048",E13)))</formula>
    </cfRule>
  </conditionalFormatting>
  <conditionalFormatting sqref="E69:E70">
    <cfRule type="containsText" dxfId="379" priority="450" operator="containsText" text="fo048">
      <formula>NOT(ISERROR(SEARCH("fo048",E69)))</formula>
    </cfRule>
  </conditionalFormatting>
  <conditionalFormatting sqref="E83:E85">
    <cfRule type="containsText" dxfId="378" priority="449" operator="containsText" text="fo048">
      <formula>NOT(ISERROR(SEARCH("fo048",E83)))</formula>
    </cfRule>
  </conditionalFormatting>
  <conditionalFormatting sqref="E124:E125">
    <cfRule type="containsText" dxfId="377" priority="443" operator="containsText" text="fo048">
      <formula>NOT(ISERROR(SEARCH("fo048",E124)))</formula>
    </cfRule>
  </conditionalFormatting>
  <conditionalFormatting sqref="E130">
    <cfRule type="containsText" dxfId="376" priority="441" operator="containsText" text="fo048">
      <formula>NOT(ISERROR(SEARCH("fo048",E130)))</formula>
    </cfRule>
  </conditionalFormatting>
  <conditionalFormatting sqref="E158">
    <cfRule type="containsText" dxfId="375" priority="440" operator="containsText" text="fo048">
      <formula>NOT(ISERROR(SEARCH("fo048",E158)))</formula>
    </cfRule>
  </conditionalFormatting>
  <conditionalFormatting sqref="E208:E209">
    <cfRule type="containsText" dxfId="374" priority="423" operator="containsText" text="fo048">
      <formula>NOT(ISERROR(SEARCH("fo048",E208)))</formula>
    </cfRule>
  </conditionalFormatting>
  <conditionalFormatting sqref="E211">
    <cfRule type="containsText" dxfId="373" priority="421" operator="containsText" text="fo048">
      <formula>NOT(ISERROR(SEARCH("fo048",E211)))</formula>
    </cfRule>
  </conditionalFormatting>
  <conditionalFormatting sqref="E22">
    <cfRule type="containsText" dxfId="372" priority="407" operator="containsText" text="fo048">
      <formula>NOT(ISERROR(SEARCH("fo048",E22)))</formula>
    </cfRule>
  </conditionalFormatting>
  <conditionalFormatting sqref="E23">
    <cfRule type="containsText" dxfId="371" priority="406" operator="containsText" text="fo048">
      <formula>NOT(ISERROR(SEARCH("fo048",E23)))</formula>
    </cfRule>
  </conditionalFormatting>
  <conditionalFormatting sqref="E40:E42">
    <cfRule type="containsText" dxfId="370" priority="405" operator="containsText" text="fo048">
      <formula>NOT(ISERROR(SEARCH("fo048",E40)))</formula>
    </cfRule>
  </conditionalFormatting>
  <conditionalFormatting sqref="E53">
    <cfRule type="containsText" dxfId="369" priority="404" operator="containsText" text="fo048">
      <formula>NOT(ISERROR(SEARCH("fo048",E53)))</formula>
    </cfRule>
  </conditionalFormatting>
  <conditionalFormatting sqref="E63:E65">
    <cfRule type="containsText" dxfId="368" priority="403" operator="containsText" text="fo048">
      <formula>NOT(ISERROR(SEARCH("fo048",E63)))</formula>
    </cfRule>
  </conditionalFormatting>
  <conditionalFormatting sqref="E66">
    <cfRule type="containsText" dxfId="367" priority="402" operator="containsText" text="fo048">
      <formula>NOT(ISERROR(SEARCH("fo048",E66)))</formula>
    </cfRule>
  </conditionalFormatting>
  <conditionalFormatting sqref="E166">
    <cfRule type="containsText" dxfId="366" priority="399" operator="containsText" text="fo048">
      <formula>NOT(ISERROR(SEARCH("fo048",E166)))</formula>
    </cfRule>
  </conditionalFormatting>
  <conditionalFormatting sqref="E167:E168">
    <cfRule type="containsText" dxfId="365" priority="398" operator="containsText" text="fo048">
      <formula>NOT(ISERROR(SEARCH("fo048",E167)))</formula>
    </cfRule>
  </conditionalFormatting>
  <conditionalFormatting sqref="E176">
    <cfRule type="containsText" dxfId="364" priority="396" operator="containsText" text="fo048">
      <formula>NOT(ISERROR(SEARCH("fo048",E176)))</formula>
    </cfRule>
  </conditionalFormatting>
  <conditionalFormatting sqref="C4:C18">
    <cfRule type="containsText" dxfId="363" priority="388" operator="containsText" text="G">
      <formula>NOT(ISERROR(SEARCH("G",C4)))</formula>
    </cfRule>
    <cfRule type="containsText" dxfId="362" priority="389" operator="containsText" text="B">
      <formula>NOT(ISERROR(SEARCH("B",C4)))</formula>
    </cfRule>
    <cfRule type="containsText" dxfId="361" priority="390" operator="containsText" text="A">
      <formula>NOT(ISERROR(SEARCH("A",C4)))</formula>
    </cfRule>
  </conditionalFormatting>
  <conditionalFormatting sqref="C4:C18">
    <cfRule type="colorScale" priority="391">
      <colorScale>
        <cfvo type="min"/>
        <cfvo type="percentile" val="50"/>
        <cfvo type="max"/>
        <color rgb="FF63BE7B"/>
        <color rgb="FFFFEB84"/>
        <color rgb="FFF8696B"/>
      </colorScale>
    </cfRule>
    <cfRule type="containsText" dxfId="360" priority="392" operator="containsText" text="C">
      <formula>NOT(ISERROR(SEARCH("C",C4)))</formula>
    </cfRule>
  </conditionalFormatting>
  <conditionalFormatting sqref="T95:T102 T151:T152 T4:T30 T46:T53 T32:T44 T55:T93">
    <cfRule type="cellIs" dxfId="359" priority="382" operator="greaterThan">
      <formula>0</formula>
    </cfRule>
    <cfRule type="cellIs" priority="383" operator="greaterThan">
      <formula>32</formula>
    </cfRule>
    <cfRule type="cellIs" dxfId="358" priority="384" operator="greaterThan">
      <formula>32</formula>
    </cfRule>
    <cfRule type="cellIs" dxfId="357" priority="385" operator="greaterThan">
      <formula>0</formula>
    </cfRule>
    <cfRule type="cellIs" dxfId="356" priority="386" operator="greaterThan">
      <formula>0</formula>
    </cfRule>
    <cfRule type="cellIs" dxfId="355" priority="387" operator="greaterThan">
      <formula>0</formula>
    </cfRule>
  </conditionalFormatting>
  <conditionalFormatting sqref="T95:T102 T151:T152 T4:T30 T46:T53 T32:T44 T55:T93">
    <cfRule type="cellIs" dxfId="354" priority="381" operator="greaterThan">
      <formula>0</formula>
    </cfRule>
  </conditionalFormatting>
  <conditionalFormatting sqref="AN4:AN30">
    <cfRule type="cellIs" dxfId="353" priority="377" operator="equal">
      <formula>"Pending"</formula>
    </cfRule>
    <cfRule type="cellIs" dxfId="352" priority="378" operator="greaterThan">
      <formula>0</formula>
    </cfRule>
    <cfRule type="cellIs" dxfId="351" priority="379" operator="equal">
      <formula>"pending"</formula>
    </cfRule>
    <cfRule type="cellIs" dxfId="350" priority="380" operator="greaterThan">
      <formula>0</formula>
    </cfRule>
  </conditionalFormatting>
  <conditionalFormatting sqref="E34:E36">
    <cfRule type="containsText" dxfId="349" priority="376" operator="containsText" text="fo048">
      <formula>NOT(ISERROR(SEARCH("fo048",E34)))</formula>
    </cfRule>
  </conditionalFormatting>
  <conditionalFormatting sqref="E37">
    <cfRule type="containsText" dxfId="348" priority="375" operator="containsText" text="fo048">
      <formula>NOT(ISERROR(SEARCH("fo048",E37)))</formula>
    </cfRule>
  </conditionalFormatting>
  <conditionalFormatting sqref="F67">
    <cfRule type="containsText" dxfId="347" priority="374" operator="containsText" text="fo048">
      <formula>NOT(ISERROR(SEARCH("fo048",F67)))</formula>
    </cfRule>
  </conditionalFormatting>
  <conditionalFormatting sqref="E68">
    <cfRule type="containsText" dxfId="346" priority="373" operator="containsText" text="fo048">
      <formula>NOT(ISERROR(SEARCH("fo048",E68)))</formula>
    </cfRule>
  </conditionalFormatting>
  <conditionalFormatting sqref="E78:E80">
    <cfRule type="containsText" dxfId="345" priority="363" operator="containsText" text="fo048">
      <formula>NOT(ISERROR(SEARCH("fo048",E78)))</formula>
    </cfRule>
  </conditionalFormatting>
  <conditionalFormatting sqref="C83:C85">
    <cfRule type="containsText" dxfId="344" priority="353" operator="containsText" text="G">
      <formula>NOT(ISERROR(SEARCH("G",C83)))</formula>
    </cfRule>
    <cfRule type="containsText" dxfId="343" priority="354" operator="containsText" text="B">
      <formula>NOT(ISERROR(SEARCH("B",C83)))</formula>
    </cfRule>
    <cfRule type="containsText" dxfId="342" priority="355" operator="containsText" text="A">
      <formula>NOT(ISERROR(SEARCH("A",C83)))</formula>
    </cfRule>
  </conditionalFormatting>
  <conditionalFormatting sqref="C83:C85">
    <cfRule type="colorScale" priority="347">
      <colorScale>
        <cfvo type="min"/>
        <cfvo type="percentile" val="50"/>
        <cfvo type="max"/>
        <color rgb="FF63BE7B"/>
        <color rgb="FFFFEB84"/>
        <color rgb="FFF8696B"/>
      </colorScale>
    </cfRule>
    <cfRule type="containsText" dxfId="341" priority="348" operator="containsText" text="C">
      <formula>NOT(ISERROR(SEARCH("C",C83)))</formula>
    </cfRule>
  </conditionalFormatting>
  <conditionalFormatting sqref="E87">
    <cfRule type="containsText" dxfId="340" priority="338" operator="containsText" text="fo048">
      <formula>NOT(ISERROR(SEARCH("fo048",E87)))</formula>
    </cfRule>
  </conditionalFormatting>
  <conditionalFormatting sqref="E101">
    <cfRule type="containsText" dxfId="339" priority="337" operator="containsText" text="fo048">
      <formula>NOT(ISERROR(SEARCH("fo048",E101)))</formula>
    </cfRule>
  </conditionalFormatting>
  <conditionalFormatting sqref="C47:C49">
    <cfRule type="containsText" dxfId="338" priority="334" operator="containsText" text="G">
      <formula>NOT(ISERROR(SEARCH("G",C47)))</formula>
    </cfRule>
    <cfRule type="containsText" dxfId="337" priority="335" operator="containsText" text="B">
      <formula>NOT(ISERROR(SEARCH("B",C47)))</formula>
    </cfRule>
    <cfRule type="containsText" dxfId="336" priority="336" operator="containsText" text="A">
      <formula>NOT(ISERROR(SEARCH("A",C47)))</formula>
    </cfRule>
  </conditionalFormatting>
  <conditionalFormatting sqref="C47:C49">
    <cfRule type="colorScale" priority="321">
      <colorScale>
        <cfvo type="min"/>
        <cfvo type="percentile" val="50"/>
        <cfvo type="max"/>
        <color rgb="FF63BE7B"/>
        <color rgb="FFFFEB84"/>
        <color rgb="FFF8696B"/>
      </colorScale>
    </cfRule>
    <cfRule type="containsText" dxfId="335" priority="322" operator="containsText" text="C">
      <formula>NOT(ISERROR(SEARCH("C",C47)))</formula>
    </cfRule>
  </conditionalFormatting>
  <conditionalFormatting sqref="E48">
    <cfRule type="containsText" dxfId="334" priority="320" operator="containsText" text="fo048">
      <formula>NOT(ISERROR(SEARCH("fo048",E48)))</formula>
    </cfRule>
  </conditionalFormatting>
  <conditionalFormatting sqref="E126:E128">
    <cfRule type="containsText" dxfId="333" priority="319" operator="containsText" text="fo048">
      <formula>NOT(ISERROR(SEARCH("fo048",E126)))</formula>
    </cfRule>
  </conditionalFormatting>
  <conditionalFormatting sqref="E157">
    <cfRule type="containsText" dxfId="332" priority="318" operator="containsText" text="fo048">
      <formula>NOT(ISERROR(SEARCH("fo048",E157)))</formula>
    </cfRule>
  </conditionalFormatting>
  <conditionalFormatting sqref="E71">
    <cfRule type="containsText" dxfId="331" priority="312" operator="containsText" text="fo048">
      <formula>NOT(ISERROR(SEARCH("fo048",E71)))</formula>
    </cfRule>
  </conditionalFormatting>
  <conditionalFormatting sqref="T94">
    <cfRule type="cellIs" dxfId="330" priority="296" operator="greaterThan">
      <formula>0</formula>
    </cfRule>
    <cfRule type="cellIs" priority="297" operator="greaterThan">
      <formula>32</formula>
    </cfRule>
    <cfRule type="cellIs" dxfId="329" priority="298" operator="greaterThan">
      <formula>32</formula>
    </cfRule>
    <cfRule type="cellIs" dxfId="328" priority="299" operator="greaterThan">
      <formula>0</formula>
    </cfRule>
    <cfRule type="cellIs" dxfId="327" priority="300" operator="greaterThan">
      <formula>0</formula>
    </cfRule>
    <cfRule type="cellIs" dxfId="326" priority="301" operator="greaterThan">
      <formula>0</formula>
    </cfRule>
  </conditionalFormatting>
  <conditionalFormatting sqref="T94">
    <cfRule type="cellIs" dxfId="325" priority="295" operator="greaterThan">
      <formula>0</formula>
    </cfRule>
  </conditionalFormatting>
  <conditionalFormatting sqref="E98:E99">
    <cfRule type="containsText" dxfId="324" priority="294" operator="containsText" text="fo048">
      <formula>NOT(ISERROR(SEARCH("fo048",E98)))</formula>
    </cfRule>
  </conditionalFormatting>
  <conditionalFormatting sqref="E113">
    <cfRule type="containsText" dxfId="323" priority="293" operator="containsText" text="fo048">
      <formula>NOT(ISERROR(SEARCH("fo048",E113)))</formula>
    </cfRule>
  </conditionalFormatting>
  <conditionalFormatting sqref="E153">
    <cfRule type="containsText" dxfId="322" priority="266" operator="containsText" text="fo048">
      <formula>NOT(ISERROR(SEARCH("fo048",E153)))</formula>
    </cfRule>
  </conditionalFormatting>
  <conditionalFormatting sqref="T153">
    <cfRule type="cellIs" dxfId="321" priority="260" operator="greaterThan">
      <formula>0</formula>
    </cfRule>
    <cfRule type="cellIs" priority="261" operator="greaterThan">
      <formula>32</formula>
    </cfRule>
    <cfRule type="cellIs" dxfId="320" priority="262" operator="greaterThan">
      <formula>32</formula>
    </cfRule>
    <cfRule type="cellIs" dxfId="319" priority="263" operator="greaterThan">
      <formula>0</formula>
    </cfRule>
    <cfRule type="cellIs" dxfId="318" priority="264" operator="greaterThan">
      <formula>0</formula>
    </cfRule>
    <cfRule type="cellIs" dxfId="317" priority="265" operator="greaterThan">
      <formula>0</formula>
    </cfRule>
  </conditionalFormatting>
  <conditionalFormatting sqref="T153">
    <cfRule type="cellIs" dxfId="316" priority="259" operator="greaterThan">
      <formula>0</formula>
    </cfRule>
  </conditionalFormatting>
  <conditionalFormatting sqref="T45">
    <cfRule type="cellIs" dxfId="315" priority="219" operator="greaterThan">
      <formula>0</formula>
    </cfRule>
    <cfRule type="cellIs" priority="220" operator="greaterThan">
      <formula>32</formula>
    </cfRule>
    <cfRule type="cellIs" dxfId="314" priority="221" operator="greaterThan">
      <formula>32</formula>
    </cfRule>
    <cfRule type="cellIs" dxfId="313" priority="222" operator="greaterThan">
      <formula>0</formula>
    </cfRule>
    <cfRule type="cellIs" dxfId="312" priority="223" operator="greaterThan">
      <formula>0</formula>
    </cfRule>
    <cfRule type="cellIs" dxfId="311" priority="224" operator="greaterThan">
      <formula>0</formula>
    </cfRule>
  </conditionalFormatting>
  <conditionalFormatting sqref="T45">
    <cfRule type="cellIs" dxfId="310" priority="218" operator="greaterThan">
      <formula>0</formula>
    </cfRule>
  </conditionalFormatting>
  <conditionalFormatting sqref="T103">
    <cfRule type="cellIs" dxfId="309" priority="202" operator="greaterThan">
      <formula>0</formula>
    </cfRule>
    <cfRule type="cellIs" priority="203" operator="greaterThan">
      <formula>32</formula>
    </cfRule>
    <cfRule type="cellIs" dxfId="308" priority="204" operator="greaterThan">
      <formula>32</formula>
    </cfRule>
    <cfRule type="cellIs" dxfId="307" priority="205" operator="greaterThan">
      <formula>0</formula>
    </cfRule>
    <cfRule type="cellIs" dxfId="306" priority="206" operator="greaterThan">
      <formula>0</formula>
    </cfRule>
    <cfRule type="cellIs" dxfId="305" priority="207" operator="greaterThan">
      <formula>0</formula>
    </cfRule>
  </conditionalFormatting>
  <conditionalFormatting sqref="T103">
    <cfRule type="cellIs" dxfId="304" priority="201" operator="greaterThan">
      <formula>0</formula>
    </cfRule>
  </conditionalFormatting>
  <conditionalFormatting sqref="T150">
    <cfRule type="cellIs" dxfId="303" priority="185" operator="greaterThan">
      <formula>0</formula>
    </cfRule>
    <cfRule type="cellIs" priority="186" operator="greaterThan">
      <formula>32</formula>
    </cfRule>
    <cfRule type="cellIs" dxfId="302" priority="187" operator="greaterThan">
      <formula>32</formula>
    </cfRule>
    <cfRule type="cellIs" dxfId="301" priority="188" operator="greaterThan">
      <formula>0</formula>
    </cfRule>
    <cfRule type="cellIs" dxfId="300" priority="189" operator="greaterThan">
      <formula>0</formula>
    </cfRule>
    <cfRule type="cellIs" dxfId="299" priority="190" operator="greaterThan">
      <formula>0</formula>
    </cfRule>
  </conditionalFormatting>
  <conditionalFormatting sqref="T150">
    <cfRule type="cellIs" dxfId="298" priority="184" operator="greaterThan">
      <formula>0</formula>
    </cfRule>
  </conditionalFormatting>
  <conditionalFormatting sqref="E150">
    <cfRule type="containsText" dxfId="297" priority="181" operator="containsText" text="fo048">
      <formula>NOT(ISERROR(SEARCH("fo048",E150)))</formula>
    </cfRule>
  </conditionalFormatting>
  <conditionalFormatting sqref="C1:C3 C19:C30 C50:C53 C32:C46 C86:C128 C135:C363 C55:C82 C1595:C1048576">
    <cfRule type="colorScale" priority="4423">
      <colorScale>
        <cfvo type="min"/>
        <cfvo type="percentile" val="50"/>
        <cfvo type="max"/>
        <color rgb="FF63BE7B"/>
        <color rgb="FFFFEB84"/>
        <color rgb="FFF8696B"/>
      </colorScale>
    </cfRule>
    <cfRule type="containsText" dxfId="296" priority="4424" operator="containsText" text="C">
      <formula>NOT(ISERROR(SEARCH("C",C1)))</formula>
    </cfRule>
  </conditionalFormatting>
  <conditionalFormatting sqref="C19:C25">
    <cfRule type="colorScale" priority="4425">
      <colorScale>
        <cfvo type="min"/>
        <cfvo type="percentile" val="50"/>
        <cfvo type="max"/>
        <color rgb="FF63BE7B"/>
        <color rgb="FFFFEB84"/>
        <color rgb="FFF8696B"/>
      </colorScale>
    </cfRule>
    <cfRule type="containsText" dxfId="295" priority="4426" operator="containsText" text="C">
      <formula>NOT(ISERROR(SEARCH("C",C19)))</formula>
    </cfRule>
  </conditionalFormatting>
  <conditionalFormatting sqref="E24">
    <cfRule type="containsText" dxfId="294" priority="129" operator="containsText" text="fo048">
      <formula>NOT(ISERROR(SEARCH("fo048",E24)))</formula>
    </cfRule>
  </conditionalFormatting>
  <conditionalFormatting sqref="E25">
    <cfRule type="containsText" dxfId="293" priority="128" operator="containsText" text="fo048">
      <formula>NOT(ISERROR(SEARCH("fo048",E25)))</formula>
    </cfRule>
  </conditionalFormatting>
  <conditionalFormatting sqref="E28">
    <cfRule type="containsText" dxfId="292" priority="127" operator="containsText" text="fo048">
      <formula>NOT(ISERROR(SEARCH("fo048",E28)))</formula>
    </cfRule>
  </conditionalFormatting>
  <conditionalFormatting sqref="E75:E76">
    <cfRule type="containsText" dxfId="291" priority="124" operator="containsText" text="fo048">
      <formula>NOT(ISERROR(SEARCH("fo048",E75)))</formula>
    </cfRule>
  </conditionalFormatting>
  <conditionalFormatting sqref="E77">
    <cfRule type="containsText" dxfId="290" priority="123" operator="containsText" text="fo048">
      <formula>NOT(ISERROR(SEARCH("fo048",E77)))</formula>
    </cfRule>
  </conditionalFormatting>
  <conditionalFormatting sqref="E88:E89">
    <cfRule type="containsText" dxfId="289" priority="122" operator="containsText" text="fo048">
      <formula>NOT(ISERROR(SEARCH("fo048",E88)))</formula>
    </cfRule>
  </conditionalFormatting>
  <conditionalFormatting sqref="E90">
    <cfRule type="containsText" dxfId="288" priority="121" operator="containsText" text="fo048">
      <formula>NOT(ISERROR(SEARCH("fo048",E90)))</formula>
    </cfRule>
  </conditionalFormatting>
  <conditionalFormatting sqref="E102:E103">
    <cfRule type="containsText" dxfId="287" priority="120" operator="containsText" text="fo048">
      <formula>NOT(ISERROR(SEARCH("fo048",E102)))</formula>
    </cfRule>
  </conditionalFormatting>
  <conditionalFormatting sqref="E104">
    <cfRule type="containsText" dxfId="286" priority="119" operator="containsText" text="fo048">
      <formula>NOT(ISERROR(SEARCH("fo048",E104)))</formula>
    </cfRule>
  </conditionalFormatting>
  <conditionalFormatting sqref="E134">
    <cfRule type="containsText" dxfId="285" priority="118" operator="containsText" text="fo048">
      <formula>NOT(ISERROR(SEARCH("fo048",E134)))</formula>
    </cfRule>
  </conditionalFormatting>
  <conditionalFormatting sqref="E145">
    <cfRule type="containsText" dxfId="284" priority="117" operator="containsText" text="fo048">
      <formula>NOT(ISERROR(SEARCH("fo048",E145)))</formula>
    </cfRule>
  </conditionalFormatting>
  <conditionalFormatting sqref="E146:E147">
    <cfRule type="containsText" dxfId="283" priority="116" operator="containsText" text="fo048">
      <formula>NOT(ISERROR(SEARCH("fo048",E146)))</formula>
    </cfRule>
  </conditionalFormatting>
  <conditionalFormatting sqref="E159">
    <cfRule type="containsText" dxfId="282" priority="115" operator="containsText" text="fo048">
      <formula>NOT(ISERROR(SEARCH("fo048",E159)))</formula>
    </cfRule>
  </conditionalFormatting>
  <conditionalFormatting sqref="E160">
    <cfRule type="containsText" dxfId="281" priority="114" operator="containsText" text="fo048">
      <formula>NOT(ISERROR(SEARCH("fo048",E160)))</formula>
    </cfRule>
  </conditionalFormatting>
  <conditionalFormatting sqref="E173">
    <cfRule type="containsText" dxfId="280" priority="113" operator="containsText" text="fo048">
      <formula>NOT(ISERROR(SEARCH("fo048",E173)))</formula>
    </cfRule>
  </conditionalFormatting>
  <conditionalFormatting sqref="E196">
    <cfRule type="containsText" dxfId="279" priority="107" operator="containsText" text="fo048">
      <formula>NOT(ISERROR(SEARCH("fo048",E196)))</formula>
    </cfRule>
  </conditionalFormatting>
  <conditionalFormatting sqref="E206">
    <cfRule type="containsText" dxfId="278" priority="106" operator="containsText" text="fo048">
      <formula>NOT(ISERROR(SEARCH("fo048",E206)))</formula>
    </cfRule>
  </conditionalFormatting>
  <conditionalFormatting sqref="E207">
    <cfRule type="containsText" dxfId="277" priority="105" operator="containsText" text="fo048">
      <formula>NOT(ISERROR(SEARCH("fo048",E207)))</formula>
    </cfRule>
  </conditionalFormatting>
  <conditionalFormatting sqref="E222">
    <cfRule type="containsText" dxfId="276" priority="104" operator="containsText" text="fo048">
      <formula>NOT(ISERROR(SEARCH("fo048",E222)))</formula>
    </cfRule>
  </conditionalFormatting>
  <conditionalFormatting sqref="E43">
    <cfRule type="containsText" dxfId="275" priority="103" operator="containsText" text="fo048">
      <formula>NOT(ISERROR(SEARCH("fo048",E43)))</formula>
    </cfRule>
  </conditionalFormatting>
  <conditionalFormatting sqref="E44:E45">
    <cfRule type="containsText" dxfId="274" priority="102" operator="containsText" text="fo048">
      <formula>NOT(ISERROR(SEARCH("fo048",E44)))</formula>
    </cfRule>
  </conditionalFormatting>
  <conditionalFormatting sqref="E46:E47">
    <cfRule type="containsText" dxfId="273" priority="101" operator="containsText" text="fo048">
      <formula>NOT(ISERROR(SEARCH("fo048",E46)))</formula>
    </cfRule>
  </conditionalFormatting>
  <conditionalFormatting sqref="E58">
    <cfRule type="containsText" dxfId="272" priority="100" operator="containsText" text="fo048">
      <formula>NOT(ISERROR(SEARCH("fo048",E58)))</formula>
    </cfRule>
  </conditionalFormatting>
  <conditionalFormatting sqref="E59:E60">
    <cfRule type="containsText" dxfId="271" priority="99" operator="containsText" text="fo048">
      <formula>NOT(ISERROR(SEARCH("fo048",E59)))</formula>
    </cfRule>
  </conditionalFormatting>
  <conditionalFormatting sqref="E61:E62">
    <cfRule type="containsText" dxfId="270" priority="98" operator="containsText" text="fo048">
      <formula>NOT(ISERROR(SEARCH("fo048",E61)))</formula>
    </cfRule>
  </conditionalFormatting>
  <conditionalFormatting sqref="E91">
    <cfRule type="containsText" dxfId="269" priority="97" operator="containsText" text="fo048">
      <formula>NOT(ISERROR(SEARCH("fo048",E91)))</formula>
    </cfRule>
  </conditionalFormatting>
  <conditionalFormatting sqref="E92:E93">
    <cfRule type="containsText" dxfId="268" priority="96" operator="containsText" text="fo048">
      <formula>NOT(ISERROR(SEARCH("fo048",E92)))</formula>
    </cfRule>
  </conditionalFormatting>
  <conditionalFormatting sqref="E94">
    <cfRule type="containsText" dxfId="267" priority="95" operator="containsText" text="fo048">
      <formula>NOT(ISERROR(SEARCH("fo048",E94)))</formula>
    </cfRule>
  </conditionalFormatting>
  <conditionalFormatting sqref="C31">
    <cfRule type="containsText" dxfId="266" priority="90" operator="containsText" text="G">
      <formula>NOT(ISERROR(SEARCH("G",C31)))</formula>
    </cfRule>
    <cfRule type="containsText" dxfId="265" priority="91" operator="containsText" text="B">
      <formula>NOT(ISERROR(SEARCH("B",C31)))</formula>
    </cfRule>
    <cfRule type="containsText" dxfId="264" priority="92" operator="containsText" text="A">
      <formula>NOT(ISERROR(SEARCH("A",C31)))</formula>
    </cfRule>
  </conditionalFormatting>
  <conditionalFormatting sqref="C31">
    <cfRule type="containsText" dxfId="263" priority="87" operator="containsText" text="G">
      <formula>NOT(ISERROR(SEARCH("G",C31)))</formula>
    </cfRule>
    <cfRule type="containsText" dxfId="262" priority="88" operator="containsText" text="B">
      <formula>NOT(ISERROR(SEARCH("B",C31)))</formula>
    </cfRule>
    <cfRule type="containsText" dxfId="261" priority="89" operator="containsText" text="A">
      <formula>NOT(ISERROR(SEARCH("A",C31)))</formula>
    </cfRule>
  </conditionalFormatting>
  <conditionalFormatting sqref="E31">
    <cfRule type="containsText" dxfId="260" priority="86" operator="containsText" text="fo048">
      <formula>NOT(ISERROR(SEARCH("fo048",E31)))</formula>
    </cfRule>
  </conditionalFormatting>
  <conditionalFormatting sqref="T31">
    <cfRule type="cellIs" dxfId="259" priority="80" operator="greaterThan">
      <formula>0</formula>
    </cfRule>
    <cfRule type="cellIs" priority="81" operator="greaterThan">
      <formula>32</formula>
    </cfRule>
    <cfRule type="cellIs" dxfId="258" priority="82" operator="greaterThan">
      <formula>32</formula>
    </cfRule>
    <cfRule type="cellIs" dxfId="257" priority="83" operator="greaterThan">
      <formula>0</formula>
    </cfRule>
    <cfRule type="cellIs" dxfId="256" priority="84" operator="greaterThan">
      <formula>0</formula>
    </cfRule>
    <cfRule type="cellIs" dxfId="255" priority="85" operator="greaterThan">
      <formula>0</formula>
    </cfRule>
  </conditionalFormatting>
  <conditionalFormatting sqref="T31">
    <cfRule type="cellIs" dxfId="254" priority="79" operator="greaterThan">
      <formula>0</formula>
    </cfRule>
  </conditionalFormatting>
  <conditionalFormatting sqref="AN31">
    <cfRule type="cellIs" dxfId="253" priority="75" operator="equal">
      <formula>"Pending"</formula>
    </cfRule>
    <cfRule type="cellIs" dxfId="252" priority="76" operator="greaterThan">
      <formula>0</formula>
    </cfRule>
    <cfRule type="cellIs" dxfId="251" priority="77" operator="equal">
      <formula>"pending"</formula>
    </cfRule>
    <cfRule type="cellIs" dxfId="250" priority="78" operator="greaterThan">
      <formula>0</formula>
    </cfRule>
  </conditionalFormatting>
  <conditionalFormatting sqref="C31">
    <cfRule type="colorScale" priority="93">
      <colorScale>
        <cfvo type="min"/>
        <cfvo type="percentile" val="50"/>
        <cfvo type="max"/>
        <color rgb="FF63BE7B"/>
        <color rgb="FFFFEB84"/>
        <color rgb="FFF8696B"/>
      </colorScale>
    </cfRule>
    <cfRule type="containsText" dxfId="249" priority="94" operator="containsText" text="C">
      <formula>NOT(ISERROR(SEARCH("C",C31)))</formula>
    </cfRule>
  </conditionalFormatting>
  <conditionalFormatting sqref="E105">
    <cfRule type="containsText" dxfId="248" priority="74" operator="containsText" text="fo048">
      <formula>NOT(ISERROR(SEARCH("fo048",E105)))</formula>
    </cfRule>
  </conditionalFormatting>
  <conditionalFormatting sqref="E106:E107">
    <cfRule type="containsText" dxfId="247" priority="73" operator="containsText" text="fo048">
      <formula>NOT(ISERROR(SEARCH("fo048",E106)))</formula>
    </cfRule>
  </conditionalFormatting>
  <conditionalFormatting sqref="E108">
    <cfRule type="containsText" dxfId="246" priority="72" operator="containsText" text="fo048">
      <formula>NOT(ISERROR(SEARCH("fo048",E108)))</formula>
    </cfRule>
  </conditionalFormatting>
  <conditionalFormatting sqref="E135">
    <cfRule type="containsText" dxfId="245" priority="71" operator="containsText" text="fo048">
      <formula>NOT(ISERROR(SEARCH("fo048",E135)))</formula>
    </cfRule>
  </conditionalFormatting>
  <conditionalFormatting sqref="E136">
    <cfRule type="containsText" dxfId="244" priority="70" operator="containsText" text="fo048">
      <formula>NOT(ISERROR(SEARCH("fo048",E136)))</formula>
    </cfRule>
  </conditionalFormatting>
  <conditionalFormatting sqref="E138">
    <cfRule type="containsText" dxfId="243" priority="69" operator="containsText" text="fo048">
      <formula>NOT(ISERROR(SEARCH("fo048",E138)))</formula>
    </cfRule>
  </conditionalFormatting>
  <conditionalFormatting sqref="E174">
    <cfRule type="containsText" dxfId="242" priority="68" operator="containsText" text="fo048">
      <formula>NOT(ISERROR(SEARCH("fo048",E174)))</formula>
    </cfRule>
  </conditionalFormatting>
  <conditionalFormatting sqref="E175">
    <cfRule type="containsText" dxfId="241" priority="67" operator="containsText" text="fo048">
      <formula>NOT(ISERROR(SEARCH("fo048",E175)))</formula>
    </cfRule>
  </conditionalFormatting>
  <conditionalFormatting sqref="E192">
    <cfRule type="containsText" dxfId="240" priority="66" operator="containsText" text="fo048">
      <formula>NOT(ISERROR(SEARCH("fo048",E192)))</formula>
    </cfRule>
  </conditionalFormatting>
  <conditionalFormatting sqref="E193">
    <cfRule type="containsText" dxfId="239" priority="65" operator="containsText" text="fo048">
      <formula>NOT(ISERROR(SEARCH("fo048",E193)))</formula>
    </cfRule>
  </conditionalFormatting>
  <conditionalFormatting sqref="E194">
    <cfRule type="containsText" dxfId="238" priority="64" operator="containsText" text="fo048">
      <formula>NOT(ISERROR(SEARCH("fo048",E194)))</formula>
    </cfRule>
  </conditionalFormatting>
  <conditionalFormatting sqref="E210">
    <cfRule type="containsText" dxfId="237" priority="63" operator="containsText" text="fo048">
      <formula>NOT(ISERROR(SEARCH("fo048",E210)))</formula>
    </cfRule>
  </conditionalFormatting>
  <conditionalFormatting sqref="I224">
    <cfRule type="containsText" dxfId="236" priority="62" operator="containsText" text="fo048">
      <formula>NOT(ISERROR(SEARCH("fo048",I224)))</formula>
    </cfRule>
  </conditionalFormatting>
  <conditionalFormatting sqref="C129:C134">
    <cfRule type="colorScale" priority="4441">
      <colorScale>
        <cfvo type="min"/>
        <cfvo type="percentile" val="50"/>
        <cfvo type="max"/>
        <color rgb="FF63BE7B"/>
        <color rgb="FFFFEB84"/>
        <color rgb="FFF8696B"/>
      </colorScale>
    </cfRule>
    <cfRule type="containsText" dxfId="235" priority="4442" operator="containsText" text="C">
      <formula>NOT(ISERROR(SEARCH("C",C129)))</formula>
    </cfRule>
  </conditionalFormatting>
  <conditionalFormatting sqref="E274">
    <cfRule type="containsText" dxfId="234" priority="61" operator="containsText" text="fo048">
      <formula>NOT(ISERROR(SEARCH("fo048",E274)))</formula>
    </cfRule>
  </conditionalFormatting>
  <conditionalFormatting sqref="AN337">
    <cfRule type="cellIs" dxfId="233" priority="57" operator="equal">
      <formula>"Pending"</formula>
    </cfRule>
    <cfRule type="cellIs" dxfId="232" priority="58" operator="greaterThan">
      <formula>0</formula>
    </cfRule>
    <cfRule type="cellIs" dxfId="231" priority="59" operator="equal">
      <formula>"pending"</formula>
    </cfRule>
    <cfRule type="cellIs" dxfId="230" priority="60" operator="greaterThan">
      <formula>0</formula>
    </cfRule>
  </conditionalFormatting>
  <conditionalFormatting sqref="E342">
    <cfRule type="containsText" dxfId="229" priority="56" operator="containsText" text="fo048">
      <formula>NOT(ISERROR(SEARCH("fo048",E342)))</formula>
    </cfRule>
  </conditionalFormatting>
  <conditionalFormatting sqref="C54">
    <cfRule type="containsText" dxfId="228" priority="33" operator="containsText" text="G">
      <formula>NOT(ISERROR(SEARCH("G",C54)))</formula>
    </cfRule>
    <cfRule type="containsText" dxfId="227" priority="34" operator="containsText" text="B">
      <formula>NOT(ISERROR(SEARCH("B",C54)))</formula>
    </cfRule>
    <cfRule type="containsText" dxfId="226" priority="35" operator="containsText" text="A">
      <formula>NOT(ISERROR(SEARCH("A",C54)))</formula>
    </cfRule>
  </conditionalFormatting>
  <conditionalFormatting sqref="C54">
    <cfRule type="containsText" dxfId="225" priority="30" operator="containsText" text="G">
      <formula>NOT(ISERROR(SEARCH("G",C54)))</formula>
    </cfRule>
    <cfRule type="containsText" dxfId="224" priority="31" operator="containsText" text="B">
      <formula>NOT(ISERROR(SEARCH("B",C54)))</formula>
    </cfRule>
    <cfRule type="containsText" dxfId="223" priority="32" operator="containsText" text="A">
      <formula>NOT(ISERROR(SEARCH("A",C54)))</formula>
    </cfRule>
  </conditionalFormatting>
  <conditionalFormatting sqref="AN54">
    <cfRule type="cellIs" dxfId="222" priority="26" operator="equal">
      <formula>"Pending"</formula>
    </cfRule>
    <cfRule type="cellIs" dxfId="221" priority="27" operator="greaterThan">
      <formula>0</formula>
    </cfRule>
    <cfRule type="cellIs" dxfId="220" priority="28" operator="equal">
      <formula>"pending"</formula>
    </cfRule>
    <cfRule type="cellIs" dxfId="219" priority="29" operator="greaterThan">
      <formula>0</formula>
    </cfRule>
  </conditionalFormatting>
  <conditionalFormatting sqref="E54">
    <cfRule type="containsText" dxfId="218" priority="25" operator="containsText" text="fo048">
      <formula>NOT(ISERROR(SEARCH("fo048",E54)))</formula>
    </cfRule>
  </conditionalFormatting>
  <conditionalFormatting sqref="T54">
    <cfRule type="cellIs" dxfId="217" priority="19" operator="greaterThan">
      <formula>0</formula>
    </cfRule>
    <cfRule type="cellIs" priority="20" operator="greaterThan">
      <formula>32</formula>
    </cfRule>
    <cfRule type="cellIs" dxfId="216" priority="21" operator="greaterThan">
      <formula>32</formula>
    </cfRule>
    <cfRule type="cellIs" dxfId="215" priority="22" operator="greaterThan">
      <formula>0</formula>
    </cfRule>
    <cfRule type="cellIs" dxfId="214" priority="23" operator="greaterThan">
      <formula>0</formula>
    </cfRule>
    <cfRule type="cellIs" dxfId="213" priority="24" operator="greaterThan">
      <formula>0</formula>
    </cfRule>
  </conditionalFormatting>
  <conditionalFormatting sqref="T54">
    <cfRule type="cellIs" dxfId="212" priority="18" operator="greaterThan">
      <formula>0</formula>
    </cfRule>
  </conditionalFormatting>
  <conditionalFormatting sqref="C54">
    <cfRule type="colorScale" priority="36">
      <colorScale>
        <cfvo type="min"/>
        <cfvo type="percentile" val="50"/>
        <cfvo type="max"/>
        <color rgb="FF63BE7B"/>
        <color rgb="FFFFEB84"/>
        <color rgb="FFF8696B"/>
      </colorScale>
    </cfRule>
    <cfRule type="containsText" dxfId="211" priority="37" operator="containsText" text="C">
      <formula>NOT(ISERROR(SEARCH("C",C54)))</formula>
    </cfRule>
  </conditionalFormatting>
  <conditionalFormatting sqref="C364:C1594">
    <cfRule type="containsText" dxfId="210" priority="13" operator="containsText" text="G">
      <formula>NOT(ISERROR(SEARCH("G",C364)))</formula>
    </cfRule>
    <cfRule type="containsText" dxfId="209" priority="14" operator="containsText" text="B">
      <formula>NOT(ISERROR(SEARCH("B",C364)))</formula>
    </cfRule>
    <cfRule type="containsText" dxfId="208" priority="15" operator="containsText" text="A">
      <formula>NOT(ISERROR(SEARCH("A",C364)))</formula>
    </cfRule>
  </conditionalFormatting>
  <conditionalFormatting sqref="R364:R1594 T364:T1594">
    <cfRule type="cellIs" dxfId="207" priority="7" operator="greaterThan">
      <formula>0</formula>
    </cfRule>
    <cfRule type="cellIs" priority="8" operator="greaterThan">
      <formula>32</formula>
    </cfRule>
    <cfRule type="cellIs" dxfId="206" priority="9" operator="greaterThan">
      <formula>32</formula>
    </cfRule>
    <cfRule type="cellIs" dxfId="205" priority="10" operator="greaterThan">
      <formula>0</formula>
    </cfRule>
    <cfRule type="cellIs" dxfId="204" priority="11" operator="greaterThan">
      <formula>0</formula>
    </cfRule>
    <cfRule type="cellIs" dxfId="203" priority="12" operator="greaterThan">
      <formula>0</formula>
    </cfRule>
  </conditionalFormatting>
  <conditionalFormatting sqref="R364:R1594 T364:T1594">
    <cfRule type="cellIs" dxfId="202" priority="6" operator="greaterThan">
      <formula>0</formula>
    </cfRule>
  </conditionalFormatting>
  <conditionalFormatting sqref="E364:E1594">
    <cfRule type="containsText" dxfId="201" priority="5" operator="containsText" text="fo048">
      <formula>NOT(ISERROR(SEARCH("fo048",E364)))</formula>
    </cfRule>
  </conditionalFormatting>
  <conditionalFormatting sqref="AN364:AN1594">
    <cfRule type="cellIs" dxfId="200" priority="1" operator="equal">
      <formula>"Pending"</formula>
    </cfRule>
    <cfRule type="cellIs" dxfId="199" priority="2" operator="greaterThan">
      <formula>0</formula>
    </cfRule>
    <cfRule type="cellIs" dxfId="198" priority="3" operator="equal">
      <formula>"pending"</formula>
    </cfRule>
    <cfRule type="cellIs" dxfId="197" priority="4" operator="greaterThan">
      <formula>0</formula>
    </cfRule>
  </conditionalFormatting>
  <conditionalFormatting sqref="C364:C1594">
    <cfRule type="colorScale" priority="16">
      <colorScale>
        <cfvo type="min"/>
        <cfvo type="percentile" val="50"/>
        <cfvo type="max"/>
        <color rgb="FF63BE7B"/>
        <color rgb="FFFFEB84"/>
        <color rgb="FFF8696B"/>
      </colorScale>
    </cfRule>
    <cfRule type="containsText" dxfId="196" priority="17" operator="containsText" text="C">
      <formula>NOT(ISERROR(SEARCH("C",C364)))</formula>
    </cfRule>
  </conditionalFormatting>
  <dataValidations count="1">
    <dataValidation type="list" allowBlank="1" showInputMessage="1" showErrorMessage="1" sqref="J4:J363">
      <formula1>$CX$4:$CX$9</formula1>
    </dataValidation>
  </dataValidations>
  <printOptions horizontalCentered="1" verticalCentered="1"/>
  <pageMargins left="0.7" right="0.7" top="0.75" bottom="0.75" header="0.3" footer="0.3"/>
  <pageSetup paperSize="9" scale="17"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
  <sheetViews>
    <sheetView workbookViewId="0">
      <selection sqref="A1:AM3"/>
    </sheetView>
  </sheetViews>
  <sheetFormatPr defaultRowHeight="14.5"/>
  <cols>
    <col min="3" max="3" width="8.54296875" customWidth="1"/>
    <col min="4" max="4" width="11.453125" customWidth="1"/>
    <col min="5" max="5" width="10" customWidth="1"/>
    <col min="6" max="6" width="9" customWidth="1"/>
    <col min="7" max="7" width="10.453125" customWidth="1"/>
    <col min="9" max="9" width="8.54296875" customWidth="1"/>
    <col min="10" max="11" width="9.54296875" customWidth="1"/>
    <col min="12" max="12" width="15.54296875" customWidth="1"/>
    <col min="13" max="13" width="19.54296875" customWidth="1"/>
    <col min="14" max="14" width="15.54296875" customWidth="1"/>
    <col min="15" max="15" width="21.54296875" customWidth="1"/>
    <col min="16" max="16" width="11.54296875" customWidth="1"/>
    <col min="17" max="17" width="13.453125" customWidth="1"/>
    <col min="18" max="18" width="10.54296875" customWidth="1"/>
    <col min="19" max="19" width="12.54296875" customWidth="1"/>
    <col min="20" max="20" width="15.54296875" customWidth="1"/>
    <col min="21" max="21" width="12.453125" customWidth="1"/>
    <col min="22" max="22" width="13.453125" customWidth="1"/>
    <col min="23" max="23" width="27.54296875" customWidth="1"/>
    <col min="24" max="24" width="23.54296875" customWidth="1"/>
    <col min="25" max="25" width="22.453125" customWidth="1"/>
    <col min="26" max="26" width="24" customWidth="1"/>
    <col min="27" max="27" width="16.453125" customWidth="1"/>
    <col min="29" max="29" width="12.54296875" customWidth="1"/>
    <col min="30" max="30" width="13.54296875" customWidth="1"/>
    <col min="31" max="31" width="16.453125" customWidth="1"/>
    <col min="32" max="32" width="17.54296875" customWidth="1"/>
    <col min="33" max="34" width="19.54296875" customWidth="1"/>
    <col min="35" max="35" width="31.54296875" customWidth="1"/>
    <col min="37" max="37" width="11.54296875" customWidth="1"/>
    <col min="39" max="39" width="14.54296875" customWidth="1"/>
  </cols>
  <sheetData>
    <row r="1" spans="1:39">
      <c r="A1" t="s">
        <v>362</v>
      </c>
      <c r="B1" t="s">
        <v>143</v>
      </c>
      <c r="C1" t="s">
        <v>5</v>
      </c>
      <c r="D1" t="s">
        <v>0</v>
      </c>
      <c r="E1" t="s">
        <v>1658</v>
      </c>
      <c r="F1" t="s">
        <v>2102</v>
      </c>
      <c r="G1" t="s">
        <v>146</v>
      </c>
      <c r="H1" t="s">
        <v>1</v>
      </c>
      <c r="I1" t="s">
        <v>1926</v>
      </c>
      <c r="J1" t="s">
        <v>1660</v>
      </c>
      <c r="K1" t="s">
        <v>1661</v>
      </c>
      <c r="L1" t="s">
        <v>1711</v>
      </c>
      <c r="M1" t="s">
        <v>177</v>
      </c>
      <c r="N1" t="s">
        <v>1611</v>
      </c>
      <c r="O1" t="s">
        <v>166</v>
      </c>
      <c r="P1" t="s">
        <v>167</v>
      </c>
      <c r="Q1" t="s">
        <v>168</v>
      </c>
      <c r="R1" t="s">
        <v>169</v>
      </c>
      <c r="S1" t="s">
        <v>170</v>
      </c>
      <c r="T1" t="s">
        <v>171</v>
      </c>
      <c r="U1" t="s">
        <v>142</v>
      </c>
      <c r="V1" t="s">
        <v>8</v>
      </c>
      <c r="W1" t="s">
        <v>1934</v>
      </c>
      <c r="X1" t="s">
        <v>163</v>
      </c>
      <c r="Y1" t="s">
        <v>174</v>
      </c>
      <c r="Z1" t="s">
        <v>175</v>
      </c>
      <c r="AA1" t="s">
        <v>176</v>
      </c>
      <c r="AB1" t="s">
        <v>7</v>
      </c>
      <c r="AC1" t="s">
        <v>1716</v>
      </c>
      <c r="AD1" t="s">
        <v>1931</v>
      </c>
      <c r="AE1" t="s">
        <v>1676</v>
      </c>
      <c r="AF1" t="s">
        <v>1710</v>
      </c>
      <c r="AG1" t="s">
        <v>1701</v>
      </c>
      <c r="AH1" t="s">
        <v>1662</v>
      </c>
      <c r="AI1" t="s">
        <v>1940</v>
      </c>
      <c r="AJ1" t="s">
        <v>1941</v>
      </c>
      <c r="AK1" t="s">
        <v>1930</v>
      </c>
      <c r="AL1" t="s">
        <v>1709</v>
      </c>
      <c r="AM1" t="s">
        <v>1804</v>
      </c>
    </row>
    <row r="2" spans="1:39">
      <c r="A2" s="454">
        <v>44342</v>
      </c>
      <c r="B2" t="s">
        <v>2001</v>
      </c>
      <c r="C2" t="s">
        <v>144</v>
      </c>
      <c r="D2" t="s">
        <v>76</v>
      </c>
      <c r="F2" t="s">
        <v>1705</v>
      </c>
      <c r="H2" t="s">
        <v>1529</v>
      </c>
      <c r="I2" t="s">
        <v>2135</v>
      </c>
      <c r="J2">
        <v>8</v>
      </c>
      <c r="K2">
        <v>14000</v>
      </c>
      <c r="L2">
        <v>1750</v>
      </c>
      <c r="M2">
        <v>10800</v>
      </c>
      <c r="N2">
        <v>10800</v>
      </c>
      <c r="O2">
        <v>0</v>
      </c>
      <c r="P2">
        <v>0</v>
      </c>
      <c r="Q2">
        <v>0</v>
      </c>
      <c r="R2">
        <v>0</v>
      </c>
      <c r="S2">
        <v>0</v>
      </c>
      <c r="T2">
        <v>0</v>
      </c>
      <c r="U2">
        <v>1</v>
      </c>
      <c r="V2">
        <v>10800</v>
      </c>
      <c r="W2">
        <v>0.77142857142857146</v>
      </c>
      <c r="X2" t="s">
        <v>72</v>
      </c>
      <c r="Y2">
        <v>0</v>
      </c>
      <c r="Z2">
        <v>0</v>
      </c>
      <c r="AA2" t="s">
        <v>107</v>
      </c>
      <c r="AB2">
        <v>0</v>
      </c>
      <c r="AC2">
        <v>0</v>
      </c>
      <c r="AD2">
        <v>1</v>
      </c>
      <c r="AE2">
        <v>0</v>
      </c>
      <c r="AF2">
        <v>8</v>
      </c>
      <c r="AG2">
        <v>1</v>
      </c>
      <c r="AH2">
        <v>1350</v>
      </c>
      <c r="AI2">
        <v>2.2999999999999998</v>
      </c>
      <c r="AJ2">
        <v>2.6666666666666665</v>
      </c>
      <c r="AK2">
        <v>0.86249999999999993</v>
      </c>
      <c r="AL2">
        <v>0.86249999999999993</v>
      </c>
      <c r="AM2" t="s">
        <v>2136</v>
      </c>
    </row>
    <row r="3" spans="1:39">
      <c r="A3" s="454">
        <v>44342</v>
      </c>
      <c r="B3" t="s">
        <v>1980</v>
      </c>
      <c r="C3" t="s">
        <v>144</v>
      </c>
      <c r="D3" t="s">
        <v>76</v>
      </c>
      <c r="F3" t="s">
        <v>1705</v>
      </c>
      <c r="H3" t="s">
        <v>1529</v>
      </c>
      <c r="I3" t="s">
        <v>2134</v>
      </c>
      <c r="J3">
        <v>3</v>
      </c>
      <c r="K3">
        <v>0</v>
      </c>
      <c r="L3">
        <v>0</v>
      </c>
      <c r="M3">
        <v>2700</v>
      </c>
      <c r="N3">
        <v>2700</v>
      </c>
      <c r="O3">
        <v>0</v>
      </c>
      <c r="P3">
        <v>0</v>
      </c>
      <c r="Q3">
        <v>0</v>
      </c>
      <c r="R3">
        <v>0</v>
      </c>
      <c r="S3">
        <v>0</v>
      </c>
      <c r="T3">
        <v>0</v>
      </c>
      <c r="U3">
        <v>1</v>
      </c>
      <c r="V3">
        <v>2700</v>
      </c>
      <c r="W3" t="e">
        <v>#DIV/0!</v>
      </c>
      <c r="X3" t="s">
        <v>72</v>
      </c>
      <c r="Y3">
        <v>0</v>
      </c>
      <c r="Z3">
        <v>0</v>
      </c>
      <c r="AA3" t="s">
        <v>107</v>
      </c>
      <c r="AB3">
        <v>0</v>
      </c>
      <c r="AC3">
        <v>0</v>
      </c>
      <c r="AD3">
        <v>1</v>
      </c>
      <c r="AE3">
        <v>0</v>
      </c>
      <c r="AF3">
        <v>3</v>
      </c>
      <c r="AG3">
        <v>1</v>
      </c>
      <c r="AH3">
        <v>900</v>
      </c>
      <c r="AI3">
        <v>2.2999999999999998</v>
      </c>
      <c r="AJ3">
        <v>4</v>
      </c>
      <c r="AK3">
        <v>0.57499999999999996</v>
      </c>
      <c r="AL3">
        <v>0.57499999999999996</v>
      </c>
      <c r="AM3" t="s">
        <v>1797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
  <sheetViews>
    <sheetView workbookViewId="0">
      <selection sqref="A1:AM2"/>
    </sheetView>
  </sheetViews>
  <sheetFormatPr defaultRowHeight="14.5"/>
  <cols>
    <col min="3" max="3" width="8.54296875" customWidth="1"/>
    <col min="4" max="4" width="11.453125" customWidth="1"/>
    <col min="5" max="5" width="10" customWidth="1"/>
    <col min="6" max="6" width="9" customWidth="1"/>
    <col min="7" max="7" width="10.453125" customWidth="1"/>
    <col min="9" max="9" width="8.54296875" customWidth="1"/>
    <col min="10" max="11" width="9.54296875" customWidth="1"/>
    <col min="12" max="12" width="15.54296875" customWidth="1"/>
    <col min="13" max="13" width="19.54296875" customWidth="1"/>
    <col min="14" max="14" width="15.54296875" customWidth="1"/>
    <col min="15" max="15" width="21.54296875" customWidth="1"/>
    <col min="16" max="16" width="11.54296875" customWidth="1"/>
    <col min="17" max="17" width="13.453125" customWidth="1"/>
    <col min="18" max="18" width="10.54296875" customWidth="1"/>
    <col min="19" max="19" width="12.54296875" customWidth="1"/>
    <col min="20" max="20" width="15.54296875" customWidth="1"/>
    <col min="21" max="21" width="12.453125" customWidth="1"/>
    <col min="22" max="22" width="13.453125" customWidth="1"/>
    <col min="23" max="23" width="27.54296875" customWidth="1"/>
    <col min="24" max="24" width="23.54296875" customWidth="1"/>
    <col min="25" max="25" width="22.453125" customWidth="1"/>
    <col min="26" max="26" width="24" customWidth="1"/>
    <col min="27" max="27" width="16.453125" customWidth="1"/>
    <col min="29" max="29" width="12.54296875" customWidth="1"/>
    <col min="30" max="30" width="13.54296875" customWidth="1"/>
    <col min="31" max="31" width="16.453125" customWidth="1"/>
    <col min="32" max="32" width="17.54296875" customWidth="1"/>
    <col min="33" max="34" width="19.54296875" customWidth="1"/>
    <col min="35" max="35" width="31.54296875" customWidth="1"/>
    <col min="37" max="37" width="11.54296875" customWidth="1"/>
    <col min="39" max="39" width="14.54296875" customWidth="1"/>
  </cols>
  <sheetData>
    <row r="1" spans="1:39">
      <c r="A1" t="s">
        <v>362</v>
      </c>
      <c r="B1" t="s">
        <v>143</v>
      </c>
      <c r="C1" t="s">
        <v>5</v>
      </c>
      <c r="D1" t="s">
        <v>0</v>
      </c>
      <c r="E1" t="s">
        <v>1658</v>
      </c>
      <c r="F1" t="s">
        <v>2102</v>
      </c>
      <c r="G1" t="s">
        <v>146</v>
      </c>
      <c r="H1" t="s">
        <v>1</v>
      </c>
      <c r="I1" t="s">
        <v>1926</v>
      </c>
      <c r="J1" t="s">
        <v>1660</v>
      </c>
      <c r="K1" t="s">
        <v>1661</v>
      </c>
      <c r="L1" t="s">
        <v>1711</v>
      </c>
      <c r="M1" t="s">
        <v>177</v>
      </c>
      <c r="N1" t="s">
        <v>1611</v>
      </c>
      <c r="O1" t="s">
        <v>166</v>
      </c>
      <c r="P1" t="s">
        <v>167</v>
      </c>
      <c r="Q1" t="s">
        <v>168</v>
      </c>
      <c r="R1" t="s">
        <v>169</v>
      </c>
      <c r="S1" t="s">
        <v>170</v>
      </c>
      <c r="T1" t="s">
        <v>171</v>
      </c>
      <c r="U1" t="s">
        <v>142</v>
      </c>
      <c r="V1" t="s">
        <v>8</v>
      </c>
      <c r="W1" t="s">
        <v>1934</v>
      </c>
      <c r="X1" t="s">
        <v>163</v>
      </c>
      <c r="Y1" t="s">
        <v>174</v>
      </c>
      <c r="Z1" t="s">
        <v>175</v>
      </c>
      <c r="AA1" t="s">
        <v>176</v>
      </c>
      <c r="AB1" t="s">
        <v>7</v>
      </c>
      <c r="AC1" t="s">
        <v>1716</v>
      </c>
      <c r="AD1" t="s">
        <v>1931</v>
      </c>
      <c r="AE1" t="s">
        <v>1676</v>
      </c>
      <c r="AF1" t="s">
        <v>1710</v>
      </c>
      <c r="AG1" t="s">
        <v>1701</v>
      </c>
      <c r="AH1" t="s">
        <v>1662</v>
      </c>
      <c r="AI1" t="s">
        <v>1940</v>
      </c>
      <c r="AJ1" t="s">
        <v>1941</v>
      </c>
      <c r="AK1" t="s">
        <v>1930</v>
      </c>
      <c r="AL1" t="s">
        <v>1709</v>
      </c>
      <c r="AM1" t="s">
        <v>1804</v>
      </c>
    </row>
    <row r="2" spans="1:39">
      <c r="A2" s="454">
        <v>44343</v>
      </c>
      <c r="B2" t="s">
        <v>1980</v>
      </c>
      <c r="C2" t="s">
        <v>144</v>
      </c>
      <c r="D2" t="s">
        <v>76</v>
      </c>
      <c r="F2" t="s">
        <v>1705</v>
      </c>
      <c r="H2" t="s">
        <v>1529</v>
      </c>
      <c r="I2" t="s">
        <v>2137</v>
      </c>
      <c r="J2">
        <v>3</v>
      </c>
      <c r="K2">
        <v>0</v>
      </c>
      <c r="L2">
        <v>0</v>
      </c>
      <c r="M2">
        <v>3800</v>
      </c>
      <c r="N2">
        <v>3800</v>
      </c>
      <c r="O2">
        <v>0</v>
      </c>
      <c r="P2">
        <v>0</v>
      </c>
      <c r="Q2">
        <v>0</v>
      </c>
      <c r="R2">
        <v>0</v>
      </c>
      <c r="S2">
        <v>0</v>
      </c>
      <c r="T2">
        <v>0</v>
      </c>
      <c r="U2">
        <v>1</v>
      </c>
      <c r="V2">
        <v>3800</v>
      </c>
      <c r="W2" t="e">
        <v>#DIV/0!</v>
      </c>
      <c r="X2" t="s">
        <v>72</v>
      </c>
      <c r="Y2">
        <v>0</v>
      </c>
      <c r="Z2">
        <v>0</v>
      </c>
      <c r="AA2" t="s">
        <v>107</v>
      </c>
      <c r="AB2">
        <v>0</v>
      </c>
      <c r="AC2">
        <v>0</v>
      </c>
      <c r="AD2">
        <v>1</v>
      </c>
      <c r="AE2">
        <v>0</v>
      </c>
      <c r="AF2">
        <v>3</v>
      </c>
      <c r="AG2">
        <v>1</v>
      </c>
      <c r="AH2">
        <v>1266.6666666666667</v>
      </c>
      <c r="AI2">
        <v>2.2999999999999998</v>
      </c>
      <c r="AJ2">
        <v>2.8421052631578947</v>
      </c>
      <c r="AK2">
        <v>0.80925925925925923</v>
      </c>
      <c r="AL2">
        <v>0.80925925925925923</v>
      </c>
      <c r="AM2" t="s">
        <v>2138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237"/>
  <sheetViews>
    <sheetView tabSelected="1" zoomScale="85" zoomScaleNormal="85" workbookViewId="0">
      <selection activeCell="H12" sqref="H12"/>
    </sheetView>
  </sheetViews>
  <sheetFormatPr defaultRowHeight="14.5"/>
  <cols>
    <col min="2" max="2" width="35.54296875" customWidth="1"/>
    <col min="3" max="7" width="13.81640625" customWidth="1"/>
    <col min="8" max="8" width="32.36328125" bestFit="1" customWidth="1"/>
    <col min="9" max="9" width="15.1796875" bestFit="1" customWidth="1"/>
    <col min="10" max="10" width="32.36328125" bestFit="1" customWidth="1"/>
    <col min="11" max="11" width="20" bestFit="1" customWidth="1"/>
    <col min="12" max="12" width="37.1796875" bestFit="1" customWidth="1"/>
    <col min="18" max="18" width="8.7265625" style="3"/>
  </cols>
  <sheetData>
    <row r="1" spans="2:18" s="441" customFormat="1">
      <c r="B1" s="518" t="s">
        <v>4291</v>
      </c>
      <c r="C1" s="518" t="s">
        <v>4283</v>
      </c>
      <c r="D1"/>
      <c r="E1"/>
      <c r="F1"/>
      <c r="G1"/>
      <c r="R1" s="3"/>
    </row>
    <row r="2" spans="2:18" s="441" customFormat="1">
      <c r="B2" s="518" t="s">
        <v>5</v>
      </c>
      <c r="C2" s="441" t="s">
        <v>2184</v>
      </c>
      <c r="D2" s="441" t="s">
        <v>4280</v>
      </c>
      <c r="E2" s="441" t="s">
        <v>4281</v>
      </c>
      <c r="F2" s="441" t="s">
        <v>4282</v>
      </c>
      <c r="G2" s="441" t="s">
        <v>162</v>
      </c>
      <c r="R2" s="3"/>
    </row>
    <row r="3" spans="2:18" s="441" customFormat="1">
      <c r="B3" s="937" t="s">
        <v>161</v>
      </c>
      <c r="C3" s="938">
        <v>126271.5</v>
      </c>
      <c r="D3" s="938">
        <v>124212</v>
      </c>
      <c r="E3" s="938">
        <v>124618</v>
      </c>
      <c r="F3" s="938">
        <v>152839</v>
      </c>
      <c r="G3" s="938">
        <v>527940.5</v>
      </c>
      <c r="R3" s="3"/>
    </row>
    <row r="4" spans="2:18" s="441" customFormat="1">
      <c r="B4" s="937" t="s">
        <v>160</v>
      </c>
      <c r="C4" s="938">
        <v>80230</v>
      </c>
      <c r="D4" s="938">
        <v>173137</v>
      </c>
      <c r="E4" s="938">
        <v>172230</v>
      </c>
      <c r="F4" s="938">
        <v>143674</v>
      </c>
      <c r="G4" s="938">
        <v>569271</v>
      </c>
      <c r="R4" s="3"/>
    </row>
    <row r="5" spans="2:18" s="441" customFormat="1">
      <c r="B5" s="937" t="s">
        <v>2120</v>
      </c>
      <c r="C5" s="938">
        <v>127964</v>
      </c>
      <c r="D5" s="938">
        <v>115359</v>
      </c>
      <c r="E5" s="938">
        <v>155974</v>
      </c>
      <c r="F5" s="938">
        <v>82740</v>
      </c>
      <c r="G5" s="938">
        <v>482037</v>
      </c>
      <c r="R5" s="3"/>
    </row>
    <row r="6" spans="2:18" s="441" customFormat="1">
      <c r="B6" s="937" t="s">
        <v>2133</v>
      </c>
      <c r="C6" s="938">
        <v>78603</v>
      </c>
      <c r="D6" s="938">
        <v>149437.5</v>
      </c>
      <c r="E6" s="938">
        <v>98214</v>
      </c>
      <c r="F6" s="938">
        <v>160469</v>
      </c>
      <c r="G6" s="938">
        <v>486723.5</v>
      </c>
      <c r="R6" s="3"/>
    </row>
    <row r="7" spans="2:18" s="441" customFormat="1">
      <c r="B7" s="937" t="s">
        <v>1805</v>
      </c>
      <c r="C7" s="938">
        <v>126627</v>
      </c>
      <c r="D7" s="938">
        <v>310180</v>
      </c>
      <c r="E7" s="938">
        <v>265000</v>
      </c>
      <c r="F7" s="938">
        <v>327625</v>
      </c>
      <c r="G7" s="938">
        <v>1029432</v>
      </c>
      <c r="R7" s="3"/>
    </row>
    <row r="8" spans="2:18" s="441" customFormat="1">
      <c r="B8" s="937" t="s">
        <v>155</v>
      </c>
      <c r="C8" s="938">
        <v>275625</v>
      </c>
      <c r="D8" s="938">
        <v>274403</v>
      </c>
      <c r="E8" s="938">
        <v>266923</v>
      </c>
      <c r="F8" s="938">
        <v>381559</v>
      </c>
      <c r="G8" s="938">
        <v>1198510</v>
      </c>
      <c r="R8" s="3"/>
    </row>
    <row r="9" spans="2:18" s="441" customFormat="1">
      <c r="B9" s="937" t="s">
        <v>144</v>
      </c>
      <c r="C9" s="938">
        <v>257155</v>
      </c>
      <c r="D9" s="938">
        <v>58608</v>
      </c>
      <c r="E9" s="938"/>
      <c r="F9" s="938"/>
      <c r="G9" s="938">
        <v>315763</v>
      </c>
      <c r="R9" s="3"/>
    </row>
    <row r="10" spans="2:18" s="441" customFormat="1">
      <c r="B10" s="937" t="s">
        <v>156</v>
      </c>
      <c r="C10" s="938">
        <v>274509</v>
      </c>
      <c r="D10" s="938">
        <v>308670</v>
      </c>
      <c r="E10" s="938">
        <v>260725</v>
      </c>
      <c r="F10" s="938">
        <v>331150</v>
      </c>
      <c r="G10" s="938">
        <v>1175054</v>
      </c>
      <c r="R10" s="3"/>
    </row>
    <row r="11" spans="2:18" s="441" customFormat="1">
      <c r="B11" s="937" t="s">
        <v>1603</v>
      </c>
      <c r="C11" s="938">
        <v>247343</v>
      </c>
      <c r="D11" s="938">
        <v>294793</v>
      </c>
      <c r="E11" s="938">
        <v>272520</v>
      </c>
      <c r="F11" s="938">
        <v>303000</v>
      </c>
      <c r="G11" s="938">
        <v>1117656</v>
      </c>
      <c r="R11" s="3"/>
    </row>
    <row r="12" spans="2:18" s="441" customFormat="1">
      <c r="B12" s="937" t="s">
        <v>158</v>
      </c>
      <c r="C12" s="938">
        <v>159104</v>
      </c>
      <c r="D12" s="938">
        <v>174239</v>
      </c>
      <c r="E12" s="938">
        <v>203358</v>
      </c>
      <c r="F12" s="938">
        <v>124022</v>
      </c>
      <c r="G12" s="938">
        <v>660723</v>
      </c>
      <c r="R12" s="3"/>
    </row>
    <row r="13" spans="2:18" s="441" customFormat="1">
      <c r="B13" s="510" t="s">
        <v>162</v>
      </c>
      <c r="C13" s="938">
        <v>1753431.5</v>
      </c>
      <c r="D13" s="938">
        <v>1983038.5</v>
      </c>
      <c r="E13" s="938">
        <v>1819562</v>
      </c>
      <c r="F13" s="938">
        <v>2007078</v>
      </c>
      <c r="G13" s="938">
        <v>7563110</v>
      </c>
      <c r="R13" s="3"/>
    </row>
    <row r="14" spans="2:18" s="441" customFormat="1">
      <c r="R14" s="3"/>
    </row>
    <row r="17" spans="2:18">
      <c r="B17" s="518" t="s">
        <v>4284</v>
      </c>
      <c r="C17" s="518" t="s">
        <v>4283</v>
      </c>
    </row>
    <row r="18" spans="2:18">
      <c r="B18" s="518" t="s">
        <v>5</v>
      </c>
      <c r="C18" s="441" t="s">
        <v>2184</v>
      </c>
      <c r="D18" s="441" t="s">
        <v>4280</v>
      </c>
      <c r="E18" s="441" t="s">
        <v>4281</v>
      </c>
      <c r="F18" s="441" t="s">
        <v>4282</v>
      </c>
      <c r="G18" s="441" t="s">
        <v>162</v>
      </c>
    </row>
    <row r="19" spans="2:18">
      <c r="B19" s="937" t="s">
        <v>161</v>
      </c>
      <c r="C19" s="938">
        <v>136099</v>
      </c>
      <c r="D19" s="938">
        <v>126372</v>
      </c>
      <c r="E19" s="938">
        <v>133945</v>
      </c>
      <c r="F19" s="938">
        <v>158406</v>
      </c>
      <c r="G19" s="938">
        <v>554822</v>
      </c>
    </row>
    <row r="20" spans="2:18">
      <c r="B20" s="937" t="s">
        <v>160</v>
      </c>
      <c r="C20" s="938">
        <v>79436</v>
      </c>
      <c r="D20" s="938">
        <v>145125</v>
      </c>
      <c r="E20" s="938">
        <v>156226</v>
      </c>
      <c r="F20" s="938">
        <v>123579</v>
      </c>
      <c r="G20" s="938">
        <v>504366</v>
      </c>
    </row>
    <row r="21" spans="2:18">
      <c r="B21" s="937" t="s">
        <v>2120</v>
      </c>
      <c r="C21" s="938">
        <v>124733</v>
      </c>
      <c r="D21" s="938">
        <v>118224</v>
      </c>
      <c r="E21" s="938">
        <v>153631</v>
      </c>
      <c r="F21" s="938">
        <v>91815</v>
      </c>
      <c r="G21" s="938">
        <v>488403</v>
      </c>
    </row>
    <row r="22" spans="2:18">
      <c r="B22" s="937" t="s">
        <v>2133</v>
      </c>
      <c r="C22" s="938">
        <v>85138</v>
      </c>
      <c r="D22" s="938">
        <v>189198</v>
      </c>
      <c r="E22" s="938">
        <v>114375</v>
      </c>
      <c r="F22" s="938">
        <v>175222</v>
      </c>
      <c r="G22" s="938">
        <v>563933</v>
      </c>
    </row>
    <row r="23" spans="2:18">
      <c r="B23" s="937" t="s">
        <v>1805</v>
      </c>
      <c r="C23" s="938">
        <v>115640</v>
      </c>
      <c r="D23" s="938">
        <v>293463</v>
      </c>
      <c r="E23" s="938">
        <v>240917</v>
      </c>
      <c r="F23" s="938">
        <v>291083</v>
      </c>
      <c r="G23" s="938">
        <v>941103</v>
      </c>
    </row>
    <row r="24" spans="2:18">
      <c r="B24" s="937" t="s">
        <v>155</v>
      </c>
      <c r="C24" s="938">
        <v>274730</v>
      </c>
      <c r="D24" s="938">
        <v>273117</v>
      </c>
      <c r="E24" s="938">
        <v>250441</v>
      </c>
      <c r="F24" s="938">
        <v>384220</v>
      </c>
      <c r="G24" s="938">
        <v>1182508</v>
      </c>
    </row>
    <row r="25" spans="2:18">
      <c r="B25" s="937" t="s">
        <v>144</v>
      </c>
      <c r="C25" s="938">
        <v>270430</v>
      </c>
      <c r="D25" s="938">
        <v>51560</v>
      </c>
      <c r="E25" s="938"/>
      <c r="F25" s="938"/>
      <c r="G25" s="938">
        <v>321990</v>
      </c>
    </row>
    <row r="26" spans="2:18">
      <c r="B26" s="937" t="s">
        <v>156</v>
      </c>
      <c r="C26" s="938">
        <v>264162</v>
      </c>
      <c r="D26" s="938">
        <v>283153</v>
      </c>
      <c r="E26" s="938">
        <v>237348</v>
      </c>
      <c r="F26" s="938">
        <v>299983</v>
      </c>
      <c r="G26" s="938">
        <v>1084646</v>
      </c>
    </row>
    <row r="27" spans="2:18">
      <c r="B27" s="937" t="s">
        <v>1603</v>
      </c>
      <c r="C27" s="938">
        <v>246627</v>
      </c>
      <c r="D27" s="938">
        <v>286474</v>
      </c>
      <c r="E27" s="938">
        <v>239979</v>
      </c>
      <c r="F27" s="938">
        <v>282167</v>
      </c>
      <c r="G27" s="938">
        <v>1055247</v>
      </c>
    </row>
    <row r="28" spans="2:18">
      <c r="B28" s="937" t="s">
        <v>158</v>
      </c>
      <c r="C28" s="938">
        <v>161749</v>
      </c>
      <c r="D28" s="938">
        <v>171349</v>
      </c>
      <c r="E28" s="938">
        <v>187574</v>
      </c>
      <c r="F28" s="938">
        <v>123144</v>
      </c>
      <c r="G28" s="938">
        <v>643816</v>
      </c>
    </row>
    <row r="29" spans="2:18">
      <c r="B29" s="510" t="s">
        <v>162</v>
      </c>
      <c r="C29" s="938">
        <v>1758744</v>
      </c>
      <c r="D29" s="938">
        <v>1938035</v>
      </c>
      <c r="E29" s="938">
        <v>1714436</v>
      </c>
      <c r="F29" s="938">
        <v>1929619</v>
      </c>
      <c r="G29" s="938">
        <v>7340834</v>
      </c>
    </row>
    <row r="31" spans="2:18" s="441" customFormat="1">
      <c r="B31" s="518" t="s">
        <v>4292</v>
      </c>
      <c r="C31" s="518" t="s">
        <v>4283</v>
      </c>
      <c r="D31"/>
      <c r="E31"/>
      <c r="F31"/>
      <c r="G31"/>
      <c r="H31"/>
      <c r="I31"/>
      <c r="J31"/>
      <c r="K31"/>
      <c r="L31"/>
      <c r="R31" s="3"/>
    </row>
    <row r="32" spans="2:18" s="441" customFormat="1">
      <c r="B32" s="518" t="s">
        <v>5</v>
      </c>
      <c r="C32" s="441" t="s">
        <v>2184</v>
      </c>
      <c r="D32" s="441" t="s">
        <v>4280</v>
      </c>
      <c r="E32" s="441" t="s">
        <v>4281</v>
      </c>
      <c r="F32" s="441" t="s">
        <v>4282</v>
      </c>
      <c r="G32" s="441" t="s">
        <v>162</v>
      </c>
      <c r="H32"/>
      <c r="I32"/>
      <c r="J32"/>
      <c r="K32"/>
      <c r="L32"/>
      <c r="R32" s="3"/>
    </row>
    <row r="33" spans="2:18" s="441" customFormat="1">
      <c r="B33" s="937" t="s">
        <v>161</v>
      </c>
      <c r="C33" s="936">
        <v>1.0546184356807393</v>
      </c>
      <c r="D33" s="936">
        <v>1.0212159500434215</v>
      </c>
      <c r="E33" s="936">
        <v>1.0685051069433757</v>
      </c>
      <c r="F33" s="936">
        <v>1.0345064424297434</v>
      </c>
      <c r="G33" s="936">
        <v>1.0439616812587837</v>
      </c>
      <c r="H33"/>
      <c r="I33"/>
      <c r="J33"/>
      <c r="K33"/>
      <c r="L33"/>
      <c r="R33" s="3"/>
    </row>
    <row r="34" spans="2:18" s="441" customFormat="1">
      <c r="B34" s="937" t="s">
        <v>160</v>
      </c>
      <c r="C34" s="936">
        <v>0.88430379747129162</v>
      </c>
      <c r="D34" s="936">
        <v>0.88141684218056948</v>
      </c>
      <c r="E34" s="936">
        <v>0.88823980684795056</v>
      </c>
      <c r="F34" s="936">
        <v>0.81626008172993658</v>
      </c>
      <c r="G34" s="936">
        <v>0.8701942841436211</v>
      </c>
      <c r="H34"/>
      <c r="I34"/>
      <c r="J34"/>
      <c r="K34"/>
      <c r="L34"/>
      <c r="R34" s="3"/>
    </row>
    <row r="35" spans="2:18" s="441" customFormat="1">
      <c r="B35" s="937" t="s">
        <v>2120</v>
      </c>
      <c r="C35" s="936">
        <v>1.0019522522163657</v>
      </c>
      <c r="D35" s="936">
        <v>1.0368639265184429</v>
      </c>
      <c r="E35" s="936">
        <v>1.0007309794446544</v>
      </c>
      <c r="F35" s="936">
        <v>1.1335857628272927</v>
      </c>
      <c r="G35" s="936">
        <v>1.0311256536397617</v>
      </c>
      <c r="H35"/>
      <c r="I35"/>
      <c r="J35"/>
      <c r="K35"/>
      <c r="L35"/>
      <c r="R35" s="3"/>
    </row>
    <row r="36" spans="2:18" s="441" customFormat="1">
      <c r="B36" s="937" t="s">
        <v>2133</v>
      </c>
      <c r="C36" s="936">
        <v>1.083139320382174</v>
      </c>
      <c r="D36" s="936">
        <v>1.2743321220478583</v>
      </c>
      <c r="E36" s="936">
        <v>1.163482537332474</v>
      </c>
      <c r="F36" s="936">
        <v>1.0920806063599273</v>
      </c>
      <c r="G36" s="936">
        <v>1.1617198331684753</v>
      </c>
      <c r="H36"/>
      <c r="I36"/>
      <c r="J36"/>
      <c r="K36"/>
      <c r="L36"/>
      <c r="R36" s="3"/>
    </row>
    <row r="37" spans="2:18" s="441" customFormat="1">
      <c r="B37" s="937" t="s">
        <v>1805</v>
      </c>
      <c r="C37" s="936">
        <v>0.92120984545339624</v>
      </c>
      <c r="D37" s="936">
        <v>0.95611678831645586</v>
      </c>
      <c r="E37" s="936">
        <v>0.9387621628597238</v>
      </c>
      <c r="F37" s="936">
        <v>0.88994192016429208</v>
      </c>
      <c r="G37" s="936">
        <v>0.92664147012648579</v>
      </c>
      <c r="H37"/>
      <c r="I37"/>
      <c r="J37"/>
      <c r="K37"/>
      <c r="L37"/>
      <c r="R37" s="3"/>
    </row>
    <row r="38" spans="2:18" s="441" customFormat="1">
      <c r="B38" s="937" t="s">
        <v>155</v>
      </c>
      <c r="C38" s="936">
        <v>0.99613053675654362</v>
      </c>
      <c r="D38" s="936">
        <v>0.97677726419478406</v>
      </c>
      <c r="E38" s="936">
        <v>0.93420672998183951</v>
      </c>
      <c r="F38" s="936">
        <v>1.0008495545899203</v>
      </c>
      <c r="G38" s="936">
        <v>0.97976911633537778</v>
      </c>
      <c r="H38"/>
      <c r="I38"/>
      <c r="J38"/>
      <c r="K38"/>
      <c r="L38"/>
      <c r="R38" s="3"/>
    </row>
    <row r="39" spans="2:18" s="441" customFormat="1">
      <c r="B39" s="937" t="s">
        <v>144</v>
      </c>
      <c r="C39" s="936">
        <v>1.0982798190737153</v>
      </c>
      <c r="D39" s="936">
        <v>0.88193225467813297</v>
      </c>
      <c r="E39" s="936"/>
      <c r="F39" s="936"/>
      <c r="G39" s="936">
        <v>1.0568515620617951</v>
      </c>
      <c r="H39"/>
      <c r="I39"/>
      <c r="J39"/>
      <c r="K39"/>
      <c r="L39"/>
      <c r="R39" s="3"/>
    </row>
    <row r="40" spans="2:18" s="441" customFormat="1">
      <c r="B40" s="937" t="s">
        <v>156</v>
      </c>
      <c r="C40" s="936">
        <v>0.9686368054178992</v>
      </c>
      <c r="D40" s="936">
        <v>0.92151939298546737</v>
      </c>
      <c r="E40" s="936">
        <v>0.92050494505494507</v>
      </c>
      <c r="F40" s="936">
        <v>0.90688174066351368</v>
      </c>
      <c r="G40" s="936">
        <v>0.92816908958198929</v>
      </c>
      <c r="H40"/>
      <c r="I40"/>
      <c r="J40"/>
      <c r="K40"/>
      <c r="L40"/>
      <c r="R40" s="3"/>
    </row>
    <row r="41" spans="2:18" s="441" customFormat="1">
      <c r="B41" s="937" t="s">
        <v>1603</v>
      </c>
      <c r="C41" s="936">
        <v>1.0217043963145138</v>
      </c>
      <c r="D41" s="936">
        <v>1.0013736640651887</v>
      </c>
      <c r="E41" s="936">
        <v>0.88253270642288861</v>
      </c>
      <c r="F41" s="936">
        <v>0.94525574719766436</v>
      </c>
      <c r="G41" s="936">
        <v>0.96496117598912146</v>
      </c>
      <c r="H41"/>
      <c r="I41"/>
      <c r="J41"/>
      <c r="K41"/>
      <c r="L41"/>
      <c r="R41" s="3"/>
    </row>
    <row r="42" spans="2:18" s="441" customFormat="1">
      <c r="B42" s="937" t="s">
        <v>158</v>
      </c>
      <c r="C42" s="936">
        <v>1.0535492824864552</v>
      </c>
      <c r="D42" s="936">
        <v>1.0164022432341084</v>
      </c>
      <c r="E42" s="936">
        <v>0.92259389342109444</v>
      </c>
      <c r="F42" s="936">
        <v>0.97533042133489289</v>
      </c>
      <c r="G42" s="936">
        <v>0.98962200747656892</v>
      </c>
      <c r="H42"/>
      <c r="I42"/>
      <c r="J42"/>
      <c r="K42"/>
      <c r="L42"/>
      <c r="R42" s="3"/>
    </row>
    <row r="43" spans="2:18" s="441" customFormat="1">
      <c r="B43" s="510" t="s">
        <v>162</v>
      </c>
      <c r="C43" s="936">
        <v>1.0065643777112911</v>
      </c>
      <c r="D43" s="936">
        <v>0.99399145029425995</v>
      </c>
      <c r="E43" s="936">
        <v>0.96826471191809771</v>
      </c>
      <c r="F43" s="936">
        <v>0.97494330374245786</v>
      </c>
      <c r="G43" s="936">
        <v>0.98592034015482288</v>
      </c>
      <c r="H43"/>
      <c r="I43"/>
      <c r="J43"/>
      <c r="K43"/>
      <c r="L43"/>
      <c r="R43" s="3"/>
    </row>
    <row r="44" spans="2:18" s="441" customFormat="1">
      <c r="B44"/>
      <c r="C44"/>
      <c r="D44"/>
      <c r="E44"/>
      <c r="F44"/>
      <c r="G44"/>
      <c r="H44"/>
      <c r="I44"/>
      <c r="J44"/>
      <c r="K44"/>
      <c r="L44"/>
      <c r="R44" s="3"/>
    </row>
    <row r="45" spans="2:18" s="441" customFormat="1">
      <c r="R45" s="3"/>
    </row>
    <row r="47" spans="2:18">
      <c r="B47" s="518" t="s">
        <v>4284</v>
      </c>
      <c r="C47" s="518" t="s">
        <v>4283</v>
      </c>
    </row>
    <row r="48" spans="2:18">
      <c r="B48" s="518" t="s">
        <v>5</v>
      </c>
      <c r="C48" s="441" t="s">
        <v>2184</v>
      </c>
      <c r="D48" s="441" t="s">
        <v>4280</v>
      </c>
      <c r="E48" s="441" t="s">
        <v>4281</v>
      </c>
      <c r="F48" s="441" t="s">
        <v>4282</v>
      </c>
      <c r="G48" s="441" t="s">
        <v>162</v>
      </c>
    </row>
    <row r="49" spans="2:7">
      <c r="B49" s="937" t="s">
        <v>161</v>
      </c>
      <c r="C49" s="938">
        <v>136099</v>
      </c>
      <c r="D49" s="938">
        <v>126372</v>
      </c>
      <c r="E49" s="938">
        <v>133945</v>
      </c>
      <c r="F49" s="938">
        <v>158406</v>
      </c>
      <c r="G49" s="938">
        <v>554822</v>
      </c>
    </row>
    <row r="50" spans="2:7">
      <c r="B50" s="939" t="s">
        <v>65</v>
      </c>
      <c r="C50" s="938">
        <v>20043</v>
      </c>
      <c r="D50" s="938">
        <v>45900</v>
      </c>
      <c r="E50" s="938"/>
      <c r="F50" s="938">
        <v>27540</v>
      </c>
      <c r="G50" s="938">
        <v>93483</v>
      </c>
    </row>
    <row r="51" spans="2:7">
      <c r="B51" s="939" t="s">
        <v>66</v>
      </c>
      <c r="C51" s="938">
        <v>21824</v>
      </c>
      <c r="D51" s="938">
        <v>15780</v>
      </c>
      <c r="E51" s="938">
        <v>25164</v>
      </c>
      <c r="F51" s="938">
        <v>23652</v>
      </c>
      <c r="G51" s="938">
        <v>86420</v>
      </c>
    </row>
    <row r="52" spans="2:7">
      <c r="B52" s="939" t="s">
        <v>14</v>
      </c>
      <c r="C52" s="938">
        <v>51720</v>
      </c>
      <c r="D52" s="938">
        <v>16149</v>
      </c>
      <c r="E52" s="938">
        <v>69800</v>
      </c>
      <c r="F52" s="938">
        <v>44928</v>
      </c>
      <c r="G52" s="938">
        <v>182597</v>
      </c>
    </row>
    <row r="53" spans="2:7">
      <c r="B53" s="939" t="s">
        <v>67</v>
      </c>
      <c r="C53" s="938">
        <v>20340</v>
      </c>
      <c r="D53" s="938"/>
      <c r="E53" s="938">
        <v>23979</v>
      </c>
      <c r="F53" s="938">
        <v>16475</v>
      </c>
      <c r="G53" s="938">
        <v>60794</v>
      </c>
    </row>
    <row r="54" spans="2:7">
      <c r="B54" s="939" t="s">
        <v>68</v>
      </c>
      <c r="C54" s="938">
        <v>3360</v>
      </c>
      <c r="D54" s="938">
        <v>20280</v>
      </c>
      <c r="E54" s="938">
        <v>1320</v>
      </c>
      <c r="F54" s="938">
        <v>20952</v>
      </c>
      <c r="G54" s="938">
        <v>45912</v>
      </c>
    </row>
    <row r="55" spans="2:7">
      <c r="B55" s="939" t="s">
        <v>117</v>
      </c>
      <c r="C55" s="938"/>
      <c r="D55" s="938">
        <v>2248</v>
      </c>
      <c r="E55" s="938"/>
      <c r="F55" s="938"/>
      <c r="G55" s="938">
        <v>2248</v>
      </c>
    </row>
    <row r="56" spans="2:7">
      <c r="B56" s="939" t="s">
        <v>113</v>
      </c>
      <c r="C56" s="938">
        <v>7292</v>
      </c>
      <c r="D56" s="938">
        <v>6612</v>
      </c>
      <c r="E56" s="938">
        <v>4934</v>
      </c>
      <c r="F56" s="938"/>
      <c r="G56" s="938">
        <v>18838</v>
      </c>
    </row>
    <row r="57" spans="2:7">
      <c r="B57" s="939" t="s">
        <v>115</v>
      </c>
      <c r="C57" s="938"/>
      <c r="D57" s="938">
        <v>6083</v>
      </c>
      <c r="E57" s="938">
        <v>8748</v>
      </c>
      <c r="F57" s="938">
        <v>5184</v>
      </c>
      <c r="G57" s="938">
        <v>20015</v>
      </c>
    </row>
    <row r="58" spans="2:7">
      <c r="B58" s="939" t="s">
        <v>137</v>
      </c>
      <c r="C58" s="938">
        <v>5040</v>
      </c>
      <c r="D58" s="938"/>
      <c r="E58" s="938"/>
      <c r="F58" s="938"/>
      <c r="G58" s="938">
        <v>5040</v>
      </c>
    </row>
    <row r="59" spans="2:7">
      <c r="B59" s="939" t="s">
        <v>138</v>
      </c>
      <c r="C59" s="938">
        <v>1440</v>
      </c>
      <c r="D59" s="938">
        <v>7200</v>
      </c>
      <c r="E59" s="938"/>
      <c r="F59" s="938"/>
      <c r="G59" s="938">
        <v>8640</v>
      </c>
    </row>
    <row r="60" spans="2:7">
      <c r="B60" s="939" t="s">
        <v>139</v>
      </c>
      <c r="C60" s="938">
        <v>5040</v>
      </c>
      <c r="D60" s="938"/>
      <c r="E60" s="938"/>
      <c r="F60" s="938">
        <v>4380</v>
      </c>
      <c r="G60" s="938">
        <v>9420</v>
      </c>
    </row>
    <row r="61" spans="2:7">
      <c r="B61" s="939" t="s">
        <v>140</v>
      </c>
      <c r="C61" s="938"/>
      <c r="D61" s="938">
        <v>6120</v>
      </c>
      <c r="E61" s="938"/>
      <c r="F61" s="938">
        <v>9000</v>
      </c>
      <c r="G61" s="938">
        <v>15120</v>
      </c>
    </row>
    <row r="62" spans="2:7">
      <c r="B62" s="939" t="s">
        <v>1889</v>
      </c>
      <c r="C62" s="938"/>
      <c r="D62" s="938"/>
      <c r="E62" s="938"/>
      <c r="F62" s="938">
        <v>6295</v>
      </c>
      <c r="G62" s="938">
        <v>6295</v>
      </c>
    </row>
    <row r="63" spans="2:7">
      <c r="B63" s="937" t="s">
        <v>160</v>
      </c>
      <c r="C63" s="938">
        <v>79436</v>
      </c>
      <c r="D63" s="938">
        <v>145125</v>
      </c>
      <c r="E63" s="938">
        <v>156226</v>
      </c>
      <c r="F63" s="938">
        <v>123579</v>
      </c>
      <c r="G63" s="938">
        <v>504366</v>
      </c>
    </row>
    <row r="64" spans="2:7">
      <c r="B64" s="939" t="s">
        <v>69</v>
      </c>
      <c r="C64" s="938">
        <v>14766</v>
      </c>
      <c r="D64" s="938">
        <v>16351</v>
      </c>
      <c r="E64" s="938">
        <v>34459</v>
      </c>
      <c r="F64" s="938">
        <v>16920</v>
      </c>
      <c r="G64" s="938">
        <v>82496</v>
      </c>
    </row>
    <row r="65" spans="2:7">
      <c r="B65" s="939" t="s">
        <v>70</v>
      </c>
      <c r="C65" s="938">
        <v>11191</v>
      </c>
      <c r="D65" s="938">
        <v>26206</v>
      </c>
      <c r="E65" s="938">
        <v>8681</v>
      </c>
      <c r="F65" s="938">
        <v>16298</v>
      </c>
      <c r="G65" s="938">
        <v>62376</v>
      </c>
    </row>
    <row r="66" spans="2:7">
      <c r="B66" s="939" t="s">
        <v>64</v>
      </c>
      <c r="C66" s="938">
        <v>20828</v>
      </c>
      <c r="D66" s="938">
        <v>46476</v>
      </c>
      <c r="E66" s="938">
        <v>65574</v>
      </c>
      <c r="F66" s="938">
        <v>47970</v>
      </c>
      <c r="G66" s="938">
        <v>180848</v>
      </c>
    </row>
    <row r="67" spans="2:7">
      <c r="B67" s="939" t="s">
        <v>71</v>
      </c>
      <c r="C67" s="938">
        <v>8842</v>
      </c>
      <c r="D67" s="938">
        <v>12284</v>
      </c>
      <c r="E67" s="938">
        <v>22601</v>
      </c>
      <c r="F67" s="938">
        <v>6116</v>
      </c>
      <c r="G67" s="938">
        <v>49843</v>
      </c>
    </row>
    <row r="68" spans="2:7">
      <c r="B68" s="939" t="s">
        <v>15</v>
      </c>
      <c r="C68" s="938">
        <v>1246</v>
      </c>
      <c r="D68" s="938">
        <v>11720</v>
      </c>
      <c r="E68" s="938">
        <v>12177</v>
      </c>
      <c r="F68" s="938">
        <v>12760</v>
      </c>
      <c r="G68" s="938">
        <v>37903</v>
      </c>
    </row>
    <row r="69" spans="2:7">
      <c r="B69" s="939" t="s">
        <v>400</v>
      </c>
      <c r="C69" s="938"/>
      <c r="D69" s="938">
        <v>4397</v>
      </c>
      <c r="E69" s="938"/>
      <c r="F69" s="938"/>
      <c r="G69" s="938">
        <v>4397</v>
      </c>
    </row>
    <row r="70" spans="2:7">
      <c r="B70" s="939" t="s">
        <v>145</v>
      </c>
      <c r="C70" s="938"/>
      <c r="D70" s="938">
        <v>4144</v>
      </c>
      <c r="E70" s="938"/>
      <c r="F70" s="938"/>
      <c r="G70" s="938">
        <v>4144</v>
      </c>
    </row>
    <row r="71" spans="2:7">
      <c r="B71" s="939" t="s">
        <v>114</v>
      </c>
      <c r="C71" s="938">
        <v>6741</v>
      </c>
      <c r="D71" s="938">
        <v>2846</v>
      </c>
      <c r="E71" s="938">
        <v>9280</v>
      </c>
      <c r="F71" s="938"/>
      <c r="G71" s="938">
        <v>18867</v>
      </c>
    </row>
    <row r="72" spans="2:7">
      <c r="B72" s="939" t="s">
        <v>116</v>
      </c>
      <c r="C72" s="938"/>
      <c r="D72" s="938">
        <v>4069</v>
      </c>
      <c r="E72" s="938">
        <v>60</v>
      </c>
      <c r="F72" s="938">
        <v>13273</v>
      </c>
      <c r="G72" s="938">
        <v>17402</v>
      </c>
    </row>
    <row r="73" spans="2:7">
      <c r="B73" s="939" t="s">
        <v>141</v>
      </c>
      <c r="C73" s="938">
        <v>1171</v>
      </c>
      <c r="D73" s="938"/>
      <c r="E73" s="938"/>
      <c r="F73" s="938"/>
      <c r="G73" s="938">
        <v>1171</v>
      </c>
    </row>
    <row r="74" spans="2:7">
      <c r="B74" s="939" t="s">
        <v>180</v>
      </c>
      <c r="C74" s="938"/>
      <c r="D74" s="938">
        <v>1116</v>
      </c>
      <c r="E74" s="938"/>
      <c r="F74" s="938"/>
      <c r="G74" s="938">
        <v>1116</v>
      </c>
    </row>
    <row r="75" spans="2:7">
      <c r="B75" s="939" t="s">
        <v>164</v>
      </c>
      <c r="C75" s="938">
        <v>670</v>
      </c>
      <c r="D75" s="938"/>
      <c r="E75" s="938"/>
      <c r="F75" s="938"/>
      <c r="G75" s="938">
        <v>670</v>
      </c>
    </row>
    <row r="76" spans="2:7">
      <c r="B76" s="939" t="s">
        <v>179</v>
      </c>
      <c r="C76" s="938"/>
      <c r="D76" s="938">
        <v>1511</v>
      </c>
      <c r="E76" s="938"/>
      <c r="F76" s="938"/>
      <c r="G76" s="938">
        <v>1511</v>
      </c>
    </row>
    <row r="77" spans="2:7">
      <c r="B77" s="939" t="s">
        <v>229</v>
      </c>
      <c r="C77" s="938">
        <v>1063</v>
      </c>
      <c r="D77" s="938">
        <v>196</v>
      </c>
      <c r="E77" s="938">
        <v>259</v>
      </c>
      <c r="F77" s="938"/>
      <c r="G77" s="938">
        <v>1518</v>
      </c>
    </row>
    <row r="78" spans="2:7">
      <c r="B78" s="939" t="s">
        <v>188</v>
      </c>
      <c r="C78" s="938">
        <v>1623</v>
      </c>
      <c r="D78" s="938"/>
      <c r="E78" s="938">
        <v>255</v>
      </c>
      <c r="F78" s="938"/>
      <c r="G78" s="938">
        <v>1878</v>
      </c>
    </row>
    <row r="79" spans="2:7">
      <c r="B79" s="939" t="s">
        <v>187</v>
      </c>
      <c r="C79" s="938">
        <v>2160</v>
      </c>
      <c r="D79" s="938">
        <v>841</v>
      </c>
      <c r="E79" s="938"/>
      <c r="F79" s="938">
        <v>2090</v>
      </c>
      <c r="G79" s="938">
        <v>5091</v>
      </c>
    </row>
    <row r="80" spans="2:7">
      <c r="B80" s="939" t="s">
        <v>231</v>
      </c>
      <c r="C80" s="938">
        <v>7</v>
      </c>
      <c r="D80" s="938">
        <v>1838</v>
      </c>
      <c r="E80" s="938"/>
      <c r="F80" s="938"/>
      <c r="G80" s="938">
        <v>1845</v>
      </c>
    </row>
    <row r="81" spans="2:7">
      <c r="B81" s="939" t="s">
        <v>355</v>
      </c>
      <c r="C81" s="938">
        <v>457</v>
      </c>
      <c r="D81" s="938">
        <v>2159</v>
      </c>
      <c r="E81" s="938">
        <v>60</v>
      </c>
      <c r="F81" s="938"/>
      <c r="G81" s="938">
        <v>2676</v>
      </c>
    </row>
    <row r="82" spans="2:7">
      <c r="B82" s="939" t="s">
        <v>232</v>
      </c>
      <c r="C82" s="938">
        <v>447</v>
      </c>
      <c r="D82" s="938">
        <v>1508</v>
      </c>
      <c r="E82" s="938"/>
      <c r="F82" s="938">
        <v>1032</v>
      </c>
      <c r="G82" s="938">
        <v>2987</v>
      </c>
    </row>
    <row r="83" spans="2:7">
      <c r="B83" s="939" t="s">
        <v>230</v>
      </c>
      <c r="C83" s="938"/>
      <c r="D83" s="938">
        <v>1440</v>
      </c>
      <c r="E83" s="938"/>
      <c r="F83" s="938"/>
      <c r="G83" s="938">
        <v>1440</v>
      </c>
    </row>
    <row r="84" spans="2:7">
      <c r="B84" s="939" t="s">
        <v>356</v>
      </c>
      <c r="C84" s="938">
        <v>642</v>
      </c>
      <c r="D84" s="938">
        <v>770</v>
      </c>
      <c r="E84" s="938"/>
      <c r="F84" s="938"/>
      <c r="G84" s="938">
        <v>1412</v>
      </c>
    </row>
    <row r="85" spans="2:7">
      <c r="B85" s="939" t="s">
        <v>357</v>
      </c>
      <c r="C85" s="938"/>
      <c r="D85" s="938"/>
      <c r="E85" s="938">
        <v>973</v>
      </c>
      <c r="F85" s="938"/>
      <c r="G85" s="938">
        <v>973</v>
      </c>
    </row>
    <row r="86" spans="2:7">
      <c r="B86" s="939" t="s">
        <v>369</v>
      </c>
      <c r="C86" s="938"/>
      <c r="D86" s="938">
        <v>1402</v>
      </c>
      <c r="E86" s="938"/>
      <c r="F86" s="938">
        <v>542</v>
      </c>
      <c r="G86" s="938">
        <v>1944</v>
      </c>
    </row>
    <row r="87" spans="2:7">
      <c r="B87" s="939" t="s">
        <v>370</v>
      </c>
      <c r="C87" s="938"/>
      <c r="D87" s="938">
        <v>802</v>
      </c>
      <c r="E87" s="938">
        <v>600</v>
      </c>
      <c r="F87" s="938"/>
      <c r="G87" s="938">
        <v>1402</v>
      </c>
    </row>
    <row r="88" spans="2:7">
      <c r="B88" s="939" t="s">
        <v>358</v>
      </c>
      <c r="C88" s="938">
        <v>1609</v>
      </c>
      <c r="D88" s="938">
        <v>1175</v>
      </c>
      <c r="E88" s="938"/>
      <c r="F88" s="938"/>
      <c r="G88" s="938">
        <v>2784</v>
      </c>
    </row>
    <row r="89" spans="2:7">
      <c r="B89" s="939" t="s">
        <v>359</v>
      </c>
      <c r="C89" s="938">
        <v>385</v>
      </c>
      <c r="D89" s="938">
        <v>902</v>
      </c>
      <c r="E89" s="938">
        <v>648</v>
      </c>
      <c r="F89" s="938"/>
      <c r="G89" s="938">
        <v>1935</v>
      </c>
    </row>
    <row r="90" spans="2:7">
      <c r="B90" s="939" t="s">
        <v>367</v>
      </c>
      <c r="C90" s="938">
        <v>1000</v>
      </c>
      <c r="D90" s="938"/>
      <c r="E90" s="938"/>
      <c r="F90" s="938"/>
      <c r="G90" s="938">
        <v>1000</v>
      </c>
    </row>
    <row r="91" spans="2:7">
      <c r="B91" s="939" t="s">
        <v>368</v>
      </c>
      <c r="C91" s="938"/>
      <c r="D91" s="938">
        <v>972</v>
      </c>
      <c r="E91" s="938"/>
      <c r="F91" s="938"/>
      <c r="G91" s="938">
        <v>972</v>
      </c>
    </row>
    <row r="92" spans="2:7">
      <c r="B92" s="939" t="s">
        <v>1891</v>
      </c>
      <c r="C92" s="938">
        <v>1654</v>
      </c>
      <c r="D92" s="938"/>
      <c r="E92" s="938"/>
      <c r="F92" s="938">
        <v>1950</v>
      </c>
      <c r="G92" s="938">
        <v>3604</v>
      </c>
    </row>
    <row r="93" spans="2:7">
      <c r="B93" s="939" t="s">
        <v>1893</v>
      </c>
      <c r="C93" s="938"/>
      <c r="D93" s="938"/>
      <c r="E93" s="938"/>
      <c r="F93" s="938">
        <v>1970</v>
      </c>
      <c r="G93" s="938">
        <v>1970</v>
      </c>
    </row>
    <row r="94" spans="2:7">
      <c r="B94" s="939" t="s">
        <v>1894</v>
      </c>
      <c r="C94" s="938"/>
      <c r="D94" s="938"/>
      <c r="E94" s="938"/>
      <c r="F94" s="938">
        <v>2248</v>
      </c>
      <c r="G94" s="938">
        <v>2248</v>
      </c>
    </row>
    <row r="95" spans="2:7">
      <c r="B95" s="939" t="s">
        <v>1906</v>
      </c>
      <c r="C95" s="938">
        <v>412</v>
      </c>
      <c r="D95" s="938"/>
      <c r="E95" s="938"/>
      <c r="F95" s="938"/>
      <c r="G95" s="938">
        <v>412</v>
      </c>
    </row>
    <row r="96" spans="2:7">
      <c r="B96" s="939" t="s">
        <v>1904</v>
      </c>
      <c r="C96" s="938">
        <v>1484</v>
      </c>
      <c r="D96" s="938"/>
      <c r="E96" s="938"/>
      <c r="F96" s="938">
        <v>410</v>
      </c>
      <c r="G96" s="938">
        <v>1894</v>
      </c>
    </row>
    <row r="97" spans="2:7">
      <c r="B97" s="939" t="s">
        <v>1907</v>
      </c>
      <c r="C97" s="938"/>
      <c r="D97" s="938"/>
      <c r="E97" s="938">
        <v>599</v>
      </c>
      <c r="F97" s="938"/>
      <c r="G97" s="938">
        <v>599</v>
      </c>
    </row>
    <row r="98" spans="2:7">
      <c r="B98" s="939" t="s">
        <v>1908</v>
      </c>
      <c r="C98" s="938">
        <v>1038</v>
      </c>
      <c r="D98" s="938"/>
      <c r="E98" s="938"/>
      <c r="F98" s="938"/>
      <c r="G98" s="938">
        <v>1038</v>
      </c>
    </row>
    <row r="99" spans="2:7">
      <c r="B99" s="937" t="s">
        <v>2120</v>
      </c>
      <c r="C99" s="938">
        <v>124733</v>
      </c>
      <c r="D99" s="938">
        <v>118224</v>
      </c>
      <c r="E99" s="938">
        <v>153631</v>
      </c>
      <c r="F99" s="938">
        <v>91815</v>
      </c>
      <c r="G99" s="938">
        <v>488403</v>
      </c>
    </row>
    <row r="100" spans="2:7">
      <c r="B100" s="939" t="s">
        <v>2106</v>
      </c>
      <c r="C100" s="938">
        <v>24760</v>
      </c>
      <c r="D100" s="938">
        <v>22960</v>
      </c>
      <c r="E100" s="938">
        <v>54567</v>
      </c>
      <c r="F100" s="938">
        <v>29890</v>
      </c>
      <c r="G100" s="938">
        <v>132177</v>
      </c>
    </row>
    <row r="101" spans="2:7">
      <c r="B101" s="939" t="s">
        <v>2107</v>
      </c>
      <c r="C101" s="938">
        <v>37038</v>
      </c>
      <c r="D101" s="938">
        <v>54229</v>
      </c>
      <c r="E101" s="938"/>
      <c r="F101" s="938">
        <v>35785</v>
      </c>
      <c r="G101" s="938">
        <v>127052</v>
      </c>
    </row>
    <row r="102" spans="2:7">
      <c r="B102" s="939" t="s">
        <v>2108</v>
      </c>
      <c r="C102" s="938">
        <v>33135</v>
      </c>
      <c r="D102" s="938">
        <v>41035</v>
      </c>
      <c r="E102" s="938">
        <v>23080</v>
      </c>
      <c r="F102" s="938">
        <v>26140</v>
      </c>
      <c r="G102" s="938">
        <v>123390</v>
      </c>
    </row>
    <row r="103" spans="2:7">
      <c r="B103" s="939" t="s">
        <v>2109</v>
      </c>
      <c r="C103" s="938">
        <v>13920</v>
      </c>
      <c r="D103" s="938"/>
      <c r="E103" s="938">
        <v>20200</v>
      </c>
      <c r="F103" s="938"/>
      <c r="G103" s="938">
        <v>34120</v>
      </c>
    </row>
    <row r="104" spans="2:7">
      <c r="B104" s="939" t="s">
        <v>2110</v>
      </c>
      <c r="C104" s="938">
        <v>15880</v>
      </c>
      <c r="D104" s="938"/>
      <c r="E104" s="938">
        <v>35084</v>
      </c>
      <c r="F104" s="938"/>
      <c r="G104" s="938">
        <v>50964</v>
      </c>
    </row>
    <row r="105" spans="2:7">
      <c r="B105" s="939" t="s">
        <v>2117</v>
      </c>
      <c r="C105" s="938"/>
      <c r="D105" s="938"/>
      <c r="E105" s="938">
        <v>20700</v>
      </c>
      <c r="F105" s="938"/>
      <c r="G105" s="938">
        <v>20700</v>
      </c>
    </row>
    <row r="106" spans="2:7">
      <c r="B106" s="937" t="s">
        <v>2133</v>
      </c>
      <c r="C106" s="938">
        <v>85138</v>
      </c>
      <c r="D106" s="938">
        <v>189198</v>
      </c>
      <c r="E106" s="938">
        <v>114375</v>
      </c>
      <c r="F106" s="938">
        <v>175222</v>
      </c>
      <c r="G106" s="938">
        <v>563933</v>
      </c>
    </row>
    <row r="107" spans="2:7">
      <c r="B107" s="939" t="s">
        <v>1987</v>
      </c>
      <c r="C107" s="938">
        <v>85138</v>
      </c>
      <c r="D107" s="938">
        <v>189198</v>
      </c>
      <c r="E107" s="938">
        <v>114375</v>
      </c>
      <c r="F107" s="938">
        <v>175222</v>
      </c>
      <c r="G107" s="938">
        <v>563933</v>
      </c>
    </row>
    <row r="108" spans="2:7">
      <c r="B108" s="937" t="s">
        <v>1805</v>
      </c>
      <c r="C108" s="938">
        <v>115640</v>
      </c>
      <c r="D108" s="938">
        <v>293463</v>
      </c>
      <c r="E108" s="938">
        <v>240917</v>
      </c>
      <c r="F108" s="938">
        <v>291083</v>
      </c>
      <c r="G108" s="938">
        <v>941103</v>
      </c>
    </row>
    <row r="109" spans="2:7">
      <c r="B109" s="939" t="s">
        <v>1814</v>
      </c>
      <c r="C109" s="938">
        <v>47750</v>
      </c>
      <c r="D109" s="938">
        <v>42050</v>
      </c>
      <c r="E109" s="938">
        <v>95561</v>
      </c>
      <c r="F109" s="938">
        <v>44110</v>
      </c>
      <c r="G109" s="938">
        <v>229471</v>
      </c>
    </row>
    <row r="110" spans="2:7">
      <c r="B110" s="939" t="s">
        <v>1815</v>
      </c>
      <c r="C110" s="938"/>
      <c r="D110" s="938">
        <v>97058</v>
      </c>
      <c r="E110" s="938">
        <v>33605</v>
      </c>
      <c r="F110" s="938">
        <v>22693</v>
      </c>
      <c r="G110" s="938">
        <v>153356</v>
      </c>
    </row>
    <row r="111" spans="2:7">
      <c r="B111" s="939" t="s">
        <v>1816</v>
      </c>
      <c r="C111" s="938">
        <v>35340</v>
      </c>
      <c r="D111" s="938">
        <v>113138</v>
      </c>
      <c r="E111" s="938">
        <v>63902</v>
      </c>
      <c r="F111" s="938">
        <v>149500</v>
      </c>
      <c r="G111" s="938">
        <v>361880</v>
      </c>
    </row>
    <row r="112" spans="2:7">
      <c r="B112" s="939" t="s">
        <v>1817</v>
      </c>
      <c r="C112" s="938"/>
      <c r="D112" s="938">
        <v>30677</v>
      </c>
      <c r="E112" s="938"/>
      <c r="F112" s="938">
        <v>35880</v>
      </c>
      <c r="G112" s="938">
        <v>66557</v>
      </c>
    </row>
    <row r="113" spans="2:7">
      <c r="B113" s="939" t="s">
        <v>2487</v>
      </c>
      <c r="C113" s="938">
        <v>32550</v>
      </c>
      <c r="D113" s="938">
        <v>10540</v>
      </c>
      <c r="E113" s="938">
        <v>47849</v>
      </c>
      <c r="F113" s="938">
        <v>38900</v>
      </c>
      <c r="G113" s="938">
        <v>129839</v>
      </c>
    </row>
    <row r="114" spans="2:7">
      <c r="B114" s="937" t="s">
        <v>155</v>
      </c>
      <c r="C114" s="938">
        <v>274730</v>
      </c>
      <c r="D114" s="938">
        <v>273117</v>
      </c>
      <c r="E114" s="938">
        <v>250441</v>
      </c>
      <c r="F114" s="938">
        <v>384220</v>
      </c>
      <c r="G114" s="938">
        <v>1182508</v>
      </c>
    </row>
    <row r="115" spans="2:7">
      <c r="B115" s="939" t="s">
        <v>72</v>
      </c>
      <c r="C115" s="938">
        <v>116670</v>
      </c>
      <c r="D115" s="938">
        <v>47632</v>
      </c>
      <c r="E115" s="938">
        <v>105030</v>
      </c>
      <c r="F115" s="938">
        <v>58980</v>
      </c>
      <c r="G115" s="938">
        <v>328312</v>
      </c>
    </row>
    <row r="116" spans="2:7">
      <c r="B116" s="939" t="s">
        <v>73</v>
      </c>
      <c r="C116" s="938">
        <v>63742</v>
      </c>
      <c r="D116" s="938">
        <v>97120</v>
      </c>
      <c r="E116" s="938">
        <v>33660</v>
      </c>
      <c r="F116" s="938">
        <v>43050</v>
      </c>
      <c r="G116" s="938">
        <v>237572</v>
      </c>
    </row>
    <row r="117" spans="2:7">
      <c r="B117" s="939" t="s">
        <v>74</v>
      </c>
      <c r="C117" s="938">
        <v>61768</v>
      </c>
      <c r="D117" s="938">
        <v>86765</v>
      </c>
      <c r="E117" s="938">
        <v>63902</v>
      </c>
      <c r="F117" s="938">
        <v>180020</v>
      </c>
      <c r="G117" s="938">
        <v>392455</v>
      </c>
    </row>
    <row r="118" spans="2:7">
      <c r="B118" s="939" t="s">
        <v>75</v>
      </c>
      <c r="C118" s="938"/>
      <c r="D118" s="938">
        <v>31060</v>
      </c>
      <c r="E118" s="938"/>
      <c r="F118" s="938">
        <v>62270</v>
      </c>
      <c r="G118" s="938">
        <v>93330</v>
      </c>
    </row>
    <row r="119" spans="2:7">
      <c r="B119" s="939" t="s">
        <v>2484</v>
      </c>
      <c r="C119" s="938">
        <v>32550</v>
      </c>
      <c r="D119" s="938">
        <v>10540</v>
      </c>
      <c r="E119" s="938">
        <v>47849</v>
      </c>
      <c r="F119" s="938">
        <v>39900</v>
      </c>
      <c r="G119" s="938">
        <v>130839</v>
      </c>
    </row>
    <row r="120" spans="2:7">
      <c r="B120" s="937" t="s">
        <v>144</v>
      </c>
      <c r="C120" s="938">
        <v>270430</v>
      </c>
      <c r="D120" s="938">
        <v>51560</v>
      </c>
      <c r="E120" s="938"/>
      <c r="F120" s="938"/>
      <c r="G120" s="938">
        <v>321990</v>
      </c>
    </row>
    <row r="121" spans="2:7">
      <c r="B121" s="939" t="s">
        <v>76</v>
      </c>
      <c r="C121" s="938">
        <v>116670</v>
      </c>
      <c r="D121" s="938"/>
      <c r="E121" s="938"/>
      <c r="F121" s="938"/>
      <c r="G121" s="938">
        <v>116670</v>
      </c>
    </row>
    <row r="122" spans="2:7">
      <c r="B122" s="939" t="s">
        <v>77</v>
      </c>
      <c r="C122" s="938">
        <v>63742</v>
      </c>
      <c r="D122" s="938">
        <v>41040</v>
      </c>
      <c r="E122" s="938"/>
      <c r="F122" s="938"/>
      <c r="G122" s="938">
        <v>104782</v>
      </c>
    </row>
    <row r="123" spans="2:7">
      <c r="B123" s="939" t="s">
        <v>78</v>
      </c>
      <c r="C123" s="938">
        <v>57468</v>
      </c>
      <c r="D123" s="938">
        <v>4300</v>
      </c>
      <c r="E123" s="938"/>
      <c r="F123" s="938"/>
      <c r="G123" s="938">
        <v>61768</v>
      </c>
    </row>
    <row r="124" spans="2:7">
      <c r="B124" s="939" t="s">
        <v>79</v>
      </c>
      <c r="C124" s="938"/>
      <c r="D124" s="938">
        <v>6220</v>
      </c>
      <c r="E124" s="938"/>
      <c r="F124" s="938"/>
      <c r="G124" s="938">
        <v>6220</v>
      </c>
    </row>
    <row r="125" spans="2:7">
      <c r="B125" s="939" t="s">
        <v>2485</v>
      </c>
      <c r="C125" s="938">
        <v>32550</v>
      </c>
      <c r="D125" s="938"/>
      <c r="E125" s="938"/>
      <c r="F125" s="938"/>
      <c r="G125" s="938">
        <v>32550</v>
      </c>
    </row>
    <row r="126" spans="2:7">
      <c r="B126" s="937" t="s">
        <v>156</v>
      </c>
      <c r="C126" s="938">
        <v>264162</v>
      </c>
      <c r="D126" s="938">
        <v>283153</v>
      </c>
      <c r="E126" s="938">
        <v>237348</v>
      </c>
      <c r="F126" s="938">
        <v>299983</v>
      </c>
      <c r="G126" s="938">
        <v>1084646</v>
      </c>
    </row>
    <row r="127" spans="2:7">
      <c r="B127" s="939" t="s">
        <v>80</v>
      </c>
      <c r="C127" s="938">
        <v>116662</v>
      </c>
      <c r="D127" s="938">
        <v>47632</v>
      </c>
      <c r="E127" s="938">
        <v>91992</v>
      </c>
      <c r="F127" s="938">
        <v>42110</v>
      </c>
      <c r="G127" s="938">
        <v>298396</v>
      </c>
    </row>
    <row r="128" spans="2:7">
      <c r="B128" s="939" t="s">
        <v>81</v>
      </c>
      <c r="C128" s="938">
        <v>63692</v>
      </c>
      <c r="D128" s="938">
        <v>97058</v>
      </c>
      <c r="E128" s="938">
        <v>33605</v>
      </c>
      <c r="F128" s="938">
        <v>22693</v>
      </c>
      <c r="G128" s="938">
        <v>217048</v>
      </c>
    </row>
    <row r="129" spans="2:7">
      <c r="B129" s="939" t="s">
        <v>82</v>
      </c>
      <c r="C129" s="938">
        <v>51258</v>
      </c>
      <c r="D129" s="938">
        <v>97238</v>
      </c>
      <c r="E129" s="938">
        <v>63902</v>
      </c>
      <c r="F129" s="938">
        <v>160400</v>
      </c>
      <c r="G129" s="938">
        <v>372798</v>
      </c>
    </row>
    <row r="130" spans="2:7">
      <c r="B130" s="939" t="s">
        <v>83</v>
      </c>
      <c r="C130" s="938"/>
      <c r="D130" s="938">
        <v>30685</v>
      </c>
      <c r="E130" s="938"/>
      <c r="F130" s="938">
        <v>35880</v>
      </c>
      <c r="G130" s="938">
        <v>66565</v>
      </c>
    </row>
    <row r="131" spans="2:7">
      <c r="B131" s="939" t="s">
        <v>2486</v>
      </c>
      <c r="C131" s="938">
        <v>32550</v>
      </c>
      <c r="D131" s="938">
        <v>10540</v>
      </c>
      <c r="E131" s="938">
        <v>47849</v>
      </c>
      <c r="F131" s="938">
        <v>38900</v>
      </c>
      <c r="G131" s="938">
        <v>129839</v>
      </c>
    </row>
    <row r="132" spans="2:7">
      <c r="B132" s="937" t="s">
        <v>1603</v>
      </c>
      <c r="C132" s="938">
        <v>246627</v>
      </c>
      <c r="D132" s="938">
        <v>286474</v>
      </c>
      <c r="E132" s="938">
        <v>239979</v>
      </c>
      <c r="F132" s="938">
        <v>282167</v>
      </c>
      <c r="G132" s="938">
        <v>1055247</v>
      </c>
    </row>
    <row r="133" spans="2:7">
      <c r="B133" s="939" t="s">
        <v>1818</v>
      </c>
      <c r="C133" s="938">
        <v>116102</v>
      </c>
      <c r="D133" s="938">
        <v>36706</v>
      </c>
      <c r="E133" s="938">
        <v>95799</v>
      </c>
      <c r="F133" s="938">
        <v>47941</v>
      </c>
      <c r="G133" s="938">
        <v>296548</v>
      </c>
    </row>
    <row r="134" spans="2:7">
      <c r="B134" s="939" t="s">
        <v>1819</v>
      </c>
      <c r="C134" s="938">
        <v>63375</v>
      </c>
      <c r="D134" s="938">
        <v>96444</v>
      </c>
      <c r="E134" s="938">
        <v>33115</v>
      </c>
      <c r="F134" s="938">
        <v>22573</v>
      </c>
      <c r="G134" s="938">
        <v>215507</v>
      </c>
    </row>
    <row r="135" spans="2:7">
      <c r="B135" s="939" t="s">
        <v>1820</v>
      </c>
      <c r="C135" s="938">
        <v>34952</v>
      </c>
      <c r="D135" s="938">
        <v>112298</v>
      </c>
      <c r="E135" s="938">
        <v>63461</v>
      </c>
      <c r="F135" s="938">
        <v>137666</v>
      </c>
      <c r="G135" s="938">
        <v>348377</v>
      </c>
    </row>
    <row r="136" spans="2:7">
      <c r="B136" s="939" t="s">
        <v>1821</v>
      </c>
      <c r="C136" s="938"/>
      <c r="D136" s="938">
        <v>30561</v>
      </c>
      <c r="E136" s="938"/>
      <c r="F136" s="938">
        <v>35620</v>
      </c>
      <c r="G136" s="938">
        <v>66181</v>
      </c>
    </row>
    <row r="137" spans="2:7">
      <c r="B137" s="939" t="s">
        <v>2488</v>
      </c>
      <c r="C137" s="938">
        <v>32198</v>
      </c>
      <c r="D137" s="938">
        <v>10465</v>
      </c>
      <c r="E137" s="938">
        <v>47604</v>
      </c>
      <c r="F137" s="938">
        <v>38367</v>
      </c>
      <c r="G137" s="938">
        <v>128634</v>
      </c>
    </row>
    <row r="138" spans="2:7">
      <c r="B138" s="937" t="s">
        <v>158</v>
      </c>
      <c r="C138" s="938">
        <v>161749</v>
      </c>
      <c r="D138" s="938">
        <v>171349</v>
      </c>
      <c r="E138" s="938">
        <v>187574</v>
      </c>
      <c r="F138" s="938">
        <v>123144</v>
      </c>
      <c r="G138" s="938">
        <v>643816</v>
      </c>
    </row>
    <row r="139" spans="2:7">
      <c r="B139" s="939" t="s">
        <v>108</v>
      </c>
      <c r="C139" s="938">
        <v>39974</v>
      </c>
      <c r="D139" s="938">
        <v>40772</v>
      </c>
      <c r="E139" s="938">
        <v>55612</v>
      </c>
      <c r="F139" s="938">
        <v>3000</v>
      </c>
      <c r="G139" s="938">
        <v>139358</v>
      </c>
    </row>
    <row r="140" spans="2:7">
      <c r="B140" s="939" t="s">
        <v>109</v>
      </c>
      <c r="C140" s="938">
        <v>60208</v>
      </c>
      <c r="D140" s="938">
        <v>43925</v>
      </c>
      <c r="E140" s="938">
        <v>16409</v>
      </c>
      <c r="F140" s="938">
        <v>4405</v>
      </c>
      <c r="G140" s="938">
        <v>124947</v>
      </c>
    </row>
    <row r="141" spans="2:7">
      <c r="B141" s="939" t="s">
        <v>110</v>
      </c>
      <c r="C141" s="938">
        <v>38087</v>
      </c>
      <c r="D141" s="938">
        <v>57811</v>
      </c>
      <c r="E141" s="938">
        <v>56202</v>
      </c>
      <c r="F141" s="938">
        <v>63396</v>
      </c>
      <c r="G141" s="938">
        <v>215496</v>
      </c>
    </row>
    <row r="142" spans="2:7">
      <c r="B142" s="939" t="s">
        <v>111</v>
      </c>
      <c r="C142" s="938"/>
      <c r="D142" s="938">
        <v>12554</v>
      </c>
      <c r="E142" s="938">
        <v>17866</v>
      </c>
      <c r="F142" s="938">
        <v>35603</v>
      </c>
      <c r="G142" s="938">
        <v>66023</v>
      </c>
    </row>
    <row r="143" spans="2:7">
      <c r="B143" s="939" t="s">
        <v>2091</v>
      </c>
      <c r="C143" s="938">
        <v>23480</v>
      </c>
      <c r="D143" s="938">
        <v>16287</v>
      </c>
      <c r="E143" s="938">
        <v>41485</v>
      </c>
      <c r="F143" s="938">
        <v>16740</v>
      </c>
      <c r="G143" s="938">
        <v>97992</v>
      </c>
    </row>
    <row r="144" spans="2:7">
      <c r="B144" s="510" t="s">
        <v>162</v>
      </c>
      <c r="C144" s="938">
        <v>1758744</v>
      </c>
      <c r="D144" s="938">
        <v>1938035</v>
      </c>
      <c r="E144" s="938">
        <v>1714436</v>
      </c>
      <c r="F144" s="938">
        <v>1929619</v>
      </c>
      <c r="G144" s="938">
        <v>7340834</v>
      </c>
    </row>
    <row r="147" spans="2:7">
      <c r="B147" s="518" t="s">
        <v>4285</v>
      </c>
      <c r="C147" s="518" t="s">
        <v>4283</v>
      </c>
    </row>
    <row r="148" spans="2:7">
      <c r="B148" s="518" t="s">
        <v>148</v>
      </c>
      <c r="C148" s="441">
        <v>8</v>
      </c>
      <c r="D148" s="441">
        <v>9</v>
      </c>
      <c r="E148" s="441">
        <v>10</v>
      </c>
      <c r="F148" s="441">
        <v>11</v>
      </c>
      <c r="G148" s="441" t="s">
        <v>162</v>
      </c>
    </row>
    <row r="149" spans="2:7">
      <c r="B149" s="510" t="s">
        <v>2051</v>
      </c>
      <c r="C149" s="938">
        <v>4148.9330000000009</v>
      </c>
      <c r="D149" s="938">
        <v>4311.593100000001</v>
      </c>
      <c r="E149" s="938">
        <v>4621.3081999999995</v>
      </c>
      <c r="F149" s="938">
        <v>5485.0159249999988</v>
      </c>
      <c r="G149" s="938">
        <v>18566.850225000002</v>
      </c>
    </row>
    <row r="150" spans="2:7">
      <c r="B150" s="510" t="s">
        <v>149</v>
      </c>
      <c r="C150" s="938">
        <v>1798.0887999999998</v>
      </c>
      <c r="D150" s="938">
        <v>1872.0025999999998</v>
      </c>
      <c r="E150" s="938">
        <v>1434.7532000000008</v>
      </c>
      <c r="F150" s="938">
        <v>2453.1875999999993</v>
      </c>
      <c r="G150" s="938">
        <v>7558.0321999999996</v>
      </c>
    </row>
    <row r="151" spans="2:7">
      <c r="B151" s="510" t="s">
        <v>153</v>
      </c>
      <c r="C151" s="938">
        <v>523.30424000000005</v>
      </c>
      <c r="D151" s="938">
        <v>946.56792999999993</v>
      </c>
      <c r="E151" s="938">
        <v>459.96460000000008</v>
      </c>
      <c r="F151" s="938">
        <v>610.82711000000006</v>
      </c>
      <c r="G151" s="938">
        <v>2540.6638800000001</v>
      </c>
    </row>
    <row r="152" spans="2:7">
      <c r="B152" s="510" t="s">
        <v>162</v>
      </c>
      <c r="C152" s="938">
        <v>6470.3260400000008</v>
      </c>
      <c r="D152" s="938">
        <v>7130.1636300000009</v>
      </c>
      <c r="E152" s="938">
        <v>6516.0260000000007</v>
      </c>
      <c r="F152" s="938">
        <v>8549.0306349999973</v>
      </c>
      <c r="G152" s="938">
        <v>28665.546305000003</v>
      </c>
    </row>
    <row r="154" spans="2:7">
      <c r="B154" s="518" t="s">
        <v>4286</v>
      </c>
      <c r="C154" s="518" t="s">
        <v>4283</v>
      </c>
    </row>
    <row r="155" spans="2:7">
      <c r="B155" s="518" t="s">
        <v>148</v>
      </c>
      <c r="C155" s="441">
        <v>8</v>
      </c>
      <c r="D155" s="441">
        <v>9</v>
      </c>
      <c r="E155" s="441">
        <v>10</v>
      </c>
      <c r="F155" s="441">
        <v>11</v>
      </c>
      <c r="G155" s="441" t="s">
        <v>162</v>
      </c>
    </row>
    <row r="156" spans="2:7">
      <c r="B156" s="510" t="s">
        <v>2051</v>
      </c>
      <c r="C156" s="936">
        <v>0.95382355889225623</v>
      </c>
      <c r="D156" s="936">
        <v>0.97990345195695572</v>
      </c>
      <c r="E156" s="936">
        <v>0.97407827049256079</v>
      </c>
      <c r="F156" s="936">
        <v>0.97191496222732299</v>
      </c>
      <c r="G156" s="936">
        <v>0.97053111129103331</v>
      </c>
    </row>
    <row r="157" spans="2:7">
      <c r="B157" s="510" t="s">
        <v>149</v>
      </c>
      <c r="C157" s="936">
        <v>0.93886824900265453</v>
      </c>
      <c r="D157" s="936">
        <v>0.93968063208128527</v>
      </c>
      <c r="E157" s="936">
        <v>0.95639792698029835</v>
      </c>
      <c r="F157" s="936">
        <v>0.95254000683989071</v>
      </c>
      <c r="G157" s="936">
        <v>0.94711220838231869</v>
      </c>
    </row>
    <row r="158" spans="2:7">
      <c r="B158" s="510" t="s">
        <v>153</v>
      </c>
      <c r="C158" s="936">
        <v>0.91689725855645099</v>
      </c>
      <c r="D158" s="936">
        <v>0.92667731779514073</v>
      </c>
      <c r="E158" s="936">
        <v>0.92916208097162234</v>
      </c>
      <c r="F158" s="936">
        <v>0.9213415639071969</v>
      </c>
      <c r="G158" s="936">
        <v>0.92346315280951952</v>
      </c>
    </row>
    <row r="159" spans="2:7">
      <c r="B159" s="510" t="s">
        <v>162</v>
      </c>
      <c r="C159" s="936">
        <v>0.94459192050686447</v>
      </c>
      <c r="D159" s="936">
        <v>0.95865805412248184</v>
      </c>
      <c r="E159" s="936">
        <v>0.96475029751190267</v>
      </c>
      <c r="F159" s="936">
        <v>0.96103768764791841</v>
      </c>
      <c r="G159" s="936">
        <v>0.95759441955583069</v>
      </c>
    </row>
    <row r="161" spans="2:7">
      <c r="B161" s="518" t="s">
        <v>4287</v>
      </c>
      <c r="C161" s="518" t="s">
        <v>4283</v>
      </c>
    </row>
    <row r="162" spans="2:7">
      <c r="B162" s="518" t="s">
        <v>5</v>
      </c>
      <c r="C162" s="441">
        <v>8</v>
      </c>
      <c r="D162" s="441">
        <v>9</v>
      </c>
      <c r="E162" s="441">
        <v>10</v>
      </c>
      <c r="F162" s="441">
        <v>11</v>
      </c>
      <c r="G162" s="441" t="s">
        <v>162</v>
      </c>
    </row>
    <row r="163" spans="2:7">
      <c r="B163" s="510" t="s">
        <v>161</v>
      </c>
      <c r="C163" s="936">
        <v>0.84872448065476314</v>
      </c>
      <c r="D163" s="936">
        <v>0.79817189182274495</v>
      </c>
      <c r="E163" s="936">
        <v>0.84387693130230057</v>
      </c>
      <c r="F163" s="936">
        <v>0.81841648027075431</v>
      </c>
      <c r="G163" s="936">
        <v>0.82683380222989855</v>
      </c>
    </row>
    <row r="164" spans="2:7">
      <c r="B164" s="510" t="s">
        <v>160</v>
      </c>
      <c r="C164" s="936">
        <v>0.66482076585939076</v>
      </c>
      <c r="D164" s="936">
        <v>0.83326561129271093</v>
      </c>
      <c r="E164" s="936">
        <v>1.1450498562567033</v>
      </c>
      <c r="F164" s="936">
        <v>1.07002024484368</v>
      </c>
      <c r="G164" s="936">
        <v>0.92677809193231242</v>
      </c>
    </row>
    <row r="165" spans="2:7">
      <c r="B165" s="510" t="s">
        <v>2120</v>
      </c>
      <c r="C165" s="936">
        <v>0.86747377733458486</v>
      </c>
      <c r="D165" s="936">
        <v>0.9086697984477059</v>
      </c>
      <c r="E165" s="936">
        <v>0.86926112562514546</v>
      </c>
      <c r="F165" s="936">
        <v>0.9771713256008645</v>
      </c>
      <c r="G165" s="936">
        <v>0.89593294043465521</v>
      </c>
    </row>
    <row r="166" spans="2:7">
      <c r="B166" s="510" t="s">
        <v>2133</v>
      </c>
      <c r="C166" s="936">
        <v>0.99411172141861304</v>
      </c>
      <c r="D166" s="936">
        <v>1.0777437605195452</v>
      </c>
      <c r="E166" s="936">
        <v>0.99525789408237708</v>
      </c>
      <c r="F166" s="936">
        <v>0.95045747237019562</v>
      </c>
      <c r="G166" s="936">
        <v>1.0060392666100133</v>
      </c>
    </row>
    <row r="167" spans="2:7">
      <c r="B167" s="510" t="s">
        <v>1805</v>
      </c>
      <c r="C167" s="936">
        <v>0.80056077229310296</v>
      </c>
      <c r="D167" s="936">
        <v>0.81927834599073712</v>
      </c>
      <c r="E167" s="936">
        <v>0.79539868955984927</v>
      </c>
      <c r="F167" s="936">
        <v>0.75013124563242495</v>
      </c>
      <c r="G167" s="936">
        <v>0.78929661217938418</v>
      </c>
    </row>
    <row r="168" spans="2:7">
      <c r="B168" s="510" t="s">
        <v>155</v>
      </c>
      <c r="C168" s="936">
        <v>0.86583963269827979</v>
      </c>
      <c r="D168" s="936">
        <v>0.82880745123832544</v>
      </c>
      <c r="E168" s="936">
        <v>0.79626197824066058</v>
      </c>
      <c r="F168" s="936">
        <v>0.79079948532793143</v>
      </c>
      <c r="G168" s="936">
        <v>0.81706880509091062</v>
      </c>
    </row>
    <row r="169" spans="2:7">
      <c r="B169" s="510" t="s">
        <v>156</v>
      </c>
      <c r="C169" s="936">
        <v>0.81257310705885644</v>
      </c>
      <c r="D169" s="936">
        <v>0.78016277095000552</v>
      </c>
      <c r="E169" s="936">
        <v>0.7731638359917532</v>
      </c>
      <c r="F169" s="936">
        <v>0.77280969993170223</v>
      </c>
      <c r="G169" s="936">
        <v>0.7841648060107953</v>
      </c>
    </row>
    <row r="170" spans="2:7">
      <c r="B170" s="510" t="s">
        <v>158</v>
      </c>
      <c r="C170" s="936">
        <v>0.8043350662767883</v>
      </c>
      <c r="D170" s="936">
        <v>0.67860281795971344</v>
      </c>
      <c r="E170" s="936">
        <v>0.64540211038324302</v>
      </c>
      <c r="F170" s="936">
        <v>0.7510134341475786</v>
      </c>
      <c r="G170" s="936">
        <v>0.71355643595454799</v>
      </c>
    </row>
    <row r="171" spans="2:7">
      <c r="B171" s="510" t="s">
        <v>162</v>
      </c>
      <c r="C171" s="936">
        <v>0.83018602375368777</v>
      </c>
      <c r="D171" s="936">
        <v>0.84482057982911396</v>
      </c>
      <c r="E171" s="936">
        <v>0.86614408783000785</v>
      </c>
      <c r="F171" s="936">
        <v>0.84264570113441073</v>
      </c>
      <c r="G171" s="936">
        <v>0.84627734345197614</v>
      </c>
    </row>
    <row r="175" spans="2:7">
      <c r="B175" s="518" t="s">
        <v>4288</v>
      </c>
      <c r="C175" s="518" t="s">
        <v>4283</v>
      </c>
    </row>
    <row r="176" spans="2:7">
      <c r="B176" s="518" t="s">
        <v>5</v>
      </c>
      <c r="C176" s="441">
        <v>8</v>
      </c>
      <c r="D176" s="441">
        <v>9</v>
      </c>
      <c r="E176" s="441">
        <v>10</v>
      </c>
      <c r="F176" s="441">
        <v>11</v>
      </c>
      <c r="G176" s="441" t="s">
        <v>162</v>
      </c>
    </row>
    <row r="177" spans="2:7">
      <c r="B177" s="510" t="s">
        <v>161</v>
      </c>
      <c r="C177" s="941">
        <v>2430.3392857142858</v>
      </c>
      <c r="D177" s="941">
        <v>2340.2222222222222</v>
      </c>
      <c r="E177" s="941">
        <v>2678.9</v>
      </c>
      <c r="F177" s="941">
        <v>2514.3809523809523</v>
      </c>
      <c r="G177" s="941">
        <v>2487.9910313901346</v>
      </c>
    </row>
    <row r="178" spans="2:7">
      <c r="B178" s="510" t="s">
        <v>160</v>
      </c>
      <c r="C178" s="941">
        <v>372.04999999999995</v>
      </c>
      <c r="D178" s="941">
        <v>558.39473684210532</v>
      </c>
      <c r="E178" s="941">
        <v>725.11022727272723</v>
      </c>
      <c r="F178" s="941">
        <v>837.81481481481489</v>
      </c>
      <c r="G178" s="941">
        <v>620.16464354527955</v>
      </c>
    </row>
    <row r="179" spans="2:7">
      <c r="B179" s="510" t="s">
        <v>2120</v>
      </c>
      <c r="C179" s="941">
        <v>3118.3249999999998</v>
      </c>
      <c r="D179" s="941">
        <v>2749.3953488372094</v>
      </c>
      <c r="E179" s="941">
        <v>2845.0185185185187</v>
      </c>
      <c r="F179" s="941">
        <v>3672.6</v>
      </c>
      <c r="G179" s="941">
        <v>3014.8333333333335</v>
      </c>
    </row>
    <row r="180" spans="2:7">
      <c r="B180" s="510" t="s">
        <v>2133</v>
      </c>
      <c r="C180" s="941">
        <v>4480.9473684210525</v>
      </c>
      <c r="D180" s="941">
        <v>5113.4594594594591</v>
      </c>
      <c r="E180" s="941">
        <v>4765.625</v>
      </c>
      <c r="F180" s="941">
        <v>4492.8717948717949</v>
      </c>
      <c r="G180" s="941">
        <v>4738.9327731092435</v>
      </c>
    </row>
    <row r="181" spans="2:7">
      <c r="B181" s="510" t="s">
        <v>1805</v>
      </c>
      <c r="C181" s="941">
        <v>5506.666666666667</v>
      </c>
      <c r="D181" s="941">
        <v>5537.0377358490568</v>
      </c>
      <c r="E181" s="941">
        <v>5876.0243902439024</v>
      </c>
      <c r="F181" s="941">
        <v>5492.132075471698</v>
      </c>
      <c r="G181" s="941">
        <v>5601.8035714285716</v>
      </c>
    </row>
    <row r="182" spans="2:7">
      <c r="B182" s="510" t="s">
        <v>155</v>
      </c>
      <c r="C182" s="941">
        <v>4736.7241379310344</v>
      </c>
      <c r="D182" s="941">
        <v>4477.3278688524588</v>
      </c>
      <c r="E182" s="941">
        <v>4317.9482758620688</v>
      </c>
      <c r="F182" s="941">
        <v>4317.0786516853932</v>
      </c>
      <c r="G182" s="941">
        <v>4445.5187969924809</v>
      </c>
    </row>
    <row r="183" spans="2:7">
      <c r="B183" s="510" t="s">
        <v>144</v>
      </c>
      <c r="C183" s="941">
        <v>7116.5789473684208</v>
      </c>
      <c r="D183" s="941">
        <v>5728.8888888888887</v>
      </c>
      <c r="E183" s="941"/>
      <c r="F183" s="941"/>
      <c r="G183" s="941">
        <v>6850.8510638297876</v>
      </c>
    </row>
    <row r="184" spans="2:7">
      <c r="B184" s="510" t="s">
        <v>156</v>
      </c>
      <c r="C184" s="941">
        <v>6003.681818181818</v>
      </c>
      <c r="D184" s="941">
        <v>5445.25</v>
      </c>
      <c r="E184" s="941">
        <v>5933.7</v>
      </c>
      <c r="F184" s="941">
        <v>5660.0566037735853</v>
      </c>
      <c r="G184" s="941">
        <v>5738.867724867725</v>
      </c>
    </row>
    <row r="185" spans="2:7">
      <c r="B185" s="510" t="s">
        <v>1603</v>
      </c>
      <c r="C185" s="941">
        <v>6413.958333333333</v>
      </c>
      <c r="D185" s="941">
        <v>6208.7258064516127</v>
      </c>
      <c r="E185" s="941">
        <v>8073.770833333333</v>
      </c>
      <c r="F185" s="941">
        <v>7691.8269230769229</v>
      </c>
      <c r="G185" s="941">
        <v>7049.1761904761906</v>
      </c>
    </row>
    <row r="186" spans="2:7">
      <c r="B186" s="510" t="s">
        <v>158</v>
      </c>
      <c r="C186" s="941">
        <v>7365.1428571428569</v>
      </c>
      <c r="D186" s="941">
        <v>5711.6333333333332</v>
      </c>
      <c r="E186" s="941">
        <v>5516.8823529411766</v>
      </c>
      <c r="F186" s="941">
        <v>6337.409090909091</v>
      </c>
      <c r="G186" s="941">
        <v>6180.4385964912281</v>
      </c>
    </row>
    <row r="187" spans="2:7">
      <c r="B187" s="510" t="s">
        <v>162</v>
      </c>
      <c r="C187" s="941">
        <v>4403.922285714285</v>
      </c>
      <c r="D187" s="941">
        <v>3992.865291262136</v>
      </c>
      <c r="E187" s="941">
        <v>4119.6572443181822</v>
      </c>
      <c r="F187" s="941">
        <v>4305.2894514767931</v>
      </c>
      <c r="G187" s="941">
        <v>4199.5639385906779</v>
      </c>
    </row>
    <row r="190" spans="2:7">
      <c r="B190" s="518" t="s">
        <v>201</v>
      </c>
      <c r="C190" s="518" t="s">
        <v>4283</v>
      </c>
    </row>
    <row r="191" spans="2:7">
      <c r="B191" s="518" t="s">
        <v>5</v>
      </c>
      <c r="C191" s="441">
        <v>8</v>
      </c>
      <c r="D191" s="441">
        <v>9</v>
      </c>
      <c r="E191" s="441">
        <v>10</v>
      </c>
      <c r="F191" s="441">
        <v>11</v>
      </c>
      <c r="G191" s="441" t="s">
        <v>162</v>
      </c>
    </row>
    <row r="192" spans="2:7">
      <c r="B192" s="510" t="s">
        <v>161</v>
      </c>
      <c r="C192" s="936">
        <v>2.2317923940837963E-2</v>
      </c>
      <c r="D192" s="936">
        <v>2.0927502579260574E-2</v>
      </c>
      <c r="E192" s="936">
        <v>2.0933668184602669E-2</v>
      </c>
      <c r="F192" s="936">
        <v>2.1075943103838403E-2</v>
      </c>
      <c r="G192" s="936">
        <v>2.1319985223044617E-2</v>
      </c>
    </row>
    <row r="193" spans="2:7">
      <c r="B193" s="510" t="s">
        <v>160</v>
      </c>
      <c r="C193" s="936">
        <v>1.5845944802874993E-2</v>
      </c>
      <c r="D193" s="936">
        <v>1.0007592359610721E-2</v>
      </c>
      <c r="E193" s="936">
        <v>8.961899122272356E-3</v>
      </c>
      <c r="F193" s="936">
        <v>1.2208450359672109E-2</v>
      </c>
      <c r="G193" s="936">
        <v>1.1414534981095315E-2</v>
      </c>
    </row>
    <row r="194" spans="2:7">
      <c r="B194" s="510" t="s">
        <v>2120</v>
      </c>
      <c r="C194" s="936">
        <v>1.8259913286866093E-3</v>
      </c>
      <c r="D194" s="936">
        <v>1.2393379578005017E-3</v>
      </c>
      <c r="E194" s="936">
        <v>6.4337878106429723E-4</v>
      </c>
      <c r="F194" s="936">
        <v>1.0808962472569001E-3</v>
      </c>
      <c r="G194" s="936">
        <v>1.1610867018011142E-3</v>
      </c>
    </row>
    <row r="195" spans="2:7">
      <c r="B195" s="510" t="s">
        <v>2133</v>
      </c>
      <c r="C195" s="936">
        <v>9.6586566370660282E-3</v>
      </c>
      <c r="D195" s="936">
        <v>1.6389257519458906E-3</v>
      </c>
      <c r="E195" s="936">
        <v>2.1694394662514853E-3</v>
      </c>
      <c r="F195" s="936">
        <v>2.3557876818069076E-3</v>
      </c>
      <c r="G195" s="936">
        <v>3.2613192916534288E-3</v>
      </c>
    </row>
    <row r="196" spans="2:7">
      <c r="B196" s="510" t="s">
        <v>155</v>
      </c>
      <c r="C196" s="936">
        <v>1.3221572004142333E-2</v>
      </c>
      <c r="D196" s="936">
        <v>2.3530065383134992E-2</v>
      </c>
      <c r="E196" s="936">
        <v>1.5050802756243263E-2</v>
      </c>
      <c r="F196" s="936">
        <v>1.4610733320863363E-2</v>
      </c>
      <c r="G196" s="936">
        <v>1.6449199210640749E-2</v>
      </c>
    </row>
    <row r="197" spans="2:7">
      <c r="B197" s="510" t="s">
        <v>1603</v>
      </c>
      <c r="C197" s="936">
        <v>7.817445511287725E-3</v>
      </c>
      <c r="D197" s="936">
        <v>7.3040197303023604E-3</v>
      </c>
      <c r="E197" s="936">
        <v>9.5184430527361138E-3</v>
      </c>
      <c r="F197" s="936">
        <v>6.0700423911882089E-3</v>
      </c>
      <c r="G197" s="936">
        <v>7.6219718033032251E-3</v>
      </c>
    </row>
    <row r="198" spans="2:7">
      <c r="B198" s="510" t="s">
        <v>162</v>
      </c>
      <c r="C198" s="936">
        <v>1.3009792924263117E-2</v>
      </c>
      <c r="D198" s="936">
        <v>1.22834215151799E-2</v>
      </c>
      <c r="E198" s="936">
        <v>1.0351201437422837E-2</v>
      </c>
      <c r="F198" s="936">
        <v>1.2030083172624615E-2</v>
      </c>
      <c r="G198" s="936">
        <v>1.1909406800805588E-2</v>
      </c>
    </row>
    <row r="201" spans="2:7">
      <c r="B201" s="518" t="s">
        <v>4293</v>
      </c>
      <c r="C201" s="518" t="s">
        <v>4283</v>
      </c>
    </row>
    <row r="202" spans="2:7">
      <c r="B202" s="518" t="s">
        <v>5</v>
      </c>
      <c r="C202" s="441">
        <v>8</v>
      </c>
      <c r="D202" s="441">
        <v>9</v>
      </c>
      <c r="E202" s="441">
        <v>10</v>
      </c>
      <c r="F202" s="441">
        <v>11</v>
      </c>
      <c r="G202" s="441" t="s">
        <v>162</v>
      </c>
    </row>
    <row r="203" spans="2:7">
      <c r="B203" s="510" t="s">
        <v>161</v>
      </c>
      <c r="C203" s="936">
        <v>2.3547854310574216E-2</v>
      </c>
      <c r="D203" s="936">
        <v>1.9240488053005881E-2</v>
      </c>
      <c r="E203" s="936">
        <v>1.6425389317872807E-2</v>
      </c>
      <c r="F203" s="936">
        <v>2.0593259036925108E-2</v>
      </c>
      <c r="G203" s="936">
        <v>2.007314341468338E-2</v>
      </c>
    </row>
    <row r="204" spans="2:7">
      <c r="B204" s="510" t="s">
        <v>160</v>
      </c>
      <c r="C204" s="936">
        <v>0</v>
      </c>
      <c r="D204" s="936">
        <v>0</v>
      </c>
      <c r="E204" s="936">
        <v>0</v>
      </c>
      <c r="F204" s="936">
        <v>0</v>
      </c>
      <c r="G204" s="936">
        <v>0</v>
      </c>
    </row>
    <row r="205" spans="2:7">
      <c r="B205" s="510" t="s">
        <v>2120</v>
      </c>
      <c r="C205" s="936">
        <v>7.0256786767671148E-4</v>
      </c>
      <c r="D205" s="936">
        <v>3.697267719155544E-5</v>
      </c>
      <c r="E205" s="936">
        <v>2.565046226593953E-4</v>
      </c>
      <c r="F205" s="936">
        <v>2.402542258970764E-4</v>
      </c>
      <c r="G205" s="936">
        <v>3.0586509319345431E-4</v>
      </c>
    </row>
    <row r="206" spans="2:7">
      <c r="B206" s="510" t="s">
        <v>2133</v>
      </c>
      <c r="C206" s="936">
        <v>2.2538505933750889E-2</v>
      </c>
      <c r="D206" s="936">
        <v>4.4554382672022815E-4</v>
      </c>
      <c r="E206" s="936">
        <v>1.6123063038269939E-3</v>
      </c>
      <c r="F206" s="936">
        <v>2.2137613165356842E-3</v>
      </c>
      <c r="G206" s="936">
        <v>4.7878048484592825E-3</v>
      </c>
    </row>
    <row r="207" spans="2:7">
      <c r="B207" s="510" t="s">
        <v>155</v>
      </c>
      <c r="C207" s="936">
        <v>1.7054062563544775E-2</v>
      </c>
      <c r="D207" s="936">
        <v>2.054231073082928E-2</v>
      </c>
      <c r="E207" s="936">
        <v>2.4760804812732788E-2</v>
      </c>
      <c r="F207" s="936">
        <v>1.4889667678722971E-2</v>
      </c>
      <c r="G207" s="936">
        <v>1.8810239420342219E-2</v>
      </c>
    </row>
    <row r="208" spans="2:7">
      <c r="B208" s="510" t="s">
        <v>1603</v>
      </c>
      <c r="C208" s="936">
        <v>0</v>
      </c>
      <c r="D208" s="936">
        <v>0</v>
      </c>
      <c r="E208" s="936">
        <v>0</v>
      </c>
      <c r="F208" s="936">
        <v>0</v>
      </c>
      <c r="G208" s="936">
        <v>0</v>
      </c>
    </row>
    <row r="209" spans="2:7">
      <c r="B209" s="510" t="s">
        <v>162</v>
      </c>
      <c r="C209" s="936">
        <v>1.1863303852043292E-2</v>
      </c>
      <c r="D209" s="936">
        <v>8.1630468415222202E-3</v>
      </c>
      <c r="E209" s="936">
        <v>9.0942627793212539E-3</v>
      </c>
      <c r="F209" s="936">
        <v>9.7658229846221065E-3</v>
      </c>
      <c r="G209" s="936">
        <v>9.6365778524326508E-3</v>
      </c>
    </row>
    <row r="212" spans="2:7">
      <c r="B212" s="518" t="s">
        <v>4289</v>
      </c>
      <c r="C212" s="518" t="s">
        <v>4283</v>
      </c>
    </row>
    <row r="213" spans="2:7">
      <c r="B213" s="518" t="s">
        <v>5</v>
      </c>
      <c r="C213" s="441">
        <v>8</v>
      </c>
      <c r="D213" s="441">
        <v>9</v>
      </c>
      <c r="E213" s="441">
        <v>10</v>
      </c>
      <c r="F213" s="441">
        <v>11</v>
      </c>
      <c r="G213" s="441" t="s">
        <v>162</v>
      </c>
    </row>
    <row r="214" spans="2:7">
      <c r="B214" s="510" t="s">
        <v>161</v>
      </c>
      <c r="C214" s="941">
        <v>33.4</v>
      </c>
      <c r="D214" s="941">
        <v>54.333333333333329</v>
      </c>
      <c r="E214" s="941">
        <v>43</v>
      </c>
      <c r="F214" s="941">
        <v>33.833333333333336</v>
      </c>
      <c r="G214" s="941">
        <v>164.56666666666666</v>
      </c>
    </row>
    <row r="215" spans="2:7">
      <c r="B215" s="510" t="s">
        <v>160</v>
      </c>
      <c r="C215" s="941">
        <v>40.083333333333343</v>
      </c>
      <c r="D215" s="941">
        <v>69.3</v>
      </c>
      <c r="E215" s="941">
        <v>32.166666666666679</v>
      </c>
      <c r="F215" s="941">
        <v>31.333333333333329</v>
      </c>
      <c r="G215" s="941">
        <v>172.88333333333333</v>
      </c>
    </row>
    <row r="216" spans="2:7">
      <c r="B216" s="510" t="s">
        <v>2120</v>
      </c>
      <c r="C216" s="941">
        <v>12.833333333333334</v>
      </c>
      <c r="D216" s="941">
        <v>7.75</v>
      </c>
      <c r="E216" s="941">
        <v>36.416666666666671</v>
      </c>
      <c r="F216" s="941">
        <v>2.9166666666666665</v>
      </c>
      <c r="G216" s="941">
        <v>59.916666666666671</v>
      </c>
    </row>
    <row r="217" spans="2:7">
      <c r="B217" s="510" t="s">
        <v>2133</v>
      </c>
      <c r="C217" s="941">
        <v>3.7833333333333332</v>
      </c>
      <c r="D217" s="941">
        <v>5.6666666666666661</v>
      </c>
      <c r="E217" s="941">
        <v>7.6666666666666652</v>
      </c>
      <c r="F217" s="941">
        <v>6.5</v>
      </c>
      <c r="G217" s="941">
        <v>23.616666666666664</v>
      </c>
    </row>
    <row r="218" spans="2:7">
      <c r="B218" s="510" t="s">
        <v>1805</v>
      </c>
      <c r="C218" s="941">
        <v>16.833333333333332</v>
      </c>
      <c r="D218" s="941">
        <v>43.749999999999979</v>
      </c>
      <c r="E218" s="941">
        <v>43.083333333333314</v>
      </c>
      <c r="F218" s="941">
        <v>30.166666666666671</v>
      </c>
      <c r="G218" s="941">
        <v>133.83333333333331</v>
      </c>
    </row>
    <row r="219" spans="2:7">
      <c r="B219" s="510" t="s">
        <v>155</v>
      </c>
      <c r="C219" s="941">
        <v>34.916666666666671</v>
      </c>
      <c r="D219" s="941">
        <v>36.583333333333329</v>
      </c>
      <c r="E219" s="941">
        <v>61.916666666666671</v>
      </c>
      <c r="F219" s="941">
        <v>42.5</v>
      </c>
      <c r="G219" s="941">
        <v>175.91666666666669</v>
      </c>
    </row>
    <row r="220" spans="2:7">
      <c r="B220" s="510" t="s">
        <v>156</v>
      </c>
      <c r="C220" s="941">
        <v>36.333333333333329</v>
      </c>
      <c r="D220" s="941">
        <v>49.5833333333333</v>
      </c>
      <c r="E220" s="941">
        <v>41.66666666666665</v>
      </c>
      <c r="F220" s="941">
        <v>39.550000000000011</v>
      </c>
      <c r="G220" s="941">
        <v>167.1333333333333</v>
      </c>
    </row>
    <row r="221" spans="2:7">
      <c r="B221" s="510" t="s">
        <v>1603</v>
      </c>
      <c r="C221" s="941">
        <v>20.5</v>
      </c>
      <c r="D221" s="941">
        <v>20.833333333333332</v>
      </c>
      <c r="E221" s="941">
        <v>14.16666666666667</v>
      </c>
      <c r="F221" s="941">
        <v>15.000000000000004</v>
      </c>
      <c r="G221" s="941">
        <v>70.5</v>
      </c>
    </row>
    <row r="222" spans="2:7">
      <c r="B222" s="510" t="s">
        <v>158</v>
      </c>
      <c r="C222" s="941">
        <v>5.666666666666667</v>
      </c>
      <c r="D222" s="941">
        <v>10.16666666666667</v>
      </c>
      <c r="E222" s="941">
        <v>19.166666666666664</v>
      </c>
      <c r="F222" s="941">
        <v>6.6666666666666661</v>
      </c>
      <c r="G222" s="941">
        <v>41.666666666666664</v>
      </c>
    </row>
    <row r="223" spans="2:7">
      <c r="B223" s="510" t="s">
        <v>162</v>
      </c>
      <c r="C223" s="941">
        <v>204.35</v>
      </c>
      <c r="D223" s="941">
        <v>297.96666666666658</v>
      </c>
      <c r="E223" s="941">
        <v>299.25</v>
      </c>
      <c r="F223" s="941">
        <v>208.46666666666667</v>
      </c>
      <c r="G223" s="941">
        <v>1010.0333333333333</v>
      </c>
    </row>
    <row r="226" spans="2:7">
      <c r="B226" s="518" t="s">
        <v>4290</v>
      </c>
      <c r="C226" s="518" t="s">
        <v>4283</v>
      </c>
    </row>
    <row r="227" spans="2:7">
      <c r="B227" s="518" t="s">
        <v>5</v>
      </c>
      <c r="C227" s="441">
        <v>8</v>
      </c>
      <c r="D227" s="441">
        <v>9</v>
      </c>
      <c r="E227" s="441">
        <v>10</v>
      </c>
      <c r="F227" s="441">
        <v>11</v>
      </c>
      <c r="G227" s="441" t="s">
        <v>162</v>
      </c>
    </row>
    <row r="228" spans="2:7">
      <c r="B228" s="510" t="s">
        <v>161</v>
      </c>
      <c r="C228" s="940">
        <v>9.6019588640721629</v>
      </c>
      <c r="D228" s="940">
        <v>9.5601229841230708</v>
      </c>
      <c r="E228" s="940">
        <v>9.3191370308145558</v>
      </c>
      <c r="F228" s="940">
        <v>10.702367897407136</v>
      </c>
      <c r="G228" s="940">
        <v>9.8392931238029746</v>
      </c>
    </row>
    <row r="229" spans="2:7">
      <c r="B229" s="510" t="s">
        <v>160</v>
      </c>
      <c r="C229" s="940">
        <v>34.724536758178004</v>
      </c>
      <c r="D229" s="940">
        <v>61.996678086449457</v>
      </c>
      <c r="E229" s="940">
        <v>26.861717719345574</v>
      </c>
      <c r="F229" s="940">
        <v>30.413190855857025</v>
      </c>
      <c r="G229" s="940">
        <v>40.81320476696002</v>
      </c>
    </row>
    <row r="230" spans="2:7">
      <c r="B230" s="510" t="s">
        <v>2120</v>
      </c>
      <c r="C230" s="940">
        <v>6.5803039253654063</v>
      </c>
      <c r="D230" s="940">
        <v>6.470636075934741</v>
      </c>
      <c r="E230" s="940">
        <v>5.9947294267605953</v>
      </c>
      <c r="F230" s="940">
        <v>6.1548681439829807</v>
      </c>
      <c r="G230" s="940">
        <v>6.2903493884225714</v>
      </c>
    </row>
    <row r="231" spans="2:7">
      <c r="B231" s="510" t="s">
        <v>2133</v>
      </c>
      <c r="C231" s="940">
        <v>5.8955010879561787</v>
      </c>
      <c r="D231" s="940">
        <v>5.4765953429754397</v>
      </c>
      <c r="E231" s="940">
        <v>5.7870701042406765</v>
      </c>
      <c r="F231" s="940">
        <v>6.2798892523446801</v>
      </c>
      <c r="G231" s="940">
        <v>5.8693606025586327</v>
      </c>
    </row>
    <row r="232" spans="2:7">
      <c r="B232" s="510" t="s">
        <v>1805</v>
      </c>
      <c r="C232" s="940">
        <v>3.942511117512185</v>
      </c>
      <c r="D232" s="940">
        <v>3.7858515840514251</v>
      </c>
      <c r="E232" s="940">
        <v>3.8776197394100276</v>
      </c>
      <c r="F232" s="940">
        <v>4.3854719831220628</v>
      </c>
      <c r="G232" s="940">
        <v>4.0169957847842932</v>
      </c>
    </row>
    <row r="233" spans="2:7">
      <c r="B233" s="510" t="s">
        <v>155</v>
      </c>
      <c r="C233" s="940">
        <v>5.5778112340902783</v>
      </c>
      <c r="D233" s="940">
        <v>6.1656126656741739</v>
      </c>
      <c r="E233" s="940">
        <v>5.5995843682262372</v>
      </c>
      <c r="F233" s="940">
        <v>6.4770345671798202</v>
      </c>
      <c r="G233" s="940">
        <v>6.018223285787542</v>
      </c>
    </row>
    <row r="234" spans="2:7">
      <c r="B234" s="510" t="s">
        <v>156</v>
      </c>
      <c r="C234" s="940">
        <v>3.8014511334675216</v>
      </c>
      <c r="D234" s="940">
        <v>3.8563172202420946</v>
      </c>
      <c r="E234" s="940">
        <v>3.9094942423198402</v>
      </c>
      <c r="F234" s="940">
        <v>4.2741704964790319</v>
      </c>
      <c r="G234" s="940">
        <v>3.9719743456684777</v>
      </c>
    </row>
    <row r="235" spans="2:7">
      <c r="B235" s="510" t="s">
        <v>1603</v>
      </c>
      <c r="C235" s="940">
        <v>3.602297129519398</v>
      </c>
      <c r="D235" s="940">
        <v>3.0927509671845144</v>
      </c>
      <c r="E235" s="940">
        <v>2.9197057492077181</v>
      </c>
      <c r="F235" s="940">
        <v>2.9669322339656787</v>
      </c>
      <c r="G235" s="940">
        <v>3.138510353859794</v>
      </c>
    </row>
    <row r="236" spans="2:7">
      <c r="B236" s="510" t="s">
        <v>158</v>
      </c>
      <c r="C236" s="940">
        <v>3.2768002417988487</v>
      </c>
      <c r="D236" s="940">
        <v>3.2391280247984713</v>
      </c>
      <c r="E236" s="940">
        <v>3.1168326605928658</v>
      </c>
      <c r="F236" s="940">
        <v>3.7844174679445075</v>
      </c>
      <c r="G236" s="940">
        <v>3.3171380900812144</v>
      </c>
    </row>
    <row r="237" spans="2:7">
      <c r="B237" s="510" t="s">
        <v>162</v>
      </c>
      <c r="C237" s="940">
        <v>9.1952553422418255</v>
      </c>
      <c r="D237" s="940">
        <v>13.530203159785845</v>
      </c>
      <c r="E237" s="940">
        <v>8.1638484895328833</v>
      </c>
      <c r="F237" s="940">
        <v>8.4103731415617258</v>
      </c>
      <c r="G237" s="940">
        <v>9.9297972636153062</v>
      </c>
    </row>
  </sheetData>
  <pageMargins left="0.7" right="0.7" top="0.75" bottom="0.75" header="0.3" footer="0.3"/>
  <pageSetup paperSize="9" orientation="portrait" verticalDpi="0" r:id="rId1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16"/>
  <sheetViews>
    <sheetView zoomScaleNormal="100" workbookViewId="0">
      <selection activeCell="A4" sqref="A4:A22"/>
    </sheetView>
  </sheetViews>
  <sheetFormatPr defaultRowHeight="14.5"/>
  <cols>
    <col min="1" max="1" width="24.26953125" customWidth="1"/>
    <col min="2" max="2" width="11.7265625" style="414" customWidth="1"/>
    <col min="3" max="3" width="6" style="414" customWidth="1"/>
    <col min="4" max="4" width="13.7265625" style="414" customWidth="1"/>
    <col min="5" max="5" width="5.26953125" style="414" customWidth="1"/>
    <col min="6" max="6" width="6.26953125" style="414" customWidth="1"/>
    <col min="7" max="7" width="10.54296875" style="70" customWidth="1"/>
    <col min="8" max="8" width="5.54296875" style="414" customWidth="1"/>
    <col min="9" max="9" width="61.7265625" customWidth="1"/>
  </cols>
  <sheetData>
    <row r="1" spans="1:11" ht="15" thickBot="1">
      <c r="A1" s="754" t="s">
        <v>362</v>
      </c>
      <c r="B1" s="821">
        <v>44439</v>
      </c>
      <c r="C1" s="717"/>
      <c r="D1" s="717"/>
      <c r="E1" s="717"/>
      <c r="F1" s="717"/>
      <c r="G1" s="718"/>
      <c r="H1" s="717"/>
      <c r="I1" s="719"/>
    </row>
    <row r="2" spans="1:11" ht="15" thickBot="1">
      <c r="A2" s="720"/>
      <c r="B2" s="514"/>
      <c r="C2" s="514"/>
      <c r="D2" s="514"/>
      <c r="E2" s="514"/>
      <c r="F2" s="514"/>
      <c r="G2" s="107" t="s">
        <v>107</v>
      </c>
      <c r="H2" s="514"/>
      <c r="I2" s="721"/>
    </row>
    <row r="3" spans="1:11" ht="15" thickBot="1">
      <c r="A3" s="830"/>
      <c r="B3" s="828" t="s">
        <v>1932</v>
      </c>
      <c r="C3" s="829"/>
      <c r="D3" s="829"/>
      <c r="E3" s="829"/>
      <c r="F3" s="829"/>
      <c r="G3" s="829"/>
      <c r="H3" s="845"/>
      <c r="I3" s="843"/>
    </row>
    <row r="4" spans="1:11" ht="48.65" customHeight="1" thickBot="1">
      <c r="A4" s="852" t="s">
        <v>5</v>
      </c>
      <c r="B4" s="854" t="s">
        <v>1936</v>
      </c>
      <c r="C4" s="855" t="s">
        <v>1935</v>
      </c>
      <c r="D4" s="855" t="s">
        <v>1937</v>
      </c>
      <c r="E4" s="855" t="s">
        <v>1938</v>
      </c>
      <c r="F4" s="855" t="s">
        <v>1939</v>
      </c>
      <c r="G4" s="856" t="s">
        <v>1942</v>
      </c>
      <c r="H4" s="857" t="s">
        <v>1933</v>
      </c>
      <c r="I4" s="849" t="s">
        <v>9</v>
      </c>
      <c r="J4" s="441"/>
    </row>
    <row r="5" spans="1:11" ht="26.25" customHeight="1">
      <c r="A5" s="848" t="s">
        <v>160</v>
      </c>
      <c r="B5" s="850">
        <v>2438</v>
      </c>
      <c r="C5" s="837">
        <v>2494</v>
      </c>
      <c r="D5" s="838">
        <v>1.0079518259518259</v>
      </c>
      <c r="E5" s="839">
        <v>39</v>
      </c>
      <c r="F5" s="840">
        <v>8.8739093064053171E-3</v>
      </c>
      <c r="G5" s="841">
        <v>40.009163548667615</v>
      </c>
      <c r="H5" s="847">
        <v>1.3196370893300249</v>
      </c>
      <c r="I5" s="761" t="s">
        <v>2791</v>
      </c>
      <c r="J5" s="441"/>
    </row>
    <row r="6" spans="1:11" ht="16.5" customHeight="1">
      <c r="A6" s="853" t="s">
        <v>1805</v>
      </c>
      <c r="B6" s="851">
        <v>7036</v>
      </c>
      <c r="C6" s="756">
        <v>3000</v>
      </c>
      <c r="D6" s="757">
        <v>0.42637862421830586</v>
      </c>
      <c r="E6" s="760">
        <v>0</v>
      </c>
      <c r="F6" s="758">
        <v>0</v>
      </c>
      <c r="G6" s="759">
        <v>3.9066666666666667</v>
      </c>
      <c r="H6" s="846">
        <v>0.36458333333333331</v>
      </c>
      <c r="I6" s="761" t="s">
        <v>2775</v>
      </c>
      <c r="J6" s="202"/>
    </row>
    <row r="7" spans="1:11">
      <c r="A7" s="853" t="s">
        <v>155</v>
      </c>
      <c r="B7" s="851">
        <v>9630</v>
      </c>
      <c r="C7" s="756">
        <v>8300</v>
      </c>
      <c r="D7" s="757">
        <v>0.86188992731048808</v>
      </c>
      <c r="E7" s="760">
        <v>105</v>
      </c>
      <c r="F7" s="758">
        <v>1.2487420447619451E-2</v>
      </c>
      <c r="G7" s="759">
        <v>6.0338372093023258</v>
      </c>
      <c r="H7" s="846">
        <v>0.75084082503751304</v>
      </c>
      <c r="I7" s="761" t="s">
        <v>2776</v>
      </c>
      <c r="J7" s="441"/>
      <c r="K7" s="441"/>
    </row>
    <row r="8" spans="1:11">
      <c r="A8" s="860" t="s">
        <v>144</v>
      </c>
      <c r="B8" s="851">
        <v>11036</v>
      </c>
      <c r="C8" s="756">
        <v>10710</v>
      </c>
      <c r="D8" s="757">
        <v>0.97683342808413864</v>
      </c>
      <c r="E8" s="760">
        <v>0</v>
      </c>
      <c r="F8" s="758">
        <v>0</v>
      </c>
      <c r="G8" s="759">
        <v>3.9460506706408349</v>
      </c>
      <c r="H8" s="846">
        <v>0.58737847222222217</v>
      </c>
      <c r="I8" s="858" t="s">
        <v>2454</v>
      </c>
      <c r="J8" s="441"/>
      <c r="K8" s="441"/>
    </row>
    <row r="9" spans="1:11" ht="16.399999999999999" customHeight="1">
      <c r="A9" s="853" t="s">
        <v>156</v>
      </c>
      <c r="B9" s="851">
        <v>14036</v>
      </c>
      <c r="C9" s="756">
        <v>13900</v>
      </c>
      <c r="D9" s="757">
        <v>0.99051815154714529</v>
      </c>
      <c r="E9" s="760">
        <v>0</v>
      </c>
      <c r="F9" s="758">
        <v>0</v>
      </c>
      <c r="G9" s="759">
        <v>3.8167083333333336</v>
      </c>
      <c r="H9" s="846">
        <v>0.84461805555555547</v>
      </c>
      <c r="I9" s="858" t="s">
        <v>2745</v>
      </c>
    </row>
    <row r="10" spans="1:11" ht="14.25" customHeight="1">
      <c r="A10" s="853" t="s">
        <v>1603</v>
      </c>
      <c r="B10" s="851">
        <v>7036</v>
      </c>
      <c r="C10" s="756">
        <v>7222</v>
      </c>
      <c r="D10" s="757">
        <v>1.026435474701535</v>
      </c>
      <c r="E10" s="760">
        <v>78</v>
      </c>
      <c r="F10" s="758">
        <v>1.0684931506849316E-2</v>
      </c>
      <c r="G10" s="759">
        <v>3.814732761008031</v>
      </c>
      <c r="H10" s="846">
        <v>0.94001278577516179</v>
      </c>
      <c r="I10" s="858" t="s">
        <v>2454</v>
      </c>
    </row>
    <row r="11" spans="1:11" ht="21" customHeight="1">
      <c r="A11" s="853" t="s">
        <v>158</v>
      </c>
      <c r="B11" s="851">
        <v>16132</v>
      </c>
      <c r="C11" s="756">
        <v>18229</v>
      </c>
      <c r="D11" s="757">
        <v>1.1299900818249442</v>
      </c>
      <c r="E11" s="760">
        <v>0</v>
      </c>
      <c r="F11" s="758">
        <v>0</v>
      </c>
      <c r="G11" s="759">
        <v>1.5113281035712327</v>
      </c>
      <c r="H11" s="846">
        <v>1.4892973856209148</v>
      </c>
      <c r="I11" s="858" t="s">
        <v>2454</v>
      </c>
    </row>
    <row r="12" spans="1:11" ht="15.65" customHeight="1" thickBot="1">
      <c r="A12" s="853" t="s">
        <v>2133</v>
      </c>
      <c r="B12" s="851">
        <v>8274</v>
      </c>
      <c r="C12" s="756">
        <v>9000</v>
      </c>
      <c r="D12" s="757">
        <v>1.0877447425670776</v>
      </c>
      <c r="E12" s="760">
        <v>18</v>
      </c>
      <c r="F12" s="758">
        <v>1.9955661954273733E-3</v>
      </c>
      <c r="G12" s="759">
        <v>6.4</v>
      </c>
      <c r="H12" s="846">
        <v>0.93524999999999991</v>
      </c>
      <c r="I12" s="858" t="s">
        <v>2454</v>
      </c>
    </row>
    <row r="13" spans="1:11" ht="26.15" customHeight="1" thickBot="1">
      <c r="A13" s="825" t="s">
        <v>162</v>
      </c>
      <c r="B13" s="822">
        <v>75618</v>
      </c>
      <c r="C13" s="822">
        <v>72855</v>
      </c>
      <c r="D13" s="863">
        <v>0.96603348809510081</v>
      </c>
      <c r="E13" s="822">
        <v>240</v>
      </c>
      <c r="F13" s="823">
        <v>5.2512782078105967E-3</v>
      </c>
      <c r="G13" s="835">
        <v>15.604483606321065</v>
      </c>
      <c r="H13" s="826">
        <v>0.97676585356313217</v>
      </c>
      <c r="I13" s="441"/>
    </row>
    <row r="14" spans="1:11" ht="22.5" customHeight="1">
      <c r="B14"/>
      <c r="C14"/>
      <c r="D14"/>
      <c r="E14"/>
      <c r="F14"/>
      <c r="G14" s="441"/>
      <c r="H14" s="441"/>
      <c r="I14" s="441"/>
    </row>
    <row r="15" spans="1:11">
      <c r="B15"/>
      <c r="C15"/>
      <c r="D15"/>
      <c r="E15"/>
      <c r="F15"/>
      <c r="G15" s="441"/>
      <c r="H15" s="441"/>
      <c r="I15" s="441"/>
    </row>
    <row r="16" spans="1:11">
      <c r="G16" s="441"/>
      <c r="H16" s="441"/>
      <c r="I16" s="441"/>
    </row>
  </sheetData>
  <dataConsolidate/>
  <pageMargins left="0.7" right="0.7" top="0.75" bottom="0.75" header="0.3" footer="0.3"/>
  <pageSetup paperSize="9" orientation="portrait" verticalDpi="30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IZ368"/>
  <sheetViews>
    <sheetView zoomScaleNormal="100" workbookViewId="0">
      <pane xSplit="4" ySplit="2" topLeftCell="E99" activePane="bottomRight" state="frozen"/>
      <selection activeCell="A4" sqref="A4:A22"/>
      <selection pane="topRight" activeCell="A4" sqref="A4:A22"/>
      <selection pane="bottomLeft" activeCell="A4" sqref="A4:A22"/>
      <selection pane="bottomRight" activeCell="A4" sqref="A4:A22"/>
    </sheetView>
  </sheetViews>
  <sheetFormatPr defaultColWidth="9" defaultRowHeight="14.5"/>
  <cols>
    <col min="1" max="1" width="2.81640625" style="93" customWidth="1"/>
    <col min="2" max="2" width="15.7265625" style="92" customWidth="1"/>
    <col min="3" max="3" width="34.7265625" style="92" customWidth="1"/>
    <col min="4" max="4" width="14.453125" style="92" hidden="1" customWidth="1"/>
    <col min="5" max="5" width="20.7265625" style="91" customWidth="1"/>
    <col min="6" max="6" width="17.54296875" style="91" customWidth="1"/>
    <col min="7" max="7" width="13.54296875" style="91" customWidth="1"/>
    <col min="8" max="8" width="12.453125" style="91" customWidth="1"/>
    <col min="9" max="9" width="13.54296875" style="91" customWidth="1"/>
    <col min="10" max="10" width="11.26953125" style="91" customWidth="1"/>
    <col min="11" max="11" width="9.54296875" style="91" customWidth="1"/>
    <col min="12" max="13" width="9.453125" style="91" customWidth="1"/>
    <col min="14" max="14" width="12.453125" style="91" customWidth="1"/>
    <col min="15" max="15" width="13.453125" style="91" customWidth="1"/>
    <col min="16" max="16" width="12.54296875" style="229" customWidth="1"/>
    <col min="17" max="18" width="12.54296875" style="91" customWidth="1"/>
    <col min="19" max="19" width="10.453125" style="207" customWidth="1"/>
    <col min="20" max="29" width="10.453125" style="208" customWidth="1"/>
    <col min="30" max="38" width="9.453125" style="208" customWidth="1"/>
    <col min="39" max="51" width="9.453125" style="35" customWidth="1"/>
    <col min="52" max="260" width="9.453125" style="1" customWidth="1"/>
  </cols>
  <sheetData>
    <row r="1" spans="1:260" s="95" customFormat="1" ht="26.5" thickBot="1">
      <c r="A1" s="93"/>
      <c r="B1" s="159" t="s">
        <v>96</v>
      </c>
      <c r="C1" s="185"/>
      <c r="D1" s="185"/>
      <c r="E1" s="498">
        <v>44409</v>
      </c>
      <c r="F1" s="185"/>
      <c r="G1" s="204"/>
      <c r="H1" s="185"/>
      <c r="I1" s="185"/>
      <c r="J1" s="185"/>
      <c r="K1" s="185"/>
      <c r="L1" s="185"/>
      <c r="M1" s="185"/>
      <c r="N1" s="185"/>
      <c r="O1" s="202"/>
      <c r="P1" s="270"/>
      <c r="Q1" s="202"/>
      <c r="R1" s="271"/>
      <c r="S1" s="349"/>
      <c r="T1" s="207">
        <f>8.13/1000</f>
        <v>8.1300000000000001E-3</v>
      </c>
      <c r="U1" s="207"/>
      <c r="V1" s="207"/>
      <c r="W1" s="207"/>
      <c r="X1" s="207"/>
      <c r="Y1" s="207"/>
      <c r="Z1" s="207" t="s">
        <v>418</v>
      </c>
      <c r="AA1" s="207"/>
      <c r="AB1" s="207"/>
      <c r="AC1" s="207"/>
      <c r="AD1" s="207"/>
      <c r="AE1" s="207"/>
      <c r="AF1" s="207"/>
      <c r="AG1" s="207"/>
      <c r="AH1" s="207"/>
      <c r="AI1" s="207"/>
      <c r="AJ1" s="207"/>
      <c r="AK1" s="207"/>
      <c r="AL1" s="207"/>
      <c r="AM1" s="94"/>
      <c r="AN1" s="94"/>
      <c r="AO1" s="94"/>
      <c r="AP1" s="94"/>
      <c r="AQ1" s="94"/>
      <c r="AR1" s="94"/>
      <c r="AS1" s="94"/>
      <c r="AT1" s="94"/>
      <c r="AU1" s="94"/>
      <c r="AV1" s="94"/>
      <c r="AW1" s="94"/>
      <c r="AX1" s="94"/>
      <c r="AY1" s="94"/>
      <c r="AZ1" s="93"/>
      <c r="BA1" s="93"/>
      <c r="BB1" s="93"/>
      <c r="BC1" s="93"/>
      <c r="BD1" s="93"/>
      <c r="BE1" s="93"/>
      <c r="BF1" s="93"/>
      <c r="BG1" s="93"/>
      <c r="BH1" s="93"/>
      <c r="BI1" s="93"/>
      <c r="BJ1" s="93"/>
      <c r="BK1" s="93"/>
      <c r="BL1" s="93"/>
      <c r="BM1" s="93"/>
      <c r="BN1" s="93"/>
      <c r="BO1" s="93"/>
      <c r="BP1" s="93"/>
      <c r="BQ1" s="93"/>
      <c r="BR1" s="93"/>
      <c r="BS1" s="93"/>
      <c r="BT1" s="93"/>
      <c r="BU1" s="93"/>
      <c r="BV1" s="93"/>
      <c r="BW1" s="93"/>
      <c r="BX1" s="93"/>
      <c r="BY1" s="93"/>
      <c r="BZ1" s="93"/>
      <c r="CA1" s="93"/>
      <c r="CB1" s="93"/>
      <c r="CC1" s="93"/>
      <c r="CD1" s="93"/>
      <c r="CE1" s="93"/>
      <c r="CF1" s="93"/>
      <c r="CG1" s="93"/>
      <c r="CH1" s="93"/>
      <c r="CI1" s="93"/>
      <c r="CJ1" s="93"/>
      <c r="CK1" s="93"/>
      <c r="CL1" s="93"/>
      <c r="CM1" s="93"/>
      <c r="CN1" s="93"/>
      <c r="CO1" s="93"/>
      <c r="CP1" s="93"/>
      <c r="CQ1" s="93"/>
      <c r="CR1" s="93"/>
      <c r="CS1" s="93"/>
      <c r="CT1" s="93"/>
      <c r="CU1" s="93"/>
      <c r="CV1" s="93"/>
      <c r="CW1" s="93"/>
      <c r="CX1" s="93"/>
      <c r="CY1" s="93"/>
      <c r="CZ1" s="93"/>
      <c r="DA1" s="93"/>
      <c r="DB1" s="93"/>
      <c r="DC1" s="93"/>
      <c r="DD1" s="93"/>
      <c r="DE1" s="93"/>
      <c r="DF1" s="93"/>
      <c r="DG1" s="93"/>
      <c r="DH1" s="93"/>
      <c r="DI1" s="93"/>
      <c r="DJ1" s="93"/>
      <c r="DK1" s="93"/>
      <c r="DL1" s="93"/>
      <c r="DM1" s="93"/>
      <c r="DN1" s="93"/>
      <c r="DO1" s="93"/>
      <c r="DP1" s="93"/>
      <c r="DQ1" s="93"/>
      <c r="DR1" s="93"/>
      <c r="DS1" s="93"/>
      <c r="DT1" s="93"/>
      <c r="DU1" s="93"/>
      <c r="DV1" s="93"/>
      <c r="DW1" s="93"/>
      <c r="DX1" s="93"/>
      <c r="DY1" s="93"/>
      <c r="DZ1" s="93"/>
      <c r="EA1" s="93"/>
      <c r="EB1" s="93"/>
      <c r="EC1" s="93"/>
      <c r="ED1" s="93"/>
      <c r="EE1" s="93"/>
      <c r="EF1" s="93"/>
      <c r="EG1" s="93"/>
      <c r="EH1" s="93"/>
      <c r="EI1" s="93"/>
      <c r="EJ1" s="93"/>
      <c r="EK1" s="93"/>
      <c r="EL1" s="93"/>
      <c r="EM1" s="93"/>
      <c r="EN1" s="93"/>
      <c r="EO1" s="93"/>
      <c r="EP1" s="93"/>
      <c r="EQ1" s="93"/>
      <c r="ER1" s="93"/>
      <c r="ES1" s="93"/>
      <c r="ET1" s="93"/>
      <c r="EU1" s="93"/>
      <c r="EV1" s="93"/>
      <c r="EW1" s="93"/>
      <c r="EX1" s="93"/>
      <c r="EY1" s="93"/>
      <c r="EZ1" s="93"/>
      <c r="FA1" s="93"/>
      <c r="FB1" s="93"/>
      <c r="FC1" s="93"/>
      <c r="FD1" s="93"/>
      <c r="FE1" s="93"/>
      <c r="FF1" s="93"/>
      <c r="FG1" s="93"/>
      <c r="FH1" s="93"/>
      <c r="FI1" s="93"/>
      <c r="FJ1" s="93"/>
      <c r="FK1" s="93"/>
      <c r="FL1" s="93"/>
      <c r="FM1" s="93"/>
      <c r="FN1" s="93"/>
      <c r="FO1" s="93"/>
      <c r="FP1" s="93"/>
      <c r="FQ1" s="93"/>
      <c r="FR1" s="93"/>
      <c r="FS1" s="93"/>
      <c r="FT1" s="93"/>
      <c r="FU1" s="93"/>
      <c r="FV1" s="93"/>
      <c r="FW1" s="93"/>
      <c r="FX1" s="93"/>
      <c r="FY1" s="93"/>
      <c r="FZ1" s="93"/>
      <c r="GA1" s="93"/>
      <c r="GB1" s="93"/>
      <c r="GC1" s="93"/>
      <c r="GD1" s="93"/>
      <c r="GE1" s="93"/>
      <c r="GF1" s="93"/>
      <c r="GG1" s="93"/>
      <c r="GH1" s="93"/>
      <c r="GI1" s="93"/>
      <c r="GJ1" s="93"/>
      <c r="GK1" s="93"/>
      <c r="GL1" s="93"/>
      <c r="GM1" s="93"/>
      <c r="GN1" s="93"/>
      <c r="GO1" s="93"/>
      <c r="GP1" s="93"/>
      <c r="GQ1" s="93"/>
      <c r="GR1" s="93"/>
      <c r="GS1" s="93"/>
      <c r="GT1" s="93"/>
      <c r="GU1" s="93"/>
      <c r="GV1" s="93"/>
      <c r="GW1" s="93"/>
      <c r="GX1" s="93"/>
      <c r="GY1" s="93"/>
      <c r="GZ1" s="93"/>
      <c r="HA1" s="93"/>
      <c r="HB1" s="93"/>
      <c r="HC1" s="93"/>
      <c r="HD1" s="93"/>
      <c r="HE1" s="93"/>
      <c r="HF1" s="93"/>
      <c r="HG1" s="93"/>
      <c r="HH1" s="93"/>
      <c r="HI1" s="93"/>
      <c r="HJ1" s="93"/>
      <c r="HK1" s="93"/>
      <c r="HL1" s="93"/>
      <c r="HM1" s="93"/>
      <c r="HN1" s="93"/>
      <c r="HO1" s="93"/>
      <c r="HP1" s="93"/>
      <c r="HQ1" s="93"/>
      <c r="HR1" s="93"/>
      <c r="HS1" s="93"/>
      <c r="HT1" s="93"/>
      <c r="HU1" s="93"/>
      <c r="HV1" s="93"/>
      <c r="HW1" s="93"/>
      <c r="HX1" s="93"/>
      <c r="HY1" s="93"/>
      <c r="HZ1" s="93"/>
      <c r="IA1" s="93"/>
      <c r="IB1" s="93"/>
      <c r="IC1" s="93"/>
      <c r="ID1" s="93"/>
      <c r="IE1" s="93"/>
      <c r="IF1" s="93"/>
      <c r="IG1" s="93"/>
      <c r="IH1" s="93"/>
      <c r="II1" s="93"/>
      <c r="IJ1" s="93"/>
      <c r="IK1" s="93"/>
      <c r="IL1" s="93"/>
      <c r="IM1" s="93"/>
      <c r="IN1" s="93"/>
      <c r="IO1" s="93"/>
      <c r="IP1" s="93"/>
      <c r="IQ1" s="93"/>
      <c r="IR1" s="93"/>
      <c r="IS1" s="93"/>
      <c r="IT1" s="93"/>
      <c r="IU1" s="93"/>
      <c r="IV1" s="93"/>
      <c r="IW1" s="93"/>
      <c r="IX1" s="93"/>
      <c r="IY1" s="93"/>
      <c r="IZ1" s="93"/>
    </row>
    <row r="2" spans="1:260" s="441" customFormat="1" ht="15" thickBot="1">
      <c r="A2" s="93"/>
      <c r="B2" s="123" t="s">
        <v>2105</v>
      </c>
      <c r="C2" s="393" t="s">
        <v>10</v>
      </c>
      <c r="D2" s="123" t="s">
        <v>1</v>
      </c>
      <c r="E2" s="124" t="s">
        <v>2</v>
      </c>
      <c r="F2" s="124" t="s">
        <v>91</v>
      </c>
      <c r="G2" s="124" t="s">
        <v>3</v>
      </c>
      <c r="H2" s="124" t="s">
        <v>92</v>
      </c>
      <c r="I2" s="124" t="s">
        <v>94</v>
      </c>
      <c r="J2" s="124" t="s">
        <v>6</v>
      </c>
      <c r="K2" s="124" t="s">
        <v>4</v>
      </c>
      <c r="L2" s="464" t="s">
        <v>90</v>
      </c>
      <c r="M2" s="124" t="s">
        <v>2802</v>
      </c>
      <c r="N2" s="125" t="s">
        <v>89</v>
      </c>
      <c r="O2" s="125" t="s">
        <v>93</v>
      </c>
      <c r="P2" s="126" t="s">
        <v>105</v>
      </c>
      <c r="Q2" s="126" t="s">
        <v>418</v>
      </c>
      <c r="R2" s="126" t="s">
        <v>95</v>
      </c>
      <c r="S2" s="350"/>
      <c r="T2" s="208"/>
      <c r="U2" s="208"/>
      <c r="V2" s="208"/>
      <c r="W2" s="208"/>
      <c r="X2" s="208"/>
      <c r="Y2" s="208"/>
      <c r="Z2" s="237" t="s">
        <v>92</v>
      </c>
      <c r="AA2" s="237" t="s">
        <v>94</v>
      </c>
      <c r="AB2" s="237" t="s">
        <v>6</v>
      </c>
      <c r="AC2" s="237" t="s">
        <v>4</v>
      </c>
      <c r="AD2" s="208"/>
      <c r="AE2" s="208"/>
      <c r="AF2" s="208"/>
      <c r="AG2" s="208"/>
      <c r="AH2" s="208"/>
      <c r="AI2" s="208"/>
      <c r="AJ2" s="208"/>
      <c r="AK2" s="208"/>
      <c r="AL2" s="208"/>
      <c r="AM2" s="35"/>
      <c r="AN2" s="35"/>
      <c r="AO2" s="35"/>
      <c r="AP2" s="35"/>
      <c r="AQ2" s="35"/>
      <c r="AR2" s="35"/>
      <c r="AS2" s="35"/>
      <c r="AT2" s="35"/>
      <c r="AU2" s="35"/>
      <c r="AV2" s="35"/>
      <c r="AW2" s="35"/>
      <c r="AX2" s="35"/>
      <c r="AY2" s="35"/>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row>
    <row r="3" spans="1:260" s="441" customFormat="1" ht="15" thickBot="1">
      <c r="A3" s="93"/>
      <c r="B3" s="472" t="s">
        <v>1987</v>
      </c>
      <c r="C3" s="112" t="s">
        <v>1990</v>
      </c>
      <c r="D3" s="603" t="s">
        <v>1988</v>
      </c>
      <c r="E3" s="474">
        <v>102888</v>
      </c>
      <c r="F3" s="113">
        <f>SUMIF('Data Sheet Aug-2021'!E:E,PVA!B3,'Data Sheet Aug-2021'!N:N)</f>
        <v>568076</v>
      </c>
      <c r="G3" s="113">
        <f>SUMIF('Data Sheet Aug-2021'!E:E,PVA!B3,'Data Sheet Aug-2021'!O:O)</f>
        <v>563933</v>
      </c>
      <c r="H3" s="113">
        <f>SUMIF('Data Sheet Aug-2021'!E:E,PVA!B3,'Data Sheet Aug-2021'!T:T)</f>
        <v>1471</v>
      </c>
      <c r="I3" s="113">
        <f>SUMIF('Data Sheet Aug-2021'!E:E,PVA!B3,'Data Sheet Aug-2021'!U:U)</f>
        <v>604</v>
      </c>
      <c r="J3" s="113">
        <f>SUMIF('Data Sheet Aug-2021'!E:E,PVA!B3,'Data Sheet Aug-2021'!P:P)</f>
        <v>5.2500000000000009</v>
      </c>
      <c r="K3" s="113">
        <f>SUMIF('Data Sheet Aug-2021'!E:E,PVA!B3,'Data Sheet Aug-2021'!Q:Q)</f>
        <v>2068</v>
      </c>
      <c r="L3" s="894">
        <f>IFERROR(SUM(H3)/SUM(G3:H3),0)</f>
        <v>2.6016795070427519E-3</v>
      </c>
      <c r="M3" s="729">
        <f>IFERROR(K3/F3,0)</f>
        <v>3.6403579802702455E-3</v>
      </c>
      <c r="N3" s="120">
        <f>IFERROR(G3/E3,0)</f>
        <v>5.4810376331544983</v>
      </c>
      <c r="O3" s="893">
        <f>G3-E3</f>
        <v>461045</v>
      </c>
      <c r="P3" s="524">
        <f>IFERROR(G3*Q3/R3,0)</f>
        <v>0.99164132539129957</v>
      </c>
      <c r="Q3" s="742">
        <v>8.6E-3</v>
      </c>
      <c r="R3" s="525">
        <f>(H3+G3+I3+K3)*Q3+J3</f>
        <v>4890.7035999999998</v>
      </c>
      <c r="S3" s="351"/>
      <c r="T3" s="208"/>
      <c r="U3" s="210">
        <f>Q3*G3</f>
        <v>4849.8238000000001</v>
      </c>
      <c r="V3" s="208"/>
      <c r="W3" s="534">
        <f>R3</f>
        <v>4890.7035999999998</v>
      </c>
      <c r="X3" s="208"/>
      <c r="Y3" s="208"/>
      <c r="Z3" s="208">
        <f>H3*Q3</f>
        <v>12.650600000000001</v>
      </c>
      <c r="AA3" s="208">
        <f>I3*Q3</f>
        <v>5.1943999999999999</v>
      </c>
      <c r="AB3" s="208">
        <f>J3</f>
        <v>5.2500000000000009</v>
      </c>
      <c r="AC3" s="208">
        <f>K3*Q3</f>
        <v>17.784800000000001</v>
      </c>
      <c r="AD3" s="208"/>
      <c r="AE3" s="208"/>
      <c r="AF3" s="208"/>
      <c r="AG3" s="208"/>
      <c r="AH3" s="208"/>
      <c r="AI3" s="208"/>
      <c r="AJ3" s="208"/>
      <c r="AK3" s="208"/>
      <c r="AL3" s="208"/>
      <c r="AM3" s="35"/>
      <c r="AN3" s="35"/>
      <c r="AO3" s="35"/>
      <c r="AP3" s="35"/>
      <c r="AQ3" s="35"/>
      <c r="AR3" s="35"/>
      <c r="AS3" s="35"/>
      <c r="AT3" s="35"/>
      <c r="AU3" s="35"/>
      <c r="AV3" s="35"/>
      <c r="AW3" s="35"/>
      <c r="AX3" s="35"/>
      <c r="AY3" s="35"/>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row>
    <row r="4" spans="1:260" s="441" customFormat="1" ht="15" thickBot="1">
      <c r="A4" s="93"/>
      <c r="B4" s="144" t="s">
        <v>2119</v>
      </c>
      <c r="C4" s="123" t="s">
        <v>10</v>
      </c>
      <c r="D4" s="144" t="s">
        <v>1</v>
      </c>
      <c r="E4" s="127" t="s">
        <v>2</v>
      </c>
      <c r="F4" s="127" t="s">
        <v>91</v>
      </c>
      <c r="G4" s="127" t="s">
        <v>3</v>
      </c>
      <c r="H4" s="127" t="s">
        <v>92</v>
      </c>
      <c r="I4" s="127" t="s">
        <v>94</v>
      </c>
      <c r="J4" s="127" t="s">
        <v>6</v>
      </c>
      <c r="K4" s="126" t="s">
        <v>4</v>
      </c>
      <c r="L4" s="464" t="s">
        <v>90</v>
      </c>
      <c r="M4" s="124" t="s">
        <v>90</v>
      </c>
      <c r="N4" s="125" t="s">
        <v>89</v>
      </c>
      <c r="O4" s="523" t="s">
        <v>93</v>
      </c>
      <c r="P4" s="364" t="s">
        <v>105</v>
      </c>
      <c r="Q4" s="364" t="s">
        <v>418</v>
      </c>
      <c r="R4" s="364" t="s">
        <v>95</v>
      </c>
      <c r="S4" s="351"/>
      <c r="T4" s="208"/>
      <c r="U4" s="210"/>
      <c r="V4" s="208"/>
      <c r="W4" s="208"/>
      <c r="X4" s="208"/>
      <c r="Y4" s="208"/>
      <c r="Z4" s="237" t="s">
        <v>92</v>
      </c>
      <c r="AA4" s="237" t="s">
        <v>94</v>
      </c>
      <c r="AB4" s="237" t="s">
        <v>6</v>
      </c>
      <c r="AC4" s="237" t="s">
        <v>4</v>
      </c>
      <c r="AD4" s="208"/>
      <c r="AE4" s="208"/>
      <c r="AF4" s="208"/>
      <c r="AG4" s="208"/>
      <c r="AH4" s="208"/>
      <c r="AI4" s="208"/>
      <c r="AJ4" s="208"/>
      <c r="AK4" s="208"/>
      <c r="AL4" s="208"/>
      <c r="AM4" s="35"/>
      <c r="AN4" s="35"/>
      <c r="AO4" s="35"/>
      <c r="AP4" s="35"/>
      <c r="AQ4" s="35"/>
      <c r="AR4" s="35"/>
      <c r="AS4" s="35"/>
      <c r="AT4" s="35"/>
      <c r="AU4" s="35"/>
      <c r="AV4" s="35"/>
      <c r="AW4" s="35"/>
      <c r="AX4" s="35"/>
      <c r="AY4" s="35"/>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row>
    <row r="5" spans="1:260" s="441" customFormat="1">
      <c r="A5" s="93"/>
      <c r="B5" s="762" t="s">
        <v>2106</v>
      </c>
      <c r="C5" s="877" t="str">
        <f>VLOOKUP(B5,'Item Data Support Sheet'!A:B,2,0)</f>
        <v>CAP S TYPE MOLDED RED</v>
      </c>
      <c r="D5" s="762" t="s">
        <v>2796</v>
      </c>
      <c r="E5" s="763">
        <v>24822</v>
      </c>
      <c r="F5" s="764">
        <f>SUMIF('Data Sheet Aug-2021'!E:E,PVA!B5,'Data Sheet Aug-2021'!N:N)</f>
        <v>132515</v>
      </c>
      <c r="G5" s="764">
        <f>SUMIF('Data Sheet Aug-2021'!E:E,PVA!B5,'Data Sheet Aug-2021'!O:O)</f>
        <v>132177</v>
      </c>
      <c r="H5" s="764">
        <f>SUMIF('Data Sheet Aug-2021'!E:E,PVA!B5,'Data Sheet Aug-2021'!T:T)</f>
        <v>119</v>
      </c>
      <c r="I5" s="764">
        <f>SUMIF('Data Sheet Aug-2021'!E:E,PVA!B5,'Data Sheet Aug-2021'!U:U)</f>
        <v>144</v>
      </c>
      <c r="J5" s="764">
        <f>SUMIF('Data Sheet Aug-2021'!E:E,PVA!B5,'Data Sheet Aug-2021'!P:P)</f>
        <v>3.508</v>
      </c>
      <c r="K5" s="765">
        <f>SUMIF('Data Sheet Aug-2021'!E:E,PVA!B5,'Data Sheet Aug-2021'!Q:Q)</f>
        <v>75</v>
      </c>
      <c r="L5" s="766">
        <f t="shared" ref="L5:L10" si="0">IFERROR(SUM(H5)/SUM(G5:H5),0)</f>
        <v>8.9949809518050431E-4</v>
      </c>
      <c r="M5" s="766">
        <f t="shared" ref="M5:M68" si="1">IFERROR(K5/F5,0)</f>
        <v>5.6597366335886501E-4</v>
      </c>
      <c r="N5" s="767">
        <f t="shared" ref="N5:N10" si="2">IFERROR(G5/E5,0)</f>
        <v>5.3249939569736524</v>
      </c>
      <c r="O5" s="768">
        <f t="shared" ref="O5:O10" si="3">G5-E5</f>
        <v>107355</v>
      </c>
      <c r="P5" s="769">
        <f t="shared" ref="P5:P10" si="4">IFERROR(G5*Q5/R5,0)</f>
        <v>0.99384529814830547</v>
      </c>
      <c r="Q5" s="764">
        <v>7.3000000000000001E-3</v>
      </c>
      <c r="R5" s="770">
        <f t="shared" ref="R5:R10" si="5">(H5+G5+I5+K5)*Q5+J5</f>
        <v>970.86750000000006</v>
      </c>
      <c r="S5" s="351"/>
      <c r="T5" s="208"/>
      <c r="U5" s="210">
        <f t="shared" ref="U5:U10" si="6">Q5*G5</f>
        <v>964.89210000000003</v>
      </c>
      <c r="V5" s="208"/>
      <c r="W5" s="534"/>
      <c r="X5" s="208"/>
      <c r="Y5" s="208"/>
      <c r="Z5" s="208">
        <f t="shared" ref="Z5:Z10" si="7">H5*Q5</f>
        <v>0.86870000000000003</v>
      </c>
      <c r="AA5" s="208">
        <f t="shared" ref="AA5:AA10" si="8">I5*Q5</f>
        <v>1.0511999999999999</v>
      </c>
      <c r="AB5" s="208">
        <f t="shared" ref="AB5:AB10" si="9">J5</f>
        <v>3.508</v>
      </c>
      <c r="AC5" s="208">
        <f t="shared" ref="AC5:AC10" si="10">K5*Q5</f>
        <v>0.54749999999999999</v>
      </c>
      <c r="AD5" s="208"/>
      <c r="AE5" s="208"/>
      <c r="AF5" s="208"/>
      <c r="AG5" s="208"/>
      <c r="AH5" s="208"/>
      <c r="AI5" s="208"/>
      <c r="AJ5" s="208"/>
      <c r="AK5" s="208"/>
      <c r="AL5" s="208"/>
      <c r="AM5" s="35"/>
      <c r="AN5" s="35"/>
      <c r="AO5" s="35"/>
      <c r="AP5" s="35"/>
      <c r="AQ5" s="35"/>
      <c r="AR5" s="35"/>
      <c r="AS5" s="35"/>
      <c r="AT5" s="35"/>
      <c r="AU5" s="35"/>
      <c r="AV5" s="35"/>
      <c r="AW5" s="35"/>
      <c r="AX5" s="35"/>
      <c r="AY5" s="35"/>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row>
    <row r="6" spans="1:260" s="441" customFormat="1">
      <c r="A6" s="93"/>
      <c r="B6" s="771" t="s">
        <v>2107</v>
      </c>
      <c r="C6" s="877" t="str">
        <f>VLOOKUP(B6,'Item Data Support Sheet'!A:B,2,0)</f>
        <v>CAP S TYPE MOLDED PINK</v>
      </c>
      <c r="D6" s="771" t="s">
        <v>2797</v>
      </c>
      <c r="E6" s="772">
        <v>36696</v>
      </c>
      <c r="F6" s="773">
        <f>SUMIF('Data Sheet Aug-2021'!E:E,PVA!B6,'Data Sheet Aug-2021'!N:N)</f>
        <v>127327</v>
      </c>
      <c r="G6" s="773">
        <f>SUMIF('Data Sheet Aug-2021'!E:E,PVA!B6,'Data Sheet Aug-2021'!O:O)</f>
        <v>127052</v>
      </c>
      <c r="H6" s="773">
        <f>SUMIF('Data Sheet Aug-2021'!E:E,PVA!B6,'Data Sheet Aug-2021'!T:T)</f>
        <v>127</v>
      </c>
      <c r="I6" s="773">
        <f>SUMIF('Data Sheet Aug-2021'!E:E,PVA!B6,'Data Sheet Aug-2021'!U:U)</f>
        <v>144</v>
      </c>
      <c r="J6" s="773">
        <f>SUMIF('Data Sheet Aug-2021'!E:E,PVA!B6,'Data Sheet Aug-2021'!P:P)</f>
        <v>2.27</v>
      </c>
      <c r="K6" s="774">
        <f>SUMIF('Data Sheet Aug-2021'!E:E,PVA!B6,'Data Sheet Aug-2021'!Q:Q)</f>
        <v>4</v>
      </c>
      <c r="L6" s="775">
        <f t="shared" si="0"/>
        <v>9.9859253493108139E-4</v>
      </c>
      <c r="M6" s="775">
        <f t="shared" si="1"/>
        <v>3.1415175100332213E-5</v>
      </c>
      <c r="N6" s="776">
        <f t="shared" si="2"/>
        <v>3.4622847176804012</v>
      </c>
      <c r="O6" s="777">
        <f t="shared" si="3"/>
        <v>90356</v>
      </c>
      <c r="P6" s="778">
        <f t="shared" si="4"/>
        <v>0.99540921126332171</v>
      </c>
      <c r="Q6" s="773">
        <v>7.3000000000000001E-3</v>
      </c>
      <c r="R6" s="779">
        <f t="shared" si="5"/>
        <v>931.75710000000004</v>
      </c>
      <c r="S6" s="351"/>
      <c r="T6" s="208"/>
      <c r="U6" s="210">
        <f t="shared" si="6"/>
        <v>927.4796</v>
      </c>
      <c r="V6" s="208"/>
      <c r="W6" s="534"/>
      <c r="X6" s="208"/>
      <c r="Y6" s="208"/>
      <c r="Z6" s="208">
        <f t="shared" si="7"/>
        <v>0.92710000000000004</v>
      </c>
      <c r="AA6" s="208">
        <f t="shared" si="8"/>
        <v>1.0511999999999999</v>
      </c>
      <c r="AB6" s="208">
        <f t="shared" si="9"/>
        <v>2.27</v>
      </c>
      <c r="AC6" s="208">
        <f t="shared" si="10"/>
        <v>2.92E-2</v>
      </c>
      <c r="AD6" s="208"/>
      <c r="AE6" s="208"/>
      <c r="AF6" s="208"/>
      <c r="AG6" s="208"/>
      <c r="AH6" s="208"/>
      <c r="AI6" s="208"/>
      <c r="AJ6" s="208"/>
      <c r="AK6" s="208"/>
      <c r="AL6" s="208"/>
      <c r="AM6" s="35"/>
      <c r="AN6" s="35"/>
      <c r="AO6" s="35"/>
      <c r="AP6" s="35"/>
      <c r="AQ6" s="35"/>
      <c r="AR6" s="35"/>
      <c r="AS6" s="35"/>
      <c r="AT6" s="35"/>
      <c r="AU6" s="35"/>
      <c r="AV6" s="35"/>
      <c r="AW6" s="35"/>
      <c r="AX6" s="35"/>
      <c r="AY6" s="35"/>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row>
    <row r="7" spans="1:260" s="441" customFormat="1">
      <c r="A7" s="93"/>
      <c r="B7" s="771" t="s">
        <v>2108</v>
      </c>
      <c r="C7" s="877" t="str">
        <f>VLOOKUP(B7,'Item Data Support Sheet'!A:B,2,0)</f>
        <v>CAP S TYPE MOLDED BLUE</v>
      </c>
      <c r="D7" s="771" t="s">
        <v>2798</v>
      </c>
      <c r="E7" s="772">
        <v>32559</v>
      </c>
      <c r="F7" s="773">
        <f>SUMIF('Data Sheet Aug-2021'!E:E,PVA!B7,'Data Sheet Aug-2021'!N:N)</f>
        <v>123789</v>
      </c>
      <c r="G7" s="773">
        <f>SUMIF('Data Sheet Aug-2021'!E:E,PVA!B7,'Data Sheet Aug-2021'!O:O)</f>
        <v>123390</v>
      </c>
      <c r="H7" s="773">
        <f>SUMIF('Data Sheet Aug-2021'!E:E,PVA!B7,'Data Sheet Aug-2021'!T:T)</f>
        <v>192</v>
      </c>
      <c r="I7" s="773">
        <f>SUMIF('Data Sheet Aug-2021'!E:E,PVA!B7,'Data Sheet Aug-2021'!U:U)</f>
        <v>128</v>
      </c>
      <c r="J7" s="773">
        <f>SUMIF('Data Sheet Aug-2021'!E:E,PVA!B7,'Data Sheet Aug-2021'!P:P)</f>
        <v>3.65</v>
      </c>
      <c r="K7" s="774">
        <f>SUMIF('Data Sheet Aug-2021'!E:E,PVA!B7,'Data Sheet Aug-2021'!Q:Q)</f>
        <v>79</v>
      </c>
      <c r="L7" s="775">
        <f t="shared" si="0"/>
        <v>1.5536243142205176E-3</v>
      </c>
      <c r="M7" s="775">
        <f t="shared" si="1"/>
        <v>6.3818271413453541E-4</v>
      </c>
      <c r="N7" s="776">
        <f t="shared" si="2"/>
        <v>3.7897355569888509</v>
      </c>
      <c r="O7" s="777">
        <f t="shared" si="3"/>
        <v>90831</v>
      </c>
      <c r="P7" s="778">
        <f t="shared" si="4"/>
        <v>0.99276685788766494</v>
      </c>
      <c r="Q7" s="773">
        <v>7.3000000000000001E-3</v>
      </c>
      <c r="R7" s="779">
        <f t="shared" si="5"/>
        <v>907.30970000000002</v>
      </c>
      <c r="S7" s="351"/>
      <c r="T7" s="208">
        <f>7.3/1000</f>
        <v>7.3000000000000001E-3</v>
      </c>
      <c r="U7" s="210">
        <f t="shared" si="6"/>
        <v>900.74699999999996</v>
      </c>
      <c r="V7" s="208"/>
      <c r="W7" s="534"/>
      <c r="X7" s="208"/>
      <c r="Y7" s="208"/>
      <c r="Z7" s="208">
        <f t="shared" si="7"/>
        <v>1.4016</v>
      </c>
      <c r="AA7" s="208">
        <f t="shared" si="8"/>
        <v>0.93440000000000001</v>
      </c>
      <c r="AB7" s="208">
        <f t="shared" si="9"/>
        <v>3.65</v>
      </c>
      <c r="AC7" s="208">
        <f t="shared" si="10"/>
        <v>0.57669999999999999</v>
      </c>
      <c r="AD7" s="208"/>
      <c r="AE7" s="208"/>
      <c r="AF7" s="208"/>
      <c r="AG7" s="208"/>
      <c r="AH7" s="208"/>
      <c r="AI7" s="208"/>
      <c r="AJ7" s="208"/>
      <c r="AK7" s="208"/>
      <c r="AL7" s="208"/>
      <c r="AM7" s="35"/>
      <c r="AN7" s="35"/>
      <c r="AO7" s="35"/>
      <c r="AP7" s="35"/>
      <c r="AQ7" s="35"/>
      <c r="AR7" s="35"/>
      <c r="AS7" s="35"/>
      <c r="AT7" s="35"/>
      <c r="AU7" s="35"/>
      <c r="AV7" s="35"/>
      <c r="AW7" s="35"/>
      <c r="AX7" s="35"/>
      <c r="AY7" s="35"/>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row>
    <row r="8" spans="1:260" s="441" customFormat="1">
      <c r="A8" s="93"/>
      <c r="B8" s="771" t="s">
        <v>2109</v>
      </c>
      <c r="C8" s="877" t="str">
        <f>VLOOKUP(B8,'Item Data Support Sheet'!A:B,2,0)</f>
        <v>CAP S TYPE MOLDED PALE BLUE</v>
      </c>
      <c r="D8" s="771" t="s">
        <v>2801</v>
      </c>
      <c r="E8" s="772">
        <v>11874</v>
      </c>
      <c r="F8" s="773">
        <f>SUMIF('Data Sheet Aug-2021'!E:E,PVA!B8,'Data Sheet Aug-2021'!N:N)</f>
        <v>34198</v>
      </c>
      <c r="G8" s="773">
        <f>SUMIF('Data Sheet Aug-2021'!E:E,PVA!B8,'Data Sheet Aug-2021'!O:O)</f>
        <v>34120</v>
      </c>
      <c r="H8" s="773">
        <f>SUMIF('Data Sheet Aug-2021'!E:E,PVA!B8,'Data Sheet Aug-2021'!T:T)</f>
        <v>28</v>
      </c>
      <c r="I8" s="773">
        <f>SUMIF('Data Sheet Aug-2021'!E:E,PVA!B8,'Data Sheet Aug-2021'!U:U)</f>
        <v>48</v>
      </c>
      <c r="J8" s="773">
        <f>SUMIF('Data Sheet Aug-2021'!E:E,PVA!B8,'Data Sheet Aug-2021'!P:P)</f>
        <v>1.3699999999999999</v>
      </c>
      <c r="K8" s="774">
        <f>SUMIF('Data Sheet Aug-2021'!E:E,PVA!B8,'Data Sheet Aug-2021'!Q:Q)</f>
        <v>2</v>
      </c>
      <c r="L8" s="775">
        <f t="shared" si="0"/>
        <v>8.1996017336300809E-4</v>
      </c>
      <c r="M8" s="775">
        <f t="shared" si="1"/>
        <v>5.8482952219428036E-5</v>
      </c>
      <c r="N8" s="776">
        <f t="shared" si="2"/>
        <v>2.873505137274718</v>
      </c>
      <c r="O8" s="777">
        <f t="shared" si="3"/>
        <v>22246</v>
      </c>
      <c r="P8" s="778">
        <f t="shared" si="4"/>
        <v>0.99227378081185458</v>
      </c>
      <c r="Q8" s="773">
        <v>7.3000000000000001E-3</v>
      </c>
      <c r="R8" s="779">
        <f t="shared" si="5"/>
        <v>251.0154</v>
      </c>
      <c r="S8" s="351"/>
      <c r="T8" s="208"/>
      <c r="U8" s="210">
        <f t="shared" si="6"/>
        <v>249.07599999999999</v>
      </c>
      <c r="V8" s="208"/>
      <c r="W8" s="534"/>
      <c r="X8" s="208"/>
      <c r="Y8" s="208"/>
      <c r="Z8" s="208">
        <f t="shared" si="7"/>
        <v>0.2044</v>
      </c>
      <c r="AA8" s="208">
        <f t="shared" si="8"/>
        <v>0.35039999999999999</v>
      </c>
      <c r="AB8" s="208">
        <f t="shared" si="9"/>
        <v>1.3699999999999999</v>
      </c>
      <c r="AC8" s="208">
        <f t="shared" si="10"/>
        <v>1.46E-2</v>
      </c>
      <c r="AD8" s="208"/>
      <c r="AE8" s="208"/>
      <c r="AF8" s="208"/>
      <c r="AG8" s="208"/>
      <c r="AH8" s="208"/>
      <c r="AI8" s="208"/>
      <c r="AJ8" s="208"/>
      <c r="AK8" s="208"/>
      <c r="AL8" s="208"/>
      <c r="AM8" s="35"/>
      <c r="AN8" s="35"/>
      <c r="AO8" s="35"/>
      <c r="AP8" s="35"/>
      <c r="AQ8" s="35"/>
      <c r="AR8" s="35"/>
      <c r="AS8" s="35"/>
      <c r="AT8" s="35"/>
      <c r="AU8" s="35"/>
      <c r="AV8" s="35"/>
      <c r="AW8" s="35"/>
      <c r="AX8" s="35"/>
      <c r="AY8" s="35"/>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row>
    <row r="9" spans="1:260" s="441" customFormat="1">
      <c r="A9" s="93"/>
      <c r="B9" s="771" t="s">
        <v>2110</v>
      </c>
      <c r="C9" s="877" t="str">
        <f>VLOOKUP(B9,'Item Data Support Sheet'!A:B,2,0)</f>
        <v>CAP S TYPE MOLDED WHITE</v>
      </c>
      <c r="D9" s="771" t="s">
        <v>2799</v>
      </c>
      <c r="E9" s="772">
        <v>11874</v>
      </c>
      <c r="F9" s="773">
        <f>SUMIF('Data Sheet Aug-2021'!E:E,PVA!B9,'Data Sheet Aug-2021'!N:N)</f>
        <v>51086</v>
      </c>
      <c r="G9" s="773">
        <f>SUMIF('Data Sheet Aug-2021'!E:E,PVA!B9,'Data Sheet Aug-2021'!O:O)</f>
        <v>50964</v>
      </c>
      <c r="H9" s="773">
        <f>SUMIF('Data Sheet Aug-2021'!E:E,PVA!B9,'Data Sheet Aug-2021'!T:T)</f>
        <v>50</v>
      </c>
      <c r="I9" s="773">
        <f>SUMIF('Data Sheet Aug-2021'!E:E,PVA!B9,'Data Sheet Aug-2021'!U:U)</f>
        <v>72</v>
      </c>
      <c r="J9" s="773">
        <f>SUMIF('Data Sheet Aug-2021'!E:E,PVA!B9,'Data Sheet Aug-2021'!P:P)</f>
        <v>0</v>
      </c>
      <c r="K9" s="774">
        <f>SUMIF('Data Sheet Aug-2021'!E:E,PVA!B9,'Data Sheet Aug-2021'!Q:Q)</f>
        <v>0</v>
      </c>
      <c r="L9" s="775">
        <f t="shared" si="0"/>
        <v>9.8012310346179475E-4</v>
      </c>
      <c r="M9" s="775">
        <f t="shared" si="1"/>
        <v>0</v>
      </c>
      <c r="N9" s="776">
        <f t="shared" si="2"/>
        <v>4.2920667003537138</v>
      </c>
      <c r="O9" s="777">
        <f t="shared" si="3"/>
        <v>39090</v>
      </c>
      <c r="P9" s="778">
        <f t="shared" si="4"/>
        <v>0.99761187017969699</v>
      </c>
      <c r="Q9" s="773">
        <v>7.3000000000000001E-3</v>
      </c>
      <c r="R9" s="779">
        <f t="shared" si="5"/>
        <v>372.92779999999999</v>
      </c>
      <c r="S9" s="351"/>
      <c r="T9" s="208"/>
      <c r="U9" s="210">
        <f t="shared" si="6"/>
        <v>372.03719999999998</v>
      </c>
      <c r="V9" s="208"/>
      <c r="W9" s="534"/>
      <c r="X9" s="208"/>
      <c r="Y9" s="208"/>
      <c r="Z9" s="208">
        <f t="shared" si="7"/>
        <v>0.36499999999999999</v>
      </c>
      <c r="AA9" s="208">
        <f t="shared" si="8"/>
        <v>0.52559999999999996</v>
      </c>
      <c r="AB9" s="208">
        <f t="shared" si="9"/>
        <v>0</v>
      </c>
      <c r="AC9" s="208">
        <f t="shared" si="10"/>
        <v>0</v>
      </c>
      <c r="AD9" s="208"/>
      <c r="AE9" s="208"/>
      <c r="AF9" s="208"/>
      <c r="AG9" s="208"/>
      <c r="AH9" s="208"/>
      <c r="AI9" s="208"/>
      <c r="AJ9" s="208"/>
      <c r="AK9" s="208"/>
      <c r="AL9" s="208"/>
      <c r="AM9" s="35"/>
      <c r="AN9" s="35"/>
      <c r="AO9" s="35"/>
      <c r="AP9" s="35"/>
      <c r="AQ9" s="35"/>
      <c r="AR9" s="35"/>
      <c r="AS9" s="35"/>
      <c r="AT9" s="35"/>
      <c r="AU9" s="35"/>
      <c r="AV9" s="35"/>
      <c r="AW9" s="35"/>
      <c r="AX9" s="35"/>
      <c r="AY9" s="35"/>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row>
    <row r="10" spans="1:260" s="441" customFormat="1" ht="15" thickBot="1">
      <c r="A10" s="93"/>
      <c r="B10" s="780" t="s">
        <v>2117</v>
      </c>
      <c r="C10" s="877" t="str">
        <f>VLOOKUP(B10,'Item Data Support Sheet'!A:B,2,0)</f>
        <v>CAP S TYPE MOLDED YELLOW</v>
      </c>
      <c r="D10" s="780" t="s">
        <v>2800</v>
      </c>
      <c r="E10" s="781">
        <v>0</v>
      </c>
      <c r="F10" s="782">
        <f>SUMIF('Data Sheet Aug-2021'!E:E,PVA!B10,'Data Sheet Aug-2021'!N:N)</f>
        <v>20742</v>
      </c>
      <c r="G10" s="782">
        <f>SUMIF('Data Sheet Aug-2021'!E:E,PVA!B10,'Data Sheet Aug-2021'!O:O)</f>
        <v>20700</v>
      </c>
      <c r="H10" s="782">
        <f>SUMIF('Data Sheet Aug-2021'!E:E,PVA!B10,'Data Sheet Aug-2021'!T:T)</f>
        <v>10</v>
      </c>
      <c r="I10" s="782">
        <f>SUMIF('Data Sheet Aug-2021'!E:E,PVA!B10,'Data Sheet Aug-2021'!U:U)</f>
        <v>32</v>
      </c>
      <c r="J10" s="782">
        <f>SUMIF('Data Sheet Aug-2021'!E:E,PVA!B10,'Data Sheet Aug-2021'!P:P)</f>
        <v>0.15</v>
      </c>
      <c r="K10" s="783">
        <f>SUMIF('Data Sheet Aug-2021'!E:E,PVA!B10,'Data Sheet Aug-2021'!Q:Q)</f>
        <v>0</v>
      </c>
      <c r="L10" s="775">
        <f t="shared" si="0"/>
        <v>4.8285852245292128E-4</v>
      </c>
      <c r="M10" s="775">
        <f t="shared" si="1"/>
        <v>0</v>
      </c>
      <c r="N10" s="776">
        <f t="shared" si="2"/>
        <v>0</v>
      </c>
      <c r="O10" s="784">
        <f t="shared" si="3"/>
        <v>20700</v>
      </c>
      <c r="P10" s="785">
        <f t="shared" si="4"/>
        <v>0.99698746293708518</v>
      </c>
      <c r="Q10" s="782">
        <v>7.3000000000000001E-3</v>
      </c>
      <c r="R10" s="786">
        <f t="shared" si="5"/>
        <v>151.56659999999999</v>
      </c>
      <c r="S10" s="351"/>
      <c r="T10" s="208"/>
      <c r="U10" s="210">
        <f t="shared" si="6"/>
        <v>151.11000000000001</v>
      </c>
      <c r="V10" s="210"/>
      <c r="W10" s="534"/>
      <c r="X10" s="208"/>
      <c r="Y10" s="208"/>
      <c r="Z10" s="208">
        <f t="shared" si="7"/>
        <v>7.2999999999999995E-2</v>
      </c>
      <c r="AA10" s="208">
        <f t="shared" si="8"/>
        <v>0.2336</v>
      </c>
      <c r="AB10" s="208">
        <f t="shared" si="9"/>
        <v>0.15</v>
      </c>
      <c r="AC10" s="208">
        <f t="shared" si="10"/>
        <v>0</v>
      </c>
      <c r="AD10" s="208"/>
      <c r="AE10" s="208"/>
      <c r="AF10" s="208"/>
      <c r="AG10" s="208"/>
      <c r="AH10" s="208"/>
      <c r="AI10" s="208"/>
      <c r="AJ10" s="208"/>
      <c r="AK10" s="208"/>
      <c r="AL10" s="208"/>
      <c r="AM10" s="35"/>
      <c r="AN10" s="35"/>
      <c r="AO10" s="35"/>
      <c r="AP10" s="35"/>
      <c r="AQ10" s="35"/>
      <c r="AR10" s="35"/>
      <c r="AS10" s="35"/>
      <c r="AT10" s="35"/>
      <c r="AU10" s="35"/>
      <c r="AV10" s="35"/>
      <c r="AW10" s="35"/>
      <c r="AX10" s="35"/>
      <c r="AY10" s="35"/>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row>
    <row r="11" spans="1:260" s="2" customFormat="1" ht="15" thickBot="1">
      <c r="A11" s="96"/>
      <c r="B11" s="82" t="s">
        <v>103</v>
      </c>
      <c r="C11" s="83"/>
      <c r="D11" s="74"/>
      <c r="E11" s="882">
        <f>SUM(E5:E10)</f>
        <v>117825</v>
      </c>
      <c r="F11" s="883">
        <f t="shared" ref="F11:K11" si="11">SUM(F5:F10)</f>
        <v>489657</v>
      </c>
      <c r="G11" s="883">
        <f t="shared" si="11"/>
        <v>488403</v>
      </c>
      <c r="H11" s="883">
        <f t="shared" si="11"/>
        <v>526</v>
      </c>
      <c r="I11" s="883">
        <f t="shared" si="11"/>
        <v>568</v>
      </c>
      <c r="J11" s="883">
        <f t="shared" si="11"/>
        <v>10.948</v>
      </c>
      <c r="K11" s="883">
        <f t="shared" si="11"/>
        <v>160</v>
      </c>
      <c r="L11" s="397">
        <f>IFERROR(SUM(H11)/SUM(G11:H11),0)</f>
        <v>1.0758208247005189E-3</v>
      </c>
      <c r="M11" s="892">
        <f t="shared" si="1"/>
        <v>3.2675934378554786E-4</v>
      </c>
      <c r="N11" s="85">
        <f>IFERROR(G11/E11,0)</f>
        <v>4.1451559516231695</v>
      </c>
      <c r="O11" s="86">
        <f>G11-E11</f>
        <v>370578</v>
      </c>
      <c r="P11" s="884">
        <f>IFERROR(G11*Q11/R11,0)</f>
        <v>0.99439338630324769</v>
      </c>
      <c r="Q11" s="885">
        <v>7.3000000000000001E-3</v>
      </c>
      <c r="R11" s="87">
        <f>(H11+G11+I11+K11)*Q11+J11</f>
        <v>3585.4440999999997</v>
      </c>
      <c r="S11" s="352"/>
      <c r="T11" s="209"/>
      <c r="U11" s="535">
        <f>SUM(U5:U10)</f>
        <v>3565.3418999999999</v>
      </c>
      <c r="V11" s="209">
        <f>R11</f>
        <v>3585.4440999999997</v>
      </c>
      <c r="W11" s="209"/>
      <c r="X11" s="209"/>
      <c r="Y11" s="209"/>
      <c r="Z11" s="209"/>
      <c r="AA11" s="209"/>
      <c r="AB11" s="209"/>
      <c r="AC11" s="209"/>
      <c r="AD11" s="209"/>
      <c r="AE11" s="209"/>
      <c r="AF11" s="209"/>
      <c r="AG11" s="209"/>
      <c r="AH11" s="209"/>
      <c r="AI11" s="209"/>
      <c r="AJ11" s="209"/>
      <c r="AK11" s="209"/>
      <c r="AL11" s="209"/>
      <c r="AM11" s="36"/>
      <c r="AN11" s="36"/>
      <c r="AO11" s="36"/>
      <c r="AP11" s="36"/>
      <c r="AQ11" s="36"/>
      <c r="AR11" s="36"/>
      <c r="AS11" s="36"/>
      <c r="AT11" s="36"/>
      <c r="AU11" s="36"/>
      <c r="AV11" s="36"/>
      <c r="AW11" s="36"/>
      <c r="AX11" s="36"/>
      <c r="AY11" s="36"/>
    </row>
    <row r="12" spans="1:260" ht="15" thickBot="1">
      <c r="B12" s="402" t="s">
        <v>84</v>
      </c>
      <c r="C12" s="881" t="s">
        <v>10</v>
      </c>
      <c r="D12" s="402" t="s">
        <v>1</v>
      </c>
      <c r="E12" s="363" t="s">
        <v>2</v>
      </c>
      <c r="F12" s="363" t="s">
        <v>91</v>
      </c>
      <c r="G12" s="363" t="s">
        <v>3</v>
      </c>
      <c r="H12" s="363" t="s">
        <v>92</v>
      </c>
      <c r="I12" s="363" t="s">
        <v>94</v>
      </c>
      <c r="J12" s="363" t="s">
        <v>6</v>
      </c>
      <c r="K12" s="364" t="s">
        <v>4</v>
      </c>
      <c r="L12" s="895" t="s">
        <v>90</v>
      </c>
      <c r="M12" s="124" t="s">
        <v>2802</v>
      </c>
      <c r="N12" s="896" t="s">
        <v>89</v>
      </c>
      <c r="O12" s="523" t="s">
        <v>93</v>
      </c>
      <c r="P12" s="364" t="s">
        <v>105</v>
      </c>
      <c r="Q12" s="796" t="s">
        <v>418</v>
      </c>
      <c r="R12" s="364" t="s">
        <v>95</v>
      </c>
      <c r="S12" s="351"/>
      <c r="U12" s="210"/>
      <c r="Z12" s="237" t="s">
        <v>92</v>
      </c>
      <c r="AA12" s="237" t="s">
        <v>94</v>
      </c>
      <c r="AB12" s="237" t="s">
        <v>6</v>
      </c>
      <c r="AC12" s="237" t="s">
        <v>4</v>
      </c>
    </row>
    <row r="13" spans="1:260">
      <c r="B13" s="472" t="s">
        <v>65</v>
      </c>
      <c r="C13" s="472" t="str">
        <f>VLOOKUP(B13,'Item Data Support Sheet'!A:B,2,0)</f>
        <v>KPP 120 ML BOTTLE MOLDED</v>
      </c>
      <c r="D13" s="878" t="str">
        <f>IFERROR(VLOOKUP(B13,'Item Data Support Sheet'!A:O,15,0),0)</f>
        <v>KPP4_H</v>
      </c>
      <c r="E13" s="474">
        <v>23166</v>
      </c>
      <c r="F13" s="113">
        <f>SUMIF('Data Sheet Aug-2021'!E:E,PVA!B13,'Data Sheet Aug-2021'!N:N)</f>
        <v>97215</v>
      </c>
      <c r="G13" s="113">
        <f>SUMIF('Data Sheet Aug-2021'!E:E,PVA!B13,'Data Sheet Aug-2021'!O:O)</f>
        <v>93483</v>
      </c>
      <c r="H13" s="113">
        <f>SUMIF('Data Sheet Aug-2021'!E:E,PVA!B13,'Data Sheet Aug-2021'!T:T)</f>
        <v>1715</v>
      </c>
      <c r="I13" s="113">
        <f>SUMIF('Data Sheet Aug-2021'!E:E,PVA!B13,'Data Sheet Aug-2021'!U:U)</f>
        <v>285</v>
      </c>
      <c r="J13" s="113">
        <f>SUMIF('Data Sheet Aug-2021'!E:E,PVA!B13,'Data Sheet Aug-2021'!P:P)</f>
        <v>5.89</v>
      </c>
      <c r="K13" s="475">
        <f>SUMIF('Data Sheet Aug-2021'!E:E,PVA!B13,'Data Sheet Aug-2021'!Q:Q)</f>
        <v>1732</v>
      </c>
      <c r="L13" s="520">
        <f>IFERROR(SUM(H13)/SUM(G13:H13),0)</f>
        <v>1.8015084350511565E-2</v>
      </c>
      <c r="M13" s="520">
        <f t="shared" si="1"/>
        <v>1.7816180630561129E-2</v>
      </c>
      <c r="N13" s="114">
        <f t="shared" ref="N13:N30" si="12">IFERROR(G13/E13,0)</f>
        <v>4.0353535353535355</v>
      </c>
      <c r="O13" s="521">
        <f>G13-E13</f>
        <v>70317</v>
      </c>
      <c r="P13" s="214">
        <f t="shared" ref="P13:P30" si="13">IFERROR(G13*Q13/R13,0)</f>
        <v>0.95888334101025763</v>
      </c>
      <c r="Q13" s="116">
        <v>2.1299999999999999E-2</v>
      </c>
      <c r="R13" s="115">
        <f>(H13+G13+I13+K13)*Q13+J13</f>
        <v>2076.5694999999996</v>
      </c>
      <c r="S13" s="351"/>
      <c r="U13" s="210">
        <f t="shared" ref="U13:U21" si="14">Q13*G13</f>
        <v>1991.1878999999999</v>
      </c>
      <c r="Z13" s="208">
        <f>H13*Q13</f>
        <v>36.529499999999999</v>
      </c>
      <c r="AA13" s="208">
        <f>I13*Q13</f>
        <v>6.0705</v>
      </c>
      <c r="AB13" s="208">
        <f>J13</f>
        <v>5.89</v>
      </c>
      <c r="AC13" s="208">
        <f>K13*Q13</f>
        <v>36.891599999999997</v>
      </c>
    </row>
    <row r="14" spans="1:260">
      <c r="B14" s="473" t="s">
        <v>66</v>
      </c>
      <c r="C14" s="473" t="str">
        <f>VLOOKUP(B14,'Item Data Support Sheet'!A:B,2,0)</f>
        <v>KPP 200 ML BOTTLE MOLDED</v>
      </c>
      <c r="D14" s="879" t="str">
        <f>IFERROR(VLOOKUP(B14,'Item Data Support Sheet'!A:O,15,0),0)</f>
        <v>KPP6_H</v>
      </c>
      <c r="E14" s="735">
        <v>20592</v>
      </c>
      <c r="F14" s="116">
        <f>SUMIF('Data Sheet Aug-2021'!E:E,PVA!B14,'Data Sheet Aug-2021'!N:N)</f>
        <v>88956</v>
      </c>
      <c r="G14" s="116">
        <f>SUMIF('Data Sheet Aug-2021'!E:E,PVA!B14,'Data Sheet Aug-2021'!O:O)</f>
        <v>86420</v>
      </c>
      <c r="H14" s="116">
        <f>SUMIF('Data Sheet Aug-2021'!E:E,PVA!B14,'Data Sheet Aug-2021'!T:T)</f>
        <v>1398</v>
      </c>
      <c r="I14" s="116">
        <f>SUMIF('Data Sheet Aug-2021'!E:E,PVA!B14,'Data Sheet Aug-2021'!U:U)</f>
        <v>198</v>
      </c>
      <c r="J14" s="116">
        <f>SUMIF('Data Sheet Aug-2021'!E:E,PVA!B14,'Data Sheet Aug-2021'!P:P)</f>
        <v>5.165</v>
      </c>
      <c r="K14" s="736">
        <f>SUMIF('Data Sheet Aug-2021'!E:E,PVA!B14,'Data Sheet Aug-2021'!Q:Q)</f>
        <v>940</v>
      </c>
      <c r="L14" s="728">
        <f t="shared" ref="L14:L30" si="15">IFERROR(SUM(H14)/SUM(G14:H14),0)</f>
        <v>1.5919287617572705E-2</v>
      </c>
      <c r="M14" s="728">
        <f t="shared" si="1"/>
        <v>1.0567021898466658E-2</v>
      </c>
      <c r="N14" s="117">
        <f t="shared" si="12"/>
        <v>4.1967754467754466</v>
      </c>
      <c r="O14" s="519">
        <f>G14-E14</f>
        <v>65828</v>
      </c>
      <c r="P14" s="215">
        <f t="shared" si="13"/>
        <v>0.96948829153419924</v>
      </c>
      <c r="Q14" s="116">
        <v>2.81E-2</v>
      </c>
      <c r="R14" s="118">
        <f t="shared" ref="R14:R29" si="16">(H14+G14+I14+K14)*Q14+J14</f>
        <v>2504.8285999999998</v>
      </c>
      <c r="S14" s="351"/>
      <c r="U14" s="210">
        <f t="shared" si="14"/>
        <v>2428.402</v>
      </c>
      <c r="Z14" s="208">
        <f t="shared" ref="Z14:Z30" si="17">H14*Q14</f>
        <v>39.283799999999999</v>
      </c>
      <c r="AA14" s="208">
        <f t="shared" ref="AA14:AA30" si="18">I14*Q14</f>
        <v>5.5637999999999996</v>
      </c>
      <c r="AB14" s="208">
        <f t="shared" ref="AB14:AB30" si="19">J14</f>
        <v>5.165</v>
      </c>
      <c r="AC14" s="208">
        <f t="shared" ref="AC14:AC30" si="20">K14*Q14</f>
        <v>26.414000000000001</v>
      </c>
    </row>
    <row r="15" spans="1:260">
      <c r="B15" s="473" t="s">
        <v>14</v>
      </c>
      <c r="C15" s="473" t="str">
        <f>VLOOKUP(B15,'Item Data Support Sheet'!A:B,2,0)</f>
        <v>KPP 240 ML BOTTLE MOLDED</v>
      </c>
      <c r="D15" s="879" t="str">
        <f>IFERROR(VLOOKUP(B15,'Item Data Support Sheet'!A:O,15,0),0)</f>
        <v>KPP8_H</v>
      </c>
      <c r="E15" s="735">
        <v>48906</v>
      </c>
      <c r="F15" s="116">
        <f>SUMIF('Data Sheet Aug-2021'!E:E,PVA!B15,'Data Sheet Aug-2021'!N:N)</f>
        <v>189607</v>
      </c>
      <c r="G15" s="116">
        <f>SUMIF('Data Sheet Aug-2021'!E:E,PVA!B15,'Data Sheet Aug-2021'!O:O)</f>
        <v>182597</v>
      </c>
      <c r="H15" s="116">
        <f>SUMIF('Data Sheet Aug-2021'!E:E,PVA!B15,'Data Sheet Aug-2021'!T:T)</f>
        <v>3762</v>
      </c>
      <c r="I15" s="116">
        <f>SUMIF('Data Sheet Aug-2021'!E:E,PVA!B15,'Data Sheet Aug-2021'!U:U)</f>
        <v>336</v>
      </c>
      <c r="J15" s="116">
        <f>SUMIF('Data Sheet Aug-2021'!E:E,PVA!B15,'Data Sheet Aug-2021'!P:P)</f>
        <v>11.135999999999997</v>
      </c>
      <c r="K15" s="736">
        <f>SUMIF('Data Sheet Aug-2021'!E:E,PVA!B15,'Data Sheet Aug-2021'!Q:Q)</f>
        <v>2912</v>
      </c>
      <c r="L15" s="728">
        <f t="shared" si="15"/>
        <v>2.0186843672696249E-2</v>
      </c>
      <c r="M15" s="728">
        <f t="shared" si="1"/>
        <v>1.5358082771205704E-2</v>
      </c>
      <c r="N15" s="117">
        <f t="shared" si="12"/>
        <v>3.7336318652108127</v>
      </c>
      <c r="O15" s="519">
        <f t="shared" ref="O15:O26" si="21">G15-E15</f>
        <v>133691</v>
      </c>
      <c r="P15" s="215">
        <f t="shared" si="13"/>
        <v>0.96126999618057862</v>
      </c>
      <c r="Q15" s="116">
        <v>3.2099999999999997E-2</v>
      </c>
      <c r="R15" s="118">
        <f>(H15+G15+I15+K15)*Q15+J15</f>
        <v>6097.5207</v>
      </c>
      <c r="S15" s="351"/>
      <c r="U15" s="210">
        <f t="shared" si="14"/>
        <v>5861.363699999999</v>
      </c>
      <c r="Z15" s="208">
        <f t="shared" si="17"/>
        <v>120.76019999999998</v>
      </c>
      <c r="AA15" s="208">
        <f t="shared" si="18"/>
        <v>10.785599999999999</v>
      </c>
      <c r="AB15" s="208">
        <f t="shared" si="19"/>
        <v>11.135999999999997</v>
      </c>
      <c r="AC15" s="208">
        <f t="shared" si="20"/>
        <v>93.475199999999987</v>
      </c>
    </row>
    <row r="16" spans="1:260">
      <c r="B16" s="473" t="s">
        <v>67</v>
      </c>
      <c r="C16" s="473" t="str">
        <f>VLOOKUP(B16,'Item Data Support Sheet'!A:B,2,0)</f>
        <v>RPP 120 ML BOTTLE MOLDED</v>
      </c>
      <c r="D16" s="879" t="str">
        <f>IFERROR(VLOOKUP(B16,'Item Data Support Sheet'!A:O,15,0),0)</f>
        <v>RPP4_H</v>
      </c>
      <c r="E16" s="735">
        <v>16944</v>
      </c>
      <c r="F16" s="116">
        <f>SUMIF('Data Sheet Aug-2021'!E:E,PVA!B16,'Data Sheet Aug-2021'!N:N)</f>
        <v>62991</v>
      </c>
      <c r="G16" s="116">
        <f>SUMIF('Data Sheet Aug-2021'!E:E,PVA!B16,'Data Sheet Aug-2021'!O:O)</f>
        <v>60794</v>
      </c>
      <c r="H16" s="116">
        <f>SUMIF('Data Sheet Aug-2021'!E:E,PVA!B16,'Data Sheet Aug-2021'!T:T)</f>
        <v>1036</v>
      </c>
      <c r="I16" s="116">
        <f>SUMIF('Data Sheet Aug-2021'!E:E,PVA!B16,'Data Sheet Aug-2021'!U:U)</f>
        <v>120</v>
      </c>
      <c r="J16" s="116">
        <f>SUMIF('Data Sheet Aug-2021'!E:E,PVA!B16,'Data Sheet Aug-2021'!P:P)</f>
        <v>4.2360000000000015</v>
      </c>
      <c r="K16" s="736">
        <f>SUMIF('Data Sheet Aug-2021'!E:E,PVA!B16,'Data Sheet Aug-2021'!Q:Q)</f>
        <v>1041</v>
      </c>
      <c r="L16" s="728">
        <f t="shared" si="15"/>
        <v>1.6755620249070031E-2</v>
      </c>
      <c r="M16" s="728">
        <f t="shared" si="1"/>
        <v>1.6526170405295994E-2</v>
      </c>
      <c r="N16" s="117">
        <f t="shared" si="12"/>
        <v>3.5879367327667611</v>
      </c>
      <c r="O16" s="519">
        <f t="shared" si="21"/>
        <v>43850</v>
      </c>
      <c r="P16" s="215">
        <f t="shared" si="13"/>
        <v>0.96208453797085058</v>
      </c>
      <c r="Q16" s="116">
        <v>2.1299999999999999E-2</v>
      </c>
      <c r="R16" s="118">
        <f t="shared" si="16"/>
        <v>1345.9443000000001</v>
      </c>
      <c r="S16" s="351"/>
      <c r="U16" s="210">
        <f t="shared" si="14"/>
        <v>1294.9122</v>
      </c>
      <c r="W16" s="238"/>
      <c r="Z16" s="208">
        <f t="shared" si="17"/>
        <v>22.066800000000001</v>
      </c>
      <c r="AA16" s="208">
        <f t="shared" si="18"/>
        <v>2.556</v>
      </c>
      <c r="AB16" s="208">
        <f t="shared" si="19"/>
        <v>4.2360000000000015</v>
      </c>
      <c r="AC16" s="208">
        <f t="shared" si="20"/>
        <v>22.173300000000001</v>
      </c>
    </row>
    <row r="17" spans="1:260">
      <c r="B17" s="473" t="s">
        <v>68</v>
      </c>
      <c r="C17" s="473" t="str">
        <f>VLOOKUP(B17,'Item Data Support Sheet'!A:B,2,0)</f>
        <v>RPP 240 ML BOTTLE MOLDED</v>
      </c>
      <c r="D17" s="879" t="str">
        <f>IFERROR(VLOOKUP(B17,'Item Data Support Sheet'!A:O,15,0),0)</f>
        <v>RPP8_H</v>
      </c>
      <c r="E17" s="735">
        <v>2574</v>
      </c>
      <c r="F17" s="116">
        <f>SUMIF('Data Sheet Aug-2021'!E:E,PVA!B17,'Data Sheet Aug-2021'!N:N)</f>
        <v>47812</v>
      </c>
      <c r="G17" s="116">
        <f>SUMIF('Data Sheet Aug-2021'!E:E,PVA!B17,'Data Sheet Aug-2021'!O:O)</f>
        <v>45912</v>
      </c>
      <c r="H17" s="116">
        <f>SUMIF('Data Sheet Aug-2021'!E:E,PVA!B17,'Data Sheet Aug-2021'!T:T)</f>
        <v>948</v>
      </c>
      <c r="I17" s="116">
        <f>SUMIF('Data Sheet Aug-2021'!E:E,PVA!B17,'Data Sheet Aug-2021'!U:U)</f>
        <v>120</v>
      </c>
      <c r="J17" s="116">
        <f>SUMIF('Data Sheet Aug-2021'!E:E,PVA!B17,'Data Sheet Aug-2021'!P:P)</f>
        <v>4.5350000000000001</v>
      </c>
      <c r="K17" s="736">
        <f>SUMIF('Data Sheet Aug-2021'!E:E,PVA!B17,'Data Sheet Aug-2021'!Q:Q)</f>
        <v>832</v>
      </c>
      <c r="L17" s="728">
        <f t="shared" si="15"/>
        <v>2.0230473751600513E-2</v>
      </c>
      <c r="M17" s="728">
        <f t="shared" si="1"/>
        <v>1.7401489165899776E-2</v>
      </c>
      <c r="N17" s="117">
        <f t="shared" si="12"/>
        <v>17.836829836829835</v>
      </c>
      <c r="O17" s="519">
        <f t="shared" si="21"/>
        <v>43338</v>
      </c>
      <c r="P17" s="215">
        <f t="shared" si="13"/>
        <v>0.95743195511830625</v>
      </c>
      <c r="Q17" s="116">
        <v>3.2099999999999997E-2</v>
      </c>
      <c r="R17" s="118">
        <f t="shared" si="16"/>
        <v>1539.3001999999999</v>
      </c>
      <c r="S17" s="351"/>
      <c r="U17" s="210">
        <f t="shared" si="14"/>
        <v>1473.7751999999998</v>
      </c>
      <c r="W17" s="210"/>
      <c r="Z17" s="208">
        <f t="shared" si="17"/>
        <v>30.430799999999998</v>
      </c>
      <c r="AA17" s="208">
        <f t="shared" si="18"/>
        <v>3.8519999999999994</v>
      </c>
      <c r="AB17" s="208">
        <f t="shared" si="19"/>
        <v>4.5350000000000001</v>
      </c>
      <c r="AC17" s="208">
        <f>K17*Q17</f>
        <v>26.707199999999997</v>
      </c>
    </row>
    <row r="18" spans="1:260" s="441" customFormat="1">
      <c r="A18" s="93"/>
      <c r="B18" s="473" t="s">
        <v>1983</v>
      </c>
      <c r="C18" s="473" t="s">
        <v>1985</v>
      </c>
      <c r="D18" s="879" t="str">
        <f>IFERROR(VLOOKUP(B18,'Item Data Support Sheet'!A:O,15,0),0)</f>
        <v>RPP8_H</v>
      </c>
      <c r="E18" s="735">
        <v>0</v>
      </c>
      <c r="F18" s="116">
        <f>SUMIF('Data Sheet Aug-2021'!E:E,PVA!B18,'Data Sheet Aug-2021'!N:N)</f>
        <v>0</v>
      </c>
      <c r="G18" s="116">
        <f>SUMIF('Data Sheet Aug-2021'!E:E,PVA!B18,'Data Sheet Aug-2021'!O:O)</f>
        <v>0</v>
      </c>
      <c r="H18" s="116">
        <f>SUMIF('Data Sheet Aug-2021'!E:E,PVA!B18,'Data Sheet Aug-2021'!T:T)</f>
        <v>0</v>
      </c>
      <c r="I18" s="116">
        <f>SUMIF('Data Sheet Aug-2021'!E:E,PVA!B18,'Data Sheet Aug-2021'!U:U)</f>
        <v>0</v>
      </c>
      <c r="J18" s="116">
        <f>SUMIF('Data Sheet Aug-2021'!E:E,PVA!B18,'Data Sheet Aug-2021'!P:P)</f>
        <v>0</v>
      </c>
      <c r="K18" s="736">
        <f>SUMIF('Data Sheet Aug-2021'!E:E,PVA!B18,'Data Sheet Aug-2021'!Q:Q)</f>
        <v>0</v>
      </c>
      <c r="L18" s="728">
        <f t="shared" si="15"/>
        <v>0</v>
      </c>
      <c r="M18" s="728">
        <f t="shared" si="1"/>
        <v>0</v>
      </c>
      <c r="N18" s="117">
        <f t="shared" si="12"/>
        <v>0</v>
      </c>
      <c r="O18" s="519">
        <f t="shared" si="21"/>
        <v>0</v>
      </c>
      <c r="P18" s="215">
        <f t="shared" si="13"/>
        <v>0</v>
      </c>
      <c r="Q18" s="116">
        <v>2.81E-2</v>
      </c>
      <c r="R18" s="118">
        <f t="shared" si="16"/>
        <v>0</v>
      </c>
      <c r="S18" s="351"/>
      <c r="T18" s="208"/>
      <c r="U18" s="210">
        <f t="shared" si="14"/>
        <v>0</v>
      </c>
      <c r="V18" s="208"/>
      <c r="W18" s="210"/>
      <c r="X18" s="208"/>
      <c r="Y18" s="208"/>
      <c r="Z18" s="208">
        <f t="shared" si="17"/>
        <v>0</v>
      </c>
      <c r="AA18" s="208">
        <f t="shared" si="18"/>
        <v>0</v>
      </c>
      <c r="AB18" s="208"/>
      <c r="AC18" s="208">
        <f>K18*Q18</f>
        <v>0</v>
      </c>
      <c r="AD18" s="208"/>
      <c r="AE18" s="208"/>
      <c r="AF18" s="208"/>
      <c r="AG18" s="208"/>
      <c r="AH18" s="208"/>
      <c r="AI18" s="208"/>
      <c r="AJ18" s="208"/>
      <c r="AK18" s="208"/>
      <c r="AL18" s="208"/>
      <c r="AM18" s="35"/>
      <c r="AN18" s="35"/>
      <c r="AO18" s="35"/>
      <c r="AP18" s="35"/>
      <c r="AQ18" s="35"/>
      <c r="AR18" s="35"/>
      <c r="AS18" s="35"/>
      <c r="AT18" s="35"/>
      <c r="AU18" s="35"/>
      <c r="AV18" s="35"/>
      <c r="AW18" s="35"/>
      <c r="AX18" s="35"/>
      <c r="AY18" s="35"/>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row>
    <row r="19" spans="1:260" s="67" customFormat="1" ht="15" thickBot="1">
      <c r="A19" s="93"/>
      <c r="B19" s="503" t="s">
        <v>1889</v>
      </c>
      <c r="C19" s="503" t="str">
        <f>VLOOKUP(B19,'Item Data Support Sheet'!A:B,2,0)</f>
        <v>50 ML JUICE BOTTLE MOLDED</v>
      </c>
      <c r="D19" s="880" t="str">
        <f>IFERROR(VLOOKUP(B19,'Item Data Support Sheet'!A:O,15,0),0)</f>
        <v>RPP2_H</v>
      </c>
      <c r="E19" s="737">
        <v>0</v>
      </c>
      <c r="F19" s="119">
        <f>SUMIF('Data Sheet Aug-2021'!E:E,PVA!B19,'Data Sheet Aug-2021'!N:N)</f>
        <v>6555</v>
      </c>
      <c r="G19" s="119">
        <f>SUMIF('Data Sheet Aug-2021'!E:E,PVA!B19,'Data Sheet Aug-2021'!O:O)</f>
        <v>6295</v>
      </c>
      <c r="H19" s="119">
        <f>SUMIF('Data Sheet Aug-2021'!E:E,PVA!B19,'Data Sheet Aug-2021'!T:T)</f>
        <v>152</v>
      </c>
      <c r="I19" s="119">
        <f>SUMIF('Data Sheet Aug-2021'!E:E,PVA!B19,'Data Sheet Aug-2021'!U:U)</f>
        <v>0</v>
      </c>
      <c r="J19" s="119">
        <f>SUMIF('Data Sheet Aug-2021'!E:E,PVA!B19,'Data Sheet Aug-2021'!P:P)</f>
        <v>0.44999999999999996</v>
      </c>
      <c r="K19" s="741">
        <f>SUMIF('Data Sheet Aug-2021'!E:E,PVA!B19,'Data Sheet Aug-2021'!Q:Q)</f>
        <v>108</v>
      </c>
      <c r="L19" s="729">
        <f>IFERROR(SUM(H19)/SUM(G19:H19),0)</f>
        <v>2.3576857453078953E-2</v>
      </c>
      <c r="M19" s="729">
        <f t="shared" si="1"/>
        <v>1.6475972540045767E-2</v>
      </c>
      <c r="N19" s="120">
        <f t="shared" si="12"/>
        <v>0</v>
      </c>
      <c r="O19" s="522">
        <f t="shared" si="21"/>
        <v>6295</v>
      </c>
      <c r="P19" s="216">
        <f t="shared" si="13"/>
        <v>0.95647316440988528</v>
      </c>
      <c r="Q19" s="119">
        <v>1.7000000000000001E-2</v>
      </c>
      <c r="R19" s="121">
        <f t="shared" si="16"/>
        <v>111.88500000000001</v>
      </c>
      <c r="S19" s="351"/>
      <c r="T19" s="208"/>
      <c r="U19" s="210">
        <f t="shared" si="14"/>
        <v>107.01500000000001</v>
      </c>
      <c r="V19" s="534">
        <f>SUM(U13:U19)</f>
        <v>13156.655999999999</v>
      </c>
      <c r="W19" s="534">
        <f>SUM(R13:R19)</f>
        <v>13676.048299999999</v>
      </c>
      <c r="X19" s="208"/>
      <c r="Y19" s="208"/>
      <c r="Z19" s="208">
        <f t="shared" si="17"/>
        <v>2.5840000000000001</v>
      </c>
      <c r="AA19" s="208">
        <f t="shared" si="18"/>
        <v>0</v>
      </c>
      <c r="AB19" s="208">
        <f t="shared" si="19"/>
        <v>0.44999999999999996</v>
      </c>
      <c r="AC19" s="208">
        <f>K19*Q19</f>
        <v>1.8360000000000001</v>
      </c>
      <c r="AD19" s="208"/>
      <c r="AE19" s="208"/>
      <c r="AF19" s="208"/>
      <c r="AG19" s="208"/>
      <c r="AH19" s="208"/>
      <c r="AI19" s="208"/>
      <c r="AJ19" s="208"/>
      <c r="AK19" s="208"/>
      <c r="AL19" s="208"/>
      <c r="AM19" s="35"/>
      <c r="AN19" s="35"/>
      <c r="AO19" s="35"/>
      <c r="AP19" s="35"/>
      <c r="AQ19" s="35"/>
      <c r="AR19" s="35"/>
      <c r="AS19" s="35"/>
      <c r="AT19" s="35"/>
      <c r="AU19" s="35"/>
      <c r="AV19" s="35"/>
      <c r="AW19" s="35"/>
      <c r="AX19" s="35"/>
      <c r="AY19" s="35"/>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row>
    <row r="20" spans="1:260">
      <c r="B20" s="26" t="s">
        <v>117</v>
      </c>
      <c r="C20" s="51" t="str">
        <f>VLOOKUP(B20,'Item Data Support Sheet'!A:B,2,0)</f>
        <v>KPP BOTTLE 120 ML MOULDED-WMG3B</v>
      </c>
      <c r="D20" s="140" t="str">
        <f>IFERROR(VLOOKUP(B20,'Item Data Support Sheet'!A:O,15,0),0)</f>
        <v>KPP4_W</v>
      </c>
      <c r="E20" s="738">
        <v>0</v>
      </c>
      <c r="F20" s="17">
        <f>SUMIF('Data Sheet Aug-2021'!E:E,PVA!B20,'Data Sheet Aug-2021'!N:N)</f>
        <v>2462</v>
      </c>
      <c r="G20" s="17">
        <f>SUMIF('Data Sheet Aug-2021'!E:E,PVA!B20,'Data Sheet Aug-2021'!O:O)</f>
        <v>2248</v>
      </c>
      <c r="H20" s="17">
        <f>SUMIF('Data Sheet Aug-2021'!E:E,PVA!B20,'Data Sheet Aug-2021'!T:T)</f>
        <v>82</v>
      </c>
      <c r="I20" s="17">
        <f>SUMIF('Data Sheet Aug-2021'!E:E,PVA!B20,'Data Sheet Aug-2021'!U:U)</f>
        <v>8</v>
      </c>
      <c r="J20" s="17">
        <f>SUMIF('Data Sheet Aug-2021'!E:E,PVA!B20,'Data Sheet Aug-2021'!P:P)</f>
        <v>1.4</v>
      </c>
      <c r="K20" s="18">
        <f>SUMIF('Data Sheet Aug-2021'!E:E,PVA!B20,'Data Sheet Aug-2021'!Q:Q)</f>
        <v>124</v>
      </c>
      <c r="L20" s="730">
        <f t="shared" si="15"/>
        <v>3.51931330472103E-2</v>
      </c>
      <c r="M20" s="730">
        <f t="shared" si="1"/>
        <v>5.0365556458164096E-2</v>
      </c>
      <c r="N20" s="716">
        <f t="shared" si="12"/>
        <v>0</v>
      </c>
      <c r="O20" s="33">
        <f t="shared" si="21"/>
        <v>2248</v>
      </c>
      <c r="P20" s="217">
        <f t="shared" si="13"/>
        <v>0.89076481041206268</v>
      </c>
      <c r="Q20" s="17">
        <v>2.2700000000000001E-2</v>
      </c>
      <c r="R20" s="18">
        <f>(H20+G20+I20+K20)*Q20+J20</f>
        <v>57.287400000000005</v>
      </c>
      <c r="S20" s="351"/>
      <c r="U20" s="210">
        <f t="shared" si="14"/>
        <v>51.029600000000002</v>
      </c>
      <c r="Z20" s="208">
        <f t="shared" si="17"/>
        <v>1.8614000000000002</v>
      </c>
      <c r="AA20" s="208">
        <f t="shared" si="18"/>
        <v>0.18160000000000001</v>
      </c>
      <c r="AB20" s="208">
        <f t="shared" si="19"/>
        <v>1.4</v>
      </c>
      <c r="AC20" s="208">
        <f t="shared" si="20"/>
        <v>2.8148</v>
      </c>
    </row>
    <row r="21" spans="1:260">
      <c r="B21" s="26" t="s">
        <v>113</v>
      </c>
      <c r="C21" s="51" t="str">
        <f>VLOOKUP(B21,'Item Data Support Sheet'!A:B,2,0)</f>
        <v>KPP BOTTLE 200 ML MOULDED-WMG3B</v>
      </c>
      <c r="D21" s="140" t="str">
        <f>IFERROR(VLOOKUP(B21,'Item Data Support Sheet'!A:O,15,0),0)</f>
        <v>KPP6_W</v>
      </c>
      <c r="E21" s="738">
        <v>12012</v>
      </c>
      <c r="F21" s="17">
        <f>SUMIF('Data Sheet Aug-2021'!E:E,PVA!B21,'Data Sheet Aug-2021'!N:N)</f>
        <v>19933</v>
      </c>
      <c r="G21" s="17">
        <f>SUMIF('Data Sheet Aug-2021'!E:E,PVA!B21,'Data Sheet Aug-2021'!O:O)</f>
        <v>18838</v>
      </c>
      <c r="H21" s="17">
        <f>SUMIF('Data Sheet Aug-2021'!E:E,PVA!B21,'Data Sheet Aug-2021'!T:T)</f>
        <v>484</v>
      </c>
      <c r="I21" s="17">
        <f>SUMIF('Data Sheet Aug-2021'!E:E,PVA!B21,'Data Sheet Aug-2021'!U:U)</f>
        <v>72</v>
      </c>
      <c r="J21" s="17">
        <f>SUMIF('Data Sheet Aug-2021'!E:E,PVA!B21,'Data Sheet Aug-2021'!P:P)</f>
        <v>3.3899999999999997</v>
      </c>
      <c r="K21" s="18">
        <f>SUMIF('Data Sheet Aug-2021'!E:E,PVA!B21,'Data Sheet Aug-2021'!Q:Q)</f>
        <v>539</v>
      </c>
      <c r="L21" s="731">
        <f t="shared" si="15"/>
        <v>2.5049166752924127E-2</v>
      </c>
      <c r="M21" s="731">
        <f t="shared" si="1"/>
        <v>2.7040585962975969E-2</v>
      </c>
      <c r="N21" s="46">
        <f t="shared" si="12"/>
        <v>1.5682650682650683</v>
      </c>
      <c r="O21" s="33">
        <f t="shared" si="21"/>
        <v>6826</v>
      </c>
      <c r="P21" s="217">
        <f t="shared" si="13"/>
        <v>0.93947936243992314</v>
      </c>
      <c r="Q21" s="17">
        <v>2.86E-2</v>
      </c>
      <c r="R21" s="18">
        <f t="shared" si="16"/>
        <v>573.47379999999998</v>
      </c>
      <c r="S21" s="351"/>
      <c r="U21" s="210">
        <f t="shared" si="14"/>
        <v>538.76679999999999</v>
      </c>
      <c r="Z21" s="208">
        <f t="shared" si="17"/>
        <v>13.8424</v>
      </c>
      <c r="AA21" s="208">
        <f t="shared" si="18"/>
        <v>2.0592000000000001</v>
      </c>
      <c r="AB21" s="208">
        <f t="shared" si="19"/>
        <v>3.3899999999999997</v>
      </c>
      <c r="AC21" s="208">
        <f t="shared" si="20"/>
        <v>15.4154</v>
      </c>
    </row>
    <row r="22" spans="1:260">
      <c r="B22" s="26" t="s">
        <v>115</v>
      </c>
      <c r="C22" s="51" t="str">
        <f>VLOOKUP(B22,'Item Data Support Sheet'!A:B,2,0)</f>
        <v>KPP BOTTLE 240 ML MOULDED-WMG3B</v>
      </c>
      <c r="D22" s="140" t="str">
        <f>IFERROR(VLOOKUP(B22,'Item Data Support Sheet'!A:O,15,0),0)</f>
        <v>KPP8_W</v>
      </c>
      <c r="E22" s="738">
        <v>0</v>
      </c>
      <c r="F22" s="17">
        <f>SUMIF('Data Sheet Aug-2021'!E:E,PVA!B22,'Data Sheet Aug-2021'!N:N)</f>
        <v>21059</v>
      </c>
      <c r="G22" s="17">
        <f>SUMIF('Data Sheet Aug-2021'!E:E,PVA!B22,'Data Sheet Aug-2021'!O:O)</f>
        <v>20015</v>
      </c>
      <c r="H22" s="17">
        <f>SUMIF('Data Sheet Aug-2021'!E:E,PVA!B22,'Data Sheet Aug-2021'!T:T)</f>
        <v>492</v>
      </c>
      <c r="I22" s="17">
        <f>SUMIF('Data Sheet Aug-2021'!E:E,PVA!B22,'Data Sheet Aug-2021'!U:U)</f>
        <v>64</v>
      </c>
      <c r="J22" s="17">
        <f>SUMIF('Data Sheet Aug-2021'!E:E,PVA!B22,'Data Sheet Aug-2021'!P:P)</f>
        <v>1.63</v>
      </c>
      <c r="K22" s="18">
        <f>SUMIF('Data Sheet Aug-2021'!E:E,PVA!B22,'Data Sheet Aug-2021'!Q:Q)</f>
        <v>488</v>
      </c>
      <c r="L22" s="731">
        <f t="shared" si="15"/>
        <v>2.3991807675427902E-2</v>
      </c>
      <c r="M22" s="731">
        <f t="shared" si="1"/>
        <v>2.3172990170473431E-2</v>
      </c>
      <c r="N22" s="46">
        <f t="shared" si="12"/>
        <v>0</v>
      </c>
      <c r="O22" s="33">
        <f>G22-E22</f>
        <v>20015</v>
      </c>
      <c r="P22" s="217">
        <f t="shared" si="13"/>
        <v>0.94820769193005883</v>
      </c>
      <c r="Q22" s="17">
        <v>3.3099999999999997E-2</v>
      </c>
      <c r="R22" s="18">
        <f>(H22+G22+I22+K22)*Q22+J22</f>
        <v>698.6828999999999</v>
      </c>
      <c r="S22" s="351"/>
      <c r="U22" s="210">
        <f t="shared" ref="U22:U30" si="22">Q22*G22</f>
        <v>662.49649999999997</v>
      </c>
      <c r="Z22" s="208">
        <f t="shared" si="17"/>
        <v>16.2852</v>
      </c>
      <c r="AA22" s="208">
        <f t="shared" si="18"/>
        <v>2.1183999999999998</v>
      </c>
      <c r="AB22" s="208">
        <f t="shared" si="19"/>
        <v>1.63</v>
      </c>
      <c r="AC22" s="208">
        <f t="shared" si="20"/>
        <v>16.152799999999999</v>
      </c>
    </row>
    <row r="23" spans="1:260">
      <c r="A23" s="360"/>
      <c r="B23" s="26" t="s">
        <v>118</v>
      </c>
      <c r="C23" s="51" t="str">
        <f>VLOOKUP(B23,'Item Data Support Sheet'!A:B,2,0)</f>
        <v>RPP BOTTLE 120 ML MOULDED-WMG3B</v>
      </c>
      <c r="D23" s="140" t="str">
        <f>IFERROR(VLOOKUP(B23,'Item Data Support Sheet'!A:O,15,0),0)</f>
        <v>RPP4_W</v>
      </c>
      <c r="E23" s="738">
        <v>0</v>
      </c>
      <c r="F23" s="17">
        <f>SUMIF('Data Sheet Aug-2021'!E:E,PVA!B23,'Data Sheet Aug-2021'!N:N)</f>
        <v>0</v>
      </c>
      <c r="G23" s="17">
        <f>SUMIF('Data Sheet Aug-2021'!E:E,PVA!B23,'Data Sheet Aug-2021'!O:O)</f>
        <v>0</v>
      </c>
      <c r="H23" s="17">
        <f>SUMIF('Data Sheet Aug-2021'!E:E,PVA!B23,'Data Sheet Aug-2021'!T:T)</f>
        <v>0</v>
      </c>
      <c r="I23" s="17">
        <f>SUMIF('Data Sheet Aug-2021'!E:E,PVA!B23,'Data Sheet Aug-2021'!U:U)</f>
        <v>0</v>
      </c>
      <c r="J23" s="17">
        <f>SUMIF('Data Sheet Aug-2021'!E:E,PVA!B23,'Data Sheet Aug-2021'!P:P)</f>
        <v>0</v>
      </c>
      <c r="K23" s="18">
        <f>SUMIF('Data Sheet Aug-2021'!E:E,PVA!B23,'Data Sheet Aug-2021'!Q:Q)</f>
        <v>0</v>
      </c>
      <c r="L23" s="731">
        <f t="shared" si="15"/>
        <v>0</v>
      </c>
      <c r="M23" s="731">
        <f t="shared" si="1"/>
        <v>0</v>
      </c>
      <c r="N23" s="46">
        <f t="shared" si="12"/>
        <v>0</v>
      </c>
      <c r="O23" s="33">
        <f t="shared" si="21"/>
        <v>0</v>
      </c>
      <c r="P23" s="217">
        <f t="shared" si="13"/>
        <v>0</v>
      </c>
      <c r="Q23" s="17">
        <v>2.2700000000000001E-2</v>
      </c>
      <c r="R23" s="18">
        <f t="shared" si="16"/>
        <v>0</v>
      </c>
      <c r="S23" s="351"/>
      <c r="U23" s="210">
        <f t="shared" si="22"/>
        <v>0</v>
      </c>
      <c r="Z23" s="208">
        <f t="shared" si="17"/>
        <v>0</v>
      </c>
      <c r="AA23" s="208">
        <f t="shared" si="18"/>
        <v>0</v>
      </c>
      <c r="AB23" s="208">
        <f t="shared" si="19"/>
        <v>0</v>
      </c>
      <c r="AC23" s="208">
        <f t="shared" si="20"/>
        <v>0</v>
      </c>
    </row>
    <row r="24" spans="1:260">
      <c r="B24" s="26" t="s">
        <v>119</v>
      </c>
      <c r="C24" s="51" t="str">
        <f>VLOOKUP(B24,'Item Data Support Sheet'!A:B,2,0)</f>
        <v>RPP BOTTLE 240 ML MOULDED-WMG3B</v>
      </c>
      <c r="D24" s="140" t="str">
        <f>IFERROR(VLOOKUP(B24,'Item Data Support Sheet'!A:O,15,0),0)</f>
        <v>RPP8_W</v>
      </c>
      <c r="E24" s="738">
        <v>0</v>
      </c>
      <c r="F24" s="17">
        <f>SUMIF('Data Sheet Aug-2021'!E:E,PVA!B24,'Data Sheet Aug-2021'!N:N)</f>
        <v>0</v>
      </c>
      <c r="G24" s="17">
        <f>SUMIF('Data Sheet Aug-2021'!E:E,PVA!B24,'Data Sheet Aug-2021'!O:O)</f>
        <v>0</v>
      </c>
      <c r="H24" s="17">
        <f>SUMIF('Data Sheet Aug-2021'!E:E,PVA!B24,'Data Sheet Aug-2021'!T:T)</f>
        <v>0</v>
      </c>
      <c r="I24" s="17">
        <f>SUMIF('Data Sheet Aug-2021'!E:E,PVA!B24,'Data Sheet Aug-2021'!U:U)</f>
        <v>0</v>
      </c>
      <c r="J24" s="17">
        <f>SUMIF('Data Sheet Aug-2021'!E:E,PVA!B24,'Data Sheet Aug-2021'!P:P)</f>
        <v>0</v>
      </c>
      <c r="K24" s="18">
        <f>SUMIF('Data Sheet Aug-2021'!E:E,PVA!B24,'Data Sheet Aug-2021'!Q:Q)</f>
        <v>0</v>
      </c>
      <c r="L24" s="731">
        <f t="shared" si="15"/>
        <v>0</v>
      </c>
      <c r="M24" s="731">
        <f t="shared" si="1"/>
        <v>0</v>
      </c>
      <c r="N24" s="46">
        <f>IFERROR(G24/E24,0)</f>
        <v>0</v>
      </c>
      <c r="O24" s="33">
        <f>G24-E24</f>
        <v>0</v>
      </c>
      <c r="P24" s="217">
        <f t="shared" si="13"/>
        <v>0</v>
      </c>
      <c r="Q24" s="17">
        <v>3.3099999999999997E-2</v>
      </c>
      <c r="R24" s="18">
        <f t="shared" si="16"/>
        <v>0</v>
      </c>
      <c r="S24" s="351"/>
      <c r="U24" s="210">
        <f t="shared" si="22"/>
        <v>0</v>
      </c>
      <c r="Z24" s="208">
        <f t="shared" si="17"/>
        <v>0</v>
      </c>
      <c r="AA24" s="208">
        <f t="shared" si="18"/>
        <v>0</v>
      </c>
      <c r="AB24" s="208">
        <f t="shared" si="19"/>
        <v>0</v>
      </c>
      <c r="AC24" s="208">
        <f t="shared" si="20"/>
        <v>0</v>
      </c>
    </row>
    <row r="25" spans="1:260">
      <c r="B25" s="26" t="s">
        <v>137</v>
      </c>
      <c r="C25" s="51" t="str">
        <f>VLOOKUP(B25,'Item Data Support Sheet'!A:B,2,0)</f>
        <v>RPP 120ML PINK BOTTLE MOLDED (WM3GB)</v>
      </c>
      <c r="D25" s="140" t="str">
        <f>IFERROR(VLOOKUP(B25,'Item Data Support Sheet'!A:O,15,0),0)</f>
        <v>RPP4_W</v>
      </c>
      <c r="E25" s="738">
        <v>2503</v>
      </c>
      <c r="F25" s="17">
        <f>SUMIF('Data Sheet Aug-2021'!E:E,PVA!B25,'Data Sheet Aug-2021'!N:N)</f>
        <v>5414</v>
      </c>
      <c r="G25" s="17">
        <f>SUMIF('Data Sheet Aug-2021'!E:E,PVA!B25,'Data Sheet Aug-2021'!O:O)</f>
        <v>5040</v>
      </c>
      <c r="H25" s="17">
        <f>SUMIF('Data Sheet Aug-2021'!E:E,PVA!B25,'Data Sheet Aug-2021'!T:T)</f>
        <v>149</v>
      </c>
      <c r="I25" s="17">
        <f>SUMIF('Data Sheet Aug-2021'!E:E,PVA!B25,'Data Sheet Aug-2021'!U:U)</f>
        <v>24</v>
      </c>
      <c r="J25" s="17">
        <f>SUMIF('Data Sheet Aug-2021'!E:E,PVA!B25,'Data Sheet Aug-2021'!P:P)</f>
        <v>3.12</v>
      </c>
      <c r="K25" s="18">
        <f>SUMIF('Data Sheet Aug-2021'!E:E,PVA!B25,'Data Sheet Aug-2021'!Q:Q)</f>
        <v>201</v>
      </c>
      <c r="L25" s="731">
        <f t="shared" si="15"/>
        <v>2.871458855270765E-2</v>
      </c>
      <c r="M25" s="731">
        <f t="shared" si="1"/>
        <v>3.7125969708164022E-2</v>
      </c>
      <c r="N25" s="46">
        <f>IFERROR(G25/E25,0)</f>
        <v>2.0135836995605274</v>
      </c>
      <c r="O25" s="33">
        <f>G25-E25</f>
        <v>2537</v>
      </c>
      <c r="P25" s="217">
        <f t="shared" si="13"/>
        <v>0.90787174510267588</v>
      </c>
      <c r="Q25" s="17">
        <v>2.2700000000000001E-2</v>
      </c>
      <c r="R25" s="18">
        <f t="shared" si="16"/>
        <v>126.01780000000001</v>
      </c>
      <c r="S25" s="351"/>
      <c r="U25" s="210">
        <f t="shared" si="22"/>
        <v>114.408</v>
      </c>
      <c r="Z25" s="208">
        <f t="shared" si="17"/>
        <v>3.3823000000000003</v>
      </c>
      <c r="AA25" s="208">
        <f t="shared" si="18"/>
        <v>0.54480000000000006</v>
      </c>
      <c r="AB25" s="208">
        <f t="shared" si="19"/>
        <v>3.12</v>
      </c>
      <c r="AC25" s="208">
        <f t="shared" si="20"/>
        <v>4.5627000000000004</v>
      </c>
    </row>
    <row r="26" spans="1:260">
      <c r="A26" s="360"/>
      <c r="B26" s="26" t="s">
        <v>138</v>
      </c>
      <c r="C26" s="51" t="str">
        <f>VLOOKUP(B26,'Item Data Support Sheet'!A:B,2,0)</f>
        <v>RPP 240ML PINK BOTTLE MOLDED (WM3GB)</v>
      </c>
      <c r="D26" s="140" t="str">
        <f>IFERROR(VLOOKUP(B26,'Item Data Support Sheet'!A:O,15,0),0)</f>
        <v>RPP8_W</v>
      </c>
      <c r="E26" s="738">
        <v>2503</v>
      </c>
      <c r="F26" s="17">
        <f>SUMIF('Data Sheet Aug-2021'!E:E,PVA!B26,'Data Sheet Aug-2021'!N:N)</f>
        <v>9398</v>
      </c>
      <c r="G26" s="17">
        <f>SUMIF('Data Sheet Aug-2021'!E:E,PVA!B26,'Data Sheet Aug-2021'!O:O)</f>
        <v>8640</v>
      </c>
      <c r="H26" s="17">
        <f>SUMIF('Data Sheet Aug-2021'!E:E,PVA!B26,'Data Sheet Aug-2021'!T:T)</f>
        <v>324</v>
      </c>
      <c r="I26" s="17">
        <f>SUMIF('Data Sheet Aug-2021'!E:E,PVA!B26,'Data Sheet Aug-2021'!U:U)</f>
        <v>32</v>
      </c>
      <c r="J26" s="17">
        <f>SUMIF('Data Sheet Aug-2021'!E:E,PVA!B26,'Data Sheet Aug-2021'!P:P)</f>
        <v>6.4200000000000008</v>
      </c>
      <c r="K26" s="18">
        <f>SUMIF('Data Sheet Aug-2021'!E:E,PVA!B26,'Data Sheet Aug-2021'!Q:Q)</f>
        <v>402</v>
      </c>
      <c r="L26" s="731">
        <f t="shared" si="15"/>
        <v>3.614457831325301E-2</v>
      </c>
      <c r="M26" s="731">
        <f t="shared" si="1"/>
        <v>4.277505852309002E-2</v>
      </c>
      <c r="N26" s="46">
        <f t="shared" si="12"/>
        <v>3.4518577706751898</v>
      </c>
      <c r="O26" s="33">
        <f t="shared" si="21"/>
        <v>6137</v>
      </c>
      <c r="P26" s="217">
        <f t="shared" si="13"/>
        <v>0.90075459741261088</v>
      </c>
      <c r="Q26" s="17">
        <v>3.3099999999999997E-2</v>
      </c>
      <c r="R26" s="18">
        <f t="shared" si="16"/>
        <v>317.49379999999996</v>
      </c>
      <c r="S26" s="351"/>
      <c r="U26" s="210">
        <f t="shared" si="22"/>
        <v>285.98399999999998</v>
      </c>
      <c r="Z26" s="208">
        <f t="shared" si="17"/>
        <v>10.724399999999999</v>
      </c>
      <c r="AA26" s="208">
        <f t="shared" si="18"/>
        <v>1.0591999999999999</v>
      </c>
      <c r="AB26" s="208">
        <f t="shared" si="19"/>
        <v>6.4200000000000008</v>
      </c>
      <c r="AC26" s="208">
        <f t="shared" si="20"/>
        <v>13.306199999999999</v>
      </c>
    </row>
    <row r="27" spans="1:260">
      <c r="A27" s="360"/>
      <c r="B27" s="26" t="s">
        <v>139</v>
      </c>
      <c r="C27" s="51" t="str">
        <f>VLOOKUP(B27,'Item Data Support Sheet'!A:B,2,0)</f>
        <v>RPP 120ML BLUE BOTTLE MOLDED (WM3GB)</v>
      </c>
      <c r="D27" s="140" t="str">
        <f>IFERROR(VLOOKUP(B27,'Item Data Support Sheet'!A:O,15,0),0)</f>
        <v>RPP4_W</v>
      </c>
      <c r="E27" s="738">
        <v>2503</v>
      </c>
      <c r="F27" s="17">
        <f>SUMIF('Data Sheet Aug-2021'!E:E,PVA!B27,'Data Sheet Aug-2021'!N:N)</f>
        <v>9917</v>
      </c>
      <c r="G27" s="17">
        <f>SUMIF('Data Sheet Aug-2021'!E:E,PVA!B27,'Data Sheet Aug-2021'!O:O)</f>
        <v>9420</v>
      </c>
      <c r="H27" s="17">
        <f>SUMIF('Data Sheet Aug-2021'!E:E,PVA!B27,'Data Sheet Aug-2021'!T:T)</f>
        <v>218</v>
      </c>
      <c r="I27" s="17">
        <f>SUMIF('Data Sheet Aug-2021'!E:E,PVA!B27,'Data Sheet Aug-2021'!U:U)</f>
        <v>32</v>
      </c>
      <c r="J27" s="17">
        <f>SUMIF('Data Sheet Aug-2021'!E:E,PVA!B27,'Data Sheet Aug-2021'!P:P)</f>
        <v>1.7800000000000002</v>
      </c>
      <c r="K27" s="18">
        <f>SUMIF('Data Sheet Aug-2021'!E:E,PVA!B27,'Data Sheet Aug-2021'!Q:Q)</f>
        <v>247</v>
      </c>
      <c r="L27" s="731">
        <f t="shared" si="15"/>
        <v>2.261880058103341E-2</v>
      </c>
      <c r="M27" s="731">
        <f t="shared" si="1"/>
        <v>2.490672582434204E-2</v>
      </c>
      <c r="N27" s="46">
        <f t="shared" si="12"/>
        <v>3.7634838194166997</v>
      </c>
      <c r="O27" s="33">
        <f>G27-E27</f>
        <v>6917</v>
      </c>
      <c r="P27" s="217">
        <f t="shared" si="13"/>
        <v>0.94243219026875313</v>
      </c>
      <c r="Q27" s="17">
        <v>2.2700000000000001E-2</v>
      </c>
      <c r="R27" s="18">
        <f t="shared" si="16"/>
        <v>226.89590000000001</v>
      </c>
      <c r="S27" s="351"/>
      <c r="U27" s="210">
        <f t="shared" si="22"/>
        <v>213.834</v>
      </c>
      <c r="Z27" s="208">
        <f t="shared" si="17"/>
        <v>4.9485999999999999</v>
      </c>
      <c r="AA27" s="208">
        <f t="shared" si="18"/>
        <v>0.72640000000000005</v>
      </c>
      <c r="AB27" s="208">
        <f t="shared" si="19"/>
        <v>1.7800000000000002</v>
      </c>
      <c r="AC27" s="208">
        <f t="shared" si="20"/>
        <v>5.6069000000000004</v>
      </c>
    </row>
    <row r="28" spans="1:260">
      <c r="A28" s="360"/>
      <c r="B28" s="26" t="s">
        <v>140</v>
      </c>
      <c r="C28" s="51" t="str">
        <f>VLOOKUP(B28,'Item Data Support Sheet'!A:B,2,0)</f>
        <v>RPP 240ML BLUE BOTTLE MOLDED (WM3GB)</v>
      </c>
      <c r="D28" s="140" t="str">
        <f>IFERROR(VLOOKUP(B28,'Item Data Support Sheet'!A:O,15,0),0)</f>
        <v>RPP8_W</v>
      </c>
      <c r="E28" s="738">
        <v>2503</v>
      </c>
      <c r="F28" s="17">
        <f>SUMIF('Data Sheet Aug-2021'!E:E,PVA!B28,'Data Sheet Aug-2021'!N:N)</f>
        <v>16218</v>
      </c>
      <c r="G28" s="17">
        <f>SUMIF('Data Sheet Aug-2021'!E:E,PVA!B28,'Data Sheet Aug-2021'!O:O)</f>
        <v>15120</v>
      </c>
      <c r="H28" s="17">
        <f>SUMIF('Data Sheet Aug-2021'!E:E,PVA!B28,'Data Sheet Aug-2021'!T:T)</f>
        <v>479</v>
      </c>
      <c r="I28" s="17">
        <f>SUMIF('Data Sheet Aug-2021'!E:E,PVA!B28,'Data Sheet Aug-2021'!U:U)</f>
        <v>48</v>
      </c>
      <c r="J28" s="17">
        <f>SUMIF('Data Sheet Aug-2021'!E:E,PVA!B28,'Data Sheet Aug-2021'!P:P)</f>
        <v>3.2279999999999998</v>
      </c>
      <c r="K28" s="18">
        <f>SUMIF('Data Sheet Aug-2021'!E:E,PVA!B28,'Data Sheet Aug-2021'!Q:Q)</f>
        <v>571</v>
      </c>
      <c r="L28" s="731">
        <f t="shared" si="15"/>
        <v>3.0707096608756972E-2</v>
      </c>
      <c r="M28" s="731">
        <f t="shared" si="1"/>
        <v>3.5207793809347639E-2</v>
      </c>
      <c r="N28" s="46">
        <f t="shared" si="12"/>
        <v>6.0407510986815822</v>
      </c>
      <c r="O28" s="33">
        <f>G28-E28</f>
        <v>12617</v>
      </c>
      <c r="P28" s="217">
        <f t="shared" si="13"/>
        <v>0.92672483231915648</v>
      </c>
      <c r="Q28" s="17">
        <v>3.3099999999999997E-2</v>
      </c>
      <c r="R28" s="18">
        <f t="shared" si="16"/>
        <v>540.04379999999992</v>
      </c>
      <c r="S28" s="351"/>
      <c r="U28" s="210">
        <f t="shared" si="22"/>
        <v>500.47199999999998</v>
      </c>
      <c r="Z28" s="208">
        <f t="shared" si="17"/>
        <v>15.854899999999999</v>
      </c>
      <c r="AA28" s="208">
        <f t="shared" si="18"/>
        <v>1.5888</v>
      </c>
      <c r="AB28" s="208">
        <f t="shared" si="19"/>
        <v>3.2279999999999998</v>
      </c>
      <c r="AC28" s="208">
        <f t="shared" si="20"/>
        <v>18.900099999999998</v>
      </c>
    </row>
    <row r="29" spans="1:260">
      <c r="A29" s="360"/>
      <c r="B29" s="26" t="s">
        <v>354</v>
      </c>
      <c r="C29" s="51" t="str">
        <f>VLOOKUP(B29,'Item Data Support Sheet'!A:B,2,0)</f>
        <v>RPP 120ML GREEN BOTTLE MOLDED (WMG3B)</v>
      </c>
      <c r="D29" s="140" t="str">
        <f>IFERROR(VLOOKUP(B29,'Item Data Support Sheet'!A:O,15,0),0)</f>
        <v>RPP4_W</v>
      </c>
      <c r="E29" s="738">
        <v>0</v>
      </c>
      <c r="F29" s="17">
        <f>SUMIF('Data Sheet Aug-2021'!E:E,PVA!B29,'Data Sheet Aug-2021'!N:N)</f>
        <v>0</v>
      </c>
      <c r="G29" s="17">
        <f>SUMIF('Data Sheet Aug-2021'!E:E,PVA!B29,'Data Sheet Aug-2021'!O:O)</f>
        <v>0</v>
      </c>
      <c r="H29" s="17">
        <f>SUMIF('Data Sheet Aug-2021'!E:E,PVA!B29,'Data Sheet Aug-2021'!T:T)</f>
        <v>0</v>
      </c>
      <c r="I29" s="17">
        <f>SUMIF('Data Sheet Aug-2021'!E:E,PVA!B29,'Data Sheet Aug-2021'!U:U)</f>
        <v>0</v>
      </c>
      <c r="J29" s="17">
        <f>SUMIF('Data Sheet Aug-2021'!E:E,PVA!B29,'Data Sheet Aug-2021'!P:P)</f>
        <v>0</v>
      </c>
      <c r="K29" s="18">
        <f>SUMIF('Data Sheet Aug-2021'!E:E,PVA!B29,'Data Sheet Aug-2021'!Q:Q)</f>
        <v>0</v>
      </c>
      <c r="L29" s="731">
        <f t="shared" si="15"/>
        <v>0</v>
      </c>
      <c r="M29" s="731">
        <f t="shared" si="1"/>
        <v>0</v>
      </c>
      <c r="N29" s="46">
        <f t="shared" si="12"/>
        <v>0</v>
      </c>
      <c r="O29" s="33">
        <f>G29-E29</f>
        <v>0</v>
      </c>
      <c r="P29" s="217">
        <f t="shared" si="13"/>
        <v>0</v>
      </c>
      <c r="Q29" s="17">
        <v>2.2700000000000001E-2</v>
      </c>
      <c r="R29" s="18">
        <f t="shared" si="16"/>
        <v>0</v>
      </c>
      <c r="S29" s="351"/>
      <c r="U29" s="210">
        <f t="shared" si="22"/>
        <v>0</v>
      </c>
      <c r="Z29" s="208">
        <f t="shared" si="17"/>
        <v>0</v>
      </c>
      <c r="AA29" s="208">
        <f t="shared" si="18"/>
        <v>0</v>
      </c>
      <c r="AB29" s="208">
        <f t="shared" si="19"/>
        <v>0</v>
      </c>
      <c r="AC29" s="208">
        <f t="shared" si="20"/>
        <v>0</v>
      </c>
    </row>
    <row r="30" spans="1:260" ht="15" thickBot="1">
      <c r="A30" s="360"/>
      <c r="B30" s="27" t="s">
        <v>365</v>
      </c>
      <c r="C30" s="52" t="str">
        <f>VLOOKUP(B30,'Item Data Support Sheet'!A:B,2,0)</f>
        <v>RPP 240ML GREEN BOTTLE MOLDED (WMG3B)</v>
      </c>
      <c r="D30" s="727" t="str">
        <f>IFERROR(VLOOKUP(B30,'Item Data Support Sheet'!A:O,15,0),0)</f>
        <v>RPP8_W</v>
      </c>
      <c r="E30" s="739">
        <v>0</v>
      </c>
      <c r="F30" s="19">
        <f>SUMIF('Data Sheet Aug-2021'!E:E,PVA!B30,'Data Sheet Aug-2021'!N:N)</f>
        <v>0</v>
      </c>
      <c r="G30" s="19">
        <f>SUMIF('Data Sheet Aug-2021'!E:E,PVA!B30,'Data Sheet Aug-2021'!O:O)</f>
        <v>0</v>
      </c>
      <c r="H30" s="19">
        <f>SUMIF('Data Sheet Aug-2021'!E:E,PVA!B30,'Data Sheet Aug-2021'!T:T)</f>
        <v>0</v>
      </c>
      <c r="I30" s="19">
        <f>SUMIF('Data Sheet Aug-2021'!E:E,PVA!B30,'Data Sheet Aug-2021'!U:U)</f>
        <v>0</v>
      </c>
      <c r="J30" s="19">
        <f>SUMIF('Data Sheet Aug-2021'!E:E,PVA!B30,'Data Sheet Aug-2021'!P:P)</f>
        <v>0</v>
      </c>
      <c r="K30" s="20">
        <f>SUMIF('Data Sheet Aug-2021'!E:E,PVA!B30,'Data Sheet Aug-2021'!Q:Q)</f>
        <v>0</v>
      </c>
      <c r="L30" s="732">
        <f t="shared" si="15"/>
        <v>0</v>
      </c>
      <c r="M30" s="732">
        <f t="shared" si="1"/>
        <v>0</v>
      </c>
      <c r="N30" s="47">
        <f t="shared" si="12"/>
        <v>0</v>
      </c>
      <c r="O30" s="34">
        <f>G30-E30</f>
        <v>0</v>
      </c>
      <c r="P30" s="218">
        <f t="shared" si="13"/>
        <v>0</v>
      </c>
      <c r="Q30" s="19">
        <v>3.3099999999999997E-2</v>
      </c>
      <c r="R30" s="20">
        <f>(H30+G30+I30+K30)*Q30+J30</f>
        <v>0</v>
      </c>
      <c r="S30" s="351"/>
      <c r="U30" s="210">
        <f t="shared" si="22"/>
        <v>0</v>
      </c>
      <c r="V30" s="208">
        <f>SUM(U20:U30)</f>
        <v>2366.9908999999998</v>
      </c>
      <c r="W30" s="210">
        <f>SUM(R20:R30)</f>
        <v>2539.8953999999999</v>
      </c>
      <c r="Z30" s="208">
        <f t="shared" si="17"/>
        <v>0</v>
      </c>
      <c r="AA30" s="208">
        <f t="shared" si="18"/>
        <v>0</v>
      </c>
      <c r="AB30" s="208">
        <f t="shared" si="19"/>
        <v>0</v>
      </c>
      <c r="AC30" s="208">
        <f t="shared" si="20"/>
        <v>0</v>
      </c>
    </row>
    <row r="31" spans="1:260" s="2" customFormat="1" ht="15" thickBot="1">
      <c r="A31" s="360"/>
      <c r="B31" s="458" t="s">
        <v>103</v>
      </c>
      <c r="C31" s="459"/>
      <c r="D31" s="456"/>
      <c r="E31" s="358">
        <f>SUM(E13:E30)</f>
        <v>134206</v>
      </c>
      <c r="F31" s="733">
        <f t="shared" ref="F31:K31" si="23">SUM(F13:F30)</f>
        <v>577537</v>
      </c>
      <c r="G31" s="733">
        <f t="shared" si="23"/>
        <v>554822</v>
      </c>
      <c r="H31" s="733">
        <f t="shared" si="23"/>
        <v>11239</v>
      </c>
      <c r="I31" s="733">
        <f t="shared" si="23"/>
        <v>1339</v>
      </c>
      <c r="J31" s="733">
        <f t="shared" si="23"/>
        <v>52.38</v>
      </c>
      <c r="K31" s="734">
        <f t="shared" si="23"/>
        <v>10137</v>
      </c>
      <c r="L31" s="397">
        <f>SUM(H31)/SUM(G31:H31)</f>
        <v>1.9854750636415511E-2</v>
      </c>
      <c r="M31" s="892">
        <f t="shared" si="1"/>
        <v>1.7552122201694435E-2</v>
      </c>
      <c r="N31" s="85">
        <f>G31/E31</f>
        <v>4.1341072679313893</v>
      </c>
      <c r="O31" s="460">
        <f>SUM(O13:O30)</f>
        <v>420616</v>
      </c>
      <c r="P31" s="461">
        <f>U31/R31</f>
        <v>0.95730764654788492</v>
      </c>
      <c r="Q31" s="462">
        <f>AVERAGE(Q13:Q30)</f>
        <v>2.7088888888888895E-2</v>
      </c>
      <c r="R31" s="463">
        <f>SUM(R13:R30)</f>
        <v>16215.943699999996</v>
      </c>
      <c r="S31" s="352"/>
      <c r="T31" s="209"/>
      <c r="U31" s="535">
        <f>SUM(U13:U30)</f>
        <v>15523.646899999998</v>
      </c>
      <c r="V31" s="209"/>
      <c r="W31" s="209"/>
      <c r="X31" s="209"/>
      <c r="Y31" s="209"/>
      <c r="Z31" s="209"/>
      <c r="AA31" s="209"/>
      <c r="AB31" s="209"/>
      <c r="AC31" s="209"/>
      <c r="AD31" s="209"/>
      <c r="AE31" s="209"/>
      <c r="AF31" s="209"/>
      <c r="AG31" s="209"/>
      <c r="AH31" s="209"/>
      <c r="AI31" s="209"/>
      <c r="AJ31" s="209"/>
      <c r="AK31" s="209"/>
      <c r="AL31" s="209"/>
      <c r="AM31" s="36"/>
      <c r="AN31" s="36"/>
      <c r="AO31" s="36"/>
      <c r="AP31" s="36"/>
      <c r="AQ31" s="36"/>
      <c r="AR31" s="36"/>
      <c r="AS31" s="36"/>
      <c r="AT31" s="36"/>
      <c r="AU31" s="36"/>
      <c r="AV31" s="36"/>
      <c r="AW31" s="36"/>
      <c r="AX31" s="36"/>
      <c r="AY31" s="36"/>
    </row>
    <row r="32" spans="1:260" s="12" customFormat="1" ht="15" thickBot="1">
      <c r="A32" s="360"/>
      <c r="B32" s="122" t="s">
        <v>85</v>
      </c>
      <c r="C32" s="123" t="s">
        <v>10</v>
      </c>
      <c r="D32" s="123"/>
      <c r="E32" s="127" t="s">
        <v>2</v>
      </c>
      <c r="F32" s="127" t="s">
        <v>91</v>
      </c>
      <c r="G32" s="127" t="s">
        <v>3</v>
      </c>
      <c r="H32" s="127" t="s">
        <v>92</v>
      </c>
      <c r="I32" s="127" t="s">
        <v>94</v>
      </c>
      <c r="J32" s="127" t="s">
        <v>6</v>
      </c>
      <c r="K32" s="126" t="s">
        <v>4</v>
      </c>
      <c r="L32" s="895" t="s">
        <v>90</v>
      </c>
      <c r="M32" s="124" t="s">
        <v>2802</v>
      </c>
      <c r="N32" s="896" t="s">
        <v>89</v>
      </c>
      <c r="O32" s="124" t="s">
        <v>93</v>
      </c>
      <c r="P32" s="465" t="s">
        <v>105</v>
      </c>
      <c r="Q32" s="466" t="s">
        <v>418</v>
      </c>
      <c r="R32" s="125" t="s">
        <v>204</v>
      </c>
      <c r="S32" s="467"/>
      <c r="T32" s="468"/>
      <c r="U32" s="468"/>
      <c r="V32" s="468"/>
      <c r="W32" s="468"/>
      <c r="X32" s="468"/>
      <c r="Y32" s="468"/>
      <c r="Z32" s="469" t="s">
        <v>92</v>
      </c>
      <c r="AA32" s="469" t="s">
        <v>94</v>
      </c>
      <c r="AB32" s="469" t="s">
        <v>6</v>
      </c>
      <c r="AC32" s="469" t="s">
        <v>4</v>
      </c>
      <c r="AD32" s="468"/>
      <c r="AE32" s="468"/>
      <c r="AF32" s="468"/>
      <c r="AG32" s="468"/>
      <c r="AH32" s="468"/>
      <c r="AI32" s="468"/>
      <c r="AJ32" s="468"/>
      <c r="AK32" s="468"/>
      <c r="AL32" s="468"/>
      <c r="AM32" s="470"/>
      <c r="AN32" s="470"/>
      <c r="AO32" s="470"/>
      <c r="AP32" s="470"/>
      <c r="AQ32" s="470"/>
      <c r="AR32" s="470"/>
      <c r="AS32" s="470"/>
      <c r="AT32" s="470"/>
      <c r="AU32" s="470"/>
      <c r="AV32" s="470"/>
      <c r="AW32" s="470"/>
      <c r="AX32" s="470"/>
      <c r="AY32" s="470"/>
      <c r="AZ32" s="471"/>
      <c r="BA32" s="471"/>
      <c r="BB32" s="471"/>
      <c r="BC32" s="471"/>
      <c r="BD32" s="471"/>
      <c r="BE32" s="471"/>
      <c r="BF32" s="471"/>
      <c r="BG32" s="471"/>
      <c r="BH32" s="471"/>
      <c r="BI32" s="471"/>
      <c r="BJ32" s="471"/>
      <c r="BK32" s="471"/>
      <c r="BL32" s="471"/>
      <c r="BM32" s="471"/>
      <c r="BN32" s="471"/>
      <c r="BO32" s="471"/>
      <c r="BP32" s="471"/>
      <c r="BQ32" s="471"/>
      <c r="BR32" s="471"/>
      <c r="BS32" s="471"/>
      <c r="BT32" s="471"/>
      <c r="BU32" s="471"/>
      <c r="BV32" s="471"/>
      <c r="BW32" s="471"/>
      <c r="BX32" s="471"/>
      <c r="BY32" s="471"/>
      <c r="BZ32" s="471"/>
      <c r="CA32" s="471"/>
      <c r="CB32" s="471"/>
      <c r="CC32" s="471"/>
      <c r="CD32" s="471"/>
      <c r="CE32" s="471"/>
      <c r="CF32" s="471"/>
      <c r="CG32" s="471"/>
      <c r="CH32" s="471"/>
      <c r="CI32" s="471"/>
      <c r="CJ32" s="471"/>
      <c r="CK32" s="471"/>
      <c r="CL32" s="471"/>
      <c r="CM32" s="471"/>
      <c r="CN32" s="471"/>
      <c r="CO32" s="471"/>
      <c r="CP32" s="471"/>
      <c r="CQ32" s="471"/>
      <c r="CR32" s="471"/>
      <c r="CS32" s="471"/>
      <c r="CT32" s="471"/>
      <c r="CU32" s="471"/>
      <c r="CV32" s="471"/>
      <c r="CW32" s="471"/>
      <c r="CX32" s="471"/>
      <c r="CY32" s="471"/>
      <c r="CZ32" s="471"/>
      <c r="DA32" s="471"/>
      <c r="DB32" s="471"/>
      <c r="DC32" s="471"/>
      <c r="DD32" s="471"/>
      <c r="DE32" s="471"/>
      <c r="DF32" s="471"/>
      <c r="DG32" s="471"/>
      <c r="DH32" s="471"/>
      <c r="DI32" s="471"/>
      <c r="DJ32" s="471"/>
      <c r="DK32" s="471"/>
      <c r="DL32" s="471"/>
      <c r="DM32" s="471"/>
      <c r="DN32" s="471"/>
      <c r="DO32" s="471"/>
      <c r="DP32" s="471"/>
      <c r="DQ32" s="471"/>
      <c r="DR32" s="471"/>
      <c r="DS32" s="471"/>
      <c r="DT32" s="471"/>
      <c r="DU32" s="471"/>
      <c r="DV32" s="471"/>
      <c r="DW32" s="471"/>
      <c r="DX32" s="471"/>
      <c r="DY32" s="471"/>
      <c r="DZ32" s="471"/>
      <c r="EA32" s="471"/>
      <c r="EB32" s="471"/>
      <c r="EC32" s="471"/>
      <c r="ED32" s="471"/>
      <c r="EE32" s="471"/>
      <c r="EF32" s="471"/>
      <c r="EG32" s="471"/>
      <c r="EH32" s="471"/>
      <c r="EI32" s="471"/>
      <c r="EJ32" s="471"/>
      <c r="EK32" s="471"/>
      <c r="EL32" s="471"/>
      <c r="EM32" s="471"/>
      <c r="EN32" s="471"/>
      <c r="EO32" s="471"/>
      <c r="EP32" s="471"/>
      <c r="EQ32" s="471"/>
      <c r="ER32" s="471"/>
      <c r="ES32" s="471"/>
      <c r="ET32" s="471"/>
      <c r="EU32" s="471"/>
      <c r="EV32" s="471"/>
      <c r="EW32" s="471"/>
      <c r="EX32" s="471"/>
      <c r="EY32" s="471"/>
      <c r="EZ32" s="471"/>
      <c r="FA32" s="471"/>
      <c r="FB32" s="471"/>
      <c r="FC32" s="471"/>
      <c r="FD32" s="471"/>
      <c r="FE32" s="471"/>
      <c r="FF32" s="471"/>
      <c r="FG32" s="471"/>
      <c r="FH32" s="471"/>
      <c r="FI32" s="471"/>
      <c r="FJ32" s="471"/>
      <c r="FK32" s="471"/>
      <c r="FL32" s="471"/>
      <c r="FM32" s="471"/>
      <c r="FN32" s="471"/>
      <c r="FO32" s="471"/>
      <c r="FP32" s="471"/>
      <c r="FQ32" s="471"/>
      <c r="FR32" s="471"/>
      <c r="FS32" s="471"/>
      <c r="FT32" s="471"/>
      <c r="FU32" s="471"/>
      <c r="FV32" s="471"/>
      <c r="FW32" s="471"/>
      <c r="FX32" s="471"/>
      <c r="FY32" s="471"/>
      <c r="FZ32" s="471"/>
      <c r="GA32" s="471"/>
      <c r="GB32" s="471"/>
      <c r="GC32" s="471"/>
      <c r="GD32" s="471"/>
      <c r="GE32" s="471"/>
      <c r="GF32" s="471"/>
      <c r="GG32" s="471"/>
      <c r="GH32" s="471"/>
      <c r="GI32" s="471"/>
      <c r="GJ32" s="471"/>
      <c r="GK32" s="471"/>
      <c r="GL32" s="471"/>
      <c r="GM32" s="471"/>
      <c r="GN32" s="471"/>
      <c r="GO32" s="471"/>
      <c r="GP32" s="471"/>
      <c r="GQ32" s="471"/>
      <c r="GR32" s="471"/>
      <c r="GS32" s="471"/>
      <c r="GT32" s="471"/>
      <c r="GU32" s="471"/>
      <c r="GV32" s="471"/>
      <c r="GW32" s="471"/>
      <c r="GX32" s="471"/>
      <c r="GY32" s="471"/>
      <c r="GZ32" s="471"/>
      <c r="HA32" s="471"/>
      <c r="HB32" s="471"/>
      <c r="HC32" s="471"/>
      <c r="HD32" s="471"/>
      <c r="HE32" s="471"/>
      <c r="HF32" s="471"/>
      <c r="HG32" s="471"/>
      <c r="HH32" s="471"/>
      <c r="HI32" s="471"/>
      <c r="HJ32" s="471"/>
      <c r="HK32" s="471"/>
      <c r="HL32" s="471"/>
      <c r="HM32" s="471"/>
      <c r="HN32" s="471"/>
      <c r="HO32" s="471"/>
      <c r="HP32" s="471"/>
      <c r="HQ32" s="471"/>
      <c r="HR32" s="471"/>
      <c r="HS32" s="471"/>
      <c r="HT32" s="471"/>
      <c r="HU32" s="471"/>
      <c r="HV32" s="471"/>
      <c r="HW32" s="471"/>
      <c r="HX32" s="471"/>
      <c r="HY32" s="471"/>
      <c r="HZ32" s="471"/>
      <c r="IA32" s="471"/>
      <c r="IB32" s="471"/>
      <c r="IC32" s="471"/>
      <c r="ID32" s="471"/>
      <c r="IE32" s="471"/>
      <c r="IF32" s="471"/>
      <c r="IG32" s="471"/>
      <c r="IH32" s="471"/>
      <c r="II32" s="471"/>
      <c r="IJ32" s="471"/>
      <c r="IK32" s="471"/>
      <c r="IL32" s="471"/>
      <c r="IM32" s="471"/>
      <c r="IN32" s="471"/>
      <c r="IO32" s="471"/>
      <c r="IP32" s="471"/>
      <c r="IQ32" s="471"/>
      <c r="IR32" s="471"/>
      <c r="IS32" s="471"/>
      <c r="IT32" s="471"/>
      <c r="IU32" s="471"/>
      <c r="IV32" s="471"/>
      <c r="IW32" s="471"/>
      <c r="IX32" s="471"/>
      <c r="IY32" s="471"/>
      <c r="IZ32" s="471"/>
    </row>
    <row r="33" spans="1:260">
      <c r="A33" s="360"/>
      <c r="B33" s="476" t="s">
        <v>69</v>
      </c>
      <c r="C33" s="637" t="str">
        <f>VLOOKUP(B33,'Item Data Support Sheet'!A:B,2,0)</f>
        <v>KPP 120 ML BOTTLE PRINTED</v>
      </c>
      <c r="D33" s="722" t="str">
        <f>IFERROR(VLOOKUP(B33,'Item Data Support Sheet'!A:O,15,0),0)</f>
        <v>KPP4_H</v>
      </c>
      <c r="E33" s="477">
        <v>15402</v>
      </c>
      <c r="F33" s="478">
        <f>SUMIF('Data Sheet Aug-2021'!E:E,PVA!B33,'Data Sheet Aug-2021'!N:N)</f>
        <v>83068</v>
      </c>
      <c r="G33" s="478">
        <f>SUMIF('Data Sheet Aug-2021'!E:E,PVA!B33,'Data Sheet Aug-2021'!O:O)</f>
        <v>82496</v>
      </c>
      <c r="H33" s="478">
        <f>SUMIF('Data Sheet Aug-2021'!E:E,PVA!B33,'Data Sheet Aug-2021'!T:T)</f>
        <v>572</v>
      </c>
      <c r="I33" s="478">
        <f>SUMIF('Data Sheet Aug-2021'!E:E,PVA!B33,'Data Sheet Aug-2021'!U:U)</f>
        <v>0</v>
      </c>
      <c r="J33" s="478">
        <f>SUMIF('Data Sheet Aug-2021'!E:E,PVA!B33,'Data Sheet Aug-2021'!P:P)</f>
        <v>0</v>
      </c>
      <c r="K33" s="479">
        <f>SUMIF('Data Sheet Aug-2021'!E:E,PVA!B33,'Data Sheet Aug-2021'!Q:Q)</f>
        <v>0</v>
      </c>
      <c r="L33" s="725">
        <f>IFERROR(SUM(H33:I33)/SUM(G33:I33),0)</f>
        <v>6.8859247845138921E-3</v>
      </c>
      <c r="M33" s="725">
        <f t="shared" si="1"/>
        <v>0</v>
      </c>
      <c r="N33" s="484">
        <f t="shared" ref="N33:N90" si="24">IFERROR(G33/E33,0)</f>
        <v>5.3561875081158288</v>
      </c>
      <c r="O33" s="486">
        <f t="shared" ref="O33:O90" si="25">G33-E33</f>
        <v>67094</v>
      </c>
      <c r="P33" s="487"/>
      <c r="Q33" s="488">
        <v>2.1299999999999999E-2</v>
      </c>
      <c r="R33" s="489">
        <f>(H33+I33+K33)*Q33</f>
        <v>12.1836</v>
      </c>
      <c r="S33" s="351"/>
      <c r="Z33" s="208">
        <f>H33*Q33</f>
        <v>12.1836</v>
      </c>
      <c r="AA33" s="208">
        <f>I33*Q33</f>
        <v>0</v>
      </c>
      <c r="AB33" s="208">
        <f>J33</f>
        <v>0</v>
      </c>
      <c r="AC33" s="208">
        <f>K33*Q33</f>
        <v>0</v>
      </c>
    </row>
    <row r="34" spans="1:260">
      <c r="A34" s="360"/>
      <c r="B34" s="129" t="s">
        <v>70</v>
      </c>
      <c r="C34" s="638" t="str">
        <f>VLOOKUP(B34,'Item Data Support Sheet'!A:B,2,0)</f>
        <v>KPP 200 ML BOTTLE PRINTED</v>
      </c>
      <c r="D34" s="723" t="str">
        <f>IFERROR(VLOOKUP(B34,'Item Data Support Sheet'!A:O,15,0),0)</f>
        <v>KPP6_H</v>
      </c>
      <c r="E34" s="480">
        <v>0</v>
      </c>
      <c r="F34" s="130">
        <f>SUMIF('Data Sheet Aug-2021'!E:E,PVA!B34,'Data Sheet Aug-2021'!N:N)</f>
        <v>62723</v>
      </c>
      <c r="G34" s="130">
        <f>SUMIF('Data Sheet Aug-2021'!E:E,PVA!B34,'Data Sheet Aug-2021'!O:O)</f>
        <v>62376</v>
      </c>
      <c r="H34" s="130">
        <f>SUMIF('Data Sheet Aug-2021'!E:E,PVA!B34,'Data Sheet Aug-2021'!T:T)</f>
        <v>347</v>
      </c>
      <c r="I34" s="130">
        <f>SUMIF('Data Sheet Aug-2021'!E:E,PVA!B34,'Data Sheet Aug-2021'!U:U)</f>
        <v>0</v>
      </c>
      <c r="J34" s="130">
        <f>SUMIF('Data Sheet Aug-2021'!E:E,PVA!B34,'Data Sheet Aug-2021'!P:P)</f>
        <v>0</v>
      </c>
      <c r="K34" s="481">
        <f>SUMIF('Data Sheet Aug-2021'!E:E,PVA!B34,'Data Sheet Aug-2021'!Q:Q)</f>
        <v>0</v>
      </c>
      <c r="L34" s="726">
        <f>IFERROR(SUM(H34:I34)/SUM(G34:I34),0)</f>
        <v>5.5322608931333006E-3</v>
      </c>
      <c r="M34" s="726">
        <f t="shared" si="1"/>
        <v>0</v>
      </c>
      <c r="N34" s="485">
        <f t="shared" si="24"/>
        <v>0</v>
      </c>
      <c r="O34" s="131">
        <f t="shared" si="25"/>
        <v>62376</v>
      </c>
      <c r="P34" s="219"/>
      <c r="Q34" s="132">
        <v>2.81E-2</v>
      </c>
      <c r="R34" s="133">
        <f t="shared" ref="R34:R97" si="26">(H34+I34+K34)*Q34</f>
        <v>9.7507000000000001</v>
      </c>
      <c r="S34" s="351"/>
      <c r="Z34" s="208">
        <f t="shared" ref="Z34:Z59" si="27">H34*Q34</f>
        <v>9.7507000000000001</v>
      </c>
      <c r="AA34" s="208">
        <f t="shared" ref="AA34:AA59" si="28">I34*Q34</f>
        <v>0</v>
      </c>
      <c r="AB34" s="208">
        <f t="shared" ref="AB34:AB59" si="29">J34</f>
        <v>0</v>
      </c>
      <c r="AC34" s="208">
        <f t="shared" ref="AC34:AC59" si="30">K34*Q34</f>
        <v>0</v>
      </c>
    </row>
    <row r="35" spans="1:260">
      <c r="A35" s="360"/>
      <c r="B35" s="129" t="s">
        <v>64</v>
      </c>
      <c r="C35" s="638" t="str">
        <f>VLOOKUP(B35,'Item Data Support Sheet'!A:B,2,0)</f>
        <v>KPP 240 ML BOTTLE PRINTED</v>
      </c>
      <c r="D35" s="723" t="str">
        <f>IFERROR(VLOOKUP(B35,'Item Data Support Sheet'!A:O,15,0),0)</f>
        <v>KPP8_H</v>
      </c>
      <c r="E35" s="480">
        <v>36304</v>
      </c>
      <c r="F35" s="130">
        <f>SUMIF('Data Sheet Aug-2021'!E:E,PVA!B35,'Data Sheet Aug-2021'!N:N)</f>
        <v>182550</v>
      </c>
      <c r="G35" s="130">
        <f>SUMIF('Data Sheet Aug-2021'!E:E,PVA!B35,'Data Sheet Aug-2021'!O:O)</f>
        <v>180848</v>
      </c>
      <c r="H35" s="130">
        <f>SUMIF('Data Sheet Aug-2021'!E:E,PVA!B35,'Data Sheet Aug-2021'!T:T)</f>
        <v>1702</v>
      </c>
      <c r="I35" s="130">
        <f>SUMIF('Data Sheet Aug-2021'!E:E,PVA!B35,'Data Sheet Aug-2021'!U:U)</f>
        <v>0</v>
      </c>
      <c r="J35" s="130">
        <f>SUMIF('Data Sheet Aug-2021'!E:E,PVA!B35,'Data Sheet Aug-2021'!P:P)</f>
        <v>0</v>
      </c>
      <c r="K35" s="481">
        <f>SUMIF('Data Sheet Aug-2021'!E:E,PVA!B35,'Data Sheet Aug-2021'!Q:Q)</f>
        <v>0</v>
      </c>
      <c r="L35" s="726">
        <f>IFERROR(SUM(H35:I35)/SUM(G35:I35),0)</f>
        <v>9.3234730210901128E-3</v>
      </c>
      <c r="M35" s="726">
        <f t="shared" si="1"/>
        <v>0</v>
      </c>
      <c r="N35" s="485">
        <f t="shared" si="24"/>
        <v>4.9814896430145437</v>
      </c>
      <c r="O35" s="131">
        <f t="shared" si="25"/>
        <v>144544</v>
      </c>
      <c r="P35" s="219"/>
      <c r="Q35" s="132">
        <v>3.2099999999999997E-2</v>
      </c>
      <c r="R35" s="133">
        <f>(H35+I35+K35)*Q35</f>
        <v>54.634199999999993</v>
      </c>
      <c r="S35" s="351"/>
      <c r="Z35" s="208">
        <f t="shared" si="27"/>
        <v>54.634199999999993</v>
      </c>
      <c r="AA35" s="208">
        <f t="shared" si="28"/>
        <v>0</v>
      </c>
      <c r="AB35" s="208">
        <f t="shared" si="29"/>
        <v>0</v>
      </c>
      <c r="AC35" s="208">
        <f t="shared" si="30"/>
        <v>0</v>
      </c>
    </row>
    <row r="36" spans="1:260">
      <c r="A36" s="360"/>
      <c r="B36" s="129" t="s">
        <v>71</v>
      </c>
      <c r="C36" s="638" t="str">
        <f>VLOOKUP(B36,'Item Data Support Sheet'!A:B,2,0)</f>
        <v>RPP 120 ML BOTTLE PRINTED</v>
      </c>
      <c r="D36" s="723" t="str">
        <f>IFERROR(VLOOKUP(B36,'Item Data Support Sheet'!A:O,15,0),0)</f>
        <v>RPP4_H</v>
      </c>
      <c r="E36" s="480">
        <v>6080</v>
      </c>
      <c r="F36" s="130">
        <f>SUMIF('Data Sheet Aug-2021'!E:E,PVA!B36,'Data Sheet Aug-2021'!N:N)</f>
        <v>50185</v>
      </c>
      <c r="G36" s="130">
        <f>SUMIF('Data Sheet Aug-2021'!E:E,PVA!B36,'Data Sheet Aug-2021'!O:O)</f>
        <v>49843</v>
      </c>
      <c r="H36" s="130">
        <f>SUMIF('Data Sheet Aug-2021'!E:E,PVA!B36,'Data Sheet Aug-2021'!T:T)</f>
        <v>342</v>
      </c>
      <c r="I36" s="130">
        <f>SUMIF('Data Sheet Aug-2021'!E:E,PVA!B36,'Data Sheet Aug-2021'!U:U)</f>
        <v>0</v>
      </c>
      <c r="J36" s="130">
        <f>SUMIF('Data Sheet Aug-2021'!E:E,PVA!B36,'Data Sheet Aug-2021'!P:P)</f>
        <v>0</v>
      </c>
      <c r="K36" s="481">
        <f>SUMIF('Data Sheet Aug-2021'!E:E,PVA!B36,'Data Sheet Aug-2021'!Q:Q)</f>
        <v>0</v>
      </c>
      <c r="L36" s="726">
        <f>IFERROR(SUM(H36:I36)/SUM(G36:I36),0)</f>
        <v>6.8147852944106801E-3</v>
      </c>
      <c r="M36" s="726">
        <f t="shared" si="1"/>
        <v>0</v>
      </c>
      <c r="N36" s="485">
        <f t="shared" si="24"/>
        <v>8.1978618421052634</v>
      </c>
      <c r="O36" s="131">
        <f t="shared" si="25"/>
        <v>43763</v>
      </c>
      <c r="P36" s="219"/>
      <c r="Q36" s="132">
        <v>2.1299999999999999E-2</v>
      </c>
      <c r="R36" s="133">
        <f t="shared" si="26"/>
        <v>7.2846000000000002</v>
      </c>
      <c r="S36" s="351"/>
      <c r="Z36" s="208">
        <f t="shared" si="27"/>
        <v>7.2846000000000002</v>
      </c>
      <c r="AA36" s="208">
        <f t="shared" si="28"/>
        <v>0</v>
      </c>
      <c r="AB36" s="208">
        <f t="shared" si="29"/>
        <v>0</v>
      </c>
      <c r="AC36" s="208">
        <f t="shared" si="30"/>
        <v>0</v>
      </c>
    </row>
    <row r="37" spans="1:260">
      <c r="A37" s="360"/>
      <c r="B37" s="129" t="s">
        <v>15</v>
      </c>
      <c r="C37" s="638" t="str">
        <f>VLOOKUP(B37,'Item Data Support Sheet'!A:B,2,0)</f>
        <v>RPP 240 ML BOTTLE PRINTED</v>
      </c>
      <c r="D37" s="723" t="str">
        <f>IFERROR(VLOOKUP(B37,'Item Data Support Sheet'!A:O,15,0),0)</f>
        <v>RPP8_H</v>
      </c>
      <c r="E37" s="480">
        <v>4000</v>
      </c>
      <c r="F37" s="130">
        <f>SUMIF('Data Sheet Aug-2021'!E:E,PVA!B37,'Data Sheet Aug-2021'!N:N)</f>
        <v>38179</v>
      </c>
      <c r="G37" s="130">
        <f>SUMIF('Data Sheet Aug-2021'!E:E,PVA!B37,'Data Sheet Aug-2021'!O:O)</f>
        <v>37903</v>
      </c>
      <c r="H37" s="130">
        <f>SUMIF('Data Sheet Aug-2021'!E:E,PVA!B37,'Data Sheet Aug-2021'!T:T)</f>
        <v>276</v>
      </c>
      <c r="I37" s="130">
        <f>SUMIF('Data Sheet Aug-2021'!E:E,PVA!B37,'Data Sheet Aug-2021'!U:U)</f>
        <v>0</v>
      </c>
      <c r="J37" s="130">
        <f>SUMIF('Data Sheet Aug-2021'!E:E,PVA!B37,'Data Sheet Aug-2021'!P:P)</f>
        <v>0</v>
      </c>
      <c r="K37" s="481">
        <f>SUMIF('Data Sheet Aug-2021'!E:E,PVA!B37,'Data Sheet Aug-2021'!Q:Q)</f>
        <v>0</v>
      </c>
      <c r="L37" s="726">
        <f>IFERROR(SUM(H37:I37)/SUM(G37:I37),0)</f>
        <v>7.229105005369444E-3</v>
      </c>
      <c r="M37" s="726">
        <f t="shared" si="1"/>
        <v>0</v>
      </c>
      <c r="N37" s="485">
        <f t="shared" si="24"/>
        <v>9.4757499999999997</v>
      </c>
      <c r="O37" s="131">
        <f t="shared" si="25"/>
        <v>33903</v>
      </c>
      <c r="P37" s="219"/>
      <c r="Q37" s="132">
        <v>3.2099999999999997E-2</v>
      </c>
      <c r="R37" s="133">
        <f t="shared" si="26"/>
        <v>8.8595999999999986</v>
      </c>
      <c r="S37" s="351"/>
      <c r="T37" s="210"/>
      <c r="Z37" s="208">
        <f t="shared" si="27"/>
        <v>8.8595999999999986</v>
      </c>
      <c r="AA37" s="208">
        <f t="shared" si="28"/>
        <v>0</v>
      </c>
      <c r="AB37" s="208">
        <f t="shared" si="29"/>
        <v>0</v>
      </c>
      <c r="AC37" s="208">
        <f t="shared" si="30"/>
        <v>0</v>
      </c>
    </row>
    <row r="38" spans="1:260" s="67" customFormat="1">
      <c r="A38" s="360"/>
      <c r="B38" s="129" t="s">
        <v>1891</v>
      </c>
      <c r="C38" s="638" t="str">
        <f>VLOOKUP(B38,'Item Data Support Sheet'!A:B,2,0)</f>
        <v>50 ML RPP BOTTLE PRINTED - BIRDS</v>
      </c>
      <c r="D38" s="723" t="s">
        <v>2059</v>
      </c>
      <c r="E38" s="480">
        <v>0</v>
      </c>
      <c r="F38" s="130">
        <f>SUMIF('Data Sheet Aug-2021'!E:E,PVA!B38,'Data Sheet Aug-2021'!N:N)</f>
        <v>3788</v>
      </c>
      <c r="G38" s="130">
        <f>SUMIF('Data Sheet Aug-2021'!E:E,PVA!B38,'Data Sheet Aug-2021'!O:O)</f>
        <v>3604</v>
      </c>
      <c r="H38" s="130">
        <f>SUMIF('Data Sheet Aug-2021'!E:E,PVA!B38,'Data Sheet Aug-2021'!T:T)</f>
        <v>184</v>
      </c>
      <c r="I38" s="130">
        <f>SUMIF('Data Sheet Aug-2021'!E:E,PVA!B38,'Data Sheet Aug-2021'!U:U)</f>
        <v>0</v>
      </c>
      <c r="J38" s="130">
        <f>SUMIF('Data Sheet Aug-2021'!E:E,PVA!B38,'Data Sheet Aug-2021'!P:P)</f>
        <v>0</v>
      </c>
      <c r="K38" s="481">
        <f>SUMIF('Data Sheet Aug-2021'!E:E,PVA!B38,'Data Sheet Aug-2021'!Q:Q)</f>
        <v>0</v>
      </c>
      <c r="L38" s="726">
        <f t="shared" ref="L38:L49" si="31">IFERROR(SUM(H38:I38)/SUM(G38:I38),0)</f>
        <v>4.8574445617740235E-2</v>
      </c>
      <c r="M38" s="726">
        <f t="shared" si="1"/>
        <v>0</v>
      </c>
      <c r="N38" s="485">
        <f t="shared" ref="N38:N49" si="32">IFERROR(G38/E38,0)</f>
        <v>0</v>
      </c>
      <c r="O38" s="131">
        <f t="shared" ref="O38:O49" si="33">G38-E38</f>
        <v>3604</v>
      </c>
      <c r="P38" s="219"/>
      <c r="Q38" s="132">
        <v>1.7000000000000001E-2</v>
      </c>
      <c r="R38" s="133">
        <f>(H38+I38+K38)*Q38</f>
        <v>3.1280000000000001</v>
      </c>
      <c r="S38" s="351"/>
      <c r="T38" s="208"/>
      <c r="U38" s="208"/>
      <c r="V38" s="210"/>
      <c r="W38" s="208"/>
      <c r="X38" s="208"/>
      <c r="Y38" s="208"/>
      <c r="Z38" s="208">
        <f>H38*Q38</f>
        <v>3.1280000000000001</v>
      </c>
      <c r="AA38" s="208">
        <f t="shared" ref="AA38:AA47" si="34">I38*Q38</f>
        <v>0</v>
      </c>
      <c r="AB38" s="208">
        <f t="shared" ref="AB38:AB47" si="35">J38</f>
        <v>0</v>
      </c>
      <c r="AC38" s="208">
        <f t="shared" ref="AC38:AC47" si="36">K38*Q38</f>
        <v>0</v>
      </c>
      <c r="AD38" s="208"/>
      <c r="AE38" s="208"/>
      <c r="AF38" s="208"/>
      <c r="AG38" s="208"/>
      <c r="AH38" s="208"/>
      <c r="AI38" s="208"/>
      <c r="AJ38" s="208"/>
      <c r="AK38" s="208"/>
      <c r="AL38" s="208"/>
      <c r="AM38" s="35"/>
      <c r="AN38" s="35"/>
      <c r="AO38" s="35"/>
      <c r="AP38" s="35"/>
      <c r="AQ38" s="35"/>
      <c r="AR38" s="35"/>
      <c r="AS38" s="35"/>
      <c r="AT38" s="35"/>
      <c r="AU38" s="35"/>
      <c r="AV38" s="35"/>
      <c r="AW38" s="35"/>
      <c r="AX38" s="35"/>
      <c r="AY38" s="35"/>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row>
    <row r="39" spans="1:260" s="67" customFormat="1">
      <c r="A39" s="360"/>
      <c r="B39" s="129" t="s">
        <v>1893</v>
      </c>
      <c r="C39" s="638" t="str">
        <f>VLOOKUP(B39,'Item Data Support Sheet'!A:B,2,0)</f>
        <v>50 ML RPP BOTTLE PRINTED - WHALES</v>
      </c>
      <c r="D39" s="723" t="s">
        <v>2059</v>
      </c>
      <c r="E39" s="480">
        <v>0</v>
      </c>
      <c r="F39" s="130">
        <f>SUMIF('Data Sheet Aug-2021'!E:E,PVA!B39,'Data Sheet Aug-2021'!N:N)</f>
        <v>2006</v>
      </c>
      <c r="G39" s="130">
        <f>SUMIF('Data Sheet Aug-2021'!E:E,PVA!B39,'Data Sheet Aug-2021'!O:O)</f>
        <v>1970</v>
      </c>
      <c r="H39" s="130">
        <f>SUMIF('Data Sheet Aug-2021'!E:E,PVA!B39,'Data Sheet Aug-2021'!T:T)</f>
        <v>36</v>
      </c>
      <c r="I39" s="130">
        <f>SUMIF('Data Sheet Aug-2021'!E:E,PVA!B39,'Data Sheet Aug-2021'!U:U)</f>
        <v>0</v>
      </c>
      <c r="J39" s="130">
        <f>SUMIF('Data Sheet Aug-2021'!E:E,PVA!B39,'Data Sheet Aug-2021'!P:P)</f>
        <v>0</v>
      </c>
      <c r="K39" s="481">
        <f>SUMIF('Data Sheet Aug-2021'!E:E,PVA!B39,'Data Sheet Aug-2021'!Q:Q)</f>
        <v>0</v>
      </c>
      <c r="L39" s="726">
        <f t="shared" si="31"/>
        <v>1.794616151545364E-2</v>
      </c>
      <c r="M39" s="726">
        <f t="shared" si="1"/>
        <v>0</v>
      </c>
      <c r="N39" s="485">
        <f t="shared" si="32"/>
        <v>0</v>
      </c>
      <c r="O39" s="131">
        <f t="shared" si="33"/>
        <v>1970</v>
      </c>
      <c r="P39" s="219"/>
      <c r="Q39" s="132">
        <v>1.7000000000000001E-2</v>
      </c>
      <c r="R39" s="133">
        <f t="shared" ref="R39:R49" si="37">(H39+I39+K39)*Q39</f>
        <v>0.6120000000000001</v>
      </c>
      <c r="S39" s="351"/>
      <c r="T39" s="208"/>
      <c r="U39" s="208"/>
      <c r="V39" s="210"/>
      <c r="W39" s="208"/>
      <c r="X39" s="208"/>
      <c r="Y39" s="208"/>
      <c r="Z39" s="208">
        <f t="shared" ref="Z39:Z47" si="38">H39*Q39</f>
        <v>0.6120000000000001</v>
      </c>
      <c r="AA39" s="208">
        <f t="shared" si="34"/>
        <v>0</v>
      </c>
      <c r="AB39" s="208">
        <f t="shared" si="35"/>
        <v>0</v>
      </c>
      <c r="AC39" s="208">
        <f t="shared" si="36"/>
        <v>0</v>
      </c>
      <c r="AD39" s="208"/>
      <c r="AE39" s="208"/>
      <c r="AF39" s="208"/>
      <c r="AG39" s="208"/>
      <c r="AH39" s="208"/>
      <c r="AI39" s="208"/>
      <c r="AJ39" s="208"/>
      <c r="AK39" s="208"/>
      <c r="AL39" s="208"/>
      <c r="AM39" s="35"/>
      <c r="AN39" s="35"/>
      <c r="AO39" s="35"/>
      <c r="AP39" s="35"/>
      <c r="AQ39" s="35"/>
      <c r="AR39" s="35"/>
      <c r="AS39" s="35"/>
      <c r="AT39" s="35"/>
      <c r="AU39" s="35"/>
      <c r="AV39" s="35"/>
      <c r="AW39" s="35"/>
      <c r="AX39" s="35"/>
      <c r="AY39" s="35"/>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row>
    <row r="40" spans="1:260" s="67" customFormat="1">
      <c r="A40" s="360"/>
      <c r="B40" s="129" t="s">
        <v>1894</v>
      </c>
      <c r="C40" s="638" t="str">
        <f>VLOOKUP(B40,'Item Data Support Sheet'!A:B,2,0)</f>
        <v>50 ML RPP BOTTLE PRINTED - RABBIT</v>
      </c>
      <c r="D40" s="723" t="s">
        <v>2059</v>
      </c>
      <c r="E40" s="480">
        <v>0</v>
      </c>
      <c r="F40" s="130">
        <f>SUMIF('Data Sheet Aug-2021'!E:E,PVA!B40,'Data Sheet Aug-2021'!N:N)</f>
        <v>2280</v>
      </c>
      <c r="G40" s="130">
        <f>SUMIF('Data Sheet Aug-2021'!E:E,PVA!B40,'Data Sheet Aug-2021'!O:O)</f>
        <v>2248</v>
      </c>
      <c r="H40" s="130">
        <f>SUMIF('Data Sheet Aug-2021'!E:E,PVA!B40,'Data Sheet Aug-2021'!T:T)</f>
        <v>32</v>
      </c>
      <c r="I40" s="130">
        <f>SUMIF('Data Sheet Aug-2021'!E:E,PVA!B40,'Data Sheet Aug-2021'!U:U)</f>
        <v>0</v>
      </c>
      <c r="J40" s="130">
        <f>SUMIF('Data Sheet Aug-2021'!E:E,PVA!B40,'Data Sheet Aug-2021'!P:P)</f>
        <v>0</v>
      </c>
      <c r="K40" s="481">
        <f>SUMIF('Data Sheet Aug-2021'!E:E,PVA!B40,'Data Sheet Aug-2021'!Q:Q)</f>
        <v>0</v>
      </c>
      <c r="L40" s="726">
        <f t="shared" si="31"/>
        <v>1.4035087719298246E-2</v>
      </c>
      <c r="M40" s="726">
        <f t="shared" si="1"/>
        <v>0</v>
      </c>
      <c r="N40" s="485">
        <f t="shared" si="32"/>
        <v>0</v>
      </c>
      <c r="O40" s="131">
        <f t="shared" si="33"/>
        <v>2248</v>
      </c>
      <c r="P40" s="219"/>
      <c r="Q40" s="132">
        <v>1.7000000000000001E-2</v>
      </c>
      <c r="R40" s="133">
        <f t="shared" si="37"/>
        <v>0.54400000000000004</v>
      </c>
      <c r="S40" s="351"/>
      <c r="T40" s="208"/>
      <c r="U40" s="208"/>
      <c r="V40" s="210"/>
      <c r="W40" s="208"/>
      <c r="X40" s="208"/>
      <c r="Y40" s="208"/>
      <c r="Z40" s="208">
        <f t="shared" si="38"/>
        <v>0.54400000000000004</v>
      </c>
      <c r="AA40" s="208">
        <f t="shared" si="34"/>
        <v>0</v>
      </c>
      <c r="AB40" s="208">
        <f t="shared" si="35"/>
        <v>0</v>
      </c>
      <c r="AC40" s="208">
        <f t="shared" si="36"/>
        <v>0</v>
      </c>
      <c r="AD40" s="208"/>
      <c r="AE40" s="208"/>
      <c r="AF40" s="208"/>
      <c r="AG40" s="208"/>
      <c r="AH40" s="208"/>
      <c r="AI40" s="208"/>
      <c r="AJ40" s="208"/>
      <c r="AK40" s="208"/>
      <c r="AL40" s="208"/>
      <c r="AM40" s="35"/>
      <c r="AN40" s="35"/>
      <c r="AO40" s="35"/>
      <c r="AP40" s="35"/>
      <c r="AQ40" s="35"/>
      <c r="AR40" s="35"/>
      <c r="AS40" s="35"/>
      <c r="AT40" s="35"/>
      <c r="AU40" s="35"/>
      <c r="AV40" s="35"/>
      <c r="AW40" s="35"/>
      <c r="AX40" s="35"/>
      <c r="AY40" s="35"/>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row>
    <row r="41" spans="1:260" s="67" customFormat="1">
      <c r="A41" s="360"/>
      <c r="B41" s="129" t="s">
        <v>1906</v>
      </c>
      <c r="C41" s="638" t="str">
        <f>VLOOKUP(B41,'Item Data Support Sheet'!A:B,2,0)</f>
        <v>RPP 120 ML RPP PRINTED ELEPHANT</v>
      </c>
      <c r="D41" s="723" t="s">
        <v>2057</v>
      </c>
      <c r="E41" s="480">
        <v>0</v>
      </c>
      <c r="F41" s="130">
        <f>SUMIF('Data Sheet Aug-2021'!E:E,PVA!B41,'Data Sheet Aug-2021'!N:N)</f>
        <v>423</v>
      </c>
      <c r="G41" s="130">
        <f>SUMIF('Data Sheet Aug-2021'!E:E,PVA!B41,'Data Sheet Aug-2021'!O:O)</f>
        <v>412</v>
      </c>
      <c r="H41" s="130">
        <f>SUMIF('Data Sheet Aug-2021'!E:E,PVA!B41,'Data Sheet Aug-2021'!T:T)</f>
        <v>11</v>
      </c>
      <c r="I41" s="130">
        <f>SUMIF('Data Sheet Aug-2021'!E:E,PVA!B41,'Data Sheet Aug-2021'!U:U)</f>
        <v>0</v>
      </c>
      <c r="J41" s="130">
        <f>SUMIF('Data Sheet Aug-2021'!E:E,PVA!B41,'Data Sheet Aug-2021'!P:P)</f>
        <v>0</v>
      </c>
      <c r="K41" s="481">
        <f>SUMIF('Data Sheet Aug-2021'!E:E,PVA!B41,'Data Sheet Aug-2021'!Q:Q)</f>
        <v>0</v>
      </c>
      <c r="L41" s="726">
        <f t="shared" si="31"/>
        <v>2.6004728132387706E-2</v>
      </c>
      <c r="M41" s="726">
        <f t="shared" si="1"/>
        <v>0</v>
      </c>
      <c r="N41" s="485">
        <f t="shared" si="32"/>
        <v>0</v>
      </c>
      <c r="O41" s="131">
        <f t="shared" si="33"/>
        <v>412</v>
      </c>
      <c r="P41" s="219"/>
      <c r="Q41" s="132">
        <v>2.1999999999999999E-2</v>
      </c>
      <c r="R41" s="133">
        <f t="shared" si="37"/>
        <v>0.24199999999999999</v>
      </c>
      <c r="S41" s="351"/>
      <c r="T41" s="208"/>
      <c r="U41" s="208"/>
      <c r="V41" s="210"/>
      <c r="W41" s="208"/>
      <c r="X41" s="208"/>
      <c r="Y41" s="208"/>
      <c r="Z41" s="208">
        <f t="shared" si="38"/>
        <v>0.24199999999999999</v>
      </c>
      <c r="AA41" s="208">
        <f t="shared" si="34"/>
        <v>0</v>
      </c>
      <c r="AB41" s="208">
        <f t="shared" si="35"/>
        <v>0</v>
      </c>
      <c r="AC41" s="208">
        <f t="shared" si="36"/>
        <v>0</v>
      </c>
      <c r="AD41" s="208"/>
      <c r="AE41" s="208"/>
      <c r="AF41" s="208"/>
      <c r="AG41" s="208"/>
      <c r="AH41" s="208"/>
      <c r="AI41" s="208"/>
      <c r="AJ41" s="208"/>
      <c r="AK41" s="208"/>
      <c r="AL41" s="208"/>
      <c r="AM41" s="35"/>
      <c r="AN41" s="35"/>
      <c r="AO41" s="35"/>
      <c r="AP41" s="35"/>
      <c r="AQ41" s="35"/>
      <c r="AR41" s="35"/>
      <c r="AS41" s="35"/>
      <c r="AT41" s="35"/>
      <c r="AU41" s="35"/>
      <c r="AV41" s="35"/>
      <c r="AW41" s="35"/>
      <c r="AX41" s="35"/>
      <c r="AY41" s="35"/>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row>
    <row r="42" spans="1:260" s="67" customFormat="1">
      <c r="A42" s="360"/>
      <c r="B42" s="129" t="s">
        <v>1904</v>
      </c>
      <c r="C42" s="638" t="str">
        <f>VLOOKUP(B42,'Item Data Support Sheet'!A:B,2,0)</f>
        <v>RPP 240 ML RPP PRINTED ELEPHANT</v>
      </c>
      <c r="D42" s="723" t="s">
        <v>2058</v>
      </c>
      <c r="E42" s="480">
        <v>0</v>
      </c>
      <c r="F42" s="130">
        <f>SUMIF('Data Sheet Aug-2021'!E:E,PVA!B42,'Data Sheet Aug-2021'!N:N)</f>
        <v>1913</v>
      </c>
      <c r="G42" s="130">
        <f>SUMIF('Data Sheet Aug-2021'!E:E,PVA!B42,'Data Sheet Aug-2021'!O:O)</f>
        <v>1894</v>
      </c>
      <c r="H42" s="130">
        <f>SUMIF('Data Sheet Aug-2021'!E:E,PVA!B42,'Data Sheet Aug-2021'!T:T)</f>
        <v>19</v>
      </c>
      <c r="I42" s="130">
        <f>SUMIF('Data Sheet Aug-2021'!E:E,PVA!B42,'Data Sheet Aug-2021'!U:U)</f>
        <v>0</v>
      </c>
      <c r="J42" s="130">
        <f>SUMIF('Data Sheet Aug-2021'!E:E,PVA!B42,'Data Sheet Aug-2021'!P:P)</f>
        <v>0</v>
      </c>
      <c r="K42" s="481">
        <f>SUMIF('Data Sheet Aug-2021'!E:E,PVA!B42,'Data Sheet Aug-2021'!Q:Q)</f>
        <v>0</v>
      </c>
      <c r="L42" s="726">
        <f t="shared" si="31"/>
        <v>9.9320439100888652E-3</v>
      </c>
      <c r="M42" s="726">
        <f t="shared" si="1"/>
        <v>0</v>
      </c>
      <c r="N42" s="485">
        <f t="shared" si="32"/>
        <v>0</v>
      </c>
      <c r="O42" s="131">
        <f t="shared" si="33"/>
        <v>1894</v>
      </c>
      <c r="P42" s="219"/>
      <c r="Q42" s="132">
        <v>3.2000000000000001E-2</v>
      </c>
      <c r="R42" s="133">
        <f t="shared" si="37"/>
        <v>0.60799999999999998</v>
      </c>
      <c r="S42" s="351"/>
      <c r="T42" s="208"/>
      <c r="U42" s="208"/>
      <c r="V42" s="210"/>
      <c r="W42" s="208"/>
      <c r="X42" s="208"/>
      <c r="Y42" s="208"/>
      <c r="Z42" s="208">
        <f t="shared" si="38"/>
        <v>0.60799999999999998</v>
      </c>
      <c r="AA42" s="208">
        <f t="shared" si="34"/>
        <v>0</v>
      </c>
      <c r="AB42" s="208">
        <f t="shared" si="35"/>
        <v>0</v>
      </c>
      <c r="AC42" s="208">
        <f t="shared" si="36"/>
        <v>0</v>
      </c>
      <c r="AD42" s="208"/>
      <c r="AE42" s="208"/>
      <c r="AF42" s="208"/>
      <c r="AG42" s="208"/>
      <c r="AH42" s="208"/>
      <c r="AI42" s="208"/>
      <c r="AJ42" s="208"/>
      <c r="AK42" s="208"/>
      <c r="AL42" s="208"/>
      <c r="AM42" s="35"/>
      <c r="AN42" s="35"/>
      <c r="AO42" s="35"/>
      <c r="AP42" s="35"/>
      <c r="AQ42" s="35"/>
      <c r="AR42" s="35"/>
      <c r="AS42" s="35"/>
      <c r="AT42" s="35"/>
      <c r="AU42" s="35"/>
      <c r="AV42" s="35"/>
      <c r="AW42" s="35"/>
      <c r="AX42" s="35"/>
      <c r="AY42" s="35"/>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row>
    <row r="43" spans="1:260" s="67" customFormat="1">
      <c r="A43" s="360"/>
      <c r="B43" s="129" t="s">
        <v>1907</v>
      </c>
      <c r="C43" s="638" t="str">
        <f>VLOOKUP(B43,'Item Data Support Sheet'!A:B,2,0)</f>
        <v>RPP 120 ML RPP PRINTED BEE</v>
      </c>
      <c r="D43" s="723" t="s">
        <v>2057</v>
      </c>
      <c r="E43" s="480">
        <v>0</v>
      </c>
      <c r="F43" s="130">
        <f>SUMIF('Data Sheet Aug-2021'!E:E,PVA!B43,'Data Sheet Aug-2021'!N:N)</f>
        <v>607</v>
      </c>
      <c r="G43" s="130">
        <f>SUMIF('Data Sheet Aug-2021'!E:E,PVA!B43,'Data Sheet Aug-2021'!O:O)</f>
        <v>599</v>
      </c>
      <c r="H43" s="130">
        <f>SUMIF('Data Sheet Aug-2021'!E:E,PVA!B43,'Data Sheet Aug-2021'!T:T)</f>
        <v>8</v>
      </c>
      <c r="I43" s="130">
        <f>SUMIF('Data Sheet Aug-2021'!E:E,PVA!B43,'Data Sheet Aug-2021'!U:U)</f>
        <v>0</v>
      </c>
      <c r="J43" s="130">
        <f>SUMIF('Data Sheet Aug-2021'!E:E,PVA!B43,'Data Sheet Aug-2021'!P:P)</f>
        <v>0</v>
      </c>
      <c r="K43" s="481">
        <f>SUMIF('Data Sheet Aug-2021'!E:E,PVA!B43,'Data Sheet Aug-2021'!Q:Q)</f>
        <v>0</v>
      </c>
      <c r="L43" s="726">
        <f t="shared" si="31"/>
        <v>1.3179571663920923E-2</v>
      </c>
      <c r="M43" s="726">
        <f t="shared" si="1"/>
        <v>0</v>
      </c>
      <c r="N43" s="485">
        <f t="shared" si="32"/>
        <v>0</v>
      </c>
      <c r="O43" s="131">
        <f t="shared" si="33"/>
        <v>599</v>
      </c>
      <c r="P43" s="219"/>
      <c r="Q43" s="132">
        <v>2.1999999999999999E-2</v>
      </c>
      <c r="R43" s="133">
        <f t="shared" si="37"/>
        <v>0.17599999999999999</v>
      </c>
      <c r="S43" s="351"/>
      <c r="T43" s="208"/>
      <c r="U43" s="208"/>
      <c r="V43" s="210"/>
      <c r="W43" s="208"/>
      <c r="X43" s="208"/>
      <c r="Y43" s="208"/>
      <c r="Z43" s="208">
        <f t="shared" si="38"/>
        <v>0.17599999999999999</v>
      </c>
      <c r="AA43" s="208">
        <f t="shared" si="34"/>
        <v>0</v>
      </c>
      <c r="AB43" s="208">
        <f t="shared" si="35"/>
        <v>0</v>
      </c>
      <c r="AC43" s="208">
        <f t="shared" si="36"/>
        <v>0</v>
      </c>
      <c r="AD43" s="208"/>
      <c r="AE43" s="208"/>
      <c r="AF43" s="208"/>
      <c r="AG43" s="208"/>
      <c r="AH43" s="208"/>
      <c r="AI43" s="208"/>
      <c r="AJ43" s="208"/>
      <c r="AK43" s="208"/>
      <c r="AL43" s="208"/>
      <c r="AM43" s="35"/>
      <c r="AN43" s="35"/>
      <c r="AO43" s="35"/>
      <c r="AP43" s="35"/>
      <c r="AQ43" s="35"/>
      <c r="AR43" s="35"/>
      <c r="AS43" s="35"/>
      <c r="AT43" s="35"/>
      <c r="AU43" s="35"/>
      <c r="AV43" s="35"/>
      <c r="AW43" s="35"/>
      <c r="AX43" s="35"/>
      <c r="AY43" s="35"/>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row>
    <row r="44" spans="1:260" s="67" customFormat="1">
      <c r="A44" s="360"/>
      <c r="B44" s="129" t="s">
        <v>1908</v>
      </c>
      <c r="C44" s="638" t="str">
        <f>VLOOKUP(B44,'Item Data Support Sheet'!A:B,2,0)</f>
        <v>RPP 240 ML RPP PRINTED BEE</v>
      </c>
      <c r="D44" s="723" t="s">
        <v>2058</v>
      </c>
      <c r="E44" s="480">
        <v>0</v>
      </c>
      <c r="F44" s="130">
        <f>SUMIF('Data Sheet Aug-2021'!E:E,PVA!B44,'Data Sheet Aug-2021'!N:N)</f>
        <v>1051</v>
      </c>
      <c r="G44" s="130">
        <f>SUMIF('Data Sheet Aug-2021'!E:E,PVA!B44,'Data Sheet Aug-2021'!O:O)</f>
        <v>1038</v>
      </c>
      <c r="H44" s="130">
        <f>SUMIF('Data Sheet Aug-2021'!E:E,PVA!B44,'Data Sheet Aug-2021'!T:T)</f>
        <v>13</v>
      </c>
      <c r="I44" s="130">
        <f>SUMIF('Data Sheet Aug-2021'!E:E,PVA!B44,'Data Sheet Aug-2021'!U:U)</f>
        <v>0</v>
      </c>
      <c r="J44" s="130">
        <f>SUMIF('Data Sheet Aug-2021'!E:E,PVA!B44,'Data Sheet Aug-2021'!P:P)</f>
        <v>0</v>
      </c>
      <c r="K44" s="481">
        <f>SUMIF('Data Sheet Aug-2021'!E:E,PVA!B44,'Data Sheet Aug-2021'!Q:Q)</f>
        <v>0</v>
      </c>
      <c r="L44" s="726">
        <f t="shared" si="31"/>
        <v>1.2369172216936251E-2</v>
      </c>
      <c r="M44" s="726">
        <f t="shared" si="1"/>
        <v>0</v>
      </c>
      <c r="N44" s="485">
        <f t="shared" si="32"/>
        <v>0</v>
      </c>
      <c r="O44" s="131">
        <f t="shared" si="33"/>
        <v>1038</v>
      </c>
      <c r="P44" s="219"/>
      <c r="Q44" s="132">
        <v>3.2000000000000001E-2</v>
      </c>
      <c r="R44" s="133">
        <f t="shared" si="37"/>
        <v>0.41600000000000004</v>
      </c>
      <c r="S44" s="351"/>
      <c r="T44" s="208"/>
      <c r="U44" s="208"/>
      <c r="V44" s="210"/>
      <c r="W44" s="208"/>
      <c r="X44" s="208"/>
      <c r="Y44" s="208"/>
      <c r="Z44" s="208">
        <f t="shared" si="38"/>
        <v>0.41600000000000004</v>
      </c>
      <c r="AA44" s="208">
        <f t="shared" si="34"/>
        <v>0</v>
      </c>
      <c r="AB44" s="208">
        <f t="shared" si="35"/>
        <v>0</v>
      </c>
      <c r="AC44" s="208">
        <f t="shared" si="36"/>
        <v>0</v>
      </c>
      <c r="AD44" s="208"/>
      <c r="AE44" s="208"/>
      <c r="AF44" s="208"/>
      <c r="AG44" s="208"/>
      <c r="AH44" s="208"/>
      <c r="AI44" s="208"/>
      <c r="AJ44" s="208"/>
      <c r="AK44" s="208"/>
      <c r="AL44" s="208"/>
      <c r="AM44" s="35"/>
      <c r="AN44" s="35"/>
      <c r="AO44" s="35"/>
      <c r="AP44" s="35"/>
      <c r="AQ44" s="35"/>
      <c r="AR44" s="35"/>
      <c r="AS44" s="35"/>
      <c r="AT44" s="35"/>
      <c r="AU44" s="35"/>
      <c r="AV44" s="35"/>
      <c r="AW44" s="35"/>
      <c r="AX44" s="35"/>
      <c r="AY44" s="35"/>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row>
    <row r="45" spans="1:260" s="67" customFormat="1">
      <c r="A45" s="360"/>
      <c r="B45" s="129" t="s">
        <v>1909</v>
      </c>
      <c r="C45" s="638" t="str">
        <f>VLOOKUP(B45,'Item Data Support Sheet'!A:B,2,0)</f>
        <v>RPP 120 ML RPP PRINTED LION</v>
      </c>
      <c r="D45" s="723" t="s">
        <v>2057</v>
      </c>
      <c r="E45" s="480">
        <v>0</v>
      </c>
      <c r="F45" s="130">
        <f>SUMIF('Data Sheet Aug-2021'!E:E,PVA!B45,'Data Sheet Aug-2021'!N:N)</f>
        <v>0</v>
      </c>
      <c r="G45" s="130">
        <f>SUMIF('Data Sheet Aug-2021'!E:E,PVA!B45,'Data Sheet Aug-2021'!O:O)</f>
        <v>0</v>
      </c>
      <c r="H45" s="130">
        <f>SUMIF('Data Sheet Aug-2021'!E:E,PVA!B45,'Data Sheet Aug-2021'!T:T)</f>
        <v>0</v>
      </c>
      <c r="I45" s="130">
        <f>SUMIF('Data Sheet Aug-2021'!E:E,PVA!B45,'Data Sheet Aug-2021'!U:U)</f>
        <v>0</v>
      </c>
      <c r="J45" s="130">
        <f>SUMIF('Data Sheet Aug-2021'!E:E,PVA!B45,'Data Sheet Aug-2021'!P:P)</f>
        <v>0</v>
      </c>
      <c r="K45" s="481">
        <f>SUMIF('Data Sheet Aug-2021'!E:E,PVA!B45,'Data Sheet Aug-2021'!Q:Q)</f>
        <v>0</v>
      </c>
      <c r="L45" s="726">
        <f t="shared" si="31"/>
        <v>0</v>
      </c>
      <c r="M45" s="726">
        <f t="shared" si="1"/>
        <v>0</v>
      </c>
      <c r="N45" s="485">
        <f t="shared" si="32"/>
        <v>0</v>
      </c>
      <c r="O45" s="131">
        <f t="shared" si="33"/>
        <v>0</v>
      </c>
      <c r="P45" s="219"/>
      <c r="Q45" s="132">
        <v>2.1999999999999999E-2</v>
      </c>
      <c r="R45" s="133">
        <f t="shared" si="37"/>
        <v>0</v>
      </c>
      <c r="S45" s="351"/>
      <c r="T45" s="208"/>
      <c r="U45" s="208"/>
      <c r="V45" s="210"/>
      <c r="W45" s="208"/>
      <c r="X45" s="208"/>
      <c r="Y45" s="208"/>
      <c r="Z45" s="208">
        <f t="shared" si="38"/>
        <v>0</v>
      </c>
      <c r="AA45" s="208">
        <f t="shared" si="34"/>
        <v>0</v>
      </c>
      <c r="AB45" s="208">
        <f t="shared" si="35"/>
        <v>0</v>
      </c>
      <c r="AC45" s="208">
        <f t="shared" si="36"/>
        <v>0</v>
      </c>
      <c r="AD45" s="208"/>
      <c r="AE45" s="208"/>
      <c r="AF45" s="208"/>
      <c r="AG45" s="208"/>
      <c r="AH45" s="208"/>
      <c r="AI45" s="208"/>
      <c r="AJ45" s="208"/>
      <c r="AK45" s="208"/>
      <c r="AL45" s="208"/>
      <c r="AM45" s="35"/>
      <c r="AN45" s="35"/>
      <c r="AO45" s="35"/>
      <c r="AP45" s="35"/>
      <c r="AQ45" s="35"/>
      <c r="AR45" s="35"/>
      <c r="AS45" s="35"/>
      <c r="AT45" s="35"/>
      <c r="AU45" s="35"/>
      <c r="AV45" s="35"/>
      <c r="AW45" s="35"/>
      <c r="AX45" s="35"/>
      <c r="AY45" s="35"/>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row>
    <row r="46" spans="1:260" s="67" customFormat="1">
      <c r="A46" s="360"/>
      <c r="B46" s="129" t="s">
        <v>1910</v>
      </c>
      <c r="C46" s="638" t="str">
        <f>VLOOKUP(B46,'Item Data Support Sheet'!A:B,2,0)</f>
        <v>RPP 120 ML RPP PRINTED BUG</v>
      </c>
      <c r="D46" s="723" t="s">
        <v>2057</v>
      </c>
      <c r="E46" s="480">
        <v>0</v>
      </c>
      <c r="F46" s="130">
        <f>SUMIF('Data Sheet Aug-2021'!E:E,PVA!B46,'Data Sheet Aug-2021'!N:N)</f>
        <v>0</v>
      </c>
      <c r="G46" s="130">
        <f>SUMIF('Data Sheet Aug-2021'!E:E,PVA!B46,'Data Sheet Aug-2021'!O:O)</f>
        <v>0</v>
      </c>
      <c r="H46" s="130">
        <f>SUMIF('Data Sheet Aug-2021'!E:E,PVA!B46,'Data Sheet Aug-2021'!T:T)</f>
        <v>0</v>
      </c>
      <c r="I46" s="130">
        <f>SUMIF('Data Sheet Aug-2021'!E:E,PVA!B46,'Data Sheet Aug-2021'!U:U)</f>
        <v>0</v>
      </c>
      <c r="J46" s="130">
        <f>SUMIF('Data Sheet Aug-2021'!E:E,PVA!B46,'Data Sheet Aug-2021'!P:P)</f>
        <v>0</v>
      </c>
      <c r="K46" s="481">
        <f>SUMIF('Data Sheet Aug-2021'!E:E,PVA!B46,'Data Sheet Aug-2021'!Q:Q)</f>
        <v>0</v>
      </c>
      <c r="L46" s="726">
        <f t="shared" si="31"/>
        <v>0</v>
      </c>
      <c r="M46" s="726">
        <f t="shared" si="1"/>
        <v>0</v>
      </c>
      <c r="N46" s="485">
        <f t="shared" si="32"/>
        <v>0</v>
      </c>
      <c r="O46" s="131">
        <f t="shared" si="33"/>
        <v>0</v>
      </c>
      <c r="P46" s="219"/>
      <c r="Q46" s="132">
        <v>2.1999999999999999E-2</v>
      </c>
      <c r="R46" s="133">
        <f t="shared" si="37"/>
        <v>0</v>
      </c>
      <c r="S46" s="351"/>
      <c r="T46" s="208"/>
      <c r="U46" s="208"/>
      <c r="V46" s="210"/>
      <c r="W46" s="208"/>
      <c r="X46" s="208"/>
      <c r="Y46" s="208"/>
      <c r="Z46" s="208">
        <f t="shared" si="38"/>
        <v>0</v>
      </c>
      <c r="AA46" s="208">
        <f t="shared" si="34"/>
        <v>0</v>
      </c>
      <c r="AB46" s="208">
        <f t="shared" si="35"/>
        <v>0</v>
      </c>
      <c r="AC46" s="208">
        <f t="shared" si="36"/>
        <v>0</v>
      </c>
      <c r="AD46" s="208"/>
      <c r="AE46" s="208"/>
      <c r="AF46" s="208"/>
      <c r="AG46" s="208"/>
      <c r="AH46" s="208"/>
      <c r="AI46" s="208"/>
      <c r="AJ46" s="208"/>
      <c r="AK46" s="208"/>
      <c r="AL46" s="208"/>
      <c r="AM46" s="35"/>
      <c r="AN46" s="35"/>
      <c r="AO46" s="35"/>
      <c r="AP46" s="35"/>
      <c r="AQ46" s="35"/>
      <c r="AR46" s="35"/>
      <c r="AS46" s="35"/>
      <c r="AT46" s="35"/>
      <c r="AU46" s="35"/>
      <c r="AV46" s="35"/>
      <c r="AW46" s="35"/>
      <c r="AX46" s="35"/>
      <c r="AY46" s="35"/>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row>
    <row r="47" spans="1:260" s="67" customFormat="1">
      <c r="A47" s="360"/>
      <c r="B47" s="129" t="s">
        <v>1911</v>
      </c>
      <c r="C47" s="638" t="str">
        <f>VLOOKUP(B47,'Item Data Support Sheet'!A:B,2,0)</f>
        <v>RPP 240 ML RPP PRINTED DUCK</v>
      </c>
      <c r="D47" s="723" t="s">
        <v>2058</v>
      </c>
      <c r="E47" s="480">
        <v>0</v>
      </c>
      <c r="F47" s="130">
        <f>SUMIF('Data Sheet Aug-2021'!E:E,PVA!B47,'Data Sheet Aug-2021'!N:N)</f>
        <v>0</v>
      </c>
      <c r="G47" s="130">
        <f>SUMIF('Data Sheet Aug-2021'!E:E,PVA!B47,'Data Sheet Aug-2021'!O:O)</f>
        <v>0</v>
      </c>
      <c r="H47" s="130">
        <f>SUMIF('Data Sheet Aug-2021'!E:E,PVA!B47,'Data Sheet Aug-2021'!T:T)</f>
        <v>0</v>
      </c>
      <c r="I47" s="130">
        <f>SUMIF('Data Sheet Aug-2021'!E:E,PVA!B47,'Data Sheet Aug-2021'!U:U)</f>
        <v>0</v>
      </c>
      <c r="J47" s="130">
        <f>SUMIF('Data Sheet Aug-2021'!E:E,PVA!B47,'Data Sheet Aug-2021'!P:P)</f>
        <v>0</v>
      </c>
      <c r="K47" s="481">
        <f>SUMIF('Data Sheet Aug-2021'!E:E,PVA!B47,'Data Sheet Aug-2021'!Q:Q)</f>
        <v>0</v>
      </c>
      <c r="L47" s="726">
        <f t="shared" si="31"/>
        <v>0</v>
      </c>
      <c r="M47" s="726">
        <f t="shared" si="1"/>
        <v>0</v>
      </c>
      <c r="N47" s="485">
        <f t="shared" si="32"/>
        <v>0</v>
      </c>
      <c r="O47" s="131">
        <f t="shared" si="33"/>
        <v>0</v>
      </c>
      <c r="P47" s="219"/>
      <c r="Q47" s="132">
        <v>3.2000000000000001E-2</v>
      </c>
      <c r="R47" s="133">
        <f t="shared" si="37"/>
        <v>0</v>
      </c>
      <c r="S47" s="351"/>
      <c r="T47" s="208"/>
      <c r="U47" s="208"/>
      <c r="V47" s="210"/>
      <c r="W47" s="208"/>
      <c r="X47" s="208"/>
      <c r="Y47" s="208"/>
      <c r="Z47" s="208">
        <f t="shared" si="38"/>
        <v>0</v>
      </c>
      <c r="AA47" s="208">
        <f t="shared" si="34"/>
        <v>0</v>
      </c>
      <c r="AB47" s="208">
        <f t="shared" si="35"/>
        <v>0</v>
      </c>
      <c r="AC47" s="208">
        <f t="shared" si="36"/>
        <v>0</v>
      </c>
      <c r="AD47" s="208"/>
      <c r="AE47" s="208"/>
      <c r="AF47" s="208"/>
      <c r="AG47" s="208"/>
      <c r="AH47" s="208"/>
      <c r="AI47" s="208"/>
      <c r="AJ47" s="208"/>
      <c r="AK47" s="208"/>
      <c r="AL47" s="208"/>
      <c r="AM47" s="35"/>
      <c r="AN47" s="35"/>
      <c r="AO47" s="35"/>
      <c r="AP47" s="35"/>
      <c r="AQ47" s="35"/>
      <c r="AR47" s="35"/>
      <c r="AS47" s="35"/>
      <c r="AT47" s="35"/>
      <c r="AU47" s="35"/>
      <c r="AV47" s="35"/>
      <c r="AW47" s="35"/>
      <c r="AX47" s="35"/>
      <c r="AY47" s="35"/>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row>
    <row r="48" spans="1:260" s="441" customFormat="1">
      <c r="A48" s="360"/>
      <c r="B48" s="129" t="s">
        <v>1912</v>
      </c>
      <c r="C48" s="638" t="str">
        <f>VLOOKUP(B48,'Item Data Support Sheet'!A:B,2,0)</f>
        <v>RPP 240 ML RPP PRINTED GIRAFFE</v>
      </c>
      <c r="D48" s="723" t="s">
        <v>2058</v>
      </c>
      <c r="E48" s="480">
        <v>0</v>
      </c>
      <c r="F48" s="130">
        <f>SUMIF('Data Sheet Aug-2021'!E:E,PVA!B48,'Data Sheet Aug-2021'!N:N)</f>
        <v>0</v>
      </c>
      <c r="G48" s="130">
        <f>SUMIF('Data Sheet Aug-2021'!E:E,PVA!B48,'Data Sheet Aug-2021'!O:O)</f>
        <v>0</v>
      </c>
      <c r="H48" s="130">
        <f>SUMIF('Data Sheet Aug-2021'!E:E,PVA!B48,'Data Sheet Aug-2021'!T:T)</f>
        <v>0</v>
      </c>
      <c r="I48" s="130">
        <f>SUMIF('Data Sheet Aug-2021'!E:E,PVA!B48,'Data Sheet Aug-2021'!U:U)</f>
        <v>0</v>
      </c>
      <c r="J48" s="130">
        <f>SUMIF('Data Sheet Aug-2021'!E:E,PVA!B48,'Data Sheet Aug-2021'!P:P)</f>
        <v>0</v>
      </c>
      <c r="K48" s="481">
        <f>SUMIF('Data Sheet Aug-2021'!E:E,PVA!B48,'Data Sheet Aug-2021'!Q:Q)</f>
        <v>0</v>
      </c>
      <c r="L48" s="726">
        <f>IFERROR(SUM(H48:I48)/SUM(G48:I48),0)</f>
        <v>0</v>
      </c>
      <c r="M48" s="726">
        <f t="shared" si="1"/>
        <v>0</v>
      </c>
      <c r="N48" s="485">
        <f>IFERROR(G48/E48,0)</f>
        <v>0</v>
      </c>
      <c r="O48" s="131">
        <f>G48-E48</f>
        <v>0</v>
      </c>
      <c r="P48" s="219"/>
      <c r="Q48" s="132">
        <v>3.2000000000000001E-2</v>
      </c>
      <c r="R48" s="133">
        <f>(H48+I48+K48)*Q48</f>
        <v>0</v>
      </c>
      <c r="S48" s="351"/>
      <c r="T48" s="208"/>
      <c r="U48" s="208"/>
      <c r="V48" s="210"/>
      <c r="W48" s="208"/>
      <c r="X48" s="208"/>
      <c r="Y48" s="208"/>
      <c r="Z48" s="208">
        <f>H48*Q48</f>
        <v>0</v>
      </c>
      <c r="AA48" s="208">
        <f>I48*Q48</f>
        <v>0</v>
      </c>
      <c r="AB48" s="208">
        <f>J48</f>
        <v>0</v>
      </c>
      <c r="AC48" s="208">
        <f>K48*Q48</f>
        <v>0</v>
      </c>
      <c r="AD48" s="208"/>
      <c r="AE48" s="208"/>
      <c r="AF48" s="208"/>
      <c r="AG48" s="208"/>
      <c r="AH48" s="208"/>
      <c r="AI48" s="208"/>
      <c r="AJ48" s="208"/>
      <c r="AK48" s="208"/>
      <c r="AL48" s="208"/>
      <c r="AM48" s="35"/>
      <c r="AN48" s="35"/>
      <c r="AO48" s="35"/>
      <c r="AP48" s="35"/>
      <c r="AQ48" s="35"/>
      <c r="AR48" s="35"/>
      <c r="AS48" s="35"/>
      <c r="AT48" s="35"/>
      <c r="AU48" s="35"/>
      <c r="AV48" s="35"/>
      <c r="AW48" s="35"/>
      <c r="AX48" s="35"/>
      <c r="AY48" s="35"/>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row>
    <row r="49" spans="1:260" s="67" customFormat="1" ht="15" thickBot="1">
      <c r="A49" s="360"/>
      <c r="B49" s="134" t="s">
        <v>1984</v>
      </c>
      <c r="C49" s="504" t="str">
        <f>VLOOKUP(B49,'Item Data Support Sheet'!A:B,2,0)</f>
        <v>SQUEEZABLE -RPP 240ML PP BOTTLE PRINTED</v>
      </c>
      <c r="D49" s="724" t="s">
        <v>2058</v>
      </c>
      <c r="E49" s="482">
        <v>0</v>
      </c>
      <c r="F49" s="284">
        <f>SUMIF('Data Sheet Aug-2021'!E:E,PVA!B49,'Data Sheet Aug-2021'!N:N)</f>
        <v>0</v>
      </c>
      <c r="G49" s="284">
        <f>SUMIF('Data Sheet Aug-2021'!E:E,PVA!B49,'Data Sheet Aug-2021'!O:O)</f>
        <v>0</v>
      </c>
      <c r="H49" s="284">
        <f>SUMIF('Data Sheet Aug-2021'!E:E,PVA!B49,'Data Sheet Aug-2021'!T:T)</f>
        <v>0</v>
      </c>
      <c r="I49" s="284">
        <f>SUMIF('Data Sheet Aug-2021'!E:E,PVA!B49,'Data Sheet Aug-2021'!U:U)</f>
        <v>0</v>
      </c>
      <c r="J49" s="284">
        <f>SUMIF('Data Sheet Aug-2021'!E:E,PVA!B49,'Data Sheet Aug-2021'!P:P)</f>
        <v>0</v>
      </c>
      <c r="K49" s="483">
        <f>SUMIF('Data Sheet Aug-2021'!E:E,PVA!B49,'Data Sheet Aug-2021'!Q:Q)</f>
        <v>0</v>
      </c>
      <c r="L49" s="726">
        <f t="shared" si="31"/>
        <v>0</v>
      </c>
      <c r="M49" s="726">
        <f t="shared" si="1"/>
        <v>0</v>
      </c>
      <c r="N49" s="485">
        <f t="shared" si="32"/>
        <v>0</v>
      </c>
      <c r="O49" s="135">
        <f t="shared" si="33"/>
        <v>0</v>
      </c>
      <c r="P49" s="220"/>
      <c r="Q49" s="136">
        <v>2.8000000000000001E-2</v>
      </c>
      <c r="R49" s="137">
        <f t="shared" si="37"/>
        <v>0</v>
      </c>
      <c r="S49" s="351"/>
      <c r="T49" s="208"/>
      <c r="U49" s="210">
        <f>SUM(R33:R49)</f>
        <v>98.438699999999997</v>
      </c>
      <c r="V49" s="210"/>
      <c r="W49" s="208"/>
      <c r="X49" s="208"/>
      <c r="Y49" s="208"/>
      <c r="Z49" s="208">
        <f>H49*Q49</f>
        <v>0</v>
      </c>
      <c r="AA49" s="208">
        <f>I49*Q49</f>
        <v>0</v>
      </c>
      <c r="AB49" s="208">
        <f>J49</f>
        <v>0</v>
      </c>
      <c r="AC49" s="208">
        <f>K49*Q49</f>
        <v>0</v>
      </c>
      <c r="AD49" s="208"/>
      <c r="AE49" s="208"/>
      <c r="AF49" s="208"/>
      <c r="AG49" s="208"/>
      <c r="AH49" s="208"/>
      <c r="AI49" s="208"/>
      <c r="AJ49" s="208"/>
      <c r="AK49" s="208"/>
      <c r="AL49" s="208"/>
      <c r="AM49" s="35"/>
      <c r="AN49" s="35"/>
      <c r="AO49" s="35"/>
      <c r="AP49" s="35"/>
      <c r="AQ49" s="35"/>
      <c r="AR49" s="35"/>
      <c r="AS49" s="35"/>
      <c r="AT49" s="35"/>
      <c r="AU49" s="35"/>
      <c r="AV49" s="35"/>
      <c r="AW49" s="35"/>
      <c r="AX49" s="35"/>
      <c r="AY49" s="35"/>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row>
    <row r="50" spans="1:260">
      <c r="A50" s="360"/>
      <c r="B50" s="140" t="s">
        <v>400</v>
      </c>
      <c r="C50" s="51" t="str">
        <f>VLOOKUP(B50,'Item Data Support Sheet'!A:B,2,0)</f>
        <v>KPP 120 BOTTLE PRINTED-WMG3B (OZ SCALE)</v>
      </c>
      <c r="D50" s="26" t="str">
        <f>IFERROR(VLOOKUP(B50,'Item Data Support Sheet'!A:O,15,0),0)</f>
        <v>KPP4_W</v>
      </c>
      <c r="E50" s="400">
        <v>2100</v>
      </c>
      <c r="F50" s="17">
        <f>SUMIF('Data Sheet Aug-2021'!E:E,PVA!B50,'Data Sheet Aug-2021'!N:N)</f>
        <v>4450</v>
      </c>
      <c r="G50" s="17">
        <f>SUMIF('Data Sheet Aug-2021'!E:E,PVA!B50,'Data Sheet Aug-2021'!O:O)</f>
        <v>4397</v>
      </c>
      <c r="H50" s="17">
        <f>SUMIF('Data Sheet Aug-2021'!E:E,PVA!B50,'Data Sheet Aug-2021'!T:T)</f>
        <v>53</v>
      </c>
      <c r="I50" s="17">
        <f>SUMIF('Data Sheet Aug-2021'!E:E,PVA!B50,'Data Sheet Aug-2021'!U:U)</f>
        <v>0</v>
      </c>
      <c r="J50" s="17">
        <f>SUMIF('Data Sheet Aug-2021'!E:E,PVA!B50,'Data Sheet Aug-2021'!P:P)</f>
        <v>0</v>
      </c>
      <c r="K50" s="17">
        <f>SUMIF('Data Sheet Aug-2021'!E:E,PVA!B50,'Data Sheet Aug-2021'!Q:Q)</f>
        <v>0</v>
      </c>
      <c r="L50" s="898">
        <f t="shared" ref="L50:L90" si="39">IFERROR(SUM(H50:I50)/SUM(G50:I50),0)</f>
        <v>1.1910112359550562E-2</v>
      </c>
      <c r="M50" s="730">
        <f t="shared" si="1"/>
        <v>0</v>
      </c>
      <c r="N50" s="716">
        <f t="shared" si="24"/>
        <v>2.093809523809524</v>
      </c>
      <c r="O50" s="897">
        <f t="shared" si="25"/>
        <v>2297</v>
      </c>
      <c r="P50" s="221"/>
      <c r="Q50" s="141">
        <v>2.1999999999999999E-2</v>
      </c>
      <c r="R50" s="142">
        <f t="shared" si="26"/>
        <v>1.1659999999999999</v>
      </c>
      <c r="S50" s="351"/>
      <c r="Z50" s="208">
        <f t="shared" si="27"/>
        <v>1.1659999999999999</v>
      </c>
      <c r="AA50" s="208">
        <f t="shared" si="28"/>
        <v>0</v>
      </c>
      <c r="AB50" s="208">
        <f t="shared" si="29"/>
        <v>0</v>
      </c>
      <c r="AC50" s="208">
        <f t="shared" si="30"/>
        <v>0</v>
      </c>
    </row>
    <row r="51" spans="1:260">
      <c r="A51" s="360"/>
      <c r="B51" s="140" t="s">
        <v>401</v>
      </c>
      <c r="C51" s="51" t="str">
        <f>VLOOKUP(B51,'Item Data Support Sheet'!A:B,2,0)</f>
        <v>KPP 200 BOTTLE PRINTED-WMG3B (OZ SCALE)</v>
      </c>
      <c r="D51" s="26" t="str">
        <f>IFERROR(VLOOKUP(B51,'Item Data Support Sheet'!A:O,15,0),0)</f>
        <v>KPP6_W</v>
      </c>
      <c r="E51" s="400">
        <v>0</v>
      </c>
      <c r="F51" s="17">
        <f>SUMIF('Data Sheet Aug-2021'!E:E,PVA!B51,'Data Sheet Aug-2021'!N:N)</f>
        <v>0</v>
      </c>
      <c r="G51" s="17">
        <f>SUMIF('Data Sheet Aug-2021'!E:E,PVA!B51,'Data Sheet Aug-2021'!O:O)</f>
        <v>0</v>
      </c>
      <c r="H51" s="17">
        <f>SUMIF('Data Sheet Aug-2021'!E:E,PVA!B51,'Data Sheet Aug-2021'!T:T)</f>
        <v>0</v>
      </c>
      <c r="I51" s="17">
        <f>SUMIF('Data Sheet Aug-2021'!E:E,PVA!B51,'Data Sheet Aug-2021'!U:U)</f>
        <v>0</v>
      </c>
      <c r="J51" s="17">
        <f>SUMIF('Data Sheet Aug-2021'!E:E,PVA!B51,'Data Sheet Aug-2021'!P:P)</f>
        <v>0</v>
      </c>
      <c r="K51" s="17">
        <f>SUMIF('Data Sheet Aug-2021'!E:E,PVA!B51,'Data Sheet Aug-2021'!Q:Q)</f>
        <v>0</v>
      </c>
      <c r="L51" s="45">
        <f t="shared" si="39"/>
        <v>0</v>
      </c>
      <c r="M51" s="731">
        <f t="shared" si="1"/>
        <v>0</v>
      </c>
      <c r="N51" s="46">
        <f t="shared" si="24"/>
        <v>0</v>
      </c>
      <c r="O51" s="897">
        <f t="shared" si="25"/>
        <v>0</v>
      </c>
      <c r="P51" s="221"/>
      <c r="Q51" s="141">
        <v>2.8000000000000001E-2</v>
      </c>
      <c r="R51" s="142">
        <f t="shared" si="26"/>
        <v>0</v>
      </c>
      <c r="S51" s="351"/>
      <c r="Z51" s="208">
        <f t="shared" si="27"/>
        <v>0</v>
      </c>
      <c r="AA51" s="208">
        <f t="shared" si="28"/>
        <v>0</v>
      </c>
      <c r="AB51" s="208">
        <f t="shared" si="29"/>
        <v>0</v>
      </c>
      <c r="AC51" s="208">
        <f t="shared" si="30"/>
        <v>0</v>
      </c>
    </row>
    <row r="52" spans="1:260">
      <c r="A52" s="360"/>
      <c r="B52" s="140" t="s">
        <v>145</v>
      </c>
      <c r="C52" s="51" t="str">
        <f>VLOOKUP(B52,'Item Data Support Sheet'!A:B,2,0)</f>
        <v>KPP 240 BOTTLE PRINTED-WMG3B (OZ SCALE)</v>
      </c>
      <c r="D52" s="26" t="str">
        <f>IFERROR(VLOOKUP(B52,'Item Data Support Sheet'!A:O,15,0),0)</f>
        <v>KPP8_W</v>
      </c>
      <c r="E52" s="400">
        <v>1300</v>
      </c>
      <c r="F52" s="17">
        <f>SUMIF('Data Sheet Aug-2021'!E:E,PVA!B52,'Data Sheet Aug-2021'!N:N)</f>
        <v>4199</v>
      </c>
      <c r="G52" s="17">
        <f>SUMIF('Data Sheet Aug-2021'!E:E,PVA!B52,'Data Sheet Aug-2021'!O:O)</f>
        <v>4144</v>
      </c>
      <c r="H52" s="17">
        <f>SUMIF('Data Sheet Aug-2021'!E:E,PVA!B52,'Data Sheet Aug-2021'!T:T)</f>
        <v>55</v>
      </c>
      <c r="I52" s="17">
        <f>SUMIF('Data Sheet Aug-2021'!E:E,PVA!B52,'Data Sheet Aug-2021'!U:U)</f>
        <v>0</v>
      </c>
      <c r="J52" s="17">
        <f>SUMIF('Data Sheet Aug-2021'!E:E,PVA!B52,'Data Sheet Aug-2021'!P:P)</f>
        <v>0</v>
      </c>
      <c r="K52" s="17">
        <f>SUMIF('Data Sheet Aug-2021'!E:E,PVA!B52,'Data Sheet Aug-2021'!Q:Q)</f>
        <v>0</v>
      </c>
      <c r="L52" s="45">
        <f t="shared" si="39"/>
        <v>1.3098356751607526E-2</v>
      </c>
      <c r="M52" s="731">
        <f t="shared" si="1"/>
        <v>0</v>
      </c>
      <c r="N52" s="46">
        <f t="shared" si="24"/>
        <v>3.1876923076923078</v>
      </c>
      <c r="O52" s="897">
        <f t="shared" si="25"/>
        <v>2844</v>
      </c>
      <c r="P52" s="221"/>
      <c r="Q52" s="141">
        <v>3.2000000000000001E-2</v>
      </c>
      <c r="R52" s="142">
        <f t="shared" si="26"/>
        <v>1.76</v>
      </c>
      <c r="S52" s="351"/>
      <c r="Z52" s="208">
        <f t="shared" si="27"/>
        <v>1.76</v>
      </c>
      <c r="AA52" s="208">
        <f t="shared" si="28"/>
        <v>0</v>
      </c>
      <c r="AB52" s="208">
        <f t="shared" si="29"/>
        <v>0</v>
      </c>
      <c r="AC52" s="208">
        <f t="shared" si="30"/>
        <v>0</v>
      </c>
    </row>
    <row r="53" spans="1:260">
      <c r="A53" s="360"/>
      <c r="B53" s="140" t="s">
        <v>402</v>
      </c>
      <c r="C53" s="51" t="str">
        <f>VLOOKUP(B53,'Item Data Support Sheet'!A:B,2,0)</f>
        <v>RPP 120 BOTTLE PRINTED-WMG3B (OZ SCALE)</v>
      </c>
      <c r="D53" s="26" t="str">
        <f>IFERROR(VLOOKUP(B53,'Item Data Support Sheet'!A:O,15,0),0)</f>
        <v>RPP4_W</v>
      </c>
      <c r="E53" s="400">
        <v>0</v>
      </c>
      <c r="F53" s="17">
        <f>SUMIF('Data Sheet Aug-2021'!E:E,PVA!B53,'Data Sheet Aug-2021'!N:N)</f>
        <v>0</v>
      </c>
      <c r="G53" s="17">
        <f>SUMIF('Data Sheet Aug-2021'!E:E,PVA!B53,'Data Sheet Aug-2021'!O:O)</f>
        <v>0</v>
      </c>
      <c r="H53" s="17">
        <f>SUMIF('Data Sheet Aug-2021'!E:E,PVA!B53,'Data Sheet Aug-2021'!T:T)</f>
        <v>0</v>
      </c>
      <c r="I53" s="17">
        <f>SUMIF('Data Sheet Aug-2021'!E:E,PVA!B53,'Data Sheet Aug-2021'!U:U)</f>
        <v>0</v>
      </c>
      <c r="J53" s="17">
        <f>SUMIF('Data Sheet Aug-2021'!E:E,PVA!B53,'Data Sheet Aug-2021'!P:P)</f>
        <v>0</v>
      </c>
      <c r="K53" s="17">
        <f>SUMIF('Data Sheet Aug-2021'!E:E,PVA!B53,'Data Sheet Aug-2021'!Q:Q)</f>
        <v>0</v>
      </c>
      <c r="L53" s="45">
        <f t="shared" si="39"/>
        <v>0</v>
      </c>
      <c r="M53" s="731">
        <f t="shared" si="1"/>
        <v>0</v>
      </c>
      <c r="N53" s="46">
        <f t="shared" si="24"/>
        <v>0</v>
      </c>
      <c r="O53" s="897">
        <f t="shared" si="25"/>
        <v>0</v>
      </c>
      <c r="P53" s="221"/>
      <c r="Q53" s="141">
        <v>2.1999999999999999E-2</v>
      </c>
      <c r="R53" s="142">
        <f t="shared" si="26"/>
        <v>0</v>
      </c>
      <c r="S53" s="351"/>
      <c r="Z53" s="208">
        <f t="shared" si="27"/>
        <v>0</v>
      </c>
      <c r="AA53" s="208">
        <f t="shared" si="28"/>
        <v>0</v>
      </c>
      <c r="AB53" s="208">
        <f t="shared" si="29"/>
        <v>0</v>
      </c>
      <c r="AC53" s="208">
        <f t="shared" si="30"/>
        <v>0</v>
      </c>
    </row>
    <row r="54" spans="1:260">
      <c r="A54" s="360"/>
      <c r="B54" s="140" t="s">
        <v>403</v>
      </c>
      <c r="C54" s="51" t="str">
        <f>VLOOKUP(B54,'Item Data Support Sheet'!A:B,2,0)</f>
        <v>RPP 240 BOTTLE PRINTED-WMG3B (OZ SCALE)</v>
      </c>
      <c r="D54" s="26" t="str">
        <f>IFERROR(VLOOKUP(B54,'Item Data Support Sheet'!A:O,15,0),0)</f>
        <v>RPP8_W</v>
      </c>
      <c r="E54" s="400">
        <v>0</v>
      </c>
      <c r="F54" s="17">
        <f>SUMIF('Data Sheet Aug-2021'!E:E,PVA!B54,'Data Sheet Aug-2021'!N:N)</f>
        <v>0</v>
      </c>
      <c r="G54" s="17">
        <f>SUMIF('Data Sheet Aug-2021'!E:E,PVA!B54,'Data Sheet Aug-2021'!O:O)</f>
        <v>0</v>
      </c>
      <c r="H54" s="17">
        <f>SUMIF('Data Sheet Aug-2021'!E:E,PVA!B54,'Data Sheet Aug-2021'!T:T)</f>
        <v>0</v>
      </c>
      <c r="I54" s="17">
        <f>SUMIF('Data Sheet Aug-2021'!E:E,PVA!B54,'Data Sheet Aug-2021'!U:U)</f>
        <v>0</v>
      </c>
      <c r="J54" s="17">
        <f>SUMIF('Data Sheet Aug-2021'!E:E,PVA!B54,'Data Sheet Aug-2021'!P:P)</f>
        <v>0</v>
      </c>
      <c r="K54" s="17">
        <f>SUMIF('Data Sheet Aug-2021'!E:E,PVA!B54,'Data Sheet Aug-2021'!Q:Q)</f>
        <v>0</v>
      </c>
      <c r="L54" s="45">
        <f t="shared" si="39"/>
        <v>0</v>
      </c>
      <c r="M54" s="731">
        <f t="shared" si="1"/>
        <v>0</v>
      </c>
      <c r="N54" s="46">
        <f t="shared" si="24"/>
        <v>0</v>
      </c>
      <c r="O54" s="897">
        <f t="shared" si="25"/>
        <v>0</v>
      </c>
      <c r="P54" s="221"/>
      <c r="Q54" s="141">
        <v>3.2000000000000001E-2</v>
      </c>
      <c r="R54" s="142">
        <f t="shared" si="26"/>
        <v>0</v>
      </c>
      <c r="S54" s="351"/>
      <c r="Z54" s="208">
        <f t="shared" si="27"/>
        <v>0</v>
      </c>
      <c r="AA54" s="208">
        <f t="shared" si="28"/>
        <v>0</v>
      </c>
      <c r="AB54" s="208">
        <f t="shared" si="29"/>
        <v>0</v>
      </c>
      <c r="AC54" s="208">
        <f t="shared" si="30"/>
        <v>0</v>
      </c>
    </row>
    <row r="55" spans="1:260">
      <c r="A55" s="360"/>
      <c r="B55" s="140" t="s">
        <v>120</v>
      </c>
      <c r="C55" s="51" t="str">
        <f>VLOOKUP(B55,'Item Data Support Sheet'!A:B,2,0)</f>
        <v>KPP BOTTLE 120 ML PRINTED-WMG3B</v>
      </c>
      <c r="D55" s="26" t="str">
        <f>IFERROR(VLOOKUP(B55,'Item Data Support Sheet'!A:O,15,0),0)</f>
        <v>KPP4_W</v>
      </c>
      <c r="E55" s="400">
        <v>0</v>
      </c>
      <c r="F55" s="17">
        <f>SUMIF('Data Sheet Aug-2021'!E:E,PVA!B55,'Data Sheet Aug-2021'!N:N)</f>
        <v>0</v>
      </c>
      <c r="G55" s="17">
        <f>SUMIF('Data Sheet Aug-2021'!E:E,PVA!B55,'Data Sheet Aug-2021'!O:O)</f>
        <v>0</v>
      </c>
      <c r="H55" s="17">
        <f>SUMIF('Data Sheet Aug-2021'!E:E,PVA!B55,'Data Sheet Aug-2021'!T:T)</f>
        <v>0</v>
      </c>
      <c r="I55" s="17">
        <f>SUMIF('Data Sheet Aug-2021'!E:E,PVA!B55,'Data Sheet Aug-2021'!U:U)</f>
        <v>0</v>
      </c>
      <c r="J55" s="17">
        <f>SUMIF('Data Sheet Aug-2021'!E:E,PVA!B55,'Data Sheet Aug-2021'!P:P)</f>
        <v>0</v>
      </c>
      <c r="K55" s="17">
        <f>SUMIF('Data Sheet Aug-2021'!E:E,PVA!B55,'Data Sheet Aug-2021'!Q:Q)</f>
        <v>0</v>
      </c>
      <c r="L55" s="45">
        <f t="shared" si="39"/>
        <v>0</v>
      </c>
      <c r="M55" s="731">
        <f t="shared" si="1"/>
        <v>0</v>
      </c>
      <c r="N55" s="46">
        <f t="shared" si="24"/>
        <v>0</v>
      </c>
      <c r="O55" s="897">
        <f t="shared" si="25"/>
        <v>0</v>
      </c>
      <c r="P55" s="221"/>
      <c r="Q55" s="141">
        <v>2.1999999999999999E-2</v>
      </c>
      <c r="R55" s="142">
        <f t="shared" si="26"/>
        <v>0</v>
      </c>
      <c r="S55" s="351"/>
      <c r="Z55" s="208">
        <f t="shared" si="27"/>
        <v>0</v>
      </c>
      <c r="AA55" s="208">
        <f t="shared" si="28"/>
        <v>0</v>
      </c>
      <c r="AB55" s="208">
        <f t="shared" si="29"/>
        <v>0</v>
      </c>
      <c r="AC55" s="208">
        <f t="shared" si="30"/>
        <v>0</v>
      </c>
    </row>
    <row r="56" spans="1:260">
      <c r="A56" s="360"/>
      <c r="B56" s="140" t="s">
        <v>114</v>
      </c>
      <c r="C56" s="51" t="str">
        <f>VLOOKUP(B56,'Item Data Support Sheet'!A:B,2,0)</f>
        <v>KPP BOTTLE 200 ML PRINTED-WMG3B</v>
      </c>
      <c r="D56" s="26" t="str">
        <f>IFERROR(VLOOKUP(B56,'Item Data Support Sheet'!A:O,15,0),0)</f>
        <v>KPP6_W</v>
      </c>
      <c r="E56" s="400">
        <v>9634</v>
      </c>
      <c r="F56" s="17">
        <f>SUMIF('Data Sheet Aug-2021'!E:E,PVA!B56,'Data Sheet Aug-2021'!N:N)</f>
        <v>19157</v>
      </c>
      <c r="G56" s="17">
        <f>SUMIF('Data Sheet Aug-2021'!E:E,PVA!B56,'Data Sheet Aug-2021'!O:O)</f>
        <v>18867</v>
      </c>
      <c r="H56" s="17">
        <f>SUMIF('Data Sheet Aug-2021'!E:E,PVA!B56,'Data Sheet Aug-2021'!T:T)</f>
        <v>290</v>
      </c>
      <c r="I56" s="17">
        <f>SUMIF('Data Sheet Aug-2021'!E:E,PVA!B56,'Data Sheet Aug-2021'!U:U)</f>
        <v>0</v>
      </c>
      <c r="J56" s="17">
        <f>SUMIF('Data Sheet Aug-2021'!E:E,PVA!B56,'Data Sheet Aug-2021'!P:P)</f>
        <v>0</v>
      </c>
      <c r="K56" s="17">
        <f>SUMIF('Data Sheet Aug-2021'!E:E,PVA!B56,'Data Sheet Aug-2021'!Q:Q)</f>
        <v>0</v>
      </c>
      <c r="L56" s="45">
        <f t="shared" si="39"/>
        <v>1.5138069635120321E-2</v>
      </c>
      <c r="M56" s="731">
        <f t="shared" si="1"/>
        <v>0</v>
      </c>
      <c r="N56" s="46">
        <f t="shared" si="24"/>
        <v>1.9583765829354369</v>
      </c>
      <c r="O56" s="897">
        <f t="shared" si="25"/>
        <v>9233</v>
      </c>
      <c r="P56" s="221"/>
      <c r="Q56" s="141">
        <v>2.8000000000000001E-2</v>
      </c>
      <c r="R56" s="142">
        <f t="shared" si="26"/>
        <v>8.120000000000001</v>
      </c>
      <c r="S56" s="351"/>
      <c r="Z56" s="208">
        <f t="shared" si="27"/>
        <v>8.120000000000001</v>
      </c>
      <c r="AA56" s="208">
        <f t="shared" si="28"/>
        <v>0</v>
      </c>
      <c r="AB56" s="208">
        <f t="shared" si="29"/>
        <v>0</v>
      </c>
      <c r="AC56" s="208">
        <f t="shared" si="30"/>
        <v>0</v>
      </c>
    </row>
    <row r="57" spans="1:260">
      <c r="A57" s="360"/>
      <c r="B57" s="140" t="s">
        <v>116</v>
      </c>
      <c r="C57" s="51" t="str">
        <f>VLOOKUP(B57,'Item Data Support Sheet'!A:B,2,0)</f>
        <v>KPP BOTTLE 240 ML PRINTED-WMG3B</v>
      </c>
      <c r="D57" s="26" t="str">
        <f>IFERROR(VLOOKUP(B57,'Item Data Support Sheet'!A:O,15,0),0)</f>
        <v>KPP8_W</v>
      </c>
      <c r="E57" s="400">
        <v>4100</v>
      </c>
      <c r="F57" s="17">
        <f>SUMIF('Data Sheet Aug-2021'!E:E,PVA!B57,'Data Sheet Aug-2021'!N:N)</f>
        <v>17716</v>
      </c>
      <c r="G57" s="17">
        <f>SUMIF('Data Sheet Aug-2021'!E:E,PVA!B57,'Data Sheet Aug-2021'!O:O)</f>
        <v>17402</v>
      </c>
      <c r="H57" s="17">
        <f>SUMIF('Data Sheet Aug-2021'!E:E,PVA!B57,'Data Sheet Aug-2021'!T:T)</f>
        <v>314</v>
      </c>
      <c r="I57" s="17">
        <f>SUMIF('Data Sheet Aug-2021'!E:E,PVA!B57,'Data Sheet Aug-2021'!U:U)</f>
        <v>0</v>
      </c>
      <c r="J57" s="17">
        <f>SUMIF('Data Sheet Aug-2021'!E:E,PVA!B57,'Data Sheet Aug-2021'!P:P)</f>
        <v>0</v>
      </c>
      <c r="K57" s="17">
        <f>SUMIF('Data Sheet Aug-2021'!E:E,PVA!B57,'Data Sheet Aug-2021'!Q:Q)</f>
        <v>0</v>
      </c>
      <c r="L57" s="45">
        <f t="shared" si="39"/>
        <v>1.7724091216979002E-2</v>
      </c>
      <c r="M57" s="731">
        <f t="shared" si="1"/>
        <v>0</v>
      </c>
      <c r="N57" s="46">
        <f t="shared" si="24"/>
        <v>4.2443902439024388</v>
      </c>
      <c r="O57" s="897">
        <f t="shared" si="25"/>
        <v>13302</v>
      </c>
      <c r="P57" s="221"/>
      <c r="Q57" s="141">
        <v>3.2000000000000001E-2</v>
      </c>
      <c r="R57" s="142">
        <f t="shared" si="26"/>
        <v>10.048</v>
      </c>
      <c r="S57" s="351"/>
      <c r="Z57" s="208">
        <f t="shared" si="27"/>
        <v>10.048</v>
      </c>
      <c r="AA57" s="208">
        <f t="shared" si="28"/>
        <v>0</v>
      </c>
      <c r="AB57" s="208">
        <f t="shared" si="29"/>
        <v>0</v>
      </c>
      <c r="AC57" s="208">
        <f t="shared" si="30"/>
        <v>0</v>
      </c>
    </row>
    <row r="58" spans="1:260">
      <c r="A58" s="360"/>
      <c r="B58" s="140" t="s">
        <v>121</v>
      </c>
      <c r="C58" s="51" t="str">
        <f>VLOOKUP(B58,'Item Data Support Sheet'!A:B,2,0)</f>
        <v>RPP BOTTLE 120 ML PRINTED-WMG3B</v>
      </c>
      <c r="D58" s="26" t="str">
        <f>IFERROR(VLOOKUP(B58,'Item Data Support Sheet'!A:O,15,0),0)</f>
        <v>RPP4_W</v>
      </c>
      <c r="E58" s="400">
        <v>0</v>
      </c>
      <c r="F58" s="17">
        <f>SUMIF('Data Sheet Aug-2021'!E:E,PVA!B58,'Data Sheet Aug-2021'!N:N)</f>
        <v>0</v>
      </c>
      <c r="G58" s="17">
        <f>SUMIF('Data Sheet Aug-2021'!E:E,PVA!B58,'Data Sheet Aug-2021'!O:O)</f>
        <v>0</v>
      </c>
      <c r="H58" s="17">
        <f>SUMIF('Data Sheet Aug-2021'!E:E,PVA!B58,'Data Sheet Aug-2021'!T:T)</f>
        <v>0</v>
      </c>
      <c r="I58" s="17">
        <f>SUMIF('Data Sheet Aug-2021'!E:E,PVA!B58,'Data Sheet Aug-2021'!U:U)</f>
        <v>0</v>
      </c>
      <c r="J58" s="17">
        <f>SUMIF('Data Sheet Aug-2021'!E:E,PVA!B58,'Data Sheet Aug-2021'!P:P)</f>
        <v>0</v>
      </c>
      <c r="K58" s="17">
        <f>SUMIF('Data Sheet Aug-2021'!E:E,PVA!B58,'Data Sheet Aug-2021'!Q:Q)</f>
        <v>0</v>
      </c>
      <c r="L58" s="45">
        <f t="shared" si="39"/>
        <v>0</v>
      </c>
      <c r="M58" s="731">
        <f t="shared" si="1"/>
        <v>0</v>
      </c>
      <c r="N58" s="46">
        <f t="shared" si="24"/>
        <v>0</v>
      </c>
      <c r="O58" s="897">
        <f t="shared" si="25"/>
        <v>0</v>
      </c>
      <c r="P58" s="221"/>
      <c r="Q58" s="141">
        <v>2.1999999999999999E-2</v>
      </c>
      <c r="R58" s="142">
        <f t="shared" si="26"/>
        <v>0</v>
      </c>
      <c r="S58" s="351"/>
      <c r="Z58" s="208">
        <f t="shared" si="27"/>
        <v>0</v>
      </c>
      <c r="AA58" s="208">
        <f t="shared" si="28"/>
        <v>0</v>
      </c>
      <c r="AB58" s="208">
        <f t="shared" si="29"/>
        <v>0</v>
      </c>
      <c r="AC58" s="208">
        <f t="shared" si="30"/>
        <v>0</v>
      </c>
    </row>
    <row r="59" spans="1:260">
      <c r="A59" s="360"/>
      <c r="B59" s="140" t="s">
        <v>122</v>
      </c>
      <c r="C59" s="51" t="str">
        <f>VLOOKUP(B59,'Item Data Support Sheet'!A:B,2,0)</f>
        <v>RPP BOTTLE 240 ML PRINTED-WMG3B</v>
      </c>
      <c r="D59" s="26" t="str">
        <f>IFERROR(VLOOKUP(B59,'Item Data Support Sheet'!A:O,15,0),0)</f>
        <v>RPP8_W</v>
      </c>
      <c r="E59" s="400">
        <v>0</v>
      </c>
      <c r="F59" s="17">
        <f>SUMIF('Data Sheet Aug-2021'!E:E,PVA!B59,'Data Sheet Aug-2021'!N:N)</f>
        <v>0</v>
      </c>
      <c r="G59" s="17">
        <f>SUMIF('Data Sheet Aug-2021'!E:E,PVA!B59,'Data Sheet Aug-2021'!O:O)</f>
        <v>0</v>
      </c>
      <c r="H59" s="17">
        <f>SUMIF('Data Sheet Aug-2021'!E:E,PVA!B59,'Data Sheet Aug-2021'!T:T)</f>
        <v>0</v>
      </c>
      <c r="I59" s="17">
        <f>SUMIF('Data Sheet Aug-2021'!E:E,PVA!B59,'Data Sheet Aug-2021'!U:U)</f>
        <v>0</v>
      </c>
      <c r="J59" s="17">
        <f>SUMIF('Data Sheet Aug-2021'!E:E,PVA!B59,'Data Sheet Aug-2021'!P:P)</f>
        <v>0</v>
      </c>
      <c r="K59" s="17">
        <f>SUMIF('Data Sheet Aug-2021'!E:E,PVA!B59,'Data Sheet Aug-2021'!Q:Q)</f>
        <v>0</v>
      </c>
      <c r="L59" s="45">
        <f t="shared" si="39"/>
        <v>0</v>
      </c>
      <c r="M59" s="731">
        <f t="shared" si="1"/>
        <v>0</v>
      </c>
      <c r="N59" s="46">
        <f t="shared" si="24"/>
        <v>0</v>
      </c>
      <c r="O59" s="897">
        <f t="shared" si="25"/>
        <v>0</v>
      </c>
      <c r="P59" s="221"/>
      <c r="Q59" s="141">
        <v>3.2000000000000001E-2</v>
      </c>
      <c r="R59" s="142">
        <f t="shared" si="26"/>
        <v>0</v>
      </c>
      <c r="S59" s="351"/>
      <c r="Z59" s="208">
        <f t="shared" si="27"/>
        <v>0</v>
      </c>
      <c r="AA59" s="208">
        <f t="shared" si="28"/>
        <v>0</v>
      </c>
      <c r="AB59" s="208">
        <f t="shared" si="29"/>
        <v>0</v>
      </c>
      <c r="AC59" s="208">
        <f t="shared" si="30"/>
        <v>0</v>
      </c>
    </row>
    <row r="60" spans="1:260">
      <c r="A60" s="360"/>
      <c r="B60" s="140" t="s">
        <v>141</v>
      </c>
      <c r="C60" s="51" t="str">
        <f>VLOOKUP(B60,'Item Data Support Sheet'!A:B,2,0)</f>
        <v>RPP 120ML GIRL PINK BOTTLE PRINTED (WM3GB)</v>
      </c>
      <c r="D60" s="26" t="str">
        <f>IFERROR(VLOOKUP(B60,'Item Data Support Sheet'!A:O,15,0),0)</f>
        <v>RPP4_W</v>
      </c>
      <c r="E60" s="400">
        <v>1000</v>
      </c>
      <c r="F60" s="17">
        <f>SUMIF('Data Sheet Aug-2021'!E:E,PVA!B60,'Data Sheet Aug-2021'!N:N)</f>
        <v>1193</v>
      </c>
      <c r="G60" s="17">
        <f>SUMIF('Data Sheet Aug-2021'!E:E,PVA!B60,'Data Sheet Aug-2021'!O:O)</f>
        <v>1171</v>
      </c>
      <c r="H60" s="17">
        <f>SUMIF('Data Sheet Aug-2021'!E:E,PVA!B60,'Data Sheet Aug-2021'!T:T)</f>
        <v>22</v>
      </c>
      <c r="I60" s="17">
        <f>SUMIF('Data Sheet Aug-2021'!E:E,PVA!B60,'Data Sheet Aug-2021'!U:U)</f>
        <v>0</v>
      </c>
      <c r="J60" s="17">
        <f>SUMIF('Data Sheet Aug-2021'!E:E,PVA!B60,'Data Sheet Aug-2021'!P:P)</f>
        <v>0</v>
      </c>
      <c r="K60" s="17">
        <f>SUMIF('Data Sheet Aug-2021'!E:E,PVA!B60,'Data Sheet Aug-2021'!Q:Q)</f>
        <v>0</v>
      </c>
      <c r="L60" s="45">
        <f t="shared" si="39"/>
        <v>1.8440905280804692E-2</v>
      </c>
      <c r="M60" s="731">
        <f t="shared" si="1"/>
        <v>0</v>
      </c>
      <c r="N60" s="46">
        <f t="shared" si="24"/>
        <v>1.171</v>
      </c>
      <c r="O60" s="897">
        <f t="shared" si="25"/>
        <v>171</v>
      </c>
      <c r="P60" s="221"/>
      <c r="Q60" s="141">
        <v>2.1999999999999999E-2</v>
      </c>
      <c r="R60" s="142">
        <f t="shared" si="26"/>
        <v>0.48399999999999999</v>
      </c>
      <c r="S60" s="351"/>
      <c r="Z60" s="208">
        <f t="shared" ref="Z60:Z97" si="40">H60*Q60</f>
        <v>0.48399999999999999</v>
      </c>
      <c r="AA60" s="208">
        <f t="shared" ref="AA60:AA97" si="41">I60*Q60</f>
        <v>0</v>
      </c>
      <c r="AB60" s="208">
        <f t="shared" ref="AB60:AB97" si="42">J60</f>
        <v>0</v>
      </c>
      <c r="AC60" s="208">
        <f t="shared" ref="AC60:AC97" si="43">K60*Q60</f>
        <v>0</v>
      </c>
    </row>
    <row r="61" spans="1:260">
      <c r="A61" s="360"/>
      <c r="B61" s="140" t="s">
        <v>180</v>
      </c>
      <c r="C61" s="51" t="str">
        <f>VLOOKUP(B61,'Item Data Support Sheet'!A:B,2,0)</f>
        <v>RPP 240ML GIRL PINK BOTTLE PRINTED (WM3GB)</v>
      </c>
      <c r="D61" s="26" t="str">
        <f>IFERROR(VLOOKUP(B61,'Item Data Support Sheet'!A:O,15,0),0)</f>
        <v>RPP8_W</v>
      </c>
      <c r="E61" s="400">
        <v>1000</v>
      </c>
      <c r="F61" s="17">
        <f>SUMIF('Data Sheet Aug-2021'!E:E,PVA!B61,'Data Sheet Aug-2021'!N:N)</f>
        <v>1133</v>
      </c>
      <c r="G61" s="17">
        <f>SUMIF('Data Sheet Aug-2021'!E:E,PVA!B61,'Data Sheet Aug-2021'!O:O)</f>
        <v>1116</v>
      </c>
      <c r="H61" s="17">
        <f>SUMIF('Data Sheet Aug-2021'!E:E,PVA!B61,'Data Sheet Aug-2021'!T:T)</f>
        <v>17</v>
      </c>
      <c r="I61" s="17">
        <f>SUMIF('Data Sheet Aug-2021'!E:E,PVA!B61,'Data Sheet Aug-2021'!U:U)</f>
        <v>0</v>
      </c>
      <c r="J61" s="17">
        <f>SUMIF('Data Sheet Aug-2021'!E:E,PVA!B61,'Data Sheet Aug-2021'!P:P)</f>
        <v>0</v>
      </c>
      <c r="K61" s="17">
        <f>SUMIF('Data Sheet Aug-2021'!E:E,PVA!B61,'Data Sheet Aug-2021'!Q:Q)</f>
        <v>0</v>
      </c>
      <c r="L61" s="45">
        <f t="shared" si="39"/>
        <v>1.500441306266549E-2</v>
      </c>
      <c r="M61" s="731">
        <f t="shared" si="1"/>
        <v>0</v>
      </c>
      <c r="N61" s="46">
        <f t="shared" si="24"/>
        <v>1.1160000000000001</v>
      </c>
      <c r="O61" s="897">
        <f t="shared" si="25"/>
        <v>116</v>
      </c>
      <c r="P61" s="221"/>
      <c r="Q61" s="141">
        <v>3.2000000000000001E-2</v>
      </c>
      <c r="R61" s="142">
        <f t="shared" si="26"/>
        <v>0.54400000000000004</v>
      </c>
      <c r="S61" s="351"/>
      <c r="Z61" s="208">
        <f t="shared" si="40"/>
        <v>0.54400000000000004</v>
      </c>
      <c r="AA61" s="208">
        <f t="shared" si="41"/>
        <v>0</v>
      </c>
      <c r="AB61" s="208">
        <f t="shared" si="42"/>
        <v>0</v>
      </c>
      <c r="AC61" s="208">
        <f t="shared" si="43"/>
        <v>0</v>
      </c>
    </row>
    <row r="62" spans="1:260">
      <c r="A62" s="360"/>
      <c r="B62" s="140" t="s">
        <v>164</v>
      </c>
      <c r="C62" s="51" t="str">
        <f>VLOOKUP(B62,'Item Data Support Sheet'!A:B,2,0)</f>
        <v>RPP 120ML BOY BLUE BOTTLE PRINTED (WM3GB)</v>
      </c>
      <c r="D62" s="26" t="str">
        <f>IFERROR(VLOOKUP(B62,'Item Data Support Sheet'!A:O,15,0),0)</f>
        <v>RPP4_W</v>
      </c>
      <c r="E62" s="400">
        <v>700</v>
      </c>
      <c r="F62" s="17">
        <f>SUMIF('Data Sheet Aug-2021'!E:E,PVA!B62,'Data Sheet Aug-2021'!N:N)</f>
        <v>682</v>
      </c>
      <c r="G62" s="17">
        <f>SUMIF('Data Sheet Aug-2021'!E:E,PVA!B62,'Data Sheet Aug-2021'!O:O)</f>
        <v>670</v>
      </c>
      <c r="H62" s="17">
        <f>SUMIF('Data Sheet Aug-2021'!E:E,PVA!B62,'Data Sheet Aug-2021'!T:T)</f>
        <v>12</v>
      </c>
      <c r="I62" s="17">
        <f>SUMIF('Data Sheet Aug-2021'!E:E,PVA!B62,'Data Sheet Aug-2021'!U:U)</f>
        <v>0</v>
      </c>
      <c r="J62" s="17">
        <f>SUMIF('Data Sheet Aug-2021'!E:E,PVA!B62,'Data Sheet Aug-2021'!P:P)</f>
        <v>0</v>
      </c>
      <c r="K62" s="17">
        <f>SUMIF('Data Sheet Aug-2021'!E:E,PVA!B62,'Data Sheet Aug-2021'!Q:Q)</f>
        <v>0</v>
      </c>
      <c r="L62" s="45">
        <f t="shared" si="39"/>
        <v>1.7595307917888565E-2</v>
      </c>
      <c r="M62" s="731">
        <f t="shared" si="1"/>
        <v>0</v>
      </c>
      <c r="N62" s="46">
        <f t="shared" si="24"/>
        <v>0.95714285714285718</v>
      </c>
      <c r="O62" s="897">
        <f t="shared" si="25"/>
        <v>-30</v>
      </c>
      <c r="P62" s="221"/>
      <c r="Q62" s="141">
        <v>2.1999999999999999E-2</v>
      </c>
      <c r="R62" s="142">
        <f t="shared" si="26"/>
        <v>0.26400000000000001</v>
      </c>
      <c r="S62" s="351"/>
      <c r="Z62" s="208">
        <f t="shared" si="40"/>
        <v>0.26400000000000001</v>
      </c>
      <c r="AA62" s="208">
        <f t="shared" si="41"/>
        <v>0</v>
      </c>
      <c r="AB62" s="208">
        <f t="shared" si="42"/>
        <v>0</v>
      </c>
      <c r="AC62" s="208">
        <f t="shared" si="43"/>
        <v>0</v>
      </c>
    </row>
    <row r="63" spans="1:260">
      <c r="A63" s="360"/>
      <c r="B63" s="140" t="s">
        <v>179</v>
      </c>
      <c r="C63" s="51" t="str">
        <f>VLOOKUP(B63,'Item Data Support Sheet'!A:B,2,0)</f>
        <v>RPP 240ML BOY BLUE BOTTLE PRINTED (WM3GB)</v>
      </c>
      <c r="D63" s="26" t="str">
        <f>IFERROR(VLOOKUP(B63,'Item Data Support Sheet'!A:O,15,0),0)</f>
        <v>RPP8_W</v>
      </c>
      <c r="E63" s="400">
        <v>1400</v>
      </c>
      <c r="F63" s="17">
        <f>SUMIF('Data Sheet Aug-2021'!E:E,PVA!B63,'Data Sheet Aug-2021'!N:N)</f>
        <v>1530</v>
      </c>
      <c r="G63" s="17">
        <f>SUMIF('Data Sheet Aug-2021'!E:E,PVA!B63,'Data Sheet Aug-2021'!O:O)</f>
        <v>1511</v>
      </c>
      <c r="H63" s="17">
        <f>SUMIF('Data Sheet Aug-2021'!E:E,PVA!B63,'Data Sheet Aug-2021'!T:T)</f>
        <v>19</v>
      </c>
      <c r="I63" s="17">
        <f>SUMIF('Data Sheet Aug-2021'!E:E,PVA!B63,'Data Sheet Aug-2021'!U:U)</f>
        <v>0</v>
      </c>
      <c r="J63" s="17">
        <f>SUMIF('Data Sheet Aug-2021'!E:E,PVA!B63,'Data Sheet Aug-2021'!P:P)</f>
        <v>0</v>
      </c>
      <c r="K63" s="17">
        <f>SUMIF('Data Sheet Aug-2021'!E:E,PVA!B63,'Data Sheet Aug-2021'!Q:Q)</f>
        <v>0</v>
      </c>
      <c r="L63" s="45">
        <f t="shared" si="39"/>
        <v>1.241830065359477E-2</v>
      </c>
      <c r="M63" s="731">
        <f t="shared" si="1"/>
        <v>0</v>
      </c>
      <c r="N63" s="46">
        <f t="shared" si="24"/>
        <v>1.0792857142857142</v>
      </c>
      <c r="O63" s="897">
        <f t="shared" si="25"/>
        <v>111</v>
      </c>
      <c r="P63" s="221"/>
      <c r="Q63" s="141">
        <v>3.2000000000000001E-2</v>
      </c>
      <c r="R63" s="142">
        <f t="shared" si="26"/>
        <v>0.60799999999999998</v>
      </c>
      <c r="S63" s="351"/>
      <c r="Z63" s="208">
        <f t="shared" si="40"/>
        <v>0.60799999999999998</v>
      </c>
      <c r="AA63" s="208">
        <f t="shared" si="41"/>
        <v>0</v>
      </c>
      <c r="AB63" s="208">
        <f t="shared" si="42"/>
        <v>0</v>
      </c>
      <c r="AC63" s="208">
        <f t="shared" si="43"/>
        <v>0</v>
      </c>
    </row>
    <row r="64" spans="1:260">
      <c r="A64" s="360"/>
      <c r="B64" s="140" t="s">
        <v>404</v>
      </c>
      <c r="C64" s="51" t="str">
        <f>VLOOKUP(B64,'Item Data Support Sheet'!A:B,2,0)</f>
        <v>KPP 120ML PINK BOTTLE PRINTED (WMG3B)</v>
      </c>
      <c r="D64" s="26" t="str">
        <f>IFERROR(VLOOKUP(B64,'Item Data Support Sheet'!A:O,15,0),0)</f>
        <v>KPP4_W</v>
      </c>
      <c r="E64" s="400">
        <v>0</v>
      </c>
      <c r="F64" s="17">
        <f>SUMIF('Data Sheet Aug-2021'!E:E,PVA!B64,'Data Sheet Aug-2021'!N:N)</f>
        <v>0</v>
      </c>
      <c r="G64" s="17">
        <f>SUMIF('Data Sheet Aug-2021'!E:E,PVA!B64,'Data Sheet Aug-2021'!O:O)</f>
        <v>0</v>
      </c>
      <c r="H64" s="17">
        <f>SUMIF('Data Sheet Aug-2021'!E:E,PVA!B64,'Data Sheet Aug-2021'!T:T)</f>
        <v>0</v>
      </c>
      <c r="I64" s="17">
        <f>SUMIF('Data Sheet Aug-2021'!E:E,PVA!B64,'Data Sheet Aug-2021'!U:U)</f>
        <v>0</v>
      </c>
      <c r="J64" s="17">
        <f>SUMIF('Data Sheet Aug-2021'!E:E,PVA!B64,'Data Sheet Aug-2021'!P:P)</f>
        <v>0</v>
      </c>
      <c r="K64" s="17">
        <f>SUMIF('Data Sheet Aug-2021'!E:E,PVA!B64,'Data Sheet Aug-2021'!Q:Q)</f>
        <v>0</v>
      </c>
      <c r="L64" s="45">
        <f t="shared" si="39"/>
        <v>0</v>
      </c>
      <c r="M64" s="731">
        <f t="shared" si="1"/>
        <v>0</v>
      </c>
      <c r="N64" s="46">
        <f t="shared" si="24"/>
        <v>0</v>
      </c>
      <c r="O64" s="897">
        <f t="shared" si="25"/>
        <v>0</v>
      </c>
      <c r="P64" s="221"/>
      <c r="Q64" s="141">
        <v>2.1999999999999999E-2</v>
      </c>
      <c r="R64" s="142">
        <f t="shared" si="26"/>
        <v>0</v>
      </c>
      <c r="S64" s="351"/>
      <c r="Z64" s="208">
        <f t="shared" si="40"/>
        <v>0</v>
      </c>
      <c r="AA64" s="208">
        <f t="shared" si="41"/>
        <v>0</v>
      </c>
      <c r="AB64" s="208">
        <f t="shared" si="42"/>
        <v>0</v>
      </c>
      <c r="AC64" s="208">
        <f t="shared" si="43"/>
        <v>0</v>
      </c>
    </row>
    <row r="65" spans="1:29">
      <c r="A65" s="360"/>
      <c r="B65" s="140" t="s">
        <v>405</v>
      </c>
      <c r="C65" s="51" t="str">
        <f>VLOOKUP(B65,'Item Data Support Sheet'!A:B,2,0)</f>
        <v>KPP 200ML PINK BOTTLE PRINTED (WMG3B)</v>
      </c>
      <c r="D65" s="26" t="str">
        <f>IFERROR(VLOOKUP(B65,'Item Data Support Sheet'!A:O,15,0),0)</f>
        <v>KPP6_W</v>
      </c>
      <c r="E65" s="400">
        <v>0</v>
      </c>
      <c r="F65" s="17">
        <f>SUMIF('Data Sheet Aug-2021'!E:E,PVA!B65,'Data Sheet Aug-2021'!N:N)</f>
        <v>0</v>
      </c>
      <c r="G65" s="17">
        <f>SUMIF('Data Sheet Aug-2021'!E:E,PVA!B65,'Data Sheet Aug-2021'!O:O)</f>
        <v>0</v>
      </c>
      <c r="H65" s="17">
        <f>SUMIF('Data Sheet Aug-2021'!E:E,PVA!B65,'Data Sheet Aug-2021'!T:T)</f>
        <v>0</v>
      </c>
      <c r="I65" s="17">
        <f>SUMIF('Data Sheet Aug-2021'!E:E,PVA!B65,'Data Sheet Aug-2021'!U:U)</f>
        <v>0</v>
      </c>
      <c r="J65" s="17">
        <f>SUMIF('Data Sheet Aug-2021'!E:E,PVA!B65,'Data Sheet Aug-2021'!P:P)</f>
        <v>0</v>
      </c>
      <c r="K65" s="17">
        <f>SUMIF('Data Sheet Aug-2021'!E:E,PVA!B65,'Data Sheet Aug-2021'!Q:Q)</f>
        <v>0</v>
      </c>
      <c r="L65" s="45">
        <f t="shared" si="39"/>
        <v>0</v>
      </c>
      <c r="M65" s="731">
        <f t="shared" si="1"/>
        <v>0</v>
      </c>
      <c r="N65" s="46">
        <f t="shared" si="24"/>
        <v>0</v>
      </c>
      <c r="O65" s="897">
        <f t="shared" si="25"/>
        <v>0</v>
      </c>
      <c r="P65" s="221"/>
      <c r="Q65" s="141">
        <v>2.8000000000000001E-2</v>
      </c>
      <c r="R65" s="142">
        <f t="shared" si="26"/>
        <v>0</v>
      </c>
      <c r="S65" s="351"/>
      <c r="Z65" s="208">
        <f t="shared" si="40"/>
        <v>0</v>
      </c>
      <c r="AA65" s="208">
        <f t="shared" si="41"/>
        <v>0</v>
      </c>
      <c r="AB65" s="208">
        <f t="shared" si="42"/>
        <v>0</v>
      </c>
      <c r="AC65" s="208">
        <f t="shared" si="43"/>
        <v>0</v>
      </c>
    </row>
    <row r="66" spans="1:29">
      <c r="A66" s="360"/>
      <c r="B66" s="140" t="s">
        <v>406</v>
      </c>
      <c r="C66" s="51" t="str">
        <f>VLOOKUP(B66,'Item Data Support Sheet'!A:B,2,0)</f>
        <v>KPP 240ML PINK BOTTLE PRINTED (WMG3B)</v>
      </c>
      <c r="D66" s="26" t="str">
        <f>IFERROR(VLOOKUP(B66,'Item Data Support Sheet'!A:O,15,0),0)</f>
        <v>KPP8_W</v>
      </c>
      <c r="E66" s="400">
        <v>0</v>
      </c>
      <c r="F66" s="17">
        <f>SUMIF('Data Sheet Aug-2021'!E:E,PVA!B66,'Data Sheet Aug-2021'!N:N)</f>
        <v>0</v>
      </c>
      <c r="G66" s="17">
        <f>SUMIF('Data Sheet Aug-2021'!E:E,PVA!B66,'Data Sheet Aug-2021'!O:O)</f>
        <v>0</v>
      </c>
      <c r="H66" s="17">
        <f>SUMIF('Data Sheet Aug-2021'!E:E,PVA!B66,'Data Sheet Aug-2021'!T:T)</f>
        <v>0</v>
      </c>
      <c r="I66" s="17">
        <f>SUMIF('Data Sheet Aug-2021'!E:E,PVA!B66,'Data Sheet Aug-2021'!U:U)</f>
        <v>0</v>
      </c>
      <c r="J66" s="17">
        <f>SUMIF('Data Sheet Aug-2021'!E:E,PVA!B66,'Data Sheet Aug-2021'!P:P)</f>
        <v>0</v>
      </c>
      <c r="K66" s="17">
        <f>SUMIF('Data Sheet Aug-2021'!E:E,PVA!B66,'Data Sheet Aug-2021'!Q:Q)</f>
        <v>0</v>
      </c>
      <c r="L66" s="45">
        <f t="shared" si="39"/>
        <v>0</v>
      </c>
      <c r="M66" s="731">
        <f t="shared" si="1"/>
        <v>0</v>
      </c>
      <c r="N66" s="46">
        <f t="shared" si="24"/>
        <v>0</v>
      </c>
      <c r="O66" s="897">
        <f t="shared" si="25"/>
        <v>0</v>
      </c>
      <c r="P66" s="221"/>
      <c r="Q66" s="141">
        <v>3.2000000000000001E-2</v>
      </c>
      <c r="R66" s="142">
        <f t="shared" si="26"/>
        <v>0</v>
      </c>
      <c r="S66" s="351"/>
      <c r="Z66" s="208">
        <f t="shared" si="40"/>
        <v>0</v>
      </c>
      <c r="AA66" s="208">
        <f t="shared" si="41"/>
        <v>0</v>
      </c>
      <c r="AB66" s="208">
        <f t="shared" si="42"/>
        <v>0</v>
      </c>
      <c r="AC66" s="208">
        <f t="shared" si="43"/>
        <v>0</v>
      </c>
    </row>
    <row r="67" spans="1:29">
      <c r="A67" s="360"/>
      <c r="B67" s="140" t="s">
        <v>407</v>
      </c>
      <c r="C67" s="51" t="str">
        <f>VLOOKUP(B67,'Item Data Support Sheet'!A:B,2,0)</f>
        <v>KPP 120ML GREEN BOTTLE PRINTED (WMG3B)</v>
      </c>
      <c r="D67" s="26" t="str">
        <f>IFERROR(VLOOKUP(B67,'Item Data Support Sheet'!A:O,15,0),0)</f>
        <v>KPP4_W</v>
      </c>
      <c r="E67" s="400">
        <v>0</v>
      </c>
      <c r="F67" s="17">
        <f>SUMIF('Data Sheet Aug-2021'!E:E,PVA!B67,'Data Sheet Aug-2021'!N:N)</f>
        <v>0</v>
      </c>
      <c r="G67" s="17">
        <f>SUMIF('Data Sheet Aug-2021'!E:E,PVA!B67,'Data Sheet Aug-2021'!O:O)</f>
        <v>0</v>
      </c>
      <c r="H67" s="17">
        <f>SUMIF('Data Sheet Aug-2021'!E:E,PVA!B67,'Data Sheet Aug-2021'!T:T)</f>
        <v>0</v>
      </c>
      <c r="I67" s="17">
        <f>SUMIF('Data Sheet Aug-2021'!E:E,PVA!B67,'Data Sheet Aug-2021'!U:U)</f>
        <v>0</v>
      </c>
      <c r="J67" s="17">
        <f>SUMIF('Data Sheet Aug-2021'!E:E,PVA!B67,'Data Sheet Aug-2021'!P:P)</f>
        <v>0</v>
      </c>
      <c r="K67" s="17">
        <f>SUMIF('Data Sheet Aug-2021'!E:E,PVA!B67,'Data Sheet Aug-2021'!Q:Q)</f>
        <v>0</v>
      </c>
      <c r="L67" s="45">
        <f t="shared" si="39"/>
        <v>0</v>
      </c>
      <c r="M67" s="731">
        <f t="shared" si="1"/>
        <v>0</v>
      </c>
      <c r="N67" s="46">
        <f t="shared" si="24"/>
        <v>0</v>
      </c>
      <c r="O67" s="897">
        <f t="shared" si="25"/>
        <v>0</v>
      </c>
      <c r="P67" s="221"/>
      <c r="Q67" s="141">
        <v>2.1999999999999999E-2</v>
      </c>
      <c r="R67" s="142">
        <f t="shared" si="26"/>
        <v>0</v>
      </c>
      <c r="S67" s="351"/>
      <c r="Z67" s="208">
        <f t="shared" si="40"/>
        <v>0</v>
      </c>
      <c r="AA67" s="208">
        <f t="shared" si="41"/>
        <v>0</v>
      </c>
      <c r="AB67" s="208">
        <f t="shared" si="42"/>
        <v>0</v>
      </c>
      <c r="AC67" s="208">
        <f t="shared" si="43"/>
        <v>0</v>
      </c>
    </row>
    <row r="68" spans="1:29">
      <c r="A68" s="360"/>
      <c r="B68" s="140" t="s">
        <v>408</v>
      </c>
      <c r="C68" s="51" t="str">
        <f>VLOOKUP(B68,'Item Data Support Sheet'!A:B,2,0)</f>
        <v>KPP 200ML GREEN BOTTLE PRINTED (WMG3B)</v>
      </c>
      <c r="D68" s="26" t="str">
        <f>IFERROR(VLOOKUP(B68,'Item Data Support Sheet'!A:O,15,0),0)</f>
        <v>KPP6_W</v>
      </c>
      <c r="E68" s="400">
        <v>0</v>
      </c>
      <c r="F68" s="17">
        <f>SUMIF('Data Sheet Aug-2021'!E:E,PVA!B68,'Data Sheet Aug-2021'!N:N)</f>
        <v>0</v>
      </c>
      <c r="G68" s="17">
        <f>SUMIF('Data Sheet Aug-2021'!E:E,PVA!B68,'Data Sheet Aug-2021'!O:O)</f>
        <v>0</v>
      </c>
      <c r="H68" s="17">
        <f>SUMIF('Data Sheet Aug-2021'!E:E,PVA!B68,'Data Sheet Aug-2021'!T:T)</f>
        <v>0</v>
      </c>
      <c r="I68" s="17">
        <f>SUMIF('Data Sheet Aug-2021'!E:E,PVA!B68,'Data Sheet Aug-2021'!U:U)</f>
        <v>0</v>
      </c>
      <c r="J68" s="17">
        <f>SUMIF('Data Sheet Aug-2021'!E:E,PVA!B68,'Data Sheet Aug-2021'!P:P)</f>
        <v>0</v>
      </c>
      <c r="K68" s="17">
        <f>SUMIF('Data Sheet Aug-2021'!E:E,PVA!B68,'Data Sheet Aug-2021'!Q:Q)</f>
        <v>0</v>
      </c>
      <c r="L68" s="45">
        <f t="shared" si="39"/>
        <v>0</v>
      </c>
      <c r="M68" s="731">
        <f t="shared" si="1"/>
        <v>0</v>
      </c>
      <c r="N68" s="46">
        <f t="shared" si="24"/>
        <v>0</v>
      </c>
      <c r="O68" s="897">
        <f t="shared" si="25"/>
        <v>0</v>
      </c>
      <c r="P68" s="221"/>
      <c r="Q68" s="141">
        <v>2.8000000000000001E-2</v>
      </c>
      <c r="R68" s="142">
        <f t="shared" si="26"/>
        <v>0</v>
      </c>
      <c r="S68" s="351"/>
      <c r="Z68" s="208">
        <f t="shared" si="40"/>
        <v>0</v>
      </c>
      <c r="AA68" s="208">
        <f t="shared" si="41"/>
        <v>0</v>
      </c>
      <c r="AB68" s="208">
        <f t="shared" si="42"/>
        <v>0</v>
      </c>
      <c r="AC68" s="208">
        <f t="shared" si="43"/>
        <v>0</v>
      </c>
    </row>
    <row r="69" spans="1:29">
      <c r="A69" s="360"/>
      <c r="B69" s="140" t="s">
        <v>409</v>
      </c>
      <c r="C69" s="51" t="str">
        <f>VLOOKUP(B69,'Item Data Support Sheet'!A:B,2,0)</f>
        <v>KPP 240ML GREEN BOTTLE PRINTED (WMG3B)</v>
      </c>
      <c r="D69" s="26" t="str">
        <f>IFERROR(VLOOKUP(B69,'Item Data Support Sheet'!A:O,15,0),0)</f>
        <v>KPP8_W</v>
      </c>
      <c r="E69" s="400">
        <v>0</v>
      </c>
      <c r="F69" s="17">
        <f>SUMIF('Data Sheet Aug-2021'!E:E,PVA!B69,'Data Sheet Aug-2021'!N:N)</f>
        <v>0</v>
      </c>
      <c r="G69" s="17">
        <f>SUMIF('Data Sheet Aug-2021'!E:E,PVA!B69,'Data Sheet Aug-2021'!O:O)</f>
        <v>0</v>
      </c>
      <c r="H69" s="17">
        <f>SUMIF('Data Sheet Aug-2021'!E:E,PVA!B69,'Data Sheet Aug-2021'!T:T)</f>
        <v>0</v>
      </c>
      <c r="I69" s="17">
        <f>SUMIF('Data Sheet Aug-2021'!E:E,PVA!B69,'Data Sheet Aug-2021'!U:U)</f>
        <v>0</v>
      </c>
      <c r="J69" s="17">
        <f>SUMIF('Data Sheet Aug-2021'!E:E,PVA!B69,'Data Sheet Aug-2021'!P:P)</f>
        <v>0</v>
      </c>
      <c r="K69" s="17">
        <f>SUMIF('Data Sheet Aug-2021'!E:E,PVA!B69,'Data Sheet Aug-2021'!Q:Q)</f>
        <v>0</v>
      </c>
      <c r="L69" s="45">
        <f t="shared" si="39"/>
        <v>0</v>
      </c>
      <c r="M69" s="731">
        <f t="shared" ref="M69:M98" si="44">IFERROR(K69/F69,0)</f>
        <v>0</v>
      </c>
      <c r="N69" s="46">
        <f t="shared" si="24"/>
        <v>0</v>
      </c>
      <c r="O69" s="897">
        <f t="shared" si="25"/>
        <v>0</v>
      </c>
      <c r="P69" s="221"/>
      <c r="Q69" s="141">
        <v>3.2000000000000001E-2</v>
      </c>
      <c r="R69" s="142">
        <f t="shared" si="26"/>
        <v>0</v>
      </c>
      <c r="S69" s="351"/>
      <c r="Z69" s="208">
        <f t="shared" si="40"/>
        <v>0</v>
      </c>
      <c r="AA69" s="208">
        <f t="shared" si="41"/>
        <v>0</v>
      </c>
      <c r="AB69" s="208">
        <f t="shared" si="42"/>
        <v>0</v>
      </c>
      <c r="AC69" s="208">
        <f t="shared" si="43"/>
        <v>0</v>
      </c>
    </row>
    <row r="70" spans="1:29">
      <c r="A70" s="360"/>
      <c r="B70" s="140" t="s">
        <v>410</v>
      </c>
      <c r="C70" s="51" t="str">
        <f>VLOOKUP(B70,'Item Data Support Sheet'!A:B,2,0)</f>
        <v>RPP 120ML ABTRCT PINK BOTTLE PRINTED (WMG3B)</v>
      </c>
      <c r="D70" s="26" t="str">
        <f>IFERROR(VLOOKUP(B70,'Item Data Support Sheet'!A:O,15,0),0)</f>
        <v>RPP4_W</v>
      </c>
      <c r="E70" s="400">
        <v>0</v>
      </c>
      <c r="F70" s="17">
        <f>SUMIF('Data Sheet Aug-2021'!E:E,PVA!B70,'Data Sheet Aug-2021'!N:N)</f>
        <v>0</v>
      </c>
      <c r="G70" s="17">
        <f>SUMIF('Data Sheet Aug-2021'!E:E,PVA!B70,'Data Sheet Aug-2021'!O:O)</f>
        <v>0</v>
      </c>
      <c r="H70" s="17">
        <f>SUMIF('Data Sheet Aug-2021'!E:E,PVA!B70,'Data Sheet Aug-2021'!T:T)</f>
        <v>0</v>
      </c>
      <c r="I70" s="17">
        <f>SUMIF('Data Sheet Aug-2021'!E:E,PVA!B70,'Data Sheet Aug-2021'!U:U)</f>
        <v>0</v>
      </c>
      <c r="J70" s="17">
        <f>SUMIF('Data Sheet Aug-2021'!E:E,PVA!B70,'Data Sheet Aug-2021'!P:P)</f>
        <v>0</v>
      </c>
      <c r="K70" s="17">
        <f>SUMIF('Data Sheet Aug-2021'!E:E,PVA!B70,'Data Sheet Aug-2021'!Q:Q)</f>
        <v>0</v>
      </c>
      <c r="L70" s="45">
        <f t="shared" si="39"/>
        <v>0</v>
      </c>
      <c r="M70" s="731">
        <f t="shared" si="44"/>
        <v>0</v>
      </c>
      <c r="N70" s="46">
        <f t="shared" si="24"/>
        <v>0</v>
      </c>
      <c r="O70" s="897">
        <f t="shared" si="25"/>
        <v>0</v>
      </c>
      <c r="P70" s="221"/>
      <c r="Q70" s="141">
        <v>2.1999999999999999E-2</v>
      </c>
      <c r="R70" s="142">
        <f t="shared" si="26"/>
        <v>0</v>
      </c>
      <c r="S70" s="351"/>
      <c r="Z70" s="208">
        <f t="shared" si="40"/>
        <v>0</v>
      </c>
      <c r="AA70" s="208">
        <f t="shared" si="41"/>
        <v>0</v>
      </c>
      <c r="AB70" s="208">
        <f t="shared" si="42"/>
        <v>0</v>
      </c>
      <c r="AC70" s="208">
        <f t="shared" si="43"/>
        <v>0</v>
      </c>
    </row>
    <row r="71" spans="1:29">
      <c r="A71" s="360"/>
      <c r="B71" s="140" t="s">
        <v>411</v>
      </c>
      <c r="C71" s="51" t="str">
        <f>VLOOKUP(B71,'Item Data Support Sheet'!A:B,2,0)</f>
        <v>RPP 240ML ABTRCT PINK BOTTLE PRINTED (WMG3B)</v>
      </c>
      <c r="D71" s="26" t="str">
        <f>IFERROR(VLOOKUP(B71,'Item Data Support Sheet'!A:O,15,0),0)</f>
        <v>RPP8_W</v>
      </c>
      <c r="E71" s="400">
        <v>0</v>
      </c>
      <c r="F71" s="17">
        <f>SUMIF('Data Sheet Aug-2021'!E:E,PVA!B71,'Data Sheet Aug-2021'!N:N)</f>
        <v>0</v>
      </c>
      <c r="G71" s="17">
        <f>SUMIF('Data Sheet Aug-2021'!E:E,PVA!B71,'Data Sheet Aug-2021'!O:O)</f>
        <v>0</v>
      </c>
      <c r="H71" s="17">
        <f>SUMIF('Data Sheet Aug-2021'!E:E,PVA!B71,'Data Sheet Aug-2021'!T:T)</f>
        <v>0</v>
      </c>
      <c r="I71" s="17">
        <f>SUMIF('Data Sheet Aug-2021'!E:E,PVA!B71,'Data Sheet Aug-2021'!U:U)</f>
        <v>0</v>
      </c>
      <c r="J71" s="17">
        <f>SUMIF('Data Sheet Aug-2021'!E:E,PVA!B71,'Data Sheet Aug-2021'!P:P)</f>
        <v>0</v>
      </c>
      <c r="K71" s="17">
        <f>SUMIF('Data Sheet Aug-2021'!E:E,PVA!B71,'Data Sheet Aug-2021'!Q:Q)</f>
        <v>0</v>
      </c>
      <c r="L71" s="45">
        <f t="shared" si="39"/>
        <v>0</v>
      </c>
      <c r="M71" s="731">
        <f t="shared" si="44"/>
        <v>0</v>
      </c>
      <c r="N71" s="46">
        <f t="shared" si="24"/>
        <v>0</v>
      </c>
      <c r="O71" s="897">
        <f t="shared" si="25"/>
        <v>0</v>
      </c>
      <c r="P71" s="221"/>
      <c r="Q71" s="141">
        <v>3.2000000000000001E-2</v>
      </c>
      <c r="R71" s="142">
        <f t="shared" si="26"/>
        <v>0</v>
      </c>
      <c r="S71" s="351"/>
      <c r="Z71" s="208">
        <f t="shared" si="40"/>
        <v>0</v>
      </c>
      <c r="AA71" s="208">
        <f t="shared" si="41"/>
        <v>0</v>
      </c>
      <c r="AB71" s="208">
        <f t="shared" si="42"/>
        <v>0</v>
      </c>
      <c r="AC71" s="208">
        <f t="shared" si="43"/>
        <v>0</v>
      </c>
    </row>
    <row r="72" spans="1:29">
      <c r="A72" s="360"/>
      <c r="B72" s="140" t="s">
        <v>412</v>
      </c>
      <c r="C72" s="51" t="str">
        <f>VLOOKUP(B72,'Item Data Support Sheet'!A:B,2,0)</f>
        <v>RPP 120ML ABTRCT BULE BOTTLE PRINTED (WMG3B)</v>
      </c>
      <c r="D72" s="26" t="str">
        <f>IFERROR(VLOOKUP(B72,'Item Data Support Sheet'!A:O,15,0),0)</f>
        <v>RPP4_W</v>
      </c>
      <c r="E72" s="400">
        <v>0</v>
      </c>
      <c r="F72" s="17">
        <f>SUMIF('Data Sheet Aug-2021'!E:E,PVA!B72,'Data Sheet Aug-2021'!N:N)</f>
        <v>0</v>
      </c>
      <c r="G72" s="17">
        <f>SUMIF('Data Sheet Aug-2021'!E:E,PVA!B72,'Data Sheet Aug-2021'!O:O)</f>
        <v>0</v>
      </c>
      <c r="H72" s="17">
        <f>SUMIF('Data Sheet Aug-2021'!E:E,PVA!B72,'Data Sheet Aug-2021'!T:T)</f>
        <v>0</v>
      </c>
      <c r="I72" s="17">
        <f>SUMIF('Data Sheet Aug-2021'!E:E,PVA!B72,'Data Sheet Aug-2021'!U:U)</f>
        <v>0</v>
      </c>
      <c r="J72" s="17">
        <f>SUMIF('Data Sheet Aug-2021'!E:E,PVA!B72,'Data Sheet Aug-2021'!P:P)</f>
        <v>0</v>
      </c>
      <c r="K72" s="17">
        <f>SUMIF('Data Sheet Aug-2021'!E:E,PVA!B72,'Data Sheet Aug-2021'!Q:Q)</f>
        <v>0</v>
      </c>
      <c r="L72" s="45">
        <f t="shared" si="39"/>
        <v>0</v>
      </c>
      <c r="M72" s="731">
        <f t="shared" si="44"/>
        <v>0</v>
      </c>
      <c r="N72" s="46">
        <f t="shared" si="24"/>
        <v>0</v>
      </c>
      <c r="O72" s="897">
        <f t="shared" si="25"/>
        <v>0</v>
      </c>
      <c r="P72" s="221"/>
      <c r="Q72" s="141">
        <v>2.1999999999999999E-2</v>
      </c>
      <c r="R72" s="142">
        <f t="shared" si="26"/>
        <v>0</v>
      </c>
      <c r="S72" s="351"/>
      <c r="Z72" s="208">
        <f t="shared" si="40"/>
        <v>0</v>
      </c>
      <c r="AA72" s="208">
        <f t="shared" si="41"/>
        <v>0</v>
      </c>
      <c r="AB72" s="208">
        <f t="shared" si="42"/>
        <v>0</v>
      </c>
      <c r="AC72" s="208">
        <f t="shared" si="43"/>
        <v>0</v>
      </c>
    </row>
    <row r="73" spans="1:29">
      <c r="A73" s="360"/>
      <c r="B73" s="140" t="s">
        <v>413</v>
      </c>
      <c r="C73" s="51" t="str">
        <f>VLOOKUP(B73,'Item Data Support Sheet'!A:B,2,0)</f>
        <v>RPP 240ML ABTRCT BULE BOTTLE PRINTED (WMG3B)</v>
      </c>
      <c r="D73" s="26" t="str">
        <f>IFERROR(VLOOKUP(B73,'Item Data Support Sheet'!A:O,15,0),0)</f>
        <v>RPP8_W</v>
      </c>
      <c r="E73" s="400">
        <v>0</v>
      </c>
      <c r="F73" s="17">
        <f>SUMIF('Data Sheet Aug-2021'!E:E,PVA!B73,'Data Sheet Aug-2021'!N:N)</f>
        <v>0</v>
      </c>
      <c r="G73" s="17">
        <f>SUMIF('Data Sheet Aug-2021'!E:E,PVA!B73,'Data Sheet Aug-2021'!O:O)</f>
        <v>0</v>
      </c>
      <c r="H73" s="17">
        <f>SUMIF('Data Sheet Aug-2021'!E:E,PVA!B73,'Data Sheet Aug-2021'!T:T)</f>
        <v>0</v>
      </c>
      <c r="I73" s="17">
        <f>SUMIF('Data Sheet Aug-2021'!E:E,PVA!B73,'Data Sheet Aug-2021'!U:U)</f>
        <v>0</v>
      </c>
      <c r="J73" s="17">
        <f>SUMIF('Data Sheet Aug-2021'!E:E,PVA!B73,'Data Sheet Aug-2021'!P:P)</f>
        <v>0</v>
      </c>
      <c r="K73" s="17">
        <f>SUMIF('Data Sheet Aug-2021'!E:E,PVA!B73,'Data Sheet Aug-2021'!Q:Q)</f>
        <v>0</v>
      </c>
      <c r="L73" s="45">
        <f t="shared" si="39"/>
        <v>0</v>
      </c>
      <c r="M73" s="731">
        <f t="shared" si="44"/>
        <v>0</v>
      </c>
      <c r="N73" s="46">
        <f t="shared" si="24"/>
        <v>0</v>
      </c>
      <c r="O73" s="897">
        <f t="shared" si="25"/>
        <v>0</v>
      </c>
      <c r="P73" s="221"/>
      <c r="Q73" s="141">
        <v>3.2000000000000001E-2</v>
      </c>
      <c r="R73" s="142">
        <f t="shared" si="26"/>
        <v>0</v>
      </c>
      <c r="S73" s="351"/>
      <c r="Z73" s="208">
        <f t="shared" si="40"/>
        <v>0</v>
      </c>
      <c r="AA73" s="208">
        <f t="shared" si="41"/>
        <v>0</v>
      </c>
      <c r="AB73" s="208">
        <f t="shared" si="42"/>
        <v>0</v>
      </c>
      <c r="AC73" s="208">
        <f t="shared" si="43"/>
        <v>0</v>
      </c>
    </row>
    <row r="74" spans="1:29">
      <c r="A74" s="360"/>
      <c r="B74" s="140" t="s">
        <v>414</v>
      </c>
      <c r="C74" s="51" t="str">
        <f>VLOOKUP(B74,'Item Data Support Sheet'!A:B,2,0)</f>
        <v>RPP 120ML FLORLS PINK BOTTLE PRINTED (WMG3B)</v>
      </c>
      <c r="D74" s="26" t="str">
        <f>IFERROR(VLOOKUP(B74,'Item Data Support Sheet'!A:O,15,0),0)</f>
        <v>RPP4_W</v>
      </c>
      <c r="E74" s="400">
        <v>0</v>
      </c>
      <c r="F74" s="17">
        <f>SUMIF('Data Sheet Aug-2021'!E:E,PVA!B74,'Data Sheet Aug-2021'!N:N)</f>
        <v>0</v>
      </c>
      <c r="G74" s="17">
        <f>SUMIF('Data Sheet Aug-2021'!E:E,PVA!B74,'Data Sheet Aug-2021'!O:O)</f>
        <v>0</v>
      </c>
      <c r="H74" s="17">
        <f>SUMIF('Data Sheet Aug-2021'!E:E,PVA!B74,'Data Sheet Aug-2021'!T:T)</f>
        <v>0</v>
      </c>
      <c r="I74" s="17">
        <f>SUMIF('Data Sheet Aug-2021'!E:E,PVA!B74,'Data Sheet Aug-2021'!U:U)</f>
        <v>0</v>
      </c>
      <c r="J74" s="17">
        <f>SUMIF('Data Sheet Aug-2021'!E:E,PVA!B74,'Data Sheet Aug-2021'!P:P)</f>
        <v>0</v>
      </c>
      <c r="K74" s="17">
        <f>SUMIF('Data Sheet Aug-2021'!E:E,PVA!B74,'Data Sheet Aug-2021'!Q:Q)</f>
        <v>0</v>
      </c>
      <c r="L74" s="45">
        <f t="shared" si="39"/>
        <v>0</v>
      </c>
      <c r="M74" s="731">
        <f t="shared" si="44"/>
        <v>0</v>
      </c>
      <c r="N74" s="46">
        <f t="shared" si="24"/>
        <v>0</v>
      </c>
      <c r="O74" s="897">
        <f t="shared" si="25"/>
        <v>0</v>
      </c>
      <c r="P74" s="221"/>
      <c r="Q74" s="141">
        <v>2.1999999999999999E-2</v>
      </c>
      <c r="R74" s="142">
        <f t="shared" si="26"/>
        <v>0</v>
      </c>
      <c r="S74" s="351"/>
      <c r="Z74" s="208">
        <f t="shared" si="40"/>
        <v>0</v>
      </c>
      <c r="AA74" s="208">
        <f t="shared" si="41"/>
        <v>0</v>
      </c>
      <c r="AB74" s="208">
        <f t="shared" si="42"/>
        <v>0</v>
      </c>
      <c r="AC74" s="208">
        <f t="shared" si="43"/>
        <v>0</v>
      </c>
    </row>
    <row r="75" spans="1:29">
      <c r="A75" s="360"/>
      <c r="B75" s="140" t="s">
        <v>415</v>
      </c>
      <c r="C75" s="51" t="str">
        <f>VLOOKUP(B75,'Item Data Support Sheet'!A:B,2,0)</f>
        <v>RPP 240ML FLORLS PINK BOTTLE PRINTED (WMG3B)</v>
      </c>
      <c r="D75" s="26" t="str">
        <f>IFERROR(VLOOKUP(B75,'Item Data Support Sheet'!A:O,15,0),0)</f>
        <v>RPP8_W</v>
      </c>
      <c r="E75" s="400">
        <v>0</v>
      </c>
      <c r="F75" s="17">
        <f>SUMIF('Data Sheet Aug-2021'!E:E,PVA!B75,'Data Sheet Aug-2021'!N:N)</f>
        <v>0</v>
      </c>
      <c r="G75" s="17">
        <f>SUMIF('Data Sheet Aug-2021'!E:E,PVA!B75,'Data Sheet Aug-2021'!O:O)</f>
        <v>0</v>
      </c>
      <c r="H75" s="17">
        <f>SUMIF('Data Sheet Aug-2021'!E:E,PVA!B75,'Data Sheet Aug-2021'!T:T)</f>
        <v>0</v>
      </c>
      <c r="I75" s="17">
        <f>SUMIF('Data Sheet Aug-2021'!E:E,PVA!B75,'Data Sheet Aug-2021'!U:U)</f>
        <v>0</v>
      </c>
      <c r="J75" s="17">
        <f>SUMIF('Data Sheet Aug-2021'!E:E,PVA!B75,'Data Sheet Aug-2021'!P:P)</f>
        <v>0</v>
      </c>
      <c r="K75" s="17">
        <f>SUMIF('Data Sheet Aug-2021'!E:E,PVA!B75,'Data Sheet Aug-2021'!Q:Q)</f>
        <v>0</v>
      </c>
      <c r="L75" s="45">
        <f t="shared" si="39"/>
        <v>0</v>
      </c>
      <c r="M75" s="731">
        <f t="shared" si="44"/>
        <v>0</v>
      </c>
      <c r="N75" s="46">
        <f t="shared" si="24"/>
        <v>0</v>
      </c>
      <c r="O75" s="897">
        <f t="shared" si="25"/>
        <v>0</v>
      </c>
      <c r="P75" s="221"/>
      <c r="Q75" s="141">
        <v>3.2000000000000001E-2</v>
      </c>
      <c r="R75" s="142">
        <f t="shared" si="26"/>
        <v>0</v>
      </c>
      <c r="S75" s="351"/>
      <c r="Z75" s="208">
        <f t="shared" si="40"/>
        <v>0</v>
      </c>
      <c r="AA75" s="208">
        <f t="shared" si="41"/>
        <v>0</v>
      </c>
      <c r="AB75" s="208">
        <f t="shared" si="42"/>
        <v>0</v>
      </c>
      <c r="AC75" s="208">
        <f t="shared" si="43"/>
        <v>0</v>
      </c>
    </row>
    <row r="76" spans="1:29">
      <c r="A76" s="360"/>
      <c r="B76" s="140" t="s">
        <v>416</v>
      </c>
      <c r="C76" s="51" t="str">
        <f>VLOOKUP(B76,'Item Data Support Sheet'!A:B,2,0)</f>
        <v>RPP 120ML FLORLS BULE BOTTLE PRINTED (WMG3B)</v>
      </c>
      <c r="D76" s="26" t="str">
        <f>IFERROR(VLOOKUP(B76,'Item Data Support Sheet'!A:O,15,0),0)</f>
        <v>RPP4_W</v>
      </c>
      <c r="E76" s="400">
        <v>0</v>
      </c>
      <c r="F76" s="17">
        <f>SUMIF('Data Sheet Aug-2021'!E:E,PVA!B76,'Data Sheet Aug-2021'!N:N)</f>
        <v>0</v>
      </c>
      <c r="G76" s="17">
        <f>SUMIF('Data Sheet Aug-2021'!E:E,PVA!B76,'Data Sheet Aug-2021'!O:O)</f>
        <v>0</v>
      </c>
      <c r="H76" s="17">
        <f>SUMIF('Data Sheet Aug-2021'!E:E,PVA!B76,'Data Sheet Aug-2021'!T:T)</f>
        <v>0</v>
      </c>
      <c r="I76" s="17">
        <f>SUMIF('Data Sheet Aug-2021'!E:E,PVA!B76,'Data Sheet Aug-2021'!U:U)</f>
        <v>0</v>
      </c>
      <c r="J76" s="17">
        <f>SUMIF('Data Sheet Aug-2021'!E:E,PVA!B76,'Data Sheet Aug-2021'!P:P)</f>
        <v>0</v>
      </c>
      <c r="K76" s="17">
        <f>SUMIF('Data Sheet Aug-2021'!E:E,PVA!B76,'Data Sheet Aug-2021'!Q:Q)</f>
        <v>0</v>
      </c>
      <c r="L76" s="45">
        <f t="shared" si="39"/>
        <v>0</v>
      </c>
      <c r="M76" s="731">
        <f t="shared" si="44"/>
        <v>0</v>
      </c>
      <c r="N76" s="46">
        <f t="shared" si="24"/>
        <v>0</v>
      </c>
      <c r="O76" s="897">
        <f t="shared" si="25"/>
        <v>0</v>
      </c>
      <c r="P76" s="221"/>
      <c r="Q76" s="141">
        <v>2.1999999999999999E-2</v>
      </c>
      <c r="R76" s="142">
        <f t="shared" si="26"/>
        <v>0</v>
      </c>
      <c r="S76" s="351"/>
      <c r="Z76" s="208">
        <f t="shared" si="40"/>
        <v>0</v>
      </c>
      <c r="AA76" s="208">
        <f t="shared" si="41"/>
        <v>0</v>
      </c>
      <c r="AB76" s="208">
        <f t="shared" si="42"/>
        <v>0</v>
      </c>
      <c r="AC76" s="208">
        <f t="shared" si="43"/>
        <v>0</v>
      </c>
    </row>
    <row r="77" spans="1:29">
      <c r="A77" s="360"/>
      <c r="B77" s="140" t="s">
        <v>417</v>
      </c>
      <c r="C77" s="51" t="str">
        <f>VLOOKUP(B77,'Item Data Support Sheet'!A:B,2,0)</f>
        <v>RPP 240ML FLORLS BULE BOTTLE PRINTED (WMG3B)</v>
      </c>
      <c r="D77" s="26" t="str">
        <f>IFERROR(VLOOKUP(B77,'Item Data Support Sheet'!A:O,15,0),0)</f>
        <v>RPP8_W</v>
      </c>
      <c r="E77" s="400">
        <v>0</v>
      </c>
      <c r="F77" s="17">
        <f>SUMIF('Data Sheet Aug-2021'!E:E,PVA!B77,'Data Sheet Aug-2021'!N:N)</f>
        <v>0</v>
      </c>
      <c r="G77" s="17">
        <f>SUMIF('Data Sheet Aug-2021'!E:E,PVA!B77,'Data Sheet Aug-2021'!O:O)</f>
        <v>0</v>
      </c>
      <c r="H77" s="17">
        <f>SUMIF('Data Sheet Aug-2021'!E:E,PVA!B77,'Data Sheet Aug-2021'!T:T)</f>
        <v>0</v>
      </c>
      <c r="I77" s="17">
        <f>SUMIF('Data Sheet Aug-2021'!E:E,PVA!B77,'Data Sheet Aug-2021'!U:U)</f>
        <v>0</v>
      </c>
      <c r="J77" s="17">
        <f>SUMIF('Data Sheet Aug-2021'!E:E,PVA!B77,'Data Sheet Aug-2021'!P:P)</f>
        <v>0</v>
      </c>
      <c r="K77" s="17">
        <f>SUMIF('Data Sheet Aug-2021'!E:E,PVA!B77,'Data Sheet Aug-2021'!Q:Q)</f>
        <v>0</v>
      </c>
      <c r="L77" s="45">
        <f t="shared" si="39"/>
        <v>0</v>
      </c>
      <c r="M77" s="731">
        <f t="shared" si="44"/>
        <v>0</v>
      </c>
      <c r="N77" s="46">
        <f t="shared" si="24"/>
        <v>0</v>
      </c>
      <c r="O77" s="897">
        <f t="shared" si="25"/>
        <v>0</v>
      </c>
      <c r="P77" s="221"/>
      <c r="Q77" s="141">
        <v>3.2000000000000001E-2</v>
      </c>
      <c r="R77" s="142">
        <f t="shared" si="26"/>
        <v>0</v>
      </c>
      <c r="S77" s="351"/>
      <c r="Z77" s="208">
        <f t="shared" si="40"/>
        <v>0</v>
      </c>
      <c r="AA77" s="208">
        <f t="shared" si="41"/>
        <v>0</v>
      </c>
      <c r="AB77" s="208">
        <f t="shared" si="42"/>
        <v>0</v>
      </c>
      <c r="AC77" s="208">
        <f t="shared" si="43"/>
        <v>0</v>
      </c>
    </row>
    <row r="78" spans="1:29">
      <c r="A78" s="360"/>
      <c r="B78" s="140" t="s">
        <v>393</v>
      </c>
      <c r="C78" s="51" t="str">
        <f>VLOOKUP(B78,'Item Data Support Sheet'!A:B,2,0)</f>
        <v>RPP 120ML RACOON GREEN PRINTED (WM3GB)</v>
      </c>
      <c r="D78" s="26" t="str">
        <f>IFERROR(VLOOKUP(B78,'Item Data Support Sheet'!A:O,15,0),0)</f>
        <v>RPP4_W</v>
      </c>
      <c r="E78" s="400">
        <v>0</v>
      </c>
      <c r="F78" s="17">
        <f>SUMIF('Data Sheet Aug-2021'!E:E,PVA!B78,'Data Sheet Aug-2021'!N:N)</f>
        <v>0</v>
      </c>
      <c r="G78" s="17">
        <f>SUMIF('Data Sheet Aug-2021'!E:E,PVA!B78,'Data Sheet Aug-2021'!O:O)</f>
        <v>0</v>
      </c>
      <c r="H78" s="17">
        <f>SUMIF('Data Sheet Aug-2021'!E:E,PVA!B78,'Data Sheet Aug-2021'!T:T)</f>
        <v>0</v>
      </c>
      <c r="I78" s="17">
        <f>SUMIF('Data Sheet Aug-2021'!E:E,PVA!B78,'Data Sheet Aug-2021'!U:U)</f>
        <v>0</v>
      </c>
      <c r="J78" s="17">
        <f>SUMIF('Data Sheet Aug-2021'!E:E,PVA!B78,'Data Sheet Aug-2021'!P:P)</f>
        <v>0</v>
      </c>
      <c r="K78" s="17">
        <f>SUMIF('Data Sheet Aug-2021'!E:E,PVA!B78,'Data Sheet Aug-2021'!Q:Q)</f>
        <v>0</v>
      </c>
      <c r="L78" s="45">
        <f t="shared" si="39"/>
        <v>0</v>
      </c>
      <c r="M78" s="731">
        <f t="shared" si="44"/>
        <v>0</v>
      </c>
      <c r="N78" s="46">
        <f t="shared" si="24"/>
        <v>0</v>
      </c>
      <c r="O78" s="897">
        <f t="shared" si="25"/>
        <v>0</v>
      </c>
      <c r="P78" s="221"/>
      <c r="Q78" s="141">
        <v>2.1999999999999999E-2</v>
      </c>
      <c r="R78" s="142">
        <f t="shared" si="26"/>
        <v>0</v>
      </c>
      <c r="S78" s="351"/>
      <c r="Z78" s="208">
        <f t="shared" si="40"/>
        <v>0</v>
      </c>
      <c r="AA78" s="208">
        <f t="shared" si="41"/>
        <v>0</v>
      </c>
      <c r="AB78" s="208">
        <f t="shared" si="42"/>
        <v>0</v>
      </c>
      <c r="AC78" s="208">
        <f t="shared" si="43"/>
        <v>0</v>
      </c>
    </row>
    <row r="79" spans="1:29">
      <c r="A79" s="360"/>
      <c r="B79" s="140" t="s">
        <v>375</v>
      </c>
      <c r="C79" s="51" t="str">
        <f>VLOOKUP(B79,'Item Data Support Sheet'!A:B,2,0)</f>
        <v>RPP 240ML DRAGON GREEN PRINTED (WM3GB)</v>
      </c>
      <c r="D79" s="26" t="str">
        <f>IFERROR(VLOOKUP(B79,'Item Data Support Sheet'!A:O,15,0),0)</f>
        <v>RPP8_W</v>
      </c>
      <c r="E79" s="400">
        <v>0</v>
      </c>
      <c r="F79" s="17">
        <f>SUMIF('Data Sheet Aug-2021'!E:E,PVA!B79,'Data Sheet Aug-2021'!N:N)</f>
        <v>0</v>
      </c>
      <c r="G79" s="17">
        <f>SUMIF('Data Sheet Aug-2021'!E:E,PVA!B79,'Data Sheet Aug-2021'!O:O)</f>
        <v>0</v>
      </c>
      <c r="H79" s="17">
        <f>SUMIF('Data Sheet Aug-2021'!E:E,PVA!B79,'Data Sheet Aug-2021'!T:T)</f>
        <v>0</v>
      </c>
      <c r="I79" s="17">
        <f>SUMIF('Data Sheet Aug-2021'!E:E,PVA!B79,'Data Sheet Aug-2021'!U:U)</f>
        <v>0</v>
      </c>
      <c r="J79" s="17">
        <f>SUMIF('Data Sheet Aug-2021'!E:E,PVA!B79,'Data Sheet Aug-2021'!P:P)</f>
        <v>0</v>
      </c>
      <c r="K79" s="17">
        <f>SUMIF('Data Sheet Aug-2021'!E:E,PVA!B79,'Data Sheet Aug-2021'!Q:Q)</f>
        <v>0</v>
      </c>
      <c r="L79" s="45">
        <f t="shared" si="39"/>
        <v>0</v>
      </c>
      <c r="M79" s="731">
        <f t="shared" si="44"/>
        <v>0</v>
      </c>
      <c r="N79" s="46">
        <f t="shared" si="24"/>
        <v>0</v>
      </c>
      <c r="O79" s="897">
        <f t="shared" si="25"/>
        <v>0</v>
      </c>
      <c r="P79" s="221"/>
      <c r="Q79" s="141">
        <v>3.2000000000000001E-2</v>
      </c>
      <c r="R79" s="142">
        <f t="shared" si="26"/>
        <v>0</v>
      </c>
      <c r="S79" s="351"/>
      <c r="Z79" s="208">
        <f t="shared" si="40"/>
        <v>0</v>
      </c>
      <c r="AA79" s="208">
        <f t="shared" si="41"/>
        <v>0</v>
      </c>
      <c r="AB79" s="208">
        <f t="shared" si="42"/>
        <v>0</v>
      </c>
      <c r="AC79" s="208">
        <f t="shared" si="43"/>
        <v>0</v>
      </c>
    </row>
    <row r="80" spans="1:29">
      <c r="A80" s="360"/>
      <c r="B80" s="140" t="s">
        <v>394</v>
      </c>
      <c r="C80" s="51" t="str">
        <f>VLOOKUP(B80,'Item Data Support Sheet'!A:B,2,0)</f>
        <v>KPP 200ML BOTTLE PRINTED WITH LANSINOH LOGO</v>
      </c>
      <c r="D80" s="26" t="str">
        <f>IFERROR(VLOOKUP(B80,'Item Data Support Sheet'!A:O,15,0),0)</f>
        <v>KPP6_P</v>
      </c>
      <c r="E80" s="400">
        <v>0</v>
      </c>
      <c r="F80" s="17">
        <f>SUMIF('Data Sheet Aug-2021'!E:E,PVA!B80,'Data Sheet Aug-2021'!N:N)</f>
        <v>0</v>
      </c>
      <c r="G80" s="17">
        <f>SUMIF('Data Sheet Aug-2021'!E:E,PVA!B80,'Data Sheet Aug-2021'!O:O)</f>
        <v>0</v>
      </c>
      <c r="H80" s="17">
        <f>SUMIF('Data Sheet Aug-2021'!E:E,PVA!B80,'Data Sheet Aug-2021'!T:T)</f>
        <v>0</v>
      </c>
      <c r="I80" s="17">
        <f>SUMIF('Data Sheet Aug-2021'!E:E,PVA!B80,'Data Sheet Aug-2021'!U:U)</f>
        <v>0</v>
      </c>
      <c r="J80" s="17">
        <f>SUMIF('Data Sheet Aug-2021'!E:E,PVA!B80,'Data Sheet Aug-2021'!P:P)</f>
        <v>0</v>
      </c>
      <c r="K80" s="17">
        <f>SUMIF('Data Sheet Aug-2021'!E:E,PVA!B80,'Data Sheet Aug-2021'!Q:Q)</f>
        <v>0</v>
      </c>
      <c r="L80" s="45">
        <f t="shared" si="39"/>
        <v>0</v>
      </c>
      <c r="M80" s="731">
        <f t="shared" si="44"/>
        <v>0</v>
      </c>
      <c r="N80" s="46">
        <f t="shared" si="24"/>
        <v>0</v>
      </c>
      <c r="O80" s="897">
        <f t="shared" si="25"/>
        <v>0</v>
      </c>
      <c r="P80" s="221"/>
      <c r="Q80" s="141">
        <v>2.8000000000000001E-2</v>
      </c>
      <c r="R80" s="142">
        <f t="shared" si="26"/>
        <v>0</v>
      </c>
      <c r="S80" s="351"/>
      <c r="Z80" s="208">
        <f t="shared" si="40"/>
        <v>0</v>
      </c>
      <c r="AA80" s="208">
        <f t="shared" si="41"/>
        <v>0</v>
      </c>
      <c r="AB80" s="208">
        <f t="shared" si="42"/>
        <v>0</v>
      </c>
      <c r="AC80" s="208">
        <f t="shared" si="43"/>
        <v>0</v>
      </c>
    </row>
    <row r="81" spans="1:260" s="441" customFormat="1">
      <c r="A81" s="360"/>
      <c r="B81" s="140" t="s">
        <v>229</v>
      </c>
      <c r="C81" s="51" t="str">
        <f>VLOOKUP(B81,'Item Data Support Sheet'!A:B,2,0)</f>
        <v>KPP 120 BOTTLE PRINTED (WMG3B) W/O OZ &amp; W/BIS LOGO</v>
      </c>
      <c r="D81" s="26" t="str">
        <f>IFERROR(VLOOKUP(B81,'Item Data Support Sheet'!A:O,15,0),0)</f>
        <v>KPP4_W</v>
      </c>
      <c r="E81" s="400">
        <v>900</v>
      </c>
      <c r="F81" s="17">
        <f>SUMIF('Data Sheet Aug-2021'!E:E,PVA!B81,'Data Sheet Aug-2021'!N:N)</f>
        <v>1541</v>
      </c>
      <c r="G81" s="17">
        <f>SUMIF('Data Sheet Aug-2021'!E:E,PVA!B81,'Data Sheet Aug-2021'!O:O)</f>
        <v>1518</v>
      </c>
      <c r="H81" s="17">
        <f>SUMIF('Data Sheet Aug-2021'!E:E,PVA!B81,'Data Sheet Aug-2021'!T:T)</f>
        <v>23</v>
      </c>
      <c r="I81" s="17">
        <f>SUMIF('Data Sheet Aug-2021'!E:E,PVA!B81,'Data Sheet Aug-2021'!U:U)</f>
        <v>0</v>
      </c>
      <c r="J81" s="17">
        <f>SUMIF('Data Sheet Aug-2021'!E:E,PVA!B81,'Data Sheet Aug-2021'!P:P)</f>
        <v>0</v>
      </c>
      <c r="K81" s="17">
        <f>SUMIF('Data Sheet Aug-2021'!E:E,PVA!B81,'Data Sheet Aug-2021'!Q:Q)</f>
        <v>0</v>
      </c>
      <c r="L81" s="45">
        <f>IFERROR(SUM(H81:I81)/SUM(G81:I81),0)</f>
        <v>1.4925373134328358E-2</v>
      </c>
      <c r="M81" s="731">
        <f t="shared" si="44"/>
        <v>0</v>
      </c>
      <c r="N81" s="46">
        <f>IFERROR(G81/E81,0)</f>
        <v>1.6866666666666668</v>
      </c>
      <c r="O81" s="897">
        <f>G81-E81</f>
        <v>618</v>
      </c>
      <c r="P81" s="221"/>
      <c r="Q81" s="141">
        <v>2.1999999999999999E-2</v>
      </c>
      <c r="R81" s="142">
        <f>(H81+I81+K81)*Q81</f>
        <v>0.50600000000000001</v>
      </c>
      <c r="S81" s="351"/>
      <c r="T81" s="208"/>
      <c r="U81" s="208"/>
      <c r="V81" s="208"/>
      <c r="W81" s="208"/>
      <c r="X81" s="208"/>
      <c r="Y81" s="208"/>
      <c r="Z81" s="208">
        <f>H81*Q81</f>
        <v>0.50600000000000001</v>
      </c>
      <c r="AA81" s="208">
        <f>I81*Q81</f>
        <v>0</v>
      </c>
      <c r="AB81" s="208">
        <f>J81</f>
        <v>0</v>
      </c>
      <c r="AC81" s="208">
        <f>K81*Q81</f>
        <v>0</v>
      </c>
      <c r="AD81" s="208"/>
      <c r="AE81" s="208"/>
      <c r="AF81" s="208"/>
      <c r="AG81" s="208"/>
      <c r="AH81" s="208"/>
      <c r="AI81" s="208"/>
      <c r="AJ81" s="208"/>
      <c r="AK81" s="208"/>
      <c r="AL81" s="208"/>
      <c r="AM81" s="35"/>
      <c r="AN81" s="35"/>
      <c r="AO81" s="35"/>
      <c r="AP81" s="35"/>
      <c r="AQ81" s="35"/>
      <c r="AR81" s="35"/>
      <c r="AS81" s="35"/>
      <c r="AT81" s="35"/>
      <c r="AU81" s="35"/>
      <c r="AV81" s="35"/>
      <c r="AW81" s="35"/>
      <c r="AX81" s="35"/>
      <c r="AY81" s="35"/>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row>
    <row r="82" spans="1:260">
      <c r="A82" s="360"/>
      <c r="B82" s="140" t="s">
        <v>188</v>
      </c>
      <c r="C82" s="51" t="str">
        <f>VLOOKUP(B82,'Item Data Support Sheet'!A:B,2,0)</f>
        <v>KPP 200 BOTTLE PRINTED (WMG3B) W/O OZ &amp; W/BIS LOGO</v>
      </c>
      <c r="D82" s="26" t="str">
        <f>IFERROR(VLOOKUP(B82,'Item Data Support Sheet'!A:O,15,0),0)</f>
        <v>KPP6_W</v>
      </c>
      <c r="E82" s="400">
        <v>800</v>
      </c>
      <c r="F82" s="17">
        <f>SUMIF('Data Sheet Aug-2021'!E:E,PVA!B82,'Data Sheet Aug-2021'!N:N)</f>
        <v>1913</v>
      </c>
      <c r="G82" s="17">
        <f>SUMIF('Data Sheet Aug-2021'!E:E,PVA!B82,'Data Sheet Aug-2021'!O:O)</f>
        <v>1878</v>
      </c>
      <c r="H82" s="17">
        <f>SUMIF('Data Sheet Aug-2021'!E:E,PVA!B82,'Data Sheet Aug-2021'!T:T)</f>
        <v>35</v>
      </c>
      <c r="I82" s="17">
        <f>SUMIF('Data Sheet Aug-2021'!E:E,PVA!B82,'Data Sheet Aug-2021'!U:U)</f>
        <v>0</v>
      </c>
      <c r="J82" s="17">
        <f>SUMIF('Data Sheet Aug-2021'!E:E,PVA!B82,'Data Sheet Aug-2021'!P:P)</f>
        <v>0</v>
      </c>
      <c r="K82" s="17">
        <f>SUMIF('Data Sheet Aug-2021'!E:E,PVA!B82,'Data Sheet Aug-2021'!Q:Q)</f>
        <v>0</v>
      </c>
      <c r="L82" s="45">
        <f t="shared" si="39"/>
        <v>1.8295870360690015E-2</v>
      </c>
      <c r="M82" s="731">
        <f t="shared" si="44"/>
        <v>0</v>
      </c>
      <c r="N82" s="46">
        <f t="shared" si="24"/>
        <v>2.3475000000000001</v>
      </c>
      <c r="O82" s="897">
        <f t="shared" si="25"/>
        <v>1078</v>
      </c>
      <c r="P82" s="221"/>
      <c r="Q82" s="141">
        <v>2.8000000000000001E-2</v>
      </c>
      <c r="R82" s="142">
        <f t="shared" si="26"/>
        <v>0.98</v>
      </c>
      <c r="S82" s="351"/>
      <c r="Z82" s="208">
        <f t="shared" si="40"/>
        <v>0.98</v>
      </c>
      <c r="AA82" s="208">
        <f t="shared" si="41"/>
        <v>0</v>
      </c>
      <c r="AB82" s="208">
        <f t="shared" si="42"/>
        <v>0</v>
      </c>
      <c r="AC82" s="208">
        <f t="shared" si="43"/>
        <v>0</v>
      </c>
    </row>
    <row r="83" spans="1:260">
      <c r="A83" s="360"/>
      <c r="B83" s="140" t="s">
        <v>187</v>
      </c>
      <c r="C83" s="51" t="str">
        <f>VLOOKUP(B83,'Item Data Support Sheet'!A:B,2,0)</f>
        <v>KPP 240 BOTTLE PRINTED (WMG3B) W/O OZ &amp; W/BIS LOGO</v>
      </c>
      <c r="D83" s="26" t="str">
        <f>IFERROR(VLOOKUP(B83,'Item Data Support Sheet'!A:O,15,0),0)</f>
        <v>KPP8_W</v>
      </c>
      <c r="E83" s="400">
        <v>800</v>
      </c>
      <c r="F83" s="17">
        <f>SUMIF('Data Sheet Aug-2021'!E:E,PVA!B83,'Data Sheet Aug-2021'!N:N)</f>
        <v>5191</v>
      </c>
      <c r="G83" s="17">
        <f>SUMIF('Data Sheet Aug-2021'!E:E,PVA!B83,'Data Sheet Aug-2021'!O:O)</f>
        <v>5091</v>
      </c>
      <c r="H83" s="17">
        <f>SUMIF('Data Sheet Aug-2021'!E:E,PVA!B83,'Data Sheet Aug-2021'!T:T)</f>
        <v>100</v>
      </c>
      <c r="I83" s="17">
        <f>SUMIF('Data Sheet Aug-2021'!E:E,PVA!B83,'Data Sheet Aug-2021'!U:U)</f>
        <v>0</v>
      </c>
      <c r="J83" s="17">
        <f>SUMIF('Data Sheet Aug-2021'!E:E,PVA!B83,'Data Sheet Aug-2021'!P:P)</f>
        <v>0</v>
      </c>
      <c r="K83" s="17">
        <f>SUMIF('Data Sheet Aug-2021'!E:E,PVA!B83,'Data Sheet Aug-2021'!Q:Q)</f>
        <v>0</v>
      </c>
      <c r="L83" s="45">
        <f t="shared" si="39"/>
        <v>1.9264110961279137E-2</v>
      </c>
      <c r="M83" s="731">
        <f t="shared" si="44"/>
        <v>0</v>
      </c>
      <c r="N83" s="46">
        <f t="shared" si="24"/>
        <v>6.3637499999999996</v>
      </c>
      <c r="O83" s="897">
        <f t="shared" si="25"/>
        <v>4291</v>
      </c>
      <c r="P83" s="221"/>
      <c r="Q83" s="141">
        <v>3.2000000000000001E-2</v>
      </c>
      <c r="R83" s="142">
        <f t="shared" si="26"/>
        <v>3.2</v>
      </c>
      <c r="S83" s="351"/>
      <c r="Z83" s="208">
        <f t="shared" si="40"/>
        <v>3.2</v>
      </c>
      <c r="AA83" s="208">
        <f t="shared" si="41"/>
        <v>0</v>
      </c>
      <c r="AB83" s="208">
        <f t="shared" si="42"/>
        <v>0</v>
      </c>
      <c r="AC83" s="208">
        <f t="shared" si="43"/>
        <v>0</v>
      </c>
    </row>
    <row r="84" spans="1:260">
      <c r="A84" s="360"/>
      <c r="B84" s="140" t="s">
        <v>392</v>
      </c>
      <c r="C84" s="51" t="str">
        <f>VLOOKUP(B84,'Item Data Support Sheet'!A:B,2,0)</f>
        <v>RPP 120ML RACOON PINK PRINTED BULK (WM3GB)</v>
      </c>
      <c r="D84" s="26" t="str">
        <f>IFERROR(VLOOKUP(B84,'Item Data Support Sheet'!A:O,15,0),0)</f>
        <v>RPP4_W</v>
      </c>
      <c r="E84" s="400">
        <v>0</v>
      </c>
      <c r="F84" s="17">
        <f>SUMIF('Data Sheet Aug-2021'!E:E,PVA!B84,'Data Sheet Aug-2021'!N:N)</f>
        <v>0</v>
      </c>
      <c r="G84" s="17">
        <f>SUMIF('Data Sheet Aug-2021'!E:E,PVA!B84,'Data Sheet Aug-2021'!O:O)</f>
        <v>0</v>
      </c>
      <c r="H84" s="17">
        <f>SUMIF('Data Sheet Aug-2021'!E:E,PVA!B84,'Data Sheet Aug-2021'!T:T)</f>
        <v>0</v>
      </c>
      <c r="I84" s="17">
        <f>SUMIF('Data Sheet Aug-2021'!E:E,PVA!B84,'Data Sheet Aug-2021'!U:U)</f>
        <v>0</v>
      </c>
      <c r="J84" s="17">
        <f>SUMIF('Data Sheet Aug-2021'!E:E,PVA!B84,'Data Sheet Aug-2021'!P:P)</f>
        <v>0</v>
      </c>
      <c r="K84" s="17">
        <f>SUMIF('Data Sheet Aug-2021'!E:E,PVA!B84,'Data Sheet Aug-2021'!Q:Q)</f>
        <v>0</v>
      </c>
      <c r="L84" s="45">
        <f t="shared" si="39"/>
        <v>0</v>
      </c>
      <c r="M84" s="731">
        <f t="shared" si="44"/>
        <v>0</v>
      </c>
      <c r="N84" s="46">
        <f t="shared" si="24"/>
        <v>0</v>
      </c>
      <c r="O84" s="897">
        <f t="shared" si="25"/>
        <v>0</v>
      </c>
      <c r="P84" s="221"/>
      <c r="Q84" s="141">
        <v>2.1999999999999999E-2</v>
      </c>
      <c r="R84" s="142">
        <f t="shared" si="26"/>
        <v>0</v>
      </c>
      <c r="S84" s="351"/>
      <c r="Z84" s="208">
        <f t="shared" si="40"/>
        <v>0</v>
      </c>
      <c r="AA84" s="208">
        <f t="shared" si="41"/>
        <v>0</v>
      </c>
      <c r="AB84" s="208">
        <f t="shared" si="42"/>
        <v>0</v>
      </c>
      <c r="AC84" s="208">
        <f t="shared" si="43"/>
        <v>0</v>
      </c>
    </row>
    <row r="85" spans="1:260">
      <c r="A85" s="360"/>
      <c r="B85" s="140" t="s">
        <v>366</v>
      </c>
      <c r="C85" s="51" t="str">
        <f>VLOOKUP(B85,'Item Data Support Sheet'!A:B,2,0)</f>
        <v>RPP 240ML DRAGON PINK PPRINTED BULK (WM3GB)</v>
      </c>
      <c r="D85" s="26" t="str">
        <f>IFERROR(VLOOKUP(B85,'Item Data Support Sheet'!A:O,15,0),0)</f>
        <v>RPP8_W</v>
      </c>
      <c r="E85" s="400">
        <v>0</v>
      </c>
      <c r="F85" s="17">
        <f>SUMIF('Data Sheet Aug-2021'!E:E,PVA!B85,'Data Sheet Aug-2021'!N:N)</f>
        <v>0</v>
      </c>
      <c r="G85" s="17">
        <f>SUMIF('Data Sheet Aug-2021'!E:E,PVA!B85,'Data Sheet Aug-2021'!O:O)</f>
        <v>0</v>
      </c>
      <c r="H85" s="17">
        <f>SUMIF('Data Sheet Aug-2021'!E:E,PVA!B85,'Data Sheet Aug-2021'!T:T)</f>
        <v>0</v>
      </c>
      <c r="I85" s="17">
        <f>SUMIF('Data Sheet Aug-2021'!E:E,PVA!B85,'Data Sheet Aug-2021'!U:U)</f>
        <v>0</v>
      </c>
      <c r="J85" s="17">
        <f>SUMIF('Data Sheet Aug-2021'!E:E,PVA!B85,'Data Sheet Aug-2021'!P:P)</f>
        <v>0</v>
      </c>
      <c r="K85" s="17">
        <f>SUMIF('Data Sheet Aug-2021'!E:E,PVA!B85,'Data Sheet Aug-2021'!Q:Q)</f>
        <v>0</v>
      </c>
      <c r="L85" s="45">
        <f t="shared" si="39"/>
        <v>0</v>
      </c>
      <c r="M85" s="731">
        <f t="shared" si="44"/>
        <v>0</v>
      </c>
      <c r="N85" s="46">
        <f t="shared" si="24"/>
        <v>0</v>
      </c>
      <c r="O85" s="897">
        <f t="shared" si="25"/>
        <v>0</v>
      </c>
      <c r="P85" s="221"/>
      <c r="Q85" s="141">
        <v>3.2000000000000001E-2</v>
      </c>
      <c r="R85" s="142">
        <f t="shared" si="26"/>
        <v>0</v>
      </c>
      <c r="S85" s="351"/>
      <c r="Z85" s="208">
        <f t="shared" si="40"/>
        <v>0</v>
      </c>
      <c r="AA85" s="208">
        <f t="shared" si="41"/>
        <v>0</v>
      </c>
      <c r="AB85" s="208">
        <f t="shared" si="42"/>
        <v>0</v>
      </c>
      <c r="AC85" s="208">
        <f t="shared" si="43"/>
        <v>0</v>
      </c>
    </row>
    <row r="86" spans="1:260">
      <c r="A86" s="360"/>
      <c r="B86" s="140" t="s">
        <v>231</v>
      </c>
      <c r="C86" s="51" t="str">
        <f>VLOOKUP(B86,'Item Data Support Sheet'!A:B,2,0)</f>
        <v>RPP 120ML GRL PNK BOTLE PNTD WM3GB W/BIS LOGO</v>
      </c>
      <c r="D86" s="26" t="str">
        <f>IFERROR(VLOOKUP(B86,'Item Data Support Sheet'!A:O,15,0),0)</f>
        <v>RPP4_W</v>
      </c>
      <c r="E86" s="400">
        <v>0</v>
      </c>
      <c r="F86" s="17">
        <f>SUMIF('Data Sheet Aug-2021'!E:E,PVA!B86,'Data Sheet Aug-2021'!N:N)</f>
        <v>1867</v>
      </c>
      <c r="G86" s="17">
        <f>SUMIF('Data Sheet Aug-2021'!E:E,PVA!B86,'Data Sheet Aug-2021'!O:O)</f>
        <v>1845</v>
      </c>
      <c r="H86" s="17">
        <f>SUMIF('Data Sheet Aug-2021'!E:E,PVA!B86,'Data Sheet Aug-2021'!T:T)</f>
        <v>22</v>
      </c>
      <c r="I86" s="17">
        <f>SUMIF('Data Sheet Aug-2021'!E:E,PVA!B86,'Data Sheet Aug-2021'!U:U)</f>
        <v>0</v>
      </c>
      <c r="J86" s="17">
        <f>SUMIF('Data Sheet Aug-2021'!E:E,PVA!B86,'Data Sheet Aug-2021'!P:P)</f>
        <v>0</v>
      </c>
      <c r="K86" s="17">
        <f>SUMIF('Data Sheet Aug-2021'!E:E,PVA!B86,'Data Sheet Aug-2021'!Q:Q)</f>
        <v>0</v>
      </c>
      <c r="L86" s="45">
        <f t="shared" si="39"/>
        <v>1.1783610069630423E-2</v>
      </c>
      <c r="M86" s="731">
        <f t="shared" si="44"/>
        <v>0</v>
      </c>
      <c r="N86" s="46">
        <f t="shared" si="24"/>
        <v>0</v>
      </c>
      <c r="O86" s="897">
        <f t="shared" si="25"/>
        <v>1845</v>
      </c>
      <c r="P86" s="221"/>
      <c r="Q86" s="141">
        <v>2.1999999999999999E-2</v>
      </c>
      <c r="R86" s="142">
        <f t="shared" si="26"/>
        <v>0.48399999999999999</v>
      </c>
      <c r="S86" s="351"/>
      <c r="Z86" s="208">
        <f t="shared" si="40"/>
        <v>0.48399999999999999</v>
      </c>
      <c r="AA86" s="208">
        <f t="shared" si="41"/>
        <v>0</v>
      </c>
      <c r="AB86" s="208">
        <f t="shared" si="42"/>
        <v>0</v>
      </c>
      <c r="AC86" s="208">
        <f t="shared" si="43"/>
        <v>0</v>
      </c>
    </row>
    <row r="87" spans="1:260">
      <c r="A87" s="360"/>
      <c r="B87" s="140" t="s">
        <v>355</v>
      </c>
      <c r="C87" s="51" t="str">
        <f>VLOOKUP(B87,'Item Data Support Sheet'!A:B,2,0)</f>
        <v>RPP 240ML GRL PNK BOTLE PNTD WM3GB W/BIS LOGO</v>
      </c>
      <c r="D87" s="26" t="str">
        <f>IFERROR(VLOOKUP(B87,'Item Data Support Sheet'!A:O,15,0),0)</f>
        <v>RPP8_W</v>
      </c>
      <c r="E87" s="400">
        <v>600</v>
      </c>
      <c r="F87" s="17">
        <f>SUMIF('Data Sheet Aug-2021'!E:E,PVA!B87,'Data Sheet Aug-2021'!N:N)</f>
        <v>2717</v>
      </c>
      <c r="G87" s="17">
        <f>SUMIF('Data Sheet Aug-2021'!E:E,PVA!B87,'Data Sheet Aug-2021'!O:O)</f>
        <v>2676</v>
      </c>
      <c r="H87" s="17">
        <f>SUMIF('Data Sheet Aug-2021'!E:E,PVA!B87,'Data Sheet Aug-2021'!T:T)</f>
        <v>41</v>
      </c>
      <c r="I87" s="17">
        <f>SUMIF('Data Sheet Aug-2021'!E:E,PVA!B87,'Data Sheet Aug-2021'!U:U)</f>
        <v>0</v>
      </c>
      <c r="J87" s="17">
        <f>SUMIF('Data Sheet Aug-2021'!E:E,PVA!B87,'Data Sheet Aug-2021'!P:P)</f>
        <v>0</v>
      </c>
      <c r="K87" s="17">
        <f>SUMIF('Data Sheet Aug-2021'!E:E,PVA!B87,'Data Sheet Aug-2021'!Q:Q)</f>
        <v>0</v>
      </c>
      <c r="L87" s="45">
        <f t="shared" si="39"/>
        <v>1.5090172984909826E-2</v>
      </c>
      <c r="M87" s="731">
        <f t="shared" si="44"/>
        <v>0</v>
      </c>
      <c r="N87" s="46">
        <f t="shared" si="24"/>
        <v>4.46</v>
      </c>
      <c r="O87" s="897">
        <f t="shared" si="25"/>
        <v>2076</v>
      </c>
      <c r="P87" s="221"/>
      <c r="Q87" s="141">
        <v>3.2000000000000001E-2</v>
      </c>
      <c r="R87" s="142">
        <f t="shared" si="26"/>
        <v>1.3120000000000001</v>
      </c>
      <c r="S87" s="351"/>
      <c r="Z87" s="208">
        <f t="shared" si="40"/>
        <v>1.3120000000000001</v>
      </c>
      <c r="AA87" s="208">
        <f t="shared" si="41"/>
        <v>0</v>
      </c>
      <c r="AB87" s="208">
        <f t="shared" si="42"/>
        <v>0</v>
      </c>
      <c r="AC87" s="208">
        <f t="shared" si="43"/>
        <v>0</v>
      </c>
    </row>
    <row r="88" spans="1:260">
      <c r="A88" s="360"/>
      <c r="B88" s="140" t="s">
        <v>232</v>
      </c>
      <c r="C88" s="51" t="str">
        <f>VLOOKUP(B88,'Item Data Support Sheet'!A:B,2,0)</f>
        <v>RPP 120ML BOY BLUE BOTLE PNTD WM3GB W/BIS LOGO</v>
      </c>
      <c r="D88" s="26" t="str">
        <f>IFERROR(VLOOKUP(B88,'Item Data Support Sheet'!A:O,15,0),0)</f>
        <v>RPP4_W</v>
      </c>
      <c r="E88" s="400">
        <v>600</v>
      </c>
      <c r="F88" s="17">
        <f>SUMIF('Data Sheet Aug-2021'!E:E,PVA!B88,'Data Sheet Aug-2021'!N:N)</f>
        <v>3030</v>
      </c>
      <c r="G88" s="17">
        <f>SUMIF('Data Sheet Aug-2021'!E:E,PVA!B88,'Data Sheet Aug-2021'!O:O)</f>
        <v>2987</v>
      </c>
      <c r="H88" s="17">
        <f>SUMIF('Data Sheet Aug-2021'!E:E,PVA!B88,'Data Sheet Aug-2021'!T:T)</f>
        <v>43</v>
      </c>
      <c r="I88" s="17">
        <f>SUMIF('Data Sheet Aug-2021'!E:E,PVA!B88,'Data Sheet Aug-2021'!U:U)</f>
        <v>0</v>
      </c>
      <c r="J88" s="17">
        <f>SUMIF('Data Sheet Aug-2021'!E:E,PVA!B88,'Data Sheet Aug-2021'!P:P)</f>
        <v>0</v>
      </c>
      <c r="K88" s="17">
        <f>SUMIF('Data Sheet Aug-2021'!E:E,PVA!B88,'Data Sheet Aug-2021'!Q:Q)</f>
        <v>0</v>
      </c>
      <c r="L88" s="45">
        <f t="shared" si="39"/>
        <v>1.4191419141914191E-2</v>
      </c>
      <c r="M88" s="731">
        <f t="shared" si="44"/>
        <v>0</v>
      </c>
      <c r="N88" s="46">
        <f t="shared" si="24"/>
        <v>4.9783333333333335</v>
      </c>
      <c r="O88" s="897">
        <f t="shared" si="25"/>
        <v>2387</v>
      </c>
      <c r="P88" s="221"/>
      <c r="Q88" s="141">
        <v>2.1999999999999999E-2</v>
      </c>
      <c r="R88" s="142">
        <f t="shared" si="26"/>
        <v>0.94599999999999995</v>
      </c>
      <c r="S88" s="351"/>
      <c r="Z88" s="208">
        <f t="shared" si="40"/>
        <v>0.94599999999999995</v>
      </c>
      <c r="AA88" s="208">
        <f t="shared" si="41"/>
        <v>0</v>
      </c>
      <c r="AB88" s="208">
        <f t="shared" si="42"/>
        <v>0</v>
      </c>
      <c r="AC88" s="208">
        <f t="shared" si="43"/>
        <v>0</v>
      </c>
    </row>
    <row r="89" spans="1:260">
      <c r="A89" s="360"/>
      <c r="B89" s="140" t="s">
        <v>230</v>
      </c>
      <c r="C89" s="51" t="str">
        <f>VLOOKUP(B89,'Item Data Support Sheet'!A:B,2,0)</f>
        <v>RPP 240ML BOY BLUE BOTLE PNTD WM3GB W/BIS LOGO</v>
      </c>
      <c r="D89" s="26" t="str">
        <f>IFERROR(VLOOKUP(B89,'Item Data Support Sheet'!A:O,15,0),0)</f>
        <v>RPP8_W</v>
      </c>
      <c r="E89" s="400">
        <v>0</v>
      </c>
      <c r="F89" s="17">
        <f>SUMIF('Data Sheet Aug-2021'!E:E,PVA!B89,'Data Sheet Aug-2021'!N:N)</f>
        <v>1453</v>
      </c>
      <c r="G89" s="17">
        <f>SUMIF('Data Sheet Aug-2021'!E:E,PVA!B89,'Data Sheet Aug-2021'!O:O)</f>
        <v>1440</v>
      </c>
      <c r="H89" s="17">
        <f>SUMIF('Data Sheet Aug-2021'!E:E,PVA!B89,'Data Sheet Aug-2021'!T:T)</f>
        <v>13</v>
      </c>
      <c r="I89" s="17">
        <f>SUMIF('Data Sheet Aug-2021'!E:E,PVA!B89,'Data Sheet Aug-2021'!U:U)</f>
        <v>0</v>
      </c>
      <c r="J89" s="17">
        <f>SUMIF('Data Sheet Aug-2021'!E:E,PVA!B89,'Data Sheet Aug-2021'!P:P)</f>
        <v>0</v>
      </c>
      <c r="K89" s="17">
        <f>SUMIF('Data Sheet Aug-2021'!E:E,PVA!B89,'Data Sheet Aug-2021'!Q:Q)</f>
        <v>0</v>
      </c>
      <c r="L89" s="45">
        <f t="shared" si="39"/>
        <v>8.9470061940812116E-3</v>
      </c>
      <c r="M89" s="731">
        <f t="shared" si="44"/>
        <v>0</v>
      </c>
      <c r="N89" s="46">
        <f t="shared" si="24"/>
        <v>0</v>
      </c>
      <c r="O89" s="897">
        <f t="shared" si="25"/>
        <v>1440</v>
      </c>
      <c r="P89" s="221"/>
      <c r="Q89" s="141">
        <v>3.2000000000000001E-2</v>
      </c>
      <c r="R89" s="142">
        <f t="shared" si="26"/>
        <v>0.41600000000000004</v>
      </c>
      <c r="S89" s="351"/>
      <c r="Z89" s="208">
        <f t="shared" si="40"/>
        <v>0.41600000000000004</v>
      </c>
      <c r="AA89" s="208">
        <f t="shared" si="41"/>
        <v>0</v>
      </c>
      <c r="AB89" s="208">
        <f t="shared" si="42"/>
        <v>0</v>
      </c>
      <c r="AC89" s="208">
        <f t="shared" si="43"/>
        <v>0</v>
      </c>
    </row>
    <row r="90" spans="1:260">
      <c r="A90" s="360"/>
      <c r="B90" s="140" t="s">
        <v>356</v>
      </c>
      <c r="C90" s="51" t="str">
        <f>VLOOKUP(B90,'Item Data Support Sheet'!A:B,2,0)</f>
        <v>RPP 120ML ABSTRCT PNK BOTLE PNTD WM3GB W/BIS LOGO</v>
      </c>
      <c r="D90" s="26" t="str">
        <f>IFERROR(VLOOKUP(B90,'Item Data Support Sheet'!A:O,15,0),0)</f>
        <v>RPP4_W</v>
      </c>
      <c r="E90" s="400">
        <v>1400</v>
      </c>
      <c r="F90" s="17">
        <f>SUMIF('Data Sheet Aug-2021'!E:E,PVA!B90,'Data Sheet Aug-2021'!N:N)</f>
        <v>1443</v>
      </c>
      <c r="G90" s="17">
        <f>SUMIF('Data Sheet Aug-2021'!E:E,PVA!B90,'Data Sheet Aug-2021'!O:O)</f>
        <v>1412</v>
      </c>
      <c r="H90" s="17">
        <f>SUMIF('Data Sheet Aug-2021'!E:E,PVA!B90,'Data Sheet Aug-2021'!T:T)</f>
        <v>31</v>
      </c>
      <c r="I90" s="17">
        <f>SUMIF('Data Sheet Aug-2021'!E:E,PVA!B90,'Data Sheet Aug-2021'!U:U)</f>
        <v>0</v>
      </c>
      <c r="J90" s="17">
        <f>SUMIF('Data Sheet Aug-2021'!E:E,PVA!B90,'Data Sheet Aug-2021'!P:P)</f>
        <v>0</v>
      </c>
      <c r="K90" s="17">
        <f>SUMIF('Data Sheet Aug-2021'!E:E,PVA!B90,'Data Sheet Aug-2021'!Q:Q)</f>
        <v>0</v>
      </c>
      <c r="L90" s="45">
        <f t="shared" si="39"/>
        <v>2.1483021483021482E-2</v>
      </c>
      <c r="M90" s="731">
        <f t="shared" si="44"/>
        <v>0</v>
      </c>
      <c r="N90" s="46">
        <f t="shared" si="24"/>
        <v>1.0085714285714287</v>
      </c>
      <c r="O90" s="897">
        <f t="shared" si="25"/>
        <v>12</v>
      </c>
      <c r="P90" s="221"/>
      <c r="Q90" s="141">
        <v>2.1999999999999999E-2</v>
      </c>
      <c r="R90" s="142">
        <f t="shared" si="26"/>
        <v>0.68199999999999994</v>
      </c>
      <c r="S90" s="351"/>
      <c r="Z90" s="208">
        <f t="shared" si="40"/>
        <v>0.68199999999999994</v>
      </c>
      <c r="AA90" s="208">
        <f t="shared" si="41"/>
        <v>0</v>
      </c>
      <c r="AB90" s="208">
        <f t="shared" si="42"/>
        <v>0</v>
      </c>
      <c r="AC90" s="208">
        <f t="shared" si="43"/>
        <v>0</v>
      </c>
    </row>
    <row r="91" spans="1:260">
      <c r="A91" s="360"/>
      <c r="B91" s="140" t="s">
        <v>357</v>
      </c>
      <c r="C91" s="51" t="str">
        <f>VLOOKUP(B91,'Item Data Support Sheet'!A:B,2,0)</f>
        <v>RPP 240ML ABSTRCT PNK BOTLE PNTD WM3GB W/BIS LOGO</v>
      </c>
      <c r="D91" s="26" t="str">
        <f>IFERROR(VLOOKUP(B91,'Item Data Support Sheet'!A:O,15,0),0)</f>
        <v>RPP8_W</v>
      </c>
      <c r="E91" s="400">
        <v>0</v>
      </c>
      <c r="F91" s="17">
        <f>SUMIF('Data Sheet Aug-2021'!E:E,PVA!B91,'Data Sheet Aug-2021'!N:N)</f>
        <v>987</v>
      </c>
      <c r="G91" s="17">
        <f>SUMIF('Data Sheet Aug-2021'!E:E,PVA!B91,'Data Sheet Aug-2021'!O:O)</f>
        <v>973</v>
      </c>
      <c r="H91" s="17">
        <f>SUMIF('Data Sheet Aug-2021'!E:E,PVA!B91,'Data Sheet Aug-2021'!T:T)</f>
        <v>14</v>
      </c>
      <c r="I91" s="17">
        <f>SUMIF('Data Sheet Aug-2021'!E:E,PVA!B91,'Data Sheet Aug-2021'!U:U)</f>
        <v>0</v>
      </c>
      <c r="J91" s="17">
        <f>SUMIF('Data Sheet Aug-2021'!E:E,PVA!B91,'Data Sheet Aug-2021'!P:P)</f>
        <v>0</v>
      </c>
      <c r="K91" s="17">
        <f>SUMIF('Data Sheet Aug-2021'!E:E,PVA!B91,'Data Sheet Aug-2021'!Q:Q)</f>
        <v>0</v>
      </c>
      <c r="L91" s="45">
        <f>IFERROR(SUM(H91:I91)/SUM(G91:I91),0)</f>
        <v>1.4184397163120567E-2</v>
      </c>
      <c r="M91" s="731">
        <f t="shared" si="44"/>
        <v>0</v>
      </c>
      <c r="N91" s="46">
        <f>IFERROR(G91/E91,0)</f>
        <v>0</v>
      </c>
      <c r="O91" s="897">
        <f>G91-E91</f>
        <v>973</v>
      </c>
      <c r="P91" s="221"/>
      <c r="Q91" s="141">
        <v>3.2000000000000001E-2</v>
      </c>
      <c r="R91" s="142">
        <f t="shared" si="26"/>
        <v>0.44800000000000001</v>
      </c>
      <c r="S91" s="351"/>
      <c r="Z91" s="208">
        <f t="shared" si="40"/>
        <v>0.44800000000000001</v>
      </c>
      <c r="AA91" s="208">
        <f t="shared" si="41"/>
        <v>0</v>
      </c>
      <c r="AB91" s="208">
        <f t="shared" si="42"/>
        <v>0</v>
      </c>
      <c r="AC91" s="208">
        <f t="shared" si="43"/>
        <v>0</v>
      </c>
    </row>
    <row r="92" spans="1:260">
      <c r="A92" s="360"/>
      <c r="B92" s="140" t="s">
        <v>369</v>
      </c>
      <c r="C92" s="51" t="str">
        <f>VLOOKUP(B92,'Item Data Support Sheet'!A:B,2,0)</f>
        <v>RPP 120ML ABSTRCT BLU BOTLE PNTD WM3GB W/BIS LOGO</v>
      </c>
      <c r="D92" s="26" t="str">
        <f>IFERROR(VLOOKUP(B92,'Item Data Support Sheet'!A:O,15,0),0)</f>
        <v>RPP4_W</v>
      </c>
      <c r="E92" s="400">
        <v>0</v>
      </c>
      <c r="F92" s="17">
        <f>SUMIF('Data Sheet Aug-2021'!E:E,PVA!B92,'Data Sheet Aug-2021'!N:N)</f>
        <v>1977</v>
      </c>
      <c r="G92" s="17">
        <f>SUMIF('Data Sheet Aug-2021'!E:E,PVA!B92,'Data Sheet Aug-2021'!O:O)</f>
        <v>1944</v>
      </c>
      <c r="H92" s="17">
        <f>SUMIF('Data Sheet Aug-2021'!E:E,PVA!B92,'Data Sheet Aug-2021'!T:T)</f>
        <v>33</v>
      </c>
      <c r="I92" s="17">
        <f>SUMIF('Data Sheet Aug-2021'!E:E,PVA!B92,'Data Sheet Aug-2021'!U:U)</f>
        <v>0</v>
      </c>
      <c r="J92" s="17">
        <f>SUMIF('Data Sheet Aug-2021'!E:E,PVA!B92,'Data Sheet Aug-2021'!P:P)</f>
        <v>0</v>
      </c>
      <c r="K92" s="17">
        <f>SUMIF('Data Sheet Aug-2021'!E:E,PVA!B92,'Data Sheet Aug-2021'!Q:Q)</f>
        <v>0</v>
      </c>
      <c r="L92" s="45">
        <f t="shared" ref="L92:L97" si="45">IFERROR(SUM(H92:I92)/SUM(G92:I92),0)</f>
        <v>1.6691957511380879E-2</v>
      </c>
      <c r="M92" s="731">
        <f t="shared" si="44"/>
        <v>0</v>
      </c>
      <c r="N92" s="46">
        <f t="shared" ref="N92:N97" si="46">IFERROR(G92/E92,0)</f>
        <v>0</v>
      </c>
      <c r="O92" s="897">
        <f t="shared" ref="O92:O97" si="47">G92-E92</f>
        <v>1944</v>
      </c>
      <c r="P92" s="221"/>
      <c r="Q92" s="141">
        <v>2.1999999999999999E-2</v>
      </c>
      <c r="R92" s="142">
        <f t="shared" si="26"/>
        <v>0.72599999999999998</v>
      </c>
      <c r="S92" s="351"/>
      <c r="Z92" s="208">
        <f t="shared" si="40"/>
        <v>0.72599999999999998</v>
      </c>
      <c r="AA92" s="208">
        <f t="shared" si="41"/>
        <v>0</v>
      </c>
      <c r="AB92" s="208">
        <f t="shared" si="42"/>
        <v>0</v>
      </c>
      <c r="AC92" s="208">
        <f t="shared" si="43"/>
        <v>0</v>
      </c>
    </row>
    <row r="93" spans="1:260">
      <c r="A93" s="360"/>
      <c r="B93" s="140" t="s">
        <v>370</v>
      </c>
      <c r="C93" s="51" t="str">
        <f>VLOOKUP(B93,'Item Data Support Sheet'!A:B,2,0)</f>
        <v>RPP 240ML ABSTRCT BLU BOTLE PNTD WM3GB W/BIS LOGO</v>
      </c>
      <c r="D93" s="26" t="str">
        <f>IFERROR(VLOOKUP(B93,'Item Data Support Sheet'!A:O,15,0),0)</f>
        <v>RPP8_W</v>
      </c>
      <c r="E93" s="400">
        <v>0</v>
      </c>
      <c r="F93" s="17">
        <f>SUMIF('Data Sheet Aug-2021'!E:E,PVA!B93,'Data Sheet Aug-2021'!N:N)</f>
        <v>1424</v>
      </c>
      <c r="G93" s="17">
        <f>SUMIF('Data Sheet Aug-2021'!E:E,PVA!B93,'Data Sheet Aug-2021'!O:O)</f>
        <v>1402</v>
      </c>
      <c r="H93" s="17">
        <f>SUMIF('Data Sheet Aug-2021'!E:E,PVA!B93,'Data Sheet Aug-2021'!T:T)</f>
        <v>22</v>
      </c>
      <c r="I93" s="17">
        <f>SUMIF('Data Sheet Aug-2021'!E:E,PVA!B93,'Data Sheet Aug-2021'!U:U)</f>
        <v>0</v>
      </c>
      <c r="J93" s="17">
        <f>SUMIF('Data Sheet Aug-2021'!E:E,PVA!B93,'Data Sheet Aug-2021'!P:P)</f>
        <v>0</v>
      </c>
      <c r="K93" s="17">
        <f>SUMIF('Data Sheet Aug-2021'!E:E,PVA!B93,'Data Sheet Aug-2021'!Q:Q)</f>
        <v>0</v>
      </c>
      <c r="L93" s="45">
        <f t="shared" si="45"/>
        <v>1.5449438202247191E-2</v>
      </c>
      <c r="M93" s="731">
        <f t="shared" si="44"/>
        <v>0</v>
      </c>
      <c r="N93" s="46">
        <f t="shared" si="46"/>
        <v>0</v>
      </c>
      <c r="O93" s="897">
        <f t="shared" si="47"/>
        <v>1402</v>
      </c>
      <c r="P93" s="221"/>
      <c r="Q93" s="141">
        <v>3.2000000000000001E-2</v>
      </c>
      <c r="R93" s="142">
        <f t="shared" si="26"/>
        <v>0.70399999999999996</v>
      </c>
      <c r="S93" s="351"/>
      <c r="Z93" s="208">
        <f t="shared" si="40"/>
        <v>0.70399999999999996</v>
      </c>
      <c r="AA93" s="208">
        <f t="shared" si="41"/>
        <v>0</v>
      </c>
      <c r="AB93" s="208">
        <f t="shared" si="42"/>
        <v>0</v>
      </c>
      <c r="AC93" s="208">
        <f t="shared" si="43"/>
        <v>0</v>
      </c>
    </row>
    <row r="94" spans="1:260">
      <c r="A94" s="360"/>
      <c r="B94" s="140" t="s">
        <v>358</v>
      </c>
      <c r="C94" s="51" t="str">
        <f>VLOOKUP(B94,'Item Data Support Sheet'!A:B,2,0)</f>
        <v>RPP 120ML FLORAL PNK BOTLE PNTD WM3GB W/BIS LOGO</v>
      </c>
      <c r="D94" s="26" t="str">
        <f>IFERROR(VLOOKUP(B94,'Item Data Support Sheet'!A:O,15,0),0)</f>
        <v>RPP4_W</v>
      </c>
      <c r="E94" s="400">
        <v>1000</v>
      </c>
      <c r="F94" s="17">
        <f>SUMIF('Data Sheet Aug-2021'!E:E,PVA!B94,'Data Sheet Aug-2021'!N:N)</f>
        <v>2817</v>
      </c>
      <c r="G94" s="17">
        <f>SUMIF('Data Sheet Aug-2021'!E:E,PVA!B94,'Data Sheet Aug-2021'!O:O)</f>
        <v>2784</v>
      </c>
      <c r="H94" s="17">
        <f>SUMIF('Data Sheet Aug-2021'!E:E,PVA!B94,'Data Sheet Aug-2021'!T:T)</f>
        <v>33</v>
      </c>
      <c r="I94" s="17">
        <f>SUMIF('Data Sheet Aug-2021'!E:E,PVA!B94,'Data Sheet Aug-2021'!U:U)</f>
        <v>0</v>
      </c>
      <c r="J94" s="17">
        <f>SUMIF('Data Sheet Aug-2021'!E:E,PVA!B94,'Data Sheet Aug-2021'!P:P)</f>
        <v>0</v>
      </c>
      <c r="K94" s="17">
        <f>SUMIF('Data Sheet Aug-2021'!E:E,PVA!B94,'Data Sheet Aug-2021'!Q:Q)</f>
        <v>0</v>
      </c>
      <c r="L94" s="45">
        <f t="shared" si="45"/>
        <v>1.1714589989350373E-2</v>
      </c>
      <c r="M94" s="731">
        <f t="shared" si="44"/>
        <v>0</v>
      </c>
      <c r="N94" s="46">
        <f t="shared" si="46"/>
        <v>2.7839999999999998</v>
      </c>
      <c r="O94" s="897">
        <f t="shared" si="47"/>
        <v>1784</v>
      </c>
      <c r="P94" s="221"/>
      <c r="Q94" s="141">
        <v>2.1999999999999999E-2</v>
      </c>
      <c r="R94" s="142">
        <f t="shared" si="26"/>
        <v>0.72599999999999998</v>
      </c>
      <c r="S94" s="351"/>
      <c r="Z94" s="208">
        <f t="shared" si="40"/>
        <v>0.72599999999999998</v>
      </c>
      <c r="AA94" s="208">
        <f t="shared" si="41"/>
        <v>0</v>
      </c>
      <c r="AB94" s="208">
        <f t="shared" si="42"/>
        <v>0</v>
      </c>
      <c r="AC94" s="208">
        <f t="shared" si="43"/>
        <v>0</v>
      </c>
    </row>
    <row r="95" spans="1:260">
      <c r="A95" s="360"/>
      <c r="B95" s="140" t="s">
        <v>359</v>
      </c>
      <c r="C95" s="51" t="str">
        <f>VLOOKUP(B95,'Item Data Support Sheet'!A:B,2,0)</f>
        <v>RPP 240ML FLORAL PNK BOTLE PNTD WM3GB W/BIS LOGO</v>
      </c>
      <c r="D95" s="26" t="str">
        <f>IFERROR(VLOOKUP(B95,'Item Data Support Sheet'!A:O,15,0),0)</f>
        <v>RPP8_W</v>
      </c>
      <c r="E95" s="400">
        <v>0</v>
      </c>
      <c r="F95" s="17">
        <f>SUMIF('Data Sheet Aug-2021'!E:E,PVA!B95,'Data Sheet Aug-2021'!N:N)</f>
        <v>1971</v>
      </c>
      <c r="G95" s="17">
        <f>SUMIF('Data Sheet Aug-2021'!E:E,PVA!B95,'Data Sheet Aug-2021'!O:O)</f>
        <v>1935</v>
      </c>
      <c r="H95" s="17">
        <f>SUMIF('Data Sheet Aug-2021'!E:E,PVA!B95,'Data Sheet Aug-2021'!T:T)</f>
        <v>36</v>
      </c>
      <c r="I95" s="17">
        <f>SUMIF('Data Sheet Aug-2021'!E:E,PVA!B95,'Data Sheet Aug-2021'!U:U)</f>
        <v>0</v>
      </c>
      <c r="J95" s="17">
        <f>SUMIF('Data Sheet Aug-2021'!E:E,PVA!B95,'Data Sheet Aug-2021'!P:P)</f>
        <v>0</v>
      </c>
      <c r="K95" s="17">
        <f>SUMIF('Data Sheet Aug-2021'!E:E,PVA!B95,'Data Sheet Aug-2021'!Q:Q)</f>
        <v>0</v>
      </c>
      <c r="L95" s="45">
        <f t="shared" si="45"/>
        <v>1.8264840182648401E-2</v>
      </c>
      <c r="M95" s="731">
        <f t="shared" si="44"/>
        <v>0</v>
      </c>
      <c r="N95" s="46">
        <f t="shared" si="46"/>
        <v>0</v>
      </c>
      <c r="O95" s="897">
        <f t="shared" si="47"/>
        <v>1935</v>
      </c>
      <c r="P95" s="221"/>
      <c r="Q95" s="141">
        <v>3.2000000000000001E-2</v>
      </c>
      <c r="R95" s="142">
        <f t="shared" si="26"/>
        <v>1.1520000000000001</v>
      </c>
      <c r="S95" s="351"/>
      <c r="Z95" s="208">
        <f t="shared" si="40"/>
        <v>1.1520000000000001</v>
      </c>
      <c r="AA95" s="208">
        <f t="shared" si="41"/>
        <v>0</v>
      </c>
      <c r="AB95" s="208">
        <f t="shared" si="42"/>
        <v>0</v>
      </c>
      <c r="AC95" s="208">
        <f t="shared" si="43"/>
        <v>0</v>
      </c>
    </row>
    <row r="96" spans="1:260">
      <c r="A96" s="360" t="s">
        <v>107</v>
      </c>
      <c r="B96" s="140" t="s">
        <v>367</v>
      </c>
      <c r="C96" s="51" t="str">
        <f>VLOOKUP(B96,'Item Data Support Sheet'!A:B,2,0)</f>
        <v>RPP 120ML FLORAL BLUE BOTLE PNTD WM3GB W/BIS LOGO</v>
      </c>
      <c r="D96" s="26" t="str">
        <f>IFERROR(VLOOKUP(B96,'Item Data Support Sheet'!A:O,15,0),0)</f>
        <v>RPP4_W</v>
      </c>
      <c r="E96" s="400">
        <v>0</v>
      </c>
      <c r="F96" s="17">
        <f>SUMIF('Data Sheet Aug-2021'!E:E,PVA!B96,'Data Sheet Aug-2021'!N:N)</f>
        <v>1011</v>
      </c>
      <c r="G96" s="17">
        <f>SUMIF('Data Sheet Aug-2021'!E:E,PVA!B96,'Data Sheet Aug-2021'!O:O)</f>
        <v>1000</v>
      </c>
      <c r="H96" s="17">
        <f>SUMIF('Data Sheet Aug-2021'!E:E,PVA!B96,'Data Sheet Aug-2021'!T:T)</f>
        <v>11</v>
      </c>
      <c r="I96" s="17">
        <f>SUMIF('Data Sheet Aug-2021'!E:E,PVA!B96,'Data Sheet Aug-2021'!U:U)</f>
        <v>0</v>
      </c>
      <c r="J96" s="17">
        <f>SUMIF('Data Sheet Aug-2021'!E:E,PVA!B96,'Data Sheet Aug-2021'!P:P)</f>
        <v>0</v>
      </c>
      <c r="K96" s="17">
        <f>SUMIF('Data Sheet Aug-2021'!E:E,PVA!B96,'Data Sheet Aug-2021'!Q:Q)</f>
        <v>0</v>
      </c>
      <c r="L96" s="45">
        <f t="shared" si="45"/>
        <v>1.0880316518298714E-2</v>
      </c>
      <c r="M96" s="731">
        <f t="shared" si="44"/>
        <v>0</v>
      </c>
      <c r="N96" s="46">
        <f t="shared" si="46"/>
        <v>0</v>
      </c>
      <c r="O96" s="897">
        <f t="shared" si="47"/>
        <v>1000</v>
      </c>
      <c r="P96" s="221"/>
      <c r="Q96" s="141">
        <v>2.1999999999999999E-2</v>
      </c>
      <c r="R96" s="142">
        <f t="shared" si="26"/>
        <v>0.24199999999999999</v>
      </c>
      <c r="S96" s="351"/>
      <c r="Z96" s="208">
        <f t="shared" si="40"/>
        <v>0.24199999999999999</v>
      </c>
      <c r="AA96" s="208">
        <f t="shared" si="41"/>
        <v>0</v>
      </c>
      <c r="AB96" s="208">
        <f t="shared" si="42"/>
        <v>0</v>
      </c>
      <c r="AC96" s="208">
        <f t="shared" si="43"/>
        <v>0</v>
      </c>
    </row>
    <row r="97" spans="1:260" ht="15" thickBot="1">
      <c r="A97" s="360"/>
      <c r="B97" s="140" t="s">
        <v>368</v>
      </c>
      <c r="C97" s="51" t="str">
        <f>VLOOKUP(B97,'Item Data Support Sheet'!A:B,2,0)</f>
        <v>RPP 240ML FLORAL BLUE BOTLE PNTD WM3GB W/BIS LOGO</v>
      </c>
      <c r="D97" s="26" t="str">
        <f>IFERROR(VLOOKUP(B97,'Item Data Support Sheet'!A:O,15,0),0)</f>
        <v>RPP8_W</v>
      </c>
      <c r="E97" s="400">
        <v>0</v>
      </c>
      <c r="F97" s="17">
        <f>SUMIF('Data Sheet Aug-2021'!E:E,PVA!B97,'Data Sheet Aug-2021'!N:N)</f>
        <v>988</v>
      </c>
      <c r="G97" s="17">
        <f>SUMIF('Data Sheet Aug-2021'!E:E,PVA!B97,'Data Sheet Aug-2021'!O:O)</f>
        <v>972</v>
      </c>
      <c r="H97" s="17">
        <f>SUMIF('Data Sheet Aug-2021'!E:E,PVA!B97,'Data Sheet Aug-2021'!T:T)</f>
        <v>16</v>
      </c>
      <c r="I97" s="17">
        <f>SUMIF('Data Sheet Aug-2021'!E:E,PVA!B97,'Data Sheet Aug-2021'!U:U)</f>
        <v>0</v>
      </c>
      <c r="J97" s="17">
        <f>SUMIF('Data Sheet Aug-2021'!E:E,PVA!B97,'Data Sheet Aug-2021'!P:P)</f>
        <v>0</v>
      </c>
      <c r="K97" s="17">
        <f>SUMIF('Data Sheet Aug-2021'!E:E,PVA!B97,'Data Sheet Aug-2021'!Q:Q)</f>
        <v>0</v>
      </c>
      <c r="L97" s="899">
        <f t="shared" si="45"/>
        <v>1.6194331983805668E-2</v>
      </c>
      <c r="M97" s="732">
        <f t="shared" si="44"/>
        <v>0</v>
      </c>
      <c r="N97" s="47">
        <f t="shared" si="46"/>
        <v>0</v>
      </c>
      <c r="O97" s="897">
        <f t="shared" si="47"/>
        <v>972</v>
      </c>
      <c r="P97" s="221"/>
      <c r="Q97" s="141">
        <v>3.2000000000000001E-2</v>
      </c>
      <c r="R97" s="142">
        <f t="shared" si="26"/>
        <v>0.51200000000000001</v>
      </c>
      <c r="S97" s="351"/>
      <c r="U97" s="210">
        <f>SUM(R50:R97)</f>
        <v>36.03</v>
      </c>
      <c r="V97" s="210"/>
      <c r="Z97" s="208">
        <f t="shared" si="40"/>
        <v>0.51200000000000001</v>
      </c>
      <c r="AA97" s="208">
        <f t="shared" si="41"/>
        <v>0</v>
      </c>
      <c r="AB97" s="208">
        <f t="shared" si="42"/>
        <v>0</v>
      </c>
      <c r="AC97" s="208">
        <f t="shared" si="43"/>
        <v>0</v>
      </c>
    </row>
    <row r="98" spans="1:260" s="2" customFormat="1" ht="13.5" thickBot="1">
      <c r="A98" s="360"/>
      <c r="B98" s="82" t="s">
        <v>103</v>
      </c>
      <c r="C98" s="83"/>
      <c r="D98" s="74"/>
      <c r="E98" s="86">
        <f>SUM(E33:E97)</f>
        <v>89120</v>
      </c>
      <c r="F98" s="86">
        <f t="shared" ref="F98:K98" si="48">SUM(F33:F97)</f>
        <v>509163</v>
      </c>
      <c r="G98" s="86">
        <f t="shared" si="48"/>
        <v>504366</v>
      </c>
      <c r="H98" s="86">
        <f t="shared" si="48"/>
        <v>4797</v>
      </c>
      <c r="I98" s="86">
        <f t="shared" si="48"/>
        <v>0</v>
      </c>
      <c r="J98" s="86">
        <f t="shared" si="48"/>
        <v>0</v>
      </c>
      <c r="K98" s="359">
        <f t="shared" si="48"/>
        <v>0</v>
      </c>
      <c r="L98" s="79">
        <f>SUM(H98:I98)/SUM(G98:I98)</f>
        <v>9.4213444417603001E-3</v>
      </c>
      <c r="M98" s="891">
        <f t="shared" si="44"/>
        <v>0</v>
      </c>
      <c r="N98" s="80">
        <f>G98/E98</f>
        <v>5.6594030520646319</v>
      </c>
      <c r="O98" s="88">
        <f>SUM(O33:O97)</f>
        <v>415246</v>
      </c>
      <c r="P98" s="398"/>
      <c r="Q98" s="399"/>
      <c r="R98" s="87">
        <f>SUM(R33:R97)</f>
        <v>134.46869999999998</v>
      </c>
      <c r="S98" s="352"/>
      <c r="T98" s="209"/>
      <c r="U98" s="209"/>
      <c r="V98" s="209"/>
      <c r="W98" s="209"/>
      <c r="X98" s="209"/>
      <c r="Y98" s="209"/>
      <c r="Z98" s="209"/>
      <c r="AA98" s="209"/>
      <c r="AB98" s="209"/>
      <c r="AC98" s="209"/>
      <c r="AD98" s="209"/>
      <c r="AE98" s="209"/>
      <c r="AF98" s="209"/>
      <c r="AG98" s="209"/>
      <c r="AH98" s="209"/>
      <c r="AI98" s="209"/>
      <c r="AJ98" s="209"/>
      <c r="AK98" s="209"/>
      <c r="AL98" s="209"/>
      <c r="AM98" s="209"/>
      <c r="AN98" s="209"/>
      <c r="AO98" s="209"/>
      <c r="AP98" s="209"/>
      <c r="AQ98" s="36"/>
      <c r="AR98" s="36"/>
      <c r="AS98" s="36"/>
      <c r="AT98" s="36"/>
      <c r="AU98" s="36"/>
      <c r="AV98" s="36"/>
      <c r="AW98" s="36"/>
      <c r="AX98" s="36"/>
      <c r="AY98" s="36"/>
    </row>
    <row r="99" spans="1:260" ht="15" thickBot="1">
      <c r="A99" s="360"/>
      <c r="B99" s="401" t="s">
        <v>86</v>
      </c>
      <c r="C99" s="402" t="s">
        <v>10</v>
      </c>
      <c r="D99" s="402"/>
      <c r="E99" s="363" t="s">
        <v>2</v>
      </c>
      <c r="F99" s="363" t="s">
        <v>91</v>
      </c>
      <c r="G99" s="363" t="s">
        <v>3</v>
      </c>
      <c r="H99" s="363" t="s">
        <v>92</v>
      </c>
      <c r="I99" s="363" t="s">
        <v>94</v>
      </c>
      <c r="J99" s="363" t="s">
        <v>6</v>
      </c>
      <c r="K99" s="364" t="s">
        <v>4</v>
      </c>
      <c r="L99" s="895" t="s">
        <v>90</v>
      </c>
      <c r="M99" s="124" t="s">
        <v>2802</v>
      </c>
      <c r="N99" s="896" t="s">
        <v>89</v>
      </c>
      <c r="O99" s="363" t="s">
        <v>93</v>
      </c>
      <c r="P99" s="213" t="s">
        <v>105</v>
      </c>
      <c r="Q99" s="128" t="s">
        <v>418</v>
      </c>
      <c r="R99" s="364" t="s">
        <v>95</v>
      </c>
      <c r="S99" s="353"/>
      <c r="AM99" s="208"/>
      <c r="AN99" s="208"/>
      <c r="AO99" s="208"/>
      <c r="AP99" s="208"/>
    </row>
    <row r="100" spans="1:260">
      <c r="A100" s="360"/>
      <c r="B100" s="146" t="s">
        <v>72</v>
      </c>
      <c r="C100" s="147" t="str">
        <f>VLOOKUP(B100,'Item Data Support Sheet'!A:B,2,0)</f>
        <v>NIPPLE S TYPE S SIZE INJECTION</v>
      </c>
      <c r="D100" s="698" t="str">
        <f>IFERROR(VLOOKUP(B100,'Item Data Support Sheet'!A:O,15,0),0)</f>
        <v>S-S SIZE</v>
      </c>
      <c r="E100" s="700">
        <v>113130</v>
      </c>
      <c r="F100" s="7">
        <f>SUMIF('Data Sheet Aug-2021'!E:E,PVA!B100,'Data Sheet Aug-2021'!N:N)</f>
        <v>335996</v>
      </c>
      <c r="G100" s="7">
        <f>SUMIF('Data Sheet Aug-2021'!E:E,PVA!B100,'Data Sheet Aug-2021'!O:O)</f>
        <v>328312</v>
      </c>
      <c r="H100" s="7">
        <f>SUMIF('Data Sheet Aug-2021'!E:E,PVA!B100,'Data Sheet Aug-2021'!T:T)</f>
        <v>4309</v>
      </c>
      <c r="I100" s="7">
        <f>SUMIF('Data Sheet Aug-2021'!E:E,PVA!B100,'Data Sheet Aug-2021'!U:U)</f>
        <v>440</v>
      </c>
      <c r="J100" s="7">
        <f>SUMIF('Data Sheet Aug-2021'!E:E,PVA!B100,'Data Sheet Aug-2021'!P:P)</f>
        <v>109.65400000000001</v>
      </c>
      <c r="K100" s="148">
        <f>SUMIF('Data Sheet Aug-2021'!E:E,PVA!B100,'Data Sheet Aug-2021'!Q:Q)</f>
        <v>2935</v>
      </c>
      <c r="L100" s="273">
        <f>IFERROR(SUM(H100)/SUM(G100:H100),0)</f>
        <v>1.2954684160050026E-2</v>
      </c>
      <c r="M100" s="273">
        <f t="shared" ref="M100:M105" si="49">IFERROR(K100/F100,0)</f>
        <v>8.735223038369504E-3</v>
      </c>
      <c r="N100" s="42">
        <f>IFERROR(G100/E100,0)</f>
        <v>2.9020772562538673</v>
      </c>
      <c r="O100" s="676">
        <f>G100-E100</f>
        <v>215182</v>
      </c>
      <c r="P100" s="886">
        <f>IFERROR(G100*Q100/R100,0)</f>
        <v>0.93238248085094955</v>
      </c>
      <c r="Q100" s="278">
        <v>6.7999999999999996E-3</v>
      </c>
      <c r="R100" s="279">
        <f>(G100+H100+I100+K100)*Q100+J100</f>
        <v>2394.4267999999997</v>
      </c>
      <c r="S100" s="351"/>
      <c r="T100" s="534">
        <f>Q100*G100</f>
        <v>2232.5216</v>
      </c>
      <c r="U100" s="208" t="s">
        <v>1883</v>
      </c>
      <c r="AM100" s="208"/>
      <c r="AN100" s="208"/>
      <c r="AO100" s="208"/>
      <c r="AP100" s="208"/>
    </row>
    <row r="101" spans="1:260">
      <c r="A101" s="360"/>
      <c r="B101" s="6" t="s">
        <v>73</v>
      </c>
      <c r="C101" s="150" t="str">
        <f>VLOOKUP(B101,'Item Data Support Sheet'!A:B,2,0)</f>
        <v>NIPPLE S TYPE M SIZE INJECTION</v>
      </c>
      <c r="D101" s="697" t="str">
        <f>IFERROR(VLOOKUP(B101,'Item Data Support Sheet'!A:O,15,0),0)</f>
        <v>S-M SIZE</v>
      </c>
      <c r="E101" s="701">
        <v>69795</v>
      </c>
      <c r="F101" s="9">
        <f>SUMIF('Data Sheet Aug-2021'!E:E,PVA!B101,'Data Sheet Aug-2021'!N:N)</f>
        <v>247720</v>
      </c>
      <c r="G101" s="9">
        <f>SUMIF('Data Sheet Aug-2021'!E:E,PVA!B101,'Data Sheet Aug-2021'!O:O)</f>
        <v>237572</v>
      </c>
      <c r="H101" s="9">
        <f>SUMIF('Data Sheet Aug-2021'!E:E,PVA!B101,'Data Sheet Aug-2021'!T:T)</f>
        <v>3668</v>
      </c>
      <c r="I101" s="9">
        <f>SUMIF('Data Sheet Aug-2021'!E:E,PVA!B101,'Data Sheet Aug-2021'!U:U)</f>
        <v>318</v>
      </c>
      <c r="J101" s="9">
        <f>SUMIF('Data Sheet Aug-2021'!E:E,PVA!B101,'Data Sheet Aug-2021'!P:P)</f>
        <v>33.543000000000006</v>
      </c>
      <c r="K101" s="10">
        <f>SUMIF('Data Sheet Aug-2021'!E:E,PVA!B101,'Data Sheet Aug-2021'!Q:Q)</f>
        <v>6162</v>
      </c>
      <c r="L101" s="272">
        <f>IFERROR(SUM(H101)/SUM(G101:H101),0)</f>
        <v>1.5204775327474714E-2</v>
      </c>
      <c r="M101" s="272">
        <f t="shared" si="49"/>
        <v>2.487485871144841E-2</v>
      </c>
      <c r="N101" s="43">
        <f>IFERROR(G101/E101,0)</f>
        <v>3.4038541442796761</v>
      </c>
      <c r="O101" s="677">
        <f>G101-E101</f>
        <v>167777</v>
      </c>
      <c r="P101" s="887">
        <f>IFERROR(G101*Q101/R101,0)</f>
        <v>0.94031020250413411</v>
      </c>
      <c r="Q101" s="280">
        <v>6.7999999999999996E-3</v>
      </c>
      <c r="R101" s="281">
        <f>(G101+H101+I101+K101)*Q101+J101</f>
        <v>1718.0389999999998</v>
      </c>
      <c r="S101" s="351"/>
      <c r="T101" s="534">
        <f>Q101*G101</f>
        <v>1615.4895999999999</v>
      </c>
      <c r="U101" s="208" t="s">
        <v>1884</v>
      </c>
      <c r="V101" s="208">
        <v>1</v>
      </c>
      <c r="W101" s="208">
        <v>2</v>
      </c>
      <c r="X101" s="208">
        <v>3</v>
      </c>
      <c r="Y101" s="208">
        <v>4</v>
      </c>
      <c r="Z101" s="208">
        <v>5</v>
      </c>
      <c r="AA101" s="208">
        <v>6</v>
      </c>
      <c r="AB101" s="208">
        <v>7</v>
      </c>
      <c r="AC101" s="208" t="s">
        <v>134</v>
      </c>
      <c r="AM101" s="208"/>
      <c r="AN101" s="208"/>
      <c r="AO101" s="208"/>
      <c r="AP101" s="208"/>
    </row>
    <row r="102" spans="1:260">
      <c r="A102" s="360"/>
      <c r="B102" s="6" t="s">
        <v>74</v>
      </c>
      <c r="C102" s="150" t="str">
        <f>VLOOKUP(B102,'Item Data Support Sheet'!A:B,2,0)</f>
        <v>NIPPLE S TYPE L SIZE INJECTION</v>
      </c>
      <c r="D102" s="697" t="str">
        <f>IFERROR(VLOOKUP(B102,'Item Data Support Sheet'!A:O,15,0),0)</f>
        <v>S-L SIZE</v>
      </c>
      <c r="E102" s="701">
        <v>73395</v>
      </c>
      <c r="F102" s="9">
        <f>SUMIF('Data Sheet Aug-2021'!E:E,PVA!B102,'Data Sheet Aug-2021'!N:N)</f>
        <v>401711</v>
      </c>
      <c r="G102" s="9">
        <f>SUMIF('Data Sheet Aug-2021'!E:E,PVA!B102,'Data Sheet Aug-2021'!O:O)</f>
        <v>392455</v>
      </c>
      <c r="H102" s="9">
        <f>SUMIF('Data Sheet Aug-2021'!E:E,PVA!B102,'Data Sheet Aug-2021'!T:T)</f>
        <v>4538</v>
      </c>
      <c r="I102" s="9">
        <f>SUMIF('Data Sheet Aug-2021'!E:E,PVA!B102,'Data Sheet Aug-2021'!U:U)</f>
        <v>488</v>
      </c>
      <c r="J102" s="9">
        <f>SUMIF('Data Sheet Aug-2021'!E:E,PVA!B102,'Data Sheet Aug-2021'!P:P)</f>
        <v>49.511999999999986</v>
      </c>
      <c r="K102" s="10">
        <f>SUMIF('Data Sheet Aug-2021'!E:E,PVA!B102,'Data Sheet Aug-2021'!Q:Q)</f>
        <v>4230</v>
      </c>
      <c r="L102" s="272">
        <f>IFERROR(SUM(H102)/SUM(G102:H102),0)</f>
        <v>1.1430932031547155E-2</v>
      </c>
      <c r="M102" s="272">
        <f t="shared" si="49"/>
        <v>1.0529958104209244E-2</v>
      </c>
      <c r="N102" s="43">
        <f>IFERROR(G102/E102,0)</f>
        <v>5.3471626132570336</v>
      </c>
      <c r="O102" s="677">
        <f>G102-E102</f>
        <v>319060</v>
      </c>
      <c r="P102" s="887">
        <f>IFERROR(G102*Q102/R102,0)</f>
        <v>0.95956603225690928</v>
      </c>
      <c r="Q102" s="280">
        <v>6.7999999999999996E-3</v>
      </c>
      <c r="R102" s="281">
        <f>(G102+H102+I102+K102)*Q102+J102</f>
        <v>2781.1468</v>
      </c>
      <c r="S102" s="351"/>
      <c r="T102" s="534">
        <f>Q102*G102</f>
        <v>2668.694</v>
      </c>
      <c r="U102" s="208" t="s">
        <v>1885</v>
      </c>
      <c r="V102" s="210">
        <v>2.399</v>
      </c>
      <c r="W102" s="210">
        <v>1.36</v>
      </c>
      <c r="X102" s="210">
        <v>1.48</v>
      </c>
      <c r="Y102" s="208">
        <v>5.2</v>
      </c>
      <c r="AC102" s="210">
        <f>SUM(V102:AB102)</f>
        <v>10.439</v>
      </c>
      <c r="AM102" s="208"/>
      <c r="AN102" s="208"/>
      <c r="AO102" s="208"/>
      <c r="AP102" s="208"/>
    </row>
    <row r="103" spans="1:260">
      <c r="A103" s="360"/>
      <c r="B103" s="6" t="s">
        <v>75</v>
      </c>
      <c r="C103" s="150" t="str">
        <f>VLOOKUP(B103,'Item Data Support Sheet'!A:B,2,0)</f>
        <v>NIPPLE S TYPE Y SIZE INJECTION</v>
      </c>
      <c r="D103" s="697" t="str">
        <f>IFERROR(VLOOKUP(B103,'Item Data Support Sheet'!A:O,15,0),0)</f>
        <v>S-Y SIZE</v>
      </c>
      <c r="E103" s="701">
        <v>0</v>
      </c>
      <c r="F103" s="9">
        <f>SUMIF('Data Sheet Aug-2021'!E:E,PVA!B103,'Data Sheet Aug-2021'!N:N)</f>
        <v>96397</v>
      </c>
      <c r="G103" s="9">
        <f>SUMIF('Data Sheet Aug-2021'!E:E,PVA!B103,'Data Sheet Aug-2021'!O:O)</f>
        <v>93330</v>
      </c>
      <c r="H103" s="9">
        <f>SUMIF('Data Sheet Aug-2021'!E:E,PVA!B103,'Data Sheet Aug-2021'!T:T)</f>
        <v>1209</v>
      </c>
      <c r="I103" s="9">
        <f>SUMIF('Data Sheet Aug-2021'!E:E,PVA!B103,'Data Sheet Aug-2021'!U:U)</f>
        <v>168</v>
      </c>
      <c r="J103" s="9">
        <f>SUMIF('Data Sheet Aug-2021'!E:E,PVA!B103,'Data Sheet Aug-2021'!P:P)</f>
        <v>8.92</v>
      </c>
      <c r="K103" s="10">
        <f>SUMIF('Data Sheet Aug-2021'!E:E,PVA!B103,'Data Sheet Aug-2021'!Q:Q)</f>
        <v>1690</v>
      </c>
      <c r="L103" s="272">
        <f>IFERROR(SUM(H103)/SUM(G103:H103),0)</f>
        <v>1.2788373052391076E-2</v>
      </c>
      <c r="M103" s="272">
        <f t="shared" si="49"/>
        <v>1.7531665923213379E-2</v>
      </c>
      <c r="N103" s="43">
        <f>IFERROR(G103/E103,0)</f>
        <v>0</v>
      </c>
      <c r="O103" s="677">
        <f>G103-E103</f>
        <v>93330</v>
      </c>
      <c r="P103" s="887">
        <f>IFERROR(G103*Q103/R103,0)</f>
        <v>0.95518554840946901</v>
      </c>
      <c r="Q103" s="280">
        <v>6.7999999999999996E-3</v>
      </c>
      <c r="R103" s="281">
        <f>(G103+H103+I103+K103)*Q103+J103</f>
        <v>664.41959999999995</v>
      </c>
      <c r="S103" s="351"/>
      <c r="T103" s="534">
        <f>Q103*G103</f>
        <v>634.64400000000001</v>
      </c>
      <c r="U103" s="208" t="s">
        <v>1886</v>
      </c>
      <c r="V103" s="210">
        <v>3.391</v>
      </c>
      <c r="W103" s="210">
        <v>3.26</v>
      </c>
      <c r="X103" s="210">
        <v>1.53</v>
      </c>
      <c r="Y103" s="208">
        <v>4.0999999999999996</v>
      </c>
      <c r="AC103" s="208">
        <f>SUM(V103:AB103)</f>
        <v>12.280999999999999</v>
      </c>
      <c r="AM103" s="208"/>
      <c r="AN103" s="208"/>
      <c r="AO103" s="208"/>
      <c r="AP103" s="208"/>
    </row>
    <row r="104" spans="1:260" s="441" customFormat="1" ht="15" thickBot="1">
      <c r="A104" s="360"/>
      <c r="B104" s="50" t="s">
        <v>2484</v>
      </c>
      <c r="C104" s="153" t="str">
        <f>VLOOKUP(B104,'Item Data Support Sheet'!A:B,2,0)</f>
        <v>NIPPLE S TYPE LL SIZE INJECTION</v>
      </c>
      <c r="D104" s="699" t="s">
        <v>2093</v>
      </c>
      <c r="E104" s="702">
        <v>33705</v>
      </c>
      <c r="F104" s="23">
        <f>SUMIF('Data Sheet Aug-2021'!E:E,PVA!B104,'Data Sheet Aug-2021'!N:N)</f>
        <v>137939</v>
      </c>
      <c r="G104" s="23">
        <f>SUMIF('Data Sheet Aug-2021'!E:E,PVA!B104,'Data Sheet Aug-2021'!O:O)</f>
        <v>130839</v>
      </c>
      <c r="H104" s="23">
        <f>SUMIF('Data Sheet Aug-2021'!E:E,PVA!B104,'Data Sheet Aug-2021'!T:T)</f>
        <v>2360</v>
      </c>
      <c r="I104" s="23">
        <f>SUMIF('Data Sheet Aug-2021'!E:E,PVA!B104,'Data Sheet Aug-2021'!U:U)</f>
        <v>194</v>
      </c>
      <c r="J104" s="23">
        <f>SUMIF('Data Sheet Aug-2021'!E:E,PVA!B104,'Data Sheet Aug-2021'!P:P)</f>
        <v>14.05</v>
      </c>
      <c r="K104" s="154">
        <f>SUMIF('Data Sheet Aug-2021'!E:E,PVA!B104,'Data Sheet Aug-2021'!Q:Q)</f>
        <v>4546</v>
      </c>
      <c r="L104" s="740">
        <f>IFERROR(SUM(H104)/SUM(G104:H104),0)</f>
        <v>1.7717850734615126E-2</v>
      </c>
      <c r="M104" s="740">
        <f t="shared" si="49"/>
        <v>3.295659675653731E-2</v>
      </c>
      <c r="N104" s="44">
        <f>IFERROR(G104/E104,0)</f>
        <v>3.8818869603916335</v>
      </c>
      <c r="O104" s="678">
        <f>G104-E104</f>
        <v>97134</v>
      </c>
      <c r="P104" s="888">
        <f>IFERROR(G104*Q104/R104,0)</f>
        <v>0.93452973167378695</v>
      </c>
      <c r="Q104" s="282">
        <v>6.7999999999999996E-3</v>
      </c>
      <c r="R104" s="283">
        <f>(G104+H104+I104+K104)*Q104+J104</f>
        <v>952.03519999999992</v>
      </c>
      <c r="S104" s="351"/>
      <c r="T104" s="534">
        <f>Q104*G104</f>
        <v>889.70519999999999</v>
      </c>
      <c r="U104" s="208"/>
      <c r="V104" s="210"/>
      <c r="W104" s="210"/>
      <c r="X104" s="210"/>
      <c r="Y104" s="208"/>
      <c r="Z104" s="208"/>
      <c r="AA104" s="208"/>
      <c r="AB104" s="208"/>
      <c r="AC104" s="208"/>
      <c r="AD104" s="208"/>
      <c r="AE104" s="208"/>
      <c r="AF104" s="208"/>
      <c r="AG104" s="208"/>
      <c r="AH104" s="208"/>
      <c r="AI104" s="208"/>
      <c r="AJ104" s="208"/>
      <c r="AK104" s="208"/>
      <c r="AL104" s="208"/>
      <c r="AM104" s="208"/>
      <c r="AN104" s="208"/>
      <c r="AO104" s="208"/>
      <c r="AP104" s="208"/>
      <c r="AQ104" s="35"/>
      <c r="AR104" s="35"/>
      <c r="AS104" s="35"/>
      <c r="AT104" s="35"/>
      <c r="AU104" s="35"/>
      <c r="AV104" s="35"/>
      <c r="AW104" s="35"/>
      <c r="AX104" s="35"/>
      <c r="AY104" s="35"/>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row>
    <row r="105" spans="1:260" s="2" customFormat="1" ht="13.5" thickBot="1">
      <c r="A105" s="360"/>
      <c r="B105" s="76" t="s">
        <v>103</v>
      </c>
      <c r="C105" s="77" t="s">
        <v>10</v>
      </c>
      <c r="D105" s="74"/>
      <c r="E105" s="358">
        <f>SUM(E100:E104)</f>
        <v>290025</v>
      </c>
      <c r="F105" s="358">
        <f t="shared" ref="F105:K105" si="50">SUM(F100:F104)</f>
        <v>1219763</v>
      </c>
      <c r="G105" s="358">
        <f t="shared" si="50"/>
        <v>1182508</v>
      </c>
      <c r="H105" s="358">
        <f t="shared" si="50"/>
        <v>16084</v>
      </c>
      <c r="I105" s="358">
        <f t="shared" si="50"/>
        <v>1608</v>
      </c>
      <c r="J105" s="358">
        <f t="shared" si="50"/>
        <v>215.679</v>
      </c>
      <c r="K105" s="358">
        <f t="shared" si="50"/>
        <v>19563</v>
      </c>
      <c r="L105" s="397">
        <f>SUM(H105)/SUM(G105:H105)</f>
        <v>1.3419078385305426E-2</v>
      </c>
      <c r="M105" s="892">
        <f t="shared" si="49"/>
        <v>1.6038361550563512E-2</v>
      </c>
      <c r="N105" s="85">
        <f>G105/E105</f>
        <v>4.0772623049737096</v>
      </c>
      <c r="O105" s="81">
        <f>SUM(O100:O104)</f>
        <v>892483</v>
      </c>
      <c r="P105" s="212">
        <f>IFERROR(G105*0.0065/R105,0)</f>
        <v>0.90320107217952228</v>
      </c>
      <c r="Q105" s="145"/>
      <c r="R105" s="889">
        <f>SUM(R100:R104)</f>
        <v>8510.0673999999999</v>
      </c>
      <c r="S105" s="352"/>
      <c r="T105" s="536">
        <f>SUM(T100:T104)</f>
        <v>8041.0544000000009</v>
      </c>
      <c r="U105" s="209"/>
      <c r="V105" s="209"/>
      <c r="W105" s="209"/>
      <c r="X105" s="209"/>
      <c r="Y105" s="209"/>
      <c r="Z105" s="209"/>
      <c r="AA105" s="209"/>
      <c r="AB105" s="209" t="s">
        <v>1887</v>
      </c>
      <c r="AC105" s="209">
        <f>AC103+AC102</f>
        <v>22.72</v>
      </c>
      <c r="AD105" s="209"/>
      <c r="AE105" s="209"/>
      <c r="AF105" s="209"/>
      <c r="AG105" s="209"/>
      <c r="AH105" s="209"/>
      <c r="AI105" s="209"/>
      <c r="AJ105" s="209"/>
      <c r="AK105" s="209"/>
      <c r="AL105" s="209"/>
      <c r="AM105" s="209"/>
      <c r="AN105" s="209"/>
      <c r="AO105" s="209"/>
      <c r="AP105" s="209"/>
      <c r="AQ105" s="36"/>
      <c r="AR105" s="36"/>
      <c r="AS105" s="36"/>
      <c r="AT105" s="36"/>
      <c r="AU105" s="36"/>
      <c r="AV105" s="36"/>
      <c r="AW105" s="36"/>
      <c r="AX105" s="36"/>
      <c r="AY105" s="36"/>
    </row>
    <row r="106" spans="1:260" ht="15" thickBot="1">
      <c r="A106" s="360"/>
      <c r="B106" s="143" t="s">
        <v>87</v>
      </c>
      <c r="C106" s="144"/>
      <c r="D106" s="402"/>
      <c r="E106" s="127" t="s">
        <v>2</v>
      </c>
      <c r="F106" s="127" t="s">
        <v>91</v>
      </c>
      <c r="G106" s="127" t="s">
        <v>3</v>
      </c>
      <c r="H106" s="127" t="s">
        <v>92</v>
      </c>
      <c r="I106" s="127" t="s">
        <v>94</v>
      </c>
      <c r="J106" s="127" t="s">
        <v>6</v>
      </c>
      <c r="K106" s="126" t="s">
        <v>4</v>
      </c>
      <c r="L106" s="895" t="s">
        <v>90</v>
      </c>
      <c r="M106" s="124" t="s">
        <v>2802</v>
      </c>
      <c r="N106" s="896" t="s">
        <v>89</v>
      </c>
      <c r="O106" s="127" t="s">
        <v>93</v>
      </c>
      <c r="P106" s="213" t="s">
        <v>105</v>
      </c>
      <c r="Q106" s="128" t="s">
        <v>418</v>
      </c>
      <c r="R106" s="126" t="s">
        <v>204</v>
      </c>
      <c r="S106" s="353"/>
      <c r="T106" s="211"/>
      <c r="V106" s="211"/>
      <c r="AM106" s="208"/>
      <c r="AN106" s="208"/>
      <c r="AO106" s="208"/>
      <c r="AP106" s="208"/>
    </row>
    <row r="107" spans="1:260">
      <c r="A107" s="360"/>
      <c r="B107" s="49" t="s">
        <v>76</v>
      </c>
      <c r="C107" s="147" t="str">
        <f>VLOOKUP(B107,'Item Data Support Sheet'!A:B,2,0)</f>
        <v>NIPPLE S TYPE S SIZE POSTCURED</v>
      </c>
      <c r="D107" s="698" t="str">
        <f>IFERROR(VLOOKUP(B107,'Item Data Support Sheet'!A:O,15,0),0)</f>
        <v>S-S SIZE</v>
      </c>
      <c r="E107" s="700">
        <v>113000</v>
      </c>
      <c r="F107" s="7">
        <f>SUMIF('Data Sheet Aug-2021'!E:E,PVA!B107,'Data Sheet Aug-2021'!N:N)</f>
        <v>116670</v>
      </c>
      <c r="G107" s="7">
        <f>SUMIF('Data Sheet Aug-2021'!E:E,PVA!B107,'Data Sheet Aug-2021'!O:O)</f>
        <v>116670</v>
      </c>
      <c r="H107" s="7">
        <f>SUMIF('Data Sheet Aug-2021'!E:E,PVA!B107,'Data Sheet Aug-2021'!T:T)</f>
        <v>0</v>
      </c>
      <c r="I107" s="7">
        <f>SUMIF('Data Sheet Aug-2021'!E:E,PVA!B107,'Data Sheet Aug-2021'!U:U)</f>
        <v>0</v>
      </c>
      <c r="J107" s="7">
        <f>SUMIF('Data Sheet Aug-2021'!E:E,PVA!B107,'Data Sheet Aug-2021'!P:P)</f>
        <v>0</v>
      </c>
      <c r="K107" s="148">
        <f>SUMIF('Data Sheet Aug-2021'!E:E,PVA!B107,'Data Sheet Aug-2021'!Q:Q)</f>
        <v>0</v>
      </c>
      <c r="L107" s="273">
        <f>IFERROR(SUM(H107:I107)/SUM(G107:I107),0)</f>
        <v>0</v>
      </c>
      <c r="M107" s="273">
        <f t="shared" ref="M107:M112" si="51">IFERROR(K107/F107,0)</f>
        <v>0</v>
      </c>
      <c r="N107" s="42">
        <f>IFERROR(G107/E107,0)</f>
        <v>1.0324778761061948</v>
      </c>
      <c r="O107" s="149">
        <f t="shared" ref="O107:O115" si="52">G107-E107</f>
        <v>3670</v>
      </c>
      <c r="P107" s="223"/>
      <c r="Q107" s="7">
        <v>6.7999999999999996E-3</v>
      </c>
      <c r="R107" s="30">
        <f>(H107+I107+K107)*Q107</f>
        <v>0</v>
      </c>
      <c r="S107" s="351"/>
      <c r="U107" s="208">
        <f>1092+7.47+7.86</f>
        <v>1107.33</v>
      </c>
      <c r="Z107" s="208">
        <f>H107*Q107</f>
        <v>0</v>
      </c>
      <c r="AA107" s="208">
        <f>I107*Q107</f>
        <v>0</v>
      </c>
      <c r="AB107" s="208">
        <f>J107</f>
        <v>0</v>
      </c>
      <c r="AC107" s="208">
        <f>K107*Q107</f>
        <v>0</v>
      </c>
      <c r="AM107" s="208"/>
      <c r="AN107" s="208"/>
      <c r="AO107" s="208"/>
      <c r="AP107" s="208"/>
    </row>
    <row r="108" spans="1:260">
      <c r="A108" s="360"/>
      <c r="B108" s="25" t="s">
        <v>77</v>
      </c>
      <c r="C108" s="150" t="str">
        <f>VLOOKUP(B108,'Item Data Support Sheet'!A:B,2,0)</f>
        <v>NIPPLE S TYPE M SIZE POSTCURED</v>
      </c>
      <c r="D108" s="697" t="str">
        <f>IFERROR(VLOOKUP(B108,'Item Data Support Sheet'!A:O,15,0),0)</f>
        <v>S-M SIZE</v>
      </c>
      <c r="E108" s="701">
        <v>69795</v>
      </c>
      <c r="F108" s="9">
        <f>SUMIF('Data Sheet Aug-2021'!E:E,PVA!B108,'Data Sheet Aug-2021'!N:N)</f>
        <v>104782</v>
      </c>
      <c r="G108" s="9">
        <f>SUMIF('Data Sheet Aug-2021'!E:E,PVA!B108,'Data Sheet Aug-2021'!O:O)</f>
        <v>104782</v>
      </c>
      <c r="H108" s="9">
        <f>SUMIF('Data Sheet Aug-2021'!E:E,PVA!B108,'Data Sheet Aug-2021'!T:T)</f>
        <v>0</v>
      </c>
      <c r="I108" s="9">
        <f>SUMIF('Data Sheet Aug-2021'!E:E,PVA!B108,'Data Sheet Aug-2021'!U:U)</f>
        <v>0</v>
      </c>
      <c r="J108" s="9">
        <f>SUMIF('Data Sheet Aug-2021'!E:E,PVA!B108,'Data Sheet Aug-2021'!P:P)</f>
        <v>0</v>
      </c>
      <c r="K108" s="10">
        <f>SUMIF('Data Sheet Aug-2021'!E:E,PVA!B108,'Data Sheet Aug-2021'!Q:Q)</f>
        <v>0</v>
      </c>
      <c r="L108" s="272">
        <f>IFERROR(SUM(H108:I108)/SUM(G108:I108),0)</f>
        <v>0</v>
      </c>
      <c r="M108" s="272">
        <f t="shared" si="51"/>
        <v>0</v>
      </c>
      <c r="N108" s="43">
        <f>IFERROR(G108/E108,0)</f>
        <v>1.5012823268142417</v>
      </c>
      <c r="O108" s="151">
        <f t="shared" si="52"/>
        <v>34987</v>
      </c>
      <c r="P108" s="224"/>
      <c r="Q108" s="9">
        <v>6.7999999999999996E-3</v>
      </c>
      <c r="R108" s="8">
        <f>(H108+I108+K108)*Q108</f>
        <v>0</v>
      </c>
      <c r="S108" s="351"/>
      <c r="Z108" s="208">
        <f>H108*Q108</f>
        <v>0</v>
      </c>
      <c r="AA108" s="208">
        <f>I108*Q108</f>
        <v>0</v>
      </c>
      <c r="AB108" s="208">
        <f>J108</f>
        <v>0</v>
      </c>
      <c r="AC108" s="208">
        <f>K108*Q108</f>
        <v>0</v>
      </c>
      <c r="AF108" s="208" t="s">
        <v>107</v>
      </c>
      <c r="AM108" s="208"/>
      <c r="AN108" s="208"/>
      <c r="AO108" s="208"/>
      <c r="AP108" s="208"/>
    </row>
    <row r="109" spans="1:260">
      <c r="A109" s="360"/>
      <c r="B109" s="25" t="s">
        <v>78</v>
      </c>
      <c r="C109" s="150" t="str">
        <f>VLOOKUP(B109,'Item Data Support Sheet'!A:B,2,0)</f>
        <v>NIPPLE S TYPE L SIZE POSTCURED</v>
      </c>
      <c r="D109" s="697" t="str">
        <f>IFERROR(VLOOKUP(B109,'Item Data Support Sheet'!A:O,15,0),0)</f>
        <v>S-L SIZE</v>
      </c>
      <c r="E109" s="701">
        <v>73000</v>
      </c>
      <c r="F109" s="9">
        <f>SUMIF('Data Sheet Aug-2021'!E:E,PVA!B109,'Data Sheet Aug-2021'!N:N)</f>
        <v>61768</v>
      </c>
      <c r="G109" s="9">
        <f>SUMIF('Data Sheet Aug-2021'!E:E,PVA!B109,'Data Sheet Aug-2021'!O:O)</f>
        <v>61768</v>
      </c>
      <c r="H109" s="9">
        <f>SUMIF('Data Sheet Aug-2021'!E:E,PVA!B109,'Data Sheet Aug-2021'!T:T)</f>
        <v>0</v>
      </c>
      <c r="I109" s="9">
        <f>SUMIF('Data Sheet Aug-2021'!E:E,PVA!B109,'Data Sheet Aug-2021'!U:U)</f>
        <v>0</v>
      </c>
      <c r="J109" s="9">
        <f>SUMIF('Data Sheet Aug-2021'!E:E,PVA!B109,'Data Sheet Aug-2021'!P:P)</f>
        <v>0</v>
      </c>
      <c r="K109" s="10">
        <f>SUMIF('Data Sheet Aug-2021'!E:E,PVA!B109,'Data Sheet Aug-2021'!Q:Q)</f>
        <v>0</v>
      </c>
      <c r="L109" s="272">
        <f>IFERROR(SUM(H109:I109)/SUM(G109:I109),0)</f>
        <v>0</v>
      </c>
      <c r="M109" s="272">
        <f t="shared" si="51"/>
        <v>0</v>
      </c>
      <c r="N109" s="43">
        <f>IFERROR(G109/E109,0)</f>
        <v>0.84613698630136991</v>
      </c>
      <c r="O109" s="151">
        <f t="shared" si="52"/>
        <v>-11232</v>
      </c>
      <c r="P109" s="224"/>
      <c r="Q109" s="9">
        <v>6.7999999999999996E-3</v>
      </c>
      <c r="R109" s="8">
        <f>(H109+I109+K109)*Q109</f>
        <v>0</v>
      </c>
      <c r="S109" s="351"/>
      <c r="Z109" s="208">
        <f>H109*Q109</f>
        <v>0</v>
      </c>
      <c r="AA109" s="208">
        <f>I109*Q109</f>
        <v>0</v>
      </c>
      <c r="AB109" s="208">
        <f>J109</f>
        <v>0</v>
      </c>
      <c r="AC109" s="208">
        <f>K109*Q109</f>
        <v>0</v>
      </c>
      <c r="AM109" s="208"/>
      <c r="AN109" s="208"/>
      <c r="AO109" s="208"/>
      <c r="AP109" s="208"/>
    </row>
    <row r="110" spans="1:260">
      <c r="A110" s="360"/>
      <c r="B110" s="25" t="s">
        <v>79</v>
      </c>
      <c r="C110" s="150" t="str">
        <f>VLOOKUP(B110,'Item Data Support Sheet'!A:B,2,0)</f>
        <v>NIPPLE S TYPE Y SIZE POSTCURED</v>
      </c>
      <c r="D110" s="697" t="str">
        <f>IFERROR(VLOOKUP(B110,'Item Data Support Sheet'!A:O,15,0),0)</f>
        <v>S-Y SIZE</v>
      </c>
      <c r="E110" s="701">
        <v>0</v>
      </c>
      <c r="F110" s="9">
        <f>SUMIF('Data Sheet Aug-2021'!E:E,PVA!B110,'Data Sheet Aug-2021'!N:N)</f>
        <v>6220</v>
      </c>
      <c r="G110" s="9">
        <f>SUMIF('Data Sheet Aug-2021'!E:E,PVA!B110,'Data Sheet Aug-2021'!O:O)</f>
        <v>6220</v>
      </c>
      <c r="H110" s="9">
        <f>SUMIF('Data Sheet Aug-2021'!E:E,PVA!B110,'Data Sheet Aug-2021'!T:T)</f>
        <v>0</v>
      </c>
      <c r="I110" s="9">
        <f>SUMIF('Data Sheet Aug-2021'!E:E,PVA!B110,'Data Sheet Aug-2021'!U:U)</f>
        <v>0</v>
      </c>
      <c r="J110" s="9">
        <f>SUMIF('Data Sheet Aug-2021'!E:E,PVA!B110,'Data Sheet Aug-2021'!P:P)</f>
        <v>0</v>
      </c>
      <c r="K110" s="10">
        <f>SUMIF('Data Sheet Aug-2021'!E:E,PVA!B110,'Data Sheet Aug-2021'!Q:Q)</f>
        <v>0</v>
      </c>
      <c r="L110" s="272">
        <f>IFERROR(SUM(H110:I110)/SUM(G110:I110),0)</f>
        <v>0</v>
      </c>
      <c r="M110" s="272">
        <f t="shared" si="51"/>
        <v>0</v>
      </c>
      <c r="N110" s="43">
        <f>IFERROR(G110/E110,0)</f>
        <v>0</v>
      </c>
      <c r="O110" s="151">
        <f t="shared" si="52"/>
        <v>6220</v>
      </c>
      <c r="P110" s="224"/>
      <c r="Q110" s="9">
        <v>6.7999999999999996E-3</v>
      </c>
      <c r="R110" s="8">
        <f>(H110+I110+K110)*Q110</f>
        <v>0</v>
      </c>
      <c r="S110" s="351"/>
      <c r="Z110" s="208">
        <f>H110*Q110</f>
        <v>0</v>
      </c>
      <c r="AA110" s="208">
        <f>I110*Q110</f>
        <v>0</v>
      </c>
      <c r="AB110" s="208">
        <f>J110</f>
        <v>0</v>
      </c>
      <c r="AC110" s="208">
        <f>K110*Q110</f>
        <v>0</v>
      </c>
      <c r="AM110" s="208"/>
      <c r="AN110" s="208"/>
      <c r="AO110" s="208"/>
      <c r="AP110" s="208"/>
    </row>
    <row r="111" spans="1:260" s="441" customFormat="1" ht="15" thickBot="1">
      <c r="A111" s="360"/>
      <c r="B111" s="152" t="s">
        <v>2485</v>
      </c>
      <c r="C111" s="153" t="str">
        <f>VLOOKUP(B111,'Item Data Support Sheet'!A:B,2,0)</f>
        <v>NIPPLE S TYPE LL SIZE POSTCURED</v>
      </c>
      <c r="D111" s="699" t="s">
        <v>2093</v>
      </c>
      <c r="E111" s="702">
        <v>33700</v>
      </c>
      <c r="F111" s="23">
        <f>SUMIF('Data Sheet Aug-2021'!E:E,PVA!B111,'Data Sheet Aug-2021'!N:N)</f>
        <v>32550</v>
      </c>
      <c r="G111" s="23">
        <f>SUMIF('Data Sheet Aug-2021'!E:E,PVA!B111,'Data Sheet Aug-2021'!O:O)</f>
        <v>32550</v>
      </c>
      <c r="H111" s="23">
        <f>SUMIF('Data Sheet Aug-2021'!E:E,PVA!B111,'Data Sheet Aug-2021'!T:T)</f>
        <v>0</v>
      </c>
      <c r="I111" s="23">
        <f>SUMIF('Data Sheet Aug-2021'!E:E,PVA!B111,'Data Sheet Aug-2021'!U:U)</f>
        <v>0</v>
      </c>
      <c r="J111" s="23">
        <f>SUMIF('Data Sheet Aug-2021'!E:E,PVA!B111,'Data Sheet Aug-2021'!P:P)</f>
        <v>0</v>
      </c>
      <c r="K111" s="154">
        <f>SUMIF('Data Sheet Aug-2021'!E:E,PVA!B111,'Data Sheet Aug-2021'!Q:Q)</f>
        <v>0</v>
      </c>
      <c r="L111" s="740">
        <f>IFERROR(SUM(H111:I111)/SUM(G111:I111),0)</f>
        <v>0</v>
      </c>
      <c r="M111" s="740">
        <f t="shared" si="51"/>
        <v>0</v>
      </c>
      <c r="N111" s="44">
        <f>IFERROR(G111/E111,0)</f>
        <v>0.96587537091988129</v>
      </c>
      <c r="O111" s="155">
        <f t="shared" si="52"/>
        <v>-1150</v>
      </c>
      <c r="P111" s="225"/>
      <c r="Q111" s="23">
        <v>6.7999999999999996E-3</v>
      </c>
      <c r="R111" s="32">
        <f>(H111+I111+K111)*Q111</f>
        <v>0</v>
      </c>
      <c r="S111" s="351"/>
      <c r="T111" s="208"/>
      <c r="U111" s="208"/>
      <c r="V111" s="208"/>
      <c r="W111" s="208"/>
      <c r="X111" s="208"/>
      <c r="Y111" s="208"/>
      <c r="Z111" s="208"/>
      <c r="AA111" s="208"/>
      <c r="AB111" s="208"/>
      <c r="AC111" s="208"/>
      <c r="AD111" s="208"/>
      <c r="AE111" s="208"/>
      <c r="AF111" s="208"/>
      <c r="AG111" s="208"/>
      <c r="AH111" s="208"/>
      <c r="AI111" s="208"/>
      <c r="AJ111" s="208"/>
      <c r="AK111" s="208"/>
      <c r="AL111" s="208"/>
      <c r="AM111" s="208"/>
      <c r="AN111" s="208"/>
      <c r="AO111" s="208"/>
      <c r="AP111" s="208"/>
      <c r="AQ111" s="35"/>
      <c r="AR111" s="35"/>
      <c r="AS111" s="35"/>
      <c r="AT111" s="35"/>
      <c r="AU111" s="35"/>
      <c r="AV111" s="35"/>
      <c r="AW111" s="35"/>
      <c r="AX111" s="35"/>
      <c r="AY111" s="35"/>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row>
    <row r="112" spans="1:260" s="2" customFormat="1" ht="13.5" thickBot="1">
      <c r="A112" s="360"/>
      <c r="B112" s="76" t="s">
        <v>103</v>
      </c>
      <c r="C112" s="139"/>
      <c r="D112" s="74"/>
      <c r="E112" s="358">
        <f>SUM(E107:E111)</f>
        <v>289495</v>
      </c>
      <c r="F112" s="358">
        <f t="shared" ref="F112:K112" si="53">SUM(F107:F111)</f>
        <v>321990</v>
      </c>
      <c r="G112" s="358">
        <f t="shared" si="53"/>
        <v>321990</v>
      </c>
      <c r="H112" s="358">
        <f t="shared" si="53"/>
        <v>0</v>
      </c>
      <c r="I112" s="358">
        <f t="shared" si="53"/>
        <v>0</v>
      </c>
      <c r="J112" s="358">
        <f t="shared" si="53"/>
        <v>0</v>
      </c>
      <c r="K112" s="358">
        <f t="shared" si="53"/>
        <v>0</v>
      </c>
      <c r="L112" s="397">
        <f>SUM(H112:I112)/SUM(G112:I112)</f>
        <v>0</v>
      </c>
      <c r="M112" s="892">
        <f t="shared" si="51"/>
        <v>0</v>
      </c>
      <c r="N112" s="85">
        <f>G112/E112</f>
        <v>1.1122471890706229</v>
      </c>
      <c r="O112" s="81">
        <f>SUM(O107:O111)</f>
        <v>32495</v>
      </c>
      <c r="P112" s="222"/>
      <c r="Q112" s="89"/>
      <c r="R112" s="90">
        <f>(H112+I112+K112)*0.0068</f>
        <v>0</v>
      </c>
      <c r="S112" s="352"/>
      <c r="T112" s="209"/>
      <c r="U112" s="209"/>
      <c r="V112" s="209"/>
      <c r="W112" s="209"/>
      <c r="X112" s="209"/>
      <c r="Y112" s="209"/>
      <c r="Z112" s="209"/>
      <c r="AA112" s="209"/>
      <c r="AB112" s="209"/>
      <c r="AC112" s="209"/>
      <c r="AD112" s="209"/>
      <c r="AE112" s="209"/>
      <c r="AF112" s="209"/>
      <c r="AG112" s="209"/>
      <c r="AH112" s="209"/>
      <c r="AI112" s="209"/>
      <c r="AJ112" s="209"/>
      <c r="AK112" s="209"/>
      <c r="AL112" s="209"/>
      <c r="AM112" s="209"/>
      <c r="AN112" s="209"/>
      <c r="AO112" s="209"/>
      <c r="AP112" s="209"/>
      <c r="AQ112" s="36"/>
      <c r="AR112" s="36"/>
      <c r="AS112" s="36"/>
      <c r="AT112" s="36"/>
      <c r="AU112" s="36"/>
      <c r="AV112" s="36"/>
      <c r="AW112" s="36"/>
      <c r="AX112" s="36"/>
      <c r="AY112" s="36"/>
    </row>
    <row r="113" spans="1:260" ht="15" thickBot="1">
      <c r="A113" s="360"/>
      <c r="B113" s="143" t="s">
        <v>88</v>
      </c>
      <c r="C113" s="123" t="s">
        <v>10</v>
      </c>
      <c r="D113" s="402"/>
      <c r="E113" s="127" t="s">
        <v>2</v>
      </c>
      <c r="F113" s="127" t="s">
        <v>91</v>
      </c>
      <c r="G113" s="127" t="s">
        <v>3</v>
      </c>
      <c r="H113" s="127" t="s">
        <v>92</v>
      </c>
      <c r="I113" s="127" t="s">
        <v>94</v>
      </c>
      <c r="J113" s="127" t="s">
        <v>6</v>
      </c>
      <c r="K113" s="126" t="s">
        <v>4</v>
      </c>
      <c r="L113" s="895" t="s">
        <v>90</v>
      </c>
      <c r="M113" s="124" t="s">
        <v>2802</v>
      </c>
      <c r="N113" s="896" t="s">
        <v>89</v>
      </c>
      <c r="O113" s="127" t="s">
        <v>93</v>
      </c>
      <c r="P113" s="213" t="s">
        <v>105</v>
      </c>
      <c r="Q113" s="128" t="s">
        <v>418</v>
      </c>
      <c r="R113" s="126" t="s">
        <v>204</v>
      </c>
      <c r="S113" s="353"/>
      <c r="AM113" s="208"/>
      <c r="AN113" s="208"/>
      <c r="AO113" s="208"/>
      <c r="AP113" s="208"/>
    </row>
    <row r="114" spans="1:260">
      <c r="A114" s="360"/>
      <c r="B114" s="146" t="s">
        <v>80</v>
      </c>
      <c r="C114" s="147" t="str">
        <f>VLOOKUP(B114,'Item Data Support Sheet'!A:B,2,0)</f>
        <v>NIPPLE S TYPE S SIZE PUNCHED</v>
      </c>
      <c r="D114" s="698" t="str">
        <f>IFERROR(VLOOKUP(B114,'Item Data Support Sheet'!A:O,15,0),0)</f>
        <v>S-S SIZE</v>
      </c>
      <c r="E114" s="700">
        <v>113000</v>
      </c>
      <c r="F114" s="7">
        <f>SUMIF('Data Sheet Aug-2021'!E:E,PVA!B114,'Data Sheet Aug-2021'!N:N)</f>
        <v>298412</v>
      </c>
      <c r="G114" s="7">
        <f>SUMIF('Data Sheet Aug-2021'!E:E,PVA!B114,'Data Sheet Aug-2021'!O:O)</f>
        <v>298396</v>
      </c>
      <c r="H114" s="7">
        <f>SUMIF('Data Sheet Aug-2021'!E:E,PVA!B114,'Data Sheet Aug-2021'!T:T)</f>
        <v>0</v>
      </c>
      <c r="I114" s="7">
        <f>SUMIF('Data Sheet Aug-2021'!E:E,PVA!B114,'Data Sheet Aug-2021'!U:U)</f>
        <v>16</v>
      </c>
      <c r="J114" s="7">
        <f>SUMIF('Data Sheet Aug-2021'!E:E,PVA!B114,'Data Sheet Aug-2021'!P:P)</f>
        <v>0</v>
      </c>
      <c r="K114" s="148">
        <f>SUMIF('Data Sheet Aug-2021'!E:E,PVA!B114,'Data Sheet Aug-2021'!Q:Q)</f>
        <v>0</v>
      </c>
      <c r="L114" s="273">
        <f>IFERROR(SUM(H114:I114)/SUM(G114:I114),0)</f>
        <v>5.3617146763534978E-5</v>
      </c>
      <c r="M114" s="273">
        <f t="shared" ref="M114:M119" si="54">IFERROR(K114/F114,0)</f>
        <v>0</v>
      </c>
      <c r="N114" s="42">
        <f>IFERROR(G114/E114,0)</f>
        <v>2.6406725663716815</v>
      </c>
      <c r="O114" s="149">
        <f t="shared" si="52"/>
        <v>185396</v>
      </c>
      <c r="P114" s="223"/>
      <c r="Q114" s="7">
        <v>6.7999999999999996E-3</v>
      </c>
      <c r="R114" s="30">
        <f>(H114+I114+K114)*Q114</f>
        <v>0.10879999999999999</v>
      </c>
      <c r="S114" s="351"/>
      <c r="Z114" s="208">
        <f>H114*Q114</f>
        <v>0</v>
      </c>
      <c r="AA114" s="208">
        <f>I114*Q114</f>
        <v>0.10879999999999999</v>
      </c>
      <c r="AB114" s="208">
        <f>J114</f>
        <v>0</v>
      </c>
      <c r="AC114" s="208">
        <f>K114*Q114</f>
        <v>0</v>
      </c>
      <c r="AM114" s="208"/>
      <c r="AN114" s="208"/>
      <c r="AO114" s="208"/>
      <c r="AP114" s="208"/>
    </row>
    <row r="115" spans="1:260">
      <c r="A115" s="360"/>
      <c r="B115" s="6" t="s">
        <v>81</v>
      </c>
      <c r="C115" s="150" t="str">
        <f>VLOOKUP(B115,'Item Data Support Sheet'!A:B,2,0)</f>
        <v>NIPPLE S TYPE M SIZE PUNCHED</v>
      </c>
      <c r="D115" s="697" t="str">
        <f>IFERROR(VLOOKUP(B115,'Item Data Support Sheet'!A:O,15,0),0)</f>
        <v>S-M SIZE</v>
      </c>
      <c r="E115" s="701">
        <v>69264</v>
      </c>
      <c r="F115" s="9">
        <f>SUMIF('Data Sheet Aug-2021'!E:E,PVA!B115,'Data Sheet Aug-2021'!N:N)</f>
        <v>217175</v>
      </c>
      <c r="G115" s="9">
        <f>SUMIF('Data Sheet Aug-2021'!E:E,PVA!B115,'Data Sheet Aug-2021'!O:O)</f>
        <v>217048</v>
      </c>
      <c r="H115" s="9">
        <f>SUMIF('Data Sheet Aug-2021'!E:E,PVA!B115,'Data Sheet Aug-2021'!T:T)</f>
        <v>127</v>
      </c>
      <c r="I115" s="9">
        <f>SUMIF('Data Sheet Aug-2021'!E:E,PVA!B115,'Data Sheet Aug-2021'!U:U)</f>
        <v>0</v>
      </c>
      <c r="J115" s="9">
        <f>SUMIF('Data Sheet Aug-2021'!E:E,PVA!B115,'Data Sheet Aug-2021'!P:P)</f>
        <v>0</v>
      </c>
      <c r="K115" s="10">
        <f>SUMIF('Data Sheet Aug-2021'!E:E,PVA!B115,'Data Sheet Aug-2021'!Q:Q)</f>
        <v>0</v>
      </c>
      <c r="L115" s="272">
        <f>IFERROR(SUM(H115:I115)/SUM(G115:I115),0)</f>
        <v>5.8478185794865888E-4</v>
      </c>
      <c r="M115" s="272">
        <f t="shared" si="54"/>
        <v>0</v>
      </c>
      <c r="N115" s="43">
        <f>IFERROR(G115/E115,0)</f>
        <v>3.1336336336336337</v>
      </c>
      <c r="O115" s="151">
        <f t="shared" si="52"/>
        <v>147784</v>
      </c>
      <c r="P115" s="224"/>
      <c r="Q115" s="9">
        <v>6.7999999999999996E-3</v>
      </c>
      <c r="R115" s="8">
        <f>(H115+I115+K115)*Q115</f>
        <v>0.86359999999999992</v>
      </c>
      <c r="S115" s="351"/>
      <c r="Z115" s="208">
        <f>H115*Q115</f>
        <v>0.86359999999999992</v>
      </c>
      <c r="AA115" s="208">
        <f>I115*Q115</f>
        <v>0</v>
      </c>
      <c r="AB115" s="208">
        <f>J115</f>
        <v>0</v>
      </c>
      <c r="AC115" s="208">
        <f>K115*Q115</f>
        <v>0</v>
      </c>
      <c r="AM115" s="208"/>
      <c r="AN115" s="208"/>
      <c r="AO115" s="208"/>
      <c r="AP115" s="208"/>
    </row>
    <row r="116" spans="1:260">
      <c r="A116" s="360"/>
      <c r="B116" s="6" t="s">
        <v>82</v>
      </c>
      <c r="C116" s="150" t="str">
        <f>VLOOKUP(B116,'Item Data Support Sheet'!A:B,2,0)</f>
        <v>NIPPLE S TYPE L SIZE PUNCHED</v>
      </c>
      <c r="D116" s="697" t="str">
        <f>IFERROR(VLOOKUP(B116,'Item Data Support Sheet'!A:O,15,0),0)</f>
        <v>S-L SIZE</v>
      </c>
      <c r="E116" s="701">
        <v>73024</v>
      </c>
      <c r="F116" s="9">
        <f>SUMIF('Data Sheet Aug-2021'!E:E,PVA!B116,'Data Sheet Aug-2021'!N:N)</f>
        <v>372885</v>
      </c>
      <c r="G116" s="9">
        <f>SUMIF('Data Sheet Aug-2021'!E:E,PVA!B116,'Data Sheet Aug-2021'!O:O)</f>
        <v>372798</v>
      </c>
      <c r="H116" s="9">
        <f>SUMIF('Data Sheet Aug-2021'!E:E,PVA!B116,'Data Sheet Aug-2021'!T:T)</f>
        <v>87</v>
      </c>
      <c r="I116" s="9">
        <f>SUMIF('Data Sheet Aug-2021'!E:E,PVA!B116,'Data Sheet Aug-2021'!U:U)</f>
        <v>0</v>
      </c>
      <c r="J116" s="9">
        <f>SUMIF('Data Sheet Aug-2021'!E:E,PVA!B116,'Data Sheet Aug-2021'!P:P)</f>
        <v>0</v>
      </c>
      <c r="K116" s="10">
        <f>SUMIF('Data Sheet Aug-2021'!E:E,PVA!B116,'Data Sheet Aug-2021'!Q:Q)</f>
        <v>0</v>
      </c>
      <c r="L116" s="272">
        <f>IFERROR(SUM(H116:I116)/SUM(G116:I116),0)</f>
        <v>2.3331590168550626E-4</v>
      </c>
      <c r="M116" s="272">
        <f t="shared" si="54"/>
        <v>0</v>
      </c>
      <c r="N116" s="43">
        <f>IFERROR(G116/E116,0)</f>
        <v>5.1051435144609991</v>
      </c>
      <c r="O116" s="151">
        <f>IFERROR(G116-E116,0)</f>
        <v>299774</v>
      </c>
      <c r="P116" s="224"/>
      <c r="Q116" s="9">
        <v>6.7999999999999996E-3</v>
      </c>
      <c r="R116" s="8">
        <f>(H116+I116+K116)*Q116</f>
        <v>0.59160000000000001</v>
      </c>
      <c r="S116" s="351"/>
      <c r="Z116" s="208">
        <f>H116*Q116</f>
        <v>0.59160000000000001</v>
      </c>
      <c r="AA116" s="208">
        <f>I116*Q116</f>
        <v>0</v>
      </c>
      <c r="AB116" s="208">
        <f>J116</f>
        <v>0</v>
      </c>
      <c r="AC116" s="208">
        <f>K116*Q116</f>
        <v>0</v>
      </c>
      <c r="AM116" s="208"/>
      <c r="AN116" s="208"/>
      <c r="AO116" s="208"/>
      <c r="AP116" s="208"/>
    </row>
    <row r="117" spans="1:260">
      <c r="A117" s="360"/>
      <c r="B117" s="6" t="s">
        <v>83</v>
      </c>
      <c r="C117" s="150" t="str">
        <f>VLOOKUP(B117,'Item Data Support Sheet'!A:B,2,0)</f>
        <v>NIPPLE S TYPE Y SIZE PUNCHED</v>
      </c>
      <c r="D117" s="697" t="str">
        <f>IFERROR(VLOOKUP(B117,'Item Data Support Sheet'!A:O,15,0),0)</f>
        <v>S-Y SIZE</v>
      </c>
      <c r="E117" s="701">
        <v>0</v>
      </c>
      <c r="F117" s="9">
        <f>SUMIF('Data Sheet Aug-2021'!E:E,PVA!B117,'Data Sheet Aug-2021'!N:N)</f>
        <v>66565</v>
      </c>
      <c r="G117" s="9">
        <f>SUMIF('Data Sheet Aug-2021'!E:E,PVA!B117,'Data Sheet Aug-2021'!O:O)</f>
        <v>66565</v>
      </c>
      <c r="H117" s="9">
        <f>SUMIF('Data Sheet Aug-2021'!E:E,PVA!B117,'Data Sheet Aug-2021'!T:T)</f>
        <v>0</v>
      </c>
      <c r="I117" s="9">
        <f>SUMIF('Data Sheet Aug-2021'!E:E,PVA!B117,'Data Sheet Aug-2021'!U:U)</f>
        <v>0</v>
      </c>
      <c r="J117" s="9">
        <f>SUMIF('Data Sheet Aug-2021'!E:E,PVA!B117,'Data Sheet Aug-2021'!P:P)</f>
        <v>0</v>
      </c>
      <c r="K117" s="10">
        <f>SUMIF('Data Sheet Aug-2021'!E:E,PVA!B117,'Data Sheet Aug-2021'!Q:Q)</f>
        <v>0</v>
      </c>
      <c r="L117" s="272">
        <f>IFERROR(SUM(H117:I117)/SUM(G117:I117),0)</f>
        <v>0</v>
      </c>
      <c r="M117" s="272">
        <f t="shared" si="54"/>
        <v>0</v>
      </c>
      <c r="N117" s="43">
        <f>IFERROR(G117/E117,0)</f>
        <v>0</v>
      </c>
      <c r="O117" s="151">
        <f>IFERROR(G117-E117,0)</f>
        <v>66565</v>
      </c>
      <c r="P117" s="224"/>
      <c r="Q117" s="9">
        <v>6.7999999999999996E-3</v>
      </c>
      <c r="R117" s="8">
        <f>(H117+I117+K117)*Q117</f>
        <v>0</v>
      </c>
      <c r="S117" s="351"/>
      <c r="Y117" s="208">
        <f>65573+9005+2880</f>
        <v>77458</v>
      </c>
      <c r="Z117" s="208">
        <f>H117*Q117</f>
        <v>0</v>
      </c>
      <c r="AA117" s="208">
        <f>I117*Q117</f>
        <v>0</v>
      </c>
      <c r="AB117" s="208">
        <f>J117</f>
        <v>0</v>
      </c>
      <c r="AC117" s="208">
        <f>K117*Q117</f>
        <v>0</v>
      </c>
      <c r="AM117" s="208"/>
      <c r="AN117" s="208"/>
      <c r="AO117" s="208"/>
      <c r="AP117" s="208"/>
    </row>
    <row r="118" spans="1:260" s="441" customFormat="1" ht="15" thickBot="1">
      <c r="A118" s="360"/>
      <c r="B118" s="152" t="s">
        <v>2486</v>
      </c>
      <c r="C118" s="153" t="str">
        <f>VLOOKUP(B118,'Item Data Support Sheet'!A:B,2,0)</f>
        <v>NIPPLE S TYPE LL SIZE PUNCHED</v>
      </c>
      <c r="D118" s="699" t="s">
        <v>2093</v>
      </c>
      <c r="E118" s="702">
        <v>31644</v>
      </c>
      <c r="F118" s="23">
        <f>SUMIF('Data Sheet Aug-2021'!E:E,PVA!B118,'Data Sheet Aug-2021'!N:N)</f>
        <v>129839</v>
      </c>
      <c r="G118" s="23">
        <f>SUMIF('Data Sheet Aug-2021'!E:E,PVA!B118,'Data Sheet Aug-2021'!O:O)</f>
        <v>129839</v>
      </c>
      <c r="H118" s="23">
        <f>SUMIF('Data Sheet Aug-2021'!E:E,PVA!B118,'Data Sheet Aug-2021'!T:T)</f>
        <v>0</v>
      </c>
      <c r="I118" s="23">
        <f>SUMIF('Data Sheet Aug-2021'!E:E,PVA!B118,'Data Sheet Aug-2021'!U:U)</f>
        <v>0</v>
      </c>
      <c r="J118" s="23">
        <f>SUMIF('Data Sheet Aug-2021'!E:E,PVA!B118,'Data Sheet Aug-2021'!P:P)</f>
        <v>0</v>
      </c>
      <c r="K118" s="154">
        <f>SUMIF('Data Sheet Aug-2021'!E:E,PVA!B118,'Data Sheet Aug-2021'!Q:Q)</f>
        <v>0</v>
      </c>
      <c r="L118" s="740">
        <f>IFERROR(SUM(H118:I118)/SUM(G118:I118),0)</f>
        <v>0</v>
      </c>
      <c r="M118" s="740">
        <f t="shared" si="54"/>
        <v>0</v>
      </c>
      <c r="N118" s="44">
        <f>IFERROR(G118/E118,0)</f>
        <v>4.1031159145493614</v>
      </c>
      <c r="O118" s="155">
        <f>IFERROR(G118-E118,0)</f>
        <v>98195</v>
      </c>
      <c r="P118" s="225"/>
      <c r="Q118" s="23">
        <v>6.7999999999999996E-3</v>
      </c>
      <c r="R118" s="32">
        <f>(H118+I118+K118)*Q118</f>
        <v>0</v>
      </c>
      <c r="S118" s="351"/>
      <c r="T118" s="208"/>
      <c r="U118" s="208"/>
      <c r="V118" s="208"/>
      <c r="W118" s="208"/>
      <c r="X118" s="208"/>
      <c r="Y118" s="208"/>
      <c r="Z118" s="208"/>
      <c r="AA118" s="208"/>
      <c r="AB118" s="208"/>
      <c r="AC118" s="208"/>
      <c r="AD118" s="208"/>
      <c r="AE118" s="208"/>
      <c r="AF118" s="208"/>
      <c r="AG118" s="208"/>
      <c r="AH118" s="208"/>
      <c r="AI118" s="208"/>
      <c r="AJ118" s="208"/>
      <c r="AK118" s="208"/>
      <c r="AL118" s="208"/>
      <c r="AM118" s="208"/>
      <c r="AN118" s="208"/>
      <c r="AO118" s="208"/>
      <c r="AP118" s="208"/>
      <c r="AQ118" s="35"/>
      <c r="AR118" s="35"/>
      <c r="AS118" s="35"/>
      <c r="AT118" s="35"/>
      <c r="AU118" s="35"/>
      <c r="AV118" s="35"/>
      <c r="AW118" s="35"/>
      <c r="AX118" s="35"/>
      <c r="AY118" s="35"/>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row>
    <row r="119" spans="1:260" s="2" customFormat="1" ht="13.5" thickBot="1">
      <c r="A119" s="360"/>
      <c r="B119" s="138" t="s">
        <v>103</v>
      </c>
      <c r="C119" s="139"/>
      <c r="D119" s="704"/>
      <c r="E119" s="703">
        <f>SUM(E114:E118)</f>
        <v>286932</v>
      </c>
      <c r="F119" s="703">
        <f t="shared" ref="F119:K119" si="55">SUM(F114:F118)</f>
        <v>1084876</v>
      </c>
      <c r="G119" s="703">
        <f t="shared" si="55"/>
        <v>1084646</v>
      </c>
      <c r="H119" s="703">
        <f t="shared" si="55"/>
        <v>214</v>
      </c>
      <c r="I119" s="703">
        <f t="shared" si="55"/>
        <v>16</v>
      </c>
      <c r="J119" s="703">
        <f t="shared" si="55"/>
        <v>0</v>
      </c>
      <c r="K119" s="703">
        <f t="shared" si="55"/>
        <v>0</v>
      </c>
      <c r="L119" s="397">
        <f>SUM(H119:I119)/SUM(G119:I119)</f>
        <v>2.1200579605411125E-4</v>
      </c>
      <c r="M119" s="892">
        <f t="shared" si="54"/>
        <v>0</v>
      </c>
      <c r="N119" s="85">
        <f>G119/E119</f>
        <v>3.7801500006970294</v>
      </c>
      <c r="O119" s="81">
        <f>SUM(O114:O118)</f>
        <v>797714</v>
      </c>
      <c r="P119" s="222"/>
      <c r="Q119" s="89"/>
      <c r="R119" s="90">
        <f>(H119+I119+K119)*0.0068</f>
        <v>1.5639999999999998</v>
      </c>
      <c r="S119" s="352"/>
      <c r="T119" s="209"/>
      <c r="U119" s="209"/>
      <c r="V119" s="209"/>
      <c r="W119" s="209"/>
      <c r="X119" s="209"/>
      <c r="Y119" s="209">
        <f>G116-Y117</f>
        <v>295340</v>
      </c>
      <c r="Z119" s="209"/>
      <c r="AA119" s="209"/>
      <c r="AB119" s="209"/>
      <c r="AC119" s="209"/>
      <c r="AD119" s="209"/>
      <c r="AE119" s="209"/>
      <c r="AF119" s="209"/>
      <c r="AG119" s="209"/>
      <c r="AH119" s="209"/>
      <c r="AI119" s="209"/>
      <c r="AJ119" s="209"/>
      <c r="AK119" s="209"/>
      <c r="AL119" s="209"/>
      <c r="AM119" s="209"/>
      <c r="AN119" s="209"/>
      <c r="AO119" s="209"/>
      <c r="AP119" s="209"/>
      <c r="AQ119" s="36"/>
      <c r="AR119" s="36"/>
      <c r="AS119" s="36"/>
      <c r="AT119" s="36"/>
      <c r="AU119" s="36"/>
      <c r="AV119" s="36"/>
      <c r="AW119" s="36"/>
      <c r="AX119" s="36"/>
      <c r="AY119" s="36"/>
    </row>
    <row r="120" spans="1:260" s="67" customFormat="1" ht="15" thickBot="1">
      <c r="A120" s="360"/>
      <c r="B120" s="143" t="s">
        <v>1810</v>
      </c>
      <c r="C120" s="123" t="s">
        <v>10</v>
      </c>
      <c r="D120" s="402"/>
      <c r="E120" s="127" t="s">
        <v>2</v>
      </c>
      <c r="F120" s="127" t="s">
        <v>91</v>
      </c>
      <c r="G120" s="127" t="s">
        <v>3</v>
      </c>
      <c r="H120" s="127" t="s">
        <v>92</v>
      </c>
      <c r="I120" s="127" t="s">
        <v>94</v>
      </c>
      <c r="J120" s="127" t="s">
        <v>6</v>
      </c>
      <c r="K120" s="126" t="s">
        <v>4</v>
      </c>
      <c r="L120" s="895" t="s">
        <v>90</v>
      </c>
      <c r="M120" s="124" t="s">
        <v>2802</v>
      </c>
      <c r="N120" s="896" t="s">
        <v>89</v>
      </c>
      <c r="O120" s="127" t="s">
        <v>93</v>
      </c>
      <c r="P120" s="213" t="s">
        <v>105</v>
      </c>
      <c r="Q120" s="128" t="s">
        <v>418</v>
      </c>
      <c r="R120" s="126" t="s">
        <v>204</v>
      </c>
      <c r="S120" s="353"/>
      <c r="T120" s="208"/>
      <c r="U120" s="208"/>
      <c r="V120" s="208"/>
      <c r="W120" s="208"/>
      <c r="X120" s="208"/>
      <c r="Y120" s="208"/>
      <c r="Z120" s="208"/>
      <c r="AA120" s="208"/>
      <c r="AB120" s="208"/>
      <c r="AC120" s="208"/>
      <c r="AD120" s="208"/>
      <c r="AE120" s="208"/>
      <c r="AF120" s="208"/>
      <c r="AG120" s="208"/>
      <c r="AH120" s="208"/>
      <c r="AI120" s="208"/>
      <c r="AJ120" s="208"/>
      <c r="AK120" s="208"/>
      <c r="AL120" s="208"/>
      <c r="AM120" s="208"/>
      <c r="AN120" s="208"/>
      <c r="AO120" s="208"/>
      <c r="AP120" s="208"/>
      <c r="AQ120" s="35"/>
      <c r="AR120" s="35"/>
      <c r="AS120" s="35"/>
      <c r="AT120" s="35"/>
      <c r="AU120" s="35"/>
      <c r="AV120" s="35"/>
      <c r="AW120" s="35"/>
      <c r="AX120" s="35"/>
      <c r="AY120" s="35"/>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row>
    <row r="121" spans="1:260" s="67" customFormat="1">
      <c r="A121" s="360"/>
      <c r="B121" s="146" t="s">
        <v>1814</v>
      </c>
      <c r="C121" s="147" t="str">
        <f>VLOOKUP(B121,'Item Data Support Sheet'!A:B,2,0)</f>
        <v>NIPPLE S TYPE S SIZE PUNCHED LASER MARKED</v>
      </c>
      <c r="D121" s="698" t="str">
        <f>IFERROR(VLOOKUP(B121,'Item Data Support Sheet'!A:O,15,0),0)</f>
        <v>S-S SIZE</v>
      </c>
      <c r="E121" s="705">
        <v>0</v>
      </c>
      <c r="F121" s="7">
        <f>SUMIF('Data Sheet Aug-2021'!E:E,PVA!B121,'Data Sheet Aug-2021'!N:N)</f>
        <v>229484</v>
      </c>
      <c r="G121" s="7">
        <f>SUMIF('Data Sheet Aug-2021'!E:E,PVA!B121,'Data Sheet Aug-2021'!O:O)</f>
        <v>229471</v>
      </c>
      <c r="H121" s="7">
        <f>SUMIF('Data Sheet Aug-2021'!E:E,PVA!B121,'Data Sheet Aug-2021'!T:T)</f>
        <v>13</v>
      </c>
      <c r="I121" s="7">
        <f>SUMIF('Data Sheet Aug-2021'!E:E,PVA!B121,'Data Sheet Aug-2021'!U:U)</f>
        <v>0</v>
      </c>
      <c r="J121" s="7">
        <f>SUMIF('Data Sheet Aug-2021'!E:E,PVA!B121,'Data Sheet Aug-2021'!P:P)</f>
        <v>0</v>
      </c>
      <c r="K121" s="148">
        <f>SUMIF('Data Sheet Aug-2021'!E:E,PVA!B121,'Data Sheet Aug-2021'!Q:Q)</f>
        <v>0</v>
      </c>
      <c r="L121" s="273">
        <f>IFERROR(SUM(H121:I121)/SUM(G121:I121),0)</f>
        <v>5.6648829548029495E-5</v>
      </c>
      <c r="M121" s="273">
        <f t="shared" ref="M121:M126" si="56">IFERROR(K121/F121,0)</f>
        <v>0</v>
      </c>
      <c r="N121" s="42">
        <f>IFERROR(G121/E121,0)</f>
        <v>0</v>
      </c>
      <c r="O121" s="149">
        <f>G121-E121</f>
        <v>229471</v>
      </c>
      <c r="P121" s="223"/>
      <c r="Q121" s="7">
        <v>6.7999999999999996E-3</v>
      </c>
      <c r="R121" s="30">
        <f>(H121+I121+K121)*Q121</f>
        <v>8.8399999999999992E-2</v>
      </c>
      <c r="S121" s="351"/>
      <c r="T121" s="208"/>
      <c r="U121" s="208"/>
      <c r="V121" s="208"/>
      <c r="W121" s="208"/>
      <c r="X121" s="208"/>
      <c r="Y121" s="208"/>
      <c r="Z121" s="208">
        <f>H121*Q121</f>
        <v>8.8399999999999992E-2</v>
      </c>
      <c r="AA121" s="208">
        <f>I121*Q121</f>
        <v>0</v>
      </c>
      <c r="AB121" s="208">
        <f>J121</f>
        <v>0</v>
      </c>
      <c r="AC121" s="208">
        <f>K121*Q121</f>
        <v>0</v>
      </c>
      <c r="AD121" s="208"/>
      <c r="AE121" s="208"/>
      <c r="AF121" s="208"/>
      <c r="AG121" s="208"/>
      <c r="AH121" s="208"/>
      <c r="AI121" s="208"/>
      <c r="AJ121" s="208"/>
      <c r="AK121" s="208"/>
      <c r="AL121" s="208"/>
      <c r="AM121" s="208"/>
      <c r="AN121" s="208"/>
      <c r="AO121" s="208"/>
      <c r="AP121" s="208"/>
      <c r="AQ121" s="35"/>
      <c r="AR121" s="35"/>
      <c r="AS121" s="35"/>
      <c r="AT121" s="35"/>
      <c r="AU121" s="35"/>
      <c r="AV121" s="35"/>
      <c r="AW121" s="35"/>
      <c r="AX121" s="35"/>
      <c r="AY121" s="35"/>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row>
    <row r="122" spans="1:260" s="67" customFormat="1">
      <c r="A122" s="360"/>
      <c r="B122" s="6" t="s">
        <v>1815</v>
      </c>
      <c r="C122" s="150" t="str">
        <f>VLOOKUP(B122,'Item Data Support Sheet'!A:B,2,0)</f>
        <v>NIPPLE S TYPE M SIZE PUNCHED LASER MARKED</v>
      </c>
      <c r="D122" s="697" t="str">
        <f>IFERROR(VLOOKUP(B122,'Item Data Support Sheet'!A:O,15,0),0)</f>
        <v>S-M SIZE</v>
      </c>
      <c r="E122" s="706">
        <v>0</v>
      </c>
      <c r="F122" s="9">
        <f>SUMIF('Data Sheet Aug-2021'!E:E,PVA!B122,'Data Sheet Aug-2021'!N:N)</f>
        <v>153356</v>
      </c>
      <c r="G122" s="9">
        <f>SUMIF('Data Sheet Aug-2021'!E:E,PVA!B122,'Data Sheet Aug-2021'!O:O)</f>
        <v>153356</v>
      </c>
      <c r="H122" s="9">
        <f>SUMIF('Data Sheet Aug-2021'!E:E,PVA!B122,'Data Sheet Aug-2021'!T:T)</f>
        <v>0</v>
      </c>
      <c r="I122" s="9">
        <f>SUMIF('Data Sheet Aug-2021'!E:E,PVA!B122,'Data Sheet Aug-2021'!U:U)</f>
        <v>0</v>
      </c>
      <c r="J122" s="9">
        <f>SUMIF('Data Sheet Aug-2021'!E:E,PVA!B122,'Data Sheet Aug-2021'!P:P)</f>
        <v>0</v>
      </c>
      <c r="K122" s="10">
        <f>SUMIF('Data Sheet Aug-2021'!E:E,PVA!B122,'Data Sheet Aug-2021'!Q:Q)</f>
        <v>0</v>
      </c>
      <c r="L122" s="272">
        <f>IFERROR(SUM(H122:I122)/SUM(G122:I122),0)</f>
        <v>0</v>
      </c>
      <c r="M122" s="272">
        <f t="shared" si="56"/>
        <v>0</v>
      </c>
      <c r="N122" s="43">
        <f>IFERROR(G122/E122,0)</f>
        <v>0</v>
      </c>
      <c r="O122" s="151">
        <f>G122-E122</f>
        <v>153356</v>
      </c>
      <c r="P122" s="224"/>
      <c r="Q122" s="9">
        <v>6.7999999999999996E-3</v>
      </c>
      <c r="R122" s="8">
        <f>(H122+I122+K122)*Q122</f>
        <v>0</v>
      </c>
      <c r="S122" s="351"/>
      <c r="T122" s="208"/>
      <c r="U122" s="208"/>
      <c r="V122" s="208"/>
      <c r="W122" s="208"/>
      <c r="X122" s="208"/>
      <c r="Y122" s="208"/>
      <c r="Z122" s="208">
        <f>H122*Q122</f>
        <v>0</v>
      </c>
      <c r="AA122" s="208">
        <f>I122*Q122</f>
        <v>0</v>
      </c>
      <c r="AB122" s="208">
        <f>J122</f>
        <v>0</v>
      </c>
      <c r="AC122" s="208">
        <f>K122*Q122</f>
        <v>0</v>
      </c>
      <c r="AD122" s="208"/>
      <c r="AE122" s="208"/>
      <c r="AF122" s="208"/>
      <c r="AG122" s="208"/>
      <c r="AH122" s="208"/>
      <c r="AI122" s="208"/>
      <c r="AJ122" s="208"/>
      <c r="AK122" s="208"/>
      <c r="AL122" s="208"/>
      <c r="AM122" s="208"/>
      <c r="AN122" s="208"/>
      <c r="AO122" s="208"/>
      <c r="AP122" s="208"/>
      <c r="AQ122" s="35"/>
      <c r="AR122" s="35"/>
      <c r="AS122" s="35"/>
      <c r="AT122" s="35"/>
      <c r="AU122" s="35"/>
      <c r="AV122" s="35"/>
      <c r="AW122" s="35"/>
      <c r="AX122" s="35"/>
      <c r="AY122" s="35"/>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row>
    <row r="123" spans="1:260" s="67" customFormat="1">
      <c r="A123" s="360"/>
      <c r="B123" s="6" t="s">
        <v>1816</v>
      </c>
      <c r="C123" s="150" t="str">
        <f>VLOOKUP(B123,'Item Data Support Sheet'!A:B,2,0)</f>
        <v>NIPPLE S TYPE L SIZE PUNCHED LASER MARKED</v>
      </c>
      <c r="D123" s="697" t="str">
        <f>IFERROR(VLOOKUP(B123,'Item Data Support Sheet'!A:O,15,0),0)</f>
        <v>S-L SIZE</v>
      </c>
      <c r="E123" s="706">
        <v>0</v>
      </c>
      <c r="F123" s="9">
        <f>SUMIF('Data Sheet Aug-2021'!E:E,PVA!B123,'Data Sheet Aug-2021'!N:N)</f>
        <v>361898</v>
      </c>
      <c r="G123" s="9">
        <f>SUMIF('Data Sheet Aug-2021'!E:E,PVA!B123,'Data Sheet Aug-2021'!O:O)</f>
        <v>361880</v>
      </c>
      <c r="H123" s="9">
        <f>SUMIF('Data Sheet Aug-2021'!E:E,PVA!B123,'Data Sheet Aug-2021'!T:T)</f>
        <v>18</v>
      </c>
      <c r="I123" s="9">
        <f>SUMIF('Data Sheet Aug-2021'!E:E,PVA!B123,'Data Sheet Aug-2021'!U:U)</f>
        <v>0</v>
      </c>
      <c r="J123" s="9">
        <f>SUMIF('Data Sheet Aug-2021'!E:E,PVA!B123,'Data Sheet Aug-2021'!P:P)</f>
        <v>0</v>
      </c>
      <c r="K123" s="10">
        <f>SUMIF('Data Sheet Aug-2021'!E:E,PVA!B123,'Data Sheet Aug-2021'!Q:Q)</f>
        <v>0</v>
      </c>
      <c r="L123" s="272">
        <f>IFERROR(SUM(H123:I123)/SUM(G123:I123),0)</f>
        <v>4.9737771416255406E-5</v>
      </c>
      <c r="M123" s="272">
        <f t="shared" si="56"/>
        <v>0</v>
      </c>
      <c r="N123" s="43">
        <f>IFERROR(G123/E123,0)</f>
        <v>0</v>
      </c>
      <c r="O123" s="151">
        <f>IFERROR(G123-E123,0)</f>
        <v>361880</v>
      </c>
      <c r="P123" s="224"/>
      <c r="Q123" s="9">
        <v>6.7999999999999996E-3</v>
      </c>
      <c r="R123" s="8">
        <f>(H123+I123+K123)*Q123</f>
        <v>0.12239999999999999</v>
      </c>
      <c r="S123" s="351"/>
      <c r="T123" s="208"/>
      <c r="U123" s="208"/>
      <c r="V123" s="208"/>
      <c r="W123" s="208"/>
      <c r="X123" s="208"/>
      <c r="Y123" s="208"/>
      <c r="Z123" s="208">
        <f>H123*Q123</f>
        <v>0.12239999999999999</v>
      </c>
      <c r="AA123" s="208">
        <f>I123*Q123</f>
        <v>0</v>
      </c>
      <c r="AB123" s="208">
        <f>J123</f>
        <v>0</v>
      </c>
      <c r="AC123" s="208">
        <f>K123*Q123</f>
        <v>0</v>
      </c>
      <c r="AD123" s="208"/>
      <c r="AE123" s="208"/>
      <c r="AF123" s="208"/>
      <c r="AG123" s="208"/>
      <c r="AH123" s="208"/>
      <c r="AI123" s="208"/>
      <c r="AJ123" s="208"/>
      <c r="AK123" s="208"/>
      <c r="AL123" s="208"/>
      <c r="AM123" s="208"/>
      <c r="AN123" s="208"/>
      <c r="AO123" s="208"/>
      <c r="AP123" s="208"/>
      <c r="AQ123" s="35"/>
      <c r="AR123" s="35"/>
      <c r="AS123" s="35"/>
      <c r="AT123" s="35"/>
      <c r="AU123" s="35"/>
      <c r="AV123" s="35"/>
      <c r="AW123" s="35"/>
      <c r="AX123" s="35"/>
      <c r="AY123" s="35"/>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row>
    <row r="124" spans="1:260" s="67" customFormat="1">
      <c r="A124" s="360"/>
      <c r="B124" s="6" t="s">
        <v>1817</v>
      </c>
      <c r="C124" s="150" t="str">
        <f>VLOOKUP(B124,'Item Data Support Sheet'!A:B,2,0)</f>
        <v>NIPPLE S TYPE Y SIZE PUNCHED LASER MARKED</v>
      </c>
      <c r="D124" s="697" t="str">
        <f>IFERROR(VLOOKUP(B124,'Item Data Support Sheet'!A:O,15,0),0)</f>
        <v>S-Y SIZE</v>
      </c>
      <c r="E124" s="706">
        <v>0</v>
      </c>
      <c r="F124" s="9">
        <f>SUMIF('Data Sheet Aug-2021'!E:E,PVA!B124,'Data Sheet Aug-2021'!N:N)</f>
        <v>66557</v>
      </c>
      <c r="G124" s="9">
        <f>SUMIF('Data Sheet Aug-2021'!E:E,PVA!B124,'Data Sheet Aug-2021'!O:O)</f>
        <v>66557</v>
      </c>
      <c r="H124" s="9">
        <f>SUMIF('Data Sheet Aug-2021'!E:E,PVA!B124,'Data Sheet Aug-2021'!T:T)</f>
        <v>0</v>
      </c>
      <c r="I124" s="9">
        <f>SUMIF('Data Sheet Aug-2021'!E:E,PVA!B124,'Data Sheet Aug-2021'!U:U)</f>
        <v>0</v>
      </c>
      <c r="J124" s="9">
        <f>SUMIF('Data Sheet Aug-2021'!E:E,PVA!B124,'Data Sheet Aug-2021'!P:P)</f>
        <v>0</v>
      </c>
      <c r="K124" s="10">
        <f>SUMIF('Data Sheet Aug-2021'!E:E,PVA!B124,'Data Sheet Aug-2021'!Q:Q)</f>
        <v>0</v>
      </c>
      <c r="L124" s="272">
        <f>IFERROR(SUM(H124:I124)/SUM(G124:I124),0)</f>
        <v>0</v>
      </c>
      <c r="M124" s="272">
        <f t="shared" si="56"/>
        <v>0</v>
      </c>
      <c r="N124" s="43">
        <f>IFERROR(G124/E124,0)</f>
        <v>0</v>
      </c>
      <c r="O124" s="151">
        <f>IFERROR(G124-E124,0)</f>
        <v>66557</v>
      </c>
      <c r="P124" s="224"/>
      <c r="Q124" s="9">
        <v>6.7999999999999996E-3</v>
      </c>
      <c r="R124" s="8">
        <f>(H124+I124+K124)*Q124</f>
        <v>0</v>
      </c>
      <c r="S124" s="351"/>
      <c r="T124" s="208"/>
      <c r="U124" s="208"/>
      <c r="V124" s="208"/>
      <c r="W124" s="208"/>
      <c r="X124" s="208"/>
      <c r="Y124" s="208">
        <f>65573+9005+2880</f>
        <v>77458</v>
      </c>
      <c r="Z124" s="208">
        <f>H124*Q124</f>
        <v>0</v>
      </c>
      <c r="AA124" s="208">
        <f>I124*Q124</f>
        <v>0</v>
      </c>
      <c r="AB124" s="208">
        <f>J124</f>
        <v>0</v>
      </c>
      <c r="AC124" s="208">
        <f>K124*Q124</f>
        <v>0</v>
      </c>
      <c r="AD124" s="208"/>
      <c r="AE124" s="208"/>
      <c r="AF124" s="208"/>
      <c r="AG124" s="208"/>
      <c r="AH124" s="208"/>
      <c r="AI124" s="208"/>
      <c r="AJ124" s="208"/>
      <c r="AK124" s="208"/>
      <c r="AL124" s="208"/>
      <c r="AM124" s="208"/>
      <c r="AN124" s="208"/>
      <c r="AO124" s="208"/>
      <c r="AP124" s="208"/>
      <c r="AQ124" s="35"/>
      <c r="AR124" s="35"/>
      <c r="AS124" s="35"/>
      <c r="AT124" s="35"/>
      <c r="AU124" s="35"/>
      <c r="AV124" s="35"/>
      <c r="AW124" s="35"/>
      <c r="AX124" s="35"/>
      <c r="AY124" s="35"/>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row>
    <row r="125" spans="1:260" s="441" customFormat="1" ht="15" thickBot="1">
      <c r="A125" s="360"/>
      <c r="B125" s="152" t="s">
        <v>2487</v>
      </c>
      <c r="C125" s="153" t="str">
        <f>VLOOKUP(B125,'Item Data Support Sheet'!A:B,2,0)</f>
        <v>NIPPLE S TYPE LL SIZE LASER MARKED</v>
      </c>
      <c r="D125" s="699" t="s">
        <v>2093</v>
      </c>
      <c r="E125" s="707">
        <v>0</v>
      </c>
      <c r="F125" s="23">
        <f>SUMIF('Data Sheet Aug-2021'!E:E,PVA!B125,'Data Sheet Aug-2021'!N:N)</f>
        <v>129839</v>
      </c>
      <c r="G125" s="23">
        <f>SUMIF('Data Sheet Aug-2021'!E:E,PVA!B125,'Data Sheet Aug-2021'!O:O)</f>
        <v>129839</v>
      </c>
      <c r="H125" s="23">
        <f>SUMIF('Data Sheet Aug-2021'!E:E,PVA!B125,'Data Sheet Aug-2021'!T:T)</f>
        <v>0</v>
      </c>
      <c r="I125" s="23">
        <f>SUMIF('Data Sheet Aug-2021'!E:E,PVA!B125,'Data Sheet Aug-2021'!U:U)</f>
        <v>0</v>
      </c>
      <c r="J125" s="23">
        <f>SUMIF('Data Sheet Aug-2021'!E:E,PVA!B125,'Data Sheet Aug-2021'!P:P)</f>
        <v>0</v>
      </c>
      <c r="K125" s="154">
        <f>SUMIF('Data Sheet Aug-2021'!E:E,PVA!B125,'Data Sheet Aug-2021'!Q:Q)</f>
        <v>0</v>
      </c>
      <c r="L125" s="740">
        <f>IFERROR(SUM(H125:I125)/SUM(G125:I125),0)</f>
        <v>0</v>
      </c>
      <c r="M125" s="740">
        <f t="shared" si="56"/>
        <v>0</v>
      </c>
      <c r="N125" s="44">
        <f>IFERROR(G125/E125,0)</f>
        <v>0</v>
      </c>
      <c r="O125" s="155">
        <f>IFERROR(G125-E125,0)</f>
        <v>129839</v>
      </c>
      <c r="P125" s="225"/>
      <c r="Q125" s="23">
        <v>6.7999999999999996E-3</v>
      </c>
      <c r="R125" s="32">
        <f>(H125+I125+K125)*Q125</f>
        <v>0</v>
      </c>
      <c r="S125" s="351"/>
      <c r="T125" s="208"/>
      <c r="U125" s="208"/>
      <c r="V125" s="208"/>
      <c r="W125" s="208"/>
      <c r="X125" s="208"/>
      <c r="Y125" s="208"/>
      <c r="Z125" s="208"/>
      <c r="AA125" s="208"/>
      <c r="AB125" s="208"/>
      <c r="AC125" s="208"/>
      <c r="AD125" s="208"/>
      <c r="AE125" s="208"/>
      <c r="AF125" s="208"/>
      <c r="AG125" s="208"/>
      <c r="AH125" s="208"/>
      <c r="AI125" s="208"/>
      <c r="AJ125" s="208"/>
      <c r="AK125" s="208"/>
      <c r="AL125" s="208"/>
      <c r="AM125" s="208"/>
      <c r="AN125" s="208"/>
      <c r="AO125" s="208"/>
      <c r="AP125" s="208"/>
      <c r="AQ125" s="35"/>
      <c r="AR125" s="35"/>
      <c r="AS125" s="35"/>
      <c r="AT125" s="35"/>
      <c r="AU125" s="35"/>
      <c r="AV125" s="35"/>
      <c r="AW125" s="35"/>
      <c r="AX125" s="35"/>
      <c r="AY125" s="35"/>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row>
    <row r="126" spans="1:260" s="2" customFormat="1" ht="13.5" thickBot="1">
      <c r="A126" s="360"/>
      <c r="B126" s="138" t="s">
        <v>103</v>
      </c>
      <c r="C126" s="139"/>
      <c r="D126" s="704"/>
      <c r="E126" s="84">
        <f>SUM(E121:E125)</f>
        <v>0</v>
      </c>
      <c r="F126" s="84">
        <f t="shared" ref="F126:K126" si="57">SUM(F121:F125)</f>
        <v>941134</v>
      </c>
      <c r="G126" s="84">
        <f t="shared" si="57"/>
        <v>941103</v>
      </c>
      <c r="H126" s="84">
        <f t="shared" si="57"/>
        <v>31</v>
      </c>
      <c r="I126" s="84">
        <f t="shared" si="57"/>
        <v>0</v>
      </c>
      <c r="J126" s="84">
        <f t="shared" si="57"/>
        <v>0</v>
      </c>
      <c r="K126" s="84">
        <f t="shared" si="57"/>
        <v>0</v>
      </c>
      <c r="L126" s="397">
        <f>SUM(H126:I126)/SUM(G126:I126)</f>
        <v>3.2938986371760029E-5</v>
      </c>
      <c r="M126" s="892">
        <f t="shared" si="56"/>
        <v>0</v>
      </c>
      <c r="N126" s="85" t="e">
        <f>G126/E126</f>
        <v>#DIV/0!</v>
      </c>
      <c r="O126" s="81">
        <f>SUM(O121:O125)</f>
        <v>941103</v>
      </c>
      <c r="P126" s="222"/>
      <c r="Q126" s="89"/>
      <c r="R126" s="90">
        <f>(H126+I126+K126)*0.0068</f>
        <v>0.21079999999999999</v>
      </c>
      <c r="S126" s="352"/>
      <c r="T126" s="209"/>
      <c r="U126" s="209"/>
      <c r="V126" s="209"/>
      <c r="W126" s="209"/>
      <c r="X126" s="209"/>
      <c r="Y126" s="209">
        <f>G123-Y124</f>
        <v>284422</v>
      </c>
      <c r="Z126" s="209"/>
      <c r="AA126" s="209"/>
      <c r="AB126" s="209"/>
      <c r="AC126" s="209"/>
      <c r="AD126" s="209"/>
      <c r="AE126" s="209"/>
      <c r="AF126" s="209"/>
      <c r="AG126" s="209"/>
      <c r="AH126" s="209"/>
      <c r="AI126" s="209"/>
      <c r="AJ126" s="209"/>
      <c r="AK126" s="209"/>
      <c r="AL126" s="209"/>
      <c r="AM126" s="209"/>
      <c r="AN126" s="209"/>
      <c r="AO126" s="209"/>
      <c r="AP126" s="209"/>
      <c r="AQ126" s="36"/>
      <c r="AR126" s="36"/>
      <c r="AS126" s="36"/>
      <c r="AT126" s="36"/>
      <c r="AU126" s="36"/>
      <c r="AV126" s="36"/>
      <c r="AW126" s="36"/>
      <c r="AX126" s="36"/>
      <c r="AY126" s="36"/>
    </row>
    <row r="127" spans="1:260" ht="15" thickBot="1">
      <c r="A127" s="360"/>
      <c r="B127" s="123" t="s">
        <v>106</v>
      </c>
      <c r="C127" s="457" t="s">
        <v>10</v>
      </c>
      <c r="D127" s="402"/>
      <c r="E127" s="127" t="s">
        <v>2</v>
      </c>
      <c r="F127" s="127" t="s">
        <v>91</v>
      </c>
      <c r="G127" s="127" t="s">
        <v>3</v>
      </c>
      <c r="H127" s="127" t="s">
        <v>92</v>
      </c>
      <c r="I127" s="127" t="s">
        <v>94</v>
      </c>
      <c r="J127" s="127" t="s">
        <v>6</v>
      </c>
      <c r="K127" s="126" t="s">
        <v>4</v>
      </c>
      <c r="L127" s="895" t="s">
        <v>90</v>
      </c>
      <c r="M127" s="124" t="s">
        <v>2802</v>
      </c>
      <c r="N127" s="896" t="s">
        <v>89</v>
      </c>
      <c r="O127" s="127" t="s">
        <v>93</v>
      </c>
      <c r="P127" s="213" t="s">
        <v>105</v>
      </c>
      <c r="Q127" s="128" t="s">
        <v>418</v>
      </c>
      <c r="R127" s="126" t="s">
        <v>204</v>
      </c>
      <c r="S127" s="354"/>
      <c r="Y127" s="208">
        <f>F116-77510</f>
        <v>295375</v>
      </c>
      <c r="AM127" s="208"/>
      <c r="AN127" s="208"/>
      <c r="AO127" s="208"/>
      <c r="AP127" s="208"/>
    </row>
    <row r="128" spans="1:260">
      <c r="A128" s="360"/>
      <c r="B128" s="146" t="s">
        <v>1818</v>
      </c>
      <c r="C128" s="147" t="str">
        <f>VLOOKUP(B128,'Item Data Support Sheet'!A:B,2,0)</f>
        <v>NIPPLE S TYPE S SIZE PUNCHED INSPECTED</v>
      </c>
      <c r="D128" s="698" t="str">
        <f>IFERROR(VLOOKUP(B128,'Item Data Support Sheet'!A:O,15,0),0)</f>
        <v>S-S SIZE</v>
      </c>
      <c r="E128" s="705">
        <v>113000</v>
      </c>
      <c r="F128" s="7">
        <f>SUMIF('Data Sheet Aug-2021'!E:E,PVA!B128,'Data Sheet Aug-2021'!N:N)</f>
        <v>298234</v>
      </c>
      <c r="G128" s="7">
        <f>SUMIF('Data Sheet Aug-2021'!E:E,PVA!B128,'Data Sheet Aug-2021'!O:O)</f>
        <v>296548</v>
      </c>
      <c r="H128" s="7">
        <f>SUMIF('Data Sheet Aug-2021'!E:E,PVA!B128,'Data Sheet Aug-2021'!T:T)</f>
        <v>1686</v>
      </c>
      <c r="I128" s="7">
        <f>SUMIF('Data Sheet Aug-2021'!E:E,PVA!B128,'Data Sheet Aug-2021'!U:U)</f>
        <v>0</v>
      </c>
      <c r="J128" s="7">
        <f>SUMIF('Data Sheet Aug-2021'!E:E,PVA!B128,'Data Sheet Aug-2021'!P:P)</f>
        <v>0</v>
      </c>
      <c r="K128" s="148">
        <f>SUMIF('Data Sheet Aug-2021'!E:E,PVA!B128,'Data Sheet Aug-2021'!Q:Q)</f>
        <v>0</v>
      </c>
      <c r="L128" s="273">
        <f>IFERROR(SUM(H128:I128)/SUM(G128:I128),0)</f>
        <v>5.6532789688633761E-3</v>
      </c>
      <c r="M128" s="273">
        <f t="shared" ref="M128:M133" si="58">IFERROR(K128/F128,0)</f>
        <v>0</v>
      </c>
      <c r="N128" s="42">
        <f>IFERROR(G128/E128,0)</f>
        <v>2.6243185840707963</v>
      </c>
      <c r="O128" s="149">
        <f>G128-E128</f>
        <v>183548</v>
      </c>
      <c r="P128" s="223"/>
      <c r="Q128" s="7">
        <v>6.7999999999999996E-3</v>
      </c>
      <c r="R128" s="30">
        <f>(H128+I128+K128)*Q128</f>
        <v>11.464799999999999</v>
      </c>
      <c r="Y128" s="208">
        <f>77510+Y127</f>
        <v>372885</v>
      </c>
      <c r="Z128" s="208">
        <f>H128*Q128</f>
        <v>11.464799999999999</v>
      </c>
      <c r="AA128" s="208">
        <f>I128*Q128</f>
        <v>0</v>
      </c>
      <c r="AB128" s="208">
        <f>J128</f>
        <v>0</v>
      </c>
      <c r="AC128" s="208">
        <f>K128*Q128</f>
        <v>0</v>
      </c>
      <c r="AM128" s="208"/>
      <c r="AN128" s="208"/>
      <c r="AO128" s="208"/>
      <c r="AP128" s="208"/>
    </row>
    <row r="129" spans="1:260">
      <c r="A129" s="360"/>
      <c r="B129" s="6" t="s">
        <v>1819</v>
      </c>
      <c r="C129" s="150" t="str">
        <f>VLOOKUP(B129,'Item Data Support Sheet'!A:B,2,0)</f>
        <v>NIPPLE S TYPE M SIZE PUNCHED INSPECTED</v>
      </c>
      <c r="D129" s="697" t="str">
        <f>IFERROR(VLOOKUP(B129,'Item Data Support Sheet'!A:O,15,0),0)</f>
        <v>S-M SIZE</v>
      </c>
      <c r="E129" s="706">
        <v>69000</v>
      </c>
      <c r="F129" s="9">
        <f>SUMIF('Data Sheet Aug-2021'!E:E,PVA!B129,'Data Sheet Aug-2021'!N:N)</f>
        <v>216978</v>
      </c>
      <c r="G129" s="9">
        <f>SUMIF('Data Sheet Aug-2021'!E:E,PVA!B129,'Data Sheet Aug-2021'!O:O)</f>
        <v>215507</v>
      </c>
      <c r="H129" s="9">
        <f>SUMIF('Data Sheet Aug-2021'!E:E,PVA!B129,'Data Sheet Aug-2021'!T:T)</f>
        <v>1471</v>
      </c>
      <c r="I129" s="9">
        <f>SUMIF('Data Sheet Aug-2021'!E:E,PVA!B129,'Data Sheet Aug-2021'!U:U)</f>
        <v>0</v>
      </c>
      <c r="J129" s="9">
        <f>SUMIF('Data Sheet Aug-2021'!E:E,PVA!B129,'Data Sheet Aug-2021'!P:P)</f>
        <v>0</v>
      </c>
      <c r="K129" s="10">
        <f>SUMIF('Data Sheet Aug-2021'!E:E,PVA!B129,'Data Sheet Aug-2021'!Q:Q)</f>
        <v>0</v>
      </c>
      <c r="L129" s="272">
        <f>IFERROR(SUM(H129:I129)/SUM(G129:I129),0)</f>
        <v>6.7794891648001177E-3</v>
      </c>
      <c r="M129" s="272">
        <f t="shared" si="58"/>
        <v>0</v>
      </c>
      <c r="N129" s="43">
        <f>IFERROR(G129/E129,0)</f>
        <v>3.1232898550724637</v>
      </c>
      <c r="O129" s="151">
        <f>G129-E129</f>
        <v>146507</v>
      </c>
      <c r="P129" s="224"/>
      <c r="Q129" s="9">
        <v>6.7999999999999996E-3</v>
      </c>
      <c r="R129" s="8">
        <f>(H129+I129+K129)*Q129</f>
        <v>10.002799999999999</v>
      </c>
      <c r="Z129" s="208">
        <f>H129*Q129</f>
        <v>10.002799999999999</v>
      </c>
      <c r="AA129" s="208">
        <f>I129*Q129</f>
        <v>0</v>
      </c>
      <c r="AB129" s="208">
        <f>J129</f>
        <v>0</v>
      </c>
      <c r="AC129" s="208">
        <f>K129*Q129</f>
        <v>0</v>
      </c>
      <c r="AM129" s="208"/>
      <c r="AN129" s="208"/>
      <c r="AO129" s="208"/>
      <c r="AP129" s="208"/>
    </row>
    <row r="130" spans="1:260">
      <c r="A130" s="360"/>
      <c r="B130" s="6" t="s">
        <v>1820</v>
      </c>
      <c r="C130" s="150" t="str">
        <f>VLOOKUP(B130,'Item Data Support Sheet'!A:B,2,0)</f>
        <v>NIPPLE S TYPE L SIZE PUNCHED INSPECTED</v>
      </c>
      <c r="D130" s="697" t="str">
        <f>IFERROR(VLOOKUP(B130,'Item Data Support Sheet'!A:O,15,0),0)</f>
        <v>S-L SIZE</v>
      </c>
      <c r="E130" s="706">
        <v>73000</v>
      </c>
      <c r="F130" s="9">
        <f>G130+H130</f>
        <v>350680</v>
      </c>
      <c r="G130" s="9">
        <f>SUMIF('Data Sheet Aug-2021'!E:E,PVA!B130,'Data Sheet Aug-2021'!O:O)</f>
        <v>348377</v>
      </c>
      <c r="H130" s="9">
        <f>SUMIF('Data Sheet Aug-2021'!E:E,PVA!B130,'Data Sheet Aug-2021'!T:T)</f>
        <v>2303</v>
      </c>
      <c r="I130" s="9">
        <f>SUMIF('Data Sheet Aug-2021'!E:E,PVA!B130,'Data Sheet Aug-2021'!U:U)</f>
        <v>8</v>
      </c>
      <c r="J130" s="9">
        <f>SUMIF('Data Sheet Aug-2021'!E:E,PVA!B130,'Data Sheet Aug-2021'!P:P)</f>
        <v>0</v>
      </c>
      <c r="K130" s="10">
        <f>SUMIF('Data Sheet Aug-2021'!E:E,PVA!B130,'Data Sheet Aug-2021'!Q:Q)</f>
        <v>0</v>
      </c>
      <c r="L130" s="272">
        <f>IFERROR(SUM(H130:I130)/SUM(G130:I130),0)</f>
        <v>6.5899032758463365E-3</v>
      </c>
      <c r="M130" s="272">
        <f t="shared" si="58"/>
        <v>0</v>
      </c>
      <c r="N130" s="43">
        <f>IFERROR(G130/E130,0)</f>
        <v>4.7722876712328768</v>
      </c>
      <c r="O130" s="151">
        <f>G130-E130</f>
        <v>275377</v>
      </c>
      <c r="P130" s="224"/>
      <c r="Q130" s="9">
        <v>6.7999999999999996E-3</v>
      </c>
      <c r="R130" s="8">
        <f>(H130+I130+K130)*Q130</f>
        <v>15.714799999999999</v>
      </c>
      <c r="Z130" s="208">
        <f>H130*Q130</f>
        <v>15.660399999999999</v>
      </c>
      <c r="AA130" s="208">
        <f>I130*Q130</f>
        <v>5.4399999999999997E-2</v>
      </c>
      <c r="AB130" s="208">
        <f>J130</f>
        <v>0</v>
      </c>
      <c r="AC130" s="208">
        <f>K130*Q130</f>
        <v>0</v>
      </c>
      <c r="AM130" s="208"/>
      <c r="AN130" s="208"/>
      <c r="AO130" s="208"/>
      <c r="AP130" s="208"/>
    </row>
    <row r="131" spans="1:260">
      <c r="A131" s="360"/>
      <c r="B131" s="6" t="s">
        <v>1821</v>
      </c>
      <c r="C131" s="150" t="str">
        <f>VLOOKUP(B131,'Item Data Support Sheet'!A:B,2,0)</f>
        <v>NIPPLE S TYPE Y SIZE PUNCHED INSPECTED</v>
      </c>
      <c r="D131" s="697" t="str">
        <f>IFERROR(VLOOKUP(B131,'Item Data Support Sheet'!A:O,15,0),0)</f>
        <v>S-Y SIZE</v>
      </c>
      <c r="E131" s="706">
        <v>0</v>
      </c>
      <c r="F131" s="9">
        <f>SUMIF('Data Sheet Aug-2021'!E:E,PVA!B131,'Data Sheet Aug-2021'!N:N)</f>
        <v>66557</v>
      </c>
      <c r="G131" s="9">
        <f>SUMIF('Data Sheet Aug-2021'!E:E,PVA!B131,'Data Sheet Aug-2021'!O:O)</f>
        <v>66181</v>
      </c>
      <c r="H131" s="9">
        <f>SUMIF('Data Sheet Aug-2021'!E:E,PVA!B131,'Data Sheet Aug-2021'!T:T)</f>
        <v>376</v>
      </c>
      <c r="I131" s="9">
        <f>SUMIF('Data Sheet Aug-2021'!E:E,PVA!B131,'Data Sheet Aug-2021'!U:U)</f>
        <v>0</v>
      </c>
      <c r="J131" s="9">
        <f>SUMIF('Data Sheet Aug-2021'!E:E,PVA!B131,'Data Sheet Aug-2021'!P:P)</f>
        <v>0</v>
      </c>
      <c r="K131" s="10">
        <f>SUMIF('Data Sheet Aug-2021'!E:E,PVA!B131,'Data Sheet Aug-2021'!Q:Q)</f>
        <v>0</v>
      </c>
      <c r="L131" s="272">
        <f>IFERROR(SUM(H131:I131)/SUM(G131:I131),0)</f>
        <v>5.6492930871283259E-3</v>
      </c>
      <c r="M131" s="272">
        <f t="shared" si="58"/>
        <v>0</v>
      </c>
      <c r="N131" s="43">
        <f>IFERROR(G131/E131,0)</f>
        <v>0</v>
      </c>
      <c r="O131" s="151">
        <f>G131-E131</f>
        <v>66181</v>
      </c>
      <c r="P131" s="224"/>
      <c r="Q131" s="9">
        <v>6.7999999999999996E-3</v>
      </c>
      <c r="R131" s="8">
        <f>(H131+I131+K131)*Q131</f>
        <v>2.5568</v>
      </c>
      <c r="Z131" s="208">
        <f>H131*Q131</f>
        <v>2.5568</v>
      </c>
      <c r="AA131" s="208">
        <f>I131*Q131</f>
        <v>0</v>
      </c>
      <c r="AB131" s="208">
        <f>J131</f>
        <v>0</v>
      </c>
      <c r="AC131" s="208">
        <f>K131*Q131</f>
        <v>0</v>
      </c>
      <c r="AM131" s="208"/>
      <c r="AN131" s="208"/>
      <c r="AO131" s="208"/>
      <c r="AP131" s="208"/>
    </row>
    <row r="132" spans="1:260" s="441" customFormat="1" ht="15" thickBot="1">
      <c r="A132" s="360"/>
      <c r="B132" s="50" t="s">
        <v>2488</v>
      </c>
      <c r="C132" s="153" t="str">
        <f>VLOOKUP(B132,'Item Data Support Sheet'!A:B,2,0)</f>
        <v>NIPPLE S TYPE LL SIZE INSPECTED</v>
      </c>
      <c r="D132" s="699" t="s">
        <v>2093</v>
      </c>
      <c r="E132" s="707">
        <v>24000</v>
      </c>
      <c r="F132" s="23">
        <f>SUMIF('Data Sheet Aug-2021'!E:E,PVA!B132,'Data Sheet Aug-2021'!N:N)</f>
        <v>129839</v>
      </c>
      <c r="G132" s="23">
        <f>SUMIF('Data Sheet Aug-2021'!E:E,PVA!B132,'Data Sheet Aug-2021'!O:O)</f>
        <v>128634</v>
      </c>
      <c r="H132" s="23">
        <f>SUMIF('Data Sheet Aug-2021'!E:E,PVA!B132,'Data Sheet Aug-2021'!T:T)</f>
        <v>1205</v>
      </c>
      <c r="I132" s="23">
        <f>SUMIF('Data Sheet Aug-2021'!E:E,PVA!B132,'Data Sheet Aug-2021'!U:U)</f>
        <v>0</v>
      </c>
      <c r="J132" s="23">
        <f>SUMIF('Data Sheet Aug-2021'!E:E,PVA!B132,'Data Sheet Aug-2021'!P:P)</f>
        <v>0</v>
      </c>
      <c r="K132" s="154">
        <f>SUMIF('Data Sheet Aug-2021'!E:E,PVA!B132,'Data Sheet Aug-2021'!Q:Q)</f>
        <v>0</v>
      </c>
      <c r="L132" s="740">
        <f>IFERROR(SUM(H132:I132)/SUM(G132:I132),0)</f>
        <v>9.2807245896841476E-3</v>
      </c>
      <c r="M132" s="740">
        <f t="shared" si="58"/>
        <v>0</v>
      </c>
      <c r="N132" s="44">
        <f>IFERROR(G132/E132,0)</f>
        <v>5.35975</v>
      </c>
      <c r="O132" s="155">
        <f>G132-E132</f>
        <v>104634</v>
      </c>
      <c r="P132" s="225"/>
      <c r="Q132" s="23">
        <v>6.7999999999999996E-3</v>
      </c>
      <c r="R132" s="32">
        <f>(H132+I132+K132)*Q132</f>
        <v>8.1939999999999991</v>
      </c>
      <c r="S132" s="207"/>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35"/>
      <c r="AR132" s="35"/>
      <c r="AS132" s="35"/>
      <c r="AT132" s="35"/>
      <c r="AU132" s="35"/>
      <c r="AV132" s="35"/>
      <c r="AW132" s="35"/>
      <c r="AX132" s="35"/>
      <c r="AY132" s="35"/>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row>
    <row r="133" spans="1:260" ht="15" thickBot="1">
      <c r="A133" s="360"/>
      <c r="B133" s="76" t="s">
        <v>103</v>
      </c>
      <c r="C133" s="77"/>
      <c r="D133" s="75"/>
      <c r="E133" s="78">
        <f>SUM(E128:E132)</f>
        <v>279000</v>
      </c>
      <c r="F133" s="78">
        <f t="shared" ref="F133:K133" si="59">SUM(F128:F132)</f>
        <v>1062288</v>
      </c>
      <c r="G133" s="78">
        <f t="shared" si="59"/>
        <v>1055247</v>
      </c>
      <c r="H133" s="78">
        <f t="shared" si="59"/>
        <v>7041</v>
      </c>
      <c r="I133" s="78">
        <f t="shared" si="59"/>
        <v>8</v>
      </c>
      <c r="J133" s="78">
        <f t="shared" si="59"/>
        <v>0</v>
      </c>
      <c r="K133" s="78">
        <f t="shared" si="59"/>
        <v>0</v>
      </c>
      <c r="L133" s="397">
        <f>SUM(H133:I133)/SUM(G133:I133)</f>
        <v>6.6356269815569299E-3</v>
      </c>
      <c r="M133" s="892">
        <f t="shared" si="58"/>
        <v>0</v>
      </c>
      <c r="N133" s="85">
        <f>G133/E133</f>
        <v>3.7822473118279571</v>
      </c>
      <c r="O133" s="84">
        <f>SUM(O128:O132)</f>
        <v>776247</v>
      </c>
      <c r="P133" s="222"/>
      <c r="Q133" s="89"/>
      <c r="R133" s="90">
        <f>(H133+I133+K133)*0.0068</f>
        <v>47.933199999999999</v>
      </c>
      <c r="AM133" s="208"/>
      <c r="AN133" s="208"/>
      <c r="AO133" s="208"/>
      <c r="AP133" s="208"/>
    </row>
    <row r="134" spans="1:260" ht="15" thickBot="1">
      <c r="A134" s="360"/>
      <c r="B134" s="123" t="s">
        <v>112</v>
      </c>
      <c r="C134" s="457" t="s">
        <v>10</v>
      </c>
      <c r="D134" s="457"/>
      <c r="E134" s="124" t="s">
        <v>2</v>
      </c>
      <c r="F134" s="124" t="s">
        <v>91</v>
      </c>
      <c r="G134" s="124" t="s">
        <v>3</v>
      </c>
      <c r="H134" s="124" t="s">
        <v>92</v>
      </c>
      <c r="I134" s="124" t="s">
        <v>94</v>
      </c>
      <c r="J134" s="124" t="s">
        <v>6</v>
      </c>
      <c r="K134" s="125" t="s">
        <v>4</v>
      </c>
      <c r="L134" s="895" t="s">
        <v>90</v>
      </c>
      <c r="M134" s="124" t="s">
        <v>2802</v>
      </c>
      <c r="N134" s="896" t="s">
        <v>89</v>
      </c>
      <c r="O134" s="127" t="s">
        <v>93</v>
      </c>
      <c r="P134" s="213" t="s">
        <v>105</v>
      </c>
      <c r="Q134" s="128" t="s">
        <v>418</v>
      </c>
      <c r="R134" s="126" t="s">
        <v>204</v>
      </c>
      <c r="AM134" s="208"/>
      <c r="AN134" s="208"/>
      <c r="AO134" s="208"/>
      <c r="AP134" s="208"/>
    </row>
    <row r="135" spans="1:260">
      <c r="A135" s="360"/>
      <c r="B135" s="49" t="s">
        <v>108</v>
      </c>
      <c r="C135" s="147" t="str">
        <f>VLOOKUP(B135,'Item Data Support Sheet'!A:B,2,0)</f>
        <v>NIPPLE S TYPE S SIZE WITH PRINTED WRAP</v>
      </c>
      <c r="D135" s="49" t="str">
        <f>IFERROR(VLOOKUP(B135,'Item Data Support Sheet'!A:O,15,0),0)</f>
        <v>S-S SIZE</v>
      </c>
      <c r="E135" s="411">
        <v>64684</v>
      </c>
      <c r="F135" s="7">
        <f>SUMIF('Data Sheet Aug-2021'!E:E,PVA!B135,'Data Sheet Aug-2021'!N:N)</f>
        <v>139373</v>
      </c>
      <c r="G135" s="7">
        <f>SUMIF('Data Sheet Aug-2021'!E:E,PVA!B135,'Data Sheet Aug-2021'!O:O)</f>
        <v>139358</v>
      </c>
      <c r="H135" s="7">
        <f>SUMIF('Data Sheet Aug-2021'!E:E,PVA!B135,'Data Sheet Aug-2021'!T:T)</f>
        <v>15</v>
      </c>
      <c r="I135" s="7">
        <f>SUMIF('Data Sheet Aug-2021'!E:E,PVA!B135,'Data Sheet Aug-2021'!U:U)</f>
        <v>0</v>
      </c>
      <c r="J135" s="7">
        <f>SUMIF('Data Sheet Aug-2021'!E:E,PVA!B135,'Data Sheet Aug-2021'!P:P)</f>
        <v>0</v>
      </c>
      <c r="K135" s="148">
        <f>SUMIF('Data Sheet Aug-2021'!E:E,PVA!B135,'Data Sheet Aug-2021'!Q:Q)</f>
        <v>0</v>
      </c>
      <c r="L135" s="273">
        <f t="shared" ref="L135:L138" si="60">IFERROR(SUM(H135:I135)/SUM(G135:I135),0)</f>
        <v>1.0762486277829996E-4</v>
      </c>
      <c r="M135" s="273">
        <f t="shared" ref="M135:M141" si="61">IFERROR(K135/F135,0)</f>
        <v>0</v>
      </c>
      <c r="N135" s="42">
        <f>IFERROR(G135/E135,0)</f>
        <v>2.1544431389524457</v>
      </c>
      <c r="O135" s="29">
        <f>G135-E135</f>
        <v>74674</v>
      </c>
      <c r="P135" s="223"/>
      <c r="Q135" s="7">
        <v>6.7999999999999996E-3</v>
      </c>
      <c r="R135" s="30">
        <f>(H140+I140+K140)*Q135</f>
        <v>2.6927999999999996</v>
      </c>
      <c r="Z135" s="208">
        <f>H135*Q135</f>
        <v>0.10199999999999999</v>
      </c>
      <c r="AA135" s="208">
        <f>I135*Q135</f>
        <v>0</v>
      </c>
      <c r="AB135" s="208">
        <f>J135</f>
        <v>0</v>
      </c>
      <c r="AC135" s="208">
        <f>K135*Q135</f>
        <v>0</v>
      </c>
      <c r="AM135" s="208"/>
      <c r="AN135" s="208"/>
      <c r="AO135" s="208"/>
      <c r="AP135" s="208"/>
    </row>
    <row r="136" spans="1:260">
      <c r="A136" s="360"/>
      <c r="B136" s="25" t="s">
        <v>109</v>
      </c>
      <c r="C136" s="150" t="str">
        <f>VLOOKUP(B136,'Item Data Support Sheet'!A:B,2,0)</f>
        <v>NIPPLE S TYPE M SIZE WITH PRINTED WRAP</v>
      </c>
      <c r="D136" s="25" t="str">
        <f>IFERROR(VLOOKUP(B136,'Item Data Support Sheet'!A:O,15,0),0)</f>
        <v>S-M SIZE</v>
      </c>
      <c r="E136" s="411">
        <v>48513</v>
      </c>
      <c r="F136" s="9">
        <f>SUMIF('Data Sheet Aug-2021'!E:E,PVA!B136,'Data Sheet Aug-2021'!N:N)</f>
        <v>125060</v>
      </c>
      <c r="G136" s="9">
        <f>SUMIF('Data Sheet Aug-2021'!E:E,PVA!B136,'Data Sheet Aug-2021'!O:O)</f>
        <v>124947</v>
      </c>
      <c r="H136" s="9">
        <f>SUMIF('Data Sheet Aug-2021'!E:E,PVA!B136,'Data Sheet Aug-2021'!T:T)</f>
        <v>113</v>
      </c>
      <c r="I136" s="9">
        <f>SUMIF('Data Sheet Aug-2021'!E:E,PVA!B136,'Data Sheet Aug-2021'!U:U)</f>
        <v>0</v>
      </c>
      <c r="J136" s="9">
        <f>SUMIF('Data Sheet Aug-2021'!E:E,PVA!B136,'Data Sheet Aug-2021'!P:P)</f>
        <v>0</v>
      </c>
      <c r="K136" s="10">
        <f>SUMIF('Data Sheet Aug-2021'!E:E,PVA!B136,'Data Sheet Aug-2021'!Q:Q)</f>
        <v>0</v>
      </c>
      <c r="L136" s="272">
        <f t="shared" si="60"/>
        <v>9.0356628818167282E-4</v>
      </c>
      <c r="M136" s="272">
        <f t="shared" si="61"/>
        <v>0</v>
      </c>
      <c r="N136" s="43">
        <f>IFERROR(G136/E136,0)</f>
        <v>2.5755364541463113</v>
      </c>
      <c r="O136" s="11">
        <f>G136-E136</f>
        <v>76434</v>
      </c>
      <c r="P136" s="224"/>
      <c r="Q136" s="9">
        <v>6.7999999999999996E-3</v>
      </c>
      <c r="R136" s="8">
        <f>(H136+I136+K136)*Q136</f>
        <v>0.76839999999999997</v>
      </c>
      <c r="Z136" s="208">
        <f>H136*Q136</f>
        <v>0.76839999999999997</v>
      </c>
      <c r="AA136" s="208">
        <f>I136*Q136</f>
        <v>0</v>
      </c>
      <c r="AB136" s="208">
        <f>J136</f>
        <v>0</v>
      </c>
      <c r="AC136" s="208">
        <f>K136*Q136</f>
        <v>0</v>
      </c>
      <c r="AM136" s="208"/>
      <c r="AN136" s="208"/>
      <c r="AO136" s="208"/>
      <c r="AP136" s="208"/>
    </row>
    <row r="137" spans="1:260">
      <c r="A137" s="360"/>
      <c r="B137" s="25" t="s">
        <v>110</v>
      </c>
      <c r="C137" s="150" t="str">
        <f>VLOOKUP(B137,'Item Data Support Sheet'!A:B,2,0)</f>
        <v>NIPPLE S TYPE L SIZE WITH PRINTED WRAP</v>
      </c>
      <c r="D137" s="25" t="str">
        <f>IFERROR(VLOOKUP(B137,'Item Data Support Sheet'!A:O,15,0),0)</f>
        <v>S-L SIZE</v>
      </c>
      <c r="E137" s="411">
        <v>64684</v>
      </c>
      <c r="F137" s="9">
        <f>SUMIF('Data Sheet Aug-2021'!E:E,PVA!B137,'Data Sheet Aug-2021'!N:N)</f>
        <v>215649</v>
      </c>
      <c r="G137" s="9">
        <f>SUMIF('Data Sheet Aug-2021'!E:E,PVA!B137,'Data Sheet Aug-2021'!O:O)</f>
        <v>215496</v>
      </c>
      <c r="H137" s="9">
        <f>SUMIF('Data Sheet Aug-2021'!E:E,PVA!B137,'Data Sheet Aug-2021'!T:T)</f>
        <v>153</v>
      </c>
      <c r="I137" s="9">
        <f>SUMIF('Data Sheet Aug-2021'!E:E,PVA!B137,'Data Sheet Aug-2021'!U:U)</f>
        <v>0</v>
      </c>
      <c r="J137" s="9">
        <f>SUMIF('Data Sheet Aug-2021'!E:E,PVA!B137,'Data Sheet Aug-2021'!P:P)</f>
        <v>0</v>
      </c>
      <c r="K137" s="10">
        <f>SUMIF('Data Sheet Aug-2021'!E:E,PVA!B137,'Data Sheet Aug-2021'!Q:Q)</f>
        <v>0</v>
      </c>
      <c r="L137" s="272">
        <f t="shared" si="60"/>
        <v>7.0948624848712492E-4</v>
      </c>
      <c r="M137" s="272">
        <f t="shared" si="61"/>
        <v>0</v>
      </c>
      <c r="N137" s="43">
        <f>IFERROR(G137/E137,0)</f>
        <v>3.331519386556181</v>
      </c>
      <c r="O137" s="11">
        <f>G137-E137</f>
        <v>150812</v>
      </c>
      <c r="P137" s="224"/>
      <c r="Q137" s="9">
        <v>6.7999999999999996E-3</v>
      </c>
      <c r="R137" s="8">
        <f>(H137+I137+K137)*Q137</f>
        <v>1.0404</v>
      </c>
      <c r="Z137" s="208">
        <f>H137*Q137</f>
        <v>1.0404</v>
      </c>
      <c r="AA137" s="208">
        <f>I137*Q137</f>
        <v>0</v>
      </c>
      <c r="AB137" s="208">
        <f>J137</f>
        <v>0</v>
      </c>
      <c r="AC137" s="208">
        <f>K137*Q137</f>
        <v>0</v>
      </c>
      <c r="AM137" s="208"/>
      <c r="AN137" s="208"/>
      <c r="AO137" s="208"/>
      <c r="AP137" s="208"/>
    </row>
    <row r="138" spans="1:260">
      <c r="A138" s="360"/>
      <c r="B138" s="25" t="s">
        <v>111</v>
      </c>
      <c r="C138" s="150" t="str">
        <f>VLOOKUP(B138,'Item Data Support Sheet'!A:B,2,0)</f>
        <v>NIPPLE S TYPE Y SIZE WITH PRINTED WRAP</v>
      </c>
      <c r="D138" s="25" t="str">
        <f>IFERROR(VLOOKUP(B138,'Item Data Support Sheet'!A:O,15,0),0)</f>
        <v>S-Y SIZE</v>
      </c>
      <c r="E138" s="411">
        <v>0</v>
      </c>
      <c r="F138" s="9">
        <f>SUMIF('Data Sheet Aug-2021'!E:E,PVA!B138,'Data Sheet Aug-2021'!N:N)</f>
        <v>66052</v>
      </c>
      <c r="G138" s="9">
        <f>SUMIF('Data Sheet Aug-2021'!E:E,PVA!B138,'Data Sheet Aug-2021'!O:O)</f>
        <v>66023</v>
      </c>
      <c r="H138" s="9">
        <f>SUMIF('Data Sheet Aug-2021'!E:E,PVA!B138,'Data Sheet Aug-2021'!T:T)</f>
        <v>29</v>
      </c>
      <c r="I138" s="9">
        <f>SUMIF('Data Sheet Aug-2021'!E:E,PVA!B138,'Data Sheet Aug-2021'!U:U)</f>
        <v>0</v>
      </c>
      <c r="J138" s="9">
        <f>SUMIF('Data Sheet Aug-2021'!E:E,PVA!B138,'Data Sheet Aug-2021'!P:P)</f>
        <v>0</v>
      </c>
      <c r="K138" s="10">
        <f>SUMIF('Data Sheet Aug-2021'!E:E,PVA!B138,'Data Sheet Aug-2021'!Q:Q)</f>
        <v>0</v>
      </c>
      <c r="L138" s="272">
        <f t="shared" si="60"/>
        <v>4.3904802276993886E-4</v>
      </c>
      <c r="M138" s="272">
        <f t="shared" si="61"/>
        <v>0</v>
      </c>
      <c r="N138" s="43">
        <f>IFERROR(G138/E138,0)</f>
        <v>0</v>
      </c>
      <c r="O138" s="11">
        <f>G138-E138</f>
        <v>66023</v>
      </c>
      <c r="P138" s="224"/>
      <c r="Q138" s="9">
        <v>6.7999999999999996E-3</v>
      </c>
      <c r="R138" s="8">
        <f>(H138+I138+K138)*Q138</f>
        <v>0.19719999999999999</v>
      </c>
      <c r="Z138" s="208">
        <f>H138*Q138</f>
        <v>0.19719999999999999</v>
      </c>
      <c r="AA138" s="208">
        <f>I138*Q138</f>
        <v>0</v>
      </c>
      <c r="AB138" s="208">
        <f>J138</f>
        <v>0</v>
      </c>
      <c r="AC138" s="208">
        <f>K138*Q138</f>
        <v>0</v>
      </c>
      <c r="AM138" s="208"/>
      <c r="AN138" s="208"/>
      <c r="AO138" s="208"/>
      <c r="AP138" s="208"/>
    </row>
    <row r="139" spans="1:260" s="441" customFormat="1" ht="15" thickBot="1">
      <c r="A139" s="360"/>
      <c r="B139" s="50" t="s">
        <v>2091</v>
      </c>
      <c r="C139" s="153" t="str">
        <f>VLOOKUP(B139,'Item Data Support Sheet'!A:B,2,0)</f>
        <v>NIPPLE S TYPE LL SIZE WRAPPED</v>
      </c>
      <c r="D139" s="50" t="s">
        <v>2093</v>
      </c>
      <c r="E139" s="411">
        <v>32342</v>
      </c>
      <c r="F139" s="9">
        <f>SUMIF('Data Sheet Aug-2021'!E:E,PVA!B139,'Data Sheet Aug-2021'!N:N)</f>
        <v>98078</v>
      </c>
      <c r="G139" s="9">
        <f>SUMIF('Data Sheet Aug-2021'!E:E,PVA!B139,'Data Sheet Aug-2021'!O:O)</f>
        <v>97992</v>
      </c>
      <c r="H139" s="9">
        <f>SUMIF('Data Sheet Aug-2021'!E:E,PVA!B139,'Data Sheet Aug-2021'!T:T)</f>
        <v>86</v>
      </c>
      <c r="I139" s="9">
        <f>SUMIF('Data Sheet Aug-2021'!E:E,PVA!B139,'Data Sheet Aug-2021'!U:U)</f>
        <v>0</v>
      </c>
      <c r="J139" s="9">
        <f>SUMIF('Data Sheet Aug-2021'!E:E,PVA!B139,'Data Sheet Aug-2021'!P:P)</f>
        <v>0</v>
      </c>
      <c r="K139" s="10">
        <f>SUMIF('Data Sheet Aug-2021'!E:E,PVA!B139,'Data Sheet Aug-2021'!Q:Q)</f>
        <v>0</v>
      </c>
      <c r="L139" s="740">
        <f>IFERROR(SUM(H139:I139)/SUM(G139:I139),0)</f>
        <v>8.768531169069516E-4</v>
      </c>
      <c r="M139" s="740">
        <f t="shared" si="61"/>
        <v>0</v>
      </c>
      <c r="N139" s="44">
        <f>IFERROR(G139/E139,0)</f>
        <v>3.0298682827283407</v>
      </c>
      <c r="O139" s="31">
        <f>G139-E139</f>
        <v>65650</v>
      </c>
      <c r="P139" s="225"/>
      <c r="Q139" s="23">
        <v>6.7999999999999996E-3</v>
      </c>
      <c r="R139" s="32">
        <f>(H139+I139+K139)*Q139</f>
        <v>0.58479999999999999</v>
      </c>
      <c r="S139" s="207"/>
      <c r="T139" s="208"/>
      <c r="U139" s="208"/>
      <c r="V139" s="208"/>
      <c r="W139" s="208"/>
      <c r="X139" s="208"/>
      <c r="Y139" s="208"/>
      <c r="Z139" s="208"/>
      <c r="AA139" s="208"/>
      <c r="AB139" s="208"/>
      <c r="AC139" s="208"/>
      <c r="AD139" s="208"/>
      <c r="AE139" s="208"/>
      <c r="AF139" s="208"/>
      <c r="AG139" s="208"/>
      <c r="AH139" s="208"/>
      <c r="AI139" s="208"/>
      <c r="AJ139" s="208"/>
      <c r="AK139" s="208"/>
      <c r="AL139" s="208"/>
      <c r="AM139" s="208"/>
      <c r="AN139" s="208"/>
      <c r="AO139" s="208"/>
      <c r="AP139" s="208"/>
      <c r="AQ139" s="35"/>
      <c r="AR139" s="35"/>
      <c r="AS139" s="35"/>
      <c r="AT139" s="35"/>
      <c r="AU139" s="35"/>
      <c r="AV139" s="35"/>
      <c r="AW139" s="35"/>
      <c r="AX139" s="35"/>
      <c r="AY139" s="35"/>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row>
    <row r="140" spans="1:260" ht="15" thickBot="1">
      <c r="A140" s="360"/>
      <c r="B140" s="138" t="s">
        <v>103</v>
      </c>
      <c r="C140" s="139"/>
      <c r="D140" s="890"/>
      <c r="E140" s="88">
        <f>SUM(E135:E139)</f>
        <v>210223</v>
      </c>
      <c r="F140" s="86">
        <f t="shared" ref="F140:K140" si="62">SUM(F135:F139)</f>
        <v>644212</v>
      </c>
      <c r="G140" s="86">
        <f t="shared" si="62"/>
        <v>643816</v>
      </c>
      <c r="H140" s="86">
        <f t="shared" si="62"/>
        <v>396</v>
      </c>
      <c r="I140" s="86">
        <f t="shared" si="62"/>
        <v>0</v>
      </c>
      <c r="J140" s="86">
        <f t="shared" si="62"/>
        <v>0</v>
      </c>
      <c r="K140" s="359">
        <f t="shared" si="62"/>
        <v>0</v>
      </c>
      <c r="L140" s="891">
        <f>SUM(H140:I140)/SUM(G140:I140)</f>
        <v>6.14704476166231E-4</v>
      </c>
      <c r="M140" s="891">
        <f t="shared" si="61"/>
        <v>0</v>
      </c>
      <c r="N140" s="80">
        <f>G140/E140</f>
        <v>3.0625383521308325</v>
      </c>
      <c r="O140" s="84">
        <f>SUM(O135:O139)</f>
        <v>433593</v>
      </c>
      <c r="P140" s="222"/>
      <c r="Q140" s="89"/>
      <c r="R140" s="90">
        <f>(H140+I140+K140)*0.0068</f>
        <v>2.6927999999999996</v>
      </c>
      <c r="AM140" s="208"/>
      <c r="AN140" s="208"/>
      <c r="AO140" s="208"/>
      <c r="AP140" s="208"/>
    </row>
    <row r="141" spans="1:260" s="95" customFormat="1">
      <c r="A141" s="93"/>
      <c r="B141" s="156"/>
      <c r="C141" s="156"/>
      <c r="D141" s="156"/>
      <c r="E141" s="708">
        <f t="shared" ref="E141:K141" si="63">E140+E133+E119+E112+E105+E98+E31+E126</f>
        <v>1579001</v>
      </c>
      <c r="F141" s="157">
        <f t="shared" si="63"/>
        <v>6360963</v>
      </c>
      <c r="G141" s="157">
        <f t="shared" si="63"/>
        <v>6288498</v>
      </c>
      <c r="H141" s="157">
        <f t="shared" si="63"/>
        <v>39802</v>
      </c>
      <c r="I141" s="157">
        <f t="shared" si="63"/>
        <v>2971</v>
      </c>
      <c r="J141" s="157">
        <f t="shared" si="63"/>
        <v>268.05900000000003</v>
      </c>
      <c r="K141" s="157">
        <f t="shared" si="63"/>
        <v>29700</v>
      </c>
      <c r="L141" s="239">
        <f>(H141+I141+K141)/F141</f>
        <v>1.1393400653328748E-2</v>
      </c>
      <c r="M141" s="239">
        <f t="shared" si="61"/>
        <v>4.6691043478794009E-3</v>
      </c>
      <c r="N141" s="239">
        <f>G141/E141</f>
        <v>3.9825801250284201</v>
      </c>
      <c r="O141" s="157"/>
      <c r="P141" s="226"/>
      <c r="Q141" s="157"/>
      <c r="R141" s="157"/>
      <c r="S141" s="207"/>
      <c r="T141" s="207"/>
      <c r="U141" s="207"/>
      <c r="V141" s="207"/>
      <c r="W141" s="207"/>
      <c r="X141" s="207"/>
      <c r="Y141" s="207"/>
      <c r="Z141" s="207"/>
      <c r="AA141" s="207"/>
      <c r="AB141" s="207"/>
      <c r="AC141" s="207"/>
      <c r="AD141" s="207"/>
      <c r="AE141" s="207"/>
      <c r="AF141" s="207"/>
      <c r="AG141" s="207"/>
      <c r="AH141" s="207"/>
      <c r="AI141" s="207"/>
      <c r="AJ141" s="207"/>
      <c r="AK141" s="207"/>
      <c r="AL141" s="207"/>
      <c r="AM141" s="207"/>
      <c r="AN141" s="207"/>
      <c r="AO141" s="207"/>
      <c r="AP141" s="207"/>
      <c r="AQ141" s="94"/>
      <c r="AR141" s="94"/>
      <c r="AS141" s="94"/>
      <c r="AT141" s="94"/>
      <c r="AU141" s="94"/>
      <c r="AV141" s="94"/>
      <c r="AW141" s="94"/>
      <c r="AX141" s="94"/>
      <c r="AY141" s="94"/>
      <c r="AZ141" s="93"/>
      <c r="BA141" s="93"/>
      <c r="BB141" s="93"/>
      <c r="BC141" s="93"/>
      <c r="BD141" s="93"/>
      <c r="BE141" s="93"/>
      <c r="BF141" s="93"/>
      <c r="BG141" s="93"/>
      <c r="BH141" s="93"/>
      <c r="BI141" s="93"/>
      <c r="BJ141" s="93"/>
      <c r="BK141" s="93"/>
      <c r="BL141" s="93"/>
      <c r="BM141" s="93"/>
      <c r="BN141" s="93"/>
      <c r="BO141" s="93"/>
      <c r="BP141" s="93"/>
      <c r="BQ141" s="93"/>
      <c r="BR141" s="93"/>
      <c r="BS141" s="93"/>
      <c r="BT141" s="93"/>
      <c r="BU141" s="93"/>
      <c r="BV141" s="93"/>
      <c r="BW141" s="93"/>
      <c r="BX141" s="93"/>
      <c r="BY141" s="93"/>
      <c r="BZ141" s="93"/>
      <c r="CA141" s="93"/>
      <c r="CB141" s="93"/>
      <c r="CC141" s="93"/>
      <c r="CD141" s="93"/>
      <c r="CE141" s="93"/>
      <c r="CF141" s="93"/>
      <c r="CG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93"/>
      <c r="DI141" s="93"/>
      <c r="DJ141" s="93"/>
      <c r="DK141" s="93"/>
      <c r="DL141" s="93"/>
      <c r="DM141" s="93"/>
      <c r="DN141" s="93"/>
      <c r="DO141" s="93"/>
      <c r="DP141" s="93"/>
      <c r="DQ141" s="93"/>
      <c r="DR141" s="93"/>
      <c r="DS141" s="93"/>
      <c r="DT141" s="93"/>
      <c r="DU141" s="93"/>
      <c r="DV141" s="93"/>
      <c r="DW141" s="93"/>
      <c r="DX141" s="93"/>
      <c r="DY141" s="93"/>
      <c r="DZ141" s="93"/>
      <c r="EA141" s="93"/>
      <c r="EB141" s="93"/>
      <c r="EC141" s="93"/>
      <c r="ED141" s="93"/>
      <c r="EE141" s="93"/>
      <c r="EF141" s="93"/>
      <c r="EG141" s="93"/>
      <c r="EH141" s="93"/>
      <c r="EI141" s="93"/>
      <c r="EJ141" s="93"/>
      <c r="EK141" s="93"/>
      <c r="EL141" s="93"/>
      <c r="EM141" s="93"/>
      <c r="EN141" s="93"/>
      <c r="EO141" s="93"/>
      <c r="EP141" s="93"/>
      <c r="EQ141" s="93"/>
      <c r="ER141" s="93"/>
      <c r="ES141" s="93"/>
      <c r="ET141" s="93"/>
      <c r="EU141" s="93"/>
      <c r="EV141" s="93"/>
      <c r="EW141" s="93"/>
      <c r="EX141" s="93"/>
      <c r="EY141" s="93"/>
      <c r="EZ141" s="93"/>
      <c r="FA141" s="93"/>
      <c r="FB141" s="93"/>
      <c r="FC141" s="93"/>
      <c r="FD141" s="93"/>
      <c r="FE141" s="93"/>
      <c r="FF141" s="93"/>
      <c r="FG141" s="93"/>
      <c r="FH141" s="93"/>
      <c r="FI141" s="93"/>
      <c r="FJ141" s="93"/>
      <c r="FK141" s="93"/>
      <c r="FL141" s="93"/>
      <c r="FM141" s="93"/>
      <c r="FN141" s="93"/>
      <c r="FO141" s="93"/>
      <c r="FP141" s="93"/>
      <c r="FQ141" s="93"/>
      <c r="FR141" s="93"/>
      <c r="FS141" s="93"/>
      <c r="FT141" s="93"/>
      <c r="FU141" s="93"/>
      <c r="FV141" s="93"/>
      <c r="FW141" s="93"/>
      <c r="FX141" s="93"/>
      <c r="FY141" s="93"/>
      <c r="FZ141" s="93"/>
      <c r="GA141" s="93"/>
      <c r="GB141" s="93"/>
      <c r="GC141" s="93"/>
      <c r="GD141" s="93"/>
      <c r="GE141" s="93"/>
      <c r="GF141" s="93"/>
      <c r="GG141" s="93"/>
      <c r="GH141" s="93"/>
      <c r="GI141" s="93"/>
      <c r="GJ141" s="93"/>
      <c r="GK141" s="93"/>
      <c r="GL141" s="93"/>
      <c r="GM141" s="93"/>
      <c r="GN141" s="93"/>
      <c r="GO141" s="93"/>
      <c r="GP141" s="93"/>
      <c r="GQ141" s="93"/>
      <c r="GR141" s="93"/>
      <c r="GS141" s="93"/>
      <c r="GT141" s="93"/>
      <c r="GU141" s="93"/>
      <c r="GV141" s="93"/>
      <c r="GW141" s="93"/>
      <c r="GX141" s="93"/>
      <c r="GY141" s="93"/>
      <c r="GZ141" s="93"/>
      <c r="HA141" s="93"/>
      <c r="HB141" s="93"/>
      <c r="HC141" s="93"/>
      <c r="HD141" s="93"/>
      <c r="HE141" s="93"/>
      <c r="HF141" s="93"/>
      <c r="HG141" s="93"/>
      <c r="HH141" s="93"/>
      <c r="HI141" s="93"/>
      <c r="HJ141" s="93"/>
      <c r="HK141" s="93"/>
      <c r="HL141" s="93"/>
      <c r="HM141" s="93"/>
      <c r="HN141" s="93"/>
      <c r="HO141" s="93"/>
      <c r="HP141" s="93"/>
      <c r="HQ141" s="93"/>
      <c r="HR141" s="93"/>
      <c r="HS141" s="93"/>
      <c r="HT141" s="93"/>
      <c r="HU141" s="93"/>
      <c r="HV141" s="93"/>
      <c r="HW141" s="93"/>
      <c r="HX141" s="93"/>
      <c r="HY141" s="93"/>
      <c r="HZ141" s="93"/>
      <c r="IA141" s="93"/>
      <c r="IB141" s="93"/>
      <c r="IC141" s="93"/>
      <c r="ID141" s="93"/>
      <c r="IE141" s="93"/>
      <c r="IF141" s="93"/>
      <c r="IG141" s="93"/>
      <c r="IH141" s="93"/>
      <c r="II141" s="93"/>
      <c r="IJ141" s="93"/>
      <c r="IK141" s="93"/>
      <c r="IL141" s="93"/>
      <c r="IM141" s="93"/>
      <c r="IN141" s="93"/>
      <c r="IO141" s="93"/>
      <c r="IP141" s="93"/>
      <c r="IQ141" s="93"/>
      <c r="IR141" s="93"/>
      <c r="IS141" s="93"/>
      <c r="IT141" s="93"/>
      <c r="IU141" s="93"/>
      <c r="IV141" s="93"/>
      <c r="IW141" s="93"/>
      <c r="IX141" s="93"/>
      <c r="IY141" s="93"/>
      <c r="IZ141" s="93"/>
    </row>
    <row r="142" spans="1:260" s="95" customFormat="1" ht="26">
      <c r="A142" s="93"/>
      <c r="B142" s="159"/>
      <c r="C142" s="159"/>
      <c r="D142" s="159"/>
      <c r="E142" s="159" t="s">
        <v>2181</v>
      </c>
      <c r="G142" s="95" t="s">
        <v>107</v>
      </c>
      <c r="H142" s="202"/>
      <c r="N142" s="202"/>
      <c r="O142" s="202"/>
      <c r="P142" s="227"/>
      <c r="S142" s="207"/>
      <c r="T142" s="207"/>
      <c r="U142" s="207"/>
      <c r="V142" s="207"/>
      <c r="W142" s="207"/>
      <c r="X142" s="207"/>
      <c r="Y142" s="207"/>
      <c r="Z142" s="207"/>
      <c r="AA142" s="207"/>
      <c r="AB142" s="207"/>
      <c r="AC142" s="207"/>
      <c r="AD142" s="207"/>
      <c r="AE142" s="207"/>
      <c r="AF142" s="207"/>
      <c r="AG142" s="207"/>
      <c r="AH142" s="207"/>
      <c r="AI142" s="207"/>
      <c r="AJ142" s="207"/>
      <c r="AK142" s="207"/>
      <c r="AL142" s="207"/>
      <c r="AM142" s="207"/>
      <c r="AN142" s="207"/>
      <c r="AO142" s="207"/>
      <c r="AP142" s="207"/>
      <c r="AQ142" s="94"/>
      <c r="AR142" s="94"/>
      <c r="AS142" s="94"/>
      <c r="AT142" s="94"/>
      <c r="AU142" s="94"/>
      <c r="AV142" s="94"/>
      <c r="AW142" s="94"/>
      <c r="AX142" s="94"/>
      <c r="AY142" s="94"/>
      <c r="AZ142" s="93"/>
      <c r="BA142" s="93"/>
      <c r="BB142" s="93"/>
      <c r="BC142" s="93"/>
      <c r="BD142" s="93"/>
      <c r="BE142" s="93"/>
      <c r="BF142" s="93"/>
      <c r="BG142" s="93"/>
      <c r="BH142" s="93"/>
      <c r="BI142" s="93"/>
      <c r="BJ142" s="93"/>
      <c r="BK142" s="93"/>
      <c r="BL142" s="93"/>
      <c r="BM142" s="93"/>
      <c r="BN142" s="93"/>
      <c r="BO142" s="93"/>
      <c r="BP142" s="93"/>
      <c r="BQ142" s="93"/>
      <c r="BR142" s="93"/>
      <c r="BS142" s="93"/>
      <c r="BT142" s="93"/>
      <c r="BU142" s="93"/>
      <c r="BV142" s="93"/>
      <c r="BW142" s="93"/>
      <c r="BX142" s="93"/>
      <c r="BY142" s="93"/>
      <c r="BZ142" s="93"/>
      <c r="CA142" s="93"/>
      <c r="CB142" s="93"/>
      <c r="CC142" s="93"/>
      <c r="CD142" s="93"/>
      <c r="CE142" s="93"/>
      <c r="CF142" s="93"/>
      <c r="CG142" s="93"/>
      <c r="CH142" s="93"/>
      <c r="CI142" s="93"/>
      <c r="CJ142" s="93"/>
      <c r="CK142" s="93"/>
      <c r="CL142" s="93"/>
      <c r="CM142" s="93"/>
      <c r="CN142" s="93"/>
      <c r="CO142" s="93"/>
      <c r="CP142" s="93"/>
      <c r="CQ142" s="93"/>
      <c r="CR142" s="93"/>
      <c r="CS142" s="93"/>
      <c r="CT142" s="93"/>
      <c r="CU142" s="93"/>
      <c r="CV142" s="93"/>
      <c r="CW142" s="93"/>
      <c r="CX142" s="93"/>
      <c r="CY142" s="93"/>
      <c r="CZ142" s="93"/>
      <c r="DA142" s="93"/>
      <c r="DB142" s="93"/>
      <c r="DC142" s="93"/>
      <c r="DD142" s="93"/>
      <c r="DE142" s="93"/>
      <c r="DF142" s="93"/>
      <c r="DG142" s="93"/>
      <c r="DH142" s="93"/>
      <c r="DI142" s="93"/>
      <c r="DJ142" s="93"/>
      <c r="DK142" s="93"/>
      <c r="DL142" s="93"/>
      <c r="DM142" s="93"/>
      <c r="DN142" s="93"/>
      <c r="DO142" s="93"/>
      <c r="DP142" s="93"/>
      <c r="DQ142" s="93"/>
      <c r="DR142" s="93"/>
      <c r="DS142" s="93"/>
      <c r="DT142" s="93"/>
      <c r="DU142" s="93"/>
      <c r="DV142" s="93"/>
      <c r="DW142" s="93"/>
      <c r="DX142" s="93"/>
      <c r="DY142" s="93"/>
      <c r="DZ142" s="93"/>
      <c r="EA142" s="93"/>
      <c r="EB142" s="93"/>
      <c r="EC142" s="93"/>
      <c r="ED142" s="93"/>
      <c r="EE142" s="93"/>
      <c r="EF142" s="93"/>
      <c r="EG142" s="93"/>
      <c r="EH142" s="93"/>
      <c r="EI142" s="93"/>
      <c r="EJ142" s="93"/>
      <c r="EK142" s="93"/>
      <c r="EL142" s="93"/>
      <c r="EM142" s="93"/>
      <c r="EN142" s="93"/>
      <c r="EO142" s="93"/>
      <c r="EP142" s="93"/>
      <c r="EQ142" s="93"/>
      <c r="ER142" s="93"/>
      <c r="ES142" s="93"/>
      <c r="ET142" s="93"/>
      <c r="EU142" s="93"/>
      <c r="EV142" s="93"/>
      <c r="EW142" s="93"/>
      <c r="EX142" s="93"/>
      <c r="EY142" s="93"/>
      <c r="EZ142" s="93"/>
      <c r="FA142" s="93"/>
      <c r="FB142" s="93"/>
      <c r="FC142" s="93"/>
      <c r="FD142" s="93"/>
      <c r="FE142" s="93"/>
      <c r="FF142" s="93"/>
      <c r="FG142" s="93"/>
      <c r="FH142" s="93"/>
      <c r="FI142" s="93"/>
      <c r="FJ142" s="93"/>
      <c r="FK142" s="93"/>
      <c r="FL142" s="93"/>
      <c r="FM142" s="93"/>
      <c r="FN142" s="93"/>
      <c r="FO142" s="93"/>
      <c r="FP142" s="93"/>
      <c r="FQ142" s="93"/>
      <c r="FR142" s="93"/>
      <c r="FS142" s="93"/>
      <c r="FT142" s="93"/>
      <c r="FU142" s="93"/>
      <c r="FV142" s="93"/>
      <c r="FW142" s="93"/>
      <c r="FX142" s="93"/>
      <c r="FY142" s="93"/>
      <c r="FZ142" s="93"/>
      <c r="GA142" s="93"/>
      <c r="GB142" s="93"/>
      <c r="GC142" s="93"/>
      <c r="GD142" s="93"/>
      <c r="GE142" s="93"/>
      <c r="GF142" s="93"/>
      <c r="GG142" s="93"/>
      <c r="GH142" s="93"/>
      <c r="GI142" s="93"/>
      <c r="GJ142" s="93"/>
      <c r="GK142" s="93"/>
      <c r="GL142" s="93"/>
      <c r="GM142" s="93"/>
      <c r="GN142" s="93"/>
      <c r="GO142" s="93"/>
      <c r="GP142" s="93"/>
      <c r="GQ142" s="93"/>
      <c r="GR142" s="93"/>
      <c r="GS142" s="93"/>
      <c r="GT142" s="93"/>
      <c r="GU142" s="93"/>
      <c r="GV142" s="93"/>
      <c r="GW142" s="93"/>
      <c r="GX142" s="93"/>
      <c r="GY142" s="93"/>
      <c r="GZ142" s="93"/>
      <c r="HA142" s="93"/>
      <c r="HB142" s="93"/>
      <c r="HC142" s="93"/>
      <c r="HD142" s="93"/>
      <c r="HE142" s="93"/>
      <c r="HF142" s="93"/>
      <c r="HG142" s="93"/>
      <c r="HH142" s="93"/>
      <c r="HI142" s="93"/>
      <c r="HJ142" s="93"/>
      <c r="HK142" s="93"/>
      <c r="HL142" s="93"/>
      <c r="HM142" s="93"/>
      <c r="HN142" s="93"/>
      <c r="HO142" s="93"/>
      <c r="HP142" s="93"/>
      <c r="HQ142" s="93"/>
      <c r="HR142" s="93"/>
      <c r="HS142" s="93"/>
      <c r="HT142" s="93"/>
      <c r="HU142" s="93"/>
      <c r="HV142" s="93"/>
      <c r="HW142" s="93"/>
      <c r="HX142" s="93"/>
      <c r="HY142" s="93"/>
      <c r="HZ142" s="93"/>
      <c r="IA142" s="93"/>
      <c r="IB142" s="93"/>
      <c r="IC142" s="93"/>
      <c r="ID142" s="93"/>
      <c r="IE142" s="93"/>
      <c r="IF142" s="93"/>
      <c r="IG142" s="93"/>
      <c r="IH142" s="93"/>
      <c r="II142" s="93"/>
      <c r="IJ142" s="93"/>
      <c r="IK142" s="93"/>
      <c r="IL142" s="93"/>
      <c r="IM142" s="93"/>
      <c r="IN142" s="93"/>
      <c r="IO142" s="93"/>
      <c r="IP142" s="93"/>
      <c r="IQ142" s="93"/>
      <c r="IR142" s="93"/>
      <c r="IS142" s="93"/>
      <c r="IT142" s="93"/>
      <c r="IU142" s="93"/>
      <c r="IV142" s="93"/>
      <c r="IW142" s="93"/>
      <c r="IX142" s="93"/>
      <c r="IY142" s="93"/>
      <c r="IZ142" s="93"/>
    </row>
    <row r="143" spans="1:260" s="95" customFormat="1">
      <c r="A143" s="93"/>
      <c r="E143" s="949" t="s">
        <v>146</v>
      </c>
      <c r="F143" s="948" t="s">
        <v>191</v>
      </c>
      <c r="G143" s="949" t="s">
        <v>189</v>
      </c>
      <c r="H143" s="949"/>
      <c r="I143" s="949" t="s">
        <v>190</v>
      </c>
      <c r="J143" s="949"/>
      <c r="K143" s="949" t="s">
        <v>189</v>
      </c>
      <c r="L143" s="949"/>
      <c r="M143" s="949" t="s">
        <v>190</v>
      </c>
      <c r="N143" s="949"/>
      <c r="O143" s="953" t="s">
        <v>198</v>
      </c>
      <c r="P143" s="56"/>
      <c r="R143" s="207"/>
      <c r="S143" s="207"/>
      <c r="T143" s="207"/>
      <c r="U143" s="207"/>
      <c r="V143" s="207"/>
      <c r="W143" s="207"/>
      <c r="X143" s="207"/>
      <c r="Y143" s="207"/>
      <c r="Z143" s="207"/>
      <c r="AA143" s="207"/>
      <c r="AB143" s="207"/>
      <c r="AC143" s="207"/>
      <c r="AD143" s="207"/>
      <c r="AE143" s="207"/>
      <c r="AF143" s="207"/>
      <c r="AG143" s="207"/>
      <c r="AH143" s="207"/>
      <c r="AI143" s="207"/>
      <c r="AJ143" s="207"/>
      <c r="AK143" s="207"/>
      <c r="AL143" s="207"/>
      <c r="AM143" s="207"/>
      <c r="AN143" s="207"/>
      <c r="AO143" s="207"/>
      <c r="AP143" s="94"/>
      <c r="AQ143" s="94"/>
      <c r="AR143" s="94"/>
      <c r="AS143" s="94"/>
      <c r="AT143" s="94"/>
      <c r="AU143" s="94"/>
      <c r="AV143" s="94"/>
      <c r="AW143" s="94"/>
      <c r="AX143" s="94"/>
      <c r="AY143" s="93"/>
      <c r="AZ143" s="93"/>
      <c r="BA143" s="93"/>
      <c r="BB143" s="93"/>
      <c r="BC143" s="93"/>
      <c r="BD143" s="93"/>
      <c r="BE143" s="93"/>
      <c r="BF143" s="93"/>
      <c r="BG143" s="93"/>
      <c r="BH143" s="93"/>
      <c r="BI143" s="93"/>
      <c r="BJ143" s="93"/>
      <c r="BK143" s="93"/>
      <c r="BL143" s="93"/>
      <c r="BM143" s="93"/>
      <c r="BN143" s="93"/>
      <c r="BO143" s="93"/>
      <c r="BP143" s="93"/>
      <c r="BQ143" s="93"/>
      <c r="BR143" s="93"/>
      <c r="BS143" s="93"/>
      <c r="BT143" s="93"/>
      <c r="BU143" s="93"/>
      <c r="BV143" s="93"/>
      <c r="BW143" s="93"/>
      <c r="BX143" s="93"/>
      <c r="BY143" s="93"/>
      <c r="BZ143" s="93"/>
      <c r="CA143" s="93"/>
      <c r="CB143" s="93"/>
      <c r="CC143" s="93"/>
      <c r="CD143" s="93"/>
      <c r="CE143" s="93"/>
      <c r="CF143" s="93"/>
      <c r="CG143" s="93"/>
      <c r="CH143" s="93"/>
      <c r="CI143" s="93"/>
      <c r="CJ143" s="93"/>
      <c r="CK143" s="93"/>
      <c r="CL143" s="93"/>
      <c r="CM143" s="93"/>
      <c r="CN143" s="93"/>
      <c r="CO143" s="93"/>
      <c r="CP143" s="93"/>
      <c r="CQ143" s="93"/>
      <c r="CR143" s="93"/>
      <c r="CS143" s="93"/>
      <c r="CT143" s="93"/>
      <c r="CU143" s="93"/>
      <c r="CV143" s="93"/>
      <c r="CW143" s="93"/>
      <c r="CX143" s="93"/>
      <c r="CY143" s="93"/>
      <c r="CZ143" s="93"/>
      <c r="DA143" s="93"/>
      <c r="DB143" s="93"/>
      <c r="DC143" s="93"/>
      <c r="DD143" s="93"/>
      <c r="DE143" s="93"/>
      <c r="DF143" s="93"/>
      <c r="DG143" s="93"/>
      <c r="DH143" s="93"/>
      <c r="DI143" s="93"/>
      <c r="DJ143" s="93"/>
      <c r="DK143" s="93"/>
      <c r="DL143" s="93"/>
      <c r="DM143" s="93"/>
      <c r="DN143" s="93"/>
      <c r="DO143" s="93"/>
      <c r="DP143" s="93"/>
      <c r="DQ143" s="93"/>
      <c r="DR143" s="93"/>
      <c r="DS143" s="93"/>
      <c r="DT143" s="93"/>
      <c r="DU143" s="93"/>
      <c r="DV143" s="93"/>
      <c r="DW143" s="93"/>
      <c r="DX143" s="93"/>
      <c r="DY143" s="93"/>
      <c r="DZ143" s="93"/>
      <c r="EA143" s="93"/>
      <c r="EB143" s="93"/>
      <c r="EC143" s="93"/>
      <c r="ED143" s="93"/>
      <c r="EE143" s="93"/>
      <c r="EF143" s="93"/>
      <c r="EG143" s="93"/>
      <c r="EH143" s="93"/>
      <c r="EI143" s="93"/>
      <c r="EJ143" s="93"/>
      <c r="EK143" s="93"/>
      <c r="EL143" s="93"/>
      <c r="EM143" s="93"/>
      <c r="EN143" s="93"/>
      <c r="EO143" s="93"/>
      <c r="EP143" s="93"/>
      <c r="EQ143" s="93"/>
      <c r="ER143" s="93"/>
      <c r="ES143" s="93"/>
      <c r="ET143" s="93"/>
      <c r="EU143" s="93"/>
      <c r="EV143" s="93"/>
      <c r="EW143" s="93"/>
      <c r="EX143" s="93"/>
      <c r="EY143" s="93"/>
      <c r="EZ143" s="93"/>
      <c r="FA143" s="93"/>
      <c r="FB143" s="93"/>
      <c r="FC143" s="93"/>
      <c r="FD143" s="93"/>
      <c r="FE143" s="93"/>
      <c r="FF143" s="93"/>
      <c r="FG143" s="93"/>
      <c r="FH143" s="93"/>
      <c r="FI143" s="93"/>
      <c r="FJ143" s="93"/>
      <c r="FK143" s="93"/>
      <c r="FL143" s="93"/>
      <c r="FM143" s="93"/>
      <c r="FN143" s="93"/>
      <c r="FO143" s="93"/>
      <c r="FP143" s="93"/>
      <c r="FQ143" s="93"/>
      <c r="FR143" s="93"/>
      <c r="FS143" s="93"/>
      <c r="FT143" s="93"/>
      <c r="FU143" s="93"/>
      <c r="FV143" s="93"/>
      <c r="FW143" s="93"/>
      <c r="FX143" s="93"/>
      <c r="FY143" s="93"/>
      <c r="FZ143" s="93"/>
      <c r="GA143" s="93"/>
      <c r="GB143" s="93"/>
      <c r="GC143" s="93"/>
      <c r="GD143" s="93"/>
      <c r="GE143" s="93"/>
      <c r="GF143" s="93"/>
      <c r="GG143" s="93"/>
      <c r="GH143" s="93"/>
      <c r="GI143" s="93"/>
      <c r="GJ143" s="93"/>
      <c r="GK143" s="93"/>
      <c r="GL143" s="93"/>
      <c r="GM143" s="93"/>
      <c r="GN143" s="93"/>
      <c r="GO143" s="93"/>
      <c r="GP143" s="93"/>
      <c r="GQ143" s="93"/>
      <c r="GR143" s="93"/>
      <c r="GS143" s="93"/>
      <c r="GT143" s="93"/>
      <c r="GU143" s="93"/>
      <c r="GV143" s="93"/>
      <c r="GW143" s="93"/>
      <c r="GX143" s="93"/>
      <c r="GY143" s="93"/>
      <c r="GZ143" s="93"/>
      <c r="HA143" s="93"/>
      <c r="HB143" s="93"/>
      <c r="HC143" s="93"/>
      <c r="HD143" s="93"/>
      <c r="HE143" s="93"/>
      <c r="HF143" s="93"/>
      <c r="HG143" s="93"/>
      <c r="HH143" s="93"/>
      <c r="HI143" s="93"/>
      <c r="HJ143" s="93"/>
      <c r="HK143" s="93"/>
      <c r="HL143" s="93"/>
      <c r="HM143" s="93"/>
      <c r="HN143" s="93"/>
      <c r="HO143" s="93"/>
      <c r="HP143" s="93"/>
      <c r="HQ143" s="93"/>
      <c r="HR143" s="93"/>
      <c r="HS143" s="93"/>
      <c r="HT143" s="93"/>
      <c r="HU143" s="93"/>
      <c r="HV143" s="93"/>
      <c r="HW143" s="93"/>
      <c r="HX143" s="93"/>
      <c r="HY143" s="93"/>
      <c r="HZ143" s="93"/>
      <c r="IA143" s="93"/>
      <c r="IB143" s="93"/>
      <c r="IC143" s="93"/>
      <c r="ID143" s="93"/>
      <c r="IE143" s="93"/>
      <c r="IF143" s="93"/>
      <c r="IG143" s="93"/>
      <c r="IH143" s="93"/>
      <c r="II143" s="93"/>
      <c r="IJ143" s="93"/>
      <c r="IK143" s="93"/>
      <c r="IL143" s="93"/>
      <c r="IM143" s="93"/>
      <c r="IN143" s="93"/>
      <c r="IO143" s="93"/>
      <c r="IP143" s="93"/>
      <c r="IQ143" s="93"/>
      <c r="IR143" s="93"/>
      <c r="IS143" s="93"/>
      <c r="IT143" s="93"/>
      <c r="IU143" s="93"/>
      <c r="IV143" s="93"/>
      <c r="IW143" s="93"/>
      <c r="IX143" s="93"/>
      <c r="IY143" s="93"/>
    </row>
    <row r="144" spans="1:260" s="95" customFormat="1" ht="43.5">
      <c r="A144" s="93"/>
      <c r="E144" s="949"/>
      <c r="F144" s="948"/>
      <c r="G144" s="869" t="s">
        <v>192</v>
      </c>
      <c r="H144" s="870" t="s">
        <v>193</v>
      </c>
      <c r="I144" s="869" t="s">
        <v>192</v>
      </c>
      <c r="J144" s="870" t="s">
        <v>193</v>
      </c>
      <c r="K144" s="871" t="s">
        <v>194</v>
      </c>
      <c r="L144" s="872" t="s">
        <v>195</v>
      </c>
      <c r="M144" s="871" t="s">
        <v>196</v>
      </c>
      <c r="N144" s="872" t="s">
        <v>197</v>
      </c>
      <c r="O144" s="953"/>
      <c r="P144" s="28"/>
      <c r="R144" s="207"/>
      <c r="S144" s="207"/>
      <c r="T144" s="207"/>
      <c r="U144" s="207"/>
      <c r="V144" s="207"/>
      <c r="W144" s="207"/>
      <c r="X144" s="207"/>
      <c r="Y144" s="207"/>
      <c r="Z144" s="207"/>
      <c r="AA144" s="207"/>
      <c r="AB144" s="207"/>
      <c r="AC144" s="207"/>
      <c r="AD144" s="207"/>
      <c r="AE144" s="207"/>
      <c r="AF144" s="207"/>
      <c r="AG144" s="207"/>
      <c r="AH144" s="207"/>
      <c r="AI144" s="207"/>
      <c r="AJ144" s="207"/>
      <c r="AK144" s="207"/>
      <c r="AL144" s="207"/>
      <c r="AM144" s="207"/>
      <c r="AN144" s="207"/>
      <c r="AO144" s="207"/>
      <c r="AP144" s="94"/>
      <c r="AQ144" s="94"/>
      <c r="AR144" s="94"/>
      <c r="AS144" s="94"/>
      <c r="AT144" s="94"/>
      <c r="AU144" s="94"/>
      <c r="AV144" s="94"/>
      <c r="AW144" s="94"/>
      <c r="AX144" s="94"/>
      <c r="AY144" s="93"/>
      <c r="AZ144" s="93"/>
      <c r="BA144" s="93"/>
      <c r="BB144" s="93"/>
      <c r="BC144" s="93"/>
      <c r="BD144" s="93"/>
      <c r="BE144" s="93"/>
      <c r="BF144" s="93"/>
      <c r="BG144" s="93"/>
      <c r="BH144" s="93"/>
      <c r="BI144" s="93"/>
      <c r="BJ144" s="93"/>
      <c r="BK144" s="93"/>
      <c r="BL144" s="93"/>
      <c r="BM144" s="93"/>
      <c r="BN144" s="93"/>
      <c r="BO144" s="93"/>
      <c r="BP144" s="93"/>
      <c r="BQ144" s="93"/>
      <c r="BR144" s="93"/>
      <c r="BS144" s="93"/>
      <c r="BT144" s="93"/>
      <c r="BU144" s="93"/>
      <c r="BV144" s="93"/>
      <c r="BW144" s="93"/>
      <c r="BX144" s="93"/>
      <c r="BY144" s="93"/>
      <c r="BZ144" s="93"/>
      <c r="CA144" s="93"/>
      <c r="CB144" s="93"/>
      <c r="CC144" s="93"/>
      <c r="CD144" s="93"/>
      <c r="CE144" s="93"/>
      <c r="CF144" s="93"/>
      <c r="CG144" s="93"/>
      <c r="CH144" s="93"/>
      <c r="CI144" s="93"/>
      <c r="CJ144" s="93"/>
      <c r="CK144" s="93"/>
      <c r="CL144" s="93"/>
      <c r="CM144" s="93"/>
      <c r="CN144" s="93"/>
      <c r="CO144" s="93"/>
      <c r="CP144" s="93"/>
      <c r="CQ144" s="93"/>
      <c r="CR144" s="93"/>
      <c r="CS144" s="93"/>
      <c r="CT144" s="93"/>
      <c r="CU144" s="93"/>
      <c r="CV144" s="93"/>
      <c r="CW144" s="93"/>
      <c r="CX144" s="93"/>
      <c r="CY144" s="93"/>
      <c r="CZ144" s="93"/>
      <c r="DA144" s="93"/>
      <c r="DB144" s="93"/>
      <c r="DC144" s="93"/>
      <c r="DD144" s="93"/>
      <c r="DE144" s="93"/>
      <c r="DF144" s="93"/>
      <c r="DG144" s="93"/>
      <c r="DH144" s="93"/>
      <c r="DI144" s="93"/>
      <c r="DJ144" s="93"/>
      <c r="DK144" s="93"/>
      <c r="DL144" s="93"/>
      <c r="DM144" s="93"/>
      <c r="DN144" s="93"/>
      <c r="DO144" s="93"/>
      <c r="DP144" s="93"/>
      <c r="DQ144" s="93"/>
      <c r="DR144" s="93"/>
      <c r="DS144" s="93"/>
      <c r="DT144" s="93"/>
      <c r="DU144" s="93"/>
      <c r="DV144" s="93"/>
      <c r="DW144" s="93"/>
      <c r="DX144" s="93"/>
      <c r="DY144" s="93"/>
      <c r="DZ144" s="93"/>
      <c r="EA144" s="93"/>
      <c r="EB144" s="93"/>
      <c r="EC144" s="93"/>
      <c r="ED144" s="93"/>
      <c r="EE144" s="93"/>
      <c r="EF144" s="93"/>
      <c r="EG144" s="93"/>
      <c r="EH144" s="93"/>
      <c r="EI144" s="93"/>
      <c r="EJ144" s="93"/>
      <c r="EK144" s="93"/>
      <c r="EL144" s="93"/>
      <c r="EM144" s="93"/>
      <c r="EN144" s="93"/>
      <c r="EO144" s="93"/>
      <c r="EP144" s="93"/>
      <c r="EQ144" s="93"/>
      <c r="ER144" s="93"/>
      <c r="ES144" s="93"/>
      <c r="ET144" s="93"/>
      <c r="EU144" s="93"/>
      <c r="EV144" s="93"/>
      <c r="EW144" s="93"/>
      <c r="EX144" s="93"/>
      <c r="EY144" s="93"/>
      <c r="EZ144" s="93"/>
      <c r="FA144" s="93"/>
      <c r="FB144" s="93"/>
      <c r="FC144" s="93"/>
      <c r="FD144" s="93"/>
      <c r="FE144" s="93"/>
      <c r="FF144" s="93"/>
      <c r="FG144" s="93"/>
      <c r="FH144" s="93"/>
      <c r="FI144" s="93"/>
      <c r="FJ144" s="93"/>
      <c r="FK144" s="93"/>
      <c r="FL144" s="93"/>
      <c r="FM144" s="93"/>
      <c r="FN144" s="93"/>
      <c r="FO144" s="93"/>
      <c r="FP144" s="93"/>
      <c r="FQ144" s="93"/>
      <c r="FR144" s="93"/>
      <c r="FS144" s="93"/>
      <c r="FT144" s="93"/>
      <c r="FU144" s="93"/>
      <c r="FV144" s="93"/>
      <c r="FW144" s="93"/>
      <c r="FX144" s="93"/>
      <c r="FY144" s="93"/>
      <c r="FZ144" s="93"/>
      <c r="GA144" s="93"/>
      <c r="GB144" s="93"/>
      <c r="GC144" s="93"/>
      <c r="GD144" s="93"/>
      <c r="GE144" s="93"/>
      <c r="GF144" s="93"/>
      <c r="GG144" s="93"/>
      <c r="GH144" s="93"/>
      <c r="GI144" s="93"/>
      <c r="GJ144" s="93"/>
      <c r="GK144" s="93"/>
      <c r="GL144" s="93"/>
      <c r="GM144" s="93"/>
      <c r="GN144" s="93"/>
      <c r="GO144" s="93"/>
      <c r="GP144" s="93"/>
      <c r="GQ144" s="93"/>
      <c r="GR144" s="93"/>
      <c r="GS144" s="93"/>
      <c r="GT144" s="93"/>
      <c r="GU144" s="93"/>
      <c r="GV144" s="93"/>
      <c r="GW144" s="93"/>
      <c r="GX144" s="93"/>
      <c r="GY144" s="93"/>
      <c r="GZ144" s="93"/>
      <c r="HA144" s="93"/>
      <c r="HB144" s="93"/>
      <c r="HC144" s="93"/>
      <c r="HD144" s="93"/>
      <c r="HE144" s="93"/>
      <c r="HF144" s="93"/>
      <c r="HG144" s="93"/>
      <c r="HH144" s="93"/>
      <c r="HI144" s="93"/>
      <c r="HJ144" s="93"/>
      <c r="HK144" s="93"/>
      <c r="HL144" s="93"/>
      <c r="HM144" s="93"/>
      <c r="HN144" s="93"/>
      <c r="HO144" s="93"/>
      <c r="HP144" s="93"/>
      <c r="HQ144" s="93"/>
      <c r="HR144" s="93"/>
      <c r="HS144" s="93"/>
      <c r="HT144" s="93"/>
      <c r="HU144" s="93"/>
      <c r="HV144" s="93"/>
      <c r="HW144" s="93"/>
      <c r="HX144" s="93"/>
      <c r="HY144" s="93"/>
      <c r="HZ144" s="93"/>
      <c r="IA144" s="93"/>
      <c r="IB144" s="93"/>
      <c r="IC144" s="93"/>
      <c r="ID144" s="93"/>
      <c r="IE144" s="93"/>
      <c r="IF144" s="93"/>
      <c r="IG144" s="93"/>
      <c r="IH144" s="93"/>
      <c r="II144" s="93"/>
      <c r="IJ144" s="93"/>
      <c r="IK144" s="93"/>
      <c r="IL144" s="93"/>
      <c r="IM144" s="93"/>
      <c r="IN144" s="93"/>
      <c r="IO144" s="93"/>
      <c r="IP144" s="93"/>
      <c r="IQ144" s="93"/>
      <c r="IR144" s="93"/>
      <c r="IS144" s="93"/>
      <c r="IT144" s="93"/>
      <c r="IU144" s="93"/>
      <c r="IV144" s="93"/>
      <c r="IW144" s="93"/>
      <c r="IX144" s="93"/>
      <c r="IY144" s="93"/>
    </row>
    <row r="145" spans="1:260" s="95" customFormat="1">
      <c r="A145" s="93"/>
      <c r="E145" s="950" t="s">
        <v>199</v>
      </c>
      <c r="F145" s="362" t="s">
        <v>2051</v>
      </c>
      <c r="G145" s="873">
        <f>G154</f>
        <v>475501</v>
      </c>
      <c r="H145" s="873">
        <f>H154</f>
        <v>9011</v>
      </c>
      <c r="I145" s="873">
        <f>G156</f>
        <v>425231</v>
      </c>
      <c r="J145" s="873">
        <f>H156</f>
        <v>3542</v>
      </c>
      <c r="K145" s="875">
        <v>2.5000000000000001E-2</v>
      </c>
      <c r="L145" s="876">
        <f t="shared" ref="L145:L150" si="64">IFERROR(H145/(G145+H145),0)</f>
        <v>1.8598094577636878E-2</v>
      </c>
      <c r="M145" s="875">
        <v>5.0000000000000001E-3</v>
      </c>
      <c r="N145" s="876">
        <f>IFERROR(J145/(I145+J145),0)</f>
        <v>8.260781345840339E-3</v>
      </c>
      <c r="O145" s="917">
        <f>IFERROR((J145+H145)/(G145+H145),0)</f>
        <v>2.590854302886203E-2</v>
      </c>
      <c r="P145" s="160"/>
      <c r="R145" s="207"/>
      <c r="S145" s="207"/>
      <c r="T145" s="207"/>
      <c r="U145" s="207"/>
      <c r="V145" s="207"/>
      <c r="W145" s="207"/>
      <c r="X145" s="207"/>
      <c r="Y145" s="207"/>
      <c r="Z145" s="207"/>
      <c r="AA145" s="207"/>
      <c r="AB145" s="207"/>
      <c r="AC145" s="207"/>
      <c r="AD145" s="207"/>
      <c r="AE145" s="207"/>
      <c r="AF145" s="207"/>
      <c r="AG145" s="207"/>
      <c r="AH145" s="207"/>
      <c r="AI145" s="207"/>
      <c r="AJ145" s="207"/>
      <c r="AK145" s="207"/>
      <c r="AL145" s="207"/>
      <c r="AM145" s="207"/>
      <c r="AN145" s="207"/>
      <c r="AO145" s="207"/>
      <c r="AP145" s="94"/>
      <c r="AQ145" s="94"/>
      <c r="AR145" s="94"/>
      <c r="AS145" s="94"/>
      <c r="AT145" s="94"/>
      <c r="AU145" s="94"/>
      <c r="AV145" s="94"/>
      <c r="AW145" s="94"/>
      <c r="AX145" s="94"/>
      <c r="AY145" s="93"/>
      <c r="AZ145" s="93"/>
      <c r="BA145" s="93"/>
      <c r="BB145" s="93"/>
      <c r="BC145" s="93"/>
      <c r="BD145" s="93"/>
      <c r="BE145" s="93"/>
      <c r="BF145" s="93"/>
      <c r="BG145" s="93"/>
      <c r="BH145" s="93"/>
      <c r="BI145" s="93"/>
      <c r="BJ145" s="93"/>
      <c r="BK145" s="93"/>
      <c r="BL145" s="93"/>
      <c r="BM145" s="93"/>
      <c r="BN145" s="93"/>
      <c r="BO145" s="93"/>
      <c r="BP145" s="93"/>
      <c r="BQ145" s="93"/>
      <c r="BR145" s="93"/>
      <c r="BS145" s="93"/>
      <c r="BT145" s="93"/>
      <c r="BU145" s="93"/>
      <c r="BV145" s="93"/>
      <c r="BW145" s="93"/>
      <c r="BX145" s="93"/>
      <c r="BY145" s="93"/>
      <c r="BZ145" s="93"/>
      <c r="CA145" s="93"/>
      <c r="CB145" s="93"/>
      <c r="CC145" s="93"/>
      <c r="CD145" s="93"/>
      <c r="CE145" s="93"/>
      <c r="CF145" s="93"/>
      <c r="CG145" s="93"/>
      <c r="CH145" s="93"/>
      <c r="CI145" s="93"/>
      <c r="CJ145" s="93"/>
      <c r="CK145" s="93"/>
      <c r="CL145" s="93"/>
      <c r="CM145" s="93"/>
      <c r="CN145" s="93"/>
      <c r="CO145" s="93"/>
      <c r="CP145" s="93"/>
      <c r="CQ145" s="93"/>
      <c r="CR145" s="93"/>
      <c r="CS145" s="93"/>
      <c r="CT145" s="93"/>
      <c r="CU145" s="93"/>
      <c r="CV145" s="93"/>
      <c r="CW145" s="93"/>
      <c r="CX145" s="93"/>
      <c r="CY145" s="93"/>
      <c r="CZ145" s="93"/>
      <c r="DA145" s="93"/>
      <c r="DB145" s="93"/>
      <c r="DC145" s="93"/>
      <c r="DD145" s="93"/>
      <c r="DE145" s="93"/>
      <c r="DF145" s="93"/>
      <c r="DG145" s="93"/>
      <c r="DH145" s="93"/>
      <c r="DI145" s="93"/>
      <c r="DJ145" s="93"/>
      <c r="DK145" s="93"/>
      <c r="DL145" s="93"/>
      <c r="DM145" s="93"/>
      <c r="DN145" s="93"/>
      <c r="DO145" s="93"/>
      <c r="DP145" s="93"/>
      <c r="DQ145" s="93"/>
      <c r="DR145" s="93"/>
      <c r="DS145" s="93"/>
      <c r="DT145" s="93"/>
      <c r="DU145" s="93"/>
      <c r="DV145" s="93"/>
      <c r="DW145" s="93"/>
      <c r="DX145" s="93"/>
      <c r="DY145" s="93"/>
      <c r="DZ145" s="93"/>
      <c r="EA145" s="93"/>
      <c r="EB145" s="93"/>
      <c r="EC145" s="93"/>
      <c r="ED145" s="93"/>
      <c r="EE145" s="93"/>
      <c r="EF145" s="93"/>
      <c r="EG145" s="93"/>
      <c r="EH145" s="93"/>
      <c r="EI145" s="93"/>
      <c r="EJ145" s="93"/>
      <c r="EK145" s="93"/>
      <c r="EL145" s="93"/>
      <c r="EM145" s="93"/>
      <c r="EN145" s="93"/>
      <c r="EO145" s="93"/>
      <c r="EP145" s="93"/>
      <c r="EQ145" s="93"/>
      <c r="ER145" s="93"/>
      <c r="ES145" s="93"/>
      <c r="ET145" s="93"/>
      <c r="EU145" s="93"/>
      <c r="EV145" s="93"/>
      <c r="EW145" s="93"/>
      <c r="EX145" s="93"/>
      <c r="EY145" s="93"/>
      <c r="EZ145" s="93"/>
      <c r="FA145" s="93"/>
      <c r="FB145" s="93"/>
      <c r="FC145" s="93"/>
      <c r="FD145" s="93"/>
      <c r="FE145" s="93"/>
      <c r="FF145" s="93"/>
      <c r="FG145" s="93"/>
      <c r="FH145" s="93"/>
      <c r="FI145" s="93"/>
      <c r="FJ145" s="93"/>
      <c r="FK145" s="93"/>
      <c r="FL145" s="93"/>
      <c r="FM145" s="93"/>
      <c r="FN145" s="93"/>
      <c r="FO145" s="93"/>
      <c r="FP145" s="93"/>
      <c r="FQ145" s="93"/>
      <c r="FR145" s="93"/>
      <c r="FS145" s="93"/>
      <c r="FT145" s="93"/>
      <c r="FU145" s="93"/>
      <c r="FV145" s="93"/>
      <c r="FW145" s="93"/>
      <c r="FX145" s="93"/>
      <c r="FY145" s="93"/>
      <c r="FZ145" s="93"/>
      <c r="GA145" s="93"/>
      <c r="GB145" s="93"/>
      <c r="GC145" s="93"/>
      <c r="GD145" s="93"/>
      <c r="GE145" s="93"/>
      <c r="GF145" s="93"/>
      <c r="GG145" s="93"/>
      <c r="GH145" s="93"/>
      <c r="GI145" s="93"/>
      <c r="GJ145" s="93"/>
      <c r="GK145" s="93"/>
      <c r="GL145" s="93"/>
      <c r="GM145" s="93"/>
      <c r="GN145" s="93"/>
      <c r="GO145" s="93"/>
      <c r="GP145" s="93"/>
      <c r="GQ145" s="93"/>
      <c r="GR145" s="93"/>
      <c r="GS145" s="93"/>
      <c r="GT145" s="93"/>
      <c r="GU145" s="93"/>
      <c r="GV145" s="93"/>
      <c r="GW145" s="93"/>
      <c r="GX145" s="93"/>
      <c r="GY145" s="93"/>
      <c r="GZ145" s="93"/>
      <c r="HA145" s="93"/>
      <c r="HB145" s="93"/>
      <c r="HC145" s="93"/>
      <c r="HD145" s="93"/>
      <c r="HE145" s="93"/>
      <c r="HF145" s="93"/>
      <c r="HG145" s="93"/>
      <c r="HH145" s="93"/>
      <c r="HI145" s="93"/>
      <c r="HJ145" s="93"/>
      <c r="HK145" s="93"/>
      <c r="HL145" s="93"/>
      <c r="HM145" s="93"/>
      <c r="HN145" s="93"/>
      <c r="HO145" s="93"/>
      <c r="HP145" s="93"/>
      <c r="HQ145" s="93"/>
      <c r="HR145" s="93"/>
      <c r="HS145" s="93"/>
      <c r="HT145" s="93"/>
      <c r="HU145" s="93"/>
      <c r="HV145" s="93"/>
      <c r="HW145" s="93"/>
      <c r="HX145" s="93"/>
      <c r="HY145" s="93"/>
      <c r="HZ145" s="93"/>
      <c r="IA145" s="93"/>
      <c r="IB145" s="93"/>
      <c r="IC145" s="93"/>
      <c r="ID145" s="93"/>
      <c r="IE145" s="93"/>
      <c r="IF145" s="93"/>
      <c r="IG145" s="93"/>
      <c r="IH145" s="93"/>
      <c r="II145" s="93"/>
      <c r="IJ145" s="93"/>
      <c r="IK145" s="93"/>
      <c r="IL145" s="93"/>
      <c r="IM145" s="93"/>
      <c r="IN145" s="93"/>
      <c r="IO145" s="93"/>
      <c r="IP145" s="93"/>
      <c r="IQ145" s="93"/>
      <c r="IR145" s="93"/>
      <c r="IS145" s="93"/>
      <c r="IT145" s="93"/>
      <c r="IU145" s="93"/>
      <c r="IV145" s="93"/>
      <c r="IW145" s="93"/>
      <c r="IX145" s="93"/>
      <c r="IY145" s="93"/>
    </row>
    <row r="146" spans="1:260" s="95" customFormat="1">
      <c r="A146" s="93"/>
      <c r="E146" s="951"/>
      <c r="F146" s="870" t="s">
        <v>153</v>
      </c>
      <c r="G146" s="873">
        <f>G155</f>
        <v>79321</v>
      </c>
      <c r="H146" s="873">
        <f>H155</f>
        <v>2228</v>
      </c>
      <c r="I146" s="873">
        <f>G157</f>
        <v>79135</v>
      </c>
      <c r="J146" s="873">
        <f>H157</f>
        <v>1255</v>
      </c>
      <c r="K146" s="875">
        <v>2.5000000000000001E-2</v>
      </c>
      <c r="L146" s="876">
        <f t="shared" si="64"/>
        <v>2.7320997191872372E-2</v>
      </c>
      <c r="M146" s="875">
        <v>5.0000000000000001E-3</v>
      </c>
      <c r="N146" s="876">
        <f>IFERROR(J146/(I146+J146),0)</f>
        <v>1.5611394452046274E-2</v>
      </c>
      <c r="O146" s="917">
        <f>IFERROR((J146+H146)/(G146+H146),0)</f>
        <v>4.2710517602913584E-2</v>
      </c>
      <c r="P146" s="160"/>
      <c r="R146" s="207"/>
      <c r="S146" s="207"/>
      <c r="T146" s="207"/>
      <c r="U146" s="207"/>
      <c r="V146" s="207"/>
      <c r="W146" s="207"/>
      <c r="X146" s="207"/>
      <c r="Y146" s="207"/>
      <c r="Z146" s="207"/>
      <c r="AA146" s="207"/>
      <c r="AB146" s="207"/>
      <c r="AC146" s="207"/>
      <c r="AD146" s="207"/>
      <c r="AE146" s="207"/>
      <c r="AF146" s="207"/>
      <c r="AG146" s="207"/>
      <c r="AH146" s="207"/>
      <c r="AI146" s="207"/>
      <c r="AJ146" s="207"/>
      <c r="AK146" s="207"/>
      <c r="AL146" s="207"/>
      <c r="AM146" s="207"/>
      <c r="AN146" s="207"/>
      <c r="AO146" s="207"/>
      <c r="AP146" s="94"/>
      <c r="AQ146" s="94"/>
      <c r="AR146" s="94"/>
      <c r="AS146" s="94"/>
      <c r="AT146" s="94"/>
      <c r="AU146" s="94"/>
      <c r="AV146" s="94"/>
      <c r="AW146" s="94"/>
      <c r="AX146" s="94"/>
      <c r="AY146" s="93"/>
      <c r="AZ146" s="93"/>
      <c r="BA146" s="93"/>
      <c r="BB146" s="93"/>
      <c r="BC146" s="93"/>
      <c r="BD146" s="93"/>
      <c r="BE146" s="93"/>
      <c r="BF146" s="93"/>
      <c r="BG146" s="93"/>
      <c r="BH146" s="93"/>
      <c r="BI146" s="93"/>
      <c r="BJ146" s="93"/>
      <c r="BK146" s="93"/>
      <c r="BL146" s="93"/>
      <c r="BM146" s="93"/>
      <c r="BN146" s="93"/>
      <c r="BO146" s="93"/>
      <c r="BP146" s="93"/>
      <c r="BQ146" s="93"/>
      <c r="BR146" s="93"/>
      <c r="BS146" s="93"/>
      <c r="BT146" s="93"/>
      <c r="BU146" s="93"/>
      <c r="BV146" s="93"/>
      <c r="BW146" s="93"/>
      <c r="BX146" s="93"/>
      <c r="BY146" s="93"/>
      <c r="BZ146" s="93"/>
      <c r="CA146" s="93"/>
      <c r="CB146" s="93"/>
      <c r="CC146" s="93"/>
      <c r="CD146" s="93"/>
      <c r="CE146" s="93"/>
      <c r="CF146" s="93"/>
      <c r="CG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93"/>
      <c r="DI146" s="93"/>
      <c r="DJ146" s="93"/>
      <c r="DK146" s="93"/>
      <c r="DL146" s="93"/>
      <c r="DM146" s="93"/>
      <c r="DN146" s="93"/>
      <c r="DO146" s="93"/>
      <c r="DP146" s="93"/>
      <c r="DQ146" s="93"/>
      <c r="DR146" s="93"/>
      <c r="DS146" s="93"/>
      <c r="DT146" s="93"/>
      <c r="DU146" s="93"/>
      <c r="DV146" s="93"/>
      <c r="DW146" s="93"/>
      <c r="DX146" s="93"/>
      <c r="DY146" s="93"/>
      <c r="DZ146" s="93"/>
      <c r="EA146" s="93"/>
      <c r="EB146" s="93"/>
      <c r="EC146" s="93"/>
      <c r="ED146" s="93"/>
      <c r="EE146" s="93"/>
      <c r="EF146" s="93"/>
      <c r="EG146" s="93"/>
      <c r="EH146" s="93"/>
      <c r="EI146" s="93"/>
      <c r="EJ146" s="93"/>
      <c r="EK146" s="93"/>
      <c r="EL146" s="93"/>
      <c r="EM146" s="93"/>
      <c r="EN146" s="93"/>
      <c r="EO146" s="93"/>
      <c r="EP146" s="93"/>
      <c r="EQ146" s="93"/>
      <c r="ER146" s="93"/>
      <c r="ES146" s="93"/>
      <c r="ET146" s="93"/>
      <c r="EU146" s="93"/>
      <c r="EV146" s="93"/>
      <c r="EW146" s="93"/>
      <c r="EX146" s="93"/>
      <c r="EY146" s="93"/>
      <c r="EZ146" s="93"/>
      <c r="FA146" s="93"/>
      <c r="FB146" s="93"/>
      <c r="FC146" s="93"/>
      <c r="FD146" s="93"/>
      <c r="FE146" s="93"/>
      <c r="FF146" s="93"/>
      <c r="FG146" s="93"/>
      <c r="FH146" s="93"/>
      <c r="FI146" s="93"/>
      <c r="FJ146" s="93"/>
      <c r="FK146" s="93"/>
      <c r="FL146" s="93"/>
      <c r="FM146" s="93"/>
      <c r="FN146" s="93"/>
      <c r="FO146" s="93"/>
      <c r="FP146" s="93"/>
      <c r="FQ146" s="93"/>
      <c r="FR146" s="93"/>
      <c r="FS146" s="93"/>
      <c r="FT146" s="93"/>
      <c r="FU146" s="93"/>
      <c r="FV146" s="93"/>
      <c r="FW146" s="93"/>
      <c r="FX146" s="93"/>
      <c r="FY146" s="93"/>
      <c r="FZ146" s="93"/>
      <c r="GA146" s="93"/>
      <c r="GB146" s="93"/>
      <c r="GC146" s="93"/>
      <c r="GD146" s="93"/>
      <c r="GE146" s="93"/>
      <c r="GF146" s="93"/>
      <c r="GG146" s="93"/>
      <c r="GH146" s="93"/>
      <c r="GI146" s="93"/>
      <c r="GJ146" s="93"/>
      <c r="GK146" s="93"/>
      <c r="GL146" s="93"/>
      <c r="GM146" s="93"/>
      <c r="GN146" s="93"/>
      <c r="GO146" s="93"/>
      <c r="GP146" s="93"/>
      <c r="GQ146" s="93"/>
      <c r="GR146" s="93"/>
      <c r="GS146" s="93"/>
      <c r="GT146" s="93"/>
      <c r="GU146" s="93"/>
      <c r="GV146" s="93"/>
      <c r="GW146" s="93"/>
      <c r="GX146" s="93"/>
      <c r="GY146" s="93"/>
      <c r="GZ146" s="93"/>
      <c r="HA146" s="93"/>
      <c r="HB146" s="93"/>
      <c r="HC146" s="93"/>
      <c r="HD146" s="93"/>
      <c r="HE146" s="93"/>
      <c r="HF146" s="93"/>
      <c r="HG146" s="93"/>
      <c r="HH146" s="93"/>
      <c r="HI146" s="93"/>
      <c r="HJ146" s="93"/>
      <c r="HK146" s="93"/>
      <c r="HL146" s="93"/>
      <c r="HM146" s="93"/>
      <c r="HN146" s="93"/>
      <c r="HO146" s="93"/>
      <c r="HP146" s="93"/>
      <c r="HQ146" s="93"/>
      <c r="HR146" s="93"/>
      <c r="HS146" s="93"/>
      <c r="HT146" s="93"/>
      <c r="HU146" s="93"/>
      <c r="HV146" s="93"/>
      <c r="HW146" s="93"/>
      <c r="HX146" s="93"/>
      <c r="HY146" s="93"/>
      <c r="HZ146" s="93"/>
      <c r="IA146" s="93"/>
      <c r="IB146" s="93"/>
      <c r="IC146" s="93"/>
      <c r="ID146" s="93"/>
      <c r="IE146" s="93"/>
      <c r="IF146" s="93"/>
      <c r="IG146" s="93"/>
      <c r="IH146" s="93"/>
      <c r="II146" s="93"/>
      <c r="IJ146" s="93"/>
      <c r="IK146" s="93"/>
      <c r="IL146" s="93"/>
      <c r="IM146" s="93"/>
      <c r="IN146" s="93"/>
      <c r="IO146" s="93"/>
      <c r="IP146" s="93"/>
      <c r="IQ146" s="93"/>
      <c r="IR146" s="93"/>
      <c r="IS146" s="93"/>
      <c r="IT146" s="93"/>
      <c r="IU146" s="93"/>
      <c r="IV146" s="93"/>
      <c r="IW146" s="93"/>
      <c r="IX146" s="93"/>
      <c r="IY146" s="93"/>
    </row>
    <row r="147" spans="1:260" s="95" customFormat="1">
      <c r="A147" s="93"/>
      <c r="E147" s="952"/>
      <c r="F147" s="900" t="s">
        <v>2803</v>
      </c>
      <c r="G147" s="901">
        <f>G146+G145</f>
        <v>554822</v>
      </c>
      <c r="H147" s="901">
        <f>H146+H145</f>
        <v>11239</v>
      </c>
      <c r="I147" s="901">
        <f>I146+I145</f>
        <v>504366</v>
      </c>
      <c r="J147" s="901">
        <f>J146+J145</f>
        <v>4797</v>
      </c>
      <c r="K147" s="904">
        <v>2.5000000000000001E-2</v>
      </c>
      <c r="L147" s="905">
        <f t="shared" si="64"/>
        <v>1.9854750636415511E-2</v>
      </c>
      <c r="M147" s="904">
        <v>5.0000000000000001E-3</v>
      </c>
      <c r="N147" s="905">
        <f>IFERROR(J147/(I147+J147),0)</f>
        <v>9.4213444417603001E-3</v>
      </c>
      <c r="O147" s="918">
        <f>IFERROR((J147+H147)/(G147+H147),0)</f>
        <v>2.8329102340560471E-2</v>
      </c>
      <c r="P147" s="160"/>
      <c r="R147" s="207"/>
      <c r="S147" s="207"/>
      <c r="T147" s="207"/>
      <c r="U147" s="207"/>
      <c r="V147" s="207"/>
      <c r="W147" s="207"/>
      <c r="X147" s="207"/>
      <c r="Y147" s="207"/>
      <c r="Z147" s="207"/>
      <c r="AA147" s="207"/>
      <c r="AB147" s="207"/>
      <c r="AC147" s="207"/>
      <c r="AD147" s="207"/>
      <c r="AE147" s="207"/>
      <c r="AF147" s="207"/>
      <c r="AG147" s="207"/>
      <c r="AH147" s="207"/>
      <c r="AI147" s="207"/>
      <c r="AJ147" s="207"/>
      <c r="AK147" s="207"/>
      <c r="AL147" s="207"/>
      <c r="AM147" s="207"/>
      <c r="AN147" s="207"/>
      <c r="AO147" s="207"/>
      <c r="AP147" s="94"/>
      <c r="AQ147" s="94"/>
      <c r="AR147" s="94"/>
      <c r="AS147" s="94"/>
      <c r="AT147" s="94"/>
      <c r="AU147" s="94"/>
      <c r="AV147" s="94"/>
      <c r="AW147" s="94"/>
      <c r="AX147" s="94"/>
      <c r="AY147" s="93"/>
      <c r="AZ147" s="93"/>
      <c r="BA147" s="93"/>
      <c r="BB147" s="93"/>
      <c r="BC147" s="93"/>
      <c r="BD147" s="93"/>
      <c r="BE147" s="93"/>
      <c r="BF147" s="93"/>
      <c r="BG147" s="93"/>
      <c r="BH147" s="93"/>
      <c r="BI147" s="93"/>
      <c r="BJ147" s="93"/>
      <c r="BK147" s="93"/>
      <c r="BL147" s="93"/>
      <c r="BM147" s="93"/>
      <c r="BN147" s="93"/>
      <c r="BO147" s="93"/>
      <c r="BP147" s="93"/>
      <c r="BQ147" s="93"/>
      <c r="BR147" s="93"/>
      <c r="BS147" s="93"/>
      <c r="BT147" s="93"/>
      <c r="BU147" s="93"/>
      <c r="BV147" s="93"/>
      <c r="BW147" s="93"/>
      <c r="BX147" s="93"/>
      <c r="BY147" s="93"/>
      <c r="BZ147" s="93"/>
      <c r="CA147" s="93"/>
      <c r="CB147" s="93"/>
      <c r="CC147" s="93"/>
      <c r="CD147" s="93"/>
      <c r="CE147" s="93"/>
      <c r="CF147" s="93"/>
      <c r="CG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93"/>
      <c r="DI147" s="93"/>
      <c r="DJ147" s="93"/>
      <c r="DK147" s="93"/>
      <c r="DL147" s="93"/>
      <c r="DM147" s="93"/>
      <c r="DN147" s="93"/>
      <c r="DO147" s="93"/>
      <c r="DP147" s="93"/>
      <c r="DQ147" s="93"/>
      <c r="DR147" s="93"/>
      <c r="DS147" s="93"/>
      <c r="DT147" s="93"/>
      <c r="DU147" s="93"/>
      <c r="DV147" s="93"/>
      <c r="DW147" s="93"/>
      <c r="DX147" s="93"/>
      <c r="DY147" s="93"/>
      <c r="DZ147" s="93"/>
      <c r="EA147" s="93"/>
      <c r="EB147" s="93"/>
      <c r="EC147" s="93"/>
      <c r="ED147" s="93"/>
      <c r="EE147" s="93"/>
      <c r="EF147" s="93"/>
      <c r="EG147" s="93"/>
      <c r="EH147" s="93"/>
      <c r="EI147" s="93"/>
      <c r="EJ147" s="93"/>
      <c r="EK147" s="93"/>
      <c r="EL147" s="93"/>
      <c r="EM147" s="93"/>
      <c r="EN147" s="93"/>
      <c r="EO147" s="93"/>
      <c r="EP147" s="93"/>
      <c r="EQ147" s="93"/>
      <c r="ER147" s="93"/>
      <c r="ES147" s="93"/>
      <c r="ET147" s="93"/>
      <c r="EU147" s="93"/>
      <c r="EV147" s="93"/>
      <c r="EW147" s="93"/>
      <c r="EX147" s="93"/>
      <c r="EY147" s="93"/>
      <c r="EZ147" s="93"/>
      <c r="FA147" s="93"/>
      <c r="FB147" s="93"/>
      <c r="FC147" s="93"/>
      <c r="FD147" s="93"/>
      <c r="FE147" s="93"/>
      <c r="FF147" s="93"/>
      <c r="FG147" s="93"/>
      <c r="FH147" s="93"/>
      <c r="FI147" s="93"/>
      <c r="FJ147" s="93"/>
      <c r="FK147" s="93"/>
      <c r="FL147" s="93"/>
      <c r="FM147" s="93"/>
      <c r="FN147" s="93"/>
      <c r="FO147" s="93"/>
      <c r="FP147" s="93"/>
      <c r="FQ147" s="93"/>
      <c r="FR147" s="93"/>
      <c r="FS147" s="93"/>
      <c r="FT147" s="93"/>
      <c r="FU147" s="93"/>
      <c r="FV147" s="93"/>
      <c r="FW147" s="93"/>
      <c r="FX147" s="93"/>
      <c r="FY147" s="93"/>
      <c r="FZ147" s="93"/>
      <c r="GA147" s="93"/>
      <c r="GB147" s="93"/>
      <c r="GC147" s="93"/>
      <c r="GD147" s="93"/>
      <c r="GE147" s="93"/>
      <c r="GF147" s="93"/>
      <c r="GG147" s="93"/>
      <c r="GH147" s="93"/>
      <c r="GI147" s="93"/>
      <c r="GJ147" s="93"/>
      <c r="GK147" s="93"/>
      <c r="GL147" s="93"/>
      <c r="GM147" s="93"/>
      <c r="GN147" s="93"/>
      <c r="GO147" s="93"/>
      <c r="GP147" s="93"/>
      <c r="GQ147" s="93"/>
      <c r="GR147" s="93"/>
      <c r="GS147" s="93"/>
      <c r="GT147" s="93"/>
      <c r="GU147" s="93"/>
      <c r="GV147" s="93"/>
      <c r="GW147" s="93"/>
      <c r="GX147" s="93"/>
      <c r="GY147" s="93"/>
      <c r="GZ147" s="93"/>
      <c r="HA147" s="93"/>
      <c r="HB147" s="93"/>
      <c r="HC147" s="93"/>
      <c r="HD147" s="93"/>
      <c r="HE147" s="93"/>
      <c r="HF147" s="93"/>
      <c r="HG147" s="93"/>
      <c r="HH147" s="93"/>
      <c r="HI147" s="93"/>
      <c r="HJ147" s="93"/>
      <c r="HK147" s="93"/>
      <c r="HL147" s="93"/>
      <c r="HM147" s="93"/>
      <c r="HN147" s="93"/>
      <c r="HO147" s="93"/>
      <c r="HP147" s="93"/>
      <c r="HQ147" s="93"/>
      <c r="HR147" s="93"/>
      <c r="HS147" s="93"/>
      <c r="HT147" s="93"/>
      <c r="HU147" s="93"/>
      <c r="HV147" s="93"/>
      <c r="HW147" s="93"/>
      <c r="HX147" s="93"/>
      <c r="HY147" s="93"/>
      <c r="HZ147" s="93"/>
      <c r="IA147" s="93"/>
      <c r="IB147" s="93"/>
      <c r="IC147" s="93"/>
      <c r="ID147" s="93"/>
      <c r="IE147" s="93"/>
      <c r="IF147" s="93"/>
      <c r="IG147" s="93"/>
      <c r="IH147" s="93"/>
      <c r="II147" s="93"/>
      <c r="IJ147" s="93"/>
      <c r="IK147" s="93"/>
      <c r="IL147" s="93"/>
      <c r="IM147" s="93"/>
      <c r="IN147" s="93"/>
      <c r="IO147" s="93"/>
      <c r="IP147" s="93"/>
      <c r="IQ147" s="93"/>
      <c r="IR147" s="93"/>
      <c r="IS147" s="93"/>
      <c r="IT147" s="93"/>
      <c r="IU147" s="93"/>
      <c r="IV147" s="93"/>
      <c r="IW147" s="93"/>
      <c r="IX147" s="93"/>
      <c r="IY147" s="93"/>
    </row>
    <row r="148" spans="1:260" s="95" customFormat="1">
      <c r="A148" s="93"/>
      <c r="E148" s="867" t="s">
        <v>135</v>
      </c>
      <c r="F148" s="900" t="s">
        <v>149</v>
      </c>
      <c r="G148" s="901">
        <f>G158</f>
        <v>1182508</v>
      </c>
      <c r="H148" s="901">
        <f>H158</f>
        <v>16084</v>
      </c>
      <c r="I148" s="901">
        <f>G162</f>
        <v>1055247</v>
      </c>
      <c r="J148" s="901">
        <f>SUM(H159:H163)</f>
        <v>7706</v>
      </c>
      <c r="K148" s="904">
        <v>1.4999999999999999E-2</v>
      </c>
      <c r="L148" s="905">
        <f t="shared" si="64"/>
        <v>1.3419078385305426E-2</v>
      </c>
      <c r="M148" s="904">
        <v>0.01</v>
      </c>
      <c r="N148" s="905">
        <f>IFERROR(J148/(I148+J148),0)</f>
        <v>7.2496149876805464E-3</v>
      </c>
      <c r="O148" s="918">
        <f>IFERROR((J148+H148)/(G148+H148),0)</f>
        <v>1.9848288658692866E-2</v>
      </c>
      <c r="P148" s="160"/>
      <c r="R148" s="207"/>
      <c r="S148" s="207"/>
      <c r="T148" s="207"/>
      <c r="U148" s="207"/>
      <c r="V148" s="207"/>
      <c r="W148" s="207"/>
      <c r="X148" s="207"/>
      <c r="Y148" s="207"/>
      <c r="Z148" s="207"/>
      <c r="AA148" s="207"/>
      <c r="AB148" s="207"/>
      <c r="AC148" s="207"/>
      <c r="AD148" s="207"/>
      <c r="AE148" s="207"/>
      <c r="AF148" s="207"/>
      <c r="AG148" s="207"/>
      <c r="AH148" s="207"/>
      <c r="AI148" s="207"/>
      <c r="AJ148" s="207"/>
      <c r="AK148" s="207"/>
      <c r="AL148" s="207"/>
      <c r="AM148" s="207"/>
      <c r="AN148" s="207"/>
      <c r="AO148" s="207"/>
      <c r="AP148" s="94"/>
      <c r="AQ148" s="94"/>
      <c r="AR148" s="94"/>
      <c r="AS148" s="94"/>
      <c r="AT148" s="94"/>
      <c r="AU148" s="94"/>
      <c r="AV148" s="94"/>
      <c r="AW148" s="94"/>
      <c r="AX148" s="94"/>
      <c r="AY148" s="93"/>
      <c r="AZ148" s="93"/>
      <c r="BA148" s="93"/>
      <c r="BB148" s="93"/>
      <c r="BC148" s="93"/>
      <c r="BD148" s="93"/>
      <c r="BE148" s="93"/>
      <c r="BF148" s="93"/>
      <c r="BG148" s="93"/>
      <c r="BH148" s="93"/>
      <c r="BI148" s="93"/>
      <c r="BJ148" s="93"/>
      <c r="BK148" s="93"/>
      <c r="BL148" s="93"/>
      <c r="BM148" s="93"/>
      <c r="BN148" s="93"/>
      <c r="BO148" s="93"/>
      <c r="BP148" s="93"/>
      <c r="BQ148" s="93"/>
      <c r="BR148" s="93"/>
      <c r="BS148" s="93"/>
      <c r="BT148" s="93"/>
      <c r="BU148" s="93"/>
      <c r="BV148" s="93"/>
      <c r="BW148" s="93"/>
      <c r="BX148" s="93"/>
      <c r="BY148" s="93"/>
      <c r="BZ148" s="93"/>
      <c r="CA148" s="93"/>
      <c r="CB148" s="93"/>
      <c r="CC148" s="93"/>
      <c r="CD148" s="93"/>
      <c r="CE148" s="93"/>
      <c r="CF148" s="93"/>
      <c r="CG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93"/>
      <c r="DI148" s="93"/>
      <c r="DJ148" s="93"/>
      <c r="DK148" s="93"/>
      <c r="DL148" s="93"/>
      <c r="DM148" s="93"/>
      <c r="DN148" s="93"/>
      <c r="DO148" s="93"/>
      <c r="DP148" s="93"/>
      <c r="DQ148" s="93"/>
      <c r="DR148" s="93"/>
      <c r="DS148" s="93"/>
      <c r="DT148" s="93"/>
      <c r="DU148" s="93"/>
      <c r="DV148" s="93"/>
      <c r="DW148" s="93"/>
      <c r="DX148" s="93"/>
      <c r="DY148" s="93"/>
      <c r="DZ148" s="93"/>
      <c r="EA148" s="93"/>
      <c r="EB148" s="93"/>
      <c r="EC148" s="93"/>
      <c r="ED148" s="93"/>
      <c r="EE148" s="93"/>
      <c r="EF148" s="93"/>
      <c r="EG148" s="93"/>
      <c r="EH148" s="93"/>
      <c r="EI148" s="93"/>
      <c r="EJ148" s="93"/>
      <c r="EK148" s="93"/>
      <c r="EL148" s="93"/>
      <c r="EM148" s="93"/>
      <c r="EN148" s="93"/>
      <c r="EO148" s="93"/>
      <c r="EP148" s="93"/>
      <c r="EQ148" s="93"/>
      <c r="ER148" s="93"/>
      <c r="ES148" s="93"/>
      <c r="ET148" s="93"/>
      <c r="EU148" s="93"/>
      <c r="EV148" s="93"/>
      <c r="EW148" s="93"/>
      <c r="EX148" s="93"/>
      <c r="EY148" s="93"/>
      <c r="EZ148" s="93"/>
      <c r="FA148" s="93"/>
      <c r="FB148" s="93"/>
      <c r="FC148" s="93"/>
      <c r="FD148" s="93"/>
      <c r="FE148" s="93"/>
      <c r="FF148" s="93"/>
      <c r="FG148" s="93"/>
      <c r="FH148" s="93"/>
      <c r="FI148" s="93"/>
      <c r="FJ148" s="93"/>
      <c r="FK148" s="93"/>
      <c r="FL148" s="93"/>
      <c r="FM148" s="93"/>
      <c r="FN148" s="93"/>
      <c r="FO148" s="93"/>
      <c r="FP148" s="93"/>
      <c r="FQ148" s="93"/>
      <c r="FR148" s="93"/>
      <c r="FS148" s="93"/>
      <c r="FT148" s="93"/>
      <c r="FU148" s="93"/>
      <c r="FV148" s="93"/>
      <c r="FW148" s="93"/>
      <c r="FX148" s="93"/>
      <c r="FY148" s="93"/>
      <c r="FZ148" s="93"/>
      <c r="GA148" s="93"/>
      <c r="GB148" s="93"/>
      <c r="GC148" s="93"/>
      <c r="GD148" s="93"/>
      <c r="GE148" s="93"/>
      <c r="GF148" s="93"/>
      <c r="GG148" s="93"/>
      <c r="GH148" s="93"/>
      <c r="GI148" s="93"/>
      <c r="GJ148" s="93"/>
      <c r="GK148" s="93"/>
      <c r="GL148" s="93"/>
      <c r="GM148" s="93"/>
      <c r="GN148" s="93"/>
      <c r="GO148" s="93"/>
      <c r="GP148" s="93"/>
      <c r="GQ148" s="93"/>
      <c r="GR148" s="93"/>
      <c r="GS148" s="93"/>
      <c r="GT148" s="93"/>
      <c r="GU148" s="93"/>
      <c r="GV148" s="93"/>
      <c r="GW148" s="93"/>
      <c r="GX148" s="93"/>
      <c r="GY148" s="93"/>
      <c r="GZ148" s="93"/>
      <c r="HA148" s="93"/>
      <c r="HB148" s="93"/>
      <c r="HC148" s="93"/>
      <c r="HD148" s="93"/>
      <c r="HE148" s="93"/>
      <c r="HF148" s="93"/>
      <c r="HG148" s="93"/>
      <c r="HH148" s="93"/>
      <c r="HI148" s="93"/>
      <c r="HJ148" s="93"/>
      <c r="HK148" s="93"/>
      <c r="HL148" s="93"/>
      <c r="HM148" s="93"/>
      <c r="HN148" s="93"/>
      <c r="HO148" s="93"/>
      <c r="HP148" s="93"/>
      <c r="HQ148" s="93"/>
      <c r="HR148" s="93"/>
      <c r="HS148" s="93"/>
      <c r="HT148" s="93"/>
      <c r="HU148" s="93"/>
      <c r="HV148" s="93"/>
      <c r="HW148" s="93"/>
      <c r="HX148" s="93"/>
      <c r="HY148" s="93"/>
      <c r="HZ148" s="93"/>
      <c r="IA148" s="93"/>
      <c r="IB148" s="93"/>
      <c r="IC148" s="93"/>
      <c r="ID148" s="93"/>
      <c r="IE148" s="93"/>
      <c r="IF148" s="93"/>
      <c r="IG148" s="93"/>
      <c r="IH148" s="93"/>
      <c r="II148" s="93"/>
      <c r="IJ148" s="93"/>
      <c r="IK148" s="93"/>
      <c r="IL148" s="93"/>
      <c r="IM148" s="93"/>
      <c r="IN148" s="93"/>
      <c r="IO148" s="93"/>
      <c r="IP148" s="93"/>
      <c r="IQ148" s="93"/>
      <c r="IR148" s="93"/>
      <c r="IS148" s="93"/>
      <c r="IT148" s="93"/>
      <c r="IU148" s="93"/>
      <c r="IV148" s="93"/>
      <c r="IW148" s="93"/>
      <c r="IX148" s="93"/>
      <c r="IY148" s="93"/>
    </row>
    <row r="149" spans="1:260" s="95" customFormat="1">
      <c r="A149" s="93"/>
      <c r="E149" s="874" t="s">
        <v>1988</v>
      </c>
      <c r="F149" s="900" t="s">
        <v>2051</v>
      </c>
      <c r="G149" s="902">
        <f>G3</f>
        <v>563933</v>
      </c>
      <c r="H149" s="902">
        <f>H3</f>
        <v>1471</v>
      </c>
      <c r="I149" s="903" t="s">
        <v>2032</v>
      </c>
      <c r="J149" s="903" t="s">
        <v>2032</v>
      </c>
      <c r="K149" s="904">
        <v>0.01</v>
      </c>
      <c r="L149" s="905">
        <f t="shared" si="64"/>
        <v>2.6016795070427519E-3</v>
      </c>
      <c r="M149" s="904" t="s">
        <v>2032</v>
      </c>
      <c r="N149" s="905" t="s">
        <v>2032</v>
      </c>
      <c r="O149" s="918">
        <f>L149</f>
        <v>2.6016795070427519E-3</v>
      </c>
      <c r="R149" s="207"/>
      <c r="S149" s="207"/>
      <c r="T149" s="207"/>
      <c r="U149" s="207"/>
      <c r="V149" s="207"/>
      <c r="W149" s="207"/>
      <c r="X149" s="207"/>
      <c r="Y149" s="207"/>
      <c r="Z149" s="207"/>
      <c r="AA149" s="207"/>
      <c r="AB149" s="207"/>
      <c r="AC149" s="207"/>
      <c r="AD149" s="207"/>
      <c r="AE149" s="207"/>
      <c r="AF149" s="207"/>
      <c r="AG149" s="207"/>
      <c r="AH149" s="207"/>
      <c r="AI149" s="207"/>
      <c r="AJ149" s="207"/>
      <c r="AK149" s="207"/>
      <c r="AL149" s="207"/>
      <c r="AM149" s="207"/>
      <c r="AN149" s="207"/>
      <c r="AO149" s="207"/>
      <c r="AP149" s="94"/>
      <c r="AQ149" s="94"/>
      <c r="AR149" s="94"/>
      <c r="AS149" s="94"/>
      <c r="AT149" s="94"/>
      <c r="AU149" s="94"/>
      <c r="AV149" s="94"/>
      <c r="AW149" s="94"/>
      <c r="AX149" s="94"/>
      <c r="AY149" s="93"/>
      <c r="AZ149" s="93"/>
      <c r="BA149" s="93"/>
      <c r="BB149" s="93"/>
      <c r="BC149" s="93"/>
      <c r="BD149" s="93"/>
      <c r="BE149" s="93"/>
      <c r="BF149" s="93"/>
      <c r="BG149" s="93"/>
      <c r="BH149" s="93"/>
      <c r="BI149" s="93"/>
      <c r="BJ149" s="93"/>
      <c r="BK149" s="93"/>
      <c r="BL149" s="93"/>
      <c r="BM149" s="93"/>
      <c r="BN149" s="93"/>
      <c r="BO149" s="93"/>
      <c r="BP149" s="93"/>
      <c r="BQ149" s="93"/>
      <c r="BR149" s="93"/>
      <c r="BS149" s="93"/>
      <c r="BT149" s="93"/>
      <c r="BU149" s="93"/>
      <c r="BV149" s="93"/>
      <c r="BW149" s="93"/>
      <c r="BX149" s="93"/>
      <c r="BY149" s="93"/>
      <c r="BZ149" s="93"/>
      <c r="CA149" s="93"/>
      <c r="CB149" s="93"/>
      <c r="CC149" s="93"/>
      <c r="CD149" s="93"/>
      <c r="CE149" s="93"/>
      <c r="CF149" s="93"/>
      <c r="CG149" s="93"/>
      <c r="CH149" s="93"/>
      <c r="CI149" s="93"/>
      <c r="CJ149" s="93"/>
      <c r="CK149" s="93"/>
      <c r="CL149" s="93"/>
      <c r="CM149" s="93"/>
      <c r="CN149" s="93"/>
      <c r="CO149" s="93"/>
      <c r="CP149" s="93"/>
      <c r="CQ149" s="93"/>
      <c r="CR149" s="93"/>
      <c r="CS149" s="93"/>
      <c r="CT149" s="93"/>
      <c r="CU149" s="93"/>
      <c r="CV149" s="93"/>
      <c r="CW149" s="93"/>
      <c r="CX149" s="93"/>
      <c r="CY149" s="93"/>
      <c r="CZ149" s="93"/>
      <c r="DA149" s="93"/>
      <c r="DB149" s="93"/>
      <c r="DC149" s="93"/>
      <c r="DD149" s="93"/>
      <c r="DE149" s="93"/>
      <c r="DF149" s="93"/>
      <c r="DG149" s="93"/>
      <c r="DH149" s="93"/>
      <c r="DI149" s="93"/>
      <c r="DJ149" s="93"/>
      <c r="DK149" s="93"/>
      <c r="DL149" s="93"/>
      <c r="DM149" s="93"/>
      <c r="DN149" s="93"/>
      <c r="DO149" s="93"/>
      <c r="DP149" s="93"/>
      <c r="DQ149" s="93"/>
      <c r="DR149" s="93"/>
      <c r="DS149" s="93"/>
      <c r="DT149" s="93"/>
      <c r="DU149" s="93"/>
      <c r="DV149" s="93"/>
      <c r="DW149" s="93"/>
      <c r="DX149" s="93"/>
      <c r="DY149" s="93"/>
      <c r="DZ149" s="93"/>
      <c r="EA149" s="93"/>
      <c r="EB149" s="93"/>
      <c r="EC149" s="93"/>
      <c r="ED149" s="93"/>
      <c r="EE149" s="93"/>
      <c r="EF149" s="93"/>
      <c r="EG149" s="93"/>
      <c r="EH149" s="93"/>
      <c r="EI149" s="93"/>
      <c r="EJ149" s="93"/>
      <c r="EK149" s="93"/>
      <c r="EL149" s="93"/>
      <c r="EM149" s="93"/>
      <c r="EN149" s="93"/>
      <c r="EO149" s="93"/>
      <c r="EP149" s="93"/>
      <c r="EQ149" s="93"/>
      <c r="ER149" s="93"/>
      <c r="ES149" s="93"/>
      <c r="ET149" s="93"/>
      <c r="EU149" s="93"/>
      <c r="EV149" s="93"/>
      <c r="EW149" s="93"/>
      <c r="EX149" s="93"/>
      <c r="EY149" s="93"/>
      <c r="EZ149" s="93"/>
      <c r="FA149" s="93"/>
      <c r="FB149" s="93"/>
      <c r="FC149" s="93"/>
      <c r="FD149" s="93"/>
      <c r="FE149" s="93"/>
      <c r="FF149" s="93"/>
      <c r="FG149" s="93"/>
      <c r="FH149" s="93"/>
      <c r="FI149" s="93"/>
      <c r="FJ149" s="93"/>
      <c r="FK149" s="93"/>
      <c r="FL149" s="93"/>
      <c r="FM149" s="93"/>
      <c r="FN149" s="93"/>
      <c r="FO149" s="93"/>
      <c r="FP149" s="93"/>
      <c r="FQ149" s="93"/>
      <c r="FR149" s="93"/>
      <c r="FS149" s="93"/>
      <c r="FT149" s="93"/>
      <c r="FU149" s="93"/>
      <c r="FV149" s="93"/>
      <c r="FW149" s="93"/>
      <c r="FX149" s="93"/>
      <c r="FY149" s="93"/>
      <c r="FZ149" s="93"/>
      <c r="GA149" s="93"/>
      <c r="GB149" s="93"/>
      <c r="GC149" s="93"/>
      <c r="GD149" s="93"/>
      <c r="GE149" s="93"/>
      <c r="GF149" s="93"/>
      <c r="GG149" s="93"/>
      <c r="GH149" s="93"/>
      <c r="GI149" s="93"/>
      <c r="GJ149" s="93"/>
      <c r="GK149" s="93"/>
      <c r="GL149" s="93"/>
      <c r="GM149" s="93"/>
      <c r="GN149" s="93"/>
      <c r="GO149" s="93"/>
      <c r="GP149" s="93"/>
      <c r="GQ149" s="93"/>
      <c r="GR149" s="93"/>
      <c r="GS149" s="93"/>
      <c r="GT149" s="93"/>
      <c r="GU149" s="93"/>
      <c r="GV149" s="93"/>
      <c r="GW149" s="93"/>
      <c r="GX149" s="93"/>
      <c r="GY149" s="93"/>
      <c r="GZ149" s="93"/>
      <c r="HA149" s="93"/>
      <c r="HB149" s="93"/>
      <c r="HC149" s="93"/>
      <c r="HD149" s="93"/>
      <c r="HE149" s="93"/>
      <c r="HF149" s="93"/>
      <c r="HG149" s="93"/>
      <c r="HH149" s="93"/>
      <c r="HI149" s="93"/>
      <c r="HJ149" s="93"/>
      <c r="HK149" s="93"/>
      <c r="HL149" s="93"/>
      <c r="HM149" s="93"/>
      <c r="HN149" s="93"/>
      <c r="HO149" s="93"/>
      <c r="HP149" s="93"/>
      <c r="HQ149" s="93"/>
      <c r="HR149" s="93"/>
      <c r="HS149" s="93"/>
      <c r="HT149" s="93"/>
      <c r="HU149" s="93"/>
      <c r="HV149" s="93"/>
      <c r="HW149" s="93"/>
      <c r="HX149" s="93"/>
      <c r="HY149" s="93"/>
      <c r="HZ149" s="93"/>
      <c r="IA149" s="93"/>
      <c r="IB149" s="93"/>
      <c r="IC149" s="93"/>
      <c r="ID149" s="93"/>
      <c r="IE149" s="93"/>
      <c r="IF149" s="93"/>
      <c r="IG149" s="93"/>
      <c r="IH149" s="93"/>
      <c r="II149" s="93"/>
      <c r="IJ149" s="93"/>
      <c r="IK149" s="93"/>
      <c r="IL149" s="93"/>
      <c r="IM149" s="93"/>
      <c r="IN149" s="93"/>
      <c r="IO149" s="93"/>
      <c r="IP149" s="93"/>
      <c r="IQ149" s="93"/>
      <c r="IR149" s="93"/>
      <c r="IS149" s="93"/>
      <c r="IT149" s="93"/>
      <c r="IU149" s="93"/>
      <c r="IV149" s="93"/>
      <c r="IW149" s="93"/>
      <c r="IX149" s="93"/>
      <c r="IY149" s="93"/>
    </row>
    <row r="150" spans="1:260" s="95" customFormat="1">
      <c r="A150" s="93"/>
      <c r="E150" s="874" t="s">
        <v>2146</v>
      </c>
      <c r="F150" s="900" t="s">
        <v>2147</v>
      </c>
      <c r="G150" s="902">
        <f>G11</f>
        <v>488403</v>
      </c>
      <c r="H150" s="902">
        <f>H11</f>
        <v>526</v>
      </c>
      <c r="I150" s="903" t="s">
        <v>2032</v>
      </c>
      <c r="J150" s="903" t="s">
        <v>2032</v>
      </c>
      <c r="K150" s="904">
        <v>0.01</v>
      </c>
      <c r="L150" s="905">
        <f t="shared" si="64"/>
        <v>1.0758208247005189E-3</v>
      </c>
      <c r="M150" s="904" t="s">
        <v>2032</v>
      </c>
      <c r="N150" s="905" t="s">
        <v>2032</v>
      </c>
      <c r="O150" s="918">
        <f>L150</f>
        <v>1.0758208247005189E-3</v>
      </c>
      <c r="R150" s="207"/>
      <c r="S150" s="207"/>
      <c r="T150" s="207"/>
      <c r="U150" s="207"/>
      <c r="V150" s="207"/>
      <c r="W150" s="207"/>
      <c r="X150" s="207"/>
      <c r="Y150" s="207"/>
      <c r="Z150" s="207"/>
      <c r="AA150" s="207"/>
      <c r="AB150" s="207"/>
      <c r="AC150" s="207"/>
      <c r="AD150" s="207"/>
      <c r="AE150" s="207"/>
      <c r="AF150" s="207"/>
      <c r="AG150" s="207"/>
      <c r="AH150" s="207"/>
      <c r="AI150" s="207"/>
      <c r="AJ150" s="207"/>
      <c r="AK150" s="207"/>
      <c r="AL150" s="207"/>
      <c r="AM150" s="207"/>
      <c r="AN150" s="207"/>
      <c r="AO150" s="207"/>
      <c r="AP150" s="94"/>
      <c r="AQ150" s="94"/>
      <c r="AR150" s="94"/>
      <c r="AS150" s="94"/>
      <c r="AT150" s="94"/>
      <c r="AU150" s="94"/>
      <c r="AV150" s="94"/>
      <c r="AW150" s="94"/>
      <c r="AX150" s="94"/>
      <c r="AY150" s="93"/>
      <c r="AZ150" s="93"/>
      <c r="BA150" s="93"/>
      <c r="BB150" s="93"/>
      <c r="BC150" s="93"/>
      <c r="BD150" s="93"/>
      <c r="BE150" s="93"/>
      <c r="BF150" s="93"/>
      <c r="BG150" s="93"/>
      <c r="BH150" s="93"/>
      <c r="BI150" s="93"/>
      <c r="BJ150" s="93"/>
      <c r="BK150" s="93"/>
      <c r="BL150" s="93"/>
      <c r="BM150" s="93"/>
      <c r="BN150" s="93"/>
      <c r="BO150" s="93"/>
      <c r="BP150" s="93"/>
      <c r="BQ150" s="93"/>
      <c r="BR150" s="93"/>
      <c r="BS150" s="93"/>
      <c r="BT150" s="93"/>
      <c r="BU150" s="93"/>
      <c r="BV150" s="93"/>
      <c r="BW150" s="93"/>
      <c r="BX150" s="93"/>
      <c r="BY150" s="93"/>
      <c r="BZ150" s="93"/>
      <c r="CA150" s="93"/>
      <c r="CB150" s="93"/>
      <c r="CC150" s="93"/>
      <c r="CD150" s="93"/>
      <c r="CE150" s="93"/>
      <c r="CF150" s="93"/>
      <c r="CG150" s="93"/>
      <c r="CH150" s="93"/>
      <c r="CI150" s="93"/>
      <c r="CJ150" s="93"/>
      <c r="CK150" s="93"/>
      <c r="CL150" s="93"/>
      <c r="CM150" s="93"/>
      <c r="CN150" s="93"/>
      <c r="CO150" s="93"/>
      <c r="CP150" s="93"/>
      <c r="CQ150" s="93"/>
      <c r="CR150" s="93"/>
      <c r="CS150" s="93"/>
      <c r="CT150" s="93"/>
      <c r="CU150" s="93"/>
      <c r="CV150" s="93"/>
      <c r="CW150" s="93"/>
      <c r="CX150" s="93"/>
      <c r="CY150" s="93"/>
      <c r="CZ150" s="93"/>
      <c r="DA150" s="93"/>
      <c r="DB150" s="93"/>
      <c r="DC150" s="93"/>
      <c r="DD150" s="93"/>
      <c r="DE150" s="93"/>
      <c r="DF150" s="93"/>
      <c r="DG150" s="93"/>
      <c r="DH150" s="93"/>
      <c r="DI150" s="93"/>
      <c r="DJ150" s="93"/>
      <c r="DK150" s="93"/>
      <c r="DL150" s="93"/>
      <c r="DM150" s="93"/>
      <c r="DN150" s="93"/>
      <c r="DO150" s="93"/>
      <c r="DP150" s="93"/>
      <c r="DQ150" s="93"/>
      <c r="DR150" s="93"/>
      <c r="DS150" s="93"/>
      <c r="DT150" s="93"/>
      <c r="DU150" s="93"/>
      <c r="DV150" s="93"/>
      <c r="DW150" s="93"/>
      <c r="DX150" s="93"/>
      <c r="DY150" s="93"/>
      <c r="DZ150" s="93"/>
      <c r="EA150" s="93"/>
      <c r="EB150" s="93"/>
      <c r="EC150" s="93"/>
      <c r="ED150" s="93"/>
      <c r="EE150" s="93"/>
      <c r="EF150" s="93"/>
      <c r="EG150" s="93"/>
      <c r="EH150" s="93"/>
      <c r="EI150" s="93"/>
      <c r="EJ150" s="93"/>
      <c r="EK150" s="93"/>
      <c r="EL150" s="93"/>
      <c r="EM150" s="93"/>
      <c r="EN150" s="93"/>
      <c r="EO150" s="93"/>
      <c r="EP150" s="93"/>
      <c r="EQ150" s="93"/>
      <c r="ER150" s="93"/>
      <c r="ES150" s="93"/>
      <c r="ET150" s="93"/>
      <c r="EU150" s="93"/>
      <c r="EV150" s="93"/>
      <c r="EW150" s="93"/>
      <c r="EX150" s="93"/>
      <c r="EY150" s="93"/>
      <c r="EZ150" s="93"/>
      <c r="FA150" s="93"/>
      <c r="FB150" s="93"/>
      <c r="FC150" s="93"/>
      <c r="FD150" s="93"/>
      <c r="FE150" s="93"/>
      <c r="FF150" s="93"/>
      <c r="FG150" s="93"/>
      <c r="FH150" s="93"/>
      <c r="FI150" s="93"/>
      <c r="FJ150" s="93"/>
      <c r="FK150" s="93"/>
      <c r="FL150" s="93"/>
      <c r="FM150" s="93"/>
      <c r="FN150" s="93"/>
      <c r="FO150" s="93"/>
      <c r="FP150" s="93"/>
      <c r="FQ150" s="93"/>
      <c r="FR150" s="93"/>
      <c r="FS150" s="93"/>
      <c r="FT150" s="93"/>
      <c r="FU150" s="93"/>
      <c r="FV150" s="93"/>
      <c r="FW150" s="93"/>
      <c r="FX150" s="93"/>
      <c r="FY150" s="93"/>
      <c r="FZ150" s="93"/>
      <c r="GA150" s="93"/>
      <c r="GB150" s="93"/>
      <c r="GC150" s="93"/>
      <c r="GD150" s="93"/>
      <c r="GE150" s="93"/>
      <c r="GF150" s="93"/>
      <c r="GG150" s="93"/>
      <c r="GH150" s="93"/>
      <c r="GI150" s="93"/>
      <c r="GJ150" s="93"/>
      <c r="GK150" s="93"/>
      <c r="GL150" s="93"/>
      <c r="GM150" s="93"/>
      <c r="GN150" s="93"/>
      <c r="GO150" s="93"/>
      <c r="GP150" s="93"/>
      <c r="GQ150" s="93"/>
      <c r="GR150" s="93"/>
      <c r="GS150" s="93"/>
      <c r="GT150" s="93"/>
      <c r="GU150" s="93"/>
      <c r="GV150" s="93"/>
      <c r="GW150" s="93"/>
      <c r="GX150" s="93"/>
      <c r="GY150" s="93"/>
      <c r="GZ150" s="93"/>
      <c r="HA150" s="93"/>
      <c r="HB150" s="93"/>
      <c r="HC150" s="93"/>
      <c r="HD150" s="93"/>
      <c r="HE150" s="93"/>
      <c r="HF150" s="93"/>
      <c r="HG150" s="93"/>
      <c r="HH150" s="93"/>
      <c r="HI150" s="93"/>
      <c r="HJ150" s="93"/>
      <c r="HK150" s="93"/>
      <c r="HL150" s="93"/>
      <c r="HM150" s="93"/>
      <c r="HN150" s="93"/>
      <c r="HO150" s="93"/>
      <c r="HP150" s="93"/>
      <c r="HQ150" s="93"/>
      <c r="HR150" s="93"/>
      <c r="HS150" s="93"/>
      <c r="HT150" s="93"/>
      <c r="HU150" s="93"/>
      <c r="HV150" s="93"/>
      <c r="HW150" s="93"/>
      <c r="HX150" s="93"/>
      <c r="HY150" s="93"/>
      <c r="HZ150" s="93"/>
      <c r="IA150" s="93"/>
      <c r="IB150" s="93"/>
      <c r="IC150" s="93"/>
      <c r="ID150" s="93"/>
      <c r="IE150" s="93"/>
      <c r="IF150" s="93"/>
      <c r="IG150" s="93"/>
      <c r="IH150" s="93"/>
      <c r="II150" s="93"/>
      <c r="IJ150" s="93"/>
      <c r="IK150" s="93"/>
      <c r="IL150" s="93"/>
      <c r="IM150" s="93"/>
      <c r="IN150" s="93"/>
      <c r="IO150" s="93"/>
      <c r="IP150" s="93"/>
      <c r="IQ150" s="93"/>
      <c r="IR150" s="93"/>
      <c r="IS150" s="93"/>
      <c r="IT150" s="93"/>
      <c r="IU150" s="93"/>
      <c r="IV150" s="93"/>
      <c r="IW150" s="93"/>
      <c r="IX150" s="93"/>
      <c r="IY150" s="93"/>
    </row>
    <row r="151" spans="1:260" s="95" customFormat="1">
      <c r="A151" s="93"/>
      <c r="P151" s="227"/>
      <c r="S151" s="207"/>
      <c r="T151" s="207"/>
      <c r="U151" s="207"/>
      <c r="V151" s="207"/>
      <c r="W151" s="207"/>
      <c r="X151" s="207"/>
      <c r="Y151" s="207"/>
      <c r="Z151" s="207"/>
      <c r="AA151" s="207"/>
      <c r="AB151" s="207"/>
      <c r="AC151" s="207"/>
      <c r="AD151" s="207"/>
      <c r="AE151" s="207"/>
      <c r="AF151" s="207"/>
      <c r="AG151" s="207"/>
      <c r="AH151" s="207"/>
      <c r="AI151" s="207"/>
      <c r="AJ151" s="207"/>
      <c r="AK151" s="207"/>
      <c r="AL151" s="207"/>
      <c r="AM151" s="207"/>
      <c r="AN151" s="207"/>
      <c r="AO151" s="207"/>
      <c r="AP151" s="207"/>
      <c r="AQ151" s="94"/>
      <c r="AR151" s="94"/>
      <c r="AS151" s="94"/>
      <c r="AT151" s="94"/>
      <c r="AU151" s="94"/>
      <c r="AV151" s="94"/>
      <c r="AW151" s="94"/>
      <c r="AX151" s="94"/>
      <c r="AY151" s="94"/>
      <c r="AZ151" s="93"/>
      <c r="BA151" s="93"/>
      <c r="BB151" s="93"/>
      <c r="BC151" s="93"/>
      <c r="BD151" s="93"/>
      <c r="BE151" s="93"/>
      <c r="BF151" s="93"/>
      <c r="BG151" s="93"/>
      <c r="BH151" s="93"/>
      <c r="BI151" s="93"/>
      <c r="BJ151" s="93"/>
      <c r="BK151" s="93"/>
      <c r="BL151" s="93"/>
      <c r="BM151" s="93"/>
      <c r="BN151" s="93"/>
      <c r="BO151" s="93"/>
      <c r="BP151" s="93"/>
      <c r="BQ151" s="93"/>
      <c r="BR151" s="93"/>
      <c r="BS151" s="93"/>
      <c r="BT151" s="93"/>
      <c r="BU151" s="93"/>
      <c r="BV151" s="93"/>
      <c r="BW151" s="93"/>
      <c r="BX151" s="93"/>
      <c r="BY151" s="93"/>
      <c r="BZ151" s="93"/>
      <c r="CA151" s="93"/>
      <c r="CB151" s="93"/>
      <c r="CC151" s="93"/>
      <c r="CD151" s="93"/>
      <c r="CE151" s="93"/>
      <c r="CF151" s="93"/>
      <c r="CG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93"/>
      <c r="DI151" s="93"/>
      <c r="DJ151" s="93"/>
      <c r="DK151" s="93"/>
      <c r="DL151" s="93"/>
      <c r="DM151" s="93"/>
      <c r="DN151" s="93"/>
      <c r="DO151" s="93"/>
      <c r="DP151" s="93"/>
      <c r="DQ151" s="93"/>
      <c r="DR151" s="93"/>
      <c r="DS151" s="93"/>
      <c r="DT151" s="93"/>
      <c r="DU151" s="93"/>
      <c r="DV151" s="93"/>
      <c r="DW151" s="93"/>
      <c r="DX151" s="93"/>
      <c r="DY151" s="93"/>
      <c r="DZ151" s="93"/>
      <c r="EA151" s="93"/>
      <c r="EB151" s="93"/>
      <c r="EC151" s="93"/>
      <c r="ED151" s="93"/>
      <c r="EE151" s="93"/>
      <c r="EF151" s="93"/>
      <c r="EG151" s="93"/>
      <c r="EH151" s="93"/>
      <c r="EI151" s="93"/>
      <c r="EJ151" s="93"/>
      <c r="EK151" s="93"/>
      <c r="EL151" s="93"/>
      <c r="EM151" s="93"/>
      <c r="EN151" s="93"/>
      <c r="EO151" s="93"/>
      <c r="EP151" s="93"/>
      <c r="EQ151" s="93"/>
      <c r="ER151" s="93"/>
      <c r="ES151" s="93"/>
      <c r="ET151" s="93"/>
      <c r="EU151" s="93"/>
      <c r="EV151" s="93"/>
      <c r="EW151" s="93"/>
      <c r="EX151" s="93"/>
      <c r="EY151" s="93"/>
      <c r="EZ151" s="93"/>
      <c r="FA151" s="93"/>
      <c r="FB151" s="93"/>
      <c r="FC151" s="93"/>
      <c r="FD151" s="93"/>
      <c r="FE151" s="93"/>
      <c r="FF151" s="93"/>
      <c r="FG151" s="93"/>
      <c r="FH151" s="93"/>
      <c r="FI151" s="93"/>
      <c r="FJ151" s="93"/>
      <c r="FK151" s="93"/>
      <c r="FL151" s="93"/>
      <c r="FM151" s="93"/>
      <c r="FN151" s="93"/>
      <c r="FO151" s="93"/>
      <c r="FP151" s="93"/>
      <c r="FQ151" s="93"/>
      <c r="FR151" s="93"/>
      <c r="FS151" s="93"/>
      <c r="FT151" s="93"/>
      <c r="FU151" s="93"/>
      <c r="FV151" s="93"/>
      <c r="FW151" s="93"/>
      <c r="FX151" s="93"/>
      <c r="FY151" s="93"/>
      <c r="FZ151" s="93"/>
      <c r="GA151" s="93"/>
      <c r="GB151" s="93"/>
      <c r="GC151" s="93"/>
      <c r="GD151" s="93"/>
      <c r="GE151" s="93"/>
      <c r="GF151" s="93"/>
      <c r="GG151" s="93"/>
      <c r="GH151" s="93"/>
      <c r="GI151" s="93"/>
      <c r="GJ151" s="93"/>
      <c r="GK151" s="93"/>
      <c r="GL151" s="93"/>
      <c r="GM151" s="93"/>
      <c r="GN151" s="93"/>
      <c r="GO151" s="93"/>
      <c r="GP151" s="93"/>
      <c r="GQ151" s="93"/>
      <c r="GR151" s="93"/>
      <c r="GS151" s="93"/>
      <c r="GT151" s="93"/>
      <c r="GU151" s="93"/>
      <c r="GV151" s="93"/>
      <c r="GW151" s="93"/>
      <c r="GX151" s="93"/>
      <c r="GY151" s="93"/>
      <c r="GZ151" s="93"/>
      <c r="HA151" s="93"/>
      <c r="HB151" s="93"/>
      <c r="HC151" s="93"/>
      <c r="HD151" s="93"/>
      <c r="HE151" s="93"/>
      <c r="HF151" s="93"/>
      <c r="HG151" s="93"/>
      <c r="HH151" s="93"/>
      <c r="HI151" s="93"/>
      <c r="HJ151" s="93"/>
      <c r="HK151" s="93"/>
      <c r="HL151" s="93"/>
      <c r="HM151" s="93"/>
      <c r="HN151" s="93"/>
      <c r="HO151" s="93"/>
      <c r="HP151" s="93"/>
      <c r="HQ151" s="93"/>
      <c r="HR151" s="93"/>
      <c r="HS151" s="93"/>
      <c r="HT151" s="93"/>
      <c r="HU151" s="93"/>
      <c r="HV151" s="93"/>
      <c r="HW151" s="93"/>
      <c r="HX151" s="93"/>
      <c r="HY151" s="93"/>
      <c r="HZ151" s="93"/>
      <c r="IA151" s="93"/>
      <c r="IB151" s="93"/>
      <c r="IC151" s="93"/>
      <c r="ID151" s="93"/>
      <c r="IE151" s="93"/>
      <c r="IF151" s="93"/>
      <c r="IG151" s="93"/>
      <c r="IH151" s="93"/>
      <c r="II151" s="93"/>
      <c r="IJ151" s="93"/>
      <c r="IK151" s="93"/>
      <c r="IL151" s="93"/>
      <c r="IM151" s="93"/>
      <c r="IN151" s="93"/>
      <c r="IO151" s="93"/>
      <c r="IP151" s="93"/>
      <c r="IQ151" s="93"/>
      <c r="IR151" s="93"/>
      <c r="IS151" s="93"/>
      <c r="IT151" s="93"/>
      <c r="IU151" s="93"/>
      <c r="IV151" s="93"/>
      <c r="IW151" s="93"/>
      <c r="IX151" s="93"/>
      <c r="IY151" s="93"/>
      <c r="IZ151" s="93"/>
    </row>
    <row r="152" spans="1:260" s="95" customFormat="1" ht="15" thickBot="1">
      <c r="A152" s="93"/>
      <c r="P152" s="227"/>
      <c r="S152" s="207"/>
      <c r="T152" s="207"/>
      <c r="U152" s="207"/>
      <c r="V152" s="207"/>
      <c r="W152" s="207"/>
      <c r="X152" s="207"/>
      <c r="Y152" s="207"/>
      <c r="Z152" s="207"/>
      <c r="AA152" s="207"/>
      <c r="AB152" s="207"/>
      <c r="AC152" s="207"/>
      <c r="AD152" s="207"/>
      <c r="AE152" s="207"/>
      <c r="AF152" s="207"/>
      <c r="AG152" s="207"/>
      <c r="AH152" s="207"/>
      <c r="AI152" s="207"/>
      <c r="AJ152" s="207"/>
      <c r="AK152" s="207"/>
      <c r="AL152" s="207"/>
      <c r="AM152" s="207"/>
      <c r="AN152" s="207"/>
      <c r="AO152" s="207"/>
      <c r="AP152" s="207"/>
      <c r="AQ152" s="94"/>
      <c r="AR152" s="94"/>
      <c r="AS152" s="94"/>
      <c r="AT152" s="94"/>
      <c r="AU152" s="94"/>
      <c r="AV152" s="94"/>
      <c r="AW152" s="94"/>
      <c r="AX152" s="94"/>
      <c r="AY152" s="94"/>
      <c r="AZ152" s="93"/>
      <c r="BA152" s="93"/>
      <c r="BB152" s="93"/>
      <c r="BC152" s="93"/>
      <c r="BD152" s="93"/>
      <c r="BE152" s="93"/>
      <c r="BF152" s="93"/>
      <c r="BG152" s="93"/>
      <c r="BH152" s="93"/>
      <c r="BI152" s="93"/>
      <c r="BJ152" s="93"/>
      <c r="BK152" s="93"/>
      <c r="BL152" s="93"/>
      <c r="BM152" s="93"/>
      <c r="BN152" s="93"/>
      <c r="BO152" s="93"/>
      <c r="BP152" s="93"/>
      <c r="BQ152" s="93"/>
      <c r="BR152" s="93"/>
      <c r="BS152" s="93"/>
      <c r="BT152" s="93"/>
      <c r="BU152" s="93"/>
      <c r="BV152" s="93"/>
      <c r="BW152" s="93"/>
      <c r="BX152" s="93"/>
      <c r="BY152" s="93"/>
      <c r="BZ152" s="93"/>
      <c r="CA152" s="93"/>
      <c r="CB152" s="93"/>
      <c r="CC152" s="93"/>
      <c r="CD152" s="93"/>
      <c r="CE152" s="93"/>
      <c r="CF152" s="93"/>
      <c r="CG152" s="93"/>
      <c r="CH152" s="93"/>
      <c r="CI152" s="93"/>
      <c r="CJ152" s="93"/>
      <c r="CK152" s="93"/>
      <c r="CL152" s="93"/>
      <c r="CM152" s="93"/>
      <c r="CN152" s="93"/>
      <c r="CO152" s="93"/>
      <c r="CP152" s="93"/>
      <c r="CQ152" s="93"/>
      <c r="CR152" s="93"/>
      <c r="CS152" s="93"/>
      <c r="CT152" s="93"/>
      <c r="CU152" s="93"/>
      <c r="CV152" s="93"/>
      <c r="CW152" s="93"/>
      <c r="CX152" s="93"/>
      <c r="CY152" s="93"/>
      <c r="CZ152" s="93"/>
      <c r="DA152" s="93"/>
      <c r="DB152" s="93"/>
      <c r="DC152" s="93"/>
      <c r="DD152" s="93"/>
      <c r="DE152" s="93"/>
      <c r="DF152" s="93"/>
      <c r="DG152" s="93"/>
      <c r="DH152" s="93"/>
      <c r="DI152" s="93"/>
      <c r="DJ152" s="93"/>
      <c r="DK152" s="93"/>
      <c r="DL152" s="93"/>
      <c r="DM152" s="93"/>
      <c r="DN152" s="93"/>
      <c r="DO152" s="93"/>
      <c r="DP152" s="93"/>
      <c r="DQ152" s="93"/>
      <c r="DR152" s="93"/>
      <c r="DS152" s="93"/>
      <c r="DT152" s="93"/>
      <c r="DU152" s="93"/>
      <c r="DV152" s="93"/>
      <c r="DW152" s="93"/>
      <c r="DX152" s="93"/>
      <c r="DY152" s="93"/>
      <c r="DZ152" s="93"/>
      <c r="EA152" s="93"/>
      <c r="EB152" s="93"/>
      <c r="EC152" s="93"/>
      <c r="ED152" s="93"/>
      <c r="EE152" s="93"/>
      <c r="EF152" s="93"/>
      <c r="EG152" s="93"/>
      <c r="EH152" s="93"/>
      <c r="EI152" s="93"/>
      <c r="EJ152" s="93"/>
      <c r="EK152" s="93"/>
      <c r="EL152" s="93"/>
      <c r="EM152" s="93"/>
      <c r="EN152" s="93"/>
      <c r="EO152" s="93"/>
      <c r="EP152" s="93"/>
      <c r="EQ152" s="93"/>
      <c r="ER152" s="93"/>
      <c r="ES152" s="93"/>
      <c r="ET152" s="93"/>
      <c r="EU152" s="93"/>
      <c r="EV152" s="93"/>
      <c r="EW152" s="93"/>
      <c r="EX152" s="93"/>
      <c r="EY152" s="93"/>
      <c r="EZ152" s="93"/>
      <c r="FA152" s="93"/>
      <c r="FB152" s="93"/>
      <c r="FC152" s="93"/>
      <c r="FD152" s="93"/>
      <c r="FE152" s="93"/>
      <c r="FF152" s="93"/>
      <c r="FG152" s="93"/>
      <c r="FH152" s="93"/>
      <c r="FI152" s="93"/>
      <c r="FJ152" s="93"/>
      <c r="FK152" s="93"/>
      <c r="FL152" s="93"/>
      <c r="FM152" s="93"/>
      <c r="FN152" s="93"/>
      <c r="FO152" s="93"/>
      <c r="FP152" s="93"/>
      <c r="FQ152" s="93"/>
      <c r="FR152" s="93"/>
      <c r="FS152" s="93"/>
      <c r="FT152" s="93"/>
      <c r="FU152" s="93"/>
      <c r="FV152" s="93"/>
      <c r="FW152" s="93"/>
      <c r="FX152" s="93"/>
      <c r="FY152" s="93"/>
      <c r="FZ152" s="93"/>
      <c r="GA152" s="93"/>
      <c r="GB152" s="93"/>
      <c r="GC152" s="93"/>
      <c r="GD152" s="93"/>
      <c r="GE152" s="93"/>
      <c r="GF152" s="93"/>
      <c r="GG152" s="93"/>
      <c r="GH152" s="93"/>
      <c r="GI152" s="93"/>
      <c r="GJ152" s="93"/>
      <c r="GK152" s="93"/>
      <c r="GL152" s="93"/>
      <c r="GM152" s="93"/>
      <c r="GN152" s="93"/>
      <c r="GO152" s="93"/>
      <c r="GP152" s="93"/>
      <c r="GQ152" s="93"/>
      <c r="GR152" s="93"/>
      <c r="GS152" s="93"/>
      <c r="GT152" s="93"/>
      <c r="GU152" s="93"/>
      <c r="GV152" s="93"/>
      <c r="GW152" s="93"/>
      <c r="GX152" s="93"/>
      <c r="GY152" s="93"/>
      <c r="GZ152" s="93"/>
      <c r="HA152" s="93"/>
      <c r="HB152" s="93"/>
      <c r="HC152" s="93"/>
      <c r="HD152" s="93"/>
      <c r="HE152" s="93"/>
      <c r="HF152" s="93"/>
      <c r="HG152" s="93"/>
      <c r="HH152" s="93"/>
      <c r="HI152" s="93"/>
      <c r="HJ152" s="93"/>
      <c r="HK152" s="93"/>
      <c r="HL152" s="93"/>
      <c r="HM152" s="93"/>
      <c r="HN152" s="93"/>
      <c r="HO152" s="93"/>
      <c r="HP152" s="93"/>
      <c r="HQ152" s="93"/>
      <c r="HR152" s="93"/>
      <c r="HS152" s="93"/>
      <c r="HT152" s="93"/>
      <c r="HU152" s="93"/>
      <c r="HV152" s="93"/>
      <c r="HW152" s="93"/>
      <c r="HX152" s="93"/>
      <c r="HY152" s="93"/>
      <c r="HZ152" s="93"/>
      <c r="IA152" s="93"/>
      <c r="IB152" s="93"/>
      <c r="IC152" s="93"/>
      <c r="ID152" s="93"/>
      <c r="IE152" s="93"/>
      <c r="IF152" s="93"/>
      <c r="IG152" s="93"/>
      <c r="IH152" s="93"/>
      <c r="II152" s="93"/>
      <c r="IJ152" s="93"/>
      <c r="IK152" s="93"/>
      <c r="IL152" s="93"/>
      <c r="IM152" s="93"/>
      <c r="IN152" s="93"/>
      <c r="IO152" s="93"/>
      <c r="IP152" s="93"/>
      <c r="IQ152" s="93"/>
      <c r="IR152" s="93"/>
      <c r="IS152" s="93"/>
      <c r="IT152" s="93"/>
      <c r="IU152" s="93"/>
      <c r="IV152" s="93"/>
      <c r="IW152" s="93"/>
      <c r="IX152" s="93"/>
      <c r="IY152" s="93"/>
      <c r="IZ152" s="93"/>
    </row>
    <row r="153" spans="1:260" s="95" customFormat="1" ht="30" customHeight="1" thickBot="1">
      <c r="A153" s="93"/>
      <c r="E153" s="653" t="s">
        <v>200</v>
      </c>
      <c r="F153" s="650" t="s">
        <v>148</v>
      </c>
      <c r="G153" s="643" t="s">
        <v>192</v>
      </c>
      <c r="H153" s="165" t="s">
        <v>193</v>
      </c>
      <c r="I153" s="639" t="s">
        <v>201</v>
      </c>
      <c r="J153" s="907" t="s">
        <v>2804</v>
      </c>
      <c r="K153" s="907" t="s">
        <v>167</v>
      </c>
      <c r="L153" s="906" t="s">
        <v>2802</v>
      </c>
      <c r="P153" s="227"/>
      <c r="S153" s="207"/>
      <c r="T153" s="207"/>
      <c r="U153" s="207"/>
      <c r="V153" s="207"/>
      <c r="W153" s="207"/>
      <c r="X153" s="207"/>
      <c r="Y153" s="207"/>
      <c r="Z153" s="207"/>
      <c r="AA153" s="207"/>
      <c r="AB153" s="207"/>
      <c r="AC153" s="207"/>
      <c r="AD153" s="207"/>
      <c r="AE153" s="207"/>
      <c r="AF153" s="207"/>
      <c r="AG153" s="207"/>
      <c r="AH153" s="207"/>
      <c r="AI153" s="207"/>
      <c r="AJ153" s="207"/>
      <c r="AK153" s="207"/>
      <c r="AL153" s="207"/>
      <c r="AM153" s="207"/>
      <c r="AN153" s="207"/>
      <c r="AO153" s="207"/>
      <c r="AP153" s="207"/>
      <c r="AQ153" s="94"/>
      <c r="AR153" s="94"/>
      <c r="AS153" s="94"/>
      <c r="AT153" s="94"/>
      <c r="AU153" s="94"/>
      <c r="AV153" s="94"/>
      <c r="AW153" s="94"/>
      <c r="AX153" s="94"/>
      <c r="AY153" s="94"/>
      <c r="AZ153" s="93"/>
      <c r="BA153" s="93"/>
      <c r="BB153" s="93"/>
      <c r="BC153" s="93"/>
      <c r="BD153" s="93"/>
      <c r="BE153" s="93"/>
      <c r="BF153" s="93"/>
      <c r="BG153" s="93"/>
      <c r="BH153" s="93"/>
      <c r="BI153" s="93"/>
      <c r="BJ153" s="93"/>
      <c r="BK153" s="93"/>
      <c r="BL153" s="93"/>
      <c r="BM153" s="93"/>
      <c r="BN153" s="93"/>
      <c r="BO153" s="93"/>
      <c r="BP153" s="93"/>
      <c r="BQ153" s="93"/>
      <c r="BR153" s="93"/>
      <c r="BS153" s="93"/>
      <c r="BT153" s="93"/>
      <c r="BU153" s="93"/>
      <c r="BV153" s="93"/>
      <c r="BW153" s="93"/>
      <c r="BX153" s="93"/>
      <c r="BY153" s="93"/>
      <c r="BZ153" s="93"/>
      <c r="CA153" s="93"/>
      <c r="CB153" s="93"/>
      <c r="CC153" s="93"/>
      <c r="CD153" s="93"/>
      <c r="CE153" s="93"/>
      <c r="CF153" s="93"/>
      <c r="CG153" s="93"/>
      <c r="CH153" s="93"/>
      <c r="CI153" s="93"/>
      <c r="CJ153" s="93"/>
      <c r="CK153" s="93"/>
      <c r="CL153" s="93"/>
      <c r="CM153" s="93"/>
      <c r="CN153" s="93"/>
      <c r="CO153" s="93"/>
      <c r="CP153" s="93"/>
      <c r="CQ153" s="93"/>
      <c r="CR153" s="93"/>
      <c r="CS153" s="93"/>
      <c r="CT153" s="93"/>
      <c r="CU153" s="93"/>
      <c r="CV153" s="93"/>
      <c r="CW153" s="93"/>
      <c r="CX153" s="93"/>
      <c r="CY153" s="93"/>
      <c r="CZ153" s="93"/>
      <c r="DA153" s="93"/>
      <c r="DB153" s="93"/>
      <c r="DC153" s="93"/>
      <c r="DD153" s="93"/>
      <c r="DE153" s="93"/>
      <c r="DF153" s="93"/>
      <c r="DG153" s="93"/>
      <c r="DH153" s="93"/>
      <c r="DI153" s="93"/>
      <c r="DJ153" s="93"/>
      <c r="DK153" s="93"/>
      <c r="DL153" s="93"/>
      <c r="DM153" s="93"/>
      <c r="DN153" s="93"/>
      <c r="DO153" s="93"/>
      <c r="DP153" s="93"/>
      <c r="DQ153" s="93"/>
      <c r="DR153" s="93"/>
      <c r="DS153" s="93"/>
      <c r="DT153" s="93"/>
      <c r="DU153" s="93"/>
      <c r="DV153" s="93"/>
      <c r="DW153" s="93"/>
      <c r="DX153" s="93"/>
      <c r="DY153" s="93"/>
      <c r="DZ153" s="93"/>
      <c r="EA153" s="93"/>
      <c r="EB153" s="93"/>
      <c r="EC153" s="93"/>
      <c r="ED153" s="93"/>
      <c r="EE153" s="93"/>
      <c r="EF153" s="93"/>
      <c r="EG153" s="93"/>
      <c r="EH153" s="93"/>
      <c r="EI153" s="93"/>
      <c r="EJ153" s="93"/>
      <c r="EK153" s="93"/>
      <c r="EL153" s="93"/>
      <c r="EM153" s="93"/>
      <c r="EN153" s="93"/>
      <c r="EO153" s="93"/>
      <c r="EP153" s="93"/>
      <c r="EQ153" s="93"/>
      <c r="ER153" s="93"/>
      <c r="ES153" s="93"/>
      <c r="ET153" s="93"/>
      <c r="EU153" s="93"/>
      <c r="EV153" s="93"/>
      <c r="EW153" s="93"/>
      <c r="EX153" s="93"/>
      <c r="EY153" s="93"/>
      <c r="EZ153" s="93"/>
      <c r="FA153" s="93"/>
      <c r="FB153" s="93"/>
      <c r="FC153" s="93"/>
      <c r="FD153" s="93"/>
      <c r="FE153" s="93"/>
      <c r="FF153" s="93"/>
      <c r="FG153" s="93"/>
      <c r="FH153" s="93"/>
      <c r="FI153" s="93"/>
      <c r="FJ153" s="93"/>
      <c r="FK153" s="93"/>
      <c r="FL153" s="93"/>
      <c r="FM153" s="93"/>
      <c r="FN153" s="93"/>
      <c r="FO153" s="93"/>
      <c r="FP153" s="93"/>
      <c r="FQ153" s="93"/>
      <c r="FR153" s="93"/>
      <c r="FS153" s="93"/>
      <c r="FT153" s="93"/>
      <c r="FU153" s="93"/>
      <c r="FV153" s="93"/>
      <c r="FW153" s="93"/>
      <c r="FX153" s="93"/>
      <c r="FY153" s="93"/>
      <c r="FZ153" s="93"/>
      <c r="GA153" s="93"/>
      <c r="GB153" s="93"/>
      <c r="GC153" s="93"/>
      <c r="GD153" s="93"/>
      <c r="GE153" s="93"/>
      <c r="GF153" s="93"/>
      <c r="GG153" s="93"/>
      <c r="GH153" s="93"/>
      <c r="GI153" s="93"/>
      <c r="GJ153" s="93"/>
      <c r="GK153" s="93"/>
      <c r="GL153" s="93"/>
      <c r="GM153" s="93"/>
      <c r="GN153" s="93"/>
      <c r="GO153" s="93"/>
      <c r="GP153" s="93"/>
      <c r="GQ153" s="93"/>
      <c r="GR153" s="93"/>
      <c r="GS153" s="93"/>
      <c r="GT153" s="93"/>
      <c r="GU153" s="93"/>
      <c r="GV153" s="93"/>
      <c r="GW153" s="93"/>
      <c r="GX153" s="93"/>
      <c r="GY153" s="93"/>
      <c r="GZ153" s="93"/>
      <c r="HA153" s="93"/>
      <c r="HB153" s="93"/>
      <c r="HC153" s="93"/>
      <c r="HD153" s="93"/>
      <c r="HE153" s="93"/>
      <c r="HF153" s="93"/>
      <c r="HG153" s="93"/>
      <c r="HH153" s="93"/>
      <c r="HI153" s="93"/>
      <c r="HJ153" s="93"/>
      <c r="HK153" s="93"/>
      <c r="HL153" s="93"/>
      <c r="HM153" s="93"/>
      <c r="HN153" s="93"/>
      <c r="HO153" s="93"/>
      <c r="HP153" s="93"/>
      <c r="HQ153" s="93"/>
      <c r="HR153" s="93"/>
      <c r="HS153" s="93"/>
      <c r="HT153" s="93"/>
      <c r="HU153" s="93"/>
      <c r="HV153" s="93"/>
      <c r="HW153" s="93"/>
      <c r="HX153" s="93"/>
      <c r="HY153" s="93"/>
      <c r="HZ153" s="93"/>
      <c r="IA153" s="93"/>
      <c r="IB153" s="93"/>
      <c r="IC153" s="93"/>
      <c r="ID153" s="93"/>
      <c r="IE153" s="93"/>
      <c r="IF153" s="93"/>
      <c r="IG153" s="93"/>
      <c r="IH153" s="93"/>
      <c r="II153" s="93"/>
      <c r="IJ153" s="93"/>
      <c r="IK153" s="93"/>
      <c r="IL153" s="93"/>
      <c r="IM153" s="93"/>
      <c r="IN153" s="93"/>
      <c r="IO153" s="93"/>
      <c r="IP153" s="93"/>
      <c r="IQ153" s="93"/>
      <c r="IR153" s="93"/>
      <c r="IS153" s="93"/>
      <c r="IT153" s="93"/>
      <c r="IU153" s="93"/>
      <c r="IV153" s="93"/>
      <c r="IW153" s="93"/>
      <c r="IX153" s="93"/>
      <c r="IY153" s="93"/>
      <c r="IZ153" s="93"/>
    </row>
    <row r="154" spans="1:260" s="95" customFormat="1">
      <c r="A154" s="93"/>
      <c r="E154" s="653" t="s">
        <v>161</v>
      </c>
      <c r="F154" s="650" t="s">
        <v>2051</v>
      </c>
      <c r="G154" s="644">
        <f>SUM(G13:G19)</f>
        <v>475501</v>
      </c>
      <c r="H154" s="645">
        <f>SUM(H13:H19)</f>
        <v>9011</v>
      </c>
      <c r="I154" s="640">
        <f>IFERROR(H154/(G154+H154),0)</f>
        <v>1.8598094577636878E-2</v>
      </c>
      <c r="J154" s="908">
        <f>SUM(F13:F19)</f>
        <v>493136</v>
      </c>
      <c r="K154" s="908">
        <f>SUM(K13:K19)</f>
        <v>7565</v>
      </c>
      <c r="L154" s="640">
        <f>IFERROR(K154/(J154+K154),0)</f>
        <v>1.5108817437951991E-2</v>
      </c>
      <c r="P154" s="227"/>
      <c r="S154" s="207"/>
      <c r="T154" s="207"/>
      <c r="U154" s="207"/>
      <c r="V154" s="207"/>
      <c r="W154" s="207"/>
      <c r="X154" s="207"/>
      <c r="Y154" s="207"/>
      <c r="Z154" s="207"/>
      <c r="AA154" s="207"/>
      <c r="AB154" s="207"/>
      <c r="AC154" s="207"/>
      <c r="AD154" s="207"/>
      <c r="AE154" s="207"/>
      <c r="AF154" s="207"/>
      <c r="AG154" s="207"/>
      <c r="AH154" s="207"/>
      <c r="AI154" s="207"/>
      <c r="AJ154" s="207"/>
      <c r="AK154" s="207"/>
      <c r="AL154" s="207"/>
      <c r="AM154" s="207"/>
      <c r="AN154" s="207"/>
      <c r="AO154" s="207"/>
      <c r="AP154" s="207"/>
      <c r="AQ154" s="94"/>
      <c r="AR154" s="94"/>
      <c r="AS154" s="94"/>
      <c r="AT154" s="94"/>
      <c r="AU154" s="94"/>
      <c r="AV154" s="94"/>
      <c r="AW154" s="94"/>
      <c r="AX154" s="94"/>
      <c r="AY154" s="94"/>
      <c r="AZ154" s="93"/>
      <c r="BA154" s="93"/>
      <c r="BB154" s="93"/>
      <c r="BC154" s="93"/>
      <c r="BD154" s="93"/>
      <c r="BE154" s="93"/>
      <c r="BF154" s="93"/>
      <c r="BG154" s="93"/>
      <c r="BH154" s="93"/>
      <c r="BI154" s="93"/>
      <c r="BJ154" s="93"/>
      <c r="BK154" s="93"/>
      <c r="BL154" s="93"/>
      <c r="BM154" s="93"/>
      <c r="BN154" s="93"/>
      <c r="BO154" s="93"/>
      <c r="BP154" s="93"/>
      <c r="BQ154" s="93"/>
      <c r="BR154" s="93"/>
      <c r="BS154" s="93"/>
      <c r="BT154" s="93"/>
      <c r="BU154" s="93"/>
      <c r="BV154" s="93"/>
      <c r="BW154" s="93"/>
      <c r="BX154" s="93"/>
      <c r="BY154" s="93"/>
      <c r="BZ154" s="93"/>
      <c r="CA154" s="93"/>
      <c r="CB154" s="93"/>
      <c r="CC154" s="93"/>
      <c r="CD154" s="93"/>
      <c r="CE154" s="93"/>
      <c r="CF154" s="93"/>
      <c r="CG154" s="93"/>
      <c r="CH154" s="93"/>
      <c r="CI154" s="93"/>
      <c r="CJ154" s="93"/>
      <c r="CK154" s="93"/>
      <c r="CL154" s="93"/>
      <c r="CM154" s="93"/>
      <c r="CN154" s="93"/>
      <c r="CO154" s="93"/>
      <c r="CP154" s="93"/>
      <c r="CQ154" s="93"/>
      <c r="CR154" s="93"/>
      <c r="CS154" s="93"/>
      <c r="CT154" s="93"/>
      <c r="CU154" s="93"/>
      <c r="CV154" s="93"/>
      <c r="CW154" s="93"/>
      <c r="CX154" s="93"/>
      <c r="CY154" s="93"/>
      <c r="CZ154" s="93"/>
      <c r="DA154" s="93"/>
      <c r="DB154" s="93"/>
      <c r="DC154" s="93"/>
      <c r="DD154" s="93"/>
      <c r="DE154" s="93"/>
      <c r="DF154" s="93"/>
      <c r="DG154" s="93"/>
      <c r="DH154" s="93"/>
      <c r="DI154" s="93"/>
      <c r="DJ154" s="93"/>
      <c r="DK154" s="93"/>
      <c r="DL154" s="93"/>
      <c r="DM154" s="93"/>
      <c r="DN154" s="93"/>
      <c r="DO154" s="93"/>
      <c r="DP154" s="93"/>
      <c r="DQ154" s="93"/>
      <c r="DR154" s="93"/>
      <c r="DS154" s="93"/>
      <c r="DT154" s="93"/>
      <c r="DU154" s="93"/>
      <c r="DV154" s="93"/>
      <c r="DW154" s="93"/>
      <c r="DX154" s="93"/>
      <c r="DY154" s="93"/>
      <c r="DZ154" s="93"/>
      <c r="EA154" s="93"/>
      <c r="EB154" s="93"/>
      <c r="EC154" s="93"/>
      <c r="ED154" s="93"/>
      <c r="EE154" s="93"/>
      <c r="EF154" s="93"/>
      <c r="EG154" s="93"/>
      <c r="EH154" s="93"/>
      <c r="EI154" s="93"/>
      <c r="EJ154" s="93"/>
      <c r="EK154" s="93"/>
      <c r="EL154" s="93"/>
      <c r="EM154" s="93"/>
      <c r="EN154" s="93"/>
      <c r="EO154" s="93"/>
      <c r="EP154" s="93"/>
      <c r="EQ154" s="93"/>
      <c r="ER154" s="93"/>
      <c r="ES154" s="93"/>
      <c r="ET154" s="93"/>
      <c r="EU154" s="93"/>
      <c r="EV154" s="93"/>
      <c r="EW154" s="93"/>
      <c r="EX154" s="93"/>
      <c r="EY154" s="93"/>
      <c r="EZ154" s="93"/>
      <c r="FA154" s="93"/>
      <c r="FB154" s="93"/>
      <c r="FC154" s="93"/>
      <c r="FD154" s="93"/>
      <c r="FE154" s="93"/>
      <c r="FF154" s="93"/>
      <c r="FG154" s="93"/>
      <c r="FH154" s="93"/>
      <c r="FI154" s="93"/>
      <c r="FJ154" s="93"/>
      <c r="FK154" s="93"/>
      <c r="FL154" s="93"/>
      <c r="FM154" s="93"/>
      <c r="FN154" s="93"/>
      <c r="FO154" s="93"/>
      <c r="FP154" s="93"/>
      <c r="FQ154" s="93"/>
      <c r="FR154" s="93"/>
      <c r="FS154" s="93"/>
      <c r="FT154" s="93"/>
      <c r="FU154" s="93"/>
      <c r="FV154" s="93"/>
      <c r="FW154" s="93"/>
      <c r="FX154" s="93"/>
      <c r="FY154" s="93"/>
      <c r="FZ154" s="93"/>
      <c r="GA154" s="93"/>
      <c r="GB154" s="93"/>
      <c r="GC154" s="93"/>
      <c r="GD154" s="93"/>
      <c r="GE154" s="93"/>
      <c r="GF154" s="93"/>
      <c r="GG154" s="93"/>
      <c r="GH154" s="93"/>
      <c r="GI154" s="93"/>
      <c r="GJ154" s="93"/>
      <c r="GK154" s="93"/>
      <c r="GL154" s="93"/>
      <c r="GM154" s="93"/>
      <c r="GN154" s="93"/>
      <c r="GO154" s="93"/>
      <c r="GP154" s="93"/>
      <c r="GQ154" s="93"/>
      <c r="GR154" s="93"/>
      <c r="GS154" s="93"/>
      <c r="GT154" s="93"/>
      <c r="GU154" s="93"/>
      <c r="GV154" s="93"/>
      <c r="GW154" s="93"/>
      <c r="GX154" s="93"/>
      <c r="GY154" s="93"/>
      <c r="GZ154" s="93"/>
      <c r="HA154" s="93"/>
      <c r="HB154" s="93"/>
      <c r="HC154" s="93"/>
      <c r="HD154" s="93"/>
      <c r="HE154" s="93"/>
      <c r="HF154" s="93"/>
      <c r="HG154" s="93"/>
      <c r="HH154" s="93"/>
      <c r="HI154" s="93"/>
      <c r="HJ154" s="93"/>
      <c r="HK154" s="93"/>
      <c r="HL154" s="93"/>
      <c r="HM154" s="93"/>
      <c r="HN154" s="93"/>
      <c r="HO154" s="93"/>
      <c r="HP154" s="93"/>
      <c r="HQ154" s="93"/>
      <c r="HR154" s="93"/>
      <c r="HS154" s="93"/>
      <c r="HT154" s="93"/>
      <c r="HU154" s="93"/>
      <c r="HV154" s="93"/>
      <c r="HW154" s="93"/>
      <c r="HX154" s="93"/>
      <c r="HY154" s="93"/>
      <c r="HZ154" s="93"/>
      <c r="IA154" s="93"/>
      <c r="IB154" s="93"/>
      <c r="IC154" s="93"/>
      <c r="ID154" s="93"/>
      <c r="IE154" s="93"/>
      <c r="IF154" s="93"/>
      <c r="IG154" s="93"/>
      <c r="IH154" s="93"/>
      <c r="II154" s="93"/>
      <c r="IJ154" s="93"/>
      <c r="IK154" s="93"/>
      <c r="IL154" s="93"/>
      <c r="IM154" s="93"/>
      <c r="IN154" s="93"/>
      <c r="IO154" s="93"/>
      <c r="IP154" s="93"/>
      <c r="IQ154" s="93"/>
      <c r="IR154" s="93"/>
      <c r="IS154" s="93"/>
      <c r="IT154" s="93"/>
      <c r="IU154" s="93"/>
      <c r="IV154" s="93"/>
      <c r="IW154" s="93"/>
      <c r="IX154" s="93"/>
      <c r="IY154" s="93"/>
      <c r="IZ154" s="93"/>
    </row>
    <row r="155" spans="1:260" s="95" customFormat="1" ht="15" thickBot="1">
      <c r="A155" s="93"/>
      <c r="E155" s="654"/>
      <c r="F155" s="651" t="s">
        <v>153</v>
      </c>
      <c r="G155" s="646">
        <f>SUM(G20:G30)</f>
        <v>79321</v>
      </c>
      <c r="H155" s="647">
        <f>SUM(H20:H30)</f>
        <v>2228</v>
      </c>
      <c r="I155" s="641">
        <f>IFERROR(H155/(G155+H155),0)</f>
        <v>2.7320997191872372E-2</v>
      </c>
      <c r="J155" s="909">
        <f>SUM(F20:F30)</f>
        <v>84401</v>
      </c>
      <c r="K155" s="909">
        <f>SUM(K20:K30)</f>
        <v>2572</v>
      </c>
      <c r="L155" s="641">
        <f>IFERROR(K155/(J155+K155),0)</f>
        <v>2.9572396030952134E-2</v>
      </c>
      <c r="N155" s="161"/>
      <c r="P155" s="227"/>
      <c r="S155" s="207"/>
      <c r="T155" s="207"/>
      <c r="U155" s="207"/>
      <c r="V155" s="207"/>
      <c r="W155" s="207"/>
      <c r="X155" s="207"/>
      <c r="Y155" s="207"/>
      <c r="Z155" s="207"/>
      <c r="AA155" s="207"/>
      <c r="AB155" s="207"/>
      <c r="AC155" s="207"/>
      <c r="AD155" s="207"/>
      <c r="AE155" s="207"/>
      <c r="AF155" s="207"/>
      <c r="AG155" s="207"/>
      <c r="AH155" s="207"/>
      <c r="AI155" s="207"/>
      <c r="AJ155" s="207"/>
      <c r="AK155" s="207"/>
      <c r="AL155" s="207"/>
      <c r="AM155" s="207"/>
      <c r="AN155" s="207"/>
      <c r="AO155" s="207"/>
      <c r="AP155" s="207"/>
      <c r="AQ155" s="94"/>
      <c r="AR155" s="94"/>
      <c r="AS155" s="94"/>
      <c r="AT155" s="94"/>
      <c r="AU155" s="94"/>
      <c r="AV155" s="94"/>
      <c r="AW155" s="94"/>
      <c r="AX155" s="94"/>
      <c r="AY155" s="94"/>
      <c r="AZ155" s="93"/>
      <c r="BA155" s="93"/>
      <c r="BB155" s="93"/>
      <c r="BC155" s="93"/>
      <c r="BD155" s="93"/>
      <c r="BE155" s="93"/>
      <c r="BF155" s="93"/>
      <c r="BG155" s="93"/>
      <c r="BH155" s="93"/>
      <c r="BI155" s="93"/>
      <c r="BJ155" s="93"/>
      <c r="BK155" s="93"/>
      <c r="BL155" s="93"/>
      <c r="BM155" s="93"/>
      <c r="BN155" s="93"/>
      <c r="BO155" s="93"/>
      <c r="BP155" s="93"/>
      <c r="BQ155" s="93"/>
      <c r="BR155" s="93"/>
      <c r="BS155" s="93"/>
      <c r="BT155" s="93"/>
      <c r="BU155" s="93"/>
      <c r="BV155" s="93"/>
      <c r="BW155" s="93"/>
      <c r="BX155" s="93"/>
      <c r="BY155" s="93"/>
      <c r="BZ155" s="93"/>
      <c r="CA155" s="93"/>
      <c r="CB155" s="93"/>
      <c r="CC155" s="93"/>
      <c r="CD155" s="93"/>
      <c r="CE155" s="93"/>
      <c r="CF155" s="93"/>
      <c r="CG155" s="93"/>
      <c r="CH155" s="93"/>
      <c r="CI155" s="93"/>
      <c r="CJ155" s="93"/>
      <c r="CK155" s="93"/>
      <c r="CL155" s="93"/>
      <c r="CM155" s="93"/>
      <c r="CN155" s="93"/>
      <c r="CO155" s="93"/>
      <c r="CP155" s="93"/>
      <c r="CQ155" s="93"/>
      <c r="CR155" s="93"/>
      <c r="CS155" s="93"/>
      <c r="CT155" s="93"/>
      <c r="CU155" s="93"/>
      <c r="CV155" s="93"/>
      <c r="CW155" s="93"/>
      <c r="CX155" s="93"/>
      <c r="CY155" s="93"/>
      <c r="CZ155" s="93"/>
      <c r="DA155" s="93"/>
      <c r="DB155" s="93"/>
      <c r="DC155" s="93"/>
      <c r="DD155" s="93"/>
      <c r="DE155" s="93"/>
      <c r="DF155" s="93"/>
      <c r="DG155" s="93"/>
      <c r="DH155" s="93"/>
      <c r="DI155" s="93"/>
      <c r="DJ155" s="93"/>
      <c r="DK155" s="93"/>
      <c r="DL155" s="93"/>
      <c r="DM155" s="93"/>
      <c r="DN155" s="93"/>
      <c r="DO155" s="93"/>
      <c r="DP155" s="93"/>
      <c r="DQ155" s="93"/>
      <c r="DR155" s="93"/>
      <c r="DS155" s="93"/>
      <c r="DT155" s="93"/>
      <c r="DU155" s="93"/>
      <c r="DV155" s="93"/>
      <c r="DW155" s="93"/>
      <c r="DX155" s="93"/>
      <c r="DY155" s="93"/>
      <c r="DZ155" s="93"/>
      <c r="EA155" s="93"/>
      <c r="EB155" s="93"/>
      <c r="EC155" s="93"/>
      <c r="ED155" s="93"/>
      <c r="EE155" s="93"/>
      <c r="EF155" s="93"/>
      <c r="EG155" s="93"/>
      <c r="EH155" s="93"/>
      <c r="EI155" s="93"/>
      <c r="EJ155" s="93"/>
      <c r="EK155" s="93"/>
      <c r="EL155" s="93"/>
      <c r="EM155" s="93"/>
      <c r="EN155" s="93"/>
      <c r="EO155" s="93"/>
      <c r="EP155" s="93"/>
      <c r="EQ155" s="93"/>
      <c r="ER155" s="93"/>
      <c r="ES155" s="93"/>
      <c r="ET155" s="93"/>
      <c r="EU155" s="93"/>
      <c r="EV155" s="93"/>
      <c r="EW155" s="93"/>
      <c r="EX155" s="93"/>
      <c r="EY155" s="93"/>
      <c r="EZ155" s="93"/>
      <c r="FA155" s="93"/>
      <c r="FB155" s="93"/>
      <c r="FC155" s="93"/>
      <c r="FD155" s="93"/>
      <c r="FE155" s="93"/>
      <c r="FF155" s="93"/>
      <c r="FG155" s="93"/>
      <c r="FH155" s="93"/>
      <c r="FI155" s="93"/>
      <c r="FJ155" s="93"/>
      <c r="FK155" s="93"/>
      <c r="FL155" s="93"/>
      <c r="FM155" s="93"/>
      <c r="FN155" s="93"/>
      <c r="FO155" s="93"/>
      <c r="FP155" s="93"/>
      <c r="FQ155" s="93"/>
      <c r="FR155" s="93"/>
      <c r="FS155" s="93"/>
      <c r="FT155" s="93"/>
      <c r="FU155" s="93"/>
      <c r="FV155" s="93"/>
      <c r="FW155" s="93"/>
      <c r="FX155" s="93"/>
      <c r="FY155" s="93"/>
      <c r="FZ155" s="93"/>
      <c r="GA155" s="93"/>
      <c r="GB155" s="93"/>
      <c r="GC155" s="93"/>
      <c r="GD155" s="93"/>
      <c r="GE155" s="93"/>
      <c r="GF155" s="93"/>
      <c r="GG155" s="93"/>
      <c r="GH155" s="93"/>
      <c r="GI155" s="93"/>
      <c r="GJ155" s="93"/>
      <c r="GK155" s="93"/>
      <c r="GL155" s="93"/>
      <c r="GM155" s="93"/>
      <c r="GN155" s="93"/>
      <c r="GO155" s="93"/>
      <c r="GP155" s="93"/>
      <c r="GQ155" s="93"/>
      <c r="GR155" s="93"/>
      <c r="GS155" s="93"/>
      <c r="GT155" s="93"/>
      <c r="GU155" s="93"/>
      <c r="GV155" s="93"/>
      <c r="GW155" s="93"/>
      <c r="GX155" s="93"/>
      <c r="GY155" s="93"/>
      <c r="GZ155" s="93"/>
      <c r="HA155" s="93"/>
      <c r="HB155" s="93"/>
      <c r="HC155" s="93"/>
      <c r="HD155" s="93"/>
      <c r="HE155" s="93"/>
      <c r="HF155" s="93"/>
      <c r="HG155" s="93"/>
      <c r="HH155" s="93"/>
      <c r="HI155" s="93"/>
      <c r="HJ155" s="93"/>
      <c r="HK155" s="93"/>
      <c r="HL155" s="93"/>
      <c r="HM155" s="93"/>
      <c r="HN155" s="93"/>
      <c r="HO155" s="93"/>
      <c r="HP155" s="93"/>
      <c r="HQ155" s="93"/>
      <c r="HR155" s="93"/>
      <c r="HS155" s="93"/>
      <c r="HT155" s="93"/>
      <c r="HU155" s="93"/>
      <c r="HV155" s="93"/>
      <c r="HW155" s="93"/>
      <c r="HX155" s="93"/>
      <c r="HY155" s="93"/>
      <c r="HZ155" s="93"/>
      <c r="IA155" s="93"/>
      <c r="IB155" s="93"/>
      <c r="IC155" s="93"/>
      <c r="ID155" s="93"/>
      <c r="IE155" s="93"/>
      <c r="IF155" s="93"/>
      <c r="IG155" s="93"/>
      <c r="IH155" s="93"/>
      <c r="II155" s="93"/>
      <c r="IJ155" s="93"/>
      <c r="IK155" s="93"/>
      <c r="IL155" s="93"/>
      <c r="IM155" s="93"/>
      <c r="IN155" s="93"/>
      <c r="IO155" s="93"/>
      <c r="IP155" s="93"/>
      <c r="IQ155" s="93"/>
      <c r="IR155" s="93"/>
      <c r="IS155" s="93"/>
      <c r="IT155" s="93"/>
      <c r="IU155" s="93"/>
      <c r="IV155" s="93"/>
      <c r="IW155" s="93"/>
      <c r="IX155" s="93"/>
      <c r="IY155" s="93"/>
      <c r="IZ155" s="93"/>
    </row>
    <row r="156" spans="1:260" s="95" customFormat="1">
      <c r="A156" s="93"/>
      <c r="E156" s="653" t="s">
        <v>202</v>
      </c>
      <c r="F156" s="650" t="s">
        <v>2051</v>
      </c>
      <c r="G156" s="644">
        <f>SUM(G33:G49)</f>
        <v>425231</v>
      </c>
      <c r="H156" s="645">
        <f>SUM(H33:I49)</f>
        <v>3542</v>
      </c>
      <c r="I156" s="640">
        <f t="shared" ref="I156:I163" si="65">IFERROR(H156/(G156+H156),0)</f>
        <v>8.260781345840339E-3</v>
      </c>
      <c r="J156" s="640" t="s">
        <v>2032</v>
      </c>
      <c r="K156" s="640" t="s">
        <v>2032</v>
      </c>
      <c r="L156" s="640" t="s">
        <v>2032</v>
      </c>
      <c r="P156" s="227"/>
      <c r="S156" s="207"/>
      <c r="T156" s="207"/>
      <c r="U156" s="207"/>
      <c r="V156" s="207"/>
      <c r="W156" s="207"/>
      <c r="X156" s="207"/>
      <c r="Y156" s="207"/>
      <c r="Z156" s="207"/>
      <c r="AA156" s="207"/>
      <c r="AB156" s="207"/>
      <c r="AC156" s="207"/>
      <c r="AD156" s="207"/>
      <c r="AE156" s="207"/>
      <c r="AF156" s="207"/>
      <c r="AG156" s="207"/>
      <c r="AH156" s="207"/>
      <c r="AI156" s="207"/>
      <c r="AJ156" s="207"/>
      <c r="AK156" s="207"/>
      <c r="AL156" s="207"/>
      <c r="AM156" s="207"/>
      <c r="AN156" s="207"/>
      <c r="AO156" s="207"/>
      <c r="AP156" s="207"/>
      <c r="AQ156" s="94"/>
      <c r="AR156" s="94"/>
      <c r="AS156" s="94"/>
      <c r="AT156" s="94"/>
      <c r="AU156" s="94"/>
      <c r="AV156" s="94"/>
      <c r="AW156" s="94"/>
      <c r="AX156" s="94"/>
      <c r="AY156" s="94"/>
      <c r="AZ156" s="93"/>
      <c r="BA156" s="93"/>
      <c r="BB156" s="93"/>
      <c r="BC156" s="93"/>
      <c r="BD156" s="93"/>
      <c r="BE156" s="93"/>
      <c r="BF156" s="93"/>
      <c r="BG156" s="93"/>
      <c r="BH156" s="93"/>
      <c r="BI156" s="93"/>
      <c r="BJ156" s="93"/>
      <c r="BK156" s="93"/>
      <c r="BL156" s="93"/>
      <c r="BM156" s="93"/>
      <c r="BN156" s="93"/>
      <c r="BO156" s="93"/>
      <c r="BP156" s="93"/>
      <c r="BQ156" s="93"/>
      <c r="BR156" s="93"/>
      <c r="BS156" s="93"/>
      <c r="BT156" s="93"/>
      <c r="BU156" s="93"/>
      <c r="BV156" s="93"/>
      <c r="BW156" s="93"/>
      <c r="BX156" s="93"/>
      <c r="BY156" s="93"/>
      <c r="BZ156" s="93"/>
      <c r="CA156" s="93"/>
      <c r="CB156" s="93"/>
      <c r="CC156" s="93"/>
      <c r="CD156" s="93"/>
      <c r="CE156" s="93"/>
      <c r="CF156" s="93"/>
      <c r="CG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93"/>
      <c r="DI156" s="93"/>
      <c r="DJ156" s="93"/>
      <c r="DK156" s="93"/>
      <c r="DL156" s="93"/>
      <c r="DM156" s="93"/>
      <c r="DN156" s="93"/>
      <c r="DO156" s="93"/>
      <c r="DP156" s="93"/>
      <c r="DQ156" s="93"/>
      <c r="DR156" s="93"/>
      <c r="DS156" s="93"/>
      <c r="DT156" s="93"/>
      <c r="DU156" s="93"/>
      <c r="DV156" s="93"/>
      <c r="DW156" s="93"/>
      <c r="DX156" s="93"/>
      <c r="DY156" s="93"/>
      <c r="DZ156" s="93"/>
      <c r="EA156" s="93"/>
      <c r="EB156" s="93"/>
      <c r="EC156" s="93"/>
      <c r="ED156" s="93"/>
      <c r="EE156" s="93"/>
      <c r="EF156" s="93"/>
      <c r="EG156" s="93"/>
      <c r="EH156" s="93"/>
      <c r="EI156" s="93"/>
      <c r="EJ156" s="93"/>
      <c r="EK156" s="93"/>
      <c r="EL156" s="93"/>
      <c r="EM156" s="93"/>
      <c r="EN156" s="93"/>
      <c r="EO156" s="93"/>
      <c r="EP156" s="93"/>
      <c r="EQ156" s="93"/>
      <c r="ER156" s="93"/>
      <c r="ES156" s="93"/>
      <c r="ET156" s="93"/>
      <c r="EU156" s="93"/>
      <c r="EV156" s="93"/>
      <c r="EW156" s="93"/>
      <c r="EX156" s="93"/>
      <c r="EY156" s="93"/>
      <c r="EZ156" s="93"/>
      <c r="FA156" s="93"/>
      <c r="FB156" s="93"/>
      <c r="FC156" s="93"/>
      <c r="FD156" s="93"/>
      <c r="FE156" s="93"/>
      <c r="FF156" s="93"/>
      <c r="FG156" s="93"/>
      <c r="FH156" s="93"/>
      <c r="FI156" s="93"/>
      <c r="FJ156" s="93"/>
      <c r="FK156" s="93"/>
      <c r="FL156" s="93"/>
      <c r="FM156" s="93"/>
      <c r="FN156" s="93"/>
      <c r="FO156" s="93"/>
      <c r="FP156" s="93"/>
      <c r="FQ156" s="93"/>
      <c r="FR156" s="93"/>
      <c r="FS156" s="93"/>
      <c r="FT156" s="93"/>
      <c r="FU156" s="93"/>
      <c r="FV156" s="93"/>
      <c r="FW156" s="93"/>
      <c r="FX156" s="93"/>
      <c r="FY156" s="93"/>
      <c r="FZ156" s="93"/>
      <c r="GA156" s="93"/>
      <c r="GB156" s="93"/>
      <c r="GC156" s="93"/>
      <c r="GD156" s="93"/>
      <c r="GE156" s="93"/>
      <c r="GF156" s="93"/>
      <c r="GG156" s="93"/>
      <c r="GH156" s="93"/>
      <c r="GI156" s="93"/>
      <c r="GJ156" s="93"/>
      <c r="GK156" s="93"/>
      <c r="GL156" s="93"/>
      <c r="GM156" s="93"/>
      <c r="GN156" s="93"/>
      <c r="GO156" s="93"/>
      <c r="GP156" s="93"/>
      <c r="GQ156" s="93"/>
      <c r="GR156" s="93"/>
      <c r="GS156" s="93"/>
      <c r="GT156" s="93"/>
      <c r="GU156" s="93"/>
      <c r="GV156" s="93"/>
      <c r="GW156" s="93"/>
      <c r="GX156" s="93"/>
      <c r="GY156" s="93"/>
      <c r="GZ156" s="93"/>
      <c r="HA156" s="93"/>
      <c r="HB156" s="93"/>
      <c r="HC156" s="93"/>
      <c r="HD156" s="93"/>
      <c r="HE156" s="93"/>
      <c r="HF156" s="93"/>
      <c r="HG156" s="93"/>
      <c r="HH156" s="93"/>
      <c r="HI156" s="93"/>
      <c r="HJ156" s="93"/>
      <c r="HK156" s="93"/>
      <c r="HL156" s="93"/>
      <c r="HM156" s="93"/>
      <c r="HN156" s="93"/>
      <c r="HO156" s="93"/>
      <c r="HP156" s="93"/>
      <c r="HQ156" s="93"/>
      <c r="HR156" s="93"/>
      <c r="HS156" s="93"/>
      <c r="HT156" s="93"/>
      <c r="HU156" s="93"/>
      <c r="HV156" s="93"/>
      <c r="HW156" s="93"/>
      <c r="HX156" s="93"/>
      <c r="HY156" s="93"/>
      <c r="HZ156" s="93"/>
      <c r="IA156" s="93"/>
      <c r="IB156" s="93"/>
      <c r="IC156" s="93"/>
      <c r="ID156" s="93"/>
      <c r="IE156" s="93"/>
      <c r="IF156" s="93"/>
      <c r="IG156" s="93"/>
      <c r="IH156" s="93"/>
      <c r="II156" s="93"/>
      <c r="IJ156" s="93"/>
      <c r="IK156" s="93"/>
      <c r="IL156" s="93"/>
      <c r="IM156" s="93"/>
      <c r="IN156" s="93"/>
      <c r="IO156" s="93"/>
      <c r="IP156" s="93"/>
      <c r="IQ156" s="93"/>
      <c r="IR156" s="93"/>
      <c r="IS156" s="93"/>
      <c r="IT156" s="93"/>
      <c r="IU156" s="93"/>
      <c r="IV156" s="93"/>
      <c r="IW156" s="93"/>
      <c r="IX156" s="93"/>
      <c r="IY156" s="93"/>
      <c r="IZ156" s="93"/>
    </row>
    <row r="157" spans="1:260" s="95" customFormat="1" ht="15" thickBot="1">
      <c r="A157" s="93"/>
      <c r="E157" s="654"/>
      <c r="F157" s="651" t="s">
        <v>153</v>
      </c>
      <c r="G157" s="646">
        <f>SUM(G50:G97)</f>
        <v>79135</v>
      </c>
      <c r="H157" s="647">
        <f>SUM(H50:I97)</f>
        <v>1255</v>
      </c>
      <c r="I157" s="641">
        <f t="shared" si="65"/>
        <v>1.5611394452046274E-2</v>
      </c>
      <c r="J157" s="641" t="s">
        <v>2032</v>
      </c>
      <c r="K157" s="641" t="s">
        <v>2032</v>
      </c>
      <c r="L157" s="641" t="s">
        <v>2032</v>
      </c>
      <c r="O157" s="162"/>
      <c r="P157" s="227"/>
      <c r="S157" s="207"/>
      <c r="T157" s="207"/>
      <c r="U157" s="207"/>
      <c r="V157" s="207"/>
      <c r="W157" s="207"/>
      <c r="X157" s="207"/>
      <c r="Y157" s="207"/>
      <c r="Z157" s="207"/>
      <c r="AA157" s="207"/>
      <c r="AB157" s="207"/>
      <c r="AC157" s="207"/>
      <c r="AD157" s="207"/>
      <c r="AE157" s="207"/>
      <c r="AF157" s="207"/>
      <c r="AG157" s="207"/>
      <c r="AH157" s="207"/>
      <c r="AI157" s="207"/>
      <c r="AJ157" s="207"/>
      <c r="AK157" s="207"/>
      <c r="AL157" s="207"/>
      <c r="AM157" s="207"/>
      <c r="AN157" s="207"/>
      <c r="AO157" s="207"/>
      <c r="AP157" s="207"/>
      <c r="AQ157" s="94"/>
      <c r="AR157" s="94"/>
      <c r="AS157" s="94"/>
      <c r="AT157" s="94"/>
      <c r="AU157" s="94"/>
      <c r="AV157" s="94"/>
      <c r="AW157" s="94"/>
      <c r="AX157" s="94"/>
      <c r="AY157" s="94"/>
      <c r="AZ157" s="93"/>
      <c r="BA157" s="93"/>
      <c r="BB157" s="93"/>
      <c r="BC157" s="93"/>
      <c r="BD157" s="93"/>
      <c r="BE157" s="93"/>
      <c r="BF157" s="93"/>
      <c r="BG157" s="93"/>
      <c r="BH157" s="93"/>
      <c r="BI157" s="93"/>
      <c r="BJ157" s="93"/>
      <c r="BK157" s="93"/>
      <c r="BL157" s="93"/>
      <c r="BM157" s="93"/>
      <c r="BN157" s="93"/>
      <c r="BO157" s="93"/>
      <c r="BP157" s="93"/>
      <c r="BQ157" s="93"/>
      <c r="BR157" s="93"/>
      <c r="BS157" s="93"/>
      <c r="BT157" s="93"/>
      <c r="BU157" s="93"/>
      <c r="BV157" s="93"/>
      <c r="BW157" s="93"/>
      <c r="BX157" s="93"/>
      <c r="BY157" s="93"/>
      <c r="BZ157" s="93"/>
      <c r="CA157" s="93"/>
      <c r="CB157" s="93"/>
      <c r="CC157" s="93"/>
      <c r="CD157" s="93"/>
      <c r="CE157" s="93"/>
      <c r="CF157" s="93"/>
      <c r="CG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93"/>
      <c r="DI157" s="93"/>
      <c r="DJ157" s="93"/>
      <c r="DK157" s="93"/>
      <c r="DL157" s="93"/>
      <c r="DM157" s="93"/>
      <c r="DN157" s="93"/>
      <c r="DO157" s="93"/>
      <c r="DP157" s="93"/>
      <c r="DQ157" s="93"/>
      <c r="DR157" s="93"/>
      <c r="DS157" s="93"/>
      <c r="DT157" s="93"/>
      <c r="DU157" s="93"/>
      <c r="DV157" s="93"/>
      <c r="DW157" s="93"/>
      <c r="DX157" s="93"/>
      <c r="DY157" s="93"/>
      <c r="DZ157" s="93"/>
      <c r="EA157" s="93"/>
      <c r="EB157" s="93"/>
      <c r="EC157" s="93"/>
      <c r="ED157" s="93"/>
      <c r="EE157" s="93"/>
      <c r="EF157" s="93"/>
      <c r="EG157" s="93"/>
      <c r="EH157" s="93"/>
      <c r="EI157" s="93"/>
      <c r="EJ157" s="93"/>
      <c r="EK157" s="93"/>
      <c r="EL157" s="93"/>
      <c r="EM157" s="93"/>
      <c r="EN157" s="93"/>
      <c r="EO157" s="93"/>
      <c r="EP157" s="93"/>
      <c r="EQ157" s="93"/>
      <c r="ER157" s="93"/>
      <c r="ES157" s="93"/>
      <c r="ET157" s="93"/>
      <c r="EU157" s="93"/>
      <c r="EV157" s="93"/>
      <c r="EW157" s="93"/>
      <c r="EX157" s="93"/>
      <c r="EY157" s="93"/>
      <c r="EZ157" s="93"/>
      <c r="FA157" s="93"/>
      <c r="FB157" s="93"/>
      <c r="FC157" s="93"/>
      <c r="FD157" s="93"/>
      <c r="FE157" s="93"/>
      <c r="FF157" s="93"/>
      <c r="FG157" s="93"/>
      <c r="FH157" s="93"/>
      <c r="FI157" s="93"/>
      <c r="FJ157" s="93"/>
      <c r="FK157" s="93"/>
      <c r="FL157" s="93"/>
      <c r="FM157" s="93"/>
      <c r="FN157" s="93"/>
      <c r="FO157" s="93"/>
      <c r="FP157" s="93"/>
      <c r="FQ157" s="93"/>
      <c r="FR157" s="93"/>
      <c r="FS157" s="93"/>
      <c r="FT157" s="93"/>
      <c r="FU157" s="93"/>
      <c r="FV157" s="93"/>
      <c r="FW157" s="93"/>
      <c r="FX157" s="93"/>
      <c r="FY157" s="93"/>
      <c r="FZ157" s="93"/>
      <c r="GA157" s="93"/>
      <c r="GB157" s="93"/>
      <c r="GC157" s="93"/>
      <c r="GD157" s="93"/>
      <c r="GE157" s="93"/>
      <c r="GF157" s="93"/>
      <c r="GG157" s="93"/>
      <c r="GH157" s="93"/>
      <c r="GI157" s="93"/>
      <c r="GJ157" s="93"/>
      <c r="GK157" s="93"/>
      <c r="GL157" s="93"/>
      <c r="GM157" s="93"/>
      <c r="GN157" s="93"/>
      <c r="GO157" s="93"/>
      <c r="GP157" s="93"/>
      <c r="GQ157" s="93"/>
      <c r="GR157" s="93"/>
      <c r="GS157" s="93"/>
      <c r="GT157" s="93"/>
      <c r="GU157" s="93"/>
      <c r="GV157" s="93"/>
      <c r="GW157" s="93"/>
      <c r="GX157" s="93"/>
      <c r="GY157" s="93"/>
      <c r="GZ157" s="93"/>
      <c r="HA157" s="93"/>
      <c r="HB157" s="93"/>
      <c r="HC157" s="93"/>
      <c r="HD157" s="93"/>
      <c r="HE157" s="93"/>
      <c r="HF157" s="93"/>
      <c r="HG157" s="93"/>
      <c r="HH157" s="93"/>
      <c r="HI157" s="93"/>
      <c r="HJ157" s="93"/>
      <c r="HK157" s="93"/>
      <c r="HL157" s="93"/>
      <c r="HM157" s="93"/>
      <c r="HN157" s="93"/>
      <c r="HO157" s="93"/>
      <c r="HP157" s="93"/>
      <c r="HQ157" s="93"/>
      <c r="HR157" s="93"/>
      <c r="HS157" s="93"/>
      <c r="HT157" s="93"/>
      <c r="HU157" s="93"/>
      <c r="HV157" s="93"/>
      <c r="HW157" s="93"/>
      <c r="HX157" s="93"/>
      <c r="HY157" s="93"/>
      <c r="HZ157" s="93"/>
      <c r="IA157" s="93"/>
      <c r="IB157" s="93"/>
      <c r="IC157" s="93"/>
      <c r="ID157" s="93"/>
      <c r="IE157" s="93"/>
      <c r="IF157" s="93"/>
      <c r="IG157" s="93"/>
      <c r="IH157" s="93"/>
      <c r="II157" s="93"/>
      <c r="IJ157" s="93"/>
      <c r="IK157" s="93"/>
      <c r="IL157" s="93"/>
      <c r="IM157" s="93"/>
      <c r="IN157" s="93"/>
      <c r="IO157" s="93"/>
      <c r="IP157" s="93"/>
      <c r="IQ157" s="93"/>
      <c r="IR157" s="93"/>
      <c r="IS157" s="93"/>
      <c r="IT157" s="93"/>
      <c r="IU157" s="93"/>
      <c r="IV157" s="93"/>
      <c r="IW157" s="93"/>
      <c r="IX157" s="93"/>
      <c r="IY157" s="93"/>
      <c r="IZ157" s="93"/>
    </row>
    <row r="158" spans="1:260" s="95" customFormat="1">
      <c r="A158" s="93"/>
      <c r="E158" s="653" t="s">
        <v>155</v>
      </c>
      <c r="F158" s="650" t="s">
        <v>149</v>
      </c>
      <c r="G158" s="644">
        <f>G105</f>
        <v>1182508</v>
      </c>
      <c r="H158" s="645">
        <f>SUM(H105)</f>
        <v>16084</v>
      </c>
      <c r="I158" s="640">
        <f t="shared" si="65"/>
        <v>1.3419078385305426E-2</v>
      </c>
      <c r="J158" s="908">
        <f>SUM(F100:F104)</f>
        <v>1219763</v>
      </c>
      <c r="K158" s="908">
        <f>SUM(K100:K104)</f>
        <v>19563</v>
      </c>
      <c r="L158" s="640">
        <f>IFERROR(K158/(J158+K158),0)</f>
        <v>1.5785192919377144E-2</v>
      </c>
      <c r="O158" s="163"/>
      <c r="P158" s="227"/>
      <c r="S158" s="207"/>
      <c r="T158" s="207"/>
      <c r="U158" s="207"/>
      <c r="V158" s="207"/>
      <c r="W158" s="207"/>
      <c r="X158" s="207"/>
      <c r="Y158" s="207"/>
      <c r="Z158" s="207"/>
      <c r="AA158" s="207"/>
      <c r="AB158" s="207"/>
      <c r="AC158" s="207"/>
      <c r="AD158" s="207"/>
      <c r="AE158" s="207"/>
      <c r="AF158" s="207"/>
      <c r="AG158" s="207"/>
      <c r="AH158" s="207"/>
      <c r="AI158" s="207"/>
      <c r="AJ158" s="207"/>
      <c r="AK158" s="207"/>
      <c r="AL158" s="207"/>
      <c r="AM158" s="207"/>
      <c r="AN158" s="207"/>
      <c r="AO158" s="207"/>
      <c r="AP158" s="207"/>
      <c r="AQ158" s="94"/>
      <c r="AR158" s="94"/>
      <c r="AS158" s="94"/>
      <c r="AT158" s="94"/>
      <c r="AU158" s="94"/>
      <c r="AV158" s="94"/>
      <c r="AW158" s="94"/>
      <c r="AX158" s="94"/>
      <c r="AY158" s="94"/>
      <c r="AZ158" s="93"/>
      <c r="BA158" s="93"/>
      <c r="BB158" s="93"/>
      <c r="BC158" s="93"/>
      <c r="BD158" s="93"/>
      <c r="BE158" s="93"/>
      <c r="BF158" s="93"/>
      <c r="BG158" s="93"/>
      <c r="BH158" s="93"/>
      <c r="BI158" s="93"/>
      <c r="BJ158" s="93"/>
      <c r="BK158" s="93"/>
      <c r="BL158" s="93"/>
      <c r="BM158" s="93"/>
      <c r="BN158" s="93"/>
      <c r="BO158" s="93"/>
      <c r="BP158" s="93"/>
      <c r="BQ158" s="93"/>
      <c r="BR158" s="93"/>
      <c r="BS158" s="93"/>
      <c r="BT158" s="93"/>
      <c r="BU158" s="93"/>
      <c r="BV158" s="93"/>
      <c r="BW158" s="93"/>
      <c r="BX158" s="93"/>
      <c r="BY158" s="93"/>
      <c r="BZ158" s="93"/>
      <c r="CA158" s="93"/>
      <c r="CB158" s="93"/>
      <c r="CC158" s="93"/>
      <c r="CD158" s="93"/>
      <c r="CE158" s="93"/>
      <c r="CF158" s="93"/>
      <c r="CG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93"/>
      <c r="DI158" s="93"/>
      <c r="DJ158" s="93"/>
      <c r="DK158" s="93"/>
      <c r="DL158" s="93"/>
      <c r="DM158" s="93"/>
      <c r="DN158" s="93"/>
      <c r="DO158" s="93"/>
      <c r="DP158" s="93"/>
      <c r="DQ158" s="93"/>
      <c r="DR158" s="93"/>
      <c r="DS158" s="93"/>
      <c r="DT158" s="93"/>
      <c r="DU158" s="93"/>
      <c r="DV158" s="93"/>
      <c r="DW158" s="93"/>
      <c r="DX158" s="93"/>
      <c r="DY158" s="93"/>
      <c r="DZ158" s="93"/>
      <c r="EA158" s="93"/>
      <c r="EB158" s="93"/>
      <c r="EC158" s="93"/>
      <c r="ED158" s="93"/>
      <c r="EE158" s="93"/>
      <c r="EF158" s="93"/>
      <c r="EG158" s="93"/>
      <c r="EH158" s="93"/>
      <c r="EI158" s="93"/>
      <c r="EJ158" s="93"/>
      <c r="EK158" s="93"/>
      <c r="EL158" s="93"/>
      <c r="EM158" s="93"/>
      <c r="EN158" s="93"/>
      <c r="EO158" s="93"/>
      <c r="EP158" s="93"/>
      <c r="EQ158" s="93"/>
      <c r="ER158" s="93"/>
      <c r="ES158" s="93"/>
      <c r="ET158" s="93"/>
      <c r="EU158" s="93"/>
      <c r="EV158" s="93"/>
      <c r="EW158" s="93"/>
      <c r="EX158" s="93"/>
      <c r="EY158" s="93"/>
      <c r="EZ158" s="93"/>
      <c r="FA158" s="93"/>
      <c r="FB158" s="93"/>
      <c r="FC158" s="93"/>
      <c r="FD158" s="93"/>
      <c r="FE158" s="93"/>
      <c r="FF158" s="93"/>
      <c r="FG158" s="93"/>
      <c r="FH158" s="93"/>
      <c r="FI158" s="93"/>
      <c r="FJ158" s="93"/>
      <c r="FK158" s="93"/>
      <c r="FL158" s="93"/>
      <c r="FM158" s="93"/>
      <c r="FN158" s="93"/>
      <c r="FO158" s="93"/>
      <c r="FP158" s="93"/>
      <c r="FQ158" s="93"/>
      <c r="FR158" s="93"/>
      <c r="FS158" s="93"/>
      <c r="FT158" s="93"/>
      <c r="FU158" s="93"/>
      <c r="FV158" s="93"/>
      <c r="FW158" s="93"/>
      <c r="FX158" s="93"/>
      <c r="FY158" s="93"/>
      <c r="FZ158" s="93"/>
      <c r="GA158" s="93"/>
      <c r="GB158" s="93"/>
      <c r="GC158" s="93"/>
      <c r="GD158" s="93"/>
      <c r="GE158" s="93"/>
      <c r="GF158" s="93"/>
      <c r="GG158" s="93"/>
      <c r="GH158" s="93"/>
      <c r="GI158" s="93"/>
      <c r="GJ158" s="93"/>
      <c r="GK158" s="93"/>
      <c r="GL158" s="93"/>
      <c r="GM158" s="93"/>
      <c r="GN158" s="93"/>
      <c r="GO158" s="93"/>
      <c r="GP158" s="93"/>
      <c r="GQ158" s="93"/>
      <c r="GR158" s="93"/>
      <c r="GS158" s="93"/>
      <c r="GT158" s="93"/>
      <c r="GU158" s="93"/>
      <c r="GV158" s="93"/>
      <c r="GW158" s="93"/>
      <c r="GX158" s="93"/>
      <c r="GY158" s="93"/>
      <c r="GZ158" s="93"/>
      <c r="HA158" s="93"/>
      <c r="HB158" s="93"/>
      <c r="HC158" s="93"/>
      <c r="HD158" s="93"/>
      <c r="HE158" s="93"/>
      <c r="HF158" s="93"/>
      <c r="HG158" s="93"/>
      <c r="HH158" s="93"/>
      <c r="HI158" s="93"/>
      <c r="HJ158" s="93"/>
      <c r="HK158" s="93"/>
      <c r="HL158" s="93"/>
      <c r="HM158" s="93"/>
      <c r="HN158" s="93"/>
      <c r="HO158" s="93"/>
      <c r="HP158" s="93"/>
      <c r="HQ158" s="93"/>
      <c r="HR158" s="93"/>
      <c r="HS158" s="93"/>
      <c r="HT158" s="93"/>
      <c r="HU158" s="93"/>
      <c r="HV158" s="93"/>
      <c r="HW158" s="93"/>
      <c r="HX158" s="93"/>
      <c r="HY158" s="93"/>
      <c r="HZ158" s="93"/>
      <c r="IA158" s="93"/>
      <c r="IB158" s="93"/>
      <c r="IC158" s="93"/>
      <c r="ID158" s="93"/>
      <c r="IE158" s="93"/>
      <c r="IF158" s="93"/>
      <c r="IG158" s="93"/>
      <c r="IH158" s="93"/>
      <c r="II158" s="93"/>
      <c r="IJ158" s="93"/>
      <c r="IK158" s="93"/>
      <c r="IL158" s="93"/>
      <c r="IM158" s="93"/>
      <c r="IN158" s="93"/>
      <c r="IO158" s="93"/>
      <c r="IP158" s="93"/>
      <c r="IQ158" s="93"/>
      <c r="IR158" s="93"/>
      <c r="IS158" s="93"/>
      <c r="IT158" s="93"/>
      <c r="IU158" s="93"/>
      <c r="IV158" s="93"/>
      <c r="IW158" s="93"/>
      <c r="IX158" s="93"/>
      <c r="IY158" s="93"/>
      <c r="IZ158" s="93"/>
    </row>
    <row r="159" spans="1:260" s="95" customFormat="1">
      <c r="A159" s="93"/>
      <c r="E159" s="654" t="s">
        <v>144</v>
      </c>
      <c r="F159" s="651" t="s">
        <v>149</v>
      </c>
      <c r="G159" s="646">
        <f>G112</f>
        <v>321990</v>
      </c>
      <c r="H159" s="647">
        <f>SUM(H112:I112)</f>
        <v>0</v>
      </c>
      <c r="I159" s="641">
        <f t="shared" si="65"/>
        <v>0</v>
      </c>
      <c r="J159" s="641" t="s">
        <v>2032</v>
      </c>
      <c r="K159" s="641" t="s">
        <v>2032</v>
      </c>
      <c r="L159" s="641" t="s">
        <v>2032</v>
      </c>
      <c r="P159" s="227"/>
      <c r="R159" s="158"/>
      <c r="S159" s="207"/>
      <c r="T159" s="207"/>
      <c r="U159" s="207"/>
      <c r="V159" s="207"/>
      <c r="W159" s="207"/>
      <c r="X159" s="207"/>
      <c r="Y159" s="207"/>
      <c r="Z159" s="207"/>
      <c r="AA159" s="207"/>
      <c r="AB159" s="207"/>
      <c r="AC159" s="207"/>
      <c r="AD159" s="207"/>
      <c r="AE159" s="207"/>
      <c r="AF159" s="207"/>
      <c r="AG159" s="207"/>
      <c r="AH159" s="207"/>
      <c r="AI159" s="207"/>
      <c r="AJ159" s="207"/>
      <c r="AK159" s="207"/>
      <c r="AL159" s="207"/>
      <c r="AM159" s="207"/>
      <c r="AN159" s="207"/>
      <c r="AO159" s="207"/>
      <c r="AP159" s="207"/>
      <c r="AQ159" s="94"/>
      <c r="AR159" s="94"/>
      <c r="AS159" s="94"/>
      <c r="AT159" s="94"/>
      <c r="AU159" s="94"/>
      <c r="AV159" s="94"/>
      <c r="AW159" s="94"/>
      <c r="AX159" s="94"/>
      <c r="AY159" s="94"/>
      <c r="AZ159" s="93"/>
      <c r="BA159" s="93"/>
      <c r="BB159" s="93"/>
      <c r="BC159" s="93"/>
      <c r="BD159" s="93"/>
      <c r="BE159" s="93"/>
      <c r="BF159" s="93"/>
      <c r="BG159" s="93"/>
      <c r="BH159" s="93"/>
      <c r="BI159" s="93"/>
      <c r="BJ159" s="93"/>
      <c r="BK159" s="93"/>
      <c r="BL159" s="93"/>
      <c r="BM159" s="93"/>
      <c r="BN159" s="93"/>
      <c r="BO159" s="93"/>
      <c r="BP159" s="93"/>
      <c r="BQ159" s="93"/>
      <c r="BR159" s="93"/>
      <c r="BS159" s="93"/>
      <c r="BT159" s="93"/>
      <c r="BU159" s="93"/>
      <c r="BV159" s="93"/>
      <c r="BW159" s="93"/>
      <c r="BX159" s="93"/>
      <c r="BY159" s="93"/>
      <c r="BZ159" s="93"/>
      <c r="CA159" s="93"/>
      <c r="CB159" s="93"/>
      <c r="CC159" s="93"/>
      <c r="CD159" s="93"/>
      <c r="CE159" s="93"/>
      <c r="CF159" s="93"/>
      <c r="CG159" s="93"/>
      <c r="CH159" s="93"/>
      <c r="CI159" s="93"/>
      <c r="CJ159" s="93"/>
      <c r="CK159" s="93"/>
      <c r="CL159" s="93"/>
      <c r="CM159" s="93"/>
      <c r="CN159" s="93"/>
      <c r="CO159" s="93"/>
      <c r="CP159" s="93"/>
      <c r="CQ159" s="93"/>
      <c r="CR159" s="93"/>
      <c r="CS159" s="93"/>
      <c r="CT159" s="93"/>
      <c r="CU159" s="93"/>
      <c r="CV159" s="93"/>
      <c r="CW159" s="93"/>
      <c r="CX159" s="93"/>
      <c r="CY159" s="93"/>
      <c r="CZ159" s="93"/>
      <c r="DA159" s="93"/>
      <c r="DB159" s="93"/>
      <c r="DC159" s="93"/>
      <c r="DD159" s="93"/>
      <c r="DE159" s="93"/>
      <c r="DF159" s="93"/>
      <c r="DG159" s="93"/>
      <c r="DH159" s="93"/>
      <c r="DI159" s="93"/>
      <c r="DJ159" s="93"/>
      <c r="DK159" s="93"/>
      <c r="DL159" s="93"/>
      <c r="DM159" s="93"/>
      <c r="DN159" s="93"/>
      <c r="DO159" s="93"/>
      <c r="DP159" s="93"/>
      <c r="DQ159" s="93"/>
      <c r="DR159" s="93"/>
      <c r="DS159" s="93"/>
      <c r="DT159" s="93"/>
      <c r="DU159" s="93"/>
      <c r="DV159" s="93"/>
      <c r="DW159" s="93"/>
      <c r="DX159" s="93"/>
      <c r="DY159" s="93"/>
      <c r="DZ159" s="93"/>
      <c r="EA159" s="93"/>
      <c r="EB159" s="93"/>
      <c r="EC159" s="93"/>
      <c r="ED159" s="93"/>
      <c r="EE159" s="93"/>
      <c r="EF159" s="93"/>
      <c r="EG159" s="93"/>
      <c r="EH159" s="93"/>
      <c r="EI159" s="93"/>
      <c r="EJ159" s="93"/>
      <c r="EK159" s="93"/>
      <c r="EL159" s="93"/>
      <c r="EM159" s="93"/>
      <c r="EN159" s="93"/>
      <c r="EO159" s="93"/>
      <c r="EP159" s="93"/>
      <c r="EQ159" s="93"/>
      <c r="ER159" s="93"/>
      <c r="ES159" s="93"/>
      <c r="ET159" s="93"/>
      <c r="EU159" s="93"/>
      <c r="EV159" s="93"/>
      <c r="EW159" s="93"/>
      <c r="EX159" s="93"/>
      <c r="EY159" s="93"/>
      <c r="EZ159" s="93"/>
      <c r="FA159" s="93"/>
      <c r="FB159" s="93"/>
      <c r="FC159" s="93"/>
      <c r="FD159" s="93"/>
      <c r="FE159" s="93"/>
      <c r="FF159" s="93"/>
      <c r="FG159" s="93"/>
      <c r="FH159" s="93"/>
      <c r="FI159" s="93"/>
      <c r="FJ159" s="93"/>
      <c r="FK159" s="93"/>
      <c r="FL159" s="93"/>
      <c r="FM159" s="93"/>
      <c r="FN159" s="93"/>
      <c r="FO159" s="93"/>
      <c r="FP159" s="93"/>
      <c r="FQ159" s="93"/>
      <c r="FR159" s="93"/>
      <c r="FS159" s="93"/>
      <c r="FT159" s="93"/>
      <c r="FU159" s="93"/>
      <c r="FV159" s="93"/>
      <c r="FW159" s="93"/>
      <c r="FX159" s="93"/>
      <c r="FY159" s="93"/>
      <c r="FZ159" s="93"/>
      <c r="GA159" s="93"/>
      <c r="GB159" s="93"/>
      <c r="GC159" s="93"/>
      <c r="GD159" s="93"/>
      <c r="GE159" s="93"/>
      <c r="GF159" s="93"/>
      <c r="GG159" s="93"/>
      <c r="GH159" s="93"/>
      <c r="GI159" s="93"/>
      <c r="GJ159" s="93"/>
      <c r="GK159" s="93"/>
      <c r="GL159" s="93"/>
      <c r="GM159" s="93"/>
      <c r="GN159" s="93"/>
      <c r="GO159" s="93"/>
      <c r="GP159" s="93"/>
      <c r="GQ159" s="93"/>
      <c r="GR159" s="93"/>
      <c r="GS159" s="93"/>
      <c r="GT159" s="93"/>
      <c r="GU159" s="93"/>
      <c r="GV159" s="93"/>
      <c r="GW159" s="93"/>
      <c r="GX159" s="93"/>
      <c r="GY159" s="93"/>
      <c r="GZ159" s="93"/>
      <c r="HA159" s="93"/>
      <c r="HB159" s="93"/>
      <c r="HC159" s="93"/>
      <c r="HD159" s="93"/>
      <c r="HE159" s="93"/>
      <c r="HF159" s="93"/>
      <c r="HG159" s="93"/>
      <c r="HH159" s="93"/>
      <c r="HI159" s="93"/>
      <c r="HJ159" s="93"/>
      <c r="HK159" s="93"/>
      <c r="HL159" s="93"/>
      <c r="HM159" s="93"/>
      <c r="HN159" s="93"/>
      <c r="HO159" s="93"/>
      <c r="HP159" s="93"/>
      <c r="HQ159" s="93"/>
      <c r="HR159" s="93"/>
      <c r="HS159" s="93"/>
      <c r="HT159" s="93"/>
      <c r="HU159" s="93"/>
      <c r="HV159" s="93"/>
      <c r="HW159" s="93"/>
      <c r="HX159" s="93"/>
      <c r="HY159" s="93"/>
      <c r="HZ159" s="93"/>
      <c r="IA159" s="93"/>
      <c r="IB159" s="93"/>
      <c r="IC159" s="93"/>
      <c r="ID159" s="93"/>
      <c r="IE159" s="93"/>
      <c r="IF159" s="93"/>
      <c r="IG159" s="93"/>
      <c r="IH159" s="93"/>
      <c r="II159" s="93"/>
      <c r="IJ159" s="93"/>
      <c r="IK159" s="93"/>
      <c r="IL159" s="93"/>
      <c r="IM159" s="93"/>
      <c r="IN159" s="93"/>
      <c r="IO159" s="93"/>
      <c r="IP159" s="93"/>
      <c r="IQ159" s="93"/>
      <c r="IR159" s="93"/>
      <c r="IS159" s="93"/>
      <c r="IT159" s="93"/>
      <c r="IU159" s="93"/>
      <c r="IV159" s="93"/>
      <c r="IW159" s="93"/>
      <c r="IX159" s="93"/>
      <c r="IY159" s="93"/>
      <c r="IZ159" s="93"/>
    </row>
    <row r="160" spans="1:260" s="95" customFormat="1">
      <c r="A160" s="93"/>
      <c r="E160" s="654" t="s">
        <v>156</v>
      </c>
      <c r="F160" s="651" t="s">
        <v>149</v>
      </c>
      <c r="G160" s="646">
        <f>G119</f>
        <v>1084646</v>
      </c>
      <c r="H160" s="647">
        <f>SUM(H119:I119)</f>
        <v>230</v>
      </c>
      <c r="I160" s="641">
        <f t="shared" si="65"/>
        <v>2.1200579605411125E-4</v>
      </c>
      <c r="J160" s="641" t="s">
        <v>2032</v>
      </c>
      <c r="K160" s="641" t="s">
        <v>2032</v>
      </c>
      <c r="L160" s="641" t="s">
        <v>2032</v>
      </c>
      <c r="P160" s="227"/>
      <c r="R160" s="158"/>
      <c r="S160" s="207"/>
      <c r="T160" s="207"/>
      <c r="U160" s="207"/>
      <c r="V160" s="207"/>
      <c r="W160" s="207"/>
      <c r="X160" s="207"/>
      <c r="Y160" s="207"/>
      <c r="Z160" s="207"/>
      <c r="AA160" s="207"/>
      <c r="AB160" s="207"/>
      <c r="AC160" s="207"/>
      <c r="AD160" s="207"/>
      <c r="AE160" s="207"/>
      <c r="AF160" s="207"/>
      <c r="AG160" s="207"/>
      <c r="AH160" s="207"/>
      <c r="AI160" s="207"/>
      <c r="AJ160" s="207"/>
      <c r="AK160" s="207"/>
      <c r="AL160" s="207"/>
      <c r="AM160" s="207"/>
      <c r="AN160" s="207"/>
      <c r="AO160" s="207"/>
      <c r="AP160" s="207"/>
      <c r="AQ160" s="94"/>
      <c r="AR160" s="94"/>
      <c r="AS160" s="94"/>
      <c r="AT160" s="94"/>
      <c r="AU160" s="94"/>
      <c r="AV160" s="94"/>
      <c r="AW160" s="94"/>
      <c r="AX160" s="94"/>
      <c r="AY160" s="94"/>
      <c r="AZ160" s="93"/>
      <c r="BA160" s="93"/>
      <c r="BB160" s="93"/>
      <c r="BC160" s="93"/>
      <c r="BD160" s="93"/>
      <c r="BE160" s="93"/>
      <c r="BF160" s="93"/>
      <c r="BG160" s="93"/>
      <c r="BH160" s="93"/>
      <c r="BI160" s="93"/>
      <c r="BJ160" s="93"/>
      <c r="BK160" s="93"/>
      <c r="BL160" s="93"/>
      <c r="BM160" s="93"/>
      <c r="BN160" s="93"/>
      <c r="BO160" s="93"/>
      <c r="BP160" s="93"/>
      <c r="BQ160" s="93"/>
      <c r="BR160" s="93"/>
      <c r="BS160" s="93"/>
      <c r="BT160" s="93"/>
      <c r="BU160" s="93"/>
      <c r="BV160" s="93"/>
      <c r="BW160" s="93"/>
      <c r="BX160" s="93"/>
      <c r="BY160" s="93"/>
      <c r="BZ160" s="93"/>
      <c r="CA160" s="93"/>
      <c r="CB160" s="93"/>
      <c r="CC160" s="93"/>
      <c r="CD160" s="93"/>
      <c r="CE160" s="93"/>
      <c r="CF160" s="93"/>
      <c r="CG160" s="93"/>
      <c r="CH160" s="93"/>
      <c r="CI160" s="93"/>
      <c r="CJ160" s="93"/>
      <c r="CK160" s="93"/>
      <c r="CL160" s="93"/>
      <c r="CM160" s="93"/>
      <c r="CN160" s="93"/>
      <c r="CO160" s="93"/>
      <c r="CP160" s="93"/>
      <c r="CQ160" s="93"/>
      <c r="CR160" s="93"/>
      <c r="CS160" s="93"/>
      <c r="CT160" s="93"/>
      <c r="CU160" s="93"/>
      <c r="CV160" s="93"/>
      <c r="CW160" s="93"/>
      <c r="CX160" s="93"/>
      <c r="CY160" s="93"/>
      <c r="CZ160" s="93"/>
      <c r="DA160" s="93"/>
      <c r="DB160" s="93"/>
      <c r="DC160" s="93"/>
      <c r="DD160" s="93"/>
      <c r="DE160" s="93"/>
      <c r="DF160" s="93"/>
      <c r="DG160" s="93"/>
      <c r="DH160" s="93"/>
      <c r="DI160" s="93"/>
      <c r="DJ160" s="93"/>
      <c r="DK160" s="93"/>
      <c r="DL160" s="93"/>
      <c r="DM160" s="93"/>
      <c r="DN160" s="93"/>
      <c r="DO160" s="93"/>
      <c r="DP160" s="93"/>
      <c r="DQ160" s="93"/>
      <c r="DR160" s="93"/>
      <c r="DS160" s="93"/>
      <c r="DT160" s="93"/>
      <c r="DU160" s="93"/>
      <c r="DV160" s="93"/>
      <c r="DW160" s="93"/>
      <c r="DX160" s="93"/>
      <c r="DY160" s="93"/>
      <c r="DZ160" s="93"/>
      <c r="EA160" s="93"/>
      <c r="EB160" s="93"/>
      <c r="EC160" s="93"/>
      <c r="ED160" s="93"/>
      <c r="EE160" s="93"/>
      <c r="EF160" s="93"/>
      <c r="EG160" s="93"/>
      <c r="EH160" s="93"/>
      <c r="EI160" s="93"/>
      <c r="EJ160" s="93"/>
      <c r="EK160" s="93"/>
      <c r="EL160" s="93"/>
      <c r="EM160" s="93"/>
      <c r="EN160" s="93"/>
      <c r="EO160" s="93"/>
      <c r="EP160" s="93"/>
      <c r="EQ160" s="93"/>
      <c r="ER160" s="93"/>
      <c r="ES160" s="93"/>
      <c r="ET160" s="93"/>
      <c r="EU160" s="93"/>
      <c r="EV160" s="93"/>
      <c r="EW160" s="93"/>
      <c r="EX160" s="93"/>
      <c r="EY160" s="93"/>
      <c r="EZ160" s="93"/>
      <c r="FA160" s="93"/>
      <c r="FB160" s="93"/>
      <c r="FC160" s="93"/>
      <c r="FD160" s="93"/>
      <c r="FE160" s="93"/>
      <c r="FF160" s="93"/>
      <c r="FG160" s="93"/>
      <c r="FH160" s="93"/>
      <c r="FI160" s="93"/>
      <c r="FJ160" s="93"/>
      <c r="FK160" s="93"/>
      <c r="FL160" s="93"/>
      <c r="FM160" s="93"/>
      <c r="FN160" s="93"/>
      <c r="FO160" s="93"/>
      <c r="FP160" s="93"/>
      <c r="FQ160" s="93"/>
      <c r="FR160" s="93"/>
      <c r="FS160" s="93"/>
      <c r="FT160" s="93"/>
      <c r="FU160" s="93"/>
      <c r="FV160" s="93"/>
      <c r="FW160" s="93"/>
      <c r="FX160" s="93"/>
      <c r="FY160" s="93"/>
      <c r="FZ160" s="93"/>
      <c r="GA160" s="93"/>
      <c r="GB160" s="93"/>
      <c r="GC160" s="93"/>
      <c r="GD160" s="93"/>
      <c r="GE160" s="93"/>
      <c r="GF160" s="93"/>
      <c r="GG160" s="93"/>
      <c r="GH160" s="93"/>
      <c r="GI160" s="93"/>
      <c r="GJ160" s="93"/>
      <c r="GK160" s="93"/>
      <c r="GL160" s="93"/>
      <c r="GM160" s="93"/>
      <c r="GN160" s="93"/>
      <c r="GO160" s="93"/>
      <c r="GP160" s="93"/>
      <c r="GQ160" s="93"/>
      <c r="GR160" s="93"/>
      <c r="GS160" s="93"/>
      <c r="GT160" s="93"/>
      <c r="GU160" s="93"/>
      <c r="GV160" s="93"/>
      <c r="GW160" s="93"/>
      <c r="GX160" s="93"/>
      <c r="GY160" s="93"/>
      <c r="GZ160" s="93"/>
      <c r="HA160" s="93"/>
      <c r="HB160" s="93"/>
      <c r="HC160" s="93"/>
      <c r="HD160" s="93"/>
      <c r="HE160" s="93"/>
      <c r="HF160" s="93"/>
      <c r="HG160" s="93"/>
      <c r="HH160" s="93"/>
      <c r="HI160" s="93"/>
      <c r="HJ160" s="93"/>
      <c r="HK160" s="93"/>
      <c r="HL160" s="93"/>
      <c r="HM160" s="93"/>
      <c r="HN160" s="93"/>
      <c r="HO160" s="93"/>
      <c r="HP160" s="93"/>
      <c r="HQ160" s="93"/>
      <c r="HR160" s="93"/>
      <c r="HS160" s="93"/>
      <c r="HT160" s="93"/>
      <c r="HU160" s="93"/>
      <c r="HV160" s="93"/>
      <c r="HW160" s="93"/>
      <c r="HX160" s="93"/>
      <c r="HY160" s="93"/>
      <c r="HZ160" s="93"/>
      <c r="IA160" s="93"/>
      <c r="IB160" s="93"/>
      <c r="IC160" s="93"/>
      <c r="ID160" s="93"/>
      <c r="IE160" s="93"/>
      <c r="IF160" s="93"/>
      <c r="IG160" s="93"/>
      <c r="IH160" s="93"/>
      <c r="II160" s="93"/>
      <c r="IJ160" s="93"/>
      <c r="IK160" s="93"/>
      <c r="IL160" s="93"/>
      <c r="IM160" s="93"/>
      <c r="IN160" s="93"/>
      <c r="IO160" s="93"/>
      <c r="IP160" s="93"/>
      <c r="IQ160" s="93"/>
      <c r="IR160" s="93"/>
      <c r="IS160" s="93"/>
      <c r="IT160" s="93"/>
      <c r="IU160" s="93"/>
      <c r="IV160" s="93"/>
      <c r="IW160" s="93"/>
      <c r="IX160" s="93"/>
      <c r="IY160" s="93"/>
      <c r="IZ160" s="93"/>
    </row>
    <row r="161" spans="1:260" s="95" customFormat="1">
      <c r="A161" s="93"/>
      <c r="E161" s="654" t="s">
        <v>1811</v>
      </c>
      <c r="F161" s="651" t="s">
        <v>149</v>
      </c>
      <c r="G161" s="646">
        <f>G126</f>
        <v>941103</v>
      </c>
      <c r="H161" s="647">
        <f>SUM(H126:K126)</f>
        <v>31</v>
      </c>
      <c r="I161" s="641">
        <f>IFERROR(H161/(G161+H161),0)</f>
        <v>3.2938986371760029E-5</v>
      </c>
      <c r="J161" s="641" t="s">
        <v>2032</v>
      </c>
      <c r="K161" s="641" t="s">
        <v>2032</v>
      </c>
      <c r="L161" s="641" t="s">
        <v>2032</v>
      </c>
      <c r="P161" s="227"/>
      <c r="R161" s="158"/>
      <c r="S161" s="207"/>
      <c r="T161" s="207"/>
      <c r="U161" s="207"/>
      <c r="V161" s="207"/>
      <c r="W161" s="207"/>
      <c r="X161" s="207"/>
      <c r="Y161" s="207"/>
      <c r="Z161" s="207"/>
      <c r="AA161" s="207"/>
      <c r="AB161" s="207"/>
      <c r="AC161" s="207"/>
      <c r="AD161" s="207"/>
      <c r="AE161" s="207"/>
      <c r="AF161" s="207"/>
      <c r="AG161" s="207"/>
      <c r="AH161" s="207"/>
      <c r="AI161" s="207"/>
      <c r="AJ161" s="207"/>
      <c r="AK161" s="207"/>
      <c r="AL161" s="207"/>
      <c r="AM161" s="207"/>
      <c r="AN161" s="207"/>
      <c r="AO161" s="207"/>
      <c r="AP161" s="207"/>
      <c r="AQ161" s="94"/>
      <c r="AR161" s="94"/>
      <c r="AS161" s="94"/>
      <c r="AT161" s="94"/>
      <c r="AU161" s="94"/>
      <c r="AV161" s="94"/>
      <c r="AW161" s="94"/>
      <c r="AX161" s="94"/>
      <c r="AY161" s="94"/>
      <c r="AZ161" s="93"/>
      <c r="BA161" s="93"/>
      <c r="BB161" s="93"/>
      <c r="BC161" s="93"/>
      <c r="BD161" s="93"/>
      <c r="BE161" s="93"/>
      <c r="BF161" s="93"/>
      <c r="BG161" s="93"/>
      <c r="BH161" s="93"/>
      <c r="BI161" s="93"/>
      <c r="BJ161" s="93"/>
      <c r="BK161" s="93"/>
      <c r="BL161" s="93"/>
      <c r="BM161" s="93"/>
      <c r="BN161" s="93"/>
      <c r="BO161" s="93"/>
      <c r="BP161" s="93"/>
      <c r="BQ161" s="93"/>
      <c r="BR161" s="93"/>
      <c r="BS161" s="93"/>
      <c r="BT161" s="93"/>
      <c r="BU161" s="93"/>
      <c r="BV161" s="93"/>
      <c r="BW161" s="93"/>
      <c r="BX161" s="93"/>
      <c r="BY161" s="93"/>
      <c r="BZ161" s="93"/>
      <c r="CA161" s="93"/>
      <c r="CB161" s="93"/>
      <c r="CC161" s="93"/>
      <c r="CD161" s="93"/>
      <c r="CE161" s="93"/>
      <c r="CF161" s="93"/>
      <c r="CG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93"/>
      <c r="DI161" s="93"/>
      <c r="DJ161" s="93"/>
      <c r="DK161" s="93"/>
      <c r="DL161" s="93"/>
      <c r="DM161" s="93"/>
      <c r="DN161" s="93"/>
      <c r="DO161" s="93"/>
      <c r="DP161" s="93"/>
      <c r="DQ161" s="93"/>
      <c r="DR161" s="93"/>
      <c r="DS161" s="93"/>
      <c r="DT161" s="93"/>
      <c r="DU161" s="93"/>
      <c r="DV161" s="93"/>
      <c r="DW161" s="93"/>
      <c r="DX161" s="93"/>
      <c r="DY161" s="93"/>
      <c r="DZ161" s="93"/>
      <c r="EA161" s="93"/>
      <c r="EB161" s="93"/>
      <c r="EC161" s="93"/>
      <c r="ED161" s="93"/>
      <c r="EE161" s="93"/>
      <c r="EF161" s="93"/>
      <c r="EG161" s="93"/>
      <c r="EH161" s="93"/>
      <c r="EI161" s="93"/>
      <c r="EJ161" s="93"/>
      <c r="EK161" s="93"/>
      <c r="EL161" s="93"/>
      <c r="EM161" s="93"/>
      <c r="EN161" s="93"/>
      <c r="EO161" s="93"/>
      <c r="EP161" s="93"/>
      <c r="EQ161" s="93"/>
      <c r="ER161" s="93"/>
      <c r="ES161" s="93"/>
      <c r="ET161" s="93"/>
      <c r="EU161" s="93"/>
      <c r="EV161" s="93"/>
      <c r="EW161" s="93"/>
      <c r="EX161" s="93"/>
      <c r="EY161" s="93"/>
      <c r="EZ161" s="93"/>
      <c r="FA161" s="93"/>
      <c r="FB161" s="93"/>
      <c r="FC161" s="93"/>
      <c r="FD161" s="93"/>
      <c r="FE161" s="93"/>
      <c r="FF161" s="93"/>
      <c r="FG161" s="93"/>
      <c r="FH161" s="93"/>
      <c r="FI161" s="93"/>
      <c r="FJ161" s="93"/>
      <c r="FK161" s="93"/>
      <c r="FL161" s="93"/>
      <c r="FM161" s="93"/>
      <c r="FN161" s="93"/>
      <c r="FO161" s="93"/>
      <c r="FP161" s="93"/>
      <c r="FQ161" s="93"/>
      <c r="FR161" s="93"/>
      <c r="FS161" s="93"/>
      <c r="FT161" s="93"/>
      <c r="FU161" s="93"/>
      <c r="FV161" s="93"/>
      <c r="FW161" s="93"/>
      <c r="FX161" s="93"/>
      <c r="FY161" s="93"/>
      <c r="FZ161" s="93"/>
      <c r="GA161" s="93"/>
      <c r="GB161" s="93"/>
      <c r="GC161" s="93"/>
      <c r="GD161" s="93"/>
      <c r="GE161" s="93"/>
      <c r="GF161" s="93"/>
      <c r="GG161" s="93"/>
      <c r="GH161" s="93"/>
      <c r="GI161" s="93"/>
      <c r="GJ161" s="93"/>
      <c r="GK161" s="93"/>
      <c r="GL161" s="93"/>
      <c r="GM161" s="93"/>
      <c r="GN161" s="93"/>
      <c r="GO161" s="93"/>
      <c r="GP161" s="93"/>
      <c r="GQ161" s="93"/>
      <c r="GR161" s="93"/>
      <c r="GS161" s="93"/>
      <c r="GT161" s="93"/>
      <c r="GU161" s="93"/>
      <c r="GV161" s="93"/>
      <c r="GW161" s="93"/>
      <c r="GX161" s="93"/>
      <c r="GY161" s="93"/>
      <c r="GZ161" s="93"/>
      <c r="HA161" s="93"/>
      <c r="HB161" s="93"/>
      <c r="HC161" s="93"/>
      <c r="HD161" s="93"/>
      <c r="HE161" s="93"/>
      <c r="HF161" s="93"/>
      <c r="HG161" s="93"/>
      <c r="HH161" s="93"/>
      <c r="HI161" s="93"/>
      <c r="HJ161" s="93"/>
      <c r="HK161" s="93"/>
      <c r="HL161" s="93"/>
      <c r="HM161" s="93"/>
      <c r="HN161" s="93"/>
      <c r="HO161" s="93"/>
      <c r="HP161" s="93"/>
      <c r="HQ161" s="93"/>
      <c r="HR161" s="93"/>
      <c r="HS161" s="93"/>
      <c r="HT161" s="93"/>
      <c r="HU161" s="93"/>
      <c r="HV161" s="93"/>
      <c r="HW161" s="93"/>
      <c r="HX161" s="93"/>
      <c r="HY161" s="93"/>
      <c r="HZ161" s="93"/>
      <c r="IA161" s="93"/>
      <c r="IB161" s="93"/>
      <c r="IC161" s="93"/>
      <c r="ID161" s="93"/>
      <c r="IE161" s="93"/>
      <c r="IF161" s="93"/>
      <c r="IG161" s="93"/>
      <c r="IH161" s="93"/>
      <c r="II161" s="93"/>
      <c r="IJ161" s="93"/>
      <c r="IK161" s="93"/>
      <c r="IL161" s="93"/>
      <c r="IM161" s="93"/>
      <c r="IN161" s="93"/>
      <c r="IO161" s="93"/>
      <c r="IP161" s="93"/>
      <c r="IQ161" s="93"/>
      <c r="IR161" s="93"/>
      <c r="IS161" s="93"/>
      <c r="IT161" s="93"/>
      <c r="IU161" s="93"/>
      <c r="IV161" s="93"/>
      <c r="IW161" s="93"/>
      <c r="IX161" s="93"/>
      <c r="IY161" s="93"/>
      <c r="IZ161" s="93"/>
    </row>
    <row r="162" spans="1:260" s="95" customFormat="1">
      <c r="A162" s="93"/>
      <c r="E162" s="654" t="s">
        <v>104</v>
      </c>
      <c r="F162" s="651" t="s">
        <v>149</v>
      </c>
      <c r="G162" s="646">
        <f>G133</f>
        <v>1055247</v>
      </c>
      <c r="H162" s="647">
        <f>SUM(H133:I133)</f>
        <v>7049</v>
      </c>
      <c r="I162" s="641">
        <f t="shared" si="65"/>
        <v>6.6356269815569299E-3</v>
      </c>
      <c r="J162" s="641" t="s">
        <v>2032</v>
      </c>
      <c r="K162" s="641" t="s">
        <v>2032</v>
      </c>
      <c r="L162" s="641" t="s">
        <v>2032</v>
      </c>
      <c r="P162" s="227"/>
      <c r="Q162" s="95" t="s">
        <v>107</v>
      </c>
      <c r="R162" s="158"/>
      <c r="S162" s="207"/>
      <c r="T162" s="207"/>
      <c r="U162" s="207"/>
      <c r="V162" s="207"/>
      <c r="W162" s="207"/>
      <c r="X162" s="207"/>
      <c r="Y162" s="207"/>
      <c r="Z162" s="207"/>
      <c r="AA162" s="207"/>
      <c r="AB162" s="207"/>
      <c r="AC162" s="207"/>
      <c r="AD162" s="207"/>
      <c r="AE162" s="207"/>
      <c r="AF162" s="207"/>
      <c r="AG162" s="207"/>
      <c r="AH162" s="207"/>
      <c r="AI162" s="207"/>
      <c r="AJ162" s="207"/>
      <c r="AK162" s="207"/>
      <c r="AL162" s="207"/>
      <c r="AM162" s="207"/>
      <c r="AN162" s="207"/>
      <c r="AO162" s="207"/>
      <c r="AP162" s="207"/>
      <c r="AQ162" s="94"/>
      <c r="AR162" s="94"/>
      <c r="AS162" s="94"/>
      <c r="AT162" s="94"/>
      <c r="AU162" s="94"/>
      <c r="AV162" s="94"/>
      <c r="AW162" s="94"/>
      <c r="AX162" s="94"/>
      <c r="AY162" s="94"/>
      <c r="AZ162" s="93"/>
      <c r="BA162" s="93"/>
      <c r="BB162" s="93"/>
      <c r="BC162" s="93"/>
      <c r="BD162" s="93"/>
      <c r="BE162" s="93"/>
      <c r="BF162" s="93"/>
      <c r="BG162" s="93"/>
      <c r="BH162" s="93"/>
      <c r="BI162" s="93"/>
      <c r="BJ162" s="93"/>
      <c r="BK162" s="93"/>
      <c r="BL162" s="93"/>
      <c r="BM162" s="93"/>
      <c r="BN162" s="93"/>
      <c r="BO162" s="93"/>
      <c r="BP162" s="93"/>
      <c r="BQ162" s="93"/>
      <c r="BR162" s="93"/>
      <c r="BS162" s="93"/>
      <c r="BT162" s="93"/>
      <c r="BU162" s="93"/>
      <c r="BV162" s="93"/>
      <c r="BW162" s="93"/>
      <c r="BX162" s="93"/>
      <c r="BY162" s="93"/>
      <c r="BZ162" s="93"/>
      <c r="CA162" s="93"/>
      <c r="CB162" s="93"/>
      <c r="CC162" s="93"/>
      <c r="CD162" s="93"/>
      <c r="CE162" s="93"/>
      <c r="CF162" s="93"/>
      <c r="CG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93"/>
      <c r="DI162" s="93"/>
      <c r="DJ162" s="93"/>
      <c r="DK162" s="93"/>
      <c r="DL162" s="93"/>
      <c r="DM162" s="93"/>
      <c r="DN162" s="93"/>
      <c r="DO162" s="93"/>
      <c r="DP162" s="93"/>
      <c r="DQ162" s="93"/>
      <c r="DR162" s="93"/>
      <c r="DS162" s="93"/>
      <c r="DT162" s="93"/>
      <c r="DU162" s="93"/>
      <c r="DV162" s="93"/>
      <c r="DW162" s="93"/>
      <c r="DX162" s="93"/>
      <c r="DY162" s="93"/>
      <c r="DZ162" s="93"/>
      <c r="EA162" s="93"/>
      <c r="EB162" s="93"/>
      <c r="EC162" s="93"/>
      <c r="ED162" s="93"/>
      <c r="EE162" s="93"/>
      <c r="EF162" s="93"/>
      <c r="EG162" s="93"/>
      <c r="EH162" s="93"/>
      <c r="EI162" s="93"/>
      <c r="EJ162" s="93"/>
      <c r="EK162" s="93"/>
      <c r="EL162" s="93"/>
      <c r="EM162" s="93"/>
      <c r="EN162" s="93"/>
      <c r="EO162" s="93"/>
      <c r="EP162" s="93"/>
      <c r="EQ162" s="93"/>
      <c r="ER162" s="93"/>
      <c r="ES162" s="93"/>
      <c r="ET162" s="93"/>
      <c r="EU162" s="93"/>
      <c r="EV162" s="93"/>
      <c r="EW162" s="93"/>
      <c r="EX162" s="93"/>
      <c r="EY162" s="93"/>
      <c r="EZ162" s="93"/>
      <c r="FA162" s="93"/>
      <c r="FB162" s="93"/>
      <c r="FC162" s="93"/>
      <c r="FD162" s="93"/>
      <c r="FE162" s="93"/>
      <c r="FF162" s="93"/>
      <c r="FG162" s="93"/>
      <c r="FH162" s="93"/>
      <c r="FI162" s="93"/>
      <c r="FJ162" s="93"/>
      <c r="FK162" s="93"/>
      <c r="FL162" s="93"/>
      <c r="FM162" s="93"/>
      <c r="FN162" s="93"/>
      <c r="FO162" s="93"/>
      <c r="FP162" s="93"/>
      <c r="FQ162" s="93"/>
      <c r="FR162" s="93"/>
      <c r="FS162" s="93"/>
      <c r="FT162" s="93"/>
      <c r="FU162" s="93"/>
      <c r="FV162" s="93"/>
      <c r="FW162" s="93"/>
      <c r="FX162" s="93"/>
      <c r="FY162" s="93"/>
      <c r="FZ162" s="93"/>
      <c r="GA162" s="93"/>
      <c r="GB162" s="93"/>
      <c r="GC162" s="93"/>
      <c r="GD162" s="93"/>
      <c r="GE162" s="93"/>
      <c r="GF162" s="93"/>
      <c r="GG162" s="93"/>
      <c r="GH162" s="93"/>
      <c r="GI162" s="93"/>
      <c r="GJ162" s="93"/>
      <c r="GK162" s="93"/>
      <c r="GL162" s="93"/>
      <c r="GM162" s="93"/>
      <c r="GN162" s="93"/>
      <c r="GO162" s="93"/>
      <c r="GP162" s="93"/>
      <c r="GQ162" s="93"/>
      <c r="GR162" s="93"/>
      <c r="GS162" s="93"/>
      <c r="GT162" s="93"/>
      <c r="GU162" s="93"/>
      <c r="GV162" s="93"/>
      <c r="GW162" s="93"/>
      <c r="GX162" s="93"/>
      <c r="GY162" s="93"/>
      <c r="GZ162" s="93"/>
      <c r="HA162" s="93"/>
      <c r="HB162" s="93"/>
      <c r="HC162" s="93"/>
      <c r="HD162" s="93"/>
      <c r="HE162" s="93"/>
      <c r="HF162" s="93"/>
      <c r="HG162" s="93"/>
      <c r="HH162" s="93"/>
      <c r="HI162" s="93"/>
      <c r="HJ162" s="93"/>
      <c r="HK162" s="93"/>
      <c r="HL162" s="93"/>
      <c r="HM162" s="93"/>
      <c r="HN162" s="93"/>
      <c r="HO162" s="93"/>
      <c r="HP162" s="93"/>
      <c r="HQ162" s="93"/>
      <c r="HR162" s="93"/>
      <c r="HS162" s="93"/>
      <c r="HT162" s="93"/>
      <c r="HU162" s="93"/>
      <c r="HV162" s="93"/>
      <c r="HW162" s="93"/>
      <c r="HX162" s="93"/>
      <c r="HY162" s="93"/>
      <c r="HZ162" s="93"/>
      <c r="IA162" s="93"/>
      <c r="IB162" s="93"/>
      <c r="IC162" s="93"/>
      <c r="ID162" s="93"/>
      <c r="IE162" s="93"/>
      <c r="IF162" s="93"/>
      <c r="IG162" s="93"/>
      <c r="IH162" s="93"/>
      <c r="II162" s="93"/>
      <c r="IJ162" s="93"/>
      <c r="IK162" s="93"/>
      <c r="IL162" s="93"/>
      <c r="IM162" s="93"/>
      <c r="IN162" s="93"/>
      <c r="IO162" s="93"/>
      <c r="IP162" s="93"/>
      <c r="IQ162" s="93"/>
      <c r="IR162" s="93"/>
      <c r="IS162" s="93"/>
      <c r="IT162" s="93"/>
      <c r="IU162" s="93"/>
      <c r="IV162" s="93"/>
      <c r="IW162" s="93"/>
      <c r="IX162" s="93"/>
      <c r="IY162" s="93"/>
      <c r="IZ162" s="93"/>
    </row>
    <row r="163" spans="1:260" s="95" customFormat="1" ht="15" thickBot="1">
      <c r="A163" s="93"/>
      <c r="E163" s="655" t="s">
        <v>158</v>
      </c>
      <c r="F163" s="652" t="s">
        <v>149</v>
      </c>
      <c r="G163" s="648">
        <f>G140</f>
        <v>643816</v>
      </c>
      <c r="H163" s="649">
        <f>SUM(H140:I140)</f>
        <v>396</v>
      </c>
      <c r="I163" s="642">
        <f t="shared" si="65"/>
        <v>6.14704476166231E-4</v>
      </c>
      <c r="J163" s="642" t="s">
        <v>2032</v>
      </c>
      <c r="K163" s="642" t="s">
        <v>2032</v>
      </c>
      <c r="L163" s="642" t="s">
        <v>2032</v>
      </c>
      <c r="P163" s="227"/>
      <c r="R163" s="158"/>
      <c r="S163" s="207"/>
      <c r="T163" s="207"/>
      <c r="U163" s="207"/>
      <c r="V163" s="207"/>
      <c r="W163" s="207"/>
      <c r="X163" s="207"/>
      <c r="Y163" s="207"/>
      <c r="Z163" s="207"/>
      <c r="AA163" s="207"/>
      <c r="AB163" s="207"/>
      <c r="AC163" s="207"/>
      <c r="AD163" s="207"/>
      <c r="AE163" s="207"/>
      <c r="AF163" s="207"/>
      <c r="AG163" s="207"/>
      <c r="AH163" s="207"/>
      <c r="AI163" s="207"/>
      <c r="AJ163" s="207"/>
      <c r="AK163" s="207"/>
      <c r="AL163" s="207"/>
      <c r="AM163" s="207"/>
      <c r="AN163" s="207"/>
      <c r="AO163" s="207"/>
      <c r="AP163" s="207"/>
      <c r="AQ163" s="94"/>
      <c r="AR163" s="94"/>
      <c r="AS163" s="94"/>
      <c r="AT163" s="94"/>
      <c r="AU163" s="94"/>
      <c r="AV163" s="94"/>
      <c r="AW163" s="94"/>
      <c r="AX163" s="94"/>
      <c r="AY163" s="94"/>
      <c r="AZ163" s="93"/>
      <c r="BA163" s="93"/>
      <c r="BB163" s="93"/>
      <c r="BC163" s="93"/>
      <c r="BD163" s="93"/>
      <c r="BE163" s="93"/>
      <c r="BF163" s="93"/>
      <c r="BG163" s="93"/>
      <c r="BH163" s="93"/>
      <c r="BI163" s="93"/>
      <c r="BJ163" s="93"/>
      <c r="BK163" s="93"/>
      <c r="BL163" s="93"/>
      <c r="BM163" s="93"/>
      <c r="BN163" s="93"/>
      <c r="BO163" s="93"/>
      <c r="BP163" s="93"/>
      <c r="BQ163" s="93"/>
      <c r="BR163" s="93"/>
      <c r="BS163" s="93"/>
      <c r="BT163" s="93"/>
      <c r="BU163" s="93"/>
      <c r="BV163" s="93"/>
      <c r="BW163" s="93"/>
      <c r="BX163" s="93"/>
      <c r="BY163" s="93"/>
      <c r="BZ163" s="93"/>
      <c r="CA163" s="93"/>
      <c r="CB163" s="93"/>
      <c r="CC163" s="93"/>
      <c r="CD163" s="93"/>
      <c r="CE163" s="93"/>
      <c r="CF163" s="93"/>
      <c r="CG163" s="93"/>
      <c r="CH163" s="93"/>
      <c r="CI163" s="93"/>
      <c r="CJ163" s="93"/>
      <c r="CK163" s="93"/>
      <c r="CL163" s="93"/>
      <c r="CM163" s="93"/>
      <c r="CN163" s="93"/>
      <c r="CO163" s="93"/>
      <c r="CP163" s="93"/>
      <c r="CQ163" s="93"/>
      <c r="CR163" s="93"/>
      <c r="CS163" s="93"/>
      <c r="CT163" s="93"/>
      <c r="CU163" s="93"/>
      <c r="CV163" s="93"/>
      <c r="CW163" s="93"/>
      <c r="CX163" s="93"/>
      <c r="CY163" s="93"/>
      <c r="CZ163" s="93"/>
      <c r="DA163" s="93"/>
      <c r="DB163" s="93"/>
      <c r="DC163" s="93"/>
      <c r="DD163" s="93"/>
      <c r="DE163" s="93"/>
      <c r="DF163" s="93"/>
      <c r="DG163" s="93"/>
      <c r="DH163" s="93"/>
      <c r="DI163" s="93"/>
      <c r="DJ163" s="93"/>
      <c r="DK163" s="93"/>
      <c r="DL163" s="93"/>
      <c r="DM163" s="93"/>
      <c r="DN163" s="93"/>
      <c r="DO163" s="93"/>
      <c r="DP163" s="93"/>
      <c r="DQ163" s="93"/>
      <c r="DR163" s="93"/>
      <c r="DS163" s="93"/>
      <c r="DT163" s="93"/>
      <c r="DU163" s="93"/>
      <c r="DV163" s="93"/>
      <c r="DW163" s="93"/>
      <c r="DX163" s="93"/>
      <c r="DY163" s="93"/>
      <c r="DZ163" s="93"/>
      <c r="EA163" s="93"/>
      <c r="EB163" s="93"/>
      <c r="EC163" s="93"/>
      <c r="ED163" s="93"/>
      <c r="EE163" s="93"/>
      <c r="EF163" s="93"/>
      <c r="EG163" s="93"/>
      <c r="EH163" s="93"/>
      <c r="EI163" s="93"/>
      <c r="EJ163" s="93"/>
      <c r="EK163" s="93"/>
      <c r="EL163" s="93"/>
      <c r="EM163" s="93"/>
      <c r="EN163" s="93"/>
      <c r="EO163" s="93"/>
      <c r="EP163" s="93"/>
      <c r="EQ163" s="93"/>
      <c r="ER163" s="93"/>
      <c r="ES163" s="93"/>
      <c r="ET163" s="93"/>
      <c r="EU163" s="93"/>
      <c r="EV163" s="93"/>
      <c r="EW163" s="93"/>
      <c r="EX163" s="93"/>
      <c r="EY163" s="93"/>
      <c r="EZ163" s="93"/>
      <c r="FA163" s="93"/>
      <c r="FB163" s="93"/>
      <c r="FC163" s="93"/>
      <c r="FD163" s="93"/>
      <c r="FE163" s="93"/>
      <c r="FF163" s="93"/>
      <c r="FG163" s="93"/>
      <c r="FH163" s="93"/>
      <c r="FI163" s="93"/>
      <c r="FJ163" s="93"/>
      <c r="FK163" s="93"/>
      <c r="FL163" s="93"/>
      <c r="FM163" s="93"/>
      <c r="FN163" s="93"/>
      <c r="FO163" s="93"/>
      <c r="FP163" s="93"/>
      <c r="FQ163" s="93"/>
      <c r="FR163" s="93"/>
      <c r="FS163" s="93"/>
      <c r="FT163" s="93"/>
      <c r="FU163" s="93"/>
      <c r="FV163" s="93"/>
      <c r="FW163" s="93"/>
      <c r="FX163" s="93"/>
      <c r="FY163" s="93"/>
      <c r="FZ163" s="93"/>
      <c r="GA163" s="93"/>
      <c r="GB163" s="93"/>
      <c r="GC163" s="93"/>
      <c r="GD163" s="93"/>
      <c r="GE163" s="93"/>
      <c r="GF163" s="93"/>
      <c r="GG163" s="93"/>
      <c r="GH163" s="93"/>
      <c r="GI163" s="93"/>
      <c r="GJ163" s="93"/>
      <c r="GK163" s="93"/>
      <c r="GL163" s="93"/>
      <c r="GM163" s="93"/>
      <c r="GN163" s="93"/>
      <c r="GO163" s="93"/>
      <c r="GP163" s="93"/>
      <c r="GQ163" s="93"/>
      <c r="GR163" s="93"/>
      <c r="GS163" s="93"/>
      <c r="GT163" s="93"/>
      <c r="GU163" s="93"/>
      <c r="GV163" s="93"/>
      <c r="GW163" s="93"/>
      <c r="GX163" s="93"/>
      <c r="GY163" s="93"/>
      <c r="GZ163" s="93"/>
      <c r="HA163" s="93"/>
      <c r="HB163" s="93"/>
      <c r="HC163" s="93"/>
      <c r="HD163" s="93"/>
      <c r="HE163" s="93"/>
      <c r="HF163" s="93"/>
      <c r="HG163" s="93"/>
      <c r="HH163" s="93"/>
      <c r="HI163" s="93"/>
      <c r="HJ163" s="93"/>
      <c r="HK163" s="93"/>
      <c r="HL163" s="93"/>
      <c r="HM163" s="93"/>
      <c r="HN163" s="93"/>
      <c r="HO163" s="93"/>
      <c r="HP163" s="93"/>
      <c r="HQ163" s="93"/>
      <c r="HR163" s="93"/>
      <c r="HS163" s="93"/>
      <c r="HT163" s="93"/>
      <c r="HU163" s="93"/>
      <c r="HV163" s="93"/>
      <c r="HW163" s="93"/>
      <c r="HX163" s="93"/>
      <c r="HY163" s="93"/>
      <c r="HZ163" s="93"/>
      <c r="IA163" s="93"/>
      <c r="IB163" s="93"/>
      <c r="IC163" s="93"/>
      <c r="ID163" s="93"/>
      <c r="IE163" s="93"/>
      <c r="IF163" s="93"/>
      <c r="IG163" s="93"/>
      <c r="IH163" s="93"/>
      <c r="II163" s="93"/>
      <c r="IJ163" s="93"/>
      <c r="IK163" s="93"/>
      <c r="IL163" s="93"/>
      <c r="IM163" s="93"/>
      <c r="IN163" s="93"/>
      <c r="IO163" s="93"/>
      <c r="IP163" s="93"/>
      <c r="IQ163" s="93"/>
      <c r="IR163" s="93"/>
      <c r="IS163" s="93"/>
      <c r="IT163" s="93"/>
      <c r="IU163" s="93"/>
      <c r="IV163" s="93"/>
      <c r="IW163" s="93"/>
      <c r="IX163" s="93"/>
      <c r="IY163" s="93"/>
      <c r="IZ163" s="93"/>
    </row>
    <row r="164" spans="1:260" s="95" customFormat="1">
      <c r="A164" s="93"/>
      <c r="E164" s="653" t="s">
        <v>1988</v>
      </c>
      <c r="F164" s="910" t="s">
        <v>2051</v>
      </c>
      <c r="G164" s="644">
        <f>G3</f>
        <v>563933</v>
      </c>
      <c r="H164" s="645">
        <f>H3</f>
        <v>1471</v>
      </c>
      <c r="I164" s="912">
        <f>IFERROR(H164/(G164+H164),0)</f>
        <v>2.6016795070427519E-3</v>
      </c>
      <c r="J164" s="914">
        <f>F3</f>
        <v>568076</v>
      </c>
      <c r="K164" s="908">
        <f>K3</f>
        <v>2068</v>
      </c>
      <c r="L164" s="640">
        <f>IFERROR(K164/(J164+K164),0)</f>
        <v>3.6271538418364484E-3</v>
      </c>
      <c r="P164" s="227"/>
      <c r="R164" s="158"/>
      <c r="S164" s="207"/>
      <c r="T164" s="207"/>
      <c r="U164" s="207"/>
      <c r="V164" s="207"/>
      <c r="W164" s="207"/>
      <c r="X164" s="207"/>
      <c r="Y164" s="207"/>
      <c r="Z164" s="207"/>
      <c r="AA164" s="207"/>
      <c r="AB164" s="207"/>
      <c r="AC164" s="207"/>
      <c r="AD164" s="207"/>
      <c r="AE164" s="207"/>
      <c r="AF164" s="207"/>
      <c r="AG164" s="207"/>
      <c r="AH164" s="207"/>
      <c r="AI164" s="207"/>
      <c r="AJ164" s="207"/>
      <c r="AK164" s="207"/>
      <c r="AL164" s="207"/>
      <c r="AM164" s="207"/>
      <c r="AN164" s="207"/>
      <c r="AO164" s="207"/>
      <c r="AP164" s="207"/>
      <c r="AQ164" s="94"/>
      <c r="AR164" s="94"/>
      <c r="AS164" s="94"/>
      <c r="AT164" s="94"/>
      <c r="AU164" s="94"/>
      <c r="AV164" s="94"/>
      <c r="AW164" s="94"/>
      <c r="AX164" s="94"/>
      <c r="AY164" s="94"/>
      <c r="AZ164" s="93"/>
      <c r="BA164" s="93"/>
      <c r="BB164" s="93"/>
      <c r="BC164" s="93"/>
      <c r="BD164" s="93"/>
      <c r="BE164" s="93"/>
      <c r="BF164" s="93"/>
      <c r="BG164" s="93"/>
      <c r="BH164" s="93"/>
      <c r="BI164" s="93"/>
      <c r="BJ164" s="93"/>
      <c r="BK164" s="93"/>
      <c r="BL164" s="93"/>
      <c r="BM164" s="93"/>
      <c r="BN164" s="93"/>
      <c r="BO164" s="93"/>
      <c r="BP164" s="93"/>
      <c r="BQ164" s="93"/>
      <c r="BR164" s="93"/>
      <c r="BS164" s="93"/>
      <c r="BT164" s="93"/>
      <c r="BU164" s="93"/>
      <c r="BV164" s="93"/>
      <c r="BW164" s="93"/>
      <c r="BX164" s="93"/>
      <c r="BY164" s="93"/>
      <c r="BZ164" s="93"/>
      <c r="CA164" s="93"/>
      <c r="CB164" s="93"/>
      <c r="CC164" s="93"/>
      <c r="CD164" s="93"/>
      <c r="CE164" s="93"/>
      <c r="CF164" s="93"/>
      <c r="CG164" s="93"/>
      <c r="CH164" s="93"/>
      <c r="CI164" s="93"/>
      <c r="CJ164" s="93"/>
      <c r="CK164" s="93"/>
      <c r="CL164" s="93"/>
      <c r="CM164" s="93"/>
      <c r="CN164" s="93"/>
      <c r="CO164" s="93"/>
      <c r="CP164" s="93"/>
      <c r="CQ164" s="93"/>
      <c r="CR164" s="93"/>
      <c r="CS164" s="93"/>
      <c r="CT164" s="93"/>
      <c r="CU164" s="93"/>
      <c r="CV164" s="93"/>
      <c r="CW164" s="93"/>
      <c r="CX164" s="93"/>
      <c r="CY164" s="93"/>
      <c r="CZ164" s="93"/>
      <c r="DA164" s="93"/>
      <c r="DB164" s="93"/>
      <c r="DC164" s="93"/>
      <c r="DD164" s="93"/>
      <c r="DE164" s="93"/>
      <c r="DF164" s="93"/>
      <c r="DG164" s="93"/>
      <c r="DH164" s="93"/>
      <c r="DI164" s="93"/>
      <c r="DJ164" s="93"/>
      <c r="DK164" s="93"/>
      <c r="DL164" s="93"/>
      <c r="DM164" s="93"/>
      <c r="DN164" s="93"/>
      <c r="DO164" s="93"/>
      <c r="DP164" s="93"/>
      <c r="DQ164" s="93"/>
      <c r="DR164" s="93"/>
      <c r="DS164" s="93"/>
      <c r="DT164" s="93"/>
      <c r="DU164" s="93"/>
      <c r="DV164" s="93"/>
      <c r="DW164" s="93"/>
      <c r="DX164" s="93"/>
      <c r="DY164" s="93"/>
      <c r="DZ164" s="93"/>
      <c r="EA164" s="93"/>
      <c r="EB164" s="93"/>
      <c r="EC164" s="93"/>
      <c r="ED164" s="93"/>
      <c r="EE164" s="93"/>
      <c r="EF164" s="93"/>
      <c r="EG164" s="93"/>
      <c r="EH164" s="93"/>
      <c r="EI164" s="93"/>
      <c r="EJ164" s="93"/>
      <c r="EK164" s="93"/>
      <c r="EL164" s="93"/>
      <c r="EM164" s="93"/>
      <c r="EN164" s="93"/>
      <c r="EO164" s="93"/>
      <c r="EP164" s="93"/>
      <c r="EQ164" s="93"/>
      <c r="ER164" s="93"/>
      <c r="ES164" s="93"/>
      <c r="ET164" s="93"/>
      <c r="EU164" s="93"/>
      <c r="EV164" s="93"/>
      <c r="EW164" s="93"/>
      <c r="EX164" s="93"/>
      <c r="EY164" s="93"/>
      <c r="EZ164" s="93"/>
      <c r="FA164" s="93"/>
      <c r="FB164" s="93"/>
      <c r="FC164" s="93"/>
      <c r="FD164" s="93"/>
      <c r="FE164" s="93"/>
      <c r="FF164" s="93"/>
      <c r="FG164" s="93"/>
      <c r="FH164" s="93"/>
      <c r="FI164" s="93"/>
      <c r="FJ164" s="93"/>
      <c r="FK164" s="93"/>
      <c r="FL164" s="93"/>
      <c r="FM164" s="93"/>
      <c r="FN164" s="93"/>
      <c r="FO164" s="93"/>
      <c r="FP164" s="93"/>
      <c r="FQ164" s="93"/>
      <c r="FR164" s="93"/>
      <c r="FS164" s="93"/>
      <c r="FT164" s="93"/>
      <c r="FU164" s="93"/>
      <c r="FV164" s="93"/>
      <c r="FW164" s="93"/>
      <c r="FX164" s="93"/>
      <c r="FY164" s="93"/>
      <c r="FZ164" s="93"/>
      <c r="GA164" s="93"/>
      <c r="GB164" s="93"/>
      <c r="GC164" s="93"/>
      <c r="GD164" s="93"/>
      <c r="GE164" s="93"/>
      <c r="GF164" s="93"/>
      <c r="GG164" s="93"/>
      <c r="GH164" s="93"/>
      <c r="GI164" s="93"/>
      <c r="GJ164" s="93"/>
      <c r="GK164" s="93"/>
      <c r="GL164" s="93"/>
      <c r="GM164" s="93"/>
      <c r="GN164" s="93"/>
      <c r="GO164" s="93"/>
      <c r="GP164" s="93"/>
      <c r="GQ164" s="93"/>
      <c r="GR164" s="93"/>
      <c r="GS164" s="93"/>
      <c r="GT164" s="93"/>
      <c r="GU164" s="93"/>
      <c r="GV164" s="93"/>
      <c r="GW164" s="93"/>
      <c r="GX164" s="93"/>
      <c r="GY164" s="93"/>
      <c r="GZ164" s="93"/>
      <c r="HA164" s="93"/>
      <c r="HB164" s="93"/>
      <c r="HC164" s="93"/>
      <c r="HD164" s="93"/>
      <c r="HE164" s="93"/>
      <c r="HF164" s="93"/>
      <c r="HG164" s="93"/>
      <c r="HH164" s="93"/>
      <c r="HI164" s="93"/>
      <c r="HJ164" s="93"/>
      <c r="HK164" s="93"/>
      <c r="HL164" s="93"/>
      <c r="HM164" s="93"/>
      <c r="HN164" s="93"/>
      <c r="HO164" s="93"/>
      <c r="HP164" s="93"/>
      <c r="HQ164" s="93"/>
      <c r="HR164" s="93"/>
      <c r="HS164" s="93"/>
      <c r="HT164" s="93"/>
      <c r="HU164" s="93"/>
      <c r="HV164" s="93"/>
      <c r="HW164" s="93"/>
      <c r="HX164" s="93"/>
      <c r="HY164" s="93"/>
      <c r="HZ164" s="93"/>
      <c r="IA164" s="93"/>
      <c r="IB164" s="93"/>
      <c r="IC164" s="93"/>
      <c r="ID164" s="93"/>
      <c r="IE164" s="93"/>
      <c r="IF164" s="93"/>
      <c r="IG164" s="93"/>
      <c r="IH164" s="93"/>
      <c r="II164" s="93"/>
      <c r="IJ164" s="93"/>
      <c r="IK164" s="93"/>
      <c r="IL164" s="93"/>
      <c r="IM164" s="93"/>
      <c r="IN164" s="93"/>
      <c r="IO164" s="93"/>
      <c r="IP164" s="93"/>
      <c r="IQ164" s="93"/>
      <c r="IR164" s="93"/>
      <c r="IS164" s="93"/>
      <c r="IT164" s="93"/>
      <c r="IU164" s="93"/>
      <c r="IV164" s="93"/>
      <c r="IW164" s="93"/>
      <c r="IX164" s="93"/>
      <c r="IY164" s="93"/>
      <c r="IZ164" s="93"/>
    </row>
    <row r="165" spans="1:260" s="95" customFormat="1" ht="15" thickBot="1">
      <c r="A165" s="93"/>
      <c r="E165" s="655" t="s">
        <v>2146</v>
      </c>
      <c r="F165" s="911" t="s">
        <v>2805</v>
      </c>
      <c r="G165" s="648">
        <f>G11</f>
        <v>488403</v>
      </c>
      <c r="H165" s="649">
        <f>H11</f>
        <v>526</v>
      </c>
      <c r="I165" s="913">
        <f>IFERROR(H165/(G165+H165),0)</f>
        <v>1.0758208247005189E-3</v>
      </c>
      <c r="J165" s="915">
        <f>F11</f>
        <v>489657</v>
      </c>
      <c r="K165" s="916">
        <f>K11</f>
        <v>160</v>
      </c>
      <c r="L165" s="642">
        <f>IFERROR(K165/(J165+K165),0)</f>
        <v>3.2665260699404062E-4</v>
      </c>
      <c r="P165" s="227"/>
      <c r="R165" s="158"/>
      <c r="S165" s="207"/>
      <c r="T165" s="207"/>
      <c r="U165" s="207"/>
      <c r="V165" s="207"/>
      <c r="W165" s="207"/>
      <c r="X165" s="207"/>
      <c r="Y165" s="207"/>
      <c r="Z165" s="207"/>
      <c r="AA165" s="207"/>
      <c r="AB165" s="207"/>
      <c r="AC165" s="207"/>
      <c r="AD165" s="207"/>
      <c r="AE165" s="207"/>
      <c r="AF165" s="207"/>
      <c r="AG165" s="207"/>
      <c r="AH165" s="207"/>
      <c r="AI165" s="207"/>
      <c r="AJ165" s="207"/>
      <c r="AK165" s="207"/>
      <c r="AL165" s="207"/>
      <c r="AM165" s="207"/>
      <c r="AN165" s="207"/>
      <c r="AO165" s="207"/>
      <c r="AP165" s="207"/>
      <c r="AQ165" s="94"/>
      <c r="AR165" s="94"/>
      <c r="AS165" s="94"/>
      <c r="AT165" s="94"/>
      <c r="AU165" s="94"/>
      <c r="AV165" s="94"/>
      <c r="AW165" s="94"/>
      <c r="AX165" s="94"/>
      <c r="AY165" s="94"/>
      <c r="AZ165" s="93"/>
      <c r="BA165" s="93"/>
      <c r="BB165" s="93"/>
      <c r="BC165" s="93"/>
      <c r="BD165" s="93"/>
      <c r="BE165" s="93"/>
      <c r="BF165" s="93"/>
      <c r="BG165" s="93"/>
      <c r="BH165" s="93"/>
      <c r="BI165" s="93"/>
      <c r="BJ165" s="93"/>
      <c r="BK165" s="93"/>
      <c r="BL165" s="93"/>
      <c r="BM165" s="93"/>
      <c r="BN165" s="93"/>
      <c r="BO165" s="93"/>
      <c r="BP165" s="93"/>
      <c r="BQ165" s="93"/>
      <c r="BR165" s="93"/>
      <c r="BS165" s="93"/>
      <c r="BT165" s="93"/>
      <c r="BU165" s="93"/>
      <c r="BV165" s="93"/>
      <c r="BW165" s="93"/>
      <c r="BX165" s="93"/>
      <c r="BY165" s="93"/>
      <c r="BZ165" s="93"/>
      <c r="CA165" s="93"/>
      <c r="CB165" s="93"/>
      <c r="CC165" s="93"/>
      <c r="CD165" s="93"/>
      <c r="CE165" s="93"/>
      <c r="CF165" s="93"/>
      <c r="CG165" s="93"/>
      <c r="CH165" s="93"/>
      <c r="CI165" s="93"/>
      <c r="CJ165" s="93"/>
      <c r="CK165" s="93"/>
      <c r="CL165" s="93"/>
      <c r="CM165" s="93"/>
      <c r="CN165" s="93"/>
      <c r="CO165" s="93"/>
      <c r="CP165" s="93"/>
      <c r="CQ165" s="93"/>
      <c r="CR165" s="93"/>
      <c r="CS165" s="93"/>
      <c r="CT165" s="93"/>
      <c r="CU165" s="93"/>
      <c r="CV165" s="93"/>
      <c r="CW165" s="93"/>
      <c r="CX165" s="93"/>
      <c r="CY165" s="93"/>
      <c r="CZ165" s="93"/>
      <c r="DA165" s="93"/>
      <c r="DB165" s="93"/>
      <c r="DC165" s="93"/>
      <c r="DD165" s="93"/>
      <c r="DE165" s="93"/>
      <c r="DF165" s="93"/>
      <c r="DG165" s="93"/>
      <c r="DH165" s="93"/>
      <c r="DI165" s="93"/>
      <c r="DJ165" s="93"/>
      <c r="DK165" s="93"/>
      <c r="DL165" s="93"/>
      <c r="DM165" s="93"/>
      <c r="DN165" s="93"/>
      <c r="DO165" s="93"/>
      <c r="DP165" s="93"/>
      <c r="DQ165" s="93"/>
      <c r="DR165" s="93"/>
      <c r="DS165" s="93"/>
      <c r="DT165" s="93"/>
      <c r="DU165" s="93"/>
      <c r="DV165" s="93"/>
      <c r="DW165" s="93"/>
      <c r="DX165" s="93"/>
      <c r="DY165" s="93"/>
      <c r="DZ165" s="93"/>
      <c r="EA165" s="93"/>
      <c r="EB165" s="93"/>
      <c r="EC165" s="93"/>
      <c r="ED165" s="93"/>
      <c r="EE165" s="93"/>
      <c r="EF165" s="93"/>
      <c r="EG165" s="93"/>
      <c r="EH165" s="93"/>
      <c r="EI165" s="93"/>
      <c r="EJ165" s="93"/>
      <c r="EK165" s="93"/>
      <c r="EL165" s="93"/>
      <c r="EM165" s="93"/>
      <c r="EN165" s="93"/>
      <c r="EO165" s="93"/>
      <c r="EP165" s="93"/>
      <c r="EQ165" s="93"/>
      <c r="ER165" s="93"/>
      <c r="ES165" s="93"/>
      <c r="ET165" s="93"/>
      <c r="EU165" s="93"/>
      <c r="EV165" s="93"/>
      <c r="EW165" s="93"/>
      <c r="EX165" s="93"/>
      <c r="EY165" s="93"/>
      <c r="EZ165" s="93"/>
      <c r="FA165" s="93"/>
      <c r="FB165" s="93"/>
      <c r="FC165" s="93"/>
      <c r="FD165" s="93"/>
      <c r="FE165" s="93"/>
      <c r="FF165" s="93"/>
      <c r="FG165" s="93"/>
      <c r="FH165" s="93"/>
      <c r="FI165" s="93"/>
      <c r="FJ165" s="93"/>
      <c r="FK165" s="93"/>
      <c r="FL165" s="93"/>
      <c r="FM165" s="93"/>
      <c r="FN165" s="93"/>
      <c r="FO165" s="93"/>
      <c r="FP165" s="93"/>
      <c r="FQ165" s="93"/>
      <c r="FR165" s="93"/>
      <c r="FS165" s="93"/>
      <c r="FT165" s="93"/>
      <c r="FU165" s="93"/>
      <c r="FV165" s="93"/>
      <c r="FW165" s="93"/>
      <c r="FX165" s="93"/>
      <c r="FY165" s="93"/>
      <c r="FZ165" s="93"/>
      <c r="GA165" s="93"/>
      <c r="GB165" s="93"/>
      <c r="GC165" s="93"/>
      <c r="GD165" s="93"/>
      <c r="GE165" s="93"/>
      <c r="GF165" s="93"/>
      <c r="GG165" s="93"/>
      <c r="GH165" s="93"/>
      <c r="GI165" s="93"/>
      <c r="GJ165" s="93"/>
      <c r="GK165" s="93"/>
      <c r="GL165" s="93"/>
      <c r="GM165" s="93"/>
      <c r="GN165" s="93"/>
      <c r="GO165" s="93"/>
      <c r="GP165" s="93"/>
      <c r="GQ165" s="93"/>
      <c r="GR165" s="93"/>
      <c r="GS165" s="93"/>
      <c r="GT165" s="93"/>
      <c r="GU165" s="93"/>
      <c r="GV165" s="93"/>
      <c r="GW165" s="93"/>
      <c r="GX165" s="93"/>
      <c r="GY165" s="93"/>
      <c r="GZ165" s="93"/>
      <c r="HA165" s="93"/>
      <c r="HB165" s="93"/>
      <c r="HC165" s="93"/>
      <c r="HD165" s="93"/>
      <c r="HE165" s="93"/>
      <c r="HF165" s="93"/>
      <c r="HG165" s="93"/>
      <c r="HH165" s="93"/>
      <c r="HI165" s="93"/>
      <c r="HJ165" s="93"/>
      <c r="HK165" s="93"/>
      <c r="HL165" s="93"/>
      <c r="HM165" s="93"/>
      <c r="HN165" s="93"/>
      <c r="HO165" s="93"/>
      <c r="HP165" s="93"/>
      <c r="HQ165" s="93"/>
      <c r="HR165" s="93"/>
      <c r="HS165" s="93"/>
      <c r="HT165" s="93"/>
      <c r="HU165" s="93"/>
      <c r="HV165" s="93"/>
      <c r="HW165" s="93"/>
      <c r="HX165" s="93"/>
      <c r="HY165" s="93"/>
      <c r="HZ165" s="93"/>
      <c r="IA165" s="93"/>
      <c r="IB165" s="93"/>
      <c r="IC165" s="93"/>
      <c r="ID165" s="93"/>
      <c r="IE165" s="93"/>
      <c r="IF165" s="93"/>
      <c r="IG165" s="93"/>
      <c r="IH165" s="93"/>
      <c r="II165" s="93"/>
      <c r="IJ165" s="93"/>
      <c r="IK165" s="93"/>
      <c r="IL165" s="93"/>
      <c r="IM165" s="93"/>
      <c r="IN165" s="93"/>
      <c r="IO165" s="93"/>
      <c r="IP165" s="93"/>
      <c r="IQ165" s="93"/>
      <c r="IR165" s="93"/>
      <c r="IS165" s="93"/>
      <c r="IT165" s="93"/>
      <c r="IU165" s="93"/>
      <c r="IV165" s="93"/>
      <c r="IW165" s="93"/>
      <c r="IX165" s="93"/>
      <c r="IY165" s="93"/>
      <c r="IZ165" s="93"/>
    </row>
    <row r="166" spans="1:260" s="95" customFormat="1">
      <c r="A166" s="93"/>
      <c r="P166" s="227"/>
      <c r="R166" s="158"/>
      <c r="S166" s="207"/>
      <c r="T166" s="207"/>
      <c r="U166" s="207"/>
      <c r="V166" s="207"/>
      <c r="W166" s="207"/>
      <c r="X166" s="207"/>
      <c r="Y166" s="207"/>
      <c r="Z166" s="207"/>
      <c r="AA166" s="207"/>
      <c r="AB166" s="207"/>
      <c r="AC166" s="207"/>
      <c r="AD166" s="207"/>
      <c r="AE166" s="207"/>
      <c r="AF166" s="207"/>
      <c r="AG166" s="207"/>
      <c r="AH166" s="207"/>
      <c r="AI166" s="207"/>
      <c r="AJ166" s="207"/>
      <c r="AK166" s="207"/>
      <c r="AL166" s="207"/>
      <c r="AM166" s="207"/>
      <c r="AN166" s="207"/>
      <c r="AO166" s="207"/>
      <c r="AP166" s="207"/>
      <c r="AQ166" s="94"/>
      <c r="AR166" s="94"/>
      <c r="AS166" s="94"/>
      <c r="AT166" s="94"/>
      <c r="AU166" s="94"/>
      <c r="AV166" s="94"/>
      <c r="AW166" s="94"/>
      <c r="AX166" s="94"/>
      <c r="AY166" s="94"/>
      <c r="AZ166" s="93"/>
      <c r="BA166" s="93"/>
      <c r="BB166" s="93"/>
      <c r="BC166" s="93"/>
      <c r="BD166" s="93"/>
      <c r="BE166" s="93"/>
      <c r="BF166" s="93"/>
      <c r="BG166" s="93"/>
      <c r="BH166" s="93"/>
      <c r="BI166" s="93"/>
      <c r="BJ166" s="93"/>
      <c r="BK166" s="93"/>
      <c r="BL166" s="93"/>
      <c r="BM166" s="93"/>
      <c r="BN166" s="93"/>
      <c r="BO166" s="93"/>
      <c r="BP166" s="93"/>
      <c r="BQ166" s="93"/>
      <c r="BR166" s="93"/>
      <c r="BS166" s="93"/>
      <c r="BT166" s="93"/>
      <c r="BU166" s="93"/>
      <c r="BV166" s="93"/>
      <c r="BW166" s="93"/>
      <c r="BX166" s="93"/>
      <c r="BY166" s="93"/>
      <c r="BZ166" s="93"/>
      <c r="CA166" s="93"/>
      <c r="CB166" s="93"/>
      <c r="CC166" s="93"/>
      <c r="CD166" s="93"/>
      <c r="CE166" s="93"/>
      <c r="CF166" s="93"/>
      <c r="CG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93"/>
      <c r="DI166" s="93"/>
      <c r="DJ166" s="93"/>
      <c r="DK166" s="93"/>
      <c r="DL166" s="93"/>
      <c r="DM166" s="93"/>
      <c r="DN166" s="93"/>
      <c r="DO166" s="93"/>
      <c r="DP166" s="93"/>
      <c r="DQ166" s="93"/>
      <c r="DR166" s="93"/>
      <c r="DS166" s="93"/>
      <c r="DT166" s="93"/>
      <c r="DU166" s="93"/>
      <c r="DV166" s="93"/>
      <c r="DW166" s="93"/>
      <c r="DX166" s="93"/>
      <c r="DY166" s="93"/>
      <c r="DZ166" s="93"/>
      <c r="EA166" s="93"/>
      <c r="EB166" s="93"/>
      <c r="EC166" s="93"/>
      <c r="ED166" s="93"/>
      <c r="EE166" s="93"/>
      <c r="EF166" s="93"/>
      <c r="EG166" s="93"/>
      <c r="EH166" s="93"/>
      <c r="EI166" s="93"/>
      <c r="EJ166" s="93"/>
      <c r="EK166" s="93"/>
      <c r="EL166" s="93"/>
      <c r="EM166" s="93"/>
      <c r="EN166" s="93"/>
      <c r="EO166" s="93"/>
      <c r="EP166" s="93"/>
      <c r="EQ166" s="93"/>
      <c r="ER166" s="93"/>
      <c r="ES166" s="93"/>
      <c r="ET166" s="93"/>
      <c r="EU166" s="93"/>
      <c r="EV166" s="93"/>
      <c r="EW166" s="93"/>
      <c r="EX166" s="93"/>
      <c r="EY166" s="93"/>
      <c r="EZ166" s="93"/>
      <c r="FA166" s="93"/>
      <c r="FB166" s="93"/>
      <c r="FC166" s="93"/>
      <c r="FD166" s="93"/>
      <c r="FE166" s="93"/>
      <c r="FF166" s="93"/>
      <c r="FG166" s="93"/>
      <c r="FH166" s="93"/>
      <c r="FI166" s="93"/>
      <c r="FJ166" s="93"/>
      <c r="FK166" s="93"/>
      <c r="FL166" s="93"/>
      <c r="FM166" s="93"/>
      <c r="FN166" s="93"/>
      <c r="FO166" s="93"/>
      <c r="FP166" s="93"/>
      <c r="FQ166" s="93"/>
      <c r="FR166" s="93"/>
      <c r="FS166" s="93"/>
      <c r="FT166" s="93"/>
      <c r="FU166" s="93"/>
      <c r="FV166" s="93"/>
      <c r="FW166" s="93"/>
      <c r="FX166" s="93"/>
      <c r="FY166" s="93"/>
      <c r="FZ166" s="93"/>
      <c r="GA166" s="93"/>
      <c r="GB166" s="93"/>
      <c r="GC166" s="93"/>
      <c r="GD166" s="93"/>
      <c r="GE166" s="93"/>
      <c r="GF166" s="93"/>
      <c r="GG166" s="93"/>
      <c r="GH166" s="93"/>
      <c r="GI166" s="93"/>
      <c r="GJ166" s="93"/>
      <c r="GK166" s="93"/>
      <c r="GL166" s="93"/>
      <c r="GM166" s="93"/>
      <c r="GN166" s="93"/>
      <c r="GO166" s="93"/>
      <c r="GP166" s="93"/>
      <c r="GQ166" s="93"/>
      <c r="GR166" s="93"/>
      <c r="GS166" s="93"/>
      <c r="GT166" s="93"/>
      <c r="GU166" s="93"/>
      <c r="GV166" s="93"/>
      <c r="GW166" s="93"/>
      <c r="GX166" s="93"/>
      <c r="GY166" s="93"/>
      <c r="GZ166" s="93"/>
      <c r="HA166" s="93"/>
      <c r="HB166" s="93"/>
      <c r="HC166" s="93"/>
      <c r="HD166" s="93"/>
      <c r="HE166" s="93"/>
      <c r="HF166" s="93"/>
      <c r="HG166" s="93"/>
      <c r="HH166" s="93"/>
      <c r="HI166" s="93"/>
      <c r="HJ166" s="93"/>
      <c r="HK166" s="93"/>
      <c r="HL166" s="93"/>
      <c r="HM166" s="93"/>
      <c r="HN166" s="93"/>
      <c r="HO166" s="93"/>
      <c r="HP166" s="93"/>
      <c r="HQ166" s="93"/>
      <c r="HR166" s="93"/>
      <c r="HS166" s="93"/>
      <c r="HT166" s="93"/>
      <c r="HU166" s="93"/>
      <c r="HV166" s="93"/>
      <c r="HW166" s="93"/>
      <c r="HX166" s="93"/>
      <c r="HY166" s="93"/>
      <c r="HZ166" s="93"/>
      <c r="IA166" s="93"/>
      <c r="IB166" s="93"/>
      <c r="IC166" s="93"/>
      <c r="ID166" s="93"/>
      <c r="IE166" s="93"/>
      <c r="IF166" s="93"/>
      <c r="IG166" s="93"/>
      <c r="IH166" s="93"/>
      <c r="II166" s="93"/>
      <c r="IJ166" s="93"/>
      <c r="IK166" s="93"/>
      <c r="IL166" s="93"/>
      <c r="IM166" s="93"/>
      <c r="IN166" s="93"/>
      <c r="IO166" s="93"/>
      <c r="IP166" s="93"/>
      <c r="IQ166" s="93"/>
      <c r="IR166" s="93"/>
      <c r="IS166" s="93"/>
      <c r="IT166" s="93"/>
      <c r="IU166" s="93"/>
      <c r="IV166" s="93"/>
      <c r="IW166" s="93"/>
      <c r="IX166" s="93"/>
      <c r="IY166" s="93"/>
      <c r="IZ166" s="93"/>
    </row>
    <row r="167" spans="1:260" s="95" customFormat="1" ht="26.5" thickBot="1">
      <c r="A167" s="93"/>
      <c r="B167" s="159"/>
      <c r="C167" s="159"/>
      <c r="D167" s="159"/>
      <c r="E167" s="159" t="s">
        <v>2180</v>
      </c>
      <c r="F167" s="157"/>
      <c r="G167" s="158"/>
      <c r="H167" s="158"/>
      <c r="I167" s="158"/>
      <c r="J167" s="158"/>
      <c r="K167" s="158"/>
      <c r="L167" s="158"/>
      <c r="M167" s="158"/>
      <c r="N167" s="158"/>
      <c r="O167" s="158"/>
      <c r="P167" s="228"/>
      <c r="Q167" s="158"/>
      <c r="R167" s="158"/>
      <c r="S167" s="207"/>
      <c r="T167" s="207"/>
      <c r="U167" s="207"/>
      <c r="V167" s="207"/>
      <c r="W167" s="207"/>
      <c r="X167" s="207"/>
      <c r="Y167" s="207"/>
      <c r="Z167" s="207"/>
      <c r="AA167" s="207"/>
      <c r="AB167" s="207"/>
      <c r="AC167" s="207"/>
      <c r="AD167" s="207"/>
      <c r="AE167" s="207"/>
      <c r="AF167" s="207"/>
      <c r="AG167" s="207"/>
      <c r="AH167" s="207"/>
      <c r="AI167" s="207"/>
      <c r="AJ167" s="207"/>
      <c r="AK167" s="207"/>
      <c r="AL167" s="207"/>
      <c r="AM167" s="207"/>
      <c r="AN167" s="207"/>
      <c r="AO167" s="207"/>
      <c r="AP167" s="207"/>
      <c r="AQ167" s="94"/>
      <c r="AR167" s="94"/>
      <c r="AS167" s="94"/>
      <c r="AT167" s="94"/>
      <c r="AU167" s="94"/>
      <c r="AV167" s="94"/>
      <c r="AW167" s="94"/>
      <c r="AX167" s="94"/>
      <c r="AY167" s="94"/>
      <c r="AZ167" s="93"/>
      <c r="BA167" s="93"/>
      <c r="BB167" s="93"/>
      <c r="BC167" s="93"/>
      <c r="BD167" s="93"/>
      <c r="BE167" s="93"/>
      <c r="BF167" s="93"/>
      <c r="BG167" s="93"/>
      <c r="BH167" s="93"/>
      <c r="BI167" s="93"/>
      <c r="BJ167" s="93"/>
      <c r="BK167" s="93"/>
      <c r="BL167" s="93"/>
      <c r="BM167" s="93"/>
      <c r="BN167" s="93"/>
      <c r="BO167" s="93"/>
      <c r="BP167" s="93"/>
      <c r="BQ167" s="93"/>
      <c r="BR167" s="93"/>
      <c r="BS167" s="93"/>
      <c r="BT167" s="93"/>
      <c r="BU167" s="93"/>
      <c r="BV167" s="93"/>
      <c r="BW167" s="93"/>
      <c r="BX167" s="93"/>
      <c r="BY167" s="93"/>
      <c r="BZ167" s="93"/>
      <c r="CA167" s="93"/>
      <c r="CB167" s="93"/>
      <c r="CC167" s="93"/>
      <c r="CD167" s="93"/>
      <c r="CE167" s="93"/>
      <c r="CF167" s="93"/>
      <c r="CG167" s="93"/>
      <c r="CH167" s="93"/>
      <c r="CI167" s="93"/>
      <c r="CJ167" s="93"/>
      <c r="CK167" s="93"/>
      <c r="CL167" s="93"/>
      <c r="CM167" s="93"/>
      <c r="CN167" s="93"/>
      <c r="CO167" s="93"/>
      <c r="CP167" s="93"/>
      <c r="CQ167" s="93"/>
      <c r="CR167" s="93"/>
      <c r="CS167" s="93"/>
      <c r="CT167" s="93"/>
      <c r="CU167" s="93"/>
      <c r="CV167" s="93"/>
      <c r="CW167" s="93"/>
      <c r="CX167" s="93"/>
      <c r="CY167" s="93"/>
      <c r="CZ167" s="93"/>
      <c r="DA167" s="93"/>
      <c r="DB167" s="93"/>
      <c r="DC167" s="93"/>
      <c r="DD167" s="93"/>
      <c r="DE167" s="93"/>
      <c r="DF167" s="93"/>
      <c r="DG167" s="93"/>
      <c r="DH167" s="93"/>
      <c r="DI167" s="93"/>
      <c r="DJ167" s="93"/>
      <c r="DK167" s="93"/>
      <c r="DL167" s="93"/>
      <c r="DM167" s="93"/>
      <c r="DN167" s="93"/>
      <c r="DO167" s="93"/>
      <c r="DP167" s="93"/>
      <c r="DQ167" s="93"/>
      <c r="DR167" s="93"/>
      <c r="DS167" s="93"/>
      <c r="DT167" s="93"/>
      <c r="DU167" s="93"/>
      <c r="DV167" s="93"/>
      <c r="DW167" s="93"/>
      <c r="DX167" s="93"/>
      <c r="DY167" s="93"/>
      <c r="DZ167" s="93"/>
      <c r="EA167" s="93"/>
      <c r="EB167" s="93"/>
      <c r="EC167" s="93"/>
      <c r="ED167" s="93"/>
      <c r="EE167" s="93"/>
      <c r="EF167" s="93"/>
      <c r="EG167" s="93"/>
      <c r="EH167" s="93"/>
      <c r="EI167" s="93"/>
      <c r="EJ167" s="93"/>
      <c r="EK167" s="93"/>
      <c r="EL167" s="93"/>
      <c r="EM167" s="93"/>
      <c r="EN167" s="93"/>
      <c r="EO167" s="93"/>
      <c r="EP167" s="93"/>
      <c r="EQ167" s="93"/>
      <c r="ER167" s="93"/>
      <c r="ES167" s="93"/>
      <c r="ET167" s="93"/>
      <c r="EU167" s="93"/>
      <c r="EV167" s="93"/>
      <c r="EW167" s="93"/>
      <c r="EX167" s="93"/>
      <c r="EY167" s="93"/>
      <c r="EZ167" s="93"/>
      <c r="FA167" s="93"/>
      <c r="FB167" s="93"/>
      <c r="FC167" s="93"/>
      <c r="FD167" s="93"/>
      <c r="FE167" s="93"/>
      <c r="FF167" s="93"/>
      <c r="FG167" s="93"/>
      <c r="FH167" s="93"/>
      <c r="FI167" s="93"/>
      <c r="FJ167" s="93"/>
      <c r="FK167" s="93"/>
      <c r="FL167" s="93"/>
      <c r="FM167" s="93"/>
      <c r="FN167" s="93"/>
      <c r="FO167" s="93"/>
      <c r="FP167" s="93"/>
      <c r="FQ167" s="93"/>
      <c r="FR167" s="93"/>
      <c r="FS167" s="93"/>
      <c r="FT167" s="93"/>
      <c r="FU167" s="93"/>
      <c r="FV167" s="93"/>
      <c r="FW167" s="93"/>
      <c r="FX167" s="93"/>
      <c r="FY167" s="93"/>
      <c r="FZ167" s="93"/>
      <c r="GA167" s="93"/>
      <c r="GB167" s="93"/>
      <c r="GC167" s="93"/>
      <c r="GD167" s="93"/>
      <c r="GE167" s="93"/>
      <c r="GF167" s="93"/>
      <c r="GG167" s="93"/>
      <c r="GH167" s="93"/>
      <c r="GI167" s="93"/>
      <c r="GJ167" s="93"/>
      <c r="GK167" s="93"/>
      <c r="GL167" s="93"/>
      <c r="GM167" s="93"/>
      <c r="GN167" s="93"/>
      <c r="GO167" s="93"/>
      <c r="GP167" s="93"/>
      <c r="GQ167" s="93"/>
      <c r="GR167" s="93"/>
      <c r="GS167" s="93"/>
      <c r="GT167" s="93"/>
      <c r="GU167" s="93"/>
      <c r="GV167" s="93"/>
      <c r="GW167" s="93"/>
      <c r="GX167" s="93"/>
      <c r="GY167" s="93"/>
      <c r="GZ167" s="93"/>
      <c r="HA167" s="93"/>
      <c r="HB167" s="93"/>
      <c r="HC167" s="93"/>
      <c r="HD167" s="93"/>
      <c r="HE167" s="93"/>
      <c r="HF167" s="93"/>
      <c r="HG167" s="93"/>
      <c r="HH167" s="93"/>
      <c r="HI167" s="93"/>
      <c r="HJ167" s="93"/>
      <c r="HK167" s="93"/>
      <c r="HL167" s="93"/>
      <c r="HM167" s="93"/>
      <c r="HN167" s="93"/>
      <c r="HO167" s="93"/>
      <c r="HP167" s="93"/>
      <c r="HQ167" s="93"/>
      <c r="HR167" s="93"/>
      <c r="HS167" s="93"/>
      <c r="HT167" s="93"/>
      <c r="HU167" s="93"/>
      <c r="HV167" s="93"/>
      <c r="HW167" s="93"/>
      <c r="HX167" s="93"/>
      <c r="HY167" s="93"/>
      <c r="HZ167" s="93"/>
      <c r="IA167" s="93"/>
      <c r="IB167" s="93"/>
      <c r="IC167" s="93"/>
      <c r="ID167" s="93"/>
      <c r="IE167" s="93"/>
      <c r="IF167" s="93"/>
      <c r="IG167" s="93"/>
      <c r="IH167" s="93"/>
      <c r="II167" s="93"/>
      <c r="IJ167" s="93"/>
      <c r="IK167" s="93"/>
      <c r="IL167" s="93"/>
      <c r="IM167" s="93"/>
      <c r="IN167" s="93"/>
      <c r="IO167" s="93"/>
      <c r="IP167" s="93"/>
      <c r="IQ167" s="93"/>
      <c r="IR167" s="93"/>
      <c r="IS167" s="93"/>
      <c r="IT167" s="93"/>
      <c r="IU167" s="93"/>
      <c r="IV167" s="93"/>
      <c r="IW167" s="93"/>
      <c r="IX167" s="93"/>
      <c r="IY167" s="93"/>
      <c r="IZ167" s="93"/>
    </row>
    <row r="168" spans="1:260" s="95" customFormat="1" ht="15" thickBot="1">
      <c r="A168" s="93"/>
      <c r="B168" s="156"/>
      <c r="C168" s="156"/>
      <c r="D168" s="156"/>
      <c r="E168" s="164"/>
      <c r="F168" s="232" t="s">
        <v>205</v>
      </c>
      <c r="G168" s="233"/>
      <c r="H168" s="232" t="s">
        <v>206</v>
      </c>
      <c r="I168" s="233"/>
      <c r="J168" s="234" t="s">
        <v>212</v>
      </c>
      <c r="K168" s="235"/>
      <c r="L168" s="165"/>
      <c r="M168" s="158"/>
      <c r="N168" s="158"/>
      <c r="O168" s="158"/>
      <c r="P168" s="228"/>
      <c r="Q168" s="158"/>
      <c r="R168" s="158"/>
      <c r="S168" s="207"/>
      <c r="T168" s="207"/>
      <c r="U168" s="207"/>
      <c r="V168" s="207"/>
      <c r="W168" s="207"/>
      <c r="X168" s="207"/>
      <c r="Y168" s="207"/>
      <c r="Z168" s="207"/>
      <c r="AA168" s="207"/>
      <c r="AB168" s="207"/>
      <c r="AC168" s="207"/>
      <c r="AD168" s="207"/>
      <c r="AE168" s="207"/>
      <c r="AF168" s="207"/>
      <c r="AG168" s="207"/>
      <c r="AH168" s="207"/>
      <c r="AI168" s="207"/>
      <c r="AJ168" s="207"/>
      <c r="AK168" s="207"/>
      <c r="AL168" s="207"/>
      <c r="AM168" s="207"/>
      <c r="AN168" s="207"/>
      <c r="AO168" s="207"/>
      <c r="AP168" s="207"/>
      <c r="AQ168" s="94"/>
      <c r="AR168" s="94"/>
      <c r="AS168" s="94"/>
      <c r="AT168" s="94"/>
      <c r="AU168" s="94"/>
      <c r="AV168" s="94"/>
      <c r="AW168" s="94"/>
      <c r="AX168" s="94"/>
      <c r="AY168" s="94"/>
      <c r="AZ168" s="93"/>
      <c r="BA168" s="93"/>
      <c r="BB168" s="93"/>
      <c r="BC168" s="93"/>
      <c r="BD168" s="93"/>
      <c r="BE168" s="93"/>
      <c r="BF168" s="93"/>
      <c r="BG168" s="93"/>
      <c r="BH168" s="93"/>
      <c r="BI168" s="93"/>
      <c r="BJ168" s="93"/>
      <c r="BK168" s="93"/>
      <c r="BL168" s="93"/>
      <c r="BM168" s="93"/>
      <c r="BN168" s="93"/>
      <c r="BO168" s="93"/>
      <c r="BP168" s="93"/>
      <c r="BQ168" s="93"/>
      <c r="BR168" s="93"/>
      <c r="BS168" s="93"/>
      <c r="BT168" s="93"/>
      <c r="BU168" s="93"/>
      <c r="BV168" s="93"/>
      <c r="BW168" s="93"/>
      <c r="BX168" s="93"/>
      <c r="BY168" s="93"/>
      <c r="BZ168" s="93"/>
      <c r="CA168" s="93"/>
      <c r="CB168" s="93"/>
      <c r="CC168" s="93"/>
      <c r="CD168" s="93"/>
      <c r="CE168" s="93"/>
      <c r="CF168" s="93"/>
      <c r="CG168" s="93"/>
      <c r="CH168" s="93"/>
      <c r="CI168" s="93"/>
      <c r="CJ168" s="93"/>
      <c r="CK168" s="93"/>
      <c r="CL168" s="93"/>
      <c r="CM168" s="93"/>
      <c r="CN168" s="93"/>
      <c r="CO168" s="93"/>
      <c r="CP168" s="93"/>
      <c r="CQ168" s="93"/>
      <c r="CR168" s="93"/>
      <c r="CS168" s="93"/>
      <c r="CT168" s="93"/>
      <c r="CU168" s="93"/>
      <c r="CV168" s="93"/>
      <c r="CW168" s="93"/>
      <c r="CX168" s="93"/>
      <c r="CY168" s="93"/>
      <c r="CZ168" s="93"/>
      <c r="DA168" s="93"/>
      <c r="DB168" s="93"/>
      <c r="DC168" s="93"/>
      <c r="DD168" s="93"/>
      <c r="DE168" s="93"/>
      <c r="DF168" s="93"/>
      <c r="DG168" s="93"/>
      <c r="DH168" s="93"/>
      <c r="DI168" s="93"/>
      <c r="DJ168" s="93"/>
      <c r="DK168" s="93"/>
      <c r="DL168" s="93"/>
      <c r="DM168" s="93"/>
      <c r="DN168" s="93"/>
      <c r="DO168" s="93"/>
      <c r="DP168" s="93"/>
      <c r="DQ168" s="93"/>
      <c r="DR168" s="93"/>
      <c r="DS168" s="93"/>
      <c r="DT168" s="93"/>
      <c r="DU168" s="93"/>
      <c r="DV168" s="93"/>
      <c r="DW168" s="93"/>
      <c r="DX168" s="93"/>
      <c r="DY168" s="93"/>
      <c r="DZ168" s="93"/>
      <c r="EA168" s="93"/>
      <c r="EB168" s="93"/>
      <c r="EC168" s="93"/>
      <c r="ED168" s="93"/>
      <c r="EE168" s="93"/>
      <c r="EF168" s="93"/>
      <c r="EG168" s="93"/>
      <c r="EH168" s="93"/>
      <c r="EI168" s="93"/>
      <c r="EJ168" s="93"/>
      <c r="EK168" s="93"/>
      <c r="EL168" s="93"/>
      <c r="EM168" s="93"/>
      <c r="EN168" s="93"/>
      <c r="EO168" s="93"/>
      <c r="EP168" s="93"/>
      <c r="EQ168" s="93"/>
      <c r="ER168" s="93"/>
      <c r="ES168" s="93"/>
      <c r="ET168" s="93"/>
      <c r="EU168" s="93"/>
      <c r="EV168" s="93"/>
      <c r="EW168" s="93"/>
      <c r="EX168" s="93"/>
      <c r="EY168" s="93"/>
      <c r="EZ168" s="93"/>
      <c r="FA168" s="93"/>
      <c r="FB168" s="93"/>
      <c r="FC168" s="93"/>
      <c r="FD168" s="93"/>
      <c r="FE168" s="93"/>
      <c r="FF168" s="93"/>
      <c r="FG168" s="93"/>
      <c r="FH168" s="93"/>
      <c r="FI168" s="93"/>
      <c r="FJ168" s="93"/>
      <c r="FK168" s="93"/>
      <c r="FL168" s="93"/>
      <c r="FM168" s="93"/>
      <c r="FN168" s="93"/>
      <c r="FO168" s="93"/>
      <c r="FP168" s="93"/>
      <c r="FQ168" s="93"/>
      <c r="FR168" s="93"/>
      <c r="FS168" s="93"/>
      <c r="FT168" s="93"/>
      <c r="FU168" s="93"/>
      <c r="FV168" s="93"/>
      <c r="FW168" s="93"/>
      <c r="FX168" s="93"/>
      <c r="FY168" s="93"/>
      <c r="FZ168" s="93"/>
      <c r="GA168" s="93"/>
      <c r="GB168" s="93"/>
      <c r="GC168" s="93"/>
      <c r="GD168" s="93"/>
      <c r="GE168" s="93"/>
      <c r="GF168" s="93"/>
      <c r="GG168" s="93"/>
      <c r="GH168" s="93"/>
      <c r="GI168" s="93"/>
      <c r="GJ168" s="93"/>
      <c r="GK168" s="93"/>
      <c r="GL168" s="93"/>
      <c r="GM168" s="93"/>
      <c r="GN168" s="93"/>
      <c r="GO168" s="93"/>
      <c r="GP168" s="93"/>
      <c r="GQ168" s="93"/>
      <c r="GR168" s="93"/>
      <c r="GS168" s="93"/>
      <c r="GT168" s="93"/>
      <c r="GU168" s="93"/>
      <c r="GV168" s="93"/>
      <c r="GW168" s="93"/>
      <c r="GX168" s="93"/>
      <c r="GY168" s="93"/>
      <c r="GZ168" s="93"/>
      <c r="HA168" s="93"/>
      <c r="HB168" s="93"/>
      <c r="HC168" s="93"/>
      <c r="HD168" s="93"/>
      <c r="HE168" s="93"/>
      <c r="HF168" s="93"/>
      <c r="HG168" s="93"/>
      <c r="HH168" s="93"/>
      <c r="HI168" s="93"/>
      <c r="HJ168" s="93"/>
      <c r="HK168" s="93"/>
      <c r="HL168" s="93"/>
      <c r="HM168" s="93"/>
      <c r="HN168" s="93"/>
      <c r="HO168" s="93"/>
      <c r="HP168" s="93"/>
      <c r="HQ168" s="93"/>
      <c r="HR168" s="93"/>
      <c r="HS168" s="93"/>
      <c r="HT168" s="93"/>
      <c r="HU168" s="93"/>
      <c r="HV168" s="93"/>
      <c r="HW168" s="93"/>
      <c r="HX168" s="93"/>
      <c r="HY168" s="93"/>
      <c r="HZ168" s="93"/>
      <c r="IA168" s="93"/>
      <c r="IB168" s="93"/>
      <c r="IC168" s="93"/>
      <c r="ID168" s="93"/>
      <c r="IE168" s="93"/>
      <c r="IF168" s="93"/>
      <c r="IG168" s="93"/>
      <c r="IH168" s="93"/>
      <c r="II168" s="93"/>
      <c r="IJ168" s="93"/>
      <c r="IK168" s="93"/>
      <c r="IL168" s="93"/>
      <c r="IM168" s="93"/>
      <c r="IN168" s="93"/>
      <c r="IO168" s="93"/>
      <c r="IP168" s="93"/>
      <c r="IQ168" s="93"/>
      <c r="IR168" s="93"/>
      <c r="IS168" s="93"/>
      <c r="IT168" s="93"/>
      <c r="IU168" s="93"/>
      <c r="IV168" s="93"/>
      <c r="IW168" s="93"/>
      <c r="IX168" s="93"/>
      <c r="IY168" s="93"/>
      <c r="IZ168" s="93"/>
    </row>
    <row r="169" spans="1:260" s="95" customFormat="1" ht="65.5" thickBot="1">
      <c r="A169" s="93"/>
      <c r="B169" s="156"/>
      <c r="C169" s="156"/>
      <c r="D169" s="156"/>
      <c r="E169" s="21" t="s">
        <v>213</v>
      </c>
      <c r="F169" s="166" t="s">
        <v>207</v>
      </c>
      <c r="G169" s="167" t="s">
        <v>208</v>
      </c>
      <c r="H169" s="166" t="s">
        <v>207</v>
      </c>
      <c r="I169" s="167" t="s">
        <v>208</v>
      </c>
      <c r="J169" s="266" t="s">
        <v>209</v>
      </c>
      <c r="K169" s="267" t="s">
        <v>210</v>
      </c>
      <c r="L169" s="21" t="s">
        <v>211</v>
      </c>
      <c r="M169" s="158"/>
      <c r="N169" s="158"/>
      <c r="O169" s="228"/>
      <c r="P169" s="158"/>
      <c r="Q169" s="168"/>
      <c r="R169" s="207"/>
      <c r="S169" s="207"/>
      <c r="T169" s="207"/>
      <c r="U169" s="207"/>
      <c r="V169" s="207"/>
      <c r="W169" s="207"/>
      <c r="X169" s="207"/>
      <c r="Y169" s="207"/>
      <c r="Z169" s="207"/>
      <c r="AA169" s="207"/>
      <c r="AB169" s="207"/>
      <c r="AC169" s="207"/>
      <c r="AD169" s="207"/>
      <c r="AE169" s="207"/>
      <c r="AF169" s="207"/>
      <c r="AG169" s="207"/>
      <c r="AH169" s="207"/>
      <c r="AI169" s="207"/>
      <c r="AJ169" s="207"/>
      <c r="AK169" s="207"/>
      <c r="AL169" s="207"/>
      <c r="AM169" s="207"/>
      <c r="AN169" s="207"/>
      <c r="AO169" s="207"/>
      <c r="AP169" s="94"/>
      <c r="AQ169" s="94"/>
      <c r="AR169" s="94"/>
      <c r="AS169" s="94"/>
      <c r="AT169" s="94"/>
      <c r="AU169" s="94"/>
      <c r="AV169" s="94"/>
      <c r="AW169" s="94"/>
      <c r="AX169" s="94"/>
      <c r="AY169" s="93"/>
      <c r="AZ169" s="93"/>
      <c r="BA169" s="93"/>
      <c r="BB169" s="93"/>
      <c r="BC169" s="93"/>
      <c r="BD169" s="93"/>
      <c r="BE169" s="93"/>
      <c r="BF169" s="93"/>
      <c r="BG169" s="93"/>
      <c r="BH169" s="93"/>
      <c r="BI169" s="93"/>
      <c r="BJ169" s="93"/>
      <c r="BK169" s="93"/>
      <c r="BL169" s="93"/>
      <c r="BM169" s="93"/>
      <c r="BN169" s="93"/>
      <c r="BO169" s="93"/>
      <c r="BP169" s="93"/>
      <c r="BQ169" s="93"/>
      <c r="BR169" s="93"/>
      <c r="BS169" s="93"/>
      <c r="BT169" s="93"/>
      <c r="BU169" s="93"/>
      <c r="BV169" s="93"/>
      <c r="BW169" s="93"/>
      <c r="BX169" s="93"/>
      <c r="BY169" s="93"/>
      <c r="BZ169" s="93"/>
      <c r="CA169" s="93"/>
      <c r="CB169" s="93"/>
      <c r="CC169" s="93"/>
      <c r="CD169" s="93"/>
      <c r="CE169" s="93"/>
      <c r="CF169" s="93"/>
      <c r="CG169" s="93"/>
      <c r="CH169" s="93"/>
      <c r="CI169" s="93"/>
      <c r="CJ169" s="93"/>
      <c r="CK169" s="93"/>
      <c r="CL169" s="93"/>
      <c r="CM169" s="93"/>
      <c r="CN169" s="93"/>
      <c r="CO169" s="93"/>
      <c r="CP169" s="93"/>
      <c r="CQ169" s="93"/>
      <c r="CR169" s="93"/>
      <c r="CS169" s="93"/>
      <c r="CT169" s="93"/>
      <c r="CU169" s="93"/>
      <c r="CV169" s="93"/>
      <c r="CW169" s="93"/>
      <c r="CX169" s="93"/>
      <c r="CY169" s="93"/>
      <c r="CZ169" s="93"/>
      <c r="DA169" s="93"/>
      <c r="DB169" s="93"/>
      <c r="DC169" s="93"/>
      <c r="DD169" s="93"/>
      <c r="DE169" s="93"/>
      <c r="DF169" s="93"/>
      <c r="DG169" s="93"/>
      <c r="DH169" s="93"/>
      <c r="DI169" s="93"/>
      <c r="DJ169" s="93"/>
      <c r="DK169" s="93"/>
      <c r="DL169" s="93"/>
      <c r="DM169" s="93"/>
      <c r="DN169" s="93"/>
      <c r="DO169" s="93"/>
      <c r="DP169" s="93"/>
      <c r="DQ169" s="93"/>
      <c r="DR169" s="93"/>
      <c r="DS169" s="93"/>
      <c r="DT169" s="93"/>
      <c r="DU169" s="93"/>
      <c r="DV169" s="93"/>
      <c r="DW169" s="93"/>
      <c r="DX169" s="93"/>
      <c r="DY169" s="93"/>
      <c r="DZ169" s="93"/>
      <c r="EA169" s="93"/>
      <c r="EB169" s="93"/>
      <c r="EC169" s="93"/>
      <c r="ED169" s="93"/>
      <c r="EE169" s="93"/>
      <c r="EF169" s="93"/>
      <c r="EG169" s="93"/>
      <c r="EH169" s="93"/>
      <c r="EI169" s="93"/>
      <c r="EJ169" s="93"/>
      <c r="EK169" s="93"/>
      <c r="EL169" s="93"/>
      <c r="EM169" s="93"/>
      <c r="EN169" s="93"/>
      <c r="EO169" s="93"/>
      <c r="EP169" s="93"/>
      <c r="EQ169" s="93"/>
      <c r="ER169" s="93"/>
      <c r="ES169" s="93"/>
      <c r="ET169" s="93"/>
      <c r="EU169" s="93"/>
      <c r="EV169" s="93"/>
      <c r="EW169" s="93"/>
      <c r="EX169" s="93"/>
      <c r="EY169" s="93"/>
      <c r="EZ169" s="93"/>
      <c r="FA169" s="93"/>
      <c r="FB169" s="93"/>
      <c r="FC169" s="93"/>
      <c r="FD169" s="93"/>
      <c r="FE169" s="93"/>
      <c r="FF169" s="93"/>
      <c r="FG169" s="93"/>
      <c r="FH169" s="93"/>
      <c r="FI169" s="93"/>
      <c r="FJ169" s="93"/>
      <c r="FK169" s="93"/>
      <c r="FL169" s="93"/>
      <c r="FM169" s="93"/>
      <c r="FN169" s="93"/>
      <c r="FO169" s="93"/>
      <c r="FP169" s="93"/>
      <c r="FQ169" s="93"/>
      <c r="FR169" s="93"/>
      <c r="FS169" s="93"/>
      <c r="FT169" s="93"/>
      <c r="FU169" s="93"/>
      <c r="FV169" s="93"/>
      <c r="FW169" s="93"/>
      <c r="FX169" s="93"/>
      <c r="FY169" s="93"/>
      <c r="FZ169" s="93"/>
      <c r="GA169" s="93"/>
      <c r="GB169" s="93"/>
      <c r="GC169" s="93"/>
      <c r="GD169" s="93"/>
      <c r="GE169" s="93"/>
      <c r="GF169" s="93"/>
      <c r="GG169" s="93"/>
      <c r="GH169" s="93"/>
      <c r="GI169" s="93"/>
      <c r="GJ169" s="93"/>
      <c r="GK169" s="93"/>
      <c r="GL169" s="93"/>
      <c r="GM169" s="93"/>
      <c r="GN169" s="93"/>
      <c r="GO169" s="93"/>
      <c r="GP169" s="93"/>
      <c r="GQ169" s="93"/>
      <c r="GR169" s="93"/>
      <c r="GS169" s="93"/>
      <c r="GT169" s="93"/>
      <c r="GU169" s="93"/>
      <c r="GV169" s="93"/>
      <c r="GW169" s="93"/>
      <c r="GX169" s="93"/>
      <c r="GY169" s="93"/>
      <c r="GZ169" s="93"/>
      <c r="HA169" s="93"/>
      <c r="HB169" s="93"/>
      <c r="HC169" s="93"/>
      <c r="HD169" s="93"/>
      <c r="HE169" s="93"/>
      <c r="HF169" s="93"/>
      <c r="HG169" s="93"/>
      <c r="HH169" s="93"/>
      <c r="HI169" s="93"/>
      <c r="HJ169" s="93"/>
      <c r="HK169" s="93"/>
      <c r="HL169" s="93"/>
      <c r="HM169" s="93"/>
      <c r="HN169" s="93"/>
      <c r="HO169" s="93"/>
      <c r="HP169" s="93"/>
      <c r="HQ169" s="93"/>
      <c r="HR169" s="93"/>
      <c r="HS169" s="93"/>
      <c r="HT169" s="93"/>
      <c r="HU169" s="93"/>
      <c r="HV169" s="93"/>
      <c r="HW169" s="93"/>
      <c r="HX169" s="93"/>
      <c r="HY169" s="93"/>
      <c r="HZ169" s="93"/>
      <c r="IA169" s="93"/>
      <c r="IB169" s="93"/>
      <c r="IC169" s="93"/>
      <c r="ID169" s="93"/>
      <c r="IE169" s="93"/>
      <c r="IF169" s="93"/>
      <c r="IG169" s="93"/>
      <c r="IH169" s="93"/>
      <c r="II169" s="93"/>
      <c r="IJ169" s="93"/>
      <c r="IK169" s="93"/>
      <c r="IL169" s="93"/>
      <c r="IM169" s="93"/>
      <c r="IN169" s="93"/>
      <c r="IO169" s="93"/>
      <c r="IP169" s="93"/>
      <c r="IQ169" s="93"/>
      <c r="IR169" s="93"/>
      <c r="IS169" s="93"/>
      <c r="IT169" s="93"/>
      <c r="IU169" s="93"/>
      <c r="IV169" s="93"/>
      <c r="IW169" s="93"/>
      <c r="IX169" s="93"/>
      <c r="IY169" s="93"/>
    </row>
    <row r="170" spans="1:260" s="95" customFormat="1">
      <c r="A170" s="93"/>
      <c r="B170" s="156"/>
      <c r="C170" s="156"/>
      <c r="D170" s="156"/>
      <c r="E170" s="169" t="s">
        <v>203</v>
      </c>
      <c r="F170" s="170">
        <f>T105</f>
        <v>8041.0544000000009</v>
      </c>
      <c r="G170" s="171">
        <f>R105</f>
        <v>8510.0673999999999</v>
      </c>
      <c r="H170" s="170">
        <f>T105</f>
        <v>8041.0544000000009</v>
      </c>
      <c r="I170" s="263">
        <f>R105+R112+R119+R133+R140+R126</f>
        <v>8562.4682000000012</v>
      </c>
      <c r="J170" s="172">
        <f>IFERROR(F170/G170,0)</f>
        <v>0.94488727551088503</v>
      </c>
      <c r="K170" s="173">
        <f>IFERROR(H170/I170,0)</f>
        <v>0.93910473150720719</v>
      </c>
      <c r="L170" s="539">
        <v>0.97</v>
      </c>
      <c r="M170" s="158"/>
      <c r="N170" s="158"/>
      <c r="O170" s="228"/>
      <c r="P170" s="158"/>
      <c r="Q170" s="65"/>
      <c r="R170" s="207"/>
      <c r="S170" s="207"/>
      <c r="T170" s="207"/>
      <c r="U170" s="207"/>
      <c r="V170" s="207"/>
      <c r="W170" s="207"/>
      <c r="X170" s="207"/>
      <c r="Y170" s="207"/>
      <c r="Z170" s="207"/>
      <c r="AA170" s="207"/>
      <c r="AB170" s="207"/>
      <c r="AC170" s="207"/>
      <c r="AD170" s="207"/>
      <c r="AE170" s="207"/>
      <c r="AF170" s="207"/>
      <c r="AG170" s="207"/>
      <c r="AH170" s="207"/>
      <c r="AI170" s="207"/>
      <c r="AJ170" s="207"/>
      <c r="AK170" s="207"/>
      <c r="AL170" s="94"/>
      <c r="AM170" s="94"/>
      <c r="AN170" s="94"/>
      <c r="AO170" s="94"/>
      <c r="AP170" s="94"/>
      <c r="AQ170" s="94"/>
      <c r="AR170" s="94"/>
      <c r="AS170" s="94"/>
      <c r="AT170" s="94"/>
      <c r="AU170" s="94"/>
      <c r="AV170" s="94"/>
      <c r="AW170" s="94"/>
      <c r="AX170" s="94"/>
      <c r="AY170" s="93"/>
      <c r="AZ170" s="93"/>
      <c r="BA170" s="93"/>
      <c r="BB170" s="93"/>
      <c r="BC170" s="93"/>
      <c r="BD170" s="93"/>
      <c r="BE170" s="93"/>
      <c r="BF170" s="93"/>
      <c r="BG170" s="93"/>
      <c r="BH170" s="93"/>
      <c r="BI170" s="93"/>
      <c r="BJ170" s="93"/>
      <c r="BK170" s="93"/>
      <c r="BL170" s="93"/>
      <c r="BM170" s="93"/>
      <c r="BN170" s="93"/>
      <c r="BO170" s="93"/>
      <c r="BP170" s="93"/>
      <c r="BQ170" s="93"/>
      <c r="BR170" s="93"/>
      <c r="BS170" s="93"/>
      <c r="BT170" s="93"/>
      <c r="BU170" s="93"/>
      <c r="BV170" s="93"/>
      <c r="BW170" s="93"/>
      <c r="BX170" s="93"/>
      <c r="BY170" s="93"/>
      <c r="BZ170" s="93"/>
      <c r="CA170" s="93"/>
      <c r="CB170" s="93"/>
      <c r="CC170" s="93"/>
      <c r="CD170" s="93"/>
      <c r="CE170" s="93"/>
      <c r="CF170" s="93"/>
      <c r="CG170" s="93"/>
      <c r="CH170" s="93"/>
      <c r="CI170" s="93"/>
      <c r="CJ170" s="93"/>
      <c r="CK170" s="93"/>
      <c r="CL170" s="93"/>
      <c r="CM170" s="93"/>
      <c r="CN170" s="93"/>
      <c r="CO170" s="93"/>
      <c r="CP170" s="93"/>
      <c r="CQ170" s="93"/>
      <c r="CR170" s="93"/>
      <c r="CS170" s="93"/>
      <c r="CT170" s="93"/>
      <c r="CU170" s="93"/>
      <c r="CV170" s="93"/>
      <c r="CW170" s="93"/>
      <c r="CX170" s="93"/>
      <c r="CY170" s="93"/>
      <c r="CZ170" s="93"/>
      <c r="DA170" s="93"/>
      <c r="DB170" s="93"/>
      <c r="DC170" s="93"/>
      <c r="DD170" s="93"/>
      <c r="DE170" s="93"/>
      <c r="DF170" s="93"/>
      <c r="DG170" s="93"/>
      <c r="DH170" s="93"/>
      <c r="DI170" s="93"/>
      <c r="DJ170" s="93"/>
      <c r="DK170" s="93"/>
      <c r="DL170" s="93"/>
      <c r="DM170" s="93"/>
      <c r="DN170" s="93"/>
      <c r="DO170" s="93"/>
      <c r="DP170" s="93"/>
      <c r="DQ170" s="93"/>
      <c r="DR170" s="93"/>
      <c r="DS170" s="93"/>
      <c r="DT170" s="93"/>
      <c r="DU170" s="93"/>
      <c r="DV170" s="93"/>
      <c r="DW170" s="93"/>
      <c r="DX170" s="93"/>
      <c r="DY170" s="93"/>
      <c r="DZ170" s="93"/>
      <c r="EA170" s="93"/>
      <c r="EB170" s="93"/>
      <c r="EC170" s="93"/>
      <c r="ED170" s="93"/>
      <c r="EE170" s="93"/>
      <c r="EF170" s="93"/>
      <c r="EG170" s="93"/>
      <c r="EH170" s="93"/>
      <c r="EI170" s="93"/>
      <c r="EJ170" s="93"/>
      <c r="EK170" s="93"/>
      <c r="EL170" s="93"/>
      <c r="EM170" s="93"/>
      <c r="EN170" s="93"/>
      <c r="EO170" s="93"/>
      <c r="EP170" s="93"/>
      <c r="EQ170" s="93"/>
      <c r="ER170" s="93"/>
      <c r="ES170" s="93"/>
      <c r="ET170" s="93"/>
      <c r="EU170" s="93"/>
      <c r="EV170" s="93"/>
      <c r="EW170" s="93"/>
      <c r="EX170" s="93"/>
      <c r="EY170" s="93"/>
      <c r="EZ170" s="93"/>
      <c r="FA170" s="93"/>
      <c r="FB170" s="93"/>
      <c r="FC170" s="93"/>
      <c r="FD170" s="93"/>
      <c r="FE170" s="93"/>
      <c r="FF170" s="93"/>
      <c r="FG170" s="93"/>
      <c r="FH170" s="93"/>
      <c r="FI170" s="93"/>
      <c r="FJ170" s="93"/>
      <c r="FK170" s="93"/>
      <c r="FL170" s="93"/>
      <c r="FM170" s="93"/>
      <c r="FN170" s="93"/>
      <c r="FO170" s="93"/>
      <c r="FP170" s="93"/>
      <c r="FQ170" s="93"/>
      <c r="FR170" s="93"/>
      <c r="FS170" s="93"/>
      <c r="FT170" s="93"/>
      <c r="FU170" s="93"/>
      <c r="FV170" s="93"/>
      <c r="FW170" s="93"/>
      <c r="FX170" s="93"/>
      <c r="FY170" s="93"/>
      <c r="FZ170" s="93"/>
      <c r="GA170" s="93"/>
      <c r="GB170" s="93"/>
      <c r="GC170" s="93"/>
      <c r="GD170" s="93"/>
      <c r="GE170" s="93"/>
      <c r="GF170" s="93"/>
      <c r="GG170" s="93"/>
      <c r="GH170" s="93"/>
      <c r="GI170" s="93"/>
      <c r="GJ170" s="93"/>
      <c r="GK170" s="93"/>
      <c r="GL170" s="93"/>
      <c r="GM170" s="93"/>
      <c r="GN170" s="93"/>
      <c r="GO170" s="93"/>
      <c r="GP170" s="93"/>
      <c r="GQ170" s="93"/>
      <c r="GR170" s="93"/>
      <c r="GS170" s="93"/>
      <c r="GT170" s="93"/>
      <c r="GU170" s="93"/>
      <c r="GV170" s="93"/>
      <c r="GW170" s="93"/>
      <c r="GX170" s="93"/>
      <c r="GY170" s="93"/>
      <c r="GZ170" s="93"/>
      <c r="HA170" s="93"/>
      <c r="HB170" s="93"/>
      <c r="HC170" s="93"/>
      <c r="HD170" s="93"/>
      <c r="HE170" s="93"/>
      <c r="HF170" s="93"/>
      <c r="HG170" s="93"/>
      <c r="HH170" s="93"/>
      <c r="HI170" s="93"/>
      <c r="HJ170" s="93"/>
      <c r="HK170" s="93"/>
      <c r="HL170" s="93"/>
      <c r="HM170" s="93"/>
      <c r="HN170" s="93"/>
      <c r="HO170" s="93"/>
      <c r="HP170" s="93"/>
      <c r="HQ170" s="93"/>
      <c r="HR170" s="93"/>
      <c r="HS170" s="93"/>
      <c r="HT170" s="93"/>
      <c r="HU170" s="93"/>
      <c r="HV170" s="93"/>
      <c r="HW170" s="93"/>
      <c r="HX170" s="93"/>
      <c r="HY170" s="93"/>
      <c r="HZ170" s="93"/>
      <c r="IA170" s="93"/>
      <c r="IB170" s="93"/>
      <c r="IC170" s="93"/>
      <c r="ID170" s="93"/>
      <c r="IE170" s="93"/>
      <c r="IF170" s="93"/>
      <c r="IG170" s="93"/>
      <c r="IH170" s="93"/>
      <c r="II170" s="93"/>
      <c r="IJ170" s="93"/>
      <c r="IK170" s="93"/>
      <c r="IL170" s="93"/>
      <c r="IM170" s="93"/>
      <c r="IN170" s="93"/>
      <c r="IO170" s="93"/>
      <c r="IP170" s="93"/>
      <c r="IQ170" s="93"/>
      <c r="IR170" s="93"/>
      <c r="IS170" s="93"/>
      <c r="IT170" s="93"/>
      <c r="IU170" s="93"/>
      <c r="IV170" s="93"/>
      <c r="IW170" s="93"/>
      <c r="IX170" s="93"/>
      <c r="IY170" s="93"/>
    </row>
    <row r="171" spans="1:260" s="95" customFormat="1">
      <c r="A171" s="93"/>
      <c r="B171" s="156"/>
      <c r="C171" s="156"/>
      <c r="D171" s="156"/>
      <c r="E171" s="174" t="s">
        <v>2030</v>
      </c>
      <c r="F171" s="175">
        <f>U3</f>
        <v>4849.8238000000001</v>
      </c>
      <c r="G171" s="176">
        <f>R3</f>
        <v>4890.7035999999998</v>
      </c>
      <c r="H171" s="537" t="s">
        <v>2032</v>
      </c>
      <c r="I171" s="538" t="s">
        <v>2032</v>
      </c>
      <c r="J171" s="268">
        <f>IFERROR(F171/G171,0)</f>
        <v>0.99164132539129957</v>
      </c>
      <c r="K171" s="269">
        <f>IFERROR(H171/I171,0)</f>
        <v>0</v>
      </c>
      <c r="L171" s="540">
        <v>0.95</v>
      </c>
      <c r="M171" s="158"/>
      <c r="N171" s="158"/>
      <c r="O171" s="228"/>
      <c r="P171" s="158"/>
      <c r="Q171" s="66"/>
      <c r="R171" s="207"/>
      <c r="S171" s="207"/>
      <c r="T171" s="207"/>
      <c r="U171" s="207"/>
      <c r="V171" s="207"/>
      <c r="W171" s="207"/>
      <c r="X171" s="207"/>
      <c r="Y171" s="207"/>
      <c r="Z171" s="207"/>
      <c r="AA171" s="207"/>
      <c r="AB171" s="207"/>
      <c r="AC171" s="207"/>
      <c r="AD171" s="207"/>
      <c r="AE171" s="207"/>
      <c r="AF171" s="207"/>
      <c r="AG171" s="207"/>
      <c r="AH171" s="207"/>
      <c r="AI171" s="207"/>
      <c r="AJ171" s="207"/>
      <c r="AK171" s="207"/>
      <c r="AL171" s="94"/>
      <c r="AM171" s="94"/>
      <c r="AN171" s="94"/>
      <c r="AO171" s="94"/>
      <c r="AP171" s="94"/>
      <c r="AQ171" s="94"/>
      <c r="AR171" s="94"/>
      <c r="AS171" s="94"/>
      <c r="AT171" s="94"/>
      <c r="AU171" s="94"/>
      <c r="AV171" s="94"/>
      <c r="AW171" s="94"/>
      <c r="AX171" s="94"/>
      <c r="AY171" s="93"/>
      <c r="AZ171" s="93"/>
      <c r="BA171" s="93"/>
      <c r="BB171" s="93"/>
      <c r="BC171" s="93"/>
      <c r="BD171" s="93"/>
      <c r="BE171" s="93"/>
      <c r="BF171" s="93"/>
      <c r="BG171" s="93"/>
      <c r="BH171" s="93"/>
      <c r="BI171" s="93"/>
      <c r="BJ171" s="93"/>
      <c r="BK171" s="93"/>
      <c r="BL171" s="93"/>
      <c r="BM171" s="93"/>
      <c r="BN171" s="93"/>
      <c r="BO171" s="93"/>
      <c r="BP171" s="93"/>
      <c r="BQ171" s="93"/>
      <c r="BR171" s="93"/>
      <c r="BS171" s="93"/>
      <c r="BT171" s="93"/>
      <c r="BU171" s="93"/>
      <c r="BV171" s="93"/>
      <c r="BW171" s="93"/>
      <c r="BX171" s="93"/>
      <c r="BY171" s="93"/>
      <c r="BZ171" s="93"/>
      <c r="CA171" s="93"/>
      <c r="CB171" s="93"/>
      <c r="CC171" s="93"/>
      <c r="CD171" s="93"/>
      <c r="CE171" s="93"/>
      <c r="CF171" s="93"/>
      <c r="CG171" s="93"/>
      <c r="CH171" s="93"/>
      <c r="CI171" s="93"/>
      <c r="CJ171" s="93"/>
      <c r="CK171" s="93"/>
      <c r="CL171" s="93"/>
      <c r="CM171" s="93"/>
      <c r="CN171" s="93"/>
      <c r="CO171" s="93"/>
      <c r="CP171" s="93"/>
      <c r="CQ171" s="93"/>
      <c r="CR171" s="93"/>
      <c r="CS171" s="93"/>
      <c r="CT171" s="93"/>
      <c r="CU171" s="93"/>
      <c r="CV171" s="93"/>
      <c r="CW171" s="93"/>
      <c r="CX171" s="93"/>
      <c r="CY171" s="93"/>
      <c r="CZ171" s="93"/>
      <c r="DA171" s="93"/>
      <c r="DB171" s="93"/>
      <c r="DC171" s="93"/>
      <c r="DD171" s="93"/>
      <c r="DE171" s="93"/>
      <c r="DF171" s="93"/>
      <c r="DG171" s="93"/>
      <c r="DH171" s="93"/>
      <c r="DI171" s="93"/>
      <c r="DJ171" s="93"/>
      <c r="DK171" s="93"/>
      <c r="DL171" s="93"/>
      <c r="DM171" s="93"/>
      <c r="DN171" s="93"/>
      <c r="DO171" s="93"/>
      <c r="DP171" s="93"/>
      <c r="DQ171" s="93"/>
      <c r="DR171" s="93"/>
      <c r="DS171" s="93"/>
      <c r="DT171" s="93"/>
      <c r="DU171" s="93"/>
      <c r="DV171" s="93"/>
      <c r="DW171" s="93"/>
      <c r="DX171" s="93"/>
      <c r="DY171" s="93"/>
      <c r="DZ171" s="93"/>
      <c r="EA171" s="93"/>
      <c r="EB171" s="93"/>
      <c r="EC171" s="93"/>
      <c r="ED171" s="93"/>
      <c r="EE171" s="93"/>
      <c r="EF171" s="93"/>
      <c r="EG171" s="93"/>
      <c r="EH171" s="93"/>
      <c r="EI171" s="93"/>
      <c r="EJ171" s="93"/>
      <c r="EK171" s="93"/>
      <c r="EL171" s="93"/>
      <c r="EM171" s="93"/>
      <c r="EN171" s="93"/>
      <c r="EO171" s="93"/>
      <c r="EP171" s="93"/>
      <c r="EQ171" s="93"/>
      <c r="ER171" s="93"/>
      <c r="ES171" s="93"/>
      <c r="ET171" s="93"/>
      <c r="EU171" s="93"/>
      <c r="EV171" s="93"/>
      <c r="EW171" s="93"/>
      <c r="EX171" s="93"/>
      <c r="EY171" s="93"/>
      <c r="EZ171" s="93"/>
      <c r="FA171" s="93"/>
      <c r="FB171" s="93"/>
      <c r="FC171" s="93"/>
      <c r="FD171" s="93"/>
      <c r="FE171" s="93"/>
      <c r="FF171" s="93"/>
      <c r="FG171" s="93"/>
      <c r="FH171" s="93"/>
      <c r="FI171" s="93"/>
      <c r="FJ171" s="93"/>
      <c r="FK171" s="93"/>
      <c r="FL171" s="93"/>
      <c r="FM171" s="93"/>
      <c r="FN171" s="93"/>
      <c r="FO171" s="93"/>
      <c r="FP171" s="93"/>
      <c r="FQ171" s="93"/>
      <c r="FR171" s="93"/>
      <c r="FS171" s="93"/>
      <c r="FT171" s="93"/>
      <c r="FU171" s="93"/>
      <c r="FV171" s="93"/>
      <c r="FW171" s="93"/>
      <c r="FX171" s="93"/>
      <c r="FY171" s="93"/>
      <c r="FZ171" s="93"/>
      <c r="GA171" s="93"/>
      <c r="GB171" s="93"/>
      <c r="GC171" s="93"/>
      <c r="GD171" s="93"/>
      <c r="GE171" s="93"/>
      <c r="GF171" s="93"/>
      <c r="GG171" s="93"/>
      <c r="GH171" s="93"/>
      <c r="GI171" s="93"/>
      <c r="GJ171" s="93"/>
      <c r="GK171" s="93"/>
      <c r="GL171" s="93"/>
      <c r="GM171" s="93"/>
      <c r="GN171" s="93"/>
      <c r="GO171" s="93"/>
      <c r="GP171" s="93"/>
      <c r="GQ171" s="93"/>
      <c r="GR171" s="93"/>
      <c r="GS171" s="93"/>
      <c r="GT171" s="93"/>
      <c r="GU171" s="93"/>
      <c r="GV171" s="93"/>
      <c r="GW171" s="93"/>
      <c r="GX171" s="93"/>
      <c r="GY171" s="93"/>
      <c r="GZ171" s="93"/>
      <c r="HA171" s="93"/>
      <c r="HB171" s="93"/>
      <c r="HC171" s="93"/>
      <c r="HD171" s="93"/>
      <c r="HE171" s="93"/>
      <c r="HF171" s="93"/>
      <c r="HG171" s="93"/>
      <c r="HH171" s="93"/>
      <c r="HI171" s="93"/>
      <c r="HJ171" s="93"/>
      <c r="HK171" s="93"/>
      <c r="HL171" s="93"/>
      <c r="HM171" s="93"/>
      <c r="HN171" s="93"/>
      <c r="HO171" s="93"/>
      <c r="HP171" s="93"/>
      <c r="HQ171" s="93"/>
      <c r="HR171" s="93"/>
      <c r="HS171" s="93"/>
      <c r="HT171" s="93"/>
      <c r="HU171" s="93"/>
      <c r="HV171" s="93"/>
      <c r="HW171" s="93"/>
      <c r="HX171" s="93"/>
      <c r="HY171" s="93"/>
      <c r="HZ171" s="93"/>
      <c r="IA171" s="93"/>
      <c r="IB171" s="93"/>
      <c r="IC171" s="93"/>
      <c r="ID171" s="93"/>
      <c r="IE171" s="93"/>
      <c r="IF171" s="93"/>
      <c r="IG171" s="93"/>
      <c r="IH171" s="93"/>
      <c r="II171" s="93"/>
      <c r="IJ171" s="93"/>
      <c r="IK171" s="93"/>
      <c r="IL171" s="93"/>
      <c r="IM171" s="93"/>
      <c r="IN171" s="93"/>
      <c r="IO171" s="93"/>
      <c r="IP171" s="93"/>
      <c r="IQ171" s="93"/>
      <c r="IR171" s="93"/>
      <c r="IS171" s="93"/>
      <c r="IT171" s="93"/>
      <c r="IU171" s="93"/>
      <c r="IV171" s="93"/>
      <c r="IW171" s="93"/>
      <c r="IX171" s="93"/>
      <c r="IY171" s="93"/>
    </row>
    <row r="172" spans="1:260" s="95" customFormat="1">
      <c r="A172" s="93"/>
      <c r="B172" s="156"/>
      <c r="C172" s="156"/>
      <c r="D172" s="156"/>
      <c r="E172" s="174" t="s">
        <v>2031</v>
      </c>
      <c r="F172" s="175">
        <f>V19</f>
        <v>13156.655999999999</v>
      </c>
      <c r="G172" s="176">
        <f>W19</f>
        <v>13676.048299999999</v>
      </c>
      <c r="H172" s="175">
        <f>F172</f>
        <v>13156.655999999999</v>
      </c>
      <c r="I172" s="264">
        <f>W19+U49</f>
        <v>13774.486999999999</v>
      </c>
      <c r="J172" s="268">
        <f>IFERROR(F172/G172,0)</f>
        <v>0.9620217559483174</v>
      </c>
      <c r="K172" s="269">
        <f>IFERROR(H172/I172,0)</f>
        <v>0.95514671435676701</v>
      </c>
      <c r="L172" s="540">
        <v>0.95</v>
      </c>
      <c r="M172" s="158"/>
      <c r="N172" s="158"/>
      <c r="O172" s="228"/>
      <c r="P172" s="158"/>
      <c r="Q172" s="66"/>
      <c r="R172" s="207"/>
      <c r="S172" s="207"/>
      <c r="T172" s="207"/>
      <c r="U172" s="207"/>
      <c r="V172" s="207"/>
      <c r="W172" s="207"/>
      <c r="X172" s="207"/>
      <c r="Y172" s="207"/>
      <c r="Z172" s="207"/>
      <c r="AA172" s="207"/>
      <c r="AB172" s="207"/>
      <c r="AC172" s="207"/>
      <c r="AD172" s="207"/>
      <c r="AE172" s="207"/>
      <c r="AF172" s="207"/>
      <c r="AG172" s="207"/>
      <c r="AH172" s="207"/>
      <c r="AI172" s="207"/>
      <c r="AJ172" s="207"/>
      <c r="AK172" s="207"/>
      <c r="AL172" s="94"/>
      <c r="AM172" s="94"/>
      <c r="AN172" s="94"/>
      <c r="AO172" s="94"/>
      <c r="AP172" s="94"/>
      <c r="AQ172" s="94"/>
      <c r="AR172" s="94"/>
      <c r="AS172" s="94"/>
      <c r="AT172" s="94"/>
      <c r="AU172" s="94"/>
      <c r="AV172" s="94"/>
      <c r="AW172" s="94"/>
      <c r="AX172" s="94"/>
      <c r="AY172" s="93"/>
      <c r="AZ172" s="93"/>
      <c r="BA172" s="93"/>
      <c r="BB172" s="93"/>
      <c r="BC172" s="93"/>
      <c r="BD172" s="93"/>
      <c r="BE172" s="93"/>
      <c r="BF172" s="93"/>
      <c r="BG172" s="93"/>
      <c r="BH172" s="93"/>
      <c r="BI172" s="93"/>
      <c r="BJ172" s="93"/>
      <c r="BK172" s="93"/>
      <c r="BL172" s="93"/>
      <c r="BM172" s="93"/>
      <c r="BN172" s="93"/>
      <c r="BO172" s="93"/>
      <c r="BP172" s="93"/>
      <c r="BQ172" s="93"/>
      <c r="BR172" s="93"/>
      <c r="BS172" s="93"/>
      <c r="BT172" s="93"/>
      <c r="BU172" s="93"/>
      <c r="BV172" s="93"/>
      <c r="BW172" s="93"/>
      <c r="BX172" s="93"/>
      <c r="BY172" s="93"/>
      <c r="BZ172" s="93"/>
      <c r="CA172" s="93"/>
      <c r="CB172" s="93"/>
      <c r="CC172" s="93"/>
      <c r="CD172" s="93"/>
      <c r="CE172" s="93"/>
      <c r="CF172" s="93"/>
      <c r="CG172" s="93"/>
      <c r="CH172" s="93"/>
      <c r="CI172" s="93"/>
      <c r="CJ172" s="93"/>
      <c r="CK172" s="93"/>
      <c r="CL172" s="93"/>
      <c r="CM172" s="93"/>
      <c r="CN172" s="93"/>
      <c r="CO172" s="93"/>
      <c r="CP172" s="93"/>
      <c r="CQ172" s="93"/>
      <c r="CR172" s="93"/>
      <c r="CS172" s="93"/>
      <c r="CT172" s="93"/>
      <c r="CU172" s="93"/>
      <c r="CV172" s="93"/>
      <c r="CW172" s="93"/>
      <c r="CX172" s="93"/>
      <c r="CY172" s="93"/>
      <c r="CZ172" s="93"/>
      <c r="DA172" s="93"/>
      <c r="DB172" s="93"/>
      <c r="DC172" s="93"/>
      <c r="DD172" s="93"/>
      <c r="DE172" s="93"/>
      <c r="DF172" s="93"/>
      <c r="DG172" s="93"/>
      <c r="DH172" s="93"/>
      <c r="DI172" s="93"/>
      <c r="DJ172" s="93"/>
      <c r="DK172" s="93"/>
      <c r="DL172" s="93"/>
      <c r="DM172" s="93"/>
      <c r="DN172" s="93"/>
      <c r="DO172" s="93"/>
      <c r="DP172" s="93"/>
      <c r="DQ172" s="93"/>
      <c r="DR172" s="93"/>
      <c r="DS172" s="93"/>
      <c r="DT172" s="93"/>
      <c r="DU172" s="93"/>
      <c r="DV172" s="93"/>
      <c r="DW172" s="93"/>
      <c r="DX172" s="93"/>
      <c r="DY172" s="93"/>
      <c r="DZ172" s="93"/>
      <c r="EA172" s="93"/>
      <c r="EB172" s="93"/>
      <c r="EC172" s="93"/>
      <c r="ED172" s="93"/>
      <c r="EE172" s="93"/>
      <c r="EF172" s="93"/>
      <c r="EG172" s="93"/>
      <c r="EH172" s="93"/>
      <c r="EI172" s="93"/>
      <c r="EJ172" s="93"/>
      <c r="EK172" s="93"/>
      <c r="EL172" s="93"/>
      <c r="EM172" s="93"/>
      <c r="EN172" s="93"/>
      <c r="EO172" s="93"/>
      <c r="EP172" s="93"/>
      <c r="EQ172" s="93"/>
      <c r="ER172" s="93"/>
      <c r="ES172" s="93"/>
      <c r="ET172" s="93"/>
      <c r="EU172" s="93"/>
      <c r="EV172" s="93"/>
      <c r="EW172" s="93"/>
      <c r="EX172" s="93"/>
      <c r="EY172" s="93"/>
      <c r="EZ172" s="93"/>
      <c r="FA172" s="93"/>
      <c r="FB172" s="93"/>
      <c r="FC172" s="93"/>
      <c r="FD172" s="93"/>
      <c r="FE172" s="93"/>
      <c r="FF172" s="93"/>
      <c r="FG172" s="93"/>
      <c r="FH172" s="93"/>
      <c r="FI172" s="93"/>
      <c r="FJ172" s="93"/>
      <c r="FK172" s="93"/>
      <c r="FL172" s="93"/>
      <c r="FM172" s="93"/>
      <c r="FN172" s="93"/>
      <c r="FO172" s="93"/>
      <c r="FP172" s="93"/>
      <c r="FQ172" s="93"/>
      <c r="FR172" s="93"/>
      <c r="FS172" s="93"/>
      <c r="FT172" s="93"/>
      <c r="FU172" s="93"/>
      <c r="FV172" s="93"/>
      <c r="FW172" s="93"/>
      <c r="FX172" s="93"/>
      <c r="FY172" s="93"/>
      <c r="FZ172" s="93"/>
      <c r="GA172" s="93"/>
      <c r="GB172" s="93"/>
      <c r="GC172" s="93"/>
      <c r="GD172" s="93"/>
      <c r="GE172" s="93"/>
      <c r="GF172" s="93"/>
      <c r="GG172" s="93"/>
      <c r="GH172" s="93"/>
      <c r="GI172" s="93"/>
      <c r="GJ172" s="93"/>
      <c r="GK172" s="93"/>
      <c r="GL172" s="93"/>
      <c r="GM172" s="93"/>
      <c r="GN172" s="93"/>
      <c r="GO172" s="93"/>
      <c r="GP172" s="93"/>
      <c r="GQ172" s="93"/>
      <c r="GR172" s="93"/>
      <c r="GS172" s="93"/>
      <c r="GT172" s="93"/>
      <c r="GU172" s="93"/>
      <c r="GV172" s="93"/>
      <c r="GW172" s="93"/>
      <c r="GX172" s="93"/>
      <c r="GY172" s="93"/>
      <c r="GZ172" s="93"/>
      <c r="HA172" s="93"/>
      <c r="HB172" s="93"/>
      <c r="HC172" s="93"/>
      <c r="HD172" s="93"/>
      <c r="HE172" s="93"/>
      <c r="HF172" s="93"/>
      <c r="HG172" s="93"/>
      <c r="HH172" s="93"/>
      <c r="HI172" s="93"/>
      <c r="HJ172" s="93"/>
      <c r="HK172" s="93"/>
      <c r="HL172" s="93"/>
      <c r="HM172" s="93"/>
      <c r="HN172" s="93"/>
      <c r="HO172" s="93"/>
      <c r="HP172" s="93"/>
      <c r="HQ172" s="93"/>
      <c r="HR172" s="93"/>
      <c r="HS172" s="93"/>
      <c r="HT172" s="93"/>
      <c r="HU172" s="93"/>
      <c r="HV172" s="93"/>
      <c r="HW172" s="93"/>
      <c r="HX172" s="93"/>
      <c r="HY172" s="93"/>
      <c r="HZ172" s="93"/>
      <c r="IA172" s="93"/>
      <c r="IB172" s="93"/>
      <c r="IC172" s="93"/>
      <c r="ID172" s="93"/>
      <c r="IE172" s="93"/>
      <c r="IF172" s="93"/>
      <c r="IG172" s="93"/>
      <c r="IH172" s="93"/>
      <c r="II172" s="93"/>
      <c r="IJ172" s="93"/>
      <c r="IK172" s="93"/>
      <c r="IL172" s="93"/>
      <c r="IM172" s="93"/>
      <c r="IN172" s="93"/>
      <c r="IO172" s="93"/>
      <c r="IP172" s="93"/>
      <c r="IQ172" s="93"/>
      <c r="IR172" s="93"/>
      <c r="IS172" s="93"/>
      <c r="IT172" s="93"/>
      <c r="IU172" s="93"/>
      <c r="IV172" s="93"/>
      <c r="IW172" s="93"/>
      <c r="IX172" s="93"/>
      <c r="IY172" s="93"/>
    </row>
    <row r="173" spans="1:260" s="95" customFormat="1" ht="15" thickBot="1">
      <c r="A173" s="93"/>
      <c r="B173" s="156"/>
      <c r="C173" s="156"/>
      <c r="D173" s="156"/>
      <c r="E173" s="177" t="s">
        <v>153</v>
      </c>
      <c r="F173" s="178">
        <f>V30</f>
        <v>2366.9908999999998</v>
      </c>
      <c r="G173" s="179">
        <f>W30</f>
        <v>2539.8953999999999</v>
      </c>
      <c r="H173" s="178">
        <f>V30</f>
        <v>2366.9908999999998</v>
      </c>
      <c r="I173" s="265">
        <f>W30+U97</f>
        <v>2575.9254000000001</v>
      </c>
      <c r="J173" s="180">
        <f>IFERROR(F173/G173,0)</f>
        <v>0.93192455878301128</v>
      </c>
      <c r="K173" s="181">
        <f>IFERROR(H173/I173,0)</f>
        <v>0.91888953771720239</v>
      </c>
      <c r="L173" s="541">
        <v>0.93</v>
      </c>
      <c r="M173" s="158"/>
      <c r="N173" s="158"/>
      <c r="O173" s="228"/>
      <c r="P173" s="158"/>
      <c r="Q173" s="182"/>
      <c r="R173" s="207"/>
      <c r="S173" s="207"/>
      <c r="T173" s="207"/>
      <c r="U173" s="207"/>
      <c r="V173" s="207"/>
      <c r="W173" s="207"/>
      <c r="X173" s="207"/>
      <c r="Y173" s="207"/>
      <c r="Z173" s="207"/>
      <c r="AA173" s="207"/>
      <c r="AB173" s="207"/>
      <c r="AC173" s="207"/>
      <c r="AD173" s="207"/>
      <c r="AE173" s="207"/>
      <c r="AF173" s="207"/>
      <c r="AG173" s="207"/>
      <c r="AH173" s="207"/>
      <c r="AI173" s="207"/>
      <c r="AJ173" s="207"/>
      <c r="AK173" s="207"/>
      <c r="AL173" s="94"/>
      <c r="AM173" s="94"/>
      <c r="AN173" s="94"/>
      <c r="AO173" s="94"/>
      <c r="AP173" s="94"/>
      <c r="AQ173" s="94"/>
      <c r="AR173" s="94"/>
      <c r="AS173" s="94"/>
      <c r="AT173" s="94"/>
      <c r="AU173" s="94"/>
      <c r="AV173" s="94"/>
      <c r="AW173" s="94"/>
      <c r="AX173" s="94"/>
      <c r="AY173" s="93"/>
      <c r="AZ173" s="93"/>
      <c r="BA173" s="93"/>
      <c r="BB173" s="93"/>
      <c r="BC173" s="93"/>
      <c r="BD173" s="93"/>
      <c r="BE173" s="93"/>
      <c r="BF173" s="93"/>
      <c r="BG173" s="93"/>
      <c r="BH173" s="93"/>
      <c r="BI173" s="93"/>
      <c r="BJ173" s="93"/>
      <c r="BK173" s="93"/>
      <c r="BL173" s="93"/>
      <c r="BM173" s="93"/>
      <c r="BN173" s="93"/>
      <c r="BO173" s="93"/>
      <c r="BP173" s="93"/>
      <c r="BQ173" s="93"/>
      <c r="BR173" s="93"/>
      <c r="BS173" s="93"/>
      <c r="BT173" s="93"/>
      <c r="BU173" s="93"/>
      <c r="BV173" s="93"/>
      <c r="BW173" s="93"/>
      <c r="BX173" s="93"/>
      <c r="BY173" s="93"/>
      <c r="BZ173" s="93"/>
      <c r="CA173" s="93"/>
      <c r="CB173" s="93"/>
      <c r="CC173" s="93"/>
      <c r="CD173" s="93"/>
      <c r="CE173" s="93"/>
      <c r="CF173" s="93"/>
      <c r="CG173" s="93"/>
      <c r="CH173" s="93"/>
      <c r="CI173" s="93"/>
      <c r="CJ173" s="93"/>
      <c r="CK173" s="93"/>
      <c r="CL173" s="93"/>
      <c r="CM173" s="93"/>
      <c r="CN173" s="93"/>
      <c r="CO173" s="93"/>
      <c r="CP173" s="93"/>
      <c r="CQ173" s="93"/>
      <c r="CR173" s="93"/>
      <c r="CS173" s="93"/>
      <c r="CT173" s="93"/>
      <c r="CU173" s="93"/>
      <c r="CV173" s="93"/>
      <c r="CW173" s="93"/>
      <c r="CX173" s="93"/>
      <c r="CY173" s="93"/>
      <c r="CZ173" s="93"/>
      <c r="DA173" s="93"/>
      <c r="DB173" s="93"/>
      <c r="DC173" s="93"/>
      <c r="DD173" s="93"/>
      <c r="DE173" s="93"/>
      <c r="DF173" s="93"/>
      <c r="DG173" s="93"/>
      <c r="DH173" s="93"/>
      <c r="DI173" s="93"/>
      <c r="DJ173" s="93"/>
      <c r="DK173" s="93"/>
      <c r="DL173" s="93"/>
      <c r="DM173" s="93"/>
      <c r="DN173" s="93"/>
      <c r="DO173" s="93"/>
      <c r="DP173" s="93"/>
      <c r="DQ173" s="93"/>
      <c r="DR173" s="93"/>
      <c r="DS173" s="93"/>
      <c r="DT173" s="93"/>
      <c r="DU173" s="93"/>
      <c r="DV173" s="93"/>
      <c r="DW173" s="93"/>
      <c r="DX173" s="93"/>
      <c r="DY173" s="93"/>
      <c r="DZ173" s="93"/>
      <c r="EA173" s="93"/>
      <c r="EB173" s="93"/>
      <c r="EC173" s="93"/>
      <c r="ED173" s="93"/>
      <c r="EE173" s="93"/>
      <c r="EF173" s="93"/>
      <c r="EG173" s="93"/>
      <c r="EH173" s="93"/>
      <c r="EI173" s="93"/>
      <c r="EJ173" s="93"/>
      <c r="EK173" s="93"/>
      <c r="EL173" s="93"/>
      <c r="EM173" s="93"/>
      <c r="EN173" s="93"/>
      <c r="EO173" s="93"/>
      <c r="EP173" s="93"/>
      <c r="EQ173" s="93"/>
      <c r="ER173" s="93"/>
      <c r="ES173" s="93"/>
      <c r="ET173" s="93"/>
      <c r="EU173" s="93"/>
      <c r="EV173" s="93"/>
      <c r="EW173" s="93"/>
      <c r="EX173" s="93"/>
      <c r="EY173" s="93"/>
      <c r="EZ173" s="93"/>
      <c r="FA173" s="93"/>
      <c r="FB173" s="93"/>
      <c r="FC173" s="93"/>
      <c r="FD173" s="93"/>
      <c r="FE173" s="93"/>
      <c r="FF173" s="93"/>
      <c r="FG173" s="93"/>
      <c r="FH173" s="93"/>
      <c r="FI173" s="93"/>
      <c r="FJ173" s="93"/>
      <c r="FK173" s="93"/>
      <c r="FL173" s="93"/>
      <c r="FM173" s="93"/>
      <c r="FN173" s="93"/>
      <c r="FO173" s="93"/>
      <c r="FP173" s="93"/>
      <c r="FQ173" s="93"/>
      <c r="FR173" s="93"/>
      <c r="FS173" s="93"/>
      <c r="FT173" s="93"/>
      <c r="FU173" s="93"/>
      <c r="FV173" s="93"/>
      <c r="FW173" s="93"/>
      <c r="FX173" s="93"/>
      <c r="FY173" s="93"/>
      <c r="FZ173" s="93"/>
      <c r="GA173" s="93"/>
      <c r="GB173" s="93"/>
      <c r="GC173" s="93"/>
      <c r="GD173" s="93"/>
      <c r="GE173" s="93"/>
      <c r="GF173" s="93"/>
      <c r="GG173" s="93"/>
      <c r="GH173" s="93"/>
      <c r="GI173" s="93"/>
      <c r="GJ173" s="93"/>
      <c r="GK173" s="93"/>
      <c r="GL173" s="93"/>
      <c r="GM173" s="93"/>
      <c r="GN173" s="93"/>
      <c r="GO173" s="93"/>
      <c r="GP173" s="93"/>
      <c r="GQ173" s="93"/>
      <c r="GR173" s="93"/>
      <c r="GS173" s="93"/>
      <c r="GT173" s="93"/>
      <c r="GU173" s="93"/>
      <c r="GV173" s="93"/>
      <c r="GW173" s="93"/>
      <c r="GX173" s="93"/>
      <c r="GY173" s="93"/>
      <c r="GZ173" s="93"/>
      <c r="HA173" s="93"/>
      <c r="HB173" s="93"/>
      <c r="HC173" s="93"/>
      <c r="HD173" s="93"/>
      <c r="HE173" s="93"/>
      <c r="HF173" s="93"/>
      <c r="HG173" s="93"/>
      <c r="HH173" s="93"/>
      <c r="HI173" s="93"/>
      <c r="HJ173" s="93"/>
      <c r="HK173" s="93"/>
      <c r="HL173" s="93"/>
      <c r="HM173" s="93"/>
      <c r="HN173" s="93"/>
      <c r="HO173" s="93"/>
      <c r="HP173" s="93"/>
      <c r="HQ173" s="93"/>
      <c r="HR173" s="93"/>
      <c r="HS173" s="93"/>
      <c r="HT173" s="93"/>
      <c r="HU173" s="93"/>
      <c r="HV173" s="93"/>
      <c r="HW173" s="93"/>
      <c r="HX173" s="93"/>
      <c r="HY173" s="93"/>
      <c r="HZ173" s="93"/>
      <c r="IA173" s="93"/>
      <c r="IB173" s="93"/>
      <c r="IC173" s="93"/>
      <c r="ID173" s="93"/>
      <c r="IE173" s="93"/>
      <c r="IF173" s="93"/>
      <c r="IG173" s="93"/>
      <c r="IH173" s="93"/>
      <c r="II173" s="93"/>
      <c r="IJ173" s="93"/>
      <c r="IK173" s="93"/>
      <c r="IL173" s="93"/>
      <c r="IM173" s="93"/>
      <c r="IN173" s="93"/>
      <c r="IO173" s="93"/>
      <c r="IP173" s="93"/>
      <c r="IQ173" s="93"/>
      <c r="IR173" s="93"/>
      <c r="IS173" s="93"/>
      <c r="IT173" s="93"/>
      <c r="IU173" s="93"/>
      <c r="IV173" s="93"/>
      <c r="IW173" s="93"/>
      <c r="IX173" s="93"/>
      <c r="IY173" s="93"/>
    </row>
    <row r="174" spans="1:260" s="95" customFormat="1">
      <c r="A174" s="93"/>
      <c r="B174" s="156"/>
      <c r="C174" s="156"/>
      <c r="D174" s="156"/>
      <c r="E174" s="157"/>
      <c r="F174" s="157"/>
      <c r="G174" s="158"/>
      <c r="H174" s="158"/>
      <c r="I174" s="391"/>
      <c r="J174" s="158"/>
      <c r="K174" s="158"/>
      <c r="L174" s="158"/>
      <c r="M174" s="158"/>
      <c r="N174" s="158"/>
      <c r="O174" s="158"/>
      <c r="P174" s="228"/>
      <c r="Q174" s="158"/>
      <c r="R174" s="182"/>
      <c r="S174" s="355"/>
      <c r="T174" s="207"/>
      <c r="U174" s="207"/>
      <c r="V174" s="207"/>
      <c r="W174" s="207"/>
      <c r="X174" s="207"/>
      <c r="Y174" s="207"/>
      <c r="Z174" s="207"/>
      <c r="AA174" s="207"/>
      <c r="AB174" s="207"/>
      <c r="AC174" s="207"/>
      <c r="AD174" s="207"/>
      <c r="AE174" s="207"/>
      <c r="AF174" s="207"/>
      <c r="AG174" s="207"/>
      <c r="AH174" s="207"/>
      <c r="AI174" s="207"/>
      <c r="AJ174" s="207"/>
      <c r="AK174" s="207"/>
      <c r="AL174" s="207"/>
      <c r="AM174" s="94"/>
      <c r="AN174" s="94"/>
      <c r="AO174" s="94"/>
      <c r="AP174" s="94"/>
      <c r="AQ174" s="94"/>
      <c r="AR174" s="94"/>
      <c r="AS174" s="94"/>
      <c r="AT174" s="94"/>
      <c r="AU174" s="94"/>
      <c r="AV174" s="94"/>
      <c r="AW174" s="94"/>
      <c r="AX174" s="94"/>
      <c r="AY174" s="94"/>
      <c r="AZ174" s="93"/>
      <c r="BA174" s="93"/>
      <c r="BB174" s="93"/>
      <c r="BC174" s="93"/>
      <c r="BD174" s="93"/>
      <c r="BE174" s="93"/>
      <c r="BF174" s="93"/>
      <c r="BG174" s="93"/>
      <c r="BH174" s="93"/>
      <c r="BI174" s="93"/>
      <c r="BJ174" s="93"/>
      <c r="BK174" s="93"/>
      <c r="BL174" s="93"/>
      <c r="BM174" s="93"/>
      <c r="BN174" s="93"/>
      <c r="BO174" s="93"/>
      <c r="BP174" s="93"/>
      <c r="BQ174" s="93"/>
      <c r="BR174" s="93"/>
      <c r="BS174" s="93"/>
      <c r="BT174" s="93"/>
      <c r="BU174" s="93"/>
      <c r="BV174" s="93"/>
      <c r="BW174" s="93"/>
      <c r="BX174" s="93"/>
      <c r="BY174" s="93"/>
      <c r="BZ174" s="93"/>
      <c r="CA174" s="93"/>
      <c r="CB174" s="93"/>
      <c r="CC174" s="93"/>
      <c r="CD174" s="93"/>
      <c r="CE174" s="93"/>
      <c r="CF174" s="93"/>
      <c r="CG174" s="93"/>
      <c r="CH174" s="93"/>
      <c r="CI174" s="93"/>
      <c r="CJ174" s="93"/>
      <c r="CK174" s="93"/>
      <c r="CL174" s="93"/>
      <c r="CM174" s="93"/>
      <c r="CN174" s="93"/>
      <c r="CO174" s="93"/>
      <c r="CP174" s="93"/>
      <c r="CQ174" s="93"/>
      <c r="CR174" s="93"/>
      <c r="CS174" s="93"/>
      <c r="CT174" s="93"/>
      <c r="CU174" s="93"/>
      <c r="CV174" s="93"/>
      <c r="CW174" s="93"/>
      <c r="CX174" s="93"/>
      <c r="CY174" s="93"/>
      <c r="CZ174" s="93"/>
      <c r="DA174" s="93"/>
      <c r="DB174" s="93"/>
      <c r="DC174" s="93"/>
      <c r="DD174" s="93"/>
      <c r="DE174" s="93"/>
      <c r="DF174" s="93"/>
      <c r="DG174" s="93"/>
      <c r="DH174" s="93"/>
      <c r="DI174" s="93"/>
      <c r="DJ174" s="93"/>
      <c r="DK174" s="93"/>
      <c r="DL174" s="93"/>
      <c r="DM174" s="93"/>
      <c r="DN174" s="93"/>
      <c r="DO174" s="93"/>
      <c r="DP174" s="93"/>
      <c r="DQ174" s="93"/>
      <c r="DR174" s="93"/>
      <c r="DS174" s="93"/>
      <c r="DT174" s="93"/>
      <c r="DU174" s="93"/>
      <c r="DV174" s="93"/>
      <c r="DW174" s="93"/>
      <c r="DX174" s="93"/>
      <c r="DY174" s="93"/>
      <c r="DZ174" s="93"/>
      <c r="EA174" s="93"/>
      <c r="EB174" s="93"/>
      <c r="EC174" s="93"/>
      <c r="ED174" s="93"/>
      <c r="EE174" s="93"/>
      <c r="EF174" s="93"/>
      <c r="EG174" s="93"/>
      <c r="EH174" s="93"/>
      <c r="EI174" s="93"/>
      <c r="EJ174" s="93"/>
      <c r="EK174" s="93"/>
      <c r="EL174" s="93"/>
      <c r="EM174" s="93"/>
      <c r="EN174" s="93"/>
      <c r="EO174" s="93"/>
      <c r="EP174" s="93"/>
      <c r="EQ174" s="93"/>
      <c r="ER174" s="93"/>
      <c r="ES174" s="93"/>
      <c r="ET174" s="93"/>
      <c r="EU174" s="93"/>
      <c r="EV174" s="93"/>
      <c r="EW174" s="93"/>
      <c r="EX174" s="93"/>
      <c r="EY174" s="93"/>
      <c r="EZ174" s="93"/>
      <c r="FA174" s="93"/>
      <c r="FB174" s="93"/>
      <c r="FC174" s="93"/>
      <c r="FD174" s="93"/>
      <c r="FE174" s="93"/>
      <c r="FF174" s="93"/>
      <c r="FG174" s="93"/>
      <c r="FH174" s="93"/>
      <c r="FI174" s="93"/>
      <c r="FJ174" s="93"/>
      <c r="FK174" s="93"/>
      <c r="FL174" s="93"/>
      <c r="FM174" s="93"/>
      <c r="FN174" s="93"/>
      <c r="FO174" s="93"/>
      <c r="FP174" s="93"/>
      <c r="FQ174" s="93"/>
      <c r="FR174" s="93"/>
      <c r="FS174" s="93"/>
      <c r="FT174" s="93"/>
      <c r="FU174" s="93"/>
      <c r="FV174" s="93"/>
      <c r="FW174" s="93"/>
      <c r="FX174" s="93"/>
      <c r="FY174" s="93"/>
      <c r="FZ174" s="93"/>
      <c r="GA174" s="93"/>
      <c r="GB174" s="93"/>
      <c r="GC174" s="93"/>
      <c r="GD174" s="93"/>
      <c r="GE174" s="93"/>
      <c r="GF174" s="93"/>
      <c r="GG174" s="93"/>
      <c r="GH174" s="93"/>
      <c r="GI174" s="93"/>
      <c r="GJ174" s="93"/>
      <c r="GK174" s="93"/>
      <c r="GL174" s="93"/>
      <c r="GM174" s="93"/>
      <c r="GN174" s="93"/>
      <c r="GO174" s="93"/>
      <c r="GP174" s="93"/>
      <c r="GQ174" s="93"/>
      <c r="GR174" s="93"/>
      <c r="GS174" s="93"/>
      <c r="GT174" s="93"/>
      <c r="GU174" s="93"/>
      <c r="GV174" s="93"/>
      <c r="GW174" s="93"/>
      <c r="GX174" s="93"/>
      <c r="GY174" s="93"/>
      <c r="GZ174" s="93"/>
      <c r="HA174" s="93"/>
      <c r="HB174" s="93"/>
      <c r="HC174" s="93"/>
      <c r="HD174" s="93"/>
      <c r="HE174" s="93"/>
      <c r="HF174" s="93"/>
      <c r="HG174" s="93"/>
      <c r="HH174" s="93"/>
      <c r="HI174" s="93"/>
      <c r="HJ174" s="93"/>
      <c r="HK174" s="93"/>
      <c r="HL174" s="93"/>
      <c r="HM174" s="93"/>
      <c r="HN174" s="93"/>
      <c r="HO174" s="93"/>
      <c r="HP174" s="93"/>
      <c r="HQ174" s="93"/>
      <c r="HR174" s="93"/>
      <c r="HS174" s="93"/>
      <c r="HT174" s="93"/>
      <c r="HU174" s="93"/>
      <c r="HV174" s="93"/>
      <c r="HW174" s="93"/>
      <c r="HX174" s="93"/>
      <c r="HY174" s="93"/>
      <c r="HZ174" s="93"/>
      <c r="IA174" s="93"/>
      <c r="IB174" s="93"/>
      <c r="IC174" s="93"/>
      <c r="ID174" s="93"/>
      <c r="IE174" s="93"/>
      <c r="IF174" s="93"/>
      <c r="IG174" s="93"/>
      <c r="IH174" s="93"/>
      <c r="II174" s="93"/>
      <c r="IJ174" s="93"/>
      <c r="IK174" s="93"/>
      <c r="IL174" s="93"/>
      <c r="IM174" s="93"/>
      <c r="IN174" s="93"/>
      <c r="IO174" s="93"/>
      <c r="IP174" s="93"/>
      <c r="IQ174" s="93"/>
      <c r="IR174" s="93"/>
      <c r="IS174" s="93"/>
      <c r="IT174" s="93"/>
      <c r="IU174" s="93"/>
      <c r="IV174" s="93"/>
      <c r="IW174" s="93"/>
      <c r="IX174" s="93"/>
      <c r="IY174" s="93"/>
      <c r="IZ174" s="93"/>
    </row>
    <row r="175" spans="1:260" s="95" customFormat="1">
      <c r="A175" s="93"/>
      <c r="B175" s="183"/>
      <c r="C175" s="183"/>
      <c r="D175" s="183"/>
      <c r="E175" s="158"/>
      <c r="F175" s="158"/>
      <c r="G175" s="158"/>
      <c r="H175" s="158"/>
      <c r="I175" s="158"/>
      <c r="J175" s="158"/>
      <c r="K175" s="158"/>
      <c r="L175" s="158"/>
      <c r="M175" s="158"/>
      <c r="N175" s="158"/>
      <c r="O175" s="158"/>
      <c r="P175" s="228"/>
      <c r="Q175" s="158"/>
      <c r="R175" s="158"/>
      <c r="S175" s="207"/>
      <c r="T175" s="207"/>
      <c r="U175" s="207"/>
      <c r="V175" s="207"/>
      <c r="W175" s="207"/>
      <c r="X175" s="207"/>
      <c r="Y175" s="207"/>
      <c r="Z175" s="207"/>
      <c r="AA175" s="207"/>
      <c r="AB175" s="207"/>
      <c r="AC175" s="207"/>
      <c r="AD175" s="207"/>
      <c r="AE175" s="207"/>
      <c r="AF175" s="207"/>
      <c r="AG175" s="207"/>
      <c r="AH175" s="207"/>
      <c r="AI175" s="207"/>
      <c r="AJ175" s="207"/>
      <c r="AK175" s="207"/>
      <c r="AL175" s="207"/>
      <c r="AM175" s="94"/>
      <c r="AN175" s="94"/>
      <c r="AO175" s="94"/>
      <c r="AP175" s="94"/>
      <c r="AQ175" s="94"/>
      <c r="AR175" s="94"/>
      <c r="AS175" s="94"/>
      <c r="AT175" s="94"/>
      <c r="AU175" s="94"/>
      <c r="AV175" s="94"/>
      <c r="AW175" s="94"/>
      <c r="AX175" s="94"/>
      <c r="AY175" s="94"/>
      <c r="AZ175" s="93"/>
      <c r="BA175" s="93"/>
      <c r="BB175" s="93"/>
      <c r="BC175" s="93"/>
      <c r="BD175" s="93"/>
      <c r="BE175" s="93"/>
      <c r="BF175" s="93"/>
      <c r="BG175" s="93"/>
      <c r="BH175" s="93"/>
      <c r="BI175" s="93"/>
      <c r="BJ175" s="93"/>
      <c r="BK175" s="93"/>
      <c r="BL175" s="93"/>
      <c r="BM175" s="93"/>
      <c r="BN175" s="93"/>
      <c r="BO175" s="93"/>
      <c r="BP175" s="93"/>
      <c r="BQ175" s="93"/>
      <c r="BR175" s="93"/>
      <c r="BS175" s="93"/>
      <c r="BT175" s="93"/>
      <c r="BU175" s="93"/>
      <c r="BV175" s="93"/>
      <c r="BW175" s="93"/>
      <c r="BX175" s="93"/>
      <c r="BY175" s="93"/>
      <c r="BZ175" s="93"/>
      <c r="CA175" s="93"/>
      <c r="CB175" s="93"/>
      <c r="CC175" s="93"/>
      <c r="CD175" s="93"/>
      <c r="CE175" s="93"/>
      <c r="CF175" s="93"/>
      <c r="CG175" s="93"/>
      <c r="CH175" s="93"/>
      <c r="CI175" s="93"/>
      <c r="CJ175" s="93"/>
      <c r="CK175" s="93"/>
      <c r="CL175" s="93"/>
      <c r="CM175" s="93"/>
      <c r="CN175" s="93"/>
      <c r="CO175" s="93"/>
      <c r="CP175" s="93"/>
      <c r="CQ175" s="93"/>
      <c r="CR175" s="93"/>
      <c r="CS175" s="93"/>
      <c r="CT175" s="93"/>
      <c r="CU175" s="93"/>
      <c r="CV175" s="93"/>
      <c r="CW175" s="93"/>
      <c r="CX175" s="93"/>
      <c r="CY175" s="93"/>
      <c r="CZ175" s="93"/>
      <c r="DA175" s="93"/>
      <c r="DB175" s="93"/>
      <c r="DC175" s="93"/>
      <c r="DD175" s="93"/>
      <c r="DE175" s="93"/>
      <c r="DF175" s="93"/>
      <c r="DG175" s="93"/>
      <c r="DH175" s="93"/>
      <c r="DI175" s="93"/>
      <c r="DJ175" s="93"/>
      <c r="DK175" s="93"/>
      <c r="DL175" s="93"/>
      <c r="DM175" s="93"/>
      <c r="DN175" s="93"/>
      <c r="DO175" s="93"/>
      <c r="DP175" s="93"/>
      <c r="DQ175" s="93"/>
      <c r="DR175" s="93"/>
      <c r="DS175" s="93"/>
      <c r="DT175" s="93"/>
      <c r="DU175" s="93"/>
      <c r="DV175" s="93"/>
      <c r="DW175" s="93"/>
      <c r="DX175" s="93"/>
      <c r="DY175" s="93"/>
      <c r="DZ175" s="93"/>
      <c r="EA175" s="93"/>
      <c r="EB175" s="93"/>
      <c r="EC175" s="93"/>
      <c r="ED175" s="93"/>
      <c r="EE175" s="93"/>
      <c r="EF175" s="93"/>
      <c r="EG175" s="93"/>
      <c r="EH175" s="93"/>
      <c r="EI175" s="93"/>
      <c r="EJ175" s="93"/>
      <c r="EK175" s="93"/>
      <c r="EL175" s="93"/>
      <c r="EM175" s="93"/>
      <c r="EN175" s="93"/>
      <c r="EO175" s="93"/>
      <c r="EP175" s="93"/>
      <c r="EQ175" s="93"/>
      <c r="ER175" s="93"/>
      <c r="ES175" s="93"/>
      <c r="ET175" s="93"/>
      <c r="EU175" s="93"/>
      <c r="EV175" s="93"/>
      <c r="EW175" s="93"/>
      <c r="EX175" s="93"/>
      <c r="EY175" s="93"/>
      <c r="EZ175" s="93"/>
      <c r="FA175" s="93"/>
      <c r="FB175" s="93"/>
      <c r="FC175" s="93"/>
      <c r="FD175" s="93"/>
      <c r="FE175" s="93"/>
      <c r="FF175" s="93"/>
      <c r="FG175" s="93"/>
      <c r="FH175" s="93"/>
      <c r="FI175" s="93"/>
      <c r="FJ175" s="93"/>
      <c r="FK175" s="93"/>
      <c r="FL175" s="93"/>
      <c r="FM175" s="93"/>
      <c r="FN175" s="93"/>
      <c r="FO175" s="93"/>
      <c r="FP175" s="93"/>
      <c r="FQ175" s="93"/>
      <c r="FR175" s="93"/>
      <c r="FS175" s="93"/>
      <c r="FT175" s="93"/>
      <c r="FU175" s="93"/>
      <c r="FV175" s="93"/>
      <c r="FW175" s="93"/>
      <c r="FX175" s="93"/>
      <c r="FY175" s="93"/>
      <c r="FZ175" s="93"/>
      <c r="GA175" s="93"/>
      <c r="GB175" s="93"/>
      <c r="GC175" s="93"/>
      <c r="GD175" s="93"/>
      <c r="GE175" s="93"/>
      <c r="GF175" s="93"/>
      <c r="GG175" s="93"/>
      <c r="GH175" s="93"/>
      <c r="GI175" s="93"/>
      <c r="GJ175" s="93"/>
      <c r="GK175" s="93"/>
      <c r="GL175" s="93"/>
      <c r="GM175" s="93"/>
      <c r="GN175" s="93"/>
      <c r="GO175" s="93"/>
      <c r="GP175" s="93"/>
      <c r="GQ175" s="93"/>
      <c r="GR175" s="93"/>
      <c r="GS175" s="93"/>
      <c r="GT175" s="93"/>
      <c r="GU175" s="93"/>
      <c r="GV175" s="93"/>
      <c r="GW175" s="93"/>
      <c r="GX175" s="93"/>
      <c r="GY175" s="93"/>
      <c r="GZ175" s="93"/>
      <c r="HA175" s="93"/>
      <c r="HB175" s="93"/>
      <c r="HC175" s="93"/>
      <c r="HD175" s="93"/>
      <c r="HE175" s="93"/>
      <c r="HF175" s="93"/>
      <c r="HG175" s="93"/>
      <c r="HH175" s="93"/>
      <c r="HI175" s="93"/>
      <c r="HJ175" s="93"/>
      <c r="HK175" s="93"/>
      <c r="HL175" s="93"/>
      <c r="HM175" s="93"/>
      <c r="HN175" s="93"/>
      <c r="HO175" s="93"/>
      <c r="HP175" s="93"/>
      <c r="HQ175" s="93"/>
      <c r="HR175" s="93"/>
      <c r="HS175" s="93"/>
      <c r="HT175" s="93"/>
      <c r="HU175" s="93"/>
      <c r="HV175" s="93"/>
      <c r="HW175" s="93"/>
      <c r="HX175" s="93"/>
      <c r="HY175" s="93"/>
      <c r="HZ175" s="93"/>
      <c r="IA175" s="93"/>
      <c r="IB175" s="93"/>
      <c r="IC175" s="93"/>
      <c r="ID175" s="93"/>
      <c r="IE175" s="93"/>
      <c r="IF175" s="93"/>
      <c r="IG175" s="93"/>
      <c r="IH175" s="93"/>
      <c r="II175" s="93"/>
      <c r="IJ175" s="93"/>
      <c r="IK175" s="93"/>
      <c r="IL175" s="93"/>
      <c r="IM175" s="93"/>
      <c r="IN175" s="93"/>
      <c r="IO175" s="93"/>
      <c r="IP175" s="93"/>
      <c r="IQ175" s="93"/>
      <c r="IR175" s="93"/>
      <c r="IS175" s="93"/>
      <c r="IT175" s="93"/>
      <c r="IU175" s="93"/>
      <c r="IV175" s="93"/>
      <c r="IW175" s="93"/>
      <c r="IX175" s="93"/>
      <c r="IY175" s="93"/>
      <c r="IZ175" s="93"/>
    </row>
    <row r="176" spans="1:260" s="95" customFormat="1" ht="26.5" thickBot="1">
      <c r="A176" s="93"/>
      <c r="B176" s="159"/>
      <c r="C176" s="183"/>
      <c r="D176" s="183"/>
      <c r="E176" s="159" t="s">
        <v>2182</v>
      </c>
      <c r="F176" s="158"/>
      <c r="G176" s="158"/>
      <c r="H176" s="158"/>
      <c r="I176" s="158"/>
      <c r="J176" s="158"/>
      <c r="K176" s="158"/>
      <c r="L176" s="158"/>
      <c r="M176" s="158"/>
      <c r="N176" s="158"/>
      <c r="O176" s="158"/>
      <c r="P176" s="228"/>
      <c r="Q176" s="158"/>
      <c r="R176" s="158"/>
      <c r="S176" s="207"/>
      <c r="T176" s="207"/>
      <c r="U176" s="207"/>
      <c r="V176" s="207"/>
      <c r="W176" s="207"/>
      <c r="X176" s="207"/>
      <c r="Y176" s="207"/>
      <c r="Z176" s="207"/>
      <c r="AA176" s="207"/>
      <c r="AB176" s="207"/>
      <c r="AC176" s="207"/>
      <c r="AD176" s="207"/>
      <c r="AE176" s="207"/>
      <c r="AF176" s="207"/>
      <c r="AG176" s="207"/>
      <c r="AH176" s="207"/>
      <c r="AI176" s="207"/>
      <c r="AJ176" s="207"/>
      <c r="AK176" s="207"/>
      <c r="AL176" s="207"/>
      <c r="AM176" s="94"/>
      <c r="AN176" s="94"/>
      <c r="AO176" s="94"/>
      <c r="AP176" s="94"/>
      <c r="AQ176" s="94"/>
      <c r="AR176" s="94"/>
      <c r="AS176" s="94"/>
      <c r="AT176" s="94"/>
      <c r="AU176" s="94"/>
      <c r="AV176" s="94"/>
      <c r="AW176" s="94"/>
      <c r="AX176" s="94"/>
      <c r="AY176" s="94"/>
      <c r="AZ176" s="93"/>
      <c r="BA176" s="93"/>
      <c r="BB176" s="93"/>
      <c r="BC176" s="93"/>
      <c r="BD176" s="93"/>
      <c r="BE176" s="93"/>
      <c r="BF176" s="93"/>
      <c r="BG176" s="93"/>
      <c r="BH176" s="93"/>
      <c r="BI176" s="93"/>
      <c r="BJ176" s="93"/>
      <c r="BK176" s="93"/>
      <c r="BL176" s="93"/>
      <c r="BM176" s="93"/>
      <c r="BN176" s="93"/>
      <c r="BO176" s="93"/>
      <c r="BP176" s="93"/>
      <c r="BQ176" s="93"/>
      <c r="BR176" s="93"/>
      <c r="BS176" s="93"/>
      <c r="BT176" s="93"/>
      <c r="BU176" s="93"/>
      <c r="BV176" s="93"/>
      <c r="BW176" s="93"/>
      <c r="BX176" s="93"/>
      <c r="BY176" s="93"/>
      <c r="BZ176" s="93"/>
      <c r="CA176" s="93"/>
      <c r="CB176" s="93"/>
      <c r="CC176" s="93"/>
      <c r="CD176" s="93"/>
      <c r="CE176" s="93"/>
      <c r="CF176" s="93"/>
      <c r="CG176" s="93"/>
      <c r="CH176" s="93"/>
      <c r="CI176" s="93"/>
      <c r="CJ176" s="93"/>
      <c r="CK176" s="93"/>
      <c r="CL176" s="93"/>
      <c r="CM176" s="93"/>
      <c r="CN176" s="93"/>
      <c r="CO176" s="93"/>
      <c r="CP176" s="93"/>
      <c r="CQ176" s="93"/>
      <c r="CR176" s="93"/>
      <c r="CS176" s="93"/>
      <c r="CT176" s="93"/>
      <c r="CU176" s="93"/>
      <c r="CV176" s="93"/>
      <c r="CW176" s="93"/>
      <c r="CX176" s="93"/>
      <c r="CY176" s="93"/>
      <c r="CZ176" s="93"/>
      <c r="DA176" s="93"/>
      <c r="DB176" s="93"/>
      <c r="DC176" s="93"/>
      <c r="DD176" s="93"/>
      <c r="DE176" s="93"/>
      <c r="DF176" s="93"/>
      <c r="DG176" s="93"/>
      <c r="DH176" s="93"/>
      <c r="DI176" s="93"/>
      <c r="DJ176" s="93"/>
      <c r="DK176" s="93"/>
      <c r="DL176" s="93"/>
      <c r="DM176" s="93"/>
      <c r="DN176" s="93"/>
      <c r="DO176" s="93"/>
      <c r="DP176" s="93"/>
      <c r="DQ176" s="93"/>
      <c r="DR176" s="93"/>
      <c r="DS176" s="93"/>
      <c r="DT176" s="93"/>
      <c r="DU176" s="93"/>
      <c r="DV176" s="93"/>
      <c r="DW176" s="93"/>
      <c r="DX176" s="93"/>
      <c r="DY176" s="93"/>
      <c r="DZ176" s="93"/>
      <c r="EA176" s="93"/>
      <c r="EB176" s="93"/>
      <c r="EC176" s="93"/>
      <c r="ED176" s="93"/>
      <c r="EE176" s="93"/>
      <c r="EF176" s="93"/>
      <c r="EG176" s="93"/>
      <c r="EH176" s="93"/>
      <c r="EI176" s="93"/>
      <c r="EJ176" s="93"/>
      <c r="EK176" s="93"/>
      <c r="EL176" s="93"/>
      <c r="EM176" s="93"/>
      <c r="EN176" s="93"/>
      <c r="EO176" s="93"/>
      <c r="EP176" s="93"/>
      <c r="EQ176" s="93"/>
      <c r="ER176" s="93"/>
      <c r="ES176" s="93"/>
      <c r="ET176" s="93"/>
      <c r="EU176" s="93"/>
      <c r="EV176" s="93"/>
      <c r="EW176" s="93"/>
      <c r="EX176" s="93"/>
      <c r="EY176" s="93"/>
      <c r="EZ176" s="93"/>
      <c r="FA176" s="93"/>
      <c r="FB176" s="93"/>
      <c r="FC176" s="93"/>
      <c r="FD176" s="93"/>
      <c r="FE176" s="93"/>
      <c r="FF176" s="93"/>
      <c r="FG176" s="93"/>
      <c r="FH176" s="93"/>
      <c r="FI176" s="93"/>
      <c r="FJ176" s="93"/>
      <c r="FK176" s="93"/>
      <c r="FL176" s="93"/>
      <c r="FM176" s="93"/>
      <c r="FN176" s="93"/>
      <c r="FO176" s="93"/>
      <c r="FP176" s="93"/>
      <c r="FQ176" s="93"/>
      <c r="FR176" s="93"/>
      <c r="FS176" s="93"/>
      <c r="FT176" s="93"/>
      <c r="FU176" s="93"/>
      <c r="FV176" s="93"/>
      <c r="FW176" s="93"/>
      <c r="FX176" s="93"/>
      <c r="FY176" s="93"/>
      <c r="FZ176" s="93"/>
      <c r="GA176" s="93"/>
      <c r="GB176" s="93"/>
      <c r="GC176" s="93"/>
      <c r="GD176" s="93"/>
      <c r="GE176" s="93"/>
      <c r="GF176" s="93"/>
      <c r="GG176" s="93"/>
      <c r="GH176" s="93"/>
      <c r="GI176" s="93"/>
      <c r="GJ176" s="93"/>
      <c r="GK176" s="93"/>
      <c r="GL176" s="93"/>
      <c r="GM176" s="93"/>
      <c r="GN176" s="93"/>
      <c r="GO176" s="93"/>
      <c r="GP176" s="93"/>
      <c r="GQ176" s="93"/>
      <c r="GR176" s="93"/>
      <c r="GS176" s="93"/>
      <c r="GT176" s="93"/>
      <c r="GU176" s="93"/>
      <c r="GV176" s="93"/>
      <c r="GW176" s="93"/>
      <c r="GX176" s="93"/>
      <c r="GY176" s="93"/>
      <c r="GZ176" s="93"/>
      <c r="HA176" s="93"/>
      <c r="HB176" s="93"/>
      <c r="HC176" s="93"/>
      <c r="HD176" s="93"/>
      <c r="HE176" s="93"/>
      <c r="HF176" s="93"/>
      <c r="HG176" s="93"/>
      <c r="HH176" s="93"/>
      <c r="HI176" s="93"/>
      <c r="HJ176" s="93"/>
      <c r="HK176" s="93"/>
      <c r="HL176" s="93"/>
      <c r="HM176" s="93"/>
      <c r="HN176" s="93"/>
      <c r="HO176" s="93"/>
      <c r="HP176" s="93"/>
      <c r="HQ176" s="93"/>
      <c r="HR176" s="93"/>
      <c r="HS176" s="93"/>
      <c r="HT176" s="93"/>
      <c r="HU176" s="93"/>
      <c r="HV176" s="93"/>
      <c r="HW176" s="93"/>
      <c r="HX176" s="93"/>
      <c r="HY176" s="93"/>
      <c r="HZ176" s="93"/>
      <c r="IA176" s="93"/>
      <c r="IB176" s="93"/>
      <c r="IC176" s="93"/>
      <c r="ID176" s="93"/>
      <c r="IE176" s="93"/>
      <c r="IF176" s="93"/>
      <c r="IG176" s="93"/>
      <c r="IH176" s="93"/>
      <c r="II176" s="93"/>
      <c r="IJ176" s="93"/>
      <c r="IK176" s="93"/>
      <c r="IL176" s="93"/>
      <c r="IM176" s="93"/>
      <c r="IN176" s="93"/>
      <c r="IO176" s="93"/>
      <c r="IP176" s="93"/>
      <c r="IQ176" s="93"/>
      <c r="IR176" s="93"/>
      <c r="IS176" s="93"/>
      <c r="IT176" s="93"/>
      <c r="IU176" s="93"/>
      <c r="IV176" s="93"/>
      <c r="IW176" s="93"/>
      <c r="IX176" s="93"/>
      <c r="IY176" s="93"/>
      <c r="IZ176" s="93"/>
    </row>
    <row r="177" spans="1:260" s="95" customFormat="1" ht="39.5" thickBot="1">
      <c r="A177" s="93"/>
      <c r="B177" s="183"/>
      <c r="C177" s="183"/>
      <c r="D177" s="183"/>
      <c r="E177" s="55" t="s">
        <v>213</v>
      </c>
      <c r="F177" s="248" t="s">
        <v>1802</v>
      </c>
      <c r="G177" s="242" t="str">
        <f>H169</f>
        <v>material consumed in OK qty</v>
      </c>
      <c r="H177" s="249" t="s">
        <v>1803</v>
      </c>
      <c r="I177" s="245" t="s">
        <v>1801</v>
      </c>
      <c r="J177" s="158"/>
      <c r="K177" s="158"/>
      <c r="L177" s="158"/>
      <c r="M177" s="158"/>
      <c r="N177" s="158"/>
      <c r="O177" s="158"/>
      <c r="P177" s="228"/>
      <c r="Q177" s="158"/>
      <c r="R177" s="158"/>
      <c r="S177" s="207"/>
      <c r="T177" s="207"/>
      <c r="U177" s="207"/>
      <c r="V177" s="207"/>
      <c r="W177" s="207"/>
      <c r="X177" s="207"/>
      <c r="Y177" s="207"/>
      <c r="Z177" s="207"/>
      <c r="AA177" s="207"/>
      <c r="AB177" s="207"/>
      <c r="AC177" s="207"/>
      <c r="AD177" s="207"/>
      <c r="AE177" s="207"/>
      <c r="AF177" s="207"/>
      <c r="AG177" s="207"/>
      <c r="AH177" s="207"/>
      <c r="AI177" s="207"/>
      <c r="AJ177" s="207"/>
      <c r="AK177" s="207"/>
      <c r="AL177" s="207"/>
      <c r="AM177" s="94"/>
      <c r="AN177" s="94"/>
      <c r="AO177" s="94"/>
      <c r="AP177" s="94"/>
      <c r="AQ177" s="94"/>
      <c r="AR177" s="94"/>
      <c r="AS177" s="94"/>
      <c r="AT177" s="94"/>
      <c r="AU177" s="94"/>
      <c r="AV177" s="94"/>
      <c r="AW177" s="94"/>
      <c r="AX177" s="94"/>
      <c r="AY177" s="94"/>
      <c r="AZ177" s="93"/>
      <c r="BA177" s="93"/>
      <c r="BB177" s="93"/>
      <c r="BC177" s="93"/>
      <c r="BD177" s="93"/>
      <c r="BE177" s="93"/>
      <c r="BF177" s="93"/>
      <c r="BG177" s="93"/>
      <c r="BH177" s="93"/>
      <c r="BI177" s="93"/>
      <c r="BJ177" s="93"/>
      <c r="BK177" s="93"/>
      <c r="BL177" s="93"/>
      <c r="BM177" s="93"/>
      <c r="BN177" s="93"/>
      <c r="BO177" s="93"/>
      <c r="BP177" s="93"/>
      <c r="BQ177" s="93"/>
      <c r="BR177" s="93"/>
      <c r="BS177" s="93"/>
      <c r="BT177" s="93"/>
      <c r="BU177" s="93"/>
      <c r="BV177" s="93"/>
      <c r="BW177" s="93"/>
      <c r="BX177" s="93"/>
      <c r="BY177" s="93"/>
      <c r="BZ177" s="93"/>
      <c r="CA177" s="93"/>
      <c r="CB177" s="93"/>
      <c r="CC177" s="93"/>
      <c r="CD177" s="93"/>
      <c r="CE177" s="93"/>
      <c r="CF177" s="93"/>
      <c r="CG177" s="93"/>
      <c r="CH177" s="93"/>
      <c r="CI177" s="93"/>
      <c r="CJ177" s="93"/>
      <c r="CK177" s="93"/>
      <c r="CL177" s="93"/>
      <c r="CM177" s="93"/>
      <c r="CN177" s="93"/>
      <c r="CO177" s="93"/>
      <c r="CP177" s="93"/>
      <c r="CQ177" s="93"/>
      <c r="CR177" s="93"/>
      <c r="CS177" s="93"/>
      <c r="CT177" s="93"/>
      <c r="CU177" s="93"/>
      <c r="CV177" s="93"/>
      <c r="CW177" s="93"/>
      <c r="CX177" s="93"/>
      <c r="CY177" s="93"/>
      <c r="CZ177" s="93"/>
      <c r="DA177" s="93"/>
      <c r="DB177" s="93"/>
      <c r="DC177" s="93"/>
      <c r="DD177" s="93"/>
      <c r="DE177" s="93"/>
      <c r="DF177" s="93"/>
      <c r="DG177" s="93"/>
      <c r="DH177" s="93"/>
      <c r="DI177" s="93"/>
      <c r="DJ177" s="93"/>
      <c r="DK177" s="93"/>
      <c r="DL177" s="93"/>
      <c r="DM177" s="93"/>
      <c r="DN177" s="93"/>
      <c r="DO177" s="93"/>
      <c r="DP177" s="93"/>
      <c r="DQ177" s="93"/>
      <c r="DR177" s="93"/>
      <c r="DS177" s="93"/>
      <c r="DT177" s="93"/>
      <c r="DU177" s="93"/>
      <c r="DV177" s="93"/>
      <c r="DW177" s="93"/>
      <c r="DX177" s="93"/>
      <c r="DY177" s="93"/>
      <c r="DZ177" s="93"/>
      <c r="EA177" s="93"/>
      <c r="EB177" s="93"/>
      <c r="EC177" s="93"/>
      <c r="ED177" s="93"/>
      <c r="EE177" s="93"/>
      <c r="EF177" s="93"/>
      <c r="EG177" s="93"/>
      <c r="EH177" s="93"/>
      <c r="EI177" s="93"/>
      <c r="EJ177" s="93"/>
      <c r="EK177" s="93"/>
      <c r="EL177" s="93"/>
      <c r="EM177" s="93"/>
      <c r="EN177" s="93"/>
      <c r="EO177" s="93"/>
      <c r="EP177" s="93"/>
      <c r="EQ177" s="93"/>
      <c r="ER177" s="93"/>
      <c r="ES177" s="93"/>
      <c r="ET177" s="93"/>
      <c r="EU177" s="93"/>
      <c r="EV177" s="93"/>
      <c r="EW177" s="93"/>
      <c r="EX177" s="93"/>
      <c r="EY177" s="93"/>
      <c r="EZ177" s="93"/>
      <c r="FA177" s="93"/>
      <c r="FB177" s="93"/>
      <c r="FC177" s="93"/>
      <c r="FD177" s="93"/>
      <c r="FE177" s="93"/>
      <c r="FF177" s="93"/>
      <c r="FG177" s="93"/>
      <c r="FH177" s="93"/>
      <c r="FI177" s="93"/>
      <c r="FJ177" s="93"/>
      <c r="FK177" s="93"/>
      <c r="FL177" s="93"/>
      <c r="FM177" s="93"/>
      <c r="FN177" s="93"/>
      <c r="FO177" s="93"/>
      <c r="FP177" s="93"/>
      <c r="FQ177" s="93"/>
      <c r="FR177" s="93"/>
      <c r="FS177" s="93"/>
      <c r="FT177" s="93"/>
      <c r="FU177" s="93"/>
      <c r="FV177" s="93"/>
      <c r="FW177" s="93"/>
      <c r="FX177" s="93"/>
      <c r="FY177" s="93"/>
      <c r="FZ177" s="93"/>
      <c r="GA177" s="93"/>
      <c r="GB177" s="93"/>
      <c r="GC177" s="93"/>
      <c r="GD177" s="93"/>
      <c r="GE177" s="93"/>
      <c r="GF177" s="93"/>
      <c r="GG177" s="93"/>
      <c r="GH177" s="93"/>
      <c r="GI177" s="93"/>
      <c r="GJ177" s="93"/>
      <c r="GK177" s="93"/>
      <c r="GL177" s="93"/>
      <c r="GM177" s="93"/>
      <c r="GN177" s="93"/>
      <c r="GO177" s="93"/>
      <c r="GP177" s="93"/>
      <c r="GQ177" s="93"/>
      <c r="GR177" s="93"/>
      <c r="GS177" s="93"/>
      <c r="GT177" s="93"/>
      <c r="GU177" s="93"/>
      <c r="GV177" s="93"/>
      <c r="GW177" s="93"/>
      <c r="GX177" s="93"/>
      <c r="GY177" s="93"/>
      <c r="GZ177" s="93"/>
      <c r="HA177" s="93"/>
      <c r="HB177" s="93"/>
      <c r="HC177" s="93"/>
      <c r="HD177" s="93"/>
      <c r="HE177" s="93"/>
      <c r="HF177" s="93"/>
      <c r="HG177" s="93"/>
      <c r="HH177" s="93"/>
      <c r="HI177" s="93"/>
      <c r="HJ177" s="93"/>
      <c r="HK177" s="93"/>
      <c r="HL177" s="93"/>
      <c r="HM177" s="93"/>
      <c r="HN177" s="93"/>
      <c r="HO177" s="93"/>
      <c r="HP177" s="93"/>
      <c r="HQ177" s="93"/>
      <c r="HR177" s="93"/>
      <c r="HS177" s="93"/>
      <c r="HT177" s="93"/>
      <c r="HU177" s="93"/>
      <c r="HV177" s="93"/>
      <c r="HW177" s="93"/>
      <c r="HX177" s="93"/>
      <c r="HY177" s="93"/>
      <c r="HZ177" s="93"/>
      <c r="IA177" s="93"/>
      <c r="IB177" s="93"/>
      <c r="IC177" s="93"/>
      <c r="ID177" s="93"/>
      <c r="IE177" s="93"/>
      <c r="IF177" s="93"/>
      <c r="IG177" s="93"/>
      <c r="IH177" s="93"/>
      <c r="II177" s="93"/>
      <c r="IJ177" s="93"/>
      <c r="IK177" s="93"/>
      <c r="IL177" s="93"/>
      <c r="IM177" s="93"/>
      <c r="IN177" s="93"/>
      <c r="IO177" s="93"/>
      <c r="IP177" s="93"/>
      <c r="IQ177" s="93"/>
      <c r="IR177" s="93"/>
      <c r="IS177" s="93"/>
      <c r="IT177" s="93"/>
      <c r="IU177" s="93"/>
      <c r="IV177" s="93"/>
      <c r="IW177" s="93"/>
      <c r="IX177" s="93"/>
      <c r="IY177" s="93"/>
      <c r="IZ177" s="93"/>
    </row>
    <row r="178" spans="1:260" s="95" customFormat="1">
      <c r="A178" s="93"/>
      <c r="B178" s="183"/>
      <c r="C178" s="183"/>
      <c r="D178" s="183"/>
      <c r="E178" s="244" t="s">
        <v>203</v>
      </c>
      <c r="F178" s="250">
        <f>I170</f>
        <v>8562.4682000000012</v>
      </c>
      <c r="G178" s="243">
        <f>H170</f>
        <v>8041.0544000000009</v>
      </c>
      <c r="H178" s="251">
        <f>F178-G178</f>
        <v>521.41380000000026</v>
      </c>
      <c r="I178" s="246">
        <f>H178/F178</f>
        <v>6.0895268492792788E-2</v>
      </c>
      <c r="J178" s="158"/>
      <c r="K178" s="158"/>
      <c r="L178" s="158"/>
      <c r="M178" s="158"/>
      <c r="N178" s="158"/>
      <c r="O178" s="158"/>
      <c r="P178" s="228"/>
      <c r="Q178" s="158"/>
      <c r="R178" s="158"/>
      <c r="S178" s="207"/>
      <c r="T178" s="207"/>
      <c r="U178" s="207"/>
      <c r="V178" s="207"/>
      <c r="W178" s="207"/>
      <c r="X178" s="207"/>
      <c r="Y178" s="207"/>
      <c r="Z178" s="207"/>
      <c r="AA178" s="207"/>
      <c r="AB178" s="207"/>
      <c r="AC178" s="207"/>
      <c r="AD178" s="207"/>
      <c r="AE178" s="207"/>
      <c r="AF178" s="207"/>
      <c r="AG178" s="207"/>
      <c r="AH178" s="207"/>
      <c r="AI178" s="207"/>
      <c r="AJ178" s="207"/>
      <c r="AK178" s="207"/>
      <c r="AL178" s="207"/>
      <c r="AM178" s="94"/>
      <c r="AN178" s="94"/>
      <c r="AO178" s="94"/>
      <c r="AP178" s="94"/>
      <c r="AQ178" s="94"/>
      <c r="AR178" s="94"/>
      <c r="AS178" s="94"/>
      <c r="AT178" s="94"/>
      <c r="AU178" s="94"/>
      <c r="AV178" s="94"/>
      <c r="AW178" s="94"/>
      <c r="AX178" s="94"/>
      <c r="AY178" s="94"/>
      <c r="AZ178" s="93"/>
      <c r="BA178" s="93"/>
      <c r="BB178" s="93"/>
      <c r="BC178" s="93"/>
      <c r="BD178" s="93"/>
      <c r="BE178" s="93"/>
      <c r="BF178" s="93"/>
      <c r="BG178" s="93"/>
      <c r="BH178" s="93"/>
      <c r="BI178" s="93"/>
      <c r="BJ178" s="93"/>
      <c r="BK178" s="93"/>
      <c r="BL178" s="93"/>
      <c r="BM178" s="93"/>
      <c r="BN178" s="93"/>
      <c r="BO178" s="93"/>
      <c r="BP178" s="93"/>
      <c r="BQ178" s="93"/>
      <c r="BR178" s="93"/>
      <c r="BS178" s="93"/>
      <c r="BT178" s="93"/>
      <c r="BU178" s="93"/>
      <c r="BV178" s="93"/>
      <c r="BW178" s="93"/>
      <c r="BX178" s="93"/>
      <c r="BY178" s="93"/>
      <c r="BZ178" s="93"/>
      <c r="CA178" s="93"/>
      <c r="CB178" s="93"/>
      <c r="CC178" s="93"/>
      <c r="CD178" s="93"/>
      <c r="CE178" s="93"/>
      <c r="CF178" s="93"/>
      <c r="CG178" s="93"/>
      <c r="CH178" s="93"/>
      <c r="CI178" s="93"/>
      <c r="CJ178" s="93"/>
      <c r="CK178" s="93"/>
      <c r="CL178" s="93"/>
      <c r="CM178" s="93"/>
      <c r="CN178" s="93"/>
      <c r="CO178" s="93"/>
      <c r="CP178" s="93"/>
      <c r="CQ178" s="93"/>
      <c r="CR178" s="93"/>
      <c r="CS178" s="93"/>
      <c r="CT178" s="93"/>
      <c r="CU178" s="93"/>
      <c r="CV178" s="93"/>
      <c r="CW178" s="93"/>
      <c r="CX178" s="93"/>
      <c r="CY178" s="93"/>
      <c r="CZ178" s="93"/>
      <c r="DA178" s="93"/>
      <c r="DB178" s="93"/>
      <c r="DC178" s="93"/>
      <c r="DD178" s="93"/>
      <c r="DE178" s="93"/>
      <c r="DF178" s="93"/>
      <c r="DG178" s="93"/>
      <c r="DH178" s="93"/>
      <c r="DI178" s="93"/>
      <c r="DJ178" s="93"/>
      <c r="DK178" s="93"/>
      <c r="DL178" s="93"/>
      <c r="DM178" s="93"/>
      <c r="DN178" s="93"/>
      <c r="DO178" s="93"/>
      <c r="DP178" s="93"/>
      <c r="DQ178" s="93"/>
      <c r="DR178" s="93"/>
      <c r="DS178" s="93"/>
      <c r="DT178" s="93"/>
      <c r="DU178" s="93"/>
      <c r="DV178" s="93"/>
      <c r="DW178" s="93"/>
      <c r="DX178" s="93"/>
      <c r="DY178" s="93"/>
      <c r="DZ178" s="93"/>
      <c r="EA178" s="93"/>
      <c r="EB178" s="93"/>
      <c r="EC178" s="93"/>
      <c r="ED178" s="93"/>
      <c r="EE178" s="93"/>
      <c r="EF178" s="93"/>
      <c r="EG178" s="93"/>
      <c r="EH178" s="93"/>
      <c r="EI178" s="93"/>
      <c r="EJ178" s="93"/>
      <c r="EK178" s="93"/>
      <c r="EL178" s="93"/>
      <c r="EM178" s="93"/>
      <c r="EN178" s="93"/>
      <c r="EO178" s="93"/>
      <c r="EP178" s="93"/>
      <c r="EQ178" s="93"/>
      <c r="ER178" s="93"/>
      <c r="ES178" s="93"/>
      <c r="ET178" s="93"/>
      <c r="EU178" s="93"/>
      <c r="EV178" s="93"/>
      <c r="EW178" s="93"/>
      <c r="EX178" s="93"/>
      <c r="EY178" s="93"/>
      <c r="EZ178" s="93"/>
      <c r="FA178" s="93"/>
      <c r="FB178" s="93"/>
      <c r="FC178" s="93"/>
      <c r="FD178" s="93"/>
      <c r="FE178" s="93"/>
      <c r="FF178" s="93"/>
      <c r="FG178" s="93"/>
      <c r="FH178" s="93"/>
      <c r="FI178" s="93"/>
      <c r="FJ178" s="93"/>
      <c r="FK178" s="93"/>
      <c r="FL178" s="93"/>
      <c r="FM178" s="93"/>
      <c r="FN178" s="93"/>
      <c r="FO178" s="93"/>
      <c r="FP178" s="93"/>
      <c r="FQ178" s="93"/>
      <c r="FR178" s="93"/>
      <c r="FS178" s="93"/>
      <c r="FT178" s="93"/>
      <c r="FU178" s="93"/>
      <c r="FV178" s="93"/>
      <c r="FW178" s="93"/>
      <c r="FX178" s="93"/>
      <c r="FY178" s="93"/>
      <c r="FZ178" s="93"/>
      <c r="GA178" s="93"/>
      <c r="GB178" s="93"/>
      <c r="GC178" s="93"/>
      <c r="GD178" s="93"/>
      <c r="GE178" s="93"/>
      <c r="GF178" s="93"/>
      <c r="GG178" s="93"/>
      <c r="GH178" s="93"/>
      <c r="GI178" s="93"/>
      <c r="GJ178" s="93"/>
      <c r="GK178" s="93"/>
      <c r="GL178" s="93"/>
      <c r="GM178" s="93"/>
      <c r="GN178" s="93"/>
      <c r="GO178" s="93"/>
      <c r="GP178" s="93"/>
      <c r="GQ178" s="93"/>
      <c r="GR178" s="93"/>
      <c r="GS178" s="93"/>
      <c r="GT178" s="93"/>
      <c r="GU178" s="93"/>
      <c r="GV178" s="93"/>
      <c r="GW178" s="93"/>
      <c r="GX178" s="93"/>
      <c r="GY178" s="93"/>
      <c r="GZ178" s="93"/>
      <c r="HA178" s="93"/>
      <c r="HB178" s="93"/>
      <c r="HC178" s="93"/>
      <c r="HD178" s="93"/>
      <c r="HE178" s="93"/>
      <c r="HF178" s="93"/>
      <c r="HG178" s="93"/>
      <c r="HH178" s="93"/>
      <c r="HI178" s="93"/>
      <c r="HJ178" s="93"/>
      <c r="HK178" s="93"/>
      <c r="HL178" s="93"/>
      <c r="HM178" s="93"/>
      <c r="HN178" s="93"/>
      <c r="HO178" s="93"/>
      <c r="HP178" s="93"/>
      <c r="HQ178" s="93"/>
      <c r="HR178" s="93"/>
      <c r="HS178" s="93"/>
      <c r="HT178" s="93"/>
      <c r="HU178" s="93"/>
      <c r="HV178" s="93"/>
      <c r="HW178" s="93"/>
      <c r="HX178" s="93"/>
      <c r="HY178" s="93"/>
      <c r="HZ178" s="93"/>
      <c r="IA178" s="93"/>
      <c r="IB178" s="93"/>
      <c r="IC178" s="93"/>
      <c r="ID178" s="93"/>
      <c r="IE178" s="93"/>
      <c r="IF178" s="93"/>
      <c r="IG178" s="93"/>
      <c r="IH178" s="93"/>
      <c r="II178" s="93"/>
      <c r="IJ178" s="93"/>
      <c r="IK178" s="93"/>
      <c r="IL178" s="93"/>
      <c r="IM178" s="93"/>
      <c r="IN178" s="93"/>
      <c r="IO178" s="93"/>
      <c r="IP178" s="93"/>
      <c r="IQ178" s="93"/>
      <c r="IR178" s="93"/>
      <c r="IS178" s="93"/>
      <c r="IT178" s="93"/>
      <c r="IU178" s="93"/>
      <c r="IV178" s="93"/>
      <c r="IW178" s="93"/>
      <c r="IX178" s="93"/>
      <c r="IY178" s="93"/>
      <c r="IZ178" s="93"/>
    </row>
    <row r="179" spans="1:260" s="95" customFormat="1">
      <c r="A179" s="93"/>
      <c r="B179" s="183"/>
      <c r="C179" s="183"/>
      <c r="D179" s="183"/>
      <c r="E179" s="241" t="s">
        <v>152</v>
      </c>
      <c r="F179" s="252">
        <f>I172</f>
        <v>13774.486999999999</v>
      </c>
      <c r="G179" s="240">
        <f>H172</f>
        <v>13156.655999999999</v>
      </c>
      <c r="H179" s="253">
        <f>F179-G179</f>
        <v>617.83100000000013</v>
      </c>
      <c r="I179" s="247">
        <f>H179/F179</f>
        <v>4.4853285643233043E-2</v>
      </c>
      <c r="J179" s="158"/>
      <c r="K179" s="158"/>
      <c r="L179" s="158"/>
      <c r="M179" s="158"/>
      <c r="N179" s="158"/>
      <c r="O179" s="158"/>
      <c r="P179" s="228"/>
      <c r="Q179" s="158"/>
      <c r="R179" s="158"/>
      <c r="S179" s="207"/>
      <c r="T179" s="207"/>
      <c r="U179" s="207"/>
      <c r="V179" s="207"/>
      <c r="W179" s="207"/>
      <c r="X179" s="207"/>
      <c r="Y179" s="207"/>
      <c r="Z179" s="207"/>
      <c r="AA179" s="207"/>
      <c r="AB179" s="207"/>
      <c r="AC179" s="207"/>
      <c r="AD179" s="207"/>
      <c r="AE179" s="207"/>
      <c r="AF179" s="207"/>
      <c r="AG179" s="207"/>
      <c r="AH179" s="207"/>
      <c r="AI179" s="207"/>
      <c r="AJ179" s="207"/>
      <c r="AK179" s="207"/>
      <c r="AL179" s="207"/>
      <c r="AM179" s="94"/>
      <c r="AN179" s="94"/>
      <c r="AO179" s="94"/>
      <c r="AP179" s="94"/>
      <c r="AQ179" s="94"/>
      <c r="AR179" s="94"/>
      <c r="AS179" s="94"/>
      <c r="AT179" s="94"/>
      <c r="AU179" s="94"/>
      <c r="AV179" s="94"/>
      <c r="AW179" s="94"/>
      <c r="AX179" s="94"/>
      <c r="AY179" s="94"/>
      <c r="AZ179" s="93"/>
      <c r="BA179" s="93"/>
      <c r="BB179" s="93"/>
      <c r="BC179" s="93"/>
      <c r="BD179" s="93"/>
      <c r="BE179" s="93"/>
      <c r="BF179" s="93"/>
      <c r="BG179" s="93"/>
      <c r="BH179" s="93"/>
      <c r="BI179" s="93"/>
      <c r="BJ179" s="93"/>
      <c r="BK179" s="93"/>
      <c r="BL179" s="93"/>
      <c r="BM179" s="93"/>
      <c r="BN179" s="93"/>
      <c r="BO179" s="93"/>
      <c r="BP179" s="93"/>
      <c r="BQ179" s="93"/>
      <c r="BR179" s="93"/>
      <c r="BS179" s="93"/>
      <c r="BT179" s="93"/>
      <c r="BU179" s="93"/>
      <c r="BV179" s="93"/>
      <c r="BW179" s="93"/>
      <c r="BX179" s="93"/>
      <c r="BY179" s="93"/>
      <c r="BZ179" s="93"/>
      <c r="CA179" s="93"/>
      <c r="CB179" s="93"/>
      <c r="CC179" s="93"/>
      <c r="CD179" s="93"/>
      <c r="CE179" s="93"/>
      <c r="CF179" s="93"/>
      <c r="CG179" s="93"/>
      <c r="CH179" s="93"/>
      <c r="CI179" s="93"/>
      <c r="CJ179" s="93"/>
      <c r="CK179" s="93"/>
      <c r="CL179" s="93"/>
      <c r="CM179" s="93"/>
      <c r="CN179" s="93"/>
      <c r="CO179" s="93"/>
      <c r="CP179" s="93"/>
      <c r="CQ179" s="93"/>
      <c r="CR179" s="93"/>
      <c r="CS179" s="93"/>
      <c r="CT179" s="93"/>
      <c r="CU179" s="93"/>
      <c r="CV179" s="93"/>
      <c r="CW179" s="93"/>
      <c r="CX179" s="93"/>
      <c r="CY179" s="93"/>
      <c r="CZ179" s="93"/>
      <c r="DA179" s="93"/>
      <c r="DB179" s="93"/>
      <c r="DC179" s="93"/>
      <c r="DD179" s="93"/>
      <c r="DE179" s="93"/>
      <c r="DF179" s="93"/>
      <c r="DG179" s="93"/>
      <c r="DH179" s="93"/>
      <c r="DI179" s="93"/>
      <c r="DJ179" s="93"/>
      <c r="DK179" s="93"/>
      <c r="DL179" s="93"/>
      <c r="DM179" s="93"/>
      <c r="DN179" s="93"/>
      <c r="DO179" s="93"/>
      <c r="DP179" s="93"/>
      <c r="DQ179" s="93"/>
      <c r="DR179" s="93"/>
      <c r="DS179" s="93"/>
      <c r="DT179" s="93"/>
      <c r="DU179" s="93"/>
      <c r="DV179" s="93"/>
      <c r="DW179" s="93"/>
      <c r="DX179" s="93"/>
      <c r="DY179" s="93"/>
      <c r="DZ179" s="93"/>
      <c r="EA179" s="93"/>
      <c r="EB179" s="93"/>
      <c r="EC179" s="93"/>
      <c r="ED179" s="93"/>
      <c r="EE179" s="93"/>
      <c r="EF179" s="93"/>
      <c r="EG179" s="93"/>
      <c r="EH179" s="93"/>
      <c r="EI179" s="93"/>
      <c r="EJ179" s="93"/>
      <c r="EK179" s="93"/>
      <c r="EL179" s="93"/>
      <c r="EM179" s="93"/>
      <c r="EN179" s="93"/>
      <c r="EO179" s="93"/>
      <c r="EP179" s="93"/>
      <c r="EQ179" s="93"/>
      <c r="ER179" s="93"/>
      <c r="ES179" s="93"/>
      <c r="ET179" s="93"/>
      <c r="EU179" s="93"/>
      <c r="EV179" s="93"/>
      <c r="EW179" s="93"/>
      <c r="EX179" s="93"/>
      <c r="EY179" s="93"/>
      <c r="EZ179" s="93"/>
      <c r="FA179" s="93"/>
      <c r="FB179" s="93"/>
      <c r="FC179" s="93"/>
      <c r="FD179" s="93"/>
      <c r="FE179" s="93"/>
      <c r="FF179" s="93"/>
      <c r="FG179" s="93"/>
      <c r="FH179" s="93"/>
      <c r="FI179" s="93"/>
      <c r="FJ179" s="93"/>
      <c r="FK179" s="93"/>
      <c r="FL179" s="93"/>
      <c r="FM179" s="93"/>
      <c r="FN179" s="93"/>
      <c r="FO179" s="93"/>
      <c r="FP179" s="93"/>
      <c r="FQ179" s="93"/>
      <c r="FR179" s="93"/>
      <c r="FS179" s="93"/>
      <c r="FT179" s="93"/>
      <c r="FU179" s="93"/>
      <c r="FV179" s="93"/>
      <c r="FW179" s="93"/>
      <c r="FX179" s="93"/>
      <c r="FY179" s="93"/>
      <c r="FZ179" s="93"/>
      <c r="GA179" s="93"/>
      <c r="GB179" s="93"/>
      <c r="GC179" s="93"/>
      <c r="GD179" s="93"/>
      <c r="GE179" s="93"/>
      <c r="GF179" s="93"/>
      <c r="GG179" s="93"/>
      <c r="GH179" s="93"/>
      <c r="GI179" s="93"/>
      <c r="GJ179" s="93"/>
      <c r="GK179" s="93"/>
      <c r="GL179" s="93"/>
      <c r="GM179" s="93"/>
      <c r="GN179" s="93"/>
      <c r="GO179" s="93"/>
      <c r="GP179" s="93"/>
      <c r="GQ179" s="93"/>
      <c r="GR179" s="93"/>
      <c r="GS179" s="93"/>
      <c r="GT179" s="93"/>
      <c r="GU179" s="93"/>
      <c r="GV179" s="93"/>
      <c r="GW179" s="93"/>
      <c r="GX179" s="93"/>
      <c r="GY179" s="93"/>
      <c r="GZ179" s="93"/>
      <c r="HA179" s="93"/>
      <c r="HB179" s="93"/>
      <c r="HC179" s="93"/>
      <c r="HD179" s="93"/>
      <c r="HE179" s="93"/>
      <c r="HF179" s="93"/>
      <c r="HG179" s="93"/>
      <c r="HH179" s="93"/>
      <c r="HI179" s="93"/>
      <c r="HJ179" s="93"/>
      <c r="HK179" s="93"/>
      <c r="HL179" s="93"/>
      <c r="HM179" s="93"/>
      <c r="HN179" s="93"/>
      <c r="HO179" s="93"/>
      <c r="HP179" s="93"/>
      <c r="HQ179" s="93"/>
      <c r="HR179" s="93"/>
      <c r="HS179" s="93"/>
      <c r="HT179" s="93"/>
      <c r="HU179" s="93"/>
      <c r="HV179" s="93"/>
      <c r="HW179" s="93"/>
      <c r="HX179" s="93"/>
      <c r="HY179" s="93"/>
      <c r="HZ179" s="93"/>
      <c r="IA179" s="93"/>
      <c r="IB179" s="93"/>
      <c r="IC179" s="93"/>
      <c r="ID179" s="93"/>
      <c r="IE179" s="93"/>
      <c r="IF179" s="93"/>
      <c r="IG179" s="93"/>
      <c r="IH179" s="93"/>
      <c r="II179" s="93"/>
      <c r="IJ179" s="93"/>
      <c r="IK179" s="93"/>
      <c r="IL179" s="93"/>
      <c r="IM179" s="93"/>
      <c r="IN179" s="93"/>
      <c r="IO179" s="93"/>
      <c r="IP179" s="93"/>
      <c r="IQ179" s="93"/>
      <c r="IR179" s="93"/>
      <c r="IS179" s="93"/>
      <c r="IT179" s="93"/>
      <c r="IU179" s="93"/>
      <c r="IV179" s="93"/>
      <c r="IW179" s="93"/>
      <c r="IX179" s="93"/>
      <c r="IY179" s="93"/>
      <c r="IZ179" s="93"/>
    </row>
    <row r="180" spans="1:260" s="95" customFormat="1" ht="15" thickBot="1">
      <c r="A180" s="93"/>
      <c r="B180" s="183"/>
      <c r="C180" s="183"/>
      <c r="D180" s="183"/>
      <c r="E180" s="254" t="s">
        <v>153</v>
      </c>
      <c r="F180" s="255">
        <f>I173</f>
        <v>2575.9254000000001</v>
      </c>
      <c r="G180" s="256">
        <f>H173</f>
        <v>2366.9908999999998</v>
      </c>
      <c r="H180" s="257">
        <f>F180-G180</f>
        <v>208.9345000000003</v>
      </c>
      <c r="I180" s="258">
        <f>H180/F180</f>
        <v>8.1110462282797585E-2</v>
      </c>
      <c r="J180" s="158"/>
      <c r="K180" s="158"/>
      <c r="L180" s="158"/>
      <c r="M180" s="158"/>
      <c r="N180" s="158"/>
      <c r="O180" s="158"/>
      <c r="P180" s="228"/>
      <c r="Q180" s="158"/>
      <c r="R180" s="158"/>
      <c r="S180" s="207"/>
      <c r="T180" s="207"/>
      <c r="U180" s="207"/>
      <c r="V180" s="207"/>
      <c r="W180" s="207"/>
      <c r="X180" s="207"/>
      <c r="Y180" s="207"/>
      <c r="Z180" s="207"/>
      <c r="AA180" s="207"/>
      <c r="AB180" s="207"/>
      <c r="AC180" s="207"/>
      <c r="AD180" s="207"/>
      <c r="AE180" s="207"/>
      <c r="AF180" s="207"/>
      <c r="AG180" s="207"/>
      <c r="AH180" s="207"/>
      <c r="AI180" s="207"/>
      <c r="AJ180" s="207"/>
      <c r="AK180" s="207"/>
      <c r="AL180" s="207"/>
      <c r="AM180" s="94"/>
      <c r="AN180" s="94"/>
      <c r="AO180" s="94"/>
      <c r="AP180" s="94"/>
      <c r="AQ180" s="94"/>
      <c r="AR180" s="94"/>
      <c r="AS180" s="94"/>
      <c r="AT180" s="94"/>
      <c r="AU180" s="94"/>
      <c r="AV180" s="94"/>
      <c r="AW180" s="94"/>
      <c r="AX180" s="94"/>
      <c r="AY180" s="94"/>
      <c r="AZ180" s="93"/>
      <c r="BA180" s="93"/>
      <c r="BB180" s="93"/>
      <c r="BC180" s="93"/>
      <c r="BD180" s="93"/>
      <c r="BE180" s="93"/>
      <c r="BF180" s="93"/>
      <c r="BG180" s="93"/>
      <c r="BH180" s="93"/>
      <c r="BI180" s="93"/>
      <c r="BJ180" s="93"/>
      <c r="BK180" s="93"/>
      <c r="BL180" s="93"/>
      <c r="BM180" s="93"/>
      <c r="BN180" s="93"/>
      <c r="BO180" s="93"/>
      <c r="BP180" s="93"/>
      <c r="BQ180" s="93"/>
      <c r="BR180" s="93"/>
      <c r="BS180" s="93"/>
      <c r="BT180" s="93"/>
      <c r="BU180" s="93"/>
      <c r="BV180" s="93"/>
      <c r="BW180" s="93"/>
      <c r="BX180" s="93"/>
      <c r="BY180" s="93"/>
      <c r="BZ180" s="93"/>
      <c r="CA180" s="93"/>
      <c r="CB180" s="93"/>
      <c r="CC180" s="93"/>
      <c r="CD180" s="93"/>
      <c r="CE180" s="93"/>
      <c r="CF180" s="93"/>
      <c r="CG180" s="93"/>
      <c r="CH180" s="93"/>
      <c r="CI180" s="93"/>
      <c r="CJ180" s="93"/>
      <c r="CK180" s="93"/>
      <c r="CL180" s="93"/>
      <c r="CM180" s="93"/>
      <c r="CN180" s="93"/>
      <c r="CO180" s="93"/>
      <c r="CP180" s="93"/>
      <c r="CQ180" s="93"/>
      <c r="CR180" s="93"/>
      <c r="CS180" s="93"/>
      <c r="CT180" s="93"/>
      <c r="CU180" s="93"/>
      <c r="CV180" s="93"/>
      <c r="CW180" s="93"/>
      <c r="CX180" s="93"/>
      <c r="CY180" s="93"/>
      <c r="CZ180" s="93"/>
      <c r="DA180" s="93"/>
      <c r="DB180" s="93"/>
      <c r="DC180" s="93"/>
      <c r="DD180" s="93"/>
      <c r="DE180" s="93"/>
      <c r="DF180" s="93"/>
      <c r="DG180" s="93"/>
      <c r="DH180" s="93"/>
      <c r="DI180" s="93"/>
      <c r="DJ180" s="93"/>
      <c r="DK180" s="93"/>
      <c r="DL180" s="93"/>
      <c r="DM180" s="93"/>
      <c r="DN180" s="93"/>
      <c r="DO180" s="93"/>
      <c r="DP180" s="93"/>
      <c r="DQ180" s="93"/>
      <c r="DR180" s="93"/>
      <c r="DS180" s="93"/>
      <c r="DT180" s="93"/>
      <c r="DU180" s="93"/>
      <c r="DV180" s="93"/>
      <c r="DW180" s="93"/>
      <c r="DX180" s="93"/>
      <c r="DY180" s="93"/>
      <c r="DZ180" s="93"/>
      <c r="EA180" s="93"/>
      <c r="EB180" s="93"/>
      <c r="EC180" s="93"/>
      <c r="ED180" s="93"/>
      <c r="EE180" s="93"/>
      <c r="EF180" s="93"/>
      <c r="EG180" s="93"/>
      <c r="EH180" s="93"/>
      <c r="EI180" s="93"/>
      <c r="EJ180" s="93"/>
      <c r="EK180" s="93"/>
      <c r="EL180" s="93"/>
      <c r="EM180" s="93"/>
      <c r="EN180" s="93"/>
      <c r="EO180" s="93"/>
      <c r="EP180" s="93"/>
      <c r="EQ180" s="93"/>
      <c r="ER180" s="93"/>
      <c r="ES180" s="93"/>
      <c r="ET180" s="93"/>
      <c r="EU180" s="93"/>
      <c r="EV180" s="93"/>
      <c r="EW180" s="93"/>
      <c r="EX180" s="93"/>
      <c r="EY180" s="93"/>
      <c r="EZ180" s="93"/>
      <c r="FA180" s="93"/>
      <c r="FB180" s="93"/>
      <c r="FC180" s="93"/>
      <c r="FD180" s="93"/>
      <c r="FE180" s="93"/>
      <c r="FF180" s="93"/>
      <c r="FG180" s="93"/>
      <c r="FH180" s="93"/>
      <c r="FI180" s="93"/>
      <c r="FJ180" s="93"/>
      <c r="FK180" s="93"/>
      <c r="FL180" s="93"/>
      <c r="FM180" s="93"/>
      <c r="FN180" s="93"/>
      <c r="FO180" s="93"/>
      <c r="FP180" s="93"/>
      <c r="FQ180" s="93"/>
      <c r="FR180" s="93"/>
      <c r="FS180" s="93"/>
      <c r="FT180" s="93"/>
      <c r="FU180" s="93"/>
      <c r="FV180" s="93"/>
      <c r="FW180" s="93"/>
      <c r="FX180" s="93"/>
      <c r="FY180" s="93"/>
      <c r="FZ180" s="93"/>
      <c r="GA180" s="93"/>
      <c r="GB180" s="93"/>
      <c r="GC180" s="93"/>
      <c r="GD180" s="93"/>
      <c r="GE180" s="93"/>
      <c r="GF180" s="93"/>
      <c r="GG180" s="93"/>
      <c r="GH180" s="93"/>
      <c r="GI180" s="93"/>
      <c r="GJ180" s="93"/>
      <c r="GK180" s="93"/>
      <c r="GL180" s="93"/>
      <c r="GM180" s="93"/>
      <c r="GN180" s="93"/>
      <c r="GO180" s="93"/>
      <c r="GP180" s="93"/>
      <c r="GQ180" s="93"/>
      <c r="GR180" s="93"/>
      <c r="GS180" s="93"/>
      <c r="GT180" s="93"/>
      <c r="GU180" s="93"/>
      <c r="GV180" s="93"/>
      <c r="GW180" s="93"/>
      <c r="GX180" s="93"/>
      <c r="GY180" s="93"/>
      <c r="GZ180" s="93"/>
      <c r="HA180" s="93"/>
      <c r="HB180" s="93"/>
      <c r="HC180" s="93"/>
      <c r="HD180" s="93"/>
      <c r="HE180" s="93"/>
      <c r="HF180" s="93"/>
      <c r="HG180" s="93"/>
      <c r="HH180" s="93"/>
      <c r="HI180" s="93"/>
      <c r="HJ180" s="93"/>
      <c r="HK180" s="93"/>
      <c r="HL180" s="93"/>
      <c r="HM180" s="93"/>
      <c r="HN180" s="93"/>
      <c r="HO180" s="93"/>
      <c r="HP180" s="93"/>
      <c r="HQ180" s="93"/>
      <c r="HR180" s="93"/>
      <c r="HS180" s="93"/>
      <c r="HT180" s="93"/>
      <c r="HU180" s="93"/>
      <c r="HV180" s="93"/>
      <c r="HW180" s="93"/>
      <c r="HX180" s="93"/>
      <c r="HY180" s="93"/>
      <c r="HZ180" s="93"/>
      <c r="IA180" s="93"/>
      <c r="IB180" s="93"/>
      <c r="IC180" s="93"/>
      <c r="ID180" s="93"/>
      <c r="IE180" s="93"/>
      <c r="IF180" s="93"/>
      <c r="IG180" s="93"/>
      <c r="IH180" s="93"/>
      <c r="II180" s="93"/>
      <c r="IJ180" s="93"/>
      <c r="IK180" s="93"/>
      <c r="IL180" s="93"/>
      <c r="IM180" s="93"/>
      <c r="IN180" s="93"/>
      <c r="IO180" s="93"/>
      <c r="IP180" s="93"/>
      <c r="IQ180" s="93"/>
      <c r="IR180" s="93"/>
      <c r="IS180" s="93"/>
      <c r="IT180" s="93"/>
      <c r="IU180" s="93"/>
      <c r="IV180" s="93"/>
      <c r="IW180" s="93"/>
      <c r="IX180" s="93"/>
      <c r="IY180" s="93"/>
      <c r="IZ180" s="93"/>
    </row>
    <row r="181" spans="1:260" s="95" customFormat="1" ht="15" thickBot="1">
      <c r="A181" s="93"/>
      <c r="B181" s="183"/>
      <c r="C181" s="183"/>
      <c r="D181" s="183"/>
      <c r="E181" s="259" t="s">
        <v>134</v>
      </c>
      <c r="F181" s="260">
        <f>SUM(F178:F180)</f>
        <v>24912.8806</v>
      </c>
      <c r="G181" s="261">
        <f>SUM(G178:G180)</f>
        <v>23564.701300000001</v>
      </c>
      <c r="H181" s="262">
        <f>SUM(H178:H180)</f>
        <v>1348.1793000000007</v>
      </c>
      <c r="I181" s="285">
        <f>H181/F181</f>
        <v>5.4115753278245977E-2</v>
      </c>
      <c r="J181" s="158"/>
      <c r="K181" s="158"/>
      <c r="L181" s="158"/>
      <c r="M181" s="158"/>
      <c r="N181" s="158"/>
      <c r="O181" s="158"/>
      <c r="P181" s="228"/>
      <c r="Q181" s="158"/>
      <c r="R181" s="158"/>
      <c r="S181" s="207"/>
      <c r="T181" s="207"/>
      <c r="U181" s="207"/>
      <c r="V181" s="207"/>
      <c r="W181" s="207"/>
      <c r="X181" s="207"/>
      <c r="Y181" s="207"/>
      <c r="Z181" s="207"/>
      <c r="AA181" s="207"/>
      <c r="AB181" s="207"/>
      <c r="AC181" s="207"/>
      <c r="AD181" s="207"/>
      <c r="AE181" s="207"/>
      <c r="AF181" s="207"/>
      <c r="AG181" s="207"/>
      <c r="AH181" s="207"/>
      <c r="AI181" s="207"/>
      <c r="AJ181" s="207"/>
      <c r="AK181" s="207"/>
      <c r="AL181" s="207"/>
      <c r="AM181" s="94"/>
      <c r="AN181" s="94"/>
      <c r="AO181" s="94"/>
      <c r="AP181" s="94"/>
      <c r="AQ181" s="94"/>
      <c r="AR181" s="94"/>
      <c r="AS181" s="94"/>
      <c r="AT181" s="94"/>
      <c r="AU181" s="94"/>
      <c r="AV181" s="94"/>
      <c r="AW181" s="94"/>
      <c r="AX181" s="94"/>
      <c r="AY181" s="94"/>
      <c r="AZ181" s="93"/>
      <c r="BA181" s="93"/>
      <c r="BB181" s="93"/>
      <c r="BC181" s="93"/>
      <c r="BD181" s="93"/>
      <c r="BE181" s="93"/>
      <c r="BF181" s="93"/>
      <c r="BG181" s="93"/>
      <c r="BH181" s="93"/>
      <c r="BI181" s="93"/>
      <c r="BJ181" s="93"/>
      <c r="BK181" s="93"/>
      <c r="BL181" s="93"/>
      <c r="BM181" s="93"/>
      <c r="BN181" s="93"/>
      <c r="BO181" s="93"/>
      <c r="BP181" s="93"/>
      <c r="BQ181" s="93"/>
      <c r="BR181" s="93"/>
      <c r="BS181" s="93"/>
      <c r="BT181" s="93"/>
      <c r="BU181" s="93"/>
      <c r="BV181" s="93"/>
      <c r="BW181" s="93"/>
      <c r="BX181" s="93"/>
      <c r="BY181" s="93"/>
      <c r="BZ181" s="93"/>
      <c r="CA181" s="93"/>
      <c r="CB181" s="93"/>
      <c r="CC181" s="93"/>
      <c r="CD181" s="93"/>
      <c r="CE181" s="93"/>
      <c r="CF181" s="93"/>
      <c r="CG181" s="93"/>
      <c r="CH181" s="93"/>
      <c r="CI181" s="93"/>
      <c r="CJ181" s="93"/>
      <c r="CK181" s="93"/>
      <c r="CL181" s="93"/>
      <c r="CM181" s="93"/>
      <c r="CN181" s="93"/>
      <c r="CO181" s="93"/>
      <c r="CP181" s="93"/>
      <c r="CQ181" s="93"/>
      <c r="CR181" s="93"/>
      <c r="CS181" s="93"/>
      <c r="CT181" s="93"/>
      <c r="CU181" s="93"/>
      <c r="CV181" s="93"/>
      <c r="CW181" s="93"/>
      <c r="CX181" s="93"/>
      <c r="CY181" s="93"/>
      <c r="CZ181" s="93"/>
      <c r="DA181" s="93"/>
      <c r="DB181" s="93"/>
      <c r="DC181" s="93"/>
      <c r="DD181" s="93"/>
      <c r="DE181" s="93"/>
      <c r="DF181" s="93"/>
      <c r="DG181" s="93"/>
      <c r="DH181" s="93"/>
      <c r="DI181" s="93"/>
      <c r="DJ181" s="93"/>
      <c r="DK181" s="93"/>
      <c r="DL181" s="93"/>
      <c r="DM181" s="93"/>
      <c r="DN181" s="93"/>
      <c r="DO181" s="93"/>
      <c r="DP181" s="93"/>
      <c r="DQ181" s="93"/>
      <c r="DR181" s="93"/>
      <c r="DS181" s="93"/>
      <c r="DT181" s="93"/>
      <c r="DU181" s="93"/>
      <c r="DV181" s="93"/>
      <c r="DW181" s="93"/>
      <c r="DX181" s="93"/>
      <c r="DY181" s="93"/>
      <c r="DZ181" s="93"/>
      <c r="EA181" s="93"/>
      <c r="EB181" s="93"/>
      <c r="EC181" s="93"/>
      <c r="ED181" s="93"/>
      <c r="EE181" s="93"/>
      <c r="EF181" s="93"/>
      <c r="EG181" s="93"/>
      <c r="EH181" s="93"/>
      <c r="EI181" s="93"/>
      <c r="EJ181" s="93"/>
      <c r="EK181" s="93"/>
      <c r="EL181" s="93"/>
      <c r="EM181" s="93"/>
      <c r="EN181" s="93"/>
      <c r="EO181" s="93"/>
      <c r="EP181" s="93"/>
      <c r="EQ181" s="93"/>
      <c r="ER181" s="93"/>
      <c r="ES181" s="93"/>
      <c r="ET181" s="93"/>
      <c r="EU181" s="93"/>
      <c r="EV181" s="93"/>
      <c r="EW181" s="93"/>
      <c r="EX181" s="93"/>
      <c r="EY181" s="93"/>
      <c r="EZ181" s="93"/>
      <c r="FA181" s="93"/>
      <c r="FB181" s="93"/>
      <c r="FC181" s="93"/>
      <c r="FD181" s="93"/>
      <c r="FE181" s="93"/>
      <c r="FF181" s="93"/>
      <c r="FG181" s="93"/>
      <c r="FH181" s="93"/>
      <c r="FI181" s="93"/>
      <c r="FJ181" s="93"/>
      <c r="FK181" s="93"/>
      <c r="FL181" s="93"/>
      <c r="FM181" s="93"/>
      <c r="FN181" s="93"/>
      <c r="FO181" s="93"/>
      <c r="FP181" s="93"/>
      <c r="FQ181" s="93"/>
      <c r="FR181" s="93"/>
      <c r="FS181" s="93"/>
      <c r="FT181" s="93"/>
      <c r="FU181" s="93"/>
      <c r="FV181" s="93"/>
      <c r="FW181" s="93"/>
      <c r="FX181" s="93"/>
      <c r="FY181" s="93"/>
      <c r="FZ181" s="93"/>
      <c r="GA181" s="93"/>
      <c r="GB181" s="93"/>
      <c r="GC181" s="93"/>
      <c r="GD181" s="93"/>
      <c r="GE181" s="93"/>
      <c r="GF181" s="93"/>
      <c r="GG181" s="93"/>
      <c r="GH181" s="93"/>
      <c r="GI181" s="93"/>
      <c r="GJ181" s="93"/>
      <c r="GK181" s="93"/>
      <c r="GL181" s="93"/>
      <c r="GM181" s="93"/>
      <c r="GN181" s="93"/>
      <c r="GO181" s="93"/>
      <c r="GP181" s="93"/>
      <c r="GQ181" s="93"/>
      <c r="GR181" s="93"/>
      <c r="GS181" s="93"/>
      <c r="GT181" s="93"/>
      <c r="GU181" s="93"/>
      <c r="GV181" s="93"/>
      <c r="GW181" s="93"/>
      <c r="GX181" s="93"/>
      <c r="GY181" s="93"/>
      <c r="GZ181" s="93"/>
      <c r="HA181" s="93"/>
      <c r="HB181" s="93"/>
      <c r="HC181" s="93"/>
      <c r="HD181" s="93"/>
      <c r="HE181" s="93"/>
      <c r="HF181" s="93"/>
      <c r="HG181" s="93"/>
      <c r="HH181" s="93"/>
      <c r="HI181" s="93"/>
      <c r="HJ181" s="93"/>
      <c r="HK181" s="93"/>
      <c r="HL181" s="93"/>
      <c r="HM181" s="93"/>
      <c r="HN181" s="93"/>
      <c r="HO181" s="93"/>
      <c r="HP181" s="93"/>
      <c r="HQ181" s="93"/>
      <c r="HR181" s="93"/>
      <c r="HS181" s="93"/>
      <c r="HT181" s="93"/>
      <c r="HU181" s="93"/>
      <c r="HV181" s="93"/>
      <c r="HW181" s="93"/>
      <c r="HX181" s="93"/>
      <c r="HY181" s="93"/>
      <c r="HZ181" s="93"/>
      <c r="IA181" s="93"/>
      <c r="IB181" s="93"/>
      <c r="IC181" s="93"/>
      <c r="ID181" s="93"/>
      <c r="IE181" s="93"/>
      <c r="IF181" s="93"/>
      <c r="IG181" s="93"/>
      <c r="IH181" s="93"/>
      <c r="II181" s="93"/>
      <c r="IJ181" s="93"/>
      <c r="IK181" s="93"/>
      <c r="IL181" s="93"/>
      <c r="IM181" s="93"/>
      <c r="IN181" s="93"/>
      <c r="IO181" s="93"/>
      <c r="IP181" s="93"/>
      <c r="IQ181" s="93"/>
      <c r="IR181" s="93"/>
      <c r="IS181" s="93"/>
      <c r="IT181" s="93"/>
      <c r="IU181" s="93"/>
      <c r="IV181" s="93"/>
      <c r="IW181" s="93"/>
      <c r="IX181" s="93"/>
      <c r="IY181" s="93"/>
      <c r="IZ181" s="93"/>
    </row>
    <row r="182" spans="1:260" s="95" customFormat="1">
      <c r="A182" s="93"/>
      <c r="B182" s="183"/>
      <c r="C182" s="183"/>
      <c r="D182" s="183"/>
      <c r="E182" s="158"/>
      <c r="F182" s="158"/>
      <c r="G182" s="158"/>
      <c r="H182" s="158"/>
      <c r="I182" s="158"/>
      <c r="J182" s="158"/>
      <c r="K182" s="158"/>
      <c r="L182" s="158"/>
      <c r="M182" s="158"/>
      <c r="N182" s="158"/>
      <c r="O182" s="158"/>
      <c r="P182" s="228"/>
      <c r="Q182" s="158"/>
      <c r="R182" s="158"/>
      <c r="S182" s="207"/>
      <c r="T182" s="207"/>
      <c r="U182" s="207"/>
      <c r="V182" s="207"/>
      <c r="W182" s="207"/>
      <c r="X182" s="207"/>
      <c r="Y182" s="207"/>
      <c r="Z182" s="207"/>
      <c r="AA182" s="207"/>
      <c r="AB182" s="207"/>
      <c r="AC182" s="207"/>
      <c r="AD182" s="207"/>
      <c r="AE182" s="207"/>
      <c r="AF182" s="207"/>
      <c r="AG182" s="207"/>
      <c r="AH182" s="207"/>
      <c r="AI182" s="207"/>
      <c r="AJ182" s="207"/>
      <c r="AK182" s="207"/>
      <c r="AL182" s="207"/>
      <c r="AM182" s="94"/>
      <c r="AN182" s="94"/>
      <c r="AO182" s="94"/>
      <c r="AP182" s="94"/>
      <c r="AQ182" s="94"/>
      <c r="AR182" s="94"/>
      <c r="AS182" s="94"/>
      <c r="AT182" s="94"/>
      <c r="AU182" s="94"/>
      <c r="AV182" s="94"/>
      <c r="AW182" s="94"/>
      <c r="AX182" s="94"/>
      <c r="AY182" s="94"/>
      <c r="AZ182" s="93"/>
      <c r="BA182" s="93"/>
      <c r="BB182" s="93"/>
      <c r="BC182" s="93"/>
      <c r="BD182" s="93"/>
      <c r="BE182" s="93"/>
      <c r="BF182" s="93"/>
      <c r="BG182" s="93"/>
      <c r="BH182" s="93"/>
      <c r="BI182" s="93"/>
      <c r="BJ182" s="93"/>
      <c r="BK182" s="93"/>
      <c r="BL182" s="93"/>
      <c r="BM182" s="93"/>
      <c r="BN182" s="93"/>
      <c r="BO182" s="93"/>
      <c r="BP182" s="93"/>
      <c r="BQ182" s="93"/>
      <c r="BR182" s="93"/>
      <c r="BS182" s="93"/>
      <c r="BT182" s="93"/>
      <c r="BU182" s="93"/>
      <c r="BV182" s="93"/>
      <c r="BW182" s="93"/>
      <c r="BX182" s="93"/>
      <c r="BY182" s="93"/>
      <c r="BZ182" s="93"/>
      <c r="CA182" s="93"/>
      <c r="CB182" s="93"/>
      <c r="CC182" s="93"/>
      <c r="CD182" s="93"/>
      <c r="CE182" s="93"/>
      <c r="CF182" s="93"/>
      <c r="CG182" s="93"/>
      <c r="CH182" s="93"/>
      <c r="CI182" s="93"/>
      <c r="CJ182" s="93"/>
      <c r="CK182" s="93"/>
      <c r="CL182" s="93"/>
      <c r="CM182" s="93"/>
      <c r="CN182" s="93"/>
      <c r="CO182" s="93"/>
      <c r="CP182" s="93"/>
      <c r="CQ182" s="93"/>
      <c r="CR182" s="93"/>
      <c r="CS182" s="93"/>
      <c r="CT182" s="93"/>
      <c r="CU182" s="93"/>
      <c r="CV182" s="93"/>
      <c r="CW182" s="93"/>
      <c r="CX182" s="93"/>
      <c r="CY182" s="93"/>
      <c r="CZ182" s="93"/>
      <c r="DA182" s="93"/>
      <c r="DB182" s="93"/>
      <c r="DC182" s="93"/>
      <c r="DD182" s="93"/>
      <c r="DE182" s="93"/>
      <c r="DF182" s="93"/>
      <c r="DG182" s="93"/>
      <c r="DH182" s="93"/>
      <c r="DI182" s="93"/>
      <c r="DJ182" s="93"/>
      <c r="DK182" s="93"/>
      <c r="DL182" s="93"/>
      <c r="DM182" s="93"/>
      <c r="DN182" s="93"/>
      <c r="DO182" s="93"/>
      <c r="DP182" s="93"/>
      <c r="DQ182" s="93"/>
      <c r="DR182" s="93"/>
      <c r="DS182" s="93"/>
      <c r="DT182" s="93"/>
      <c r="DU182" s="93"/>
      <c r="DV182" s="93"/>
      <c r="DW182" s="93"/>
      <c r="DX182" s="93"/>
      <c r="DY182" s="93"/>
      <c r="DZ182" s="93"/>
      <c r="EA182" s="93"/>
      <c r="EB182" s="93"/>
      <c r="EC182" s="93"/>
      <c r="ED182" s="93"/>
      <c r="EE182" s="93"/>
      <c r="EF182" s="93"/>
      <c r="EG182" s="93"/>
      <c r="EH182" s="93"/>
      <c r="EI182" s="93"/>
      <c r="EJ182" s="93"/>
      <c r="EK182" s="93"/>
      <c r="EL182" s="93"/>
      <c r="EM182" s="93"/>
      <c r="EN182" s="93"/>
      <c r="EO182" s="93"/>
      <c r="EP182" s="93"/>
      <c r="EQ182" s="93"/>
      <c r="ER182" s="93"/>
      <c r="ES182" s="93"/>
      <c r="ET182" s="93"/>
      <c r="EU182" s="93"/>
      <c r="EV182" s="93"/>
      <c r="EW182" s="93"/>
      <c r="EX182" s="93"/>
      <c r="EY182" s="93"/>
      <c r="EZ182" s="93"/>
      <c r="FA182" s="93"/>
      <c r="FB182" s="93"/>
      <c r="FC182" s="93"/>
      <c r="FD182" s="93"/>
      <c r="FE182" s="93"/>
      <c r="FF182" s="93"/>
      <c r="FG182" s="93"/>
      <c r="FH182" s="93"/>
      <c r="FI182" s="93"/>
      <c r="FJ182" s="93"/>
      <c r="FK182" s="93"/>
      <c r="FL182" s="93"/>
      <c r="FM182" s="93"/>
      <c r="FN182" s="93"/>
      <c r="FO182" s="93"/>
      <c r="FP182" s="93"/>
      <c r="FQ182" s="93"/>
      <c r="FR182" s="93"/>
      <c r="FS182" s="93"/>
      <c r="FT182" s="93"/>
      <c r="FU182" s="93"/>
      <c r="FV182" s="93"/>
      <c r="FW182" s="93"/>
      <c r="FX182" s="93"/>
      <c r="FY182" s="93"/>
      <c r="FZ182" s="93"/>
      <c r="GA182" s="93"/>
      <c r="GB182" s="93"/>
      <c r="GC182" s="93"/>
      <c r="GD182" s="93"/>
      <c r="GE182" s="93"/>
      <c r="GF182" s="93"/>
      <c r="GG182" s="93"/>
      <c r="GH182" s="93"/>
      <c r="GI182" s="93"/>
      <c r="GJ182" s="93"/>
      <c r="GK182" s="93"/>
      <c r="GL182" s="93"/>
      <c r="GM182" s="93"/>
      <c r="GN182" s="93"/>
      <c r="GO182" s="93"/>
      <c r="GP182" s="93"/>
      <c r="GQ182" s="93"/>
      <c r="GR182" s="93"/>
      <c r="GS182" s="93"/>
      <c r="GT182" s="93"/>
      <c r="GU182" s="93"/>
      <c r="GV182" s="93"/>
      <c r="GW182" s="93"/>
      <c r="GX182" s="93"/>
      <c r="GY182" s="93"/>
      <c r="GZ182" s="93"/>
      <c r="HA182" s="93"/>
      <c r="HB182" s="93"/>
      <c r="HC182" s="93"/>
      <c r="HD182" s="93"/>
      <c r="HE182" s="93"/>
      <c r="HF182" s="93"/>
      <c r="HG182" s="93"/>
      <c r="HH182" s="93"/>
      <c r="HI182" s="93"/>
      <c r="HJ182" s="93"/>
      <c r="HK182" s="93"/>
      <c r="HL182" s="93"/>
      <c r="HM182" s="93"/>
      <c r="HN182" s="93"/>
      <c r="HO182" s="93"/>
      <c r="HP182" s="93"/>
      <c r="HQ182" s="93"/>
      <c r="HR182" s="93"/>
      <c r="HS182" s="93"/>
      <c r="HT182" s="93"/>
      <c r="HU182" s="93"/>
      <c r="HV182" s="93"/>
      <c r="HW182" s="93"/>
      <c r="HX182" s="93"/>
      <c r="HY182" s="93"/>
      <c r="HZ182" s="93"/>
      <c r="IA182" s="93"/>
      <c r="IB182" s="93"/>
      <c r="IC182" s="93"/>
      <c r="ID182" s="93"/>
      <c r="IE182" s="93"/>
      <c r="IF182" s="93"/>
      <c r="IG182" s="93"/>
      <c r="IH182" s="93"/>
      <c r="II182" s="93"/>
      <c r="IJ182" s="93"/>
      <c r="IK182" s="93"/>
      <c r="IL182" s="93"/>
      <c r="IM182" s="93"/>
      <c r="IN182" s="93"/>
      <c r="IO182" s="93"/>
      <c r="IP182" s="93"/>
      <c r="IQ182" s="93"/>
      <c r="IR182" s="93"/>
      <c r="IS182" s="93"/>
      <c r="IT182" s="93"/>
      <c r="IU182" s="93"/>
      <c r="IV182" s="93"/>
      <c r="IW182" s="93"/>
      <c r="IX182" s="93"/>
      <c r="IY182" s="93"/>
      <c r="IZ182" s="93"/>
    </row>
    <row r="183" spans="1:260" s="95" customFormat="1">
      <c r="A183" s="93"/>
      <c r="B183" s="183"/>
      <c r="C183" s="183"/>
      <c r="D183" s="183"/>
      <c r="E183" s="158"/>
      <c r="F183" s="158"/>
      <c r="G183" s="158"/>
      <c r="H183" s="158"/>
      <c r="I183" s="158"/>
      <c r="J183" s="158"/>
      <c r="K183" s="158"/>
      <c r="L183" s="158"/>
      <c r="M183" s="158"/>
      <c r="N183" s="158"/>
      <c r="O183" s="158"/>
      <c r="P183" s="228"/>
      <c r="Q183" s="158"/>
      <c r="R183" s="158"/>
      <c r="S183" s="207"/>
      <c r="T183" s="207"/>
      <c r="U183" s="207"/>
      <c r="V183" s="207"/>
      <c r="W183" s="207"/>
      <c r="X183" s="207"/>
      <c r="Y183" s="207"/>
      <c r="Z183" s="207"/>
      <c r="AA183" s="207"/>
      <c r="AB183" s="207"/>
      <c r="AC183" s="207"/>
      <c r="AD183" s="207"/>
      <c r="AE183" s="207"/>
      <c r="AF183" s="207"/>
      <c r="AG183" s="207"/>
      <c r="AH183" s="207"/>
      <c r="AI183" s="207"/>
      <c r="AJ183" s="207"/>
      <c r="AK183" s="207"/>
      <c r="AL183" s="207"/>
      <c r="AM183" s="94"/>
      <c r="AN183" s="94"/>
      <c r="AO183" s="94"/>
      <c r="AP183" s="94"/>
      <c r="AQ183" s="94"/>
      <c r="AR183" s="94"/>
      <c r="AS183" s="94"/>
      <c r="AT183" s="94"/>
      <c r="AU183" s="94"/>
      <c r="AV183" s="94"/>
      <c r="AW183" s="94"/>
      <c r="AX183" s="94"/>
      <c r="AY183" s="94"/>
      <c r="AZ183" s="93"/>
      <c r="BA183" s="93"/>
      <c r="BB183" s="93"/>
      <c r="BC183" s="93"/>
      <c r="BD183" s="93"/>
      <c r="BE183" s="93"/>
      <c r="BF183" s="93"/>
      <c r="BG183" s="93"/>
      <c r="BH183" s="93"/>
      <c r="BI183" s="93"/>
      <c r="BJ183" s="93"/>
      <c r="BK183" s="93"/>
      <c r="BL183" s="93"/>
      <c r="BM183" s="93"/>
      <c r="BN183" s="93"/>
      <c r="BO183" s="93"/>
      <c r="BP183" s="93"/>
      <c r="BQ183" s="93"/>
      <c r="BR183" s="93"/>
      <c r="BS183" s="93"/>
      <c r="BT183" s="93"/>
      <c r="BU183" s="93"/>
      <c r="BV183" s="93"/>
      <c r="BW183" s="93"/>
      <c r="BX183" s="93"/>
      <c r="BY183" s="93"/>
      <c r="BZ183" s="93"/>
      <c r="CA183" s="93"/>
      <c r="CB183" s="93"/>
      <c r="CC183" s="93"/>
      <c r="CD183" s="93"/>
      <c r="CE183" s="93"/>
      <c r="CF183" s="93"/>
      <c r="CG183" s="93"/>
      <c r="CH183" s="93"/>
      <c r="CI183" s="93"/>
      <c r="CJ183" s="93"/>
      <c r="CK183" s="93"/>
      <c r="CL183" s="93"/>
      <c r="CM183" s="93"/>
      <c r="CN183" s="93"/>
      <c r="CO183" s="93"/>
      <c r="CP183" s="93"/>
      <c r="CQ183" s="93"/>
      <c r="CR183" s="93"/>
      <c r="CS183" s="93"/>
      <c r="CT183" s="93"/>
      <c r="CU183" s="93"/>
      <c r="CV183" s="93"/>
      <c r="CW183" s="93"/>
      <c r="CX183" s="93"/>
      <c r="CY183" s="93"/>
      <c r="CZ183" s="93"/>
      <c r="DA183" s="93"/>
      <c r="DB183" s="93"/>
      <c r="DC183" s="93"/>
      <c r="DD183" s="93"/>
      <c r="DE183" s="93"/>
      <c r="DF183" s="93"/>
      <c r="DG183" s="93"/>
      <c r="DH183" s="93"/>
      <c r="DI183" s="93"/>
      <c r="DJ183" s="93"/>
      <c r="DK183" s="93"/>
      <c r="DL183" s="93"/>
      <c r="DM183" s="93"/>
      <c r="DN183" s="93"/>
      <c r="DO183" s="93"/>
      <c r="DP183" s="93"/>
      <c r="DQ183" s="93"/>
      <c r="DR183" s="93"/>
      <c r="DS183" s="93"/>
      <c r="DT183" s="93"/>
      <c r="DU183" s="93"/>
      <c r="DV183" s="93"/>
      <c r="DW183" s="93"/>
      <c r="DX183" s="93"/>
      <c r="DY183" s="93"/>
      <c r="DZ183" s="93"/>
      <c r="EA183" s="93"/>
      <c r="EB183" s="93"/>
      <c r="EC183" s="93"/>
      <c r="ED183" s="93"/>
      <c r="EE183" s="93"/>
      <c r="EF183" s="93"/>
      <c r="EG183" s="93"/>
      <c r="EH183" s="93"/>
      <c r="EI183" s="93"/>
      <c r="EJ183" s="93"/>
      <c r="EK183" s="93"/>
      <c r="EL183" s="93"/>
      <c r="EM183" s="93"/>
      <c r="EN183" s="93"/>
      <c r="EO183" s="93"/>
      <c r="EP183" s="93"/>
      <c r="EQ183" s="93"/>
      <c r="ER183" s="93"/>
      <c r="ES183" s="93"/>
      <c r="ET183" s="93"/>
      <c r="EU183" s="93"/>
      <c r="EV183" s="93"/>
      <c r="EW183" s="93"/>
      <c r="EX183" s="93"/>
      <c r="EY183" s="93"/>
      <c r="EZ183" s="93"/>
      <c r="FA183" s="93"/>
      <c r="FB183" s="93"/>
      <c r="FC183" s="93"/>
      <c r="FD183" s="93"/>
      <c r="FE183" s="93"/>
      <c r="FF183" s="93"/>
      <c r="FG183" s="93"/>
      <c r="FH183" s="93"/>
      <c r="FI183" s="93"/>
      <c r="FJ183" s="93"/>
      <c r="FK183" s="93"/>
      <c r="FL183" s="93"/>
      <c r="FM183" s="93"/>
      <c r="FN183" s="93"/>
      <c r="FO183" s="93"/>
      <c r="FP183" s="93"/>
      <c r="FQ183" s="93"/>
      <c r="FR183" s="93"/>
      <c r="FS183" s="93"/>
      <c r="FT183" s="93"/>
      <c r="FU183" s="93"/>
      <c r="FV183" s="93"/>
      <c r="FW183" s="93"/>
      <c r="FX183" s="93"/>
      <c r="FY183" s="93"/>
      <c r="FZ183" s="93"/>
      <c r="GA183" s="93"/>
      <c r="GB183" s="93"/>
      <c r="GC183" s="93"/>
      <c r="GD183" s="93"/>
      <c r="GE183" s="93"/>
      <c r="GF183" s="93"/>
      <c r="GG183" s="93"/>
      <c r="GH183" s="93"/>
      <c r="GI183" s="93"/>
      <c r="GJ183" s="93"/>
      <c r="GK183" s="93"/>
      <c r="GL183" s="93"/>
      <c r="GM183" s="93"/>
      <c r="GN183" s="93"/>
      <c r="GO183" s="93"/>
      <c r="GP183" s="93"/>
      <c r="GQ183" s="93"/>
      <c r="GR183" s="93"/>
      <c r="GS183" s="93"/>
      <c r="GT183" s="93"/>
      <c r="GU183" s="93"/>
      <c r="GV183" s="93"/>
      <c r="GW183" s="93"/>
      <c r="GX183" s="93"/>
      <c r="GY183" s="93"/>
      <c r="GZ183" s="93"/>
      <c r="HA183" s="93"/>
      <c r="HB183" s="93"/>
      <c r="HC183" s="93"/>
      <c r="HD183" s="93"/>
      <c r="HE183" s="93"/>
      <c r="HF183" s="93"/>
      <c r="HG183" s="93"/>
      <c r="HH183" s="93"/>
      <c r="HI183" s="93"/>
      <c r="HJ183" s="93"/>
      <c r="HK183" s="93"/>
      <c r="HL183" s="93"/>
      <c r="HM183" s="93"/>
      <c r="HN183" s="93"/>
      <c r="HO183" s="93"/>
      <c r="HP183" s="93"/>
      <c r="HQ183" s="93"/>
      <c r="HR183" s="93"/>
      <c r="HS183" s="93"/>
      <c r="HT183" s="93"/>
      <c r="HU183" s="93"/>
      <c r="HV183" s="93"/>
      <c r="HW183" s="93"/>
      <c r="HX183" s="93"/>
      <c r="HY183" s="93"/>
      <c r="HZ183" s="93"/>
      <c r="IA183" s="93"/>
      <c r="IB183" s="93"/>
      <c r="IC183" s="93"/>
      <c r="ID183" s="93"/>
      <c r="IE183" s="93"/>
      <c r="IF183" s="93"/>
      <c r="IG183" s="93"/>
      <c r="IH183" s="93"/>
      <c r="II183" s="93"/>
      <c r="IJ183" s="93"/>
      <c r="IK183" s="93"/>
      <c r="IL183" s="93"/>
      <c r="IM183" s="93"/>
      <c r="IN183" s="93"/>
      <c r="IO183" s="93"/>
      <c r="IP183" s="93"/>
      <c r="IQ183" s="93"/>
      <c r="IR183" s="93"/>
      <c r="IS183" s="93"/>
      <c r="IT183" s="93"/>
      <c r="IU183" s="93"/>
      <c r="IV183" s="93"/>
      <c r="IW183" s="93"/>
      <c r="IX183" s="93"/>
      <c r="IY183" s="93"/>
      <c r="IZ183" s="93"/>
    </row>
    <row r="184" spans="1:260" s="95" customFormat="1">
      <c r="A184" s="93"/>
      <c r="B184" s="183"/>
      <c r="C184" s="183"/>
      <c r="D184" s="183"/>
      <c r="E184" s="158"/>
      <c r="F184" s="158"/>
      <c r="G184" s="158"/>
      <c r="H184" s="158"/>
      <c r="I184" s="158"/>
      <c r="J184" s="158"/>
      <c r="K184" s="158"/>
      <c r="L184" s="158"/>
      <c r="M184" s="158"/>
      <c r="N184" s="158"/>
      <c r="O184" s="158"/>
      <c r="P184" s="228"/>
      <c r="Q184" s="158"/>
      <c r="R184" s="158"/>
      <c r="S184" s="207"/>
      <c r="T184" s="207"/>
      <c r="U184" s="207"/>
      <c r="V184" s="207"/>
      <c r="W184" s="207"/>
      <c r="X184" s="207"/>
      <c r="Y184" s="207"/>
      <c r="Z184" s="207"/>
      <c r="AA184" s="207"/>
      <c r="AB184" s="207"/>
      <c r="AC184" s="207"/>
      <c r="AD184" s="207"/>
      <c r="AE184" s="207"/>
      <c r="AF184" s="207"/>
      <c r="AG184" s="207"/>
      <c r="AH184" s="207"/>
      <c r="AI184" s="207"/>
      <c r="AJ184" s="207"/>
      <c r="AK184" s="207"/>
      <c r="AL184" s="207"/>
      <c r="AM184" s="94"/>
      <c r="AN184" s="94"/>
      <c r="AO184" s="94"/>
      <c r="AP184" s="94"/>
      <c r="AQ184" s="94"/>
      <c r="AR184" s="94"/>
      <c r="AS184" s="94"/>
      <c r="AT184" s="94"/>
      <c r="AU184" s="94"/>
      <c r="AV184" s="94"/>
      <c r="AW184" s="94"/>
      <c r="AX184" s="94"/>
      <c r="AY184" s="94"/>
      <c r="AZ184" s="93"/>
      <c r="BA184" s="93"/>
      <c r="BB184" s="93"/>
      <c r="BC184" s="93"/>
      <c r="BD184" s="93"/>
      <c r="BE184" s="93"/>
      <c r="BF184" s="93"/>
      <c r="BG184" s="93"/>
      <c r="BH184" s="93"/>
      <c r="BI184" s="93"/>
      <c r="BJ184" s="93"/>
      <c r="BK184" s="93"/>
      <c r="BL184" s="93"/>
      <c r="BM184" s="93"/>
      <c r="BN184" s="93"/>
      <c r="BO184" s="93"/>
      <c r="BP184" s="93"/>
      <c r="BQ184" s="93"/>
      <c r="BR184" s="93"/>
      <c r="BS184" s="93"/>
      <c r="BT184" s="93"/>
      <c r="BU184" s="93"/>
      <c r="BV184" s="93"/>
      <c r="BW184" s="93"/>
      <c r="BX184" s="93"/>
      <c r="BY184" s="93"/>
      <c r="BZ184" s="93"/>
      <c r="CA184" s="93"/>
      <c r="CB184" s="93"/>
      <c r="CC184" s="93"/>
      <c r="CD184" s="93"/>
      <c r="CE184" s="93"/>
      <c r="CF184" s="93"/>
      <c r="CG184" s="93"/>
      <c r="CH184" s="93"/>
      <c r="CI184" s="93"/>
      <c r="CJ184" s="93"/>
      <c r="CK184" s="93"/>
      <c r="CL184" s="93"/>
      <c r="CM184" s="93"/>
      <c r="CN184" s="93"/>
      <c r="CO184" s="93"/>
      <c r="CP184" s="93"/>
      <c r="CQ184" s="93"/>
      <c r="CR184" s="93"/>
      <c r="CS184" s="93"/>
      <c r="CT184" s="93"/>
      <c r="CU184" s="93"/>
      <c r="CV184" s="93"/>
      <c r="CW184" s="93"/>
      <c r="CX184" s="93"/>
      <c r="CY184" s="93"/>
      <c r="CZ184" s="93"/>
      <c r="DA184" s="93"/>
      <c r="DB184" s="93"/>
      <c r="DC184" s="93"/>
      <c r="DD184" s="93"/>
      <c r="DE184" s="93"/>
      <c r="DF184" s="93"/>
      <c r="DG184" s="93"/>
      <c r="DH184" s="93"/>
      <c r="DI184" s="93"/>
      <c r="DJ184" s="93"/>
      <c r="DK184" s="93"/>
      <c r="DL184" s="93"/>
      <c r="DM184" s="93"/>
      <c r="DN184" s="93"/>
      <c r="DO184" s="93"/>
      <c r="DP184" s="93"/>
      <c r="DQ184" s="93"/>
      <c r="DR184" s="93"/>
      <c r="DS184" s="93"/>
      <c r="DT184" s="93"/>
      <c r="DU184" s="93"/>
      <c r="DV184" s="93"/>
      <c r="DW184" s="93"/>
      <c r="DX184" s="93"/>
      <c r="DY184" s="93"/>
      <c r="DZ184" s="93"/>
      <c r="EA184" s="93"/>
      <c r="EB184" s="93"/>
      <c r="EC184" s="93"/>
      <c r="ED184" s="93"/>
      <c r="EE184" s="93"/>
      <c r="EF184" s="93"/>
      <c r="EG184" s="93"/>
      <c r="EH184" s="93"/>
      <c r="EI184" s="93"/>
      <c r="EJ184" s="93"/>
      <c r="EK184" s="93"/>
      <c r="EL184" s="93"/>
      <c r="EM184" s="93"/>
      <c r="EN184" s="93"/>
      <c r="EO184" s="93"/>
      <c r="EP184" s="93"/>
      <c r="EQ184" s="93"/>
      <c r="ER184" s="93"/>
      <c r="ES184" s="93"/>
      <c r="ET184" s="93"/>
      <c r="EU184" s="93"/>
      <c r="EV184" s="93"/>
      <c r="EW184" s="93"/>
      <c r="EX184" s="93"/>
      <c r="EY184" s="93"/>
      <c r="EZ184" s="93"/>
      <c r="FA184" s="93"/>
      <c r="FB184" s="93"/>
      <c r="FC184" s="93"/>
      <c r="FD184" s="93"/>
      <c r="FE184" s="93"/>
      <c r="FF184" s="93"/>
      <c r="FG184" s="93"/>
      <c r="FH184" s="93"/>
      <c r="FI184" s="93"/>
      <c r="FJ184" s="93"/>
      <c r="FK184" s="93"/>
      <c r="FL184" s="93"/>
      <c r="FM184" s="93"/>
      <c r="FN184" s="93"/>
      <c r="FO184" s="93"/>
      <c r="FP184" s="93"/>
      <c r="FQ184" s="93"/>
      <c r="FR184" s="93"/>
      <c r="FS184" s="93"/>
      <c r="FT184" s="93"/>
      <c r="FU184" s="93"/>
      <c r="FV184" s="93"/>
      <c r="FW184" s="93"/>
      <c r="FX184" s="93"/>
      <c r="FY184" s="93"/>
      <c r="FZ184" s="93"/>
      <c r="GA184" s="93"/>
      <c r="GB184" s="93"/>
      <c r="GC184" s="93"/>
      <c r="GD184" s="93"/>
      <c r="GE184" s="93"/>
      <c r="GF184" s="93"/>
      <c r="GG184" s="93"/>
      <c r="GH184" s="93"/>
      <c r="GI184" s="93"/>
      <c r="GJ184" s="93"/>
      <c r="GK184" s="93"/>
      <c r="GL184" s="93"/>
      <c r="GM184" s="93"/>
      <c r="GN184" s="93"/>
      <c r="GO184" s="93"/>
      <c r="GP184" s="93"/>
      <c r="GQ184" s="93"/>
      <c r="GR184" s="93"/>
      <c r="GS184" s="93"/>
      <c r="GT184" s="93"/>
      <c r="GU184" s="93"/>
      <c r="GV184" s="93"/>
      <c r="GW184" s="93"/>
      <c r="GX184" s="93"/>
      <c r="GY184" s="93"/>
      <c r="GZ184" s="93"/>
      <c r="HA184" s="93"/>
      <c r="HB184" s="93"/>
      <c r="HC184" s="93"/>
      <c r="HD184" s="93"/>
      <c r="HE184" s="93"/>
      <c r="HF184" s="93"/>
      <c r="HG184" s="93"/>
      <c r="HH184" s="93"/>
      <c r="HI184" s="93"/>
      <c r="HJ184" s="93"/>
      <c r="HK184" s="93"/>
      <c r="HL184" s="93"/>
      <c r="HM184" s="93"/>
      <c r="HN184" s="93"/>
      <c r="HO184" s="93"/>
      <c r="HP184" s="93"/>
      <c r="HQ184" s="93"/>
      <c r="HR184" s="93"/>
      <c r="HS184" s="93"/>
      <c r="HT184" s="93"/>
      <c r="HU184" s="93"/>
      <c r="HV184" s="93"/>
      <c r="HW184" s="93"/>
      <c r="HX184" s="93"/>
      <c r="HY184" s="93"/>
      <c r="HZ184" s="93"/>
      <c r="IA184" s="93"/>
      <c r="IB184" s="93"/>
      <c r="IC184" s="93"/>
      <c r="ID184" s="93"/>
      <c r="IE184" s="93"/>
      <c r="IF184" s="93"/>
      <c r="IG184" s="93"/>
      <c r="IH184" s="93"/>
      <c r="II184" s="93"/>
      <c r="IJ184" s="93"/>
      <c r="IK184" s="93"/>
      <c r="IL184" s="93"/>
      <c r="IM184" s="93"/>
      <c r="IN184" s="93"/>
      <c r="IO184" s="93"/>
      <c r="IP184" s="93"/>
      <c r="IQ184" s="93"/>
      <c r="IR184" s="93"/>
      <c r="IS184" s="93"/>
      <c r="IT184" s="93"/>
      <c r="IU184" s="93"/>
      <c r="IV184" s="93"/>
      <c r="IW184" s="93"/>
      <c r="IX184" s="93"/>
      <c r="IY184" s="93"/>
      <c r="IZ184" s="93"/>
    </row>
    <row r="185" spans="1:260" s="95" customFormat="1">
      <c r="A185" s="93"/>
      <c r="B185" s="183"/>
      <c r="C185" s="183"/>
      <c r="D185" s="183"/>
      <c r="E185" s="158"/>
      <c r="F185" s="158"/>
      <c r="G185" s="158"/>
      <c r="H185" s="158"/>
      <c r="I185" s="158"/>
      <c r="J185" s="158"/>
      <c r="K185" s="158"/>
      <c r="L185" s="158"/>
      <c r="M185" s="158"/>
      <c r="N185" s="158"/>
      <c r="O185" s="158"/>
      <c r="P185" s="228"/>
      <c r="Q185" s="158"/>
      <c r="R185" s="158"/>
      <c r="S185" s="207"/>
      <c r="T185" s="207"/>
      <c r="U185" s="207"/>
      <c r="V185" s="207"/>
      <c r="W185" s="207"/>
      <c r="X185" s="207"/>
      <c r="Y185" s="207"/>
      <c r="Z185" s="207"/>
      <c r="AA185" s="207"/>
      <c r="AB185" s="207"/>
      <c r="AC185" s="207"/>
      <c r="AD185" s="207"/>
      <c r="AE185" s="207"/>
      <c r="AF185" s="207"/>
      <c r="AG185" s="207"/>
      <c r="AH185" s="207"/>
      <c r="AI185" s="207"/>
      <c r="AJ185" s="207"/>
      <c r="AK185" s="207"/>
      <c r="AL185" s="207"/>
      <c r="AM185" s="94"/>
      <c r="AN185" s="94"/>
      <c r="AO185" s="94"/>
      <c r="AP185" s="94"/>
      <c r="AQ185" s="94"/>
      <c r="AR185" s="94"/>
      <c r="AS185" s="94"/>
      <c r="AT185" s="94"/>
      <c r="AU185" s="94"/>
      <c r="AV185" s="94"/>
      <c r="AW185" s="94"/>
      <c r="AX185" s="94"/>
      <c r="AY185" s="94"/>
      <c r="AZ185" s="93"/>
      <c r="BA185" s="93"/>
      <c r="BB185" s="93"/>
      <c r="BC185" s="93"/>
      <c r="BD185" s="93"/>
      <c r="BE185" s="93"/>
      <c r="BF185" s="93"/>
      <c r="BG185" s="93"/>
      <c r="BH185" s="93"/>
      <c r="BI185" s="93"/>
      <c r="BJ185" s="93"/>
      <c r="BK185" s="93"/>
      <c r="BL185" s="93"/>
      <c r="BM185" s="93"/>
      <c r="BN185" s="93"/>
      <c r="BO185" s="93"/>
      <c r="BP185" s="93"/>
      <c r="BQ185" s="93"/>
      <c r="BR185" s="93"/>
      <c r="BS185" s="93"/>
      <c r="BT185" s="93"/>
      <c r="BU185" s="93"/>
      <c r="BV185" s="93"/>
      <c r="BW185" s="93"/>
      <c r="BX185" s="93"/>
      <c r="BY185" s="93"/>
      <c r="BZ185" s="93"/>
      <c r="CA185" s="93"/>
      <c r="CB185" s="93"/>
      <c r="CC185" s="93"/>
      <c r="CD185" s="93"/>
      <c r="CE185" s="93"/>
      <c r="CF185" s="93"/>
      <c r="CG185" s="93"/>
      <c r="CH185" s="93"/>
      <c r="CI185" s="93"/>
      <c r="CJ185" s="93"/>
      <c r="CK185" s="93"/>
      <c r="CL185" s="93"/>
      <c r="CM185" s="93"/>
      <c r="CN185" s="93"/>
      <c r="CO185" s="93"/>
      <c r="CP185" s="93"/>
      <c r="CQ185" s="93"/>
      <c r="CR185" s="93"/>
      <c r="CS185" s="93"/>
      <c r="CT185" s="93"/>
      <c r="CU185" s="93"/>
      <c r="CV185" s="93"/>
      <c r="CW185" s="93"/>
      <c r="CX185" s="93"/>
      <c r="CY185" s="93"/>
      <c r="CZ185" s="93"/>
      <c r="DA185" s="93"/>
      <c r="DB185" s="93"/>
      <c r="DC185" s="93"/>
      <c r="DD185" s="93"/>
      <c r="DE185" s="93"/>
      <c r="DF185" s="93"/>
      <c r="DG185" s="93"/>
      <c r="DH185" s="93"/>
      <c r="DI185" s="93"/>
      <c r="DJ185" s="93"/>
      <c r="DK185" s="93"/>
      <c r="DL185" s="93"/>
      <c r="DM185" s="93"/>
      <c r="DN185" s="93"/>
      <c r="DO185" s="93"/>
      <c r="DP185" s="93"/>
      <c r="DQ185" s="93"/>
      <c r="DR185" s="93"/>
      <c r="DS185" s="93"/>
      <c r="DT185" s="93"/>
      <c r="DU185" s="93"/>
      <c r="DV185" s="93"/>
      <c r="DW185" s="93"/>
      <c r="DX185" s="93"/>
      <c r="DY185" s="93"/>
      <c r="DZ185" s="93"/>
      <c r="EA185" s="93"/>
      <c r="EB185" s="93"/>
      <c r="EC185" s="93"/>
      <c r="ED185" s="93"/>
      <c r="EE185" s="93"/>
      <c r="EF185" s="93"/>
      <c r="EG185" s="93"/>
      <c r="EH185" s="93"/>
      <c r="EI185" s="93"/>
      <c r="EJ185" s="93"/>
      <c r="EK185" s="93"/>
      <c r="EL185" s="93"/>
      <c r="EM185" s="93"/>
      <c r="EN185" s="93"/>
      <c r="EO185" s="93"/>
      <c r="EP185" s="93"/>
      <c r="EQ185" s="93"/>
      <c r="ER185" s="93"/>
      <c r="ES185" s="93"/>
      <c r="ET185" s="93"/>
      <c r="EU185" s="93"/>
      <c r="EV185" s="93"/>
      <c r="EW185" s="93"/>
      <c r="EX185" s="93"/>
      <c r="EY185" s="93"/>
      <c r="EZ185" s="93"/>
      <c r="FA185" s="93"/>
      <c r="FB185" s="93"/>
      <c r="FC185" s="93"/>
      <c r="FD185" s="93"/>
      <c r="FE185" s="93"/>
      <c r="FF185" s="93"/>
      <c r="FG185" s="93"/>
      <c r="FH185" s="93"/>
      <c r="FI185" s="93"/>
      <c r="FJ185" s="93"/>
      <c r="FK185" s="93"/>
      <c r="FL185" s="93"/>
      <c r="FM185" s="93"/>
      <c r="FN185" s="93"/>
      <c r="FO185" s="93"/>
      <c r="FP185" s="93"/>
      <c r="FQ185" s="93"/>
      <c r="FR185" s="93"/>
      <c r="FS185" s="93"/>
      <c r="FT185" s="93"/>
      <c r="FU185" s="93"/>
      <c r="FV185" s="93"/>
      <c r="FW185" s="93"/>
      <c r="FX185" s="93"/>
      <c r="FY185" s="93"/>
      <c r="FZ185" s="93"/>
      <c r="GA185" s="93"/>
      <c r="GB185" s="93"/>
      <c r="GC185" s="93"/>
      <c r="GD185" s="93"/>
      <c r="GE185" s="93"/>
      <c r="GF185" s="93"/>
      <c r="GG185" s="93"/>
      <c r="GH185" s="93"/>
      <c r="GI185" s="93"/>
      <c r="GJ185" s="93"/>
      <c r="GK185" s="93"/>
      <c r="GL185" s="93"/>
      <c r="GM185" s="93"/>
      <c r="GN185" s="93"/>
      <c r="GO185" s="93"/>
      <c r="GP185" s="93"/>
      <c r="GQ185" s="93"/>
      <c r="GR185" s="93"/>
      <c r="GS185" s="93"/>
      <c r="GT185" s="93"/>
      <c r="GU185" s="93"/>
      <c r="GV185" s="93"/>
      <c r="GW185" s="93"/>
      <c r="GX185" s="93"/>
      <c r="GY185" s="93"/>
      <c r="GZ185" s="93"/>
      <c r="HA185" s="93"/>
      <c r="HB185" s="93"/>
      <c r="HC185" s="93"/>
      <c r="HD185" s="93"/>
      <c r="HE185" s="93"/>
      <c r="HF185" s="93"/>
      <c r="HG185" s="93"/>
      <c r="HH185" s="93"/>
      <c r="HI185" s="93"/>
      <c r="HJ185" s="93"/>
      <c r="HK185" s="93"/>
      <c r="HL185" s="93"/>
      <c r="HM185" s="93"/>
      <c r="HN185" s="93"/>
      <c r="HO185" s="93"/>
      <c r="HP185" s="93"/>
      <c r="HQ185" s="93"/>
      <c r="HR185" s="93"/>
      <c r="HS185" s="93"/>
      <c r="HT185" s="93"/>
      <c r="HU185" s="93"/>
      <c r="HV185" s="93"/>
      <c r="HW185" s="93"/>
      <c r="HX185" s="93"/>
      <c r="HY185" s="93"/>
      <c r="HZ185" s="93"/>
      <c r="IA185" s="93"/>
      <c r="IB185" s="93"/>
      <c r="IC185" s="93"/>
      <c r="ID185" s="93"/>
      <c r="IE185" s="93"/>
      <c r="IF185" s="93"/>
      <c r="IG185" s="93"/>
      <c r="IH185" s="93"/>
      <c r="II185" s="93"/>
      <c r="IJ185" s="93"/>
      <c r="IK185" s="93"/>
      <c r="IL185" s="93"/>
      <c r="IM185" s="93"/>
      <c r="IN185" s="93"/>
      <c r="IO185" s="93"/>
      <c r="IP185" s="93"/>
      <c r="IQ185" s="93"/>
      <c r="IR185" s="93"/>
      <c r="IS185" s="93"/>
      <c r="IT185" s="93"/>
      <c r="IU185" s="93"/>
      <c r="IV185" s="93"/>
      <c r="IW185" s="93"/>
      <c r="IX185" s="93"/>
      <c r="IY185" s="93"/>
      <c r="IZ185" s="93"/>
    </row>
    <row r="186" spans="1:260" s="95" customFormat="1">
      <c r="A186" s="93"/>
      <c r="B186" s="183"/>
      <c r="C186" s="183"/>
      <c r="D186" s="183"/>
      <c r="E186" s="158"/>
      <c r="F186" s="158"/>
      <c r="G186" s="158"/>
      <c r="H186" s="158"/>
      <c r="I186" s="158"/>
      <c r="J186" s="158"/>
      <c r="K186" s="158"/>
      <c r="L186" s="158"/>
      <c r="M186" s="158"/>
      <c r="N186" s="158"/>
      <c r="O186" s="158"/>
      <c r="P186" s="228"/>
      <c r="Q186" s="158"/>
      <c r="R186" s="158"/>
      <c r="S186" s="207"/>
      <c r="T186" s="207"/>
      <c r="U186" s="207"/>
      <c r="V186" s="207"/>
      <c r="W186" s="207"/>
      <c r="X186" s="207"/>
      <c r="Y186" s="207"/>
      <c r="Z186" s="207"/>
      <c r="AA186" s="207"/>
      <c r="AB186" s="207"/>
      <c r="AC186" s="207"/>
      <c r="AD186" s="207"/>
      <c r="AE186" s="207"/>
      <c r="AF186" s="207"/>
      <c r="AG186" s="207"/>
      <c r="AH186" s="207"/>
      <c r="AI186" s="207"/>
      <c r="AJ186" s="207"/>
      <c r="AK186" s="207"/>
      <c r="AL186" s="207"/>
      <c r="AM186" s="94"/>
      <c r="AN186" s="94"/>
      <c r="AO186" s="94"/>
      <c r="AP186" s="94"/>
      <c r="AQ186" s="94"/>
      <c r="AR186" s="94"/>
      <c r="AS186" s="94"/>
      <c r="AT186" s="94"/>
      <c r="AU186" s="94"/>
      <c r="AV186" s="94"/>
      <c r="AW186" s="94"/>
      <c r="AX186" s="94"/>
      <c r="AY186" s="94"/>
      <c r="AZ186" s="93"/>
      <c r="BA186" s="93"/>
      <c r="BB186" s="93"/>
      <c r="BC186" s="93"/>
      <c r="BD186" s="93"/>
      <c r="BE186" s="93"/>
      <c r="BF186" s="93"/>
      <c r="BG186" s="93"/>
      <c r="BH186" s="93"/>
      <c r="BI186" s="93"/>
      <c r="BJ186" s="93"/>
      <c r="BK186" s="93"/>
      <c r="BL186" s="93"/>
      <c r="BM186" s="93"/>
      <c r="BN186" s="93"/>
      <c r="BO186" s="93"/>
      <c r="BP186" s="93"/>
      <c r="BQ186" s="93"/>
      <c r="BR186" s="93"/>
      <c r="BS186" s="93"/>
      <c r="BT186" s="93"/>
      <c r="BU186" s="93"/>
      <c r="BV186" s="93"/>
      <c r="BW186" s="93"/>
      <c r="BX186" s="93"/>
      <c r="BY186" s="93"/>
      <c r="BZ186" s="93"/>
      <c r="CA186" s="93"/>
      <c r="CB186" s="93"/>
      <c r="CC186" s="93"/>
      <c r="CD186" s="93"/>
      <c r="CE186" s="93"/>
      <c r="CF186" s="93"/>
      <c r="CG186" s="93"/>
      <c r="CH186" s="93"/>
      <c r="CI186" s="93"/>
      <c r="CJ186" s="93"/>
      <c r="CK186" s="93"/>
      <c r="CL186" s="93"/>
      <c r="CM186" s="93"/>
      <c r="CN186" s="93"/>
      <c r="CO186" s="93"/>
      <c r="CP186" s="93"/>
      <c r="CQ186" s="93"/>
      <c r="CR186" s="93"/>
      <c r="CS186" s="93"/>
      <c r="CT186" s="93"/>
      <c r="CU186" s="93"/>
      <c r="CV186" s="93"/>
      <c r="CW186" s="93"/>
      <c r="CX186" s="93"/>
      <c r="CY186" s="93"/>
      <c r="CZ186" s="93"/>
      <c r="DA186" s="93"/>
      <c r="DB186" s="93"/>
      <c r="DC186" s="93"/>
      <c r="DD186" s="93"/>
      <c r="DE186" s="93"/>
      <c r="DF186" s="93"/>
      <c r="DG186" s="93"/>
      <c r="DH186" s="93"/>
      <c r="DI186" s="93"/>
      <c r="DJ186" s="93"/>
      <c r="DK186" s="93"/>
      <c r="DL186" s="93"/>
      <c r="DM186" s="93"/>
      <c r="DN186" s="93"/>
      <c r="DO186" s="93"/>
      <c r="DP186" s="93"/>
      <c r="DQ186" s="93"/>
      <c r="DR186" s="93"/>
      <c r="DS186" s="93"/>
      <c r="DT186" s="93"/>
      <c r="DU186" s="93"/>
      <c r="DV186" s="93"/>
      <c r="DW186" s="93"/>
      <c r="DX186" s="93"/>
      <c r="DY186" s="93"/>
      <c r="DZ186" s="93"/>
      <c r="EA186" s="93"/>
      <c r="EB186" s="93"/>
      <c r="EC186" s="93"/>
      <c r="ED186" s="93"/>
      <c r="EE186" s="93"/>
      <c r="EF186" s="93"/>
      <c r="EG186" s="93"/>
      <c r="EH186" s="93"/>
      <c r="EI186" s="93"/>
      <c r="EJ186" s="93"/>
      <c r="EK186" s="93"/>
      <c r="EL186" s="93"/>
      <c r="EM186" s="93"/>
      <c r="EN186" s="93"/>
      <c r="EO186" s="93"/>
      <c r="EP186" s="93"/>
      <c r="EQ186" s="93"/>
      <c r="ER186" s="93"/>
      <c r="ES186" s="93"/>
      <c r="ET186" s="93"/>
      <c r="EU186" s="93"/>
      <c r="EV186" s="93"/>
      <c r="EW186" s="93"/>
      <c r="EX186" s="93"/>
      <c r="EY186" s="93"/>
      <c r="EZ186" s="93"/>
      <c r="FA186" s="93"/>
      <c r="FB186" s="93"/>
      <c r="FC186" s="93"/>
      <c r="FD186" s="93"/>
      <c r="FE186" s="93"/>
      <c r="FF186" s="93"/>
      <c r="FG186" s="93"/>
      <c r="FH186" s="93"/>
      <c r="FI186" s="93"/>
      <c r="FJ186" s="93"/>
      <c r="FK186" s="93"/>
      <c r="FL186" s="93"/>
      <c r="FM186" s="93"/>
      <c r="FN186" s="93"/>
      <c r="FO186" s="93"/>
      <c r="FP186" s="93"/>
      <c r="FQ186" s="93"/>
      <c r="FR186" s="93"/>
      <c r="FS186" s="93"/>
      <c r="FT186" s="93"/>
      <c r="FU186" s="93"/>
      <c r="FV186" s="93"/>
      <c r="FW186" s="93"/>
      <c r="FX186" s="93"/>
      <c r="FY186" s="93"/>
      <c r="FZ186" s="93"/>
      <c r="GA186" s="93"/>
      <c r="GB186" s="93"/>
      <c r="GC186" s="93"/>
      <c r="GD186" s="93"/>
      <c r="GE186" s="93"/>
      <c r="GF186" s="93"/>
      <c r="GG186" s="93"/>
      <c r="GH186" s="93"/>
      <c r="GI186" s="93"/>
      <c r="GJ186" s="93"/>
      <c r="GK186" s="93"/>
      <c r="GL186" s="93"/>
      <c r="GM186" s="93"/>
      <c r="GN186" s="93"/>
      <c r="GO186" s="93"/>
      <c r="GP186" s="93"/>
      <c r="GQ186" s="93"/>
      <c r="GR186" s="93"/>
      <c r="GS186" s="93"/>
      <c r="GT186" s="93"/>
      <c r="GU186" s="93"/>
      <c r="GV186" s="93"/>
      <c r="GW186" s="93"/>
      <c r="GX186" s="93"/>
      <c r="GY186" s="93"/>
      <c r="GZ186" s="93"/>
      <c r="HA186" s="93"/>
      <c r="HB186" s="93"/>
      <c r="HC186" s="93"/>
      <c r="HD186" s="93"/>
      <c r="HE186" s="93"/>
      <c r="HF186" s="93"/>
      <c r="HG186" s="93"/>
      <c r="HH186" s="93"/>
      <c r="HI186" s="93"/>
      <c r="HJ186" s="93"/>
      <c r="HK186" s="93"/>
      <c r="HL186" s="93"/>
      <c r="HM186" s="93"/>
      <c r="HN186" s="93"/>
      <c r="HO186" s="93"/>
      <c r="HP186" s="93"/>
      <c r="HQ186" s="93"/>
      <c r="HR186" s="93"/>
      <c r="HS186" s="93"/>
      <c r="HT186" s="93"/>
      <c r="HU186" s="93"/>
      <c r="HV186" s="93"/>
      <c r="HW186" s="93"/>
      <c r="HX186" s="93"/>
      <c r="HY186" s="93"/>
      <c r="HZ186" s="93"/>
      <c r="IA186" s="93"/>
      <c r="IB186" s="93"/>
      <c r="IC186" s="93"/>
      <c r="ID186" s="93"/>
      <c r="IE186" s="93"/>
      <c r="IF186" s="93"/>
      <c r="IG186" s="93"/>
      <c r="IH186" s="93"/>
      <c r="II186" s="93"/>
      <c r="IJ186" s="93"/>
      <c r="IK186" s="93"/>
      <c r="IL186" s="93"/>
      <c r="IM186" s="93"/>
      <c r="IN186" s="93"/>
      <c r="IO186" s="93"/>
      <c r="IP186" s="93"/>
      <c r="IQ186" s="93"/>
      <c r="IR186" s="93"/>
      <c r="IS186" s="93"/>
      <c r="IT186" s="93"/>
      <c r="IU186" s="93"/>
      <c r="IV186" s="93"/>
      <c r="IW186" s="93"/>
      <c r="IX186" s="93"/>
      <c r="IY186" s="93"/>
      <c r="IZ186" s="93"/>
    </row>
    <row r="187" spans="1:260" s="95" customFormat="1">
      <c r="A187" s="93"/>
      <c r="B187" s="183"/>
      <c r="C187" s="183"/>
      <c r="D187" s="183"/>
      <c r="E187" s="158"/>
      <c r="F187" s="158"/>
      <c r="G187" s="158"/>
      <c r="H187" s="158"/>
      <c r="I187" s="158"/>
      <c r="J187" s="158"/>
      <c r="K187" s="158"/>
      <c r="L187" s="158"/>
      <c r="M187" s="158"/>
      <c r="N187" s="158"/>
      <c r="O187" s="158"/>
      <c r="P187" s="228"/>
      <c r="Q187" s="158"/>
      <c r="R187" s="158"/>
      <c r="S187" s="207"/>
      <c r="T187" s="207"/>
      <c r="U187" s="207"/>
      <c r="V187" s="207"/>
      <c r="W187" s="207"/>
      <c r="X187" s="207"/>
      <c r="Y187" s="207"/>
      <c r="Z187" s="207"/>
      <c r="AA187" s="207"/>
      <c r="AB187" s="207"/>
      <c r="AC187" s="207"/>
      <c r="AD187" s="207"/>
      <c r="AE187" s="207"/>
      <c r="AF187" s="207"/>
      <c r="AG187" s="207"/>
      <c r="AH187" s="207"/>
      <c r="AI187" s="207"/>
      <c r="AJ187" s="207"/>
      <c r="AK187" s="207"/>
      <c r="AL187" s="207"/>
      <c r="AM187" s="94"/>
      <c r="AN187" s="94"/>
      <c r="AO187" s="94"/>
      <c r="AP187" s="94"/>
      <c r="AQ187" s="94"/>
      <c r="AR187" s="94"/>
      <c r="AS187" s="94"/>
      <c r="AT187" s="94"/>
      <c r="AU187" s="94"/>
      <c r="AV187" s="94"/>
      <c r="AW187" s="94"/>
      <c r="AX187" s="94"/>
      <c r="AY187" s="94"/>
      <c r="AZ187" s="93"/>
      <c r="BA187" s="93"/>
      <c r="BB187" s="93"/>
      <c r="BC187" s="93"/>
      <c r="BD187" s="93"/>
      <c r="BE187" s="93"/>
      <c r="BF187" s="93"/>
      <c r="BG187" s="93"/>
      <c r="BH187" s="93"/>
      <c r="BI187" s="93"/>
      <c r="BJ187" s="93"/>
      <c r="BK187" s="93"/>
      <c r="BL187" s="93"/>
      <c r="BM187" s="93"/>
      <c r="BN187" s="93"/>
      <c r="BO187" s="93"/>
      <c r="BP187" s="93"/>
      <c r="BQ187" s="93"/>
      <c r="BR187" s="93"/>
      <c r="BS187" s="93"/>
      <c r="BT187" s="93"/>
      <c r="BU187" s="93"/>
      <c r="BV187" s="93"/>
      <c r="BW187" s="93"/>
      <c r="BX187" s="93"/>
      <c r="BY187" s="93"/>
      <c r="BZ187" s="93"/>
      <c r="CA187" s="93"/>
      <c r="CB187" s="93"/>
      <c r="CC187" s="93"/>
      <c r="CD187" s="93"/>
      <c r="CE187" s="93"/>
      <c r="CF187" s="93"/>
      <c r="CG187" s="93"/>
      <c r="CH187" s="93"/>
      <c r="CI187" s="93"/>
      <c r="CJ187" s="93"/>
      <c r="CK187" s="93"/>
      <c r="CL187" s="93"/>
      <c r="CM187" s="93"/>
      <c r="CN187" s="93"/>
      <c r="CO187" s="93"/>
      <c r="CP187" s="93"/>
      <c r="CQ187" s="93"/>
      <c r="CR187" s="93"/>
      <c r="CS187" s="93"/>
      <c r="CT187" s="93"/>
      <c r="CU187" s="93"/>
      <c r="CV187" s="93"/>
      <c r="CW187" s="93"/>
      <c r="CX187" s="93"/>
      <c r="CY187" s="93"/>
      <c r="CZ187" s="93"/>
      <c r="DA187" s="93"/>
      <c r="DB187" s="93"/>
      <c r="DC187" s="93"/>
      <c r="DD187" s="93"/>
      <c r="DE187" s="93"/>
      <c r="DF187" s="93"/>
      <c r="DG187" s="93"/>
      <c r="DH187" s="93"/>
      <c r="DI187" s="93"/>
      <c r="DJ187" s="93"/>
      <c r="DK187" s="93"/>
      <c r="DL187" s="93"/>
      <c r="DM187" s="93"/>
      <c r="DN187" s="93"/>
      <c r="DO187" s="93"/>
      <c r="DP187" s="93"/>
      <c r="DQ187" s="93"/>
      <c r="DR187" s="93"/>
      <c r="DS187" s="93"/>
      <c r="DT187" s="93"/>
      <c r="DU187" s="93"/>
      <c r="DV187" s="93"/>
      <c r="DW187" s="93"/>
      <c r="DX187" s="93"/>
      <c r="DY187" s="93"/>
      <c r="DZ187" s="93"/>
      <c r="EA187" s="93"/>
      <c r="EB187" s="93"/>
      <c r="EC187" s="93"/>
      <c r="ED187" s="93"/>
      <c r="EE187" s="93"/>
      <c r="EF187" s="93"/>
      <c r="EG187" s="93"/>
      <c r="EH187" s="93"/>
      <c r="EI187" s="93"/>
      <c r="EJ187" s="93"/>
      <c r="EK187" s="93"/>
      <c r="EL187" s="93"/>
      <c r="EM187" s="93"/>
      <c r="EN187" s="93"/>
      <c r="EO187" s="93"/>
      <c r="EP187" s="93"/>
      <c r="EQ187" s="93"/>
      <c r="ER187" s="93"/>
      <c r="ES187" s="93"/>
      <c r="ET187" s="93"/>
      <c r="EU187" s="93"/>
      <c r="EV187" s="93"/>
      <c r="EW187" s="93"/>
      <c r="EX187" s="93"/>
      <c r="EY187" s="93"/>
      <c r="EZ187" s="93"/>
      <c r="FA187" s="93"/>
      <c r="FB187" s="93"/>
      <c r="FC187" s="93"/>
      <c r="FD187" s="93"/>
      <c r="FE187" s="93"/>
      <c r="FF187" s="93"/>
      <c r="FG187" s="93"/>
      <c r="FH187" s="93"/>
      <c r="FI187" s="93"/>
      <c r="FJ187" s="93"/>
      <c r="FK187" s="93"/>
      <c r="FL187" s="93"/>
      <c r="FM187" s="93"/>
      <c r="FN187" s="93"/>
      <c r="FO187" s="93"/>
      <c r="FP187" s="93"/>
      <c r="FQ187" s="93"/>
      <c r="FR187" s="93"/>
      <c r="FS187" s="93"/>
      <c r="FT187" s="93"/>
      <c r="FU187" s="93"/>
      <c r="FV187" s="93"/>
      <c r="FW187" s="93"/>
      <c r="FX187" s="93"/>
      <c r="FY187" s="93"/>
      <c r="FZ187" s="93"/>
      <c r="GA187" s="93"/>
      <c r="GB187" s="93"/>
      <c r="GC187" s="93"/>
      <c r="GD187" s="93"/>
      <c r="GE187" s="93"/>
      <c r="GF187" s="93"/>
      <c r="GG187" s="93"/>
      <c r="GH187" s="93"/>
      <c r="GI187" s="93"/>
      <c r="GJ187" s="93"/>
      <c r="GK187" s="93"/>
      <c r="GL187" s="93"/>
      <c r="GM187" s="93"/>
      <c r="GN187" s="93"/>
      <c r="GO187" s="93"/>
      <c r="GP187" s="93"/>
      <c r="GQ187" s="93"/>
      <c r="GR187" s="93"/>
      <c r="GS187" s="93"/>
      <c r="GT187" s="93"/>
      <c r="GU187" s="93"/>
      <c r="GV187" s="93"/>
      <c r="GW187" s="93"/>
      <c r="GX187" s="93"/>
      <c r="GY187" s="93"/>
      <c r="GZ187" s="93"/>
      <c r="HA187" s="93"/>
      <c r="HB187" s="93"/>
      <c r="HC187" s="93"/>
      <c r="HD187" s="93"/>
      <c r="HE187" s="93"/>
      <c r="HF187" s="93"/>
      <c r="HG187" s="93"/>
      <c r="HH187" s="93"/>
      <c r="HI187" s="93"/>
      <c r="HJ187" s="93"/>
      <c r="HK187" s="93"/>
      <c r="HL187" s="93"/>
      <c r="HM187" s="93"/>
      <c r="HN187" s="93"/>
      <c r="HO187" s="93"/>
      <c r="HP187" s="93"/>
      <c r="HQ187" s="93"/>
      <c r="HR187" s="93"/>
      <c r="HS187" s="93"/>
      <c r="HT187" s="93"/>
      <c r="HU187" s="93"/>
      <c r="HV187" s="93"/>
      <c r="HW187" s="93"/>
      <c r="HX187" s="93"/>
      <c r="HY187" s="93"/>
      <c r="HZ187" s="93"/>
      <c r="IA187" s="93"/>
      <c r="IB187" s="93"/>
      <c r="IC187" s="93"/>
      <c r="ID187" s="93"/>
      <c r="IE187" s="93"/>
      <c r="IF187" s="93"/>
      <c r="IG187" s="93"/>
      <c r="IH187" s="93"/>
      <c r="II187" s="93"/>
      <c r="IJ187" s="93"/>
      <c r="IK187" s="93"/>
      <c r="IL187" s="93"/>
      <c r="IM187" s="93"/>
      <c r="IN187" s="93"/>
      <c r="IO187" s="93"/>
      <c r="IP187" s="93"/>
      <c r="IQ187" s="93"/>
      <c r="IR187" s="93"/>
      <c r="IS187" s="93"/>
      <c r="IT187" s="93"/>
      <c r="IU187" s="93"/>
      <c r="IV187" s="93"/>
      <c r="IW187" s="93"/>
      <c r="IX187" s="93"/>
      <c r="IY187" s="93"/>
      <c r="IZ187" s="93"/>
    </row>
    <row r="188" spans="1:260" s="95" customFormat="1">
      <c r="A188" s="93"/>
      <c r="B188" s="183"/>
      <c r="C188" s="183"/>
      <c r="D188" s="183"/>
      <c r="E188" s="158"/>
      <c r="F188" s="158"/>
      <c r="G188" s="158"/>
      <c r="H188" s="158"/>
      <c r="I188" s="158"/>
      <c r="J188" s="158"/>
      <c r="K188" s="158"/>
      <c r="L188" s="158"/>
      <c r="M188" s="158"/>
      <c r="N188" s="158"/>
      <c r="O188" s="158"/>
      <c r="P188" s="228"/>
      <c r="Q188" s="158"/>
      <c r="R188" s="158"/>
      <c r="S188" s="207"/>
      <c r="T188" s="207"/>
      <c r="U188" s="207"/>
      <c r="V188" s="207"/>
      <c r="W188" s="207"/>
      <c r="X188" s="207"/>
      <c r="Y188" s="207"/>
      <c r="Z188" s="207"/>
      <c r="AA188" s="207"/>
      <c r="AB188" s="207"/>
      <c r="AC188" s="207"/>
      <c r="AD188" s="207"/>
      <c r="AE188" s="207"/>
      <c r="AF188" s="207"/>
      <c r="AG188" s="207"/>
      <c r="AH188" s="207"/>
      <c r="AI188" s="207"/>
      <c r="AJ188" s="207"/>
      <c r="AK188" s="207"/>
      <c r="AL188" s="207"/>
      <c r="AM188" s="94"/>
      <c r="AN188" s="94"/>
      <c r="AO188" s="94"/>
      <c r="AP188" s="94"/>
      <c r="AQ188" s="94"/>
      <c r="AR188" s="94"/>
      <c r="AS188" s="94"/>
      <c r="AT188" s="94"/>
      <c r="AU188" s="94"/>
      <c r="AV188" s="94"/>
      <c r="AW188" s="94"/>
      <c r="AX188" s="94"/>
      <c r="AY188" s="94"/>
      <c r="AZ188" s="93"/>
      <c r="BA188" s="93"/>
      <c r="BB188" s="93"/>
      <c r="BC188" s="93"/>
      <c r="BD188" s="93"/>
      <c r="BE188" s="93"/>
      <c r="BF188" s="93"/>
      <c r="BG188" s="93"/>
      <c r="BH188" s="93"/>
      <c r="BI188" s="93"/>
      <c r="BJ188" s="93"/>
      <c r="BK188" s="93"/>
      <c r="BL188" s="93"/>
      <c r="BM188" s="93"/>
      <c r="BN188" s="93"/>
      <c r="BO188" s="93"/>
      <c r="BP188" s="93"/>
      <c r="BQ188" s="93"/>
      <c r="BR188" s="93"/>
      <c r="BS188" s="93"/>
      <c r="BT188" s="93"/>
      <c r="BU188" s="93"/>
      <c r="BV188" s="93"/>
      <c r="BW188" s="93"/>
      <c r="BX188" s="93"/>
      <c r="BY188" s="93"/>
      <c r="BZ188" s="93"/>
      <c r="CA188" s="93"/>
      <c r="CB188" s="93"/>
      <c r="CC188" s="93"/>
      <c r="CD188" s="93"/>
      <c r="CE188" s="93"/>
      <c r="CF188" s="93"/>
      <c r="CG188" s="93"/>
      <c r="CH188" s="93"/>
      <c r="CI188" s="93"/>
      <c r="CJ188" s="93"/>
      <c r="CK188" s="93"/>
      <c r="CL188" s="93"/>
      <c r="CM188" s="93"/>
      <c r="CN188" s="93"/>
      <c r="CO188" s="93"/>
      <c r="CP188" s="93"/>
      <c r="CQ188" s="93"/>
      <c r="CR188" s="93"/>
      <c r="CS188" s="93"/>
      <c r="CT188" s="93"/>
      <c r="CU188" s="93"/>
      <c r="CV188" s="93"/>
      <c r="CW188" s="93"/>
      <c r="CX188" s="93"/>
      <c r="CY188" s="93"/>
      <c r="CZ188" s="93"/>
      <c r="DA188" s="93"/>
      <c r="DB188" s="93"/>
      <c r="DC188" s="93"/>
      <c r="DD188" s="93"/>
      <c r="DE188" s="93"/>
      <c r="DF188" s="93"/>
      <c r="DG188" s="93"/>
      <c r="DH188" s="93"/>
      <c r="DI188" s="93"/>
      <c r="DJ188" s="93"/>
      <c r="DK188" s="93"/>
      <c r="DL188" s="93"/>
      <c r="DM188" s="93"/>
      <c r="DN188" s="93"/>
      <c r="DO188" s="93"/>
      <c r="DP188" s="93"/>
      <c r="DQ188" s="93"/>
      <c r="DR188" s="93"/>
      <c r="DS188" s="93"/>
      <c r="DT188" s="93"/>
      <c r="DU188" s="93"/>
      <c r="DV188" s="93"/>
      <c r="DW188" s="93"/>
      <c r="DX188" s="93"/>
      <c r="DY188" s="93"/>
      <c r="DZ188" s="93"/>
      <c r="EA188" s="93"/>
      <c r="EB188" s="93"/>
      <c r="EC188" s="93"/>
      <c r="ED188" s="93"/>
      <c r="EE188" s="93"/>
      <c r="EF188" s="93"/>
      <c r="EG188" s="93"/>
      <c r="EH188" s="93"/>
      <c r="EI188" s="93"/>
      <c r="EJ188" s="93"/>
      <c r="EK188" s="93"/>
      <c r="EL188" s="93"/>
      <c r="EM188" s="93"/>
      <c r="EN188" s="93"/>
      <c r="EO188" s="93"/>
      <c r="EP188" s="93"/>
      <c r="EQ188" s="93"/>
      <c r="ER188" s="93"/>
      <c r="ES188" s="93"/>
      <c r="ET188" s="93"/>
      <c r="EU188" s="93"/>
      <c r="EV188" s="93"/>
      <c r="EW188" s="93"/>
      <c r="EX188" s="93"/>
      <c r="EY188" s="93"/>
      <c r="EZ188" s="93"/>
      <c r="FA188" s="93"/>
      <c r="FB188" s="93"/>
      <c r="FC188" s="93"/>
      <c r="FD188" s="93"/>
      <c r="FE188" s="93"/>
      <c r="FF188" s="93"/>
      <c r="FG188" s="93"/>
      <c r="FH188" s="93"/>
      <c r="FI188" s="93"/>
      <c r="FJ188" s="93"/>
      <c r="FK188" s="93"/>
      <c r="FL188" s="93"/>
      <c r="FM188" s="93"/>
      <c r="FN188" s="93"/>
      <c r="FO188" s="93"/>
      <c r="FP188" s="93"/>
      <c r="FQ188" s="93"/>
      <c r="FR188" s="93"/>
      <c r="FS188" s="93"/>
      <c r="FT188" s="93"/>
      <c r="FU188" s="93"/>
      <c r="FV188" s="93"/>
      <c r="FW188" s="93"/>
      <c r="FX188" s="93"/>
      <c r="FY188" s="93"/>
      <c r="FZ188" s="93"/>
      <c r="GA188" s="93"/>
      <c r="GB188" s="93"/>
      <c r="GC188" s="93"/>
      <c r="GD188" s="93"/>
      <c r="GE188" s="93"/>
      <c r="GF188" s="93"/>
      <c r="GG188" s="93"/>
      <c r="GH188" s="93"/>
      <c r="GI188" s="93"/>
      <c r="GJ188" s="93"/>
      <c r="GK188" s="93"/>
      <c r="GL188" s="93"/>
      <c r="GM188" s="93"/>
      <c r="GN188" s="93"/>
      <c r="GO188" s="93"/>
      <c r="GP188" s="93"/>
      <c r="GQ188" s="93"/>
      <c r="GR188" s="93"/>
      <c r="GS188" s="93"/>
      <c r="GT188" s="93"/>
      <c r="GU188" s="93"/>
      <c r="GV188" s="93"/>
      <c r="GW188" s="93"/>
      <c r="GX188" s="93"/>
      <c r="GY188" s="93"/>
      <c r="GZ188" s="93"/>
      <c r="HA188" s="93"/>
      <c r="HB188" s="93"/>
      <c r="HC188" s="93"/>
      <c r="HD188" s="93"/>
      <c r="HE188" s="93"/>
      <c r="HF188" s="93"/>
      <c r="HG188" s="93"/>
      <c r="HH188" s="93"/>
      <c r="HI188" s="93"/>
      <c r="HJ188" s="93"/>
      <c r="HK188" s="93"/>
      <c r="HL188" s="93"/>
      <c r="HM188" s="93"/>
      <c r="HN188" s="93"/>
      <c r="HO188" s="93"/>
      <c r="HP188" s="93"/>
      <c r="HQ188" s="93"/>
      <c r="HR188" s="93"/>
      <c r="HS188" s="93"/>
      <c r="HT188" s="93"/>
      <c r="HU188" s="93"/>
      <c r="HV188" s="93"/>
      <c r="HW188" s="93"/>
      <c r="HX188" s="93"/>
      <c r="HY188" s="93"/>
      <c r="HZ188" s="93"/>
      <c r="IA188" s="93"/>
      <c r="IB188" s="93"/>
      <c r="IC188" s="93"/>
      <c r="ID188" s="93"/>
      <c r="IE188" s="93"/>
      <c r="IF188" s="93"/>
      <c r="IG188" s="93"/>
      <c r="IH188" s="93"/>
      <c r="II188" s="93"/>
      <c r="IJ188" s="93"/>
      <c r="IK188" s="93"/>
      <c r="IL188" s="93"/>
      <c r="IM188" s="93"/>
      <c r="IN188" s="93"/>
      <c r="IO188" s="93"/>
      <c r="IP188" s="93"/>
      <c r="IQ188" s="93"/>
      <c r="IR188" s="93"/>
      <c r="IS188" s="93"/>
      <c r="IT188" s="93"/>
      <c r="IU188" s="93"/>
      <c r="IV188" s="93"/>
      <c r="IW188" s="93"/>
      <c r="IX188" s="93"/>
      <c r="IY188" s="93"/>
      <c r="IZ188" s="93"/>
    </row>
    <row r="189" spans="1:260" s="95" customFormat="1">
      <c r="A189" s="93"/>
      <c r="B189" s="183"/>
      <c r="C189" s="183"/>
      <c r="D189" s="183"/>
      <c r="E189" s="158"/>
      <c r="F189" s="158"/>
      <c r="G189" s="158"/>
      <c r="H189" s="158"/>
      <c r="I189" s="158"/>
      <c r="J189" s="158"/>
      <c r="K189" s="158"/>
      <c r="L189" s="158"/>
      <c r="M189" s="158"/>
      <c r="N189" s="158"/>
      <c r="O189" s="158"/>
      <c r="P189" s="228"/>
      <c r="Q189" s="158"/>
      <c r="R189" s="158"/>
      <c r="S189" s="207"/>
      <c r="T189" s="207"/>
      <c r="U189" s="207"/>
      <c r="V189" s="207"/>
      <c r="W189" s="207"/>
      <c r="X189" s="207"/>
      <c r="Y189" s="207"/>
      <c r="Z189" s="207"/>
      <c r="AA189" s="207"/>
      <c r="AB189" s="207"/>
      <c r="AC189" s="207"/>
      <c r="AD189" s="207"/>
      <c r="AE189" s="207"/>
      <c r="AF189" s="207"/>
      <c r="AG189" s="207"/>
      <c r="AH189" s="207"/>
      <c r="AI189" s="207"/>
      <c r="AJ189" s="207"/>
      <c r="AK189" s="207"/>
      <c r="AL189" s="207"/>
      <c r="AM189" s="94"/>
      <c r="AN189" s="94"/>
      <c r="AO189" s="94"/>
      <c r="AP189" s="94"/>
      <c r="AQ189" s="94"/>
      <c r="AR189" s="94"/>
      <c r="AS189" s="94"/>
      <c r="AT189" s="94"/>
      <c r="AU189" s="94"/>
      <c r="AV189" s="94"/>
      <c r="AW189" s="94"/>
      <c r="AX189" s="94"/>
      <c r="AY189" s="94"/>
      <c r="AZ189" s="93"/>
      <c r="BA189" s="93"/>
      <c r="BB189" s="93"/>
      <c r="BC189" s="93"/>
      <c r="BD189" s="93"/>
      <c r="BE189" s="93"/>
      <c r="BF189" s="93"/>
      <c r="BG189" s="93"/>
      <c r="BH189" s="93"/>
      <c r="BI189" s="93"/>
      <c r="BJ189" s="93"/>
      <c r="BK189" s="93"/>
      <c r="BL189" s="93"/>
      <c r="BM189" s="93"/>
      <c r="BN189" s="93"/>
      <c r="BO189" s="93"/>
      <c r="BP189" s="93"/>
      <c r="BQ189" s="93"/>
      <c r="BR189" s="93"/>
      <c r="BS189" s="93"/>
      <c r="BT189" s="93"/>
      <c r="BU189" s="93"/>
      <c r="BV189" s="93"/>
      <c r="BW189" s="93"/>
      <c r="BX189" s="93"/>
      <c r="BY189" s="93"/>
      <c r="BZ189" s="93"/>
      <c r="CA189" s="93"/>
      <c r="CB189" s="93"/>
      <c r="CC189" s="93"/>
      <c r="CD189" s="93"/>
      <c r="CE189" s="93"/>
      <c r="CF189" s="93"/>
      <c r="CG189" s="93"/>
      <c r="CH189" s="93"/>
      <c r="CI189" s="93"/>
      <c r="CJ189" s="93"/>
      <c r="CK189" s="93"/>
      <c r="CL189" s="93"/>
      <c r="CM189" s="93"/>
      <c r="CN189" s="93"/>
      <c r="CO189" s="93"/>
      <c r="CP189" s="93"/>
      <c r="CQ189" s="93"/>
      <c r="CR189" s="93"/>
      <c r="CS189" s="93"/>
      <c r="CT189" s="93"/>
      <c r="CU189" s="93"/>
      <c r="CV189" s="93"/>
      <c r="CW189" s="93"/>
      <c r="CX189" s="93"/>
      <c r="CY189" s="93"/>
      <c r="CZ189" s="93"/>
      <c r="DA189" s="93"/>
      <c r="DB189" s="93"/>
      <c r="DC189" s="93"/>
      <c r="DD189" s="93"/>
      <c r="DE189" s="93"/>
      <c r="DF189" s="93"/>
      <c r="DG189" s="93"/>
      <c r="DH189" s="93"/>
      <c r="DI189" s="93"/>
      <c r="DJ189" s="93"/>
      <c r="DK189" s="93"/>
      <c r="DL189" s="93"/>
      <c r="DM189" s="93"/>
      <c r="DN189" s="93"/>
      <c r="DO189" s="93"/>
      <c r="DP189" s="93"/>
      <c r="DQ189" s="93"/>
      <c r="DR189" s="93"/>
      <c r="DS189" s="93"/>
      <c r="DT189" s="93"/>
      <c r="DU189" s="93"/>
      <c r="DV189" s="93"/>
      <c r="DW189" s="93"/>
      <c r="DX189" s="93"/>
      <c r="DY189" s="93"/>
      <c r="DZ189" s="93"/>
      <c r="EA189" s="93"/>
      <c r="EB189" s="93"/>
      <c r="EC189" s="93"/>
      <c r="ED189" s="93"/>
      <c r="EE189" s="93"/>
      <c r="EF189" s="93"/>
      <c r="EG189" s="93"/>
      <c r="EH189" s="93"/>
      <c r="EI189" s="93"/>
      <c r="EJ189" s="93"/>
      <c r="EK189" s="93"/>
      <c r="EL189" s="93"/>
      <c r="EM189" s="93"/>
      <c r="EN189" s="93"/>
      <c r="EO189" s="93"/>
      <c r="EP189" s="93"/>
      <c r="EQ189" s="93"/>
      <c r="ER189" s="93"/>
      <c r="ES189" s="93"/>
      <c r="ET189" s="93"/>
      <c r="EU189" s="93"/>
      <c r="EV189" s="93"/>
      <c r="EW189" s="93"/>
      <c r="EX189" s="93"/>
      <c r="EY189" s="93"/>
      <c r="EZ189" s="93"/>
      <c r="FA189" s="93"/>
      <c r="FB189" s="93"/>
      <c r="FC189" s="93"/>
      <c r="FD189" s="93"/>
      <c r="FE189" s="93"/>
      <c r="FF189" s="93"/>
      <c r="FG189" s="93"/>
      <c r="FH189" s="93"/>
      <c r="FI189" s="93"/>
      <c r="FJ189" s="93"/>
      <c r="FK189" s="93"/>
      <c r="FL189" s="93"/>
      <c r="FM189" s="93"/>
      <c r="FN189" s="93"/>
      <c r="FO189" s="93"/>
      <c r="FP189" s="93"/>
      <c r="FQ189" s="93"/>
      <c r="FR189" s="93"/>
      <c r="FS189" s="93"/>
      <c r="FT189" s="93"/>
      <c r="FU189" s="93"/>
      <c r="FV189" s="93"/>
      <c r="FW189" s="93"/>
      <c r="FX189" s="93"/>
      <c r="FY189" s="93"/>
      <c r="FZ189" s="93"/>
      <c r="GA189" s="93"/>
      <c r="GB189" s="93"/>
      <c r="GC189" s="93"/>
      <c r="GD189" s="93"/>
      <c r="GE189" s="93"/>
      <c r="GF189" s="93"/>
      <c r="GG189" s="93"/>
      <c r="GH189" s="93"/>
      <c r="GI189" s="93"/>
      <c r="GJ189" s="93"/>
      <c r="GK189" s="93"/>
      <c r="GL189" s="93"/>
      <c r="GM189" s="93"/>
      <c r="GN189" s="93"/>
      <c r="GO189" s="93"/>
      <c r="GP189" s="93"/>
      <c r="GQ189" s="93"/>
      <c r="GR189" s="93"/>
      <c r="GS189" s="93"/>
      <c r="GT189" s="93"/>
      <c r="GU189" s="93"/>
      <c r="GV189" s="93"/>
      <c r="GW189" s="93"/>
      <c r="GX189" s="93"/>
      <c r="GY189" s="93"/>
      <c r="GZ189" s="93"/>
      <c r="HA189" s="93"/>
      <c r="HB189" s="93"/>
      <c r="HC189" s="93"/>
      <c r="HD189" s="93"/>
      <c r="HE189" s="93"/>
      <c r="HF189" s="93"/>
      <c r="HG189" s="93"/>
      <c r="HH189" s="93"/>
      <c r="HI189" s="93"/>
      <c r="HJ189" s="93"/>
      <c r="HK189" s="93"/>
      <c r="HL189" s="93"/>
      <c r="HM189" s="93"/>
      <c r="HN189" s="93"/>
      <c r="HO189" s="93"/>
      <c r="HP189" s="93"/>
      <c r="HQ189" s="93"/>
      <c r="HR189" s="93"/>
      <c r="HS189" s="93"/>
      <c r="HT189" s="93"/>
      <c r="HU189" s="93"/>
      <c r="HV189" s="93"/>
      <c r="HW189" s="93"/>
      <c r="HX189" s="93"/>
      <c r="HY189" s="93"/>
      <c r="HZ189" s="93"/>
      <c r="IA189" s="93"/>
      <c r="IB189" s="93"/>
      <c r="IC189" s="93"/>
      <c r="ID189" s="93"/>
      <c r="IE189" s="93"/>
      <c r="IF189" s="93"/>
      <c r="IG189" s="93"/>
      <c r="IH189" s="93"/>
      <c r="II189" s="93"/>
      <c r="IJ189" s="93"/>
      <c r="IK189" s="93"/>
      <c r="IL189" s="93"/>
      <c r="IM189" s="93"/>
      <c r="IN189" s="93"/>
      <c r="IO189" s="93"/>
      <c r="IP189" s="93"/>
      <c r="IQ189" s="93"/>
      <c r="IR189" s="93"/>
      <c r="IS189" s="93"/>
      <c r="IT189" s="93"/>
      <c r="IU189" s="93"/>
      <c r="IV189" s="93"/>
      <c r="IW189" s="93"/>
      <c r="IX189" s="93"/>
      <c r="IY189" s="93"/>
      <c r="IZ189" s="93"/>
    </row>
    <row r="190" spans="1:260" s="95" customFormat="1">
      <c r="A190" s="93"/>
      <c r="B190" s="183"/>
      <c r="C190" s="183"/>
      <c r="D190" s="183"/>
      <c r="E190" s="158"/>
      <c r="F190" s="158"/>
      <c r="G190" s="158"/>
      <c r="H190" s="158"/>
      <c r="I190" s="158"/>
      <c r="J190" s="158"/>
      <c r="K190" s="158"/>
      <c r="L190" s="158"/>
      <c r="M190" s="158"/>
      <c r="N190" s="158"/>
      <c r="O190" s="158"/>
      <c r="P190" s="228"/>
      <c r="Q190" s="158"/>
      <c r="R190" s="158"/>
      <c r="S190" s="207"/>
      <c r="T190" s="207"/>
      <c r="U190" s="207"/>
      <c r="V190" s="207"/>
      <c r="W190" s="207"/>
      <c r="X190" s="207"/>
      <c r="Y190" s="207"/>
      <c r="Z190" s="207"/>
      <c r="AA190" s="207"/>
      <c r="AB190" s="207"/>
      <c r="AC190" s="207"/>
      <c r="AD190" s="207"/>
      <c r="AE190" s="207"/>
      <c r="AF190" s="207"/>
      <c r="AG190" s="207"/>
      <c r="AH190" s="207"/>
      <c r="AI190" s="207"/>
      <c r="AJ190" s="207"/>
      <c r="AK190" s="207"/>
      <c r="AL190" s="207"/>
      <c r="AM190" s="94"/>
      <c r="AN190" s="94"/>
      <c r="AO190" s="94"/>
      <c r="AP190" s="94"/>
      <c r="AQ190" s="94"/>
      <c r="AR190" s="94"/>
      <c r="AS190" s="94"/>
      <c r="AT190" s="94"/>
      <c r="AU190" s="94"/>
      <c r="AV190" s="94"/>
      <c r="AW190" s="94"/>
      <c r="AX190" s="94"/>
      <c r="AY190" s="94"/>
      <c r="AZ190" s="93"/>
      <c r="BA190" s="93"/>
      <c r="BB190" s="93"/>
      <c r="BC190" s="93"/>
      <c r="BD190" s="93"/>
      <c r="BE190" s="93"/>
      <c r="BF190" s="93"/>
      <c r="BG190" s="93"/>
      <c r="BH190" s="93"/>
      <c r="BI190" s="93"/>
      <c r="BJ190" s="93"/>
      <c r="BK190" s="93"/>
      <c r="BL190" s="93"/>
      <c r="BM190" s="93"/>
      <c r="BN190" s="93"/>
      <c r="BO190" s="93"/>
      <c r="BP190" s="93"/>
      <c r="BQ190" s="93"/>
      <c r="BR190" s="93"/>
      <c r="BS190" s="93"/>
      <c r="BT190" s="93"/>
      <c r="BU190" s="93"/>
      <c r="BV190" s="93"/>
      <c r="BW190" s="93"/>
      <c r="BX190" s="93"/>
      <c r="BY190" s="93"/>
      <c r="BZ190" s="93"/>
      <c r="CA190" s="93"/>
      <c r="CB190" s="93"/>
      <c r="CC190" s="93"/>
      <c r="CD190" s="93"/>
      <c r="CE190" s="93"/>
      <c r="CF190" s="93"/>
      <c r="CG190" s="93"/>
      <c r="CH190" s="93"/>
      <c r="CI190" s="93"/>
      <c r="CJ190" s="93"/>
      <c r="CK190" s="93"/>
      <c r="CL190" s="93"/>
      <c r="CM190" s="93"/>
      <c r="CN190" s="93"/>
      <c r="CO190" s="93"/>
      <c r="CP190" s="93"/>
      <c r="CQ190" s="93"/>
      <c r="CR190" s="93"/>
      <c r="CS190" s="93"/>
      <c r="CT190" s="93"/>
      <c r="CU190" s="93"/>
      <c r="CV190" s="93"/>
      <c r="CW190" s="93"/>
      <c r="CX190" s="93"/>
      <c r="CY190" s="93"/>
      <c r="CZ190" s="93"/>
      <c r="DA190" s="93"/>
      <c r="DB190" s="93"/>
      <c r="DC190" s="93"/>
      <c r="DD190" s="93"/>
      <c r="DE190" s="93"/>
      <c r="DF190" s="93"/>
      <c r="DG190" s="93"/>
      <c r="DH190" s="93"/>
      <c r="DI190" s="93"/>
      <c r="DJ190" s="93"/>
      <c r="DK190" s="93"/>
      <c r="DL190" s="93"/>
      <c r="DM190" s="93"/>
      <c r="DN190" s="93"/>
      <c r="DO190" s="93"/>
      <c r="DP190" s="93"/>
      <c r="DQ190" s="93"/>
      <c r="DR190" s="93"/>
      <c r="DS190" s="93"/>
      <c r="DT190" s="93"/>
      <c r="DU190" s="93"/>
      <c r="DV190" s="93"/>
      <c r="DW190" s="93"/>
      <c r="DX190" s="93"/>
      <c r="DY190" s="93"/>
      <c r="DZ190" s="93"/>
      <c r="EA190" s="93"/>
      <c r="EB190" s="93"/>
      <c r="EC190" s="93"/>
      <c r="ED190" s="93"/>
      <c r="EE190" s="93"/>
      <c r="EF190" s="93"/>
      <c r="EG190" s="93"/>
      <c r="EH190" s="93"/>
      <c r="EI190" s="93"/>
      <c r="EJ190" s="93"/>
      <c r="EK190" s="93"/>
      <c r="EL190" s="93"/>
      <c r="EM190" s="93"/>
      <c r="EN190" s="93"/>
      <c r="EO190" s="93"/>
      <c r="EP190" s="93"/>
      <c r="EQ190" s="93"/>
      <c r="ER190" s="93"/>
      <c r="ES190" s="93"/>
      <c r="ET190" s="93"/>
      <c r="EU190" s="93"/>
      <c r="EV190" s="93"/>
      <c r="EW190" s="93"/>
      <c r="EX190" s="93"/>
      <c r="EY190" s="93"/>
      <c r="EZ190" s="93"/>
      <c r="FA190" s="93"/>
      <c r="FB190" s="93"/>
      <c r="FC190" s="93"/>
      <c r="FD190" s="93"/>
      <c r="FE190" s="93"/>
      <c r="FF190" s="93"/>
      <c r="FG190" s="93"/>
      <c r="FH190" s="93"/>
      <c r="FI190" s="93"/>
      <c r="FJ190" s="93"/>
      <c r="FK190" s="93"/>
      <c r="FL190" s="93"/>
      <c r="FM190" s="93"/>
      <c r="FN190" s="93"/>
      <c r="FO190" s="93"/>
      <c r="FP190" s="93"/>
      <c r="FQ190" s="93"/>
      <c r="FR190" s="93"/>
      <c r="FS190" s="93"/>
      <c r="FT190" s="93"/>
      <c r="FU190" s="93"/>
      <c r="FV190" s="93"/>
      <c r="FW190" s="93"/>
      <c r="FX190" s="93"/>
      <c r="FY190" s="93"/>
      <c r="FZ190" s="93"/>
      <c r="GA190" s="93"/>
      <c r="GB190" s="93"/>
      <c r="GC190" s="93"/>
      <c r="GD190" s="93"/>
      <c r="GE190" s="93"/>
      <c r="GF190" s="93"/>
      <c r="GG190" s="93"/>
      <c r="GH190" s="93"/>
      <c r="GI190" s="93"/>
      <c r="GJ190" s="93"/>
      <c r="GK190" s="93"/>
      <c r="GL190" s="93"/>
      <c r="GM190" s="93"/>
      <c r="GN190" s="93"/>
      <c r="GO190" s="93"/>
      <c r="GP190" s="93"/>
      <c r="GQ190" s="93"/>
      <c r="GR190" s="93"/>
      <c r="GS190" s="93"/>
      <c r="GT190" s="93"/>
      <c r="GU190" s="93"/>
      <c r="GV190" s="93"/>
      <c r="GW190" s="93"/>
      <c r="GX190" s="93"/>
      <c r="GY190" s="93"/>
      <c r="GZ190" s="93"/>
      <c r="HA190" s="93"/>
      <c r="HB190" s="93"/>
      <c r="HC190" s="93"/>
      <c r="HD190" s="93"/>
      <c r="HE190" s="93"/>
      <c r="HF190" s="93"/>
      <c r="HG190" s="93"/>
      <c r="HH190" s="93"/>
      <c r="HI190" s="93"/>
      <c r="HJ190" s="93"/>
      <c r="HK190" s="93"/>
      <c r="HL190" s="93"/>
      <c r="HM190" s="93"/>
      <c r="HN190" s="93"/>
      <c r="HO190" s="93"/>
      <c r="HP190" s="93"/>
      <c r="HQ190" s="93"/>
      <c r="HR190" s="93"/>
      <c r="HS190" s="93"/>
      <c r="HT190" s="93"/>
      <c r="HU190" s="93"/>
      <c r="HV190" s="93"/>
      <c r="HW190" s="93"/>
      <c r="HX190" s="93"/>
      <c r="HY190" s="93"/>
      <c r="HZ190" s="93"/>
      <c r="IA190" s="93"/>
      <c r="IB190" s="93"/>
      <c r="IC190" s="93"/>
      <c r="ID190" s="93"/>
      <c r="IE190" s="93"/>
      <c r="IF190" s="93"/>
      <c r="IG190" s="93"/>
      <c r="IH190" s="93"/>
      <c r="II190" s="93"/>
      <c r="IJ190" s="93"/>
      <c r="IK190" s="93"/>
      <c r="IL190" s="93"/>
      <c r="IM190" s="93"/>
      <c r="IN190" s="93"/>
      <c r="IO190" s="93"/>
      <c r="IP190" s="93"/>
      <c r="IQ190" s="93"/>
      <c r="IR190" s="93"/>
      <c r="IS190" s="93"/>
      <c r="IT190" s="93"/>
      <c r="IU190" s="93"/>
      <c r="IV190" s="93"/>
      <c r="IW190" s="93"/>
      <c r="IX190" s="93"/>
      <c r="IY190" s="93"/>
      <c r="IZ190" s="93"/>
    </row>
    <row r="191" spans="1:260" s="95" customFormat="1">
      <c r="A191" s="93"/>
      <c r="B191" s="183"/>
      <c r="C191" s="183"/>
      <c r="D191" s="183"/>
      <c r="E191" s="158"/>
      <c r="F191" s="158"/>
      <c r="G191" s="158"/>
      <c r="H191" s="158"/>
      <c r="I191" s="158"/>
      <c r="J191" s="158"/>
      <c r="K191" s="158"/>
      <c r="L191" s="158"/>
      <c r="M191" s="158"/>
      <c r="N191" s="158"/>
      <c r="O191" s="158"/>
      <c r="P191" s="228"/>
      <c r="Q191" s="158"/>
      <c r="R191" s="158"/>
      <c r="S191" s="207"/>
      <c r="T191" s="207"/>
      <c r="U191" s="207"/>
      <c r="V191" s="207"/>
      <c r="W191" s="207"/>
      <c r="X191" s="207"/>
      <c r="Y191" s="207"/>
      <c r="Z191" s="207"/>
      <c r="AA191" s="207"/>
      <c r="AB191" s="207"/>
      <c r="AC191" s="207"/>
      <c r="AD191" s="207"/>
      <c r="AE191" s="207"/>
      <c r="AF191" s="207"/>
      <c r="AG191" s="207"/>
      <c r="AH191" s="207"/>
      <c r="AI191" s="207"/>
      <c r="AJ191" s="207"/>
      <c r="AK191" s="207"/>
      <c r="AL191" s="207"/>
      <c r="AM191" s="94"/>
      <c r="AN191" s="94"/>
      <c r="AO191" s="94"/>
      <c r="AP191" s="94"/>
      <c r="AQ191" s="94"/>
      <c r="AR191" s="94"/>
      <c r="AS191" s="94"/>
      <c r="AT191" s="94"/>
      <c r="AU191" s="94"/>
      <c r="AV191" s="94"/>
      <c r="AW191" s="94"/>
      <c r="AX191" s="94"/>
      <c r="AY191" s="94"/>
      <c r="AZ191" s="93"/>
      <c r="BA191" s="93"/>
      <c r="BB191" s="93"/>
      <c r="BC191" s="93"/>
      <c r="BD191" s="93"/>
      <c r="BE191" s="93"/>
      <c r="BF191" s="93"/>
      <c r="BG191" s="93"/>
      <c r="BH191" s="93"/>
      <c r="BI191" s="93"/>
      <c r="BJ191" s="93"/>
      <c r="BK191" s="93"/>
      <c r="BL191" s="93"/>
      <c r="BM191" s="93"/>
      <c r="BN191" s="93"/>
      <c r="BO191" s="93"/>
      <c r="BP191" s="93"/>
      <c r="BQ191" s="93"/>
      <c r="BR191" s="93"/>
      <c r="BS191" s="93"/>
      <c r="BT191" s="93"/>
      <c r="BU191" s="93"/>
      <c r="BV191" s="93"/>
      <c r="BW191" s="93"/>
      <c r="BX191" s="93"/>
      <c r="BY191" s="93"/>
      <c r="BZ191" s="93"/>
      <c r="CA191" s="93"/>
      <c r="CB191" s="93"/>
      <c r="CC191" s="93"/>
      <c r="CD191" s="93"/>
      <c r="CE191" s="93"/>
      <c r="CF191" s="93"/>
      <c r="CG191" s="93"/>
      <c r="CH191" s="93"/>
      <c r="CI191" s="93"/>
      <c r="CJ191" s="93"/>
      <c r="CK191" s="93"/>
      <c r="CL191" s="93"/>
      <c r="CM191" s="93"/>
      <c r="CN191" s="93"/>
      <c r="CO191" s="93"/>
      <c r="CP191" s="93"/>
      <c r="CQ191" s="93"/>
      <c r="CR191" s="93"/>
      <c r="CS191" s="93"/>
      <c r="CT191" s="93"/>
      <c r="CU191" s="93"/>
      <c r="CV191" s="93"/>
      <c r="CW191" s="93"/>
      <c r="CX191" s="93"/>
      <c r="CY191" s="93"/>
      <c r="CZ191" s="93"/>
      <c r="DA191" s="93"/>
      <c r="DB191" s="93"/>
      <c r="DC191" s="93"/>
      <c r="DD191" s="93"/>
      <c r="DE191" s="93"/>
      <c r="DF191" s="93"/>
      <c r="DG191" s="93"/>
      <c r="DH191" s="93"/>
      <c r="DI191" s="93"/>
      <c r="DJ191" s="93"/>
      <c r="DK191" s="93"/>
      <c r="DL191" s="93"/>
      <c r="DM191" s="93"/>
      <c r="DN191" s="93"/>
      <c r="DO191" s="93"/>
      <c r="DP191" s="93"/>
      <c r="DQ191" s="93"/>
      <c r="DR191" s="93"/>
      <c r="DS191" s="93"/>
      <c r="DT191" s="93"/>
      <c r="DU191" s="93"/>
      <c r="DV191" s="93"/>
      <c r="DW191" s="93"/>
      <c r="DX191" s="93"/>
      <c r="DY191" s="93"/>
      <c r="DZ191" s="93"/>
      <c r="EA191" s="93"/>
      <c r="EB191" s="93"/>
      <c r="EC191" s="93"/>
      <c r="ED191" s="93"/>
      <c r="EE191" s="93"/>
      <c r="EF191" s="93"/>
      <c r="EG191" s="93"/>
      <c r="EH191" s="93"/>
      <c r="EI191" s="93"/>
      <c r="EJ191" s="93"/>
      <c r="EK191" s="93"/>
      <c r="EL191" s="93"/>
      <c r="EM191" s="93"/>
      <c r="EN191" s="93"/>
      <c r="EO191" s="93"/>
      <c r="EP191" s="93"/>
      <c r="EQ191" s="93"/>
      <c r="ER191" s="93"/>
      <c r="ES191" s="93"/>
      <c r="ET191" s="93"/>
      <c r="EU191" s="93"/>
      <c r="EV191" s="93"/>
      <c r="EW191" s="93"/>
      <c r="EX191" s="93"/>
      <c r="EY191" s="93"/>
      <c r="EZ191" s="93"/>
      <c r="FA191" s="93"/>
      <c r="FB191" s="93"/>
      <c r="FC191" s="93"/>
      <c r="FD191" s="93"/>
      <c r="FE191" s="93"/>
      <c r="FF191" s="93"/>
      <c r="FG191" s="93"/>
      <c r="FH191" s="93"/>
      <c r="FI191" s="93"/>
      <c r="FJ191" s="93"/>
      <c r="FK191" s="93"/>
      <c r="FL191" s="93"/>
      <c r="FM191" s="93"/>
      <c r="FN191" s="93"/>
      <c r="FO191" s="93"/>
      <c r="FP191" s="93"/>
      <c r="FQ191" s="93"/>
      <c r="FR191" s="93"/>
      <c r="FS191" s="93"/>
      <c r="FT191" s="93"/>
      <c r="FU191" s="93"/>
      <c r="FV191" s="93"/>
      <c r="FW191" s="93"/>
      <c r="FX191" s="93"/>
      <c r="FY191" s="93"/>
      <c r="FZ191" s="93"/>
      <c r="GA191" s="93"/>
      <c r="GB191" s="93"/>
      <c r="GC191" s="93"/>
      <c r="GD191" s="93"/>
      <c r="GE191" s="93"/>
      <c r="GF191" s="93"/>
      <c r="GG191" s="93"/>
      <c r="GH191" s="93"/>
      <c r="GI191" s="93"/>
      <c r="GJ191" s="93"/>
      <c r="GK191" s="93"/>
      <c r="GL191" s="93"/>
      <c r="GM191" s="93"/>
      <c r="GN191" s="93"/>
      <c r="GO191" s="93"/>
      <c r="GP191" s="93"/>
      <c r="GQ191" s="93"/>
      <c r="GR191" s="93"/>
      <c r="GS191" s="93"/>
      <c r="GT191" s="93"/>
      <c r="GU191" s="93"/>
      <c r="GV191" s="93"/>
      <c r="GW191" s="93"/>
      <c r="GX191" s="93"/>
      <c r="GY191" s="93"/>
      <c r="GZ191" s="93"/>
      <c r="HA191" s="93"/>
      <c r="HB191" s="93"/>
      <c r="HC191" s="93"/>
      <c r="HD191" s="93"/>
      <c r="HE191" s="93"/>
      <c r="HF191" s="93"/>
      <c r="HG191" s="93"/>
      <c r="HH191" s="93"/>
      <c r="HI191" s="93"/>
      <c r="HJ191" s="93"/>
      <c r="HK191" s="93"/>
      <c r="HL191" s="93"/>
      <c r="HM191" s="93"/>
      <c r="HN191" s="93"/>
      <c r="HO191" s="93"/>
      <c r="HP191" s="93"/>
      <c r="HQ191" s="93"/>
      <c r="HR191" s="93"/>
      <c r="HS191" s="93"/>
      <c r="HT191" s="93"/>
      <c r="HU191" s="93"/>
      <c r="HV191" s="93"/>
      <c r="HW191" s="93"/>
      <c r="HX191" s="93"/>
      <c r="HY191" s="93"/>
      <c r="HZ191" s="93"/>
      <c r="IA191" s="93"/>
      <c r="IB191" s="93"/>
      <c r="IC191" s="93"/>
      <c r="ID191" s="93"/>
      <c r="IE191" s="93"/>
      <c r="IF191" s="93"/>
      <c r="IG191" s="93"/>
      <c r="IH191" s="93"/>
      <c r="II191" s="93"/>
      <c r="IJ191" s="93"/>
      <c r="IK191" s="93"/>
      <c r="IL191" s="93"/>
      <c r="IM191" s="93"/>
      <c r="IN191" s="93"/>
      <c r="IO191" s="93"/>
      <c r="IP191" s="93"/>
      <c r="IQ191" s="93"/>
      <c r="IR191" s="93"/>
      <c r="IS191" s="93"/>
      <c r="IT191" s="93"/>
      <c r="IU191" s="93"/>
      <c r="IV191" s="93"/>
      <c r="IW191" s="93"/>
      <c r="IX191" s="93"/>
      <c r="IY191" s="93"/>
      <c r="IZ191" s="93"/>
    </row>
    <row r="192" spans="1:260" s="95" customFormat="1">
      <c r="A192" s="93"/>
      <c r="B192" s="183"/>
      <c r="C192" s="183"/>
      <c r="D192" s="183"/>
      <c r="E192" s="158"/>
      <c r="F192" s="158"/>
      <c r="G192" s="158"/>
      <c r="H192" s="158"/>
      <c r="I192" s="158"/>
      <c r="J192" s="158"/>
      <c r="K192" s="158"/>
      <c r="L192" s="158"/>
      <c r="M192" s="158"/>
      <c r="N192" s="158"/>
      <c r="O192" s="158"/>
      <c r="P192" s="228"/>
      <c r="Q192" s="158"/>
      <c r="R192" s="158"/>
      <c r="S192" s="207"/>
      <c r="T192" s="207"/>
      <c r="U192" s="207"/>
      <c r="V192" s="207"/>
      <c r="W192" s="207"/>
      <c r="X192" s="207"/>
      <c r="Y192" s="207"/>
      <c r="Z192" s="207"/>
      <c r="AA192" s="207"/>
      <c r="AB192" s="207"/>
      <c r="AC192" s="207"/>
      <c r="AD192" s="207"/>
      <c r="AE192" s="207"/>
      <c r="AF192" s="207"/>
      <c r="AG192" s="207"/>
      <c r="AH192" s="207"/>
      <c r="AI192" s="207"/>
      <c r="AJ192" s="207"/>
      <c r="AK192" s="207"/>
      <c r="AL192" s="207"/>
      <c r="AM192" s="94"/>
      <c r="AN192" s="94"/>
      <c r="AO192" s="94"/>
      <c r="AP192" s="94"/>
      <c r="AQ192" s="94"/>
      <c r="AR192" s="94"/>
      <c r="AS192" s="94"/>
      <c r="AT192" s="94"/>
      <c r="AU192" s="94"/>
      <c r="AV192" s="94"/>
      <c r="AW192" s="94"/>
      <c r="AX192" s="94"/>
      <c r="AY192" s="94"/>
      <c r="AZ192" s="93"/>
      <c r="BA192" s="93"/>
      <c r="BB192" s="93"/>
      <c r="BC192" s="93"/>
      <c r="BD192" s="93"/>
      <c r="BE192" s="93"/>
      <c r="BF192" s="93"/>
      <c r="BG192" s="93"/>
      <c r="BH192" s="93"/>
      <c r="BI192" s="93"/>
      <c r="BJ192" s="93"/>
      <c r="BK192" s="93"/>
      <c r="BL192" s="93"/>
      <c r="BM192" s="93"/>
      <c r="BN192" s="93"/>
      <c r="BO192" s="93"/>
      <c r="BP192" s="93"/>
      <c r="BQ192" s="93"/>
      <c r="BR192" s="93"/>
      <c r="BS192" s="93"/>
      <c r="BT192" s="93"/>
      <c r="BU192" s="93"/>
      <c r="BV192" s="93"/>
      <c r="BW192" s="93"/>
      <c r="BX192" s="93"/>
      <c r="BY192" s="93"/>
      <c r="BZ192" s="93"/>
      <c r="CA192" s="93"/>
      <c r="CB192" s="93"/>
      <c r="CC192" s="93"/>
      <c r="CD192" s="93"/>
      <c r="CE192" s="93"/>
      <c r="CF192" s="93"/>
      <c r="CG192" s="93"/>
      <c r="CH192" s="93"/>
      <c r="CI192" s="93"/>
      <c r="CJ192" s="93"/>
      <c r="CK192" s="93"/>
      <c r="CL192" s="93"/>
      <c r="CM192" s="93"/>
      <c r="CN192" s="93"/>
      <c r="CO192" s="93"/>
      <c r="CP192" s="93"/>
      <c r="CQ192" s="93"/>
      <c r="CR192" s="93"/>
      <c r="CS192" s="93"/>
      <c r="CT192" s="93"/>
      <c r="CU192" s="93"/>
      <c r="CV192" s="93"/>
      <c r="CW192" s="93"/>
      <c r="CX192" s="93"/>
      <c r="CY192" s="93"/>
      <c r="CZ192" s="93"/>
      <c r="DA192" s="93"/>
      <c r="DB192" s="93"/>
      <c r="DC192" s="93"/>
      <c r="DD192" s="93"/>
      <c r="DE192" s="93"/>
      <c r="DF192" s="93"/>
      <c r="DG192" s="93"/>
      <c r="DH192" s="93"/>
      <c r="DI192" s="93"/>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3"/>
      <c r="FG192" s="93"/>
      <c r="FH192" s="93"/>
      <c r="FI192" s="93"/>
      <c r="FJ192" s="93"/>
      <c r="FK192" s="93"/>
      <c r="FL192" s="93"/>
      <c r="FM192" s="93"/>
      <c r="FN192" s="93"/>
      <c r="FO192" s="93"/>
      <c r="FP192" s="93"/>
      <c r="FQ192" s="93"/>
      <c r="FR192" s="93"/>
      <c r="FS192" s="93"/>
      <c r="FT192" s="93"/>
      <c r="FU192" s="93"/>
      <c r="FV192" s="93"/>
      <c r="FW192" s="93"/>
      <c r="FX192" s="93"/>
      <c r="FY192" s="93"/>
      <c r="FZ192" s="93"/>
      <c r="GA192" s="93"/>
      <c r="GB192" s="93"/>
      <c r="GC192" s="93"/>
      <c r="GD192" s="93"/>
      <c r="GE192" s="93"/>
      <c r="GF192" s="93"/>
      <c r="GG192" s="93"/>
      <c r="GH192" s="93"/>
      <c r="GI192" s="93"/>
      <c r="GJ192" s="93"/>
      <c r="GK192" s="93"/>
      <c r="GL192" s="93"/>
      <c r="GM192" s="93"/>
      <c r="GN192" s="93"/>
      <c r="GO192" s="93"/>
      <c r="GP192" s="93"/>
      <c r="GQ192" s="93"/>
      <c r="GR192" s="93"/>
      <c r="GS192" s="93"/>
      <c r="GT192" s="93"/>
      <c r="GU192" s="93"/>
      <c r="GV192" s="93"/>
      <c r="GW192" s="93"/>
      <c r="GX192" s="93"/>
      <c r="GY192" s="93"/>
      <c r="GZ192" s="93"/>
      <c r="HA192" s="93"/>
      <c r="HB192" s="93"/>
      <c r="HC192" s="93"/>
      <c r="HD192" s="93"/>
      <c r="HE192" s="93"/>
      <c r="HF192" s="93"/>
      <c r="HG192" s="93"/>
      <c r="HH192" s="93"/>
      <c r="HI192" s="93"/>
      <c r="HJ192" s="93"/>
      <c r="HK192" s="93"/>
      <c r="HL192" s="93"/>
      <c r="HM192" s="93"/>
      <c r="HN192" s="93"/>
      <c r="HO192" s="93"/>
      <c r="HP192" s="93"/>
      <c r="HQ192" s="93"/>
      <c r="HR192" s="93"/>
      <c r="HS192" s="93"/>
      <c r="HT192" s="93"/>
      <c r="HU192" s="93"/>
      <c r="HV192" s="93"/>
      <c r="HW192" s="93"/>
      <c r="HX192" s="93"/>
      <c r="HY192" s="93"/>
      <c r="HZ192" s="93"/>
      <c r="IA192" s="93"/>
      <c r="IB192" s="93"/>
      <c r="IC192" s="93"/>
      <c r="ID192" s="93"/>
      <c r="IE192" s="93"/>
      <c r="IF192" s="93"/>
      <c r="IG192" s="93"/>
      <c r="IH192" s="93"/>
      <c r="II192" s="93"/>
      <c r="IJ192" s="93"/>
      <c r="IK192" s="93"/>
      <c r="IL192" s="93"/>
      <c r="IM192" s="93"/>
      <c r="IN192" s="93"/>
      <c r="IO192" s="93"/>
      <c r="IP192" s="93"/>
      <c r="IQ192" s="93"/>
      <c r="IR192" s="93"/>
      <c r="IS192" s="93"/>
      <c r="IT192" s="93"/>
      <c r="IU192" s="93"/>
      <c r="IV192" s="93"/>
      <c r="IW192" s="93"/>
      <c r="IX192" s="93"/>
      <c r="IY192" s="93"/>
      <c r="IZ192" s="93"/>
    </row>
    <row r="193" spans="1:260" s="95" customFormat="1">
      <c r="A193" s="93"/>
      <c r="B193" s="183"/>
      <c r="C193" s="183"/>
      <c r="D193" s="183"/>
      <c r="E193" s="158"/>
      <c r="F193" s="158"/>
      <c r="G193" s="158"/>
      <c r="H193" s="158"/>
      <c r="I193" s="158"/>
      <c r="J193" s="158"/>
      <c r="K193" s="158"/>
      <c r="L193" s="158"/>
      <c r="M193" s="158"/>
      <c r="N193" s="158"/>
      <c r="O193" s="158"/>
      <c r="P193" s="228"/>
      <c r="Q193" s="158"/>
      <c r="R193" s="158"/>
      <c r="S193" s="207"/>
      <c r="T193" s="207"/>
      <c r="U193" s="207"/>
      <c r="V193" s="207"/>
      <c r="W193" s="207"/>
      <c r="X193" s="207"/>
      <c r="Y193" s="207"/>
      <c r="Z193" s="207"/>
      <c r="AA193" s="207"/>
      <c r="AB193" s="207"/>
      <c r="AC193" s="207"/>
      <c r="AD193" s="207"/>
      <c r="AE193" s="207"/>
      <c r="AF193" s="207"/>
      <c r="AG193" s="207"/>
      <c r="AH193" s="207"/>
      <c r="AI193" s="207"/>
      <c r="AJ193" s="207"/>
      <c r="AK193" s="207"/>
      <c r="AL193" s="207"/>
      <c r="AM193" s="94"/>
      <c r="AN193" s="94"/>
      <c r="AO193" s="94"/>
      <c r="AP193" s="94"/>
      <c r="AQ193" s="94"/>
      <c r="AR193" s="94"/>
      <c r="AS193" s="94"/>
      <c r="AT193" s="94"/>
      <c r="AU193" s="94"/>
      <c r="AV193" s="94"/>
      <c r="AW193" s="94"/>
      <c r="AX193" s="94"/>
      <c r="AY193" s="94"/>
      <c r="AZ193" s="93"/>
      <c r="BA193" s="93"/>
      <c r="BB193" s="93"/>
      <c r="BC193" s="93"/>
      <c r="BD193" s="93"/>
      <c r="BE193" s="93"/>
      <c r="BF193" s="93"/>
      <c r="BG193" s="93"/>
      <c r="BH193" s="93"/>
      <c r="BI193" s="93"/>
      <c r="BJ193" s="93"/>
      <c r="BK193" s="93"/>
      <c r="BL193" s="93"/>
      <c r="BM193" s="93"/>
      <c r="BN193" s="93"/>
      <c r="BO193" s="93"/>
      <c r="BP193" s="93"/>
      <c r="BQ193" s="93"/>
      <c r="BR193" s="93"/>
      <c r="BS193" s="93"/>
      <c r="BT193" s="93"/>
      <c r="BU193" s="93"/>
      <c r="BV193" s="93"/>
      <c r="BW193" s="93"/>
      <c r="BX193" s="93"/>
      <c r="BY193" s="93"/>
      <c r="BZ193" s="93"/>
      <c r="CA193" s="93"/>
      <c r="CB193" s="93"/>
      <c r="CC193" s="93"/>
      <c r="CD193" s="93"/>
      <c r="CE193" s="93"/>
      <c r="CF193" s="93"/>
      <c r="CG193" s="93"/>
      <c r="CH193" s="93"/>
      <c r="CI193" s="93"/>
      <c r="CJ193" s="93"/>
      <c r="CK193" s="93"/>
      <c r="CL193" s="93"/>
      <c r="CM193" s="93"/>
      <c r="CN193" s="93"/>
      <c r="CO193" s="93"/>
      <c r="CP193" s="93"/>
      <c r="CQ193" s="93"/>
      <c r="CR193" s="93"/>
      <c r="CS193" s="93"/>
      <c r="CT193" s="93"/>
      <c r="CU193" s="93"/>
      <c r="CV193" s="93"/>
      <c r="CW193" s="93"/>
      <c r="CX193" s="93"/>
      <c r="CY193" s="93"/>
      <c r="CZ193" s="93"/>
      <c r="DA193" s="93"/>
      <c r="DB193" s="93"/>
      <c r="DC193" s="93"/>
      <c r="DD193" s="93"/>
      <c r="DE193" s="93"/>
      <c r="DF193" s="93"/>
      <c r="DG193" s="93"/>
      <c r="DH193" s="93"/>
      <c r="DI193" s="93"/>
      <c r="DJ193" s="93"/>
      <c r="DK193" s="93"/>
      <c r="DL193" s="93"/>
      <c r="DM193" s="93"/>
      <c r="DN193" s="93"/>
      <c r="DO193" s="93"/>
      <c r="DP193" s="93"/>
      <c r="DQ193" s="93"/>
      <c r="DR193" s="93"/>
      <c r="DS193" s="93"/>
      <c r="DT193" s="93"/>
      <c r="DU193" s="93"/>
      <c r="DV193" s="93"/>
      <c r="DW193" s="93"/>
      <c r="DX193" s="93"/>
      <c r="DY193" s="93"/>
      <c r="DZ193" s="93"/>
      <c r="EA193" s="93"/>
      <c r="EB193" s="93"/>
      <c r="EC193" s="93"/>
      <c r="ED193" s="93"/>
      <c r="EE193" s="93"/>
      <c r="EF193" s="93"/>
      <c r="EG193" s="93"/>
      <c r="EH193" s="93"/>
      <c r="EI193" s="93"/>
      <c r="EJ193" s="93"/>
      <c r="EK193" s="93"/>
      <c r="EL193" s="93"/>
      <c r="EM193" s="93"/>
      <c r="EN193" s="93"/>
      <c r="EO193" s="93"/>
      <c r="EP193" s="93"/>
      <c r="EQ193" s="93"/>
      <c r="ER193" s="93"/>
      <c r="ES193" s="93"/>
      <c r="ET193" s="93"/>
      <c r="EU193" s="93"/>
      <c r="EV193" s="93"/>
      <c r="EW193" s="93"/>
      <c r="EX193" s="93"/>
      <c r="EY193" s="93"/>
      <c r="EZ193" s="93"/>
      <c r="FA193" s="93"/>
      <c r="FB193" s="93"/>
      <c r="FC193" s="93"/>
      <c r="FD193" s="93"/>
      <c r="FE193" s="93"/>
      <c r="FF193" s="93"/>
      <c r="FG193" s="93"/>
      <c r="FH193" s="93"/>
      <c r="FI193" s="93"/>
      <c r="FJ193" s="93"/>
      <c r="FK193" s="93"/>
      <c r="FL193" s="93"/>
      <c r="FM193" s="93"/>
      <c r="FN193" s="93"/>
      <c r="FO193" s="93"/>
      <c r="FP193" s="93"/>
      <c r="FQ193" s="93"/>
      <c r="FR193" s="93"/>
      <c r="FS193" s="93"/>
      <c r="FT193" s="93"/>
      <c r="FU193" s="93"/>
      <c r="FV193" s="93"/>
      <c r="FW193" s="93"/>
      <c r="FX193" s="93"/>
      <c r="FY193" s="93"/>
      <c r="FZ193" s="93"/>
      <c r="GA193" s="93"/>
      <c r="GB193" s="93"/>
      <c r="GC193" s="93"/>
      <c r="GD193" s="93"/>
      <c r="GE193" s="93"/>
      <c r="GF193" s="93"/>
      <c r="GG193" s="93"/>
      <c r="GH193" s="93"/>
      <c r="GI193" s="93"/>
      <c r="GJ193" s="93"/>
      <c r="GK193" s="93"/>
      <c r="GL193" s="93"/>
      <c r="GM193" s="93"/>
      <c r="GN193" s="93"/>
      <c r="GO193" s="93"/>
      <c r="GP193" s="93"/>
      <c r="GQ193" s="93"/>
      <c r="GR193" s="93"/>
      <c r="GS193" s="93"/>
      <c r="GT193" s="93"/>
      <c r="GU193" s="93"/>
      <c r="GV193" s="93"/>
      <c r="GW193" s="93"/>
      <c r="GX193" s="93"/>
      <c r="GY193" s="93"/>
      <c r="GZ193" s="93"/>
      <c r="HA193" s="93"/>
      <c r="HB193" s="93"/>
      <c r="HC193" s="93"/>
      <c r="HD193" s="93"/>
      <c r="HE193" s="93"/>
      <c r="HF193" s="93"/>
      <c r="HG193" s="93"/>
      <c r="HH193" s="93"/>
      <c r="HI193" s="93"/>
      <c r="HJ193" s="93"/>
      <c r="HK193" s="93"/>
      <c r="HL193" s="93"/>
      <c r="HM193" s="93"/>
      <c r="HN193" s="93"/>
      <c r="HO193" s="93"/>
      <c r="HP193" s="93"/>
      <c r="HQ193" s="93"/>
      <c r="HR193" s="93"/>
      <c r="HS193" s="93"/>
      <c r="HT193" s="93"/>
      <c r="HU193" s="93"/>
      <c r="HV193" s="93"/>
      <c r="HW193" s="93"/>
      <c r="HX193" s="93"/>
      <c r="HY193" s="93"/>
      <c r="HZ193" s="93"/>
      <c r="IA193" s="93"/>
      <c r="IB193" s="93"/>
      <c r="IC193" s="93"/>
      <c r="ID193" s="93"/>
      <c r="IE193" s="93"/>
      <c r="IF193" s="93"/>
      <c r="IG193" s="93"/>
      <c r="IH193" s="93"/>
      <c r="II193" s="93"/>
      <c r="IJ193" s="93"/>
      <c r="IK193" s="93"/>
      <c r="IL193" s="93"/>
      <c r="IM193" s="93"/>
      <c r="IN193" s="93"/>
      <c r="IO193" s="93"/>
      <c r="IP193" s="93"/>
      <c r="IQ193" s="93"/>
      <c r="IR193" s="93"/>
      <c r="IS193" s="93"/>
      <c r="IT193" s="93"/>
      <c r="IU193" s="93"/>
      <c r="IV193" s="93"/>
      <c r="IW193" s="93"/>
      <c r="IX193" s="93"/>
      <c r="IY193" s="93"/>
      <c r="IZ193" s="93"/>
    </row>
    <row r="194" spans="1:260" s="95" customFormat="1">
      <c r="A194" s="93"/>
      <c r="B194" s="183"/>
      <c r="C194" s="183"/>
      <c r="D194" s="183"/>
      <c r="E194" s="158"/>
      <c r="F194" s="158"/>
      <c r="G194" s="158"/>
      <c r="H194" s="158"/>
      <c r="I194" s="158"/>
      <c r="J194" s="158"/>
      <c r="K194" s="158"/>
      <c r="L194" s="158"/>
      <c r="M194" s="158"/>
      <c r="N194" s="158"/>
      <c r="O194" s="158"/>
      <c r="P194" s="228"/>
      <c r="Q194" s="158"/>
      <c r="R194" s="158"/>
      <c r="S194" s="207"/>
      <c r="T194" s="207"/>
      <c r="U194" s="207"/>
      <c r="V194" s="207"/>
      <c r="W194" s="207"/>
      <c r="X194" s="207"/>
      <c r="Y194" s="207"/>
      <c r="Z194" s="207"/>
      <c r="AA194" s="207"/>
      <c r="AB194" s="207"/>
      <c r="AC194" s="207"/>
      <c r="AD194" s="207"/>
      <c r="AE194" s="207"/>
      <c r="AF194" s="207"/>
      <c r="AG194" s="207"/>
      <c r="AH194" s="207"/>
      <c r="AI194" s="207"/>
      <c r="AJ194" s="207"/>
      <c r="AK194" s="207"/>
      <c r="AL194" s="207"/>
      <c r="AM194" s="94"/>
      <c r="AN194" s="94"/>
      <c r="AO194" s="94"/>
      <c r="AP194" s="94"/>
      <c r="AQ194" s="94"/>
      <c r="AR194" s="94"/>
      <c r="AS194" s="94"/>
      <c r="AT194" s="94"/>
      <c r="AU194" s="94"/>
      <c r="AV194" s="94"/>
      <c r="AW194" s="94"/>
      <c r="AX194" s="94"/>
      <c r="AY194" s="94"/>
      <c r="AZ194" s="93"/>
      <c r="BA194" s="93"/>
      <c r="BB194" s="93"/>
      <c r="BC194" s="93"/>
      <c r="BD194" s="93"/>
      <c r="BE194" s="93"/>
      <c r="BF194" s="93"/>
      <c r="BG194" s="93"/>
      <c r="BH194" s="93"/>
      <c r="BI194" s="93"/>
      <c r="BJ194" s="93"/>
      <c r="BK194" s="93"/>
      <c r="BL194" s="93"/>
      <c r="BM194" s="93"/>
      <c r="BN194" s="93"/>
      <c r="BO194" s="93"/>
      <c r="BP194" s="93"/>
      <c r="BQ194" s="93"/>
      <c r="BR194" s="93"/>
      <c r="BS194" s="93"/>
      <c r="BT194" s="93"/>
      <c r="BU194" s="93"/>
      <c r="BV194" s="93"/>
      <c r="BW194" s="93"/>
      <c r="BX194" s="93"/>
      <c r="BY194" s="93"/>
      <c r="BZ194" s="93"/>
      <c r="CA194" s="93"/>
      <c r="CB194" s="93"/>
      <c r="CC194" s="93"/>
      <c r="CD194" s="93"/>
      <c r="CE194" s="93"/>
      <c r="CF194" s="93"/>
      <c r="CG194" s="93"/>
      <c r="CH194" s="93"/>
      <c r="CI194" s="93"/>
      <c r="CJ194" s="93"/>
      <c r="CK194" s="93"/>
      <c r="CL194" s="93"/>
      <c r="CM194" s="93"/>
      <c r="CN194" s="93"/>
      <c r="CO194" s="93"/>
      <c r="CP194" s="93"/>
      <c r="CQ194" s="93"/>
      <c r="CR194" s="93"/>
      <c r="CS194" s="93"/>
      <c r="CT194" s="93"/>
      <c r="CU194" s="93"/>
      <c r="CV194" s="93"/>
      <c r="CW194" s="93"/>
      <c r="CX194" s="93"/>
      <c r="CY194" s="93"/>
      <c r="CZ194" s="93"/>
      <c r="DA194" s="93"/>
      <c r="DB194" s="93"/>
      <c r="DC194" s="93"/>
      <c r="DD194" s="93"/>
      <c r="DE194" s="93"/>
      <c r="DF194" s="93"/>
      <c r="DG194" s="93"/>
      <c r="DH194" s="93"/>
      <c r="DI194" s="93"/>
      <c r="DJ194" s="93"/>
      <c r="DK194" s="93"/>
      <c r="DL194" s="93"/>
      <c r="DM194" s="93"/>
      <c r="DN194" s="93"/>
      <c r="DO194" s="93"/>
      <c r="DP194" s="93"/>
      <c r="DQ194" s="93"/>
      <c r="DR194" s="93"/>
      <c r="DS194" s="93"/>
      <c r="DT194" s="93"/>
      <c r="DU194" s="93"/>
      <c r="DV194" s="93"/>
      <c r="DW194" s="93"/>
      <c r="DX194" s="93"/>
      <c r="DY194" s="93"/>
      <c r="DZ194" s="93"/>
      <c r="EA194" s="93"/>
      <c r="EB194" s="93"/>
      <c r="EC194" s="93"/>
      <c r="ED194" s="93"/>
      <c r="EE194" s="93"/>
      <c r="EF194" s="93"/>
      <c r="EG194" s="93"/>
      <c r="EH194" s="93"/>
      <c r="EI194" s="93"/>
      <c r="EJ194" s="93"/>
      <c r="EK194" s="93"/>
      <c r="EL194" s="93"/>
      <c r="EM194" s="93"/>
      <c r="EN194" s="93"/>
      <c r="EO194" s="93"/>
      <c r="EP194" s="93"/>
      <c r="EQ194" s="93"/>
      <c r="ER194" s="93"/>
      <c r="ES194" s="93"/>
      <c r="ET194" s="93"/>
      <c r="EU194" s="93"/>
      <c r="EV194" s="93"/>
      <c r="EW194" s="93"/>
      <c r="EX194" s="93"/>
      <c r="EY194" s="93"/>
      <c r="EZ194" s="93"/>
      <c r="FA194" s="93"/>
      <c r="FB194" s="93"/>
      <c r="FC194" s="93"/>
      <c r="FD194" s="93"/>
      <c r="FE194" s="93"/>
      <c r="FF194" s="93"/>
      <c r="FG194" s="93"/>
      <c r="FH194" s="93"/>
      <c r="FI194" s="93"/>
      <c r="FJ194" s="93"/>
      <c r="FK194" s="93"/>
      <c r="FL194" s="93"/>
      <c r="FM194" s="93"/>
      <c r="FN194" s="93"/>
      <c r="FO194" s="93"/>
      <c r="FP194" s="93"/>
      <c r="FQ194" s="93"/>
      <c r="FR194" s="93"/>
      <c r="FS194" s="93"/>
      <c r="FT194" s="93"/>
      <c r="FU194" s="93"/>
      <c r="FV194" s="93"/>
      <c r="FW194" s="93"/>
      <c r="FX194" s="93"/>
      <c r="FY194" s="93"/>
      <c r="FZ194" s="93"/>
      <c r="GA194" s="93"/>
      <c r="GB194" s="93"/>
      <c r="GC194" s="93"/>
      <c r="GD194" s="93"/>
      <c r="GE194" s="93"/>
      <c r="GF194" s="93"/>
      <c r="GG194" s="93"/>
      <c r="GH194" s="93"/>
      <c r="GI194" s="93"/>
      <c r="GJ194" s="93"/>
      <c r="GK194" s="93"/>
      <c r="GL194" s="93"/>
      <c r="GM194" s="93"/>
      <c r="GN194" s="93"/>
      <c r="GO194" s="93"/>
      <c r="GP194" s="93"/>
      <c r="GQ194" s="93"/>
      <c r="GR194" s="93"/>
      <c r="GS194" s="93"/>
      <c r="GT194" s="93"/>
      <c r="GU194" s="93"/>
      <c r="GV194" s="93"/>
      <c r="GW194" s="93"/>
      <c r="GX194" s="93"/>
      <c r="GY194" s="93"/>
      <c r="GZ194" s="93"/>
      <c r="HA194" s="93"/>
      <c r="HB194" s="93"/>
      <c r="HC194" s="93"/>
      <c r="HD194" s="93"/>
      <c r="HE194" s="93"/>
      <c r="HF194" s="93"/>
      <c r="HG194" s="93"/>
      <c r="HH194" s="93"/>
      <c r="HI194" s="93"/>
      <c r="HJ194" s="93"/>
      <c r="HK194" s="93"/>
      <c r="HL194" s="93"/>
      <c r="HM194" s="93"/>
      <c r="HN194" s="93"/>
      <c r="HO194" s="93"/>
      <c r="HP194" s="93"/>
      <c r="HQ194" s="93"/>
      <c r="HR194" s="93"/>
      <c r="HS194" s="93"/>
      <c r="HT194" s="93"/>
      <c r="HU194" s="93"/>
      <c r="HV194" s="93"/>
      <c r="HW194" s="93"/>
      <c r="HX194" s="93"/>
      <c r="HY194" s="93"/>
      <c r="HZ194" s="93"/>
      <c r="IA194" s="93"/>
      <c r="IB194" s="93"/>
      <c r="IC194" s="93"/>
      <c r="ID194" s="93"/>
      <c r="IE194" s="93"/>
      <c r="IF194" s="93"/>
      <c r="IG194" s="93"/>
      <c r="IH194" s="93"/>
      <c r="II194" s="93"/>
      <c r="IJ194" s="93"/>
      <c r="IK194" s="93"/>
      <c r="IL194" s="93"/>
      <c r="IM194" s="93"/>
      <c r="IN194" s="93"/>
      <c r="IO194" s="93"/>
      <c r="IP194" s="93"/>
      <c r="IQ194" s="93"/>
      <c r="IR194" s="93"/>
      <c r="IS194" s="93"/>
      <c r="IT194" s="93"/>
      <c r="IU194" s="93"/>
      <c r="IV194" s="93"/>
      <c r="IW194" s="93"/>
      <c r="IX194" s="93"/>
      <c r="IY194" s="93"/>
      <c r="IZ194" s="93"/>
    </row>
    <row r="195" spans="1:260" s="95" customFormat="1">
      <c r="A195" s="93"/>
      <c r="B195" s="183"/>
      <c r="C195" s="183"/>
      <c r="D195" s="183"/>
      <c r="E195" s="158"/>
      <c r="F195" s="158"/>
      <c r="G195" s="158"/>
      <c r="H195" s="158"/>
      <c r="I195" s="158"/>
      <c r="J195" s="158"/>
      <c r="K195" s="158"/>
      <c r="L195" s="158"/>
      <c r="M195" s="158"/>
      <c r="N195" s="158"/>
      <c r="O195" s="158"/>
      <c r="P195" s="228"/>
      <c r="Q195" s="158"/>
      <c r="R195" s="158"/>
      <c r="S195" s="207"/>
      <c r="T195" s="207"/>
      <c r="U195" s="207"/>
      <c r="V195" s="207"/>
      <c r="W195" s="207"/>
      <c r="X195" s="207"/>
      <c r="Y195" s="207"/>
      <c r="Z195" s="207"/>
      <c r="AA195" s="207"/>
      <c r="AB195" s="207"/>
      <c r="AC195" s="207"/>
      <c r="AD195" s="207"/>
      <c r="AE195" s="207"/>
      <c r="AF195" s="207"/>
      <c r="AG195" s="207"/>
      <c r="AH195" s="207"/>
      <c r="AI195" s="207"/>
      <c r="AJ195" s="207"/>
      <c r="AK195" s="207"/>
      <c r="AL195" s="207"/>
      <c r="AM195" s="94"/>
      <c r="AN195" s="94"/>
      <c r="AO195" s="94"/>
      <c r="AP195" s="94"/>
      <c r="AQ195" s="94"/>
      <c r="AR195" s="94"/>
      <c r="AS195" s="94"/>
      <c r="AT195" s="94"/>
      <c r="AU195" s="94"/>
      <c r="AV195" s="94"/>
      <c r="AW195" s="94"/>
      <c r="AX195" s="94"/>
      <c r="AY195" s="94"/>
      <c r="AZ195" s="93"/>
      <c r="BA195" s="93"/>
      <c r="BB195" s="93"/>
      <c r="BC195" s="93"/>
      <c r="BD195" s="93"/>
      <c r="BE195" s="93"/>
      <c r="BF195" s="93"/>
      <c r="BG195" s="93"/>
      <c r="BH195" s="93"/>
      <c r="BI195" s="93"/>
      <c r="BJ195" s="93"/>
      <c r="BK195" s="93"/>
      <c r="BL195" s="93"/>
      <c r="BM195" s="93"/>
      <c r="BN195" s="93"/>
      <c r="BO195" s="93"/>
      <c r="BP195" s="93"/>
      <c r="BQ195" s="93"/>
      <c r="BR195" s="93"/>
      <c r="BS195" s="93"/>
      <c r="BT195" s="93"/>
      <c r="BU195" s="93"/>
      <c r="BV195" s="93"/>
      <c r="BW195" s="93"/>
      <c r="BX195" s="93"/>
      <c r="BY195" s="93"/>
      <c r="BZ195" s="93"/>
      <c r="CA195" s="93"/>
      <c r="CB195" s="93"/>
      <c r="CC195" s="93"/>
      <c r="CD195" s="93"/>
      <c r="CE195" s="93"/>
      <c r="CF195" s="93"/>
      <c r="CG195" s="93"/>
      <c r="CH195" s="93"/>
      <c r="CI195" s="93"/>
      <c r="CJ195" s="93"/>
      <c r="CK195" s="93"/>
      <c r="CL195" s="93"/>
      <c r="CM195" s="93"/>
      <c r="CN195" s="93"/>
      <c r="CO195" s="93"/>
      <c r="CP195" s="93"/>
      <c r="CQ195" s="93"/>
      <c r="CR195" s="93"/>
      <c r="CS195" s="93"/>
      <c r="CT195" s="93"/>
      <c r="CU195" s="93"/>
      <c r="CV195" s="93"/>
      <c r="CW195" s="93"/>
      <c r="CX195" s="93"/>
      <c r="CY195" s="93"/>
      <c r="CZ195" s="93"/>
      <c r="DA195" s="93"/>
      <c r="DB195" s="93"/>
      <c r="DC195" s="93"/>
      <c r="DD195" s="93"/>
      <c r="DE195" s="93"/>
      <c r="DF195" s="93"/>
      <c r="DG195" s="93"/>
      <c r="DH195" s="93"/>
      <c r="DI195" s="93"/>
      <c r="DJ195" s="93"/>
      <c r="DK195" s="93"/>
      <c r="DL195" s="93"/>
      <c r="DM195" s="93"/>
      <c r="DN195" s="93"/>
      <c r="DO195" s="93"/>
      <c r="DP195" s="93"/>
      <c r="DQ195" s="93"/>
      <c r="DR195" s="93"/>
      <c r="DS195" s="93"/>
      <c r="DT195" s="93"/>
      <c r="DU195" s="93"/>
      <c r="DV195" s="93"/>
      <c r="DW195" s="93"/>
      <c r="DX195" s="93"/>
      <c r="DY195" s="93"/>
      <c r="DZ195" s="93"/>
      <c r="EA195" s="93"/>
      <c r="EB195" s="93"/>
      <c r="EC195" s="93"/>
      <c r="ED195" s="93"/>
      <c r="EE195" s="93"/>
      <c r="EF195" s="93"/>
      <c r="EG195" s="93"/>
      <c r="EH195" s="93"/>
      <c r="EI195" s="93"/>
      <c r="EJ195" s="93"/>
      <c r="EK195" s="93"/>
      <c r="EL195" s="93"/>
      <c r="EM195" s="93"/>
      <c r="EN195" s="93"/>
      <c r="EO195" s="93"/>
      <c r="EP195" s="93"/>
      <c r="EQ195" s="93"/>
      <c r="ER195" s="93"/>
      <c r="ES195" s="93"/>
      <c r="ET195" s="93"/>
      <c r="EU195" s="93"/>
      <c r="EV195" s="93"/>
      <c r="EW195" s="93"/>
      <c r="EX195" s="93"/>
      <c r="EY195" s="93"/>
      <c r="EZ195" s="93"/>
      <c r="FA195" s="93"/>
      <c r="FB195" s="93"/>
      <c r="FC195" s="93"/>
      <c r="FD195" s="93"/>
      <c r="FE195" s="93"/>
      <c r="FF195" s="93"/>
      <c r="FG195" s="93"/>
      <c r="FH195" s="93"/>
      <c r="FI195" s="93"/>
      <c r="FJ195" s="93"/>
      <c r="FK195" s="93"/>
      <c r="FL195" s="93"/>
      <c r="FM195" s="93"/>
      <c r="FN195" s="93"/>
      <c r="FO195" s="93"/>
      <c r="FP195" s="93"/>
      <c r="FQ195" s="93"/>
      <c r="FR195" s="93"/>
      <c r="FS195" s="93"/>
      <c r="FT195" s="93"/>
      <c r="FU195" s="93"/>
      <c r="FV195" s="93"/>
      <c r="FW195" s="93"/>
      <c r="FX195" s="93"/>
      <c r="FY195" s="93"/>
      <c r="FZ195" s="93"/>
      <c r="GA195" s="93"/>
      <c r="GB195" s="93"/>
      <c r="GC195" s="93"/>
      <c r="GD195" s="93"/>
      <c r="GE195" s="93"/>
      <c r="GF195" s="93"/>
      <c r="GG195" s="93"/>
      <c r="GH195" s="93"/>
      <c r="GI195" s="93"/>
      <c r="GJ195" s="93"/>
      <c r="GK195" s="93"/>
      <c r="GL195" s="93"/>
      <c r="GM195" s="93"/>
      <c r="GN195" s="93"/>
      <c r="GO195" s="93"/>
      <c r="GP195" s="93"/>
      <c r="GQ195" s="93"/>
      <c r="GR195" s="93"/>
      <c r="GS195" s="93"/>
      <c r="GT195" s="93"/>
      <c r="GU195" s="93"/>
      <c r="GV195" s="93"/>
      <c r="GW195" s="93"/>
      <c r="GX195" s="93"/>
      <c r="GY195" s="93"/>
      <c r="GZ195" s="93"/>
      <c r="HA195" s="93"/>
      <c r="HB195" s="93"/>
      <c r="HC195" s="93"/>
      <c r="HD195" s="93"/>
      <c r="HE195" s="93"/>
      <c r="HF195" s="93"/>
      <c r="HG195" s="93"/>
      <c r="HH195" s="93"/>
      <c r="HI195" s="93"/>
      <c r="HJ195" s="93"/>
      <c r="HK195" s="93"/>
      <c r="HL195" s="93"/>
      <c r="HM195" s="93"/>
      <c r="HN195" s="93"/>
      <c r="HO195" s="93"/>
      <c r="HP195" s="93"/>
      <c r="HQ195" s="93"/>
      <c r="HR195" s="93"/>
      <c r="HS195" s="93"/>
      <c r="HT195" s="93"/>
      <c r="HU195" s="93"/>
      <c r="HV195" s="93"/>
      <c r="HW195" s="93"/>
      <c r="HX195" s="93"/>
      <c r="HY195" s="93"/>
      <c r="HZ195" s="93"/>
      <c r="IA195" s="93"/>
      <c r="IB195" s="93"/>
      <c r="IC195" s="93"/>
      <c r="ID195" s="93"/>
      <c r="IE195" s="93"/>
      <c r="IF195" s="93"/>
      <c r="IG195" s="93"/>
      <c r="IH195" s="93"/>
      <c r="II195" s="93"/>
      <c r="IJ195" s="93"/>
      <c r="IK195" s="93"/>
      <c r="IL195" s="93"/>
      <c r="IM195" s="93"/>
      <c r="IN195" s="93"/>
      <c r="IO195" s="93"/>
      <c r="IP195" s="93"/>
      <c r="IQ195" s="93"/>
      <c r="IR195" s="93"/>
      <c r="IS195" s="93"/>
      <c r="IT195" s="93"/>
      <c r="IU195" s="93"/>
      <c r="IV195" s="93"/>
      <c r="IW195" s="93"/>
      <c r="IX195" s="93"/>
      <c r="IY195" s="93"/>
      <c r="IZ195" s="93"/>
    </row>
    <row r="196" spans="1:260" s="95" customFormat="1">
      <c r="A196" s="93"/>
      <c r="B196" s="183"/>
      <c r="C196" s="183"/>
      <c r="D196" s="183"/>
      <c r="E196" s="158"/>
      <c r="F196" s="158"/>
      <c r="G196" s="158"/>
      <c r="H196" s="158"/>
      <c r="I196" s="158"/>
      <c r="J196" s="158"/>
      <c r="K196" s="158"/>
      <c r="L196" s="158"/>
      <c r="M196" s="158"/>
      <c r="N196" s="158"/>
      <c r="O196" s="158"/>
      <c r="P196" s="228"/>
      <c r="Q196" s="158"/>
      <c r="R196" s="158"/>
      <c r="S196" s="207"/>
      <c r="T196" s="207"/>
      <c r="U196" s="207"/>
      <c r="V196" s="207"/>
      <c r="W196" s="207"/>
      <c r="X196" s="207"/>
      <c r="Y196" s="207"/>
      <c r="Z196" s="207"/>
      <c r="AA196" s="207"/>
      <c r="AB196" s="207"/>
      <c r="AC196" s="207"/>
      <c r="AD196" s="207"/>
      <c r="AE196" s="207"/>
      <c r="AF196" s="207"/>
      <c r="AG196" s="207"/>
      <c r="AH196" s="207"/>
      <c r="AI196" s="207"/>
      <c r="AJ196" s="207"/>
      <c r="AK196" s="207"/>
      <c r="AL196" s="207"/>
      <c r="AM196" s="94"/>
      <c r="AN196" s="94"/>
      <c r="AO196" s="94"/>
      <c r="AP196" s="94"/>
      <c r="AQ196" s="94"/>
      <c r="AR196" s="94"/>
      <c r="AS196" s="94"/>
      <c r="AT196" s="94"/>
      <c r="AU196" s="94"/>
      <c r="AV196" s="94"/>
      <c r="AW196" s="94"/>
      <c r="AX196" s="94"/>
      <c r="AY196" s="94"/>
      <c r="AZ196" s="93"/>
      <c r="BA196" s="93"/>
      <c r="BB196" s="93"/>
      <c r="BC196" s="93"/>
      <c r="BD196" s="93"/>
      <c r="BE196" s="93"/>
      <c r="BF196" s="93"/>
      <c r="BG196" s="93"/>
      <c r="BH196" s="93"/>
      <c r="BI196" s="93"/>
      <c r="BJ196" s="93"/>
      <c r="BK196" s="93"/>
      <c r="BL196" s="93"/>
      <c r="BM196" s="93"/>
      <c r="BN196" s="93"/>
      <c r="BO196" s="93"/>
      <c r="BP196" s="93"/>
      <c r="BQ196" s="93"/>
      <c r="BR196" s="93"/>
      <c r="BS196" s="93"/>
      <c r="BT196" s="93"/>
      <c r="BU196" s="93"/>
      <c r="BV196" s="93"/>
      <c r="BW196" s="93"/>
      <c r="BX196" s="93"/>
      <c r="BY196" s="93"/>
      <c r="BZ196" s="93"/>
      <c r="CA196" s="93"/>
      <c r="CB196" s="93"/>
      <c r="CC196" s="93"/>
      <c r="CD196" s="93"/>
      <c r="CE196" s="93"/>
      <c r="CF196" s="93"/>
      <c r="CG196" s="93"/>
      <c r="CH196" s="93"/>
      <c r="CI196" s="93"/>
      <c r="CJ196" s="93"/>
      <c r="CK196" s="93"/>
      <c r="CL196" s="93"/>
      <c r="CM196" s="93"/>
      <c r="CN196" s="93"/>
      <c r="CO196" s="93"/>
      <c r="CP196" s="93"/>
      <c r="CQ196" s="93"/>
      <c r="CR196" s="93"/>
      <c r="CS196" s="93"/>
      <c r="CT196" s="93"/>
      <c r="CU196" s="93"/>
      <c r="CV196" s="93"/>
      <c r="CW196" s="93"/>
      <c r="CX196" s="93"/>
      <c r="CY196" s="93"/>
      <c r="CZ196" s="93"/>
      <c r="DA196" s="93"/>
      <c r="DB196" s="93"/>
      <c r="DC196" s="93"/>
      <c r="DD196" s="93"/>
      <c r="DE196" s="93"/>
      <c r="DF196" s="93"/>
      <c r="DG196" s="93"/>
      <c r="DH196" s="93"/>
      <c r="DI196" s="93"/>
      <c r="DJ196" s="93"/>
      <c r="DK196" s="93"/>
      <c r="DL196" s="93"/>
      <c r="DM196" s="93"/>
      <c r="DN196" s="93"/>
      <c r="DO196" s="93"/>
      <c r="DP196" s="93"/>
      <c r="DQ196" s="93"/>
      <c r="DR196" s="93"/>
      <c r="DS196" s="93"/>
      <c r="DT196" s="93"/>
      <c r="DU196" s="93"/>
      <c r="DV196" s="93"/>
      <c r="DW196" s="93"/>
      <c r="DX196" s="93"/>
      <c r="DY196" s="93"/>
      <c r="DZ196" s="93"/>
      <c r="EA196" s="93"/>
      <c r="EB196" s="93"/>
      <c r="EC196" s="93"/>
      <c r="ED196" s="93"/>
      <c r="EE196" s="93"/>
      <c r="EF196" s="93"/>
      <c r="EG196" s="93"/>
      <c r="EH196" s="93"/>
      <c r="EI196" s="93"/>
      <c r="EJ196" s="93"/>
      <c r="EK196" s="93"/>
      <c r="EL196" s="93"/>
      <c r="EM196" s="93"/>
      <c r="EN196" s="93"/>
      <c r="EO196" s="93"/>
      <c r="EP196" s="93"/>
      <c r="EQ196" s="93"/>
      <c r="ER196" s="93"/>
      <c r="ES196" s="93"/>
      <c r="ET196" s="93"/>
      <c r="EU196" s="93"/>
      <c r="EV196" s="93"/>
      <c r="EW196" s="93"/>
      <c r="EX196" s="93"/>
      <c r="EY196" s="93"/>
      <c r="EZ196" s="93"/>
      <c r="FA196" s="93"/>
      <c r="FB196" s="93"/>
      <c r="FC196" s="93"/>
      <c r="FD196" s="93"/>
      <c r="FE196" s="93"/>
      <c r="FF196" s="93"/>
      <c r="FG196" s="93"/>
      <c r="FH196" s="93"/>
      <c r="FI196" s="93"/>
      <c r="FJ196" s="93"/>
      <c r="FK196" s="93"/>
      <c r="FL196" s="93"/>
      <c r="FM196" s="93"/>
      <c r="FN196" s="93"/>
      <c r="FO196" s="93"/>
      <c r="FP196" s="93"/>
      <c r="FQ196" s="93"/>
      <c r="FR196" s="93"/>
      <c r="FS196" s="93"/>
      <c r="FT196" s="93"/>
      <c r="FU196" s="93"/>
      <c r="FV196" s="93"/>
      <c r="FW196" s="93"/>
      <c r="FX196" s="93"/>
      <c r="FY196" s="93"/>
      <c r="FZ196" s="93"/>
      <c r="GA196" s="93"/>
      <c r="GB196" s="93"/>
      <c r="GC196" s="93"/>
      <c r="GD196" s="93"/>
      <c r="GE196" s="93"/>
      <c r="GF196" s="93"/>
      <c r="GG196" s="93"/>
      <c r="GH196" s="93"/>
      <c r="GI196" s="93"/>
      <c r="GJ196" s="93"/>
      <c r="GK196" s="93"/>
      <c r="GL196" s="93"/>
      <c r="GM196" s="93"/>
      <c r="GN196" s="93"/>
      <c r="GO196" s="93"/>
      <c r="GP196" s="93"/>
      <c r="GQ196" s="93"/>
      <c r="GR196" s="93"/>
      <c r="GS196" s="93"/>
      <c r="GT196" s="93"/>
      <c r="GU196" s="93"/>
      <c r="GV196" s="93"/>
      <c r="GW196" s="93"/>
      <c r="GX196" s="93"/>
      <c r="GY196" s="93"/>
      <c r="GZ196" s="93"/>
      <c r="HA196" s="93"/>
      <c r="HB196" s="93"/>
      <c r="HC196" s="93"/>
      <c r="HD196" s="93"/>
      <c r="HE196" s="93"/>
      <c r="HF196" s="93"/>
      <c r="HG196" s="93"/>
      <c r="HH196" s="93"/>
      <c r="HI196" s="93"/>
      <c r="HJ196" s="93"/>
      <c r="HK196" s="93"/>
      <c r="HL196" s="93"/>
      <c r="HM196" s="93"/>
      <c r="HN196" s="93"/>
      <c r="HO196" s="93"/>
      <c r="HP196" s="93"/>
      <c r="HQ196" s="93"/>
      <c r="HR196" s="93"/>
      <c r="HS196" s="93"/>
      <c r="HT196" s="93"/>
      <c r="HU196" s="93"/>
      <c r="HV196" s="93"/>
      <c r="HW196" s="93"/>
      <c r="HX196" s="93"/>
      <c r="HY196" s="93"/>
      <c r="HZ196" s="93"/>
      <c r="IA196" s="93"/>
      <c r="IB196" s="93"/>
      <c r="IC196" s="93"/>
      <c r="ID196" s="93"/>
      <c r="IE196" s="93"/>
      <c r="IF196" s="93"/>
      <c r="IG196" s="93"/>
      <c r="IH196" s="93"/>
      <c r="II196" s="93"/>
      <c r="IJ196" s="93"/>
      <c r="IK196" s="93"/>
      <c r="IL196" s="93"/>
      <c r="IM196" s="93"/>
      <c r="IN196" s="93"/>
      <c r="IO196" s="93"/>
      <c r="IP196" s="93"/>
      <c r="IQ196" s="93"/>
      <c r="IR196" s="93"/>
      <c r="IS196" s="93"/>
      <c r="IT196" s="93"/>
      <c r="IU196" s="93"/>
      <c r="IV196" s="93"/>
      <c r="IW196" s="93"/>
      <c r="IX196" s="93"/>
      <c r="IY196" s="93"/>
      <c r="IZ196" s="93"/>
    </row>
    <row r="197" spans="1:260" s="95" customFormat="1">
      <c r="A197" s="93"/>
      <c r="B197" s="183"/>
      <c r="C197" s="183"/>
      <c r="D197" s="183"/>
      <c r="E197" s="158"/>
      <c r="F197" s="158"/>
      <c r="G197" s="158"/>
      <c r="H197" s="158"/>
      <c r="I197" s="158"/>
      <c r="J197" s="158"/>
      <c r="K197" s="158"/>
      <c r="L197" s="158"/>
      <c r="M197" s="158"/>
      <c r="N197" s="158"/>
      <c r="O197" s="158"/>
      <c r="P197" s="228"/>
      <c r="Q197" s="158"/>
      <c r="R197" s="158"/>
      <c r="S197" s="207"/>
      <c r="T197" s="207"/>
      <c r="U197" s="207"/>
      <c r="V197" s="207"/>
      <c r="W197" s="207"/>
      <c r="X197" s="207"/>
      <c r="Y197" s="207"/>
      <c r="Z197" s="207"/>
      <c r="AA197" s="207"/>
      <c r="AB197" s="207"/>
      <c r="AC197" s="207"/>
      <c r="AD197" s="207"/>
      <c r="AE197" s="207"/>
      <c r="AF197" s="207"/>
      <c r="AG197" s="207"/>
      <c r="AH197" s="207"/>
      <c r="AI197" s="207"/>
      <c r="AJ197" s="207"/>
      <c r="AK197" s="207"/>
      <c r="AL197" s="207"/>
      <c r="AM197" s="94"/>
      <c r="AN197" s="94"/>
      <c r="AO197" s="94"/>
      <c r="AP197" s="94"/>
      <c r="AQ197" s="94"/>
      <c r="AR197" s="94"/>
      <c r="AS197" s="94"/>
      <c r="AT197" s="94"/>
      <c r="AU197" s="94"/>
      <c r="AV197" s="94"/>
      <c r="AW197" s="94"/>
      <c r="AX197" s="94"/>
      <c r="AY197" s="94"/>
      <c r="AZ197" s="93"/>
      <c r="BA197" s="93"/>
      <c r="BB197" s="93"/>
      <c r="BC197" s="93"/>
      <c r="BD197" s="93"/>
      <c r="BE197" s="93"/>
      <c r="BF197" s="93"/>
      <c r="BG197" s="93"/>
      <c r="BH197" s="93"/>
      <c r="BI197" s="93"/>
      <c r="BJ197" s="93"/>
      <c r="BK197" s="93"/>
      <c r="BL197" s="93"/>
      <c r="BM197" s="93"/>
      <c r="BN197" s="93"/>
      <c r="BO197" s="93"/>
      <c r="BP197" s="93"/>
      <c r="BQ197" s="93"/>
      <c r="BR197" s="93"/>
      <c r="BS197" s="93"/>
      <c r="BT197" s="93"/>
      <c r="BU197" s="93"/>
      <c r="BV197" s="93"/>
      <c r="BW197" s="93"/>
      <c r="BX197" s="93"/>
      <c r="BY197" s="93"/>
      <c r="BZ197" s="93"/>
      <c r="CA197" s="93"/>
      <c r="CB197" s="93"/>
      <c r="CC197" s="93"/>
      <c r="CD197" s="93"/>
      <c r="CE197" s="93"/>
      <c r="CF197" s="93"/>
      <c r="CG197" s="93"/>
      <c r="CH197" s="93"/>
      <c r="CI197" s="93"/>
      <c r="CJ197" s="93"/>
      <c r="CK197" s="93"/>
      <c r="CL197" s="93"/>
      <c r="CM197" s="93"/>
      <c r="CN197" s="93"/>
      <c r="CO197" s="93"/>
      <c r="CP197" s="93"/>
      <c r="CQ197" s="93"/>
      <c r="CR197" s="93"/>
      <c r="CS197" s="93"/>
      <c r="CT197" s="93"/>
      <c r="CU197" s="93"/>
      <c r="CV197" s="93"/>
      <c r="CW197" s="93"/>
      <c r="CX197" s="93"/>
      <c r="CY197" s="93"/>
      <c r="CZ197" s="93"/>
      <c r="DA197" s="93"/>
      <c r="DB197" s="93"/>
      <c r="DC197" s="93"/>
      <c r="DD197" s="93"/>
      <c r="DE197" s="93"/>
      <c r="DF197" s="93"/>
      <c r="DG197" s="93"/>
      <c r="DH197" s="93"/>
      <c r="DI197" s="93"/>
      <c r="DJ197" s="93"/>
      <c r="DK197" s="93"/>
      <c r="DL197" s="93"/>
      <c r="DM197" s="93"/>
      <c r="DN197" s="93"/>
      <c r="DO197" s="93"/>
      <c r="DP197" s="93"/>
      <c r="DQ197" s="93"/>
      <c r="DR197" s="93"/>
      <c r="DS197" s="93"/>
      <c r="DT197" s="93"/>
      <c r="DU197" s="93"/>
      <c r="DV197" s="93"/>
      <c r="DW197" s="93"/>
      <c r="DX197" s="93"/>
      <c r="DY197" s="93"/>
      <c r="DZ197" s="93"/>
      <c r="EA197" s="93"/>
      <c r="EB197" s="93"/>
      <c r="EC197" s="93"/>
      <c r="ED197" s="93"/>
      <c r="EE197" s="93"/>
      <c r="EF197" s="93"/>
      <c r="EG197" s="93"/>
      <c r="EH197" s="93"/>
      <c r="EI197" s="93"/>
      <c r="EJ197" s="93"/>
      <c r="EK197" s="93"/>
      <c r="EL197" s="93"/>
      <c r="EM197" s="93"/>
      <c r="EN197" s="93"/>
      <c r="EO197" s="93"/>
      <c r="EP197" s="93"/>
      <c r="EQ197" s="93"/>
      <c r="ER197" s="93"/>
      <c r="ES197" s="93"/>
      <c r="ET197" s="93"/>
      <c r="EU197" s="93"/>
      <c r="EV197" s="93"/>
      <c r="EW197" s="93"/>
      <c r="EX197" s="93"/>
      <c r="EY197" s="93"/>
      <c r="EZ197" s="93"/>
      <c r="FA197" s="93"/>
      <c r="FB197" s="93"/>
      <c r="FC197" s="93"/>
      <c r="FD197" s="93"/>
      <c r="FE197" s="93"/>
      <c r="FF197" s="93"/>
      <c r="FG197" s="93"/>
      <c r="FH197" s="93"/>
      <c r="FI197" s="93"/>
      <c r="FJ197" s="93"/>
      <c r="FK197" s="93"/>
      <c r="FL197" s="93"/>
      <c r="FM197" s="93"/>
      <c r="FN197" s="93"/>
      <c r="FO197" s="93"/>
      <c r="FP197" s="93"/>
      <c r="FQ197" s="93"/>
      <c r="FR197" s="93"/>
      <c r="FS197" s="93"/>
      <c r="FT197" s="93"/>
      <c r="FU197" s="93"/>
      <c r="FV197" s="93"/>
      <c r="FW197" s="93"/>
      <c r="FX197" s="93"/>
      <c r="FY197" s="93"/>
      <c r="FZ197" s="93"/>
      <c r="GA197" s="93"/>
      <c r="GB197" s="93"/>
      <c r="GC197" s="93"/>
      <c r="GD197" s="93"/>
      <c r="GE197" s="93"/>
      <c r="GF197" s="93"/>
      <c r="GG197" s="93"/>
      <c r="GH197" s="93"/>
      <c r="GI197" s="93"/>
      <c r="GJ197" s="93"/>
      <c r="GK197" s="93"/>
      <c r="GL197" s="93"/>
      <c r="GM197" s="93"/>
      <c r="GN197" s="93"/>
      <c r="GO197" s="93"/>
      <c r="GP197" s="93"/>
      <c r="GQ197" s="93"/>
      <c r="GR197" s="93"/>
      <c r="GS197" s="93"/>
      <c r="GT197" s="93"/>
      <c r="GU197" s="93"/>
      <c r="GV197" s="93"/>
      <c r="GW197" s="93"/>
      <c r="GX197" s="93"/>
      <c r="GY197" s="93"/>
      <c r="GZ197" s="93"/>
      <c r="HA197" s="93"/>
      <c r="HB197" s="93"/>
      <c r="HC197" s="93"/>
      <c r="HD197" s="93"/>
      <c r="HE197" s="93"/>
      <c r="HF197" s="93"/>
      <c r="HG197" s="93"/>
      <c r="HH197" s="93"/>
      <c r="HI197" s="93"/>
      <c r="HJ197" s="93"/>
      <c r="HK197" s="93"/>
      <c r="HL197" s="93"/>
      <c r="HM197" s="93"/>
      <c r="HN197" s="93"/>
      <c r="HO197" s="93"/>
      <c r="HP197" s="93"/>
      <c r="HQ197" s="93"/>
      <c r="HR197" s="93"/>
      <c r="HS197" s="93"/>
      <c r="HT197" s="93"/>
      <c r="HU197" s="93"/>
      <c r="HV197" s="93"/>
      <c r="HW197" s="93"/>
      <c r="HX197" s="93"/>
      <c r="HY197" s="93"/>
      <c r="HZ197" s="93"/>
      <c r="IA197" s="93"/>
      <c r="IB197" s="93"/>
      <c r="IC197" s="93"/>
      <c r="ID197" s="93"/>
      <c r="IE197" s="93"/>
      <c r="IF197" s="93"/>
      <c r="IG197" s="93"/>
      <c r="IH197" s="93"/>
      <c r="II197" s="93"/>
      <c r="IJ197" s="93"/>
      <c r="IK197" s="93"/>
      <c r="IL197" s="93"/>
      <c r="IM197" s="93"/>
      <c r="IN197" s="93"/>
      <c r="IO197" s="93"/>
      <c r="IP197" s="93"/>
      <c r="IQ197" s="93"/>
      <c r="IR197" s="93"/>
      <c r="IS197" s="93"/>
      <c r="IT197" s="93"/>
      <c r="IU197" s="93"/>
      <c r="IV197" s="93"/>
      <c r="IW197" s="93"/>
      <c r="IX197" s="93"/>
      <c r="IY197" s="93"/>
      <c r="IZ197" s="93"/>
    </row>
    <row r="198" spans="1:260" s="95" customFormat="1">
      <c r="A198" s="93"/>
      <c r="B198" s="183"/>
      <c r="C198" s="183"/>
      <c r="D198" s="183"/>
      <c r="E198" s="158"/>
      <c r="F198" s="158"/>
      <c r="G198" s="158"/>
      <c r="H198" s="158"/>
      <c r="I198" s="158"/>
      <c r="J198" s="158"/>
      <c r="K198" s="158"/>
      <c r="L198" s="158"/>
      <c r="M198" s="158"/>
      <c r="N198" s="158"/>
      <c r="O198" s="158"/>
      <c r="P198" s="228"/>
      <c r="Q198" s="158"/>
      <c r="R198" s="158"/>
      <c r="S198" s="207"/>
      <c r="T198" s="207"/>
      <c r="U198" s="207"/>
      <c r="V198" s="207"/>
      <c r="W198" s="207"/>
      <c r="X198" s="207"/>
      <c r="Y198" s="207"/>
      <c r="Z198" s="207"/>
      <c r="AA198" s="207"/>
      <c r="AB198" s="207"/>
      <c r="AC198" s="207"/>
      <c r="AD198" s="207"/>
      <c r="AE198" s="207"/>
      <c r="AF198" s="207"/>
      <c r="AG198" s="207"/>
      <c r="AH198" s="207"/>
      <c r="AI198" s="207"/>
      <c r="AJ198" s="207"/>
      <c r="AK198" s="207"/>
      <c r="AL198" s="207"/>
      <c r="AM198" s="94"/>
      <c r="AN198" s="94"/>
      <c r="AO198" s="94"/>
      <c r="AP198" s="94"/>
      <c r="AQ198" s="94"/>
      <c r="AR198" s="94"/>
      <c r="AS198" s="94"/>
      <c r="AT198" s="94"/>
      <c r="AU198" s="94"/>
      <c r="AV198" s="94"/>
      <c r="AW198" s="94"/>
      <c r="AX198" s="94"/>
      <c r="AY198" s="94"/>
      <c r="AZ198" s="93"/>
      <c r="BA198" s="93"/>
      <c r="BB198" s="93"/>
      <c r="BC198" s="93"/>
      <c r="BD198" s="93"/>
      <c r="BE198" s="93"/>
      <c r="BF198" s="93"/>
      <c r="BG198" s="93"/>
      <c r="BH198" s="93"/>
      <c r="BI198" s="93"/>
      <c r="BJ198" s="93"/>
      <c r="BK198" s="93"/>
      <c r="BL198" s="93"/>
      <c r="BM198" s="93"/>
      <c r="BN198" s="93"/>
      <c r="BO198" s="93"/>
      <c r="BP198" s="93"/>
      <c r="BQ198" s="93"/>
      <c r="BR198" s="93"/>
      <c r="BS198" s="93"/>
      <c r="BT198" s="93"/>
      <c r="BU198" s="93"/>
      <c r="BV198" s="93"/>
      <c r="BW198" s="93"/>
      <c r="BX198" s="93"/>
      <c r="BY198" s="93"/>
      <c r="BZ198" s="93"/>
      <c r="CA198" s="93"/>
      <c r="CB198" s="93"/>
      <c r="CC198" s="93"/>
      <c r="CD198" s="93"/>
      <c r="CE198" s="93"/>
      <c r="CF198" s="93"/>
      <c r="CG198" s="93"/>
      <c r="CH198" s="93"/>
      <c r="CI198" s="93"/>
      <c r="CJ198" s="93"/>
      <c r="CK198" s="93"/>
      <c r="CL198" s="93"/>
      <c r="CM198" s="93"/>
      <c r="CN198" s="93"/>
      <c r="CO198" s="93"/>
      <c r="CP198" s="93"/>
      <c r="CQ198" s="93"/>
      <c r="CR198" s="93"/>
      <c r="CS198" s="93"/>
      <c r="CT198" s="93"/>
      <c r="CU198" s="93"/>
      <c r="CV198" s="93"/>
      <c r="CW198" s="93"/>
      <c r="CX198" s="93"/>
      <c r="CY198" s="93"/>
      <c r="CZ198" s="93"/>
      <c r="DA198" s="93"/>
      <c r="DB198" s="93"/>
      <c r="DC198" s="93"/>
      <c r="DD198" s="93"/>
      <c r="DE198" s="93"/>
      <c r="DF198" s="93"/>
      <c r="DG198" s="93"/>
      <c r="DH198" s="93"/>
      <c r="DI198" s="93"/>
      <c r="DJ198" s="93"/>
      <c r="DK198" s="93"/>
      <c r="DL198" s="93"/>
      <c r="DM198" s="93"/>
      <c r="DN198" s="93"/>
      <c r="DO198" s="93"/>
      <c r="DP198" s="93"/>
      <c r="DQ198" s="93"/>
      <c r="DR198" s="93"/>
      <c r="DS198" s="93"/>
      <c r="DT198" s="93"/>
      <c r="DU198" s="93"/>
      <c r="DV198" s="93"/>
      <c r="DW198" s="93"/>
      <c r="DX198" s="93"/>
      <c r="DY198" s="93"/>
      <c r="DZ198" s="93"/>
      <c r="EA198" s="93"/>
      <c r="EB198" s="93"/>
      <c r="EC198" s="93"/>
      <c r="ED198" s="93"/>
      <c r="EE198" s="93"/>
      <c r="EF198" s="93"/>
      <c r="EG198" s="93"/>
      <c r="EH198" s="93"/>
      <c r="EI198" s="93"/>
      <c r="EJ198" s="93"/>
      <c r="EK198" s="93"/>
      <c r="EL198" s="93"/>
      <c r="EM198" s="93"/>
      <c r="EN198" s="93"/>
      <c r="EO198" s="93"/>
      <c r="EP198" s="93"/>
      <c r="EQ198" s="93"/>
      <c r="ER198" s="93"/>
      <c r="ES198" s="93"/>
      <c r="ET198" s="93"/>
      <c r="EU198" s="93"/>
      <c r="EV198" s="93"/>
      <c r="EW198" s="93"/>
      <c r="EX198" s="93"/>
      <c r="EY198" s="93"/>
      <c r="EZ198" s="93"/>
      <c r="FA198" s="93"/>
      <c r="FB198" s="93"/>
      <c r="FC198" s="93"/>
      <c r="FD198" s="93"/>
      <c r="FE198" s="93"/>
      <c r="FF198" s="93"/>
      <c r="FG198" s="93"/>
      <c r="FH198" s="93"/>
      <c r="FI198" s="93"/>
      <c r="FJ198" s="93"/>
      <c r="FK198" s="93"/>
      <c r="FL198" s="93"/>
      <c r="FM198" s="93"/>
      <c r="FN198" s="93"/>
      <c r="FO198" s="93"/>
      <c r="FP198" s="93"/>
      <c r="FQ198" s="93"/>
      <c r="FR198" s="93"/>
      <c r="FS198" s="93"/>
      <c r="FT198" s="93"/>
      <c r="FU198" s="93"/>
      <c r="FV198" s="93"/>
      <c r="FW198" s="93"/>
      <c r="FX198" s="93"/>
      <c r="FY198" s="93"/>
      <c r="FZ198" s="93"/>
      <c r="GA198" s="93"/>
      <c r="GB198" s="93"/>
      <c r="GC198" s="93"/>
      <c r="GD198" s="93"/>
      <c r="GE198" s="93"/>
      <c r="GF198" s="93"/>
      <c r="GG198" s="93"/>
      <c r="GH198" s="93"/>
      <c r="GI198" s="93"/>
      <c r="GJ198" s="93"/>
      <c r="GK198" s="93"/>
      <c r="GL198" s="93"/>
      <c r="GM198" s="93"/>
      <c r="GN198" s="93"/>
      <c r="GO198" s="93"/>
      <c r="GP198" s="93"/>
      <c r="GQ198" s="93"/>
      <c r="GR198" s="93"/>
      <c r="GS198" s="93"/>
      <c r="GT198" s="93"/>
      <c r="GU198" s="93"/>
      <c r="GV198" s="93"/>
      <c r="GW198" s="93"/>
      <c r="GX198" s="93"/>
      <c r="GY198" s="93"/>
      <c r="GZ198" s="93"/>
      <c r="HA198" s="93"/>
      <c r="HB198" s="93"/>
      <c r="HC198" s="93"/>
      <c r="HD198" s="93"/>
      <c r="HE198" s="93"/>
      <c r="HF198" s="93"/>
      <c r="HG198" s="93"/>
      <c r="HH198" s="93"/>
      <c r="HI198" s="93"/>
      <c r="HJ198" s="93"/>
      <c r="HK198" s="93"/>
      <c r="HL198" s="93"/>
      <c r="HM198" s="93"/>
      <c r="HN198" s="93"/>
      <c r="HO198" s="93"/>
      <c r="HP198" s="93"/>
      <c r="HQ198" s="93"/>
      <c r="HR198" s="93"/>
      <c r="HS198" s="93"/>
      <c r="HT198" s="93"/>
      <c r="HU198" s="93"/>
      <c r="HV198" s="93"/>
      <c r="HW198" s="93"/>
      <c r="HX198" s="93"/>
      <c r="HY198" s="93"/>
      <c r="HZ198" s="93"/>
      <c r="IA198" s="93"/>
      <c r="IB198" s="93"/>
      <c r="IC198" s="93"/>
      <c r="ID198" s="93"/>
      <c r="IE198" s="93"/>
      <c r="IF198" s="93"/>
      <c r="IG198" s="93"/>
      <c r="IH198" s="93"/>
      <c r="II198" s="93"/>
      <c r="IJ198" s="93"/>
      <c r="IK198" s="93"/>
      <c r="IL198" s="93"/>
      <c r="IM198" s="93"/>
      <c r="IN198" s="93"/>
      <c r="IO198" s="93"/>
      <c r="IP198" s="93"/>
      <c r="IQ198" s="93"/>
      <c r="IR198" s="93"/>
      <c r="IS198" s="93"/>
      <c r="IT198" s="93"/>
      <c r="IU198" s="93"/>
      <c r="IV198" s="93"/>
      <c r="IW198" s="93"/>
      <c r="IX198" s="93"/>
      <c r="IY198" s="93"/>
      <c r="IZ198" s="93"/>
    </row>
    <row r="199" spans="1:260" s="95" customFormat="1">
      <c r="A199" s="93"/>
      <c r="B199" s="183"/>
      <c r="C199" s="183"/>
      <c r="D199" s="183"/>
      <c r="E199" s="158"/>
      <c r="F199" s="158"/>
      <c r="G199" s="158"/>
      <c r="H199" s="158"/>
      <c r="I199" s="158"/>
      <c r="J199" s="158"/>
      <c r="K199" s="158"/>
      <c r="L199" s="158"/>
      <c r="M199" s="158"/>
      <c r="N199" s="158"/>
      <c r="O199" s="158"/>
      <c r="P199" s="228"/>
      <c r="Q199" s="158"/>
      <c r="R199" s="158"/>
      <c r="S199" s="207"/>
      <c r="T199" s="207"/>
      <c r="U199" s="207"/>
      <c r="V199" s="207"/>
      <c r="W199" s="207"/>
      <c r="X199" s="207"/>
      <c r="Y199" s="207"/>
      <c r="Z199" s="207"/>
      <c r="AA199" s="207"/>
      <c r="AB199" s="207"/>
      <c r="AC199" s="207"/>
      <c r="AD199" s="207"/>
      <c r="AE199" s="207"/>
      <c r="AF199" s="207"/>
      <c r="AG199" s="207"/>
      <c r="AH199" s="207"/>
      <c r="AI199" s="207"/>
      <c r="AJ199" s="207"/>
      <c r="AK199" s="207"/>
      <c r="AL199" s="207"/>
      <c r="AM199" s="94"/>
      <c r="AN199" s="94"/>
      <c r="AO199" s="94"/>
      <c r="AP199" s="94"/>
      <c r="AQ199" s="94"/>
      <c r="AR199" s="94"/>
      <c r="AS199" s="94"/>
      <c r="AT199" s="94"/>
      <c r="AU199" s="94"/>
      <c r="AV199" s="94"/>
      <c r="AW199" s="94"/>
      <c r="AX199" s="94"/>
      <c r="AY199" s="94"/>
      <c r="AZ199" s="93"/>
      <c r="BA199" s="93"/>
      <c r="BB199" s="93"/>
      <c r="BC199" s="93"/>
      <c r="BD199" s="93"/>
      <c r="BE199" s="93"/>
      <c r="BF199" s="93"/>
      <c r="BG199" s="93"/>
      <c r="BH199" s="93"/>
      <c r="BI199" s="93"/>
      <c r="BJ199" s="93"/>
      <c r="BK199" s="93"/>
      <c r="BL199" s="93"/>
      <c r="BM199" s="93"/>
      <c r="BN199" s="93"/>
      <c r="BO199" s="93"/>
      <c r="BP199" s="93"/>
      <c r="BQ199" s="93"/>
      <c r="BR199" s="93"/>
      <c r="BS199" s="93"/>
      <c r="BT199" s="93"/>
      <c r="BU199" s="93"/>
      <c r="BV199" s="93"/>
      <c r="BW199" s="93"/>
      <c r="BX199" s="93"/>
      <c r="BY199" s="93"/>
      <c r="BZ199" s="93"/>
      <c r="CA199" s="93"/>
      <c r="CB199" s="93"/>
      <c r="CC199" s="93"/>
      <c r="CD199" s="93"/>
      <c r="CE199" s="93"/>
      <c r="CF199" s="93"/>
      <c r="CG199" s="93"/>
      <c r="CH199" s="93"/>
      <c r="CI199" s="93"/>
      <c r="CJ199" s="93"/>
      <c r="CK199" s="93"/>
      <c r="CL199" s="93"/>
      <c r="CM199" s="93"/>
      <c r="CN199" s="93"/>
      <c r="CO199" s="93"/>
      <c r="CP199" s="93"/>
      <c r="CQ199" s="93"/>
      <c r="CR199" s="93"/>
      <c r="CS199" s="93"/>
      <c r="CT199" s="93"/>
      <c r="CU199" s="93"/>
      <c r="CV199" s="93"/>
      <c r="CW199" s="93"/>
      <c r="CX199" s="93"/>
      <c r="CY199" s="93"/>
      <c r="CZ199" s="93"/>
      <c r="DA199" s="93"/>
      <c r="DB199" s="93"/>
      <c r="DC199" s="93"/>
      <c r="DD199" s="93"/>
      <c r="DE199" s="93"/>
      <c r="DF199" s="93"/>
      <c r="DG199" s="93"/>
      <c r="DH199" s="93"/>
      <c r="DI199" s="93"/>
      <c r="DJ199" s="93"/>
      <c r="DK199" s="93"/>
      <c r="DL199" s="93"/>
      <c r="DM199" s="93"/>
      <c r="DN199" s="93"/>
      <c r="DO199" s="93"/>
      <c r="DP199" s="93"/>
      <c r="DQ199" s="93"/>
      <c r="DR199" s="93"/>
      <c r="DS199" s="93"/>
      <c r="DT199" s="93"/>
      <c r="DU199" s="93"/>
      <c r="DV199" s="93"/>
      <c r="DW199" s="93"/>
      <c r="DX199" s="93"/>
      <c r="DY199" s="93"/>
      <c r="DZ199" s="93"/>
      <c r="EA199" s="93"/>
      <c r="EB199" s="93"/>
      <c r="EC199" s="93"/>
      <c r="ED199" s="93"/>
      <c r="EE199" s="93"/>
      <c r="EF199" s="93"/>
      <c r="EG199" s="93"/>
      <c r="EH199" s="93"/>
      <c r="EI199" s="93"/>
      <c r="EJ199" s="93"/>
      <c r="EK199" s="93"/>
      <c r="EL199" s="93"/>
      <c r="EM199" s="93"/>
      <c r="EN199" s="93"/>
      <c r="EO199" s="93"/>
      <c r="EP199" s="93"/>
      <c r="EQ199" s="93"/>
      <c r="ER199" s="93"/>
      <c r="ES199" s="93"/>
      <c r="ET199" s="93"/>
      <c r="EU199" s="93"/>
      <c r="EV199" s="93"/>
      <c r="EW199" s="93"/>
      <c r="EX199" s="93"/>
      <c r="EY199" s="93"/>
      <c r="EZ199" s="93"/>
      <c r="FA199" s="93"/>
      <c r="FB199" s="93"/>
      <c r="FC199" s="93"/>
      <c r="FD199" s="93"/>
      <c r="FE199" s="93"/>
      <c r="FF199" s="93"/>
      <c r="FG199" s="93"/>
      <c r="FH199" s="93"/>
      <c r="FI199" s="93"/>
      <c r="FJ199" s="93"/>
      <c r="FK199" s="93"/>
      <c r="FL199" s="93"/>
      <c r="FM199" s="93"/>
      <c r="FN199" s="93"/>
      <c r="FO199" s="93"/>
      <c r="FP199" s="93"/>
      <c r="FQ199" s="93"/>
      <c r="FR199" s="93"/>
      <c r="FS199" s="93"/>
      <c r="FT199" s="93"/>
      <c r="FU199" s="93"/>
      <c r="FV199" s="93"/>
      <c r="FW199" s="93"/>
      <c r="FX199" s="93"/>
      <c r="FY199" s="93"/>
      <c r="FZ199" s="93"/>
      <c r="GA199" s="93"/>
      <c r="GB199" s="93"/>
      <c r="GC199" s="93"/>
      <c r="GD199" s="93"/>
      <c r="GE199" s="93"/>
      <c r="GF199" s="93"/>
      <c r="GG199" s="93"/>
      <c r="GH199" s="93"/>
      <c r="GI199" s="93"/>
      <c r="GJ199" s="93"/>
      <c r="GK199" s="93"/>
      <c r="GL199" s="93"/>
      <c r="GM199" s="93"/>
      <c r="GN199" s="93"/>
      <c r="GO199" s="93"/>
      <c r="GP199" s="93"/>
      <c r="GQ199" s="93"/>
      <c r="GR199" s="93"/>
      <c r="GS199" s="93"/>
      <c r="GT199" s="93"/>
      <c r="GU199" s="93"/>
      <c r="GV199" s="93"/>
      <c r="GW199" s="93"/>
      <c r="GX199" s="93"/>
      <c r="GY199" s="93"/>
      <c r="GZ199" s="93"/>
      <c r="HA199" s="93"/>
      <c r="HB199" s="93"/>
      <c r="HC199" s="93"/>
      <c r="HD199" s="93"/>
      <c r="HE199" s="93"/>
      <c r="HF199" s="93"/>
      <c r="HG199" s="93"/>
      <c r="HH199" s="93"/>
      <c r="HI199" s="93"/>
      <c r="HJ199" s="93"/>
      <c r="HK199" s="93"/>
      <c r="HL199" s="93"/>
      <c r="HM199" s="93"/>
      <c r="HN199" s="93"/>
      <c r="HO199" s="93"/>
      <c r="HP199" s="93"/>
      <c r="HQ199" s="93"/>
      <c r="HR199" s="93"/>
      <c r="HS199" s="93"/>
      <c r="HT199" s="93"/>
      <c r="HU199" s="93"/>
      <c r="HV199" s="93"/>
      <c r="HW199" s="93"/>
      <c r="HX199" s="93"/>
      <c r="HY199" s="93"/>
      <c r="HZ199" s="93"/>
      <c r="IA199" s="93"/>
      <c r="IB199" s="93"/>
      <c r="IC199" s="93"/>
      <c r="ID199" s="93"/>
      <c r="IE199" s="93"/>
      <c r="IF199" s="93"/>
      <c r="IG199" s="93"/>
      <c r="IH199" s="93"/>
      <c r="II199" s="93"/>
      <c r="IJ199" s="93"/>
      <c r="IK199" s="93"/>
      <c r="IL199" s="93"/>
      <c r="IM199" s="93"/>
      <c r="IN199" s="93"/>
      <c r="IO199" s="93"/>
      <c r="IP199" s="93"/>
      <c r="IQ199" s="93"/>
      <c r="IR199" s="93"/>
      <c r="IS199" s="93"/>
      <c r="IT199" s="93"/>
      <c r="IU199" s="93"/>
      <c r="IV199" s="93"/>
      <c r="IW199" s="93"/>
      <c r="IX199" s="93"/>
      <c r="IY199" s="93"/>
      <c r="IZ199" s="93"/>
    </row>
    <row r="200" spans="1:260" s="95" customFormat="1">
      <c r="A200" s="93"/>
      <c r="B200" s="183"/>
      <c r="C200" s="183"/>
      <c r="D200" s="183"/>
      <c r="E200" s="158"/>
      <c r="F200" s="158"/>
      <c r="G200" s="158"/>
      <c r="H200" s="158"/>
      <c r="I200" s="158"/>
      <c r="J200" s="158"/>
      <c r="K200" s="158"/>
      <c r="L200" s="158"/>
      <c r="M200" s="158"/>
      <c r="N200" s="158"/>
      <c r="O200" s="158"/>
      <c r="P200" s="228"/>
      <c r="Q200" s="158"/>
      <c r="R200" s="158"/>
      <c r="S200" s="207"/>
      <c r="T200" s="207"/>
      <c r="U200" s="207"/>
      <c r="V200" s="207"/>
      <c r="W200" s="207"/>
      <c r="X200" s="207"/>
      <c r="Y200" s="207"/>
      <c r="Z200" s="207"/>
      <c r="AA200" s="207"/>
      <c r="AB200" s="207"/>
      <c r="AC200" s="207"/>
      <c r="AD200" s="207"/>
      <c r="AE200" s="207"/>
      <c r="AF200" s="207"/>
      <c r="AG200" s="207"/>
      <c r="AH200" s="207"/>
      <c r="AI200" s="207"/>
      <c r="AJ200" s="207"/>
      <c r="AK200" s="207"/>
      <c r="AL200" s="207"/>
      <c r="AM200" s="94"/>
      <c r="AN200" s="94"/>
      <c r="AO200" s="94"/>
      <c r="AP200" s="94"/>
      <c r="AQ200" s="94"/>
      <c r="AR200" s="94"/>
      <c r="AS200" s="94"/>
      <c r="AT200" s="94"/>
      <c r="AU200" s="94"/>
      <c r="AV200" s="94"/>
      <c r="AW200" s="94"/>
      <c r="AX200" s="94"/>
      <c r="AY200" s="94"/>
      <c r="AZ200" s="93"/>
      <c r="BA200" s="93"/>
      <c r="BB200" s="93"/>
      <c r="BC200" s="93"/>
      <c r="BD200" s="93"/>
      <c r="BE200" s="93"/>
      <c r="BF200" s="93"/>
      <c r="BG200" s="93"/>
      <c r="BH200" s="93"/>
      <c r="BI200" s="93"/>
      <c r="BJ200" s="93"/>
      <c r="BK200" s="93"/>
      <c r="BL200" s="93"/>
      <c r="BM200" s="93"/>
      <c r="BN200" s="93"/>
      <c r="BO200" s="93"/>
      <c r="BP200" s="93"/>
      <c r="BQ200" s="93"/>
      <c r="BR200" s="93"/>
      <c r="BS200" s="93"/>
      <c r="BT200" s="93"/>
      <c r="BU200" s="93"/>
      <c r="BV200" s="93"/>
      <c r="BW200" s="93"/>
      <c r="BX200" s="93"/>
      <c r="BY200" s="93"/>
      <c r="BZ200" s="93"/>
      <c r="CA200" s="93"/>
      <c r="CB200" s="93"/>
      <c r="CC200" s="93"/>
      <c r="CD200" s="93"/>
      <c r="CE200" s="93"/>
      <c r="CF200" s="93"/>
      <c r="CG200" s="93"/>
      <c r="CH200" s="93"/>
      <c r="CI200" s="93"/>
      <c r="CJ200" s="93"/>
      <c r="CK200" s="93"/>
      <c r="CL200" s="93"/>
      <c r="CM200" s="93"/>
      <c r="CN200" s="93"/>
      <c r="CO200" s="93"/>
      <c r="CP200" s="93"/>
      <c r="CQ200" s="93"/>
      <c r="CR200" s="93"/>
      <c r="CS200" s="93"/>
      <c r="CT200" s="93"/>
      <c r="CU200" s="93"/>
      <c r="CV200" s="93"/>
      <c r="CW200" s="93"/>
      <c r="CX200" s="93"/>
      <c r="CY200" s="93"/>
      <c r="CZ200" s="93"/>
      <c r="DA200" s="93"/>
      <c r="DB200" s="93"/>
      <c r="DC200" s="93"/>
      <c r="DD200" s="93"/>
      <c r="DE200" s="93"/>
      <c r="DF200" s="93"/>
      <c r="DG200" s="93"/>
      <c r="DH200" s="93"/>
      <c r="DI200" s="93"/>
      <c r="DJ200" s="93"/>
      <c r="DK200" s="93"/>
      <c r="DL200" s="93"/>
      <c r="DM200" s="93"/>
      <c r="DN200" s="93"/>
      <c r="DO200" s="93"/>
      <c r="DP200" s="93"/>
      <c r="DQ200" s="93"/>
      <c r="DR200" s="93"/>
      <c r="DS200" s="93"/>
      <c r="DT200" s="93"/>
      <c r="DU200" s="93"/>
      <c r="DV200" s="93"/>
      <c r="DW200" s="93"/>
      <c r="DX200" s="93"/>
      <c r="DY200" s="93"/>
      <c r="DZ200" s="93"/>
      <c r="EA200" s="93"/>
      <c r="EB200" s="93"/>
      <c r="EC200" s="93"/>
      <c r="ED200" s="93"/>
      <c r="EE200" s="93"/>
      <c r="EF200" s="93"/>
      <c r="EG200" s="93"/>
      <c r="EH200" s="93"/>
      <c r="EI200" s="93"/>
      <c r="EJ200" s="93"/>
      <c r="EK200" s="93"/>
      <c r="EL200" s="93"/>
      <c r="EM200" s="93"/>
      <c r="EN200" s="93"/>
      <c r="EO200" s="93"/>
      <c r="EP200" s="93"/>
      <c r="EQ200" s="93"/>
      <c r="ER200" s="93"/>
      <c r="ES200" s="93"/>
      <c r="ET200" s="93"/>
      <c r="EU200" s="93"/>
      <c r="EV200" s="93"/>
      <c r="EW200" s="93"/>
      <c r="EX200" s="93"/>
      <c r="EY200" s="93"/>
      <c r="EZ200" s="93"/>
      <c r="FA200" s="93"/>
      <c r="FB200" s="93"/>
      <c r="FC200" s="93"/>
      <c r="FD200" s="93"/>
      <c r="FE200" s="93"/>
      <c r="FF200" s="93"/>
      <c r="FG200" s="93"/>
      <c r="FH200" s="93"/>
      <c r="FI200" s="93"/>
      <c r="FJ200" s="93"/>
      <c r="FK200" s="93"/>
      <c r="FL200" s="93"/>
      <c r="FM200" s="93"/>
      <c r="FN200" s="93"/>
      <c r="FO200" s="93"/>
      <c r="FP200" s="93"/>
      <c r="FQ200" s="93"/>
      <c r="FR200" s="93"/>
      <c r="FS200" s="93"/>
      <c r="FT200" s="93"/>
      <c r="FU200" s="93"/>
      <c r="FV200" s="93"/>
      <c r="FW200" s="93"/>
      <c r="FX200" s="93"/>
      <c r="FY200" s="93"/>
      <c r="FZ200" s="93"/>
      <c r="GA200" s="93"/>
      <c r="GB200" s="93"/>
      <c r="GC200" s="93"/>
      <c r="GD200" s="93"/>
      <c r="GE200" s="93"/>
      <c r="GF200" s="93"/>
      <c r="GG200" s="93"/>
      <c r="GH200" s="93"/>
      <c r="GI200" s="93"/>
      <c r="GJ200" s="93"/>
      <c r="GK200" s="93"/>
      <c r="GL200" s="93"/>
      <c r="GM200" s="93"/>
      <c r="GN200" s="93"/>
      <c r="GO200" s="93"/>
      <c r="GP200" s="93"/>
      <c r="GQ200" s="93"/>
      <c r="GR200" s="93"/>
      <c r="GS200" s="93"/>
      <c r="GT200" s="93"/>
      <c r="GU200" s="93"/>
      <c r="GV200" s="93"/>
      <c r="GW200" s="93"/>
      <c r="GX200" s="93"/>
      <c r="GY200" s="93"/>
      <c r="GZ200" s="93"/>
      <c r="HA200" s="93"/>
      <c r="HB200" s="93"/>
      <c r="HC200" s="93"/>
      <c r="HD200" s="93"/>
      <c r="HE200" s="93"/>
      <c r="HF200" s="93"/>
      <c r="HG200" s="93"/>
      <c r="HH200" s="93"/>
      <c r="HI200" s="93"/>
      <c r="HJ200" s="93"/>
      <c r="HK200" s="93"/>
      <c r="HL200" s="93"/>
      <c r="HM200" s="93"/>
      <c r="HN200" s="93"/>
      <c r="HO200" s="93"/>
      <c r="HP200" s="93"/>
      <c r="HQ200" s="93"/>
      <c r="HR200" s="93"/>
      <c r="HS200" s="93"/>
      <c r="HT200" s="93"/>
      <c r="HU200" s="93"/>
      <c r="HV200" s="93"/>
      <c r="HW200" s="93"/>
      <c r="HX200" s="93"/>
      <c r="HY200" s="93"/>
      <c r="HZ200" s="93"/>
      <c r="IA200" s="93"/>
      <c r="IB200" s="93"/>
      <c r="IC200" s="93"/>
      <c r="ID200" s="93"/>
      <c r="IE200" s="93"/>
      <c r="IF200" s="93"/>
      <c r="IG200" s="93"/>
      <c r="IH200" s="93"/>
      <c r="II200" s="93"/>
      <c r="IJ200" s="93"/>
      <c r="IK200" s="93"/>
      <c r="IL200" s="93"/>
      <c r="IM200" s="93"/>
      <c r="IN200" s="93"/>
      <c r="IO200" s="93"/>
      <c r="IP200" s="93"/>
      <c r="IQ200" s="93"/>
      <c r="IR200" s="93"/>
      <c r="IS200" s="93"/>
      <c r="IT200" s="93"/>
      <c r="IU200" s="93"/>
      <c r="IV200" s="93"/>
      <c r="IW200" s="93"/>
      <c r="IX200" s="93"/>
      <c r="IY200" s="93"/>
      <c r="IZ200" s="93"/>
    </row>
    <row r="201" spans="1:260" s="95" customFormat="1">
      <c r="A201" s="93"/>
      <c r="B201" s="183"/>
      <c r="C201" s="183"/>
      <c r="D201" s="183"/>
      <c r="E201" s="158"/>
      <c r="F201" s="158"/>
      <c r="G201" s="158"/>
      <c r="H201" s="158"/>
      <c r="I201" s="158"/>
      <c r="J201" s="158"/>
      <c r="K201" s="158"/>
      <c r="L201" s="158"/>
      <c r="M201" s="158"/>
      <c r="N201" s="158"/>
      <c r="O201" s="158"/>
      <c r="P201" s="228"/>
      <c r="Q201" s="158"/>
      <c r="R201" s="158"/>
      <c r="S201" s="207"/>
      <c r="T201" s="207"/>
      <c r="U201" s="207"/>
      <c r="V201" s="207"/>
      <c r="W201" s="207"/>
      <c r="X201" s="207"/>
      <c r="Y201" s="207"/>
      <c r="Z201" s="207"/>
      <c r="AA201" s="207"/>
      <c r="AB201" s="207"/>
      <c r="AC201" s="207"/>
      <c r="AD201" s="207"/>
      <c r="AE201" s="207"/>
      <c r="AF201" s="207"/>
      <c r="AG201" s="207"/>
      <c r="AH201" s="207"/>
      <c r="AI201" s="207"/>
      <c r="AJ201" s="207"/>
      <c r="AK201" s="207"/>
      <c r="AL201" s="207"/>
      <c r="AM201" s="94"/>
      <c r="AN201" s="94"/>
      <c r="AO201" s="94"/>
      <c r="AP201" s="94"/>
      <c r="AQ201" s="94"/>
      <c r="AR201" s="94"/>
      <c r="AS201" s="94"/>
      <c r="AT201" s="94"/>
      <c r="AU201" s="94"/>
      <c r="AV201" s="94"/>
      <c r="AW201" s="94"/>
      <c r="AX201" s="94"/>
      <c r="AY201" s="94"/>
      <c r="AZ201" s="93"/>
      <c r="BA201" s="93"/>
      <c r="BB201" s="93"/>
      <c r="BC201" s="93"/>
      <c r="BD201" s="93"/>
      <c r="BE201" s="93"/>
      <c r="BF201" s="93"/>
      <c r="BG201" s="93"/>
      <c r="BH201" s="93"/>
      <c r="BI201" s="93"/>
      <c r="BJ201" s="93"/>
      <c r="BK201" s="93"/>
      <c r="BL201" s="93"/>
      <c r="BM201" s="93"/>
      <c r="BN201" s="93"/>
      <c r="BO201" s="93"/>
      <c r="BP201" s="93"/>
      <c r="BQ201" s="93"/>
      <c r="BR201" s="93"/>
      <c r="BS201" s="93"/>
      <c r="BT201" s="93"/>
      <c r="BU201" s="93"/>
      <c r="BV201" s="93"/>
      <c r="BW201" s="93"/>
      <c r="BX201" s="93"/>
      <c r="BY201" s="93"/>
      <c r="BZ201" s="93"/>
      <c r="CA201" s="93"/>
      <c r="CB201" s="93"/>
      <c r="CC201" s="93"/>
      <c r="CD201" s="93"/>
      <c r="CE201" s="93"/>
      <c r="CF201" s="93"/>
      <c r="CG201" s="93"/>
      <c r="CH201" s="93"/>
      <c r="CI201" s="93"/>
      <c r="CJ201" s="93"/>
      <c r="CK201" s="93"/>
      <c r="CL201" s="93"/>
      <c r="CM201" s="93"/>
      <c r="CN201" s="93"/>
      <c r="CO201" s="93"/>
      <c r="CP201" s="93"/>
      <c r="CQ201" s="93"/>
      <c r="CR201" s="93"/>
      <c r="CS201" s="93"/>
      <c r="CT201" s="93"/>
      <c r="CU201" s="93"/>
      <c r="CV201" s="93"/>
      <c r="CW201" s="93"/>
      <c r="CX201" s="93"/>
      <c r="CY201" s="93"/>
      <c r="CZ201" s="93"/>
      <c r="DA201" s="93"/>
      <c r="DB201" s="93"/>
      <c r="DC201" s="93"/>
      <c r="DD201" s="93"/>
      <c r="DE201" s="93"/>
      <c r="DF201" s="93"/>
      <c r="DG201" s="93"/>
      <c r="DH201" s="93"/>
      <c r="DI201" s="93"/>
      <c r="DJ201" s="93"/>
      <c r="DK201" s="93"/>
      <c r="DL201" s="93"/>
      <c r="DM201" s="93"/>
      <c r="DN201" s="93"/>
      <c r="DO201" s="93"/>
      <c r="DP201" s="93"/>
      <c r="DQ201" s="93"/>
      <c r="DR201" s="93"/>
      <c r="DS201" s="93"/>
      <c r="DT201" s="93"/>
      <c r="DU201" s="93"/>
      <c r="DV201" s="93"/>
      <c r="DW201" s="93"/>
      <c r="DX201" s="93"/>
      <c r="DY201" s="93"/>
      <c r="DZ201" s="93"/>
      <c r="EA201" s="93"/>
      <c r="EB201" s="93"/>
      <c r="EC201" s="93"/>
      <c r="ED201" s="93"/>
      <c r="EE201" s="93"/>
      <c r="EF201" s="93"/>
      <c r="EG201" s="93"/>
      <c r="EH201" s="93"/>
      <c r="EI201" s="93"/>
      <c r="EJ201" s="93"/>
      <c r="EK201" s="93"/>
      <c r="EL201" s="93"/>
      <c r="EM201" s="93"/>
      <c r="EN201" s="93"/>
      <c r="EO201" s="93"/>
      <c r="EP201" s="93"/>
      <c r="EQ201" s="93"/>
      <c r="ER201" s="93"/>
      <c r="ES201" s="93"/>
      <c r="ET201" s="93"/>
      <c r="EU201" s="93"/>
      <c r="EV201" s="93"/>
      <c r="EW201" s="93"/>
      <c r="EX201" s="93"/>
      <c r="EY201" s="93"/>
      <c r="EZ201" s="93"/>
      <c r="FA201" s="93"/>
      <c r="FB201" s="93"/>
      <c r="FC201" s="93"/>
      <c r="FD201" s="93"/>
      <c r="FE201" s="93"/>
      <c r="FF201" s="93"/>
      <c r="FG201" s="93"/>
      <c r="FH201" s="93"/>
      <c r="FI201" s="93"/>
      <c r="FJ201" s="93"/>
      <c r="FK201" s="93"/>
      <c r="FL201" s="93"/>
      <c r="FM201" s="93"/>
      <c r="FN201" s="93"/>
      <c r="FO201" s="93"/>
      <c r="FP201" s="93"/>
      <c r="FQ201" s="93"/>
      <c r="FR201" s="93"/>
      <c r="FS201" s="93"/>
      <c r="FT201" s="93"/>
      <c r="FU201" s="93"/>
      <c r="FV201" s="93"/>
      <c r="FW201" s="93"/>
      <c r="FX201" s="93"/>
      <c r="FY201" s="93"/>
      <c r="FZ201" s="93"/>
      <c r="GA201" s="93"/>
      <c r="GB201" s="93"/>
      <c r="GC201" s="93"/>
      <c r="GD201" s="93"/>
      <c r="GE201" s="93"/>
      <c r="GF201" s="93"/>
      <c r="GG201" s="93"/>
      <c r="GH201" s="93"/>
      <c r="GI201" s="93"/>
      <c r="GJ201" s="93"/>
      <c r="GK201" s="93"/>
      <c r="GL201" s="93"/>
      <c r="GM201" s="93"/>
      <c r="GN201" s="93"/>
      <c r="GO201" s="93"/>
      <c r="GP201" s="93"/>
      <c r="GQ201" s="93"/>
      <c r="GR201" s="93"/>
      <c r="GS201" s="93"/>
      <c r="GT201" s="93"/>
      <c r="GU201" s="93"/>
      <c r="GV201" s="93"/>
      <c r="GW201" s="93"/>
      <c r="GX201" s="93"/>
      <c r="GY201" s="93"/>
      <c r="GZ201" s="93"/>
      <c r="HA201" s="93"/>
      <c r="HB201" s="93"/>
      <c r="HC201" s="93"/>
      <c r="HD201" s="93"/>
      <c r="HE201" s="93"/>
      <c r="HF201" s="93"/>
      <c r="HG201" s="93"/>
      <c r="HH201" s="93"/>
      <c r="HI201" s="93"/>
      <c r="HJ201" s="93"/>
      <c r="HK201" s="93"/>
      <c r="HL201" s="93"/>
      <c r="HM201" s="93"/>
      <c r="HN201" s="93"/>
      <c r="HO201" s="93"/>
      <c r="HP201" s="93"/>
      <c r="HQ201" s="93"/>
      <c r="HR201" s="93"/>
      <c r="HS201" s="93"/>
      <c r="HT201" s="93"/>
      <c r="HU201" s="93"/>
      <c r="HV201" s="93"/>
      <c r="HW201" s="93"/>
      <c r="HX201" s="93"/>
      <c r="HY201" s="93"/>
      <c r="HZ201" s="93"/>
      <c r="IA201" s="93"/>
      <c r="IB201" s="93"/>
      <c r="IC201" s="93"/>
      <c r="ID201" s="93"/>
      <c r="IE201" s="93"/>
      <c r="IF201" s="93"/>
      <c r="IG201" s="93"/>
      <c r="IH201" s="93"/>
      <c r="II201" s="93"/>
      <c r="IJ201" s="93"/>
      <c r="IK201" s="93"/>
      <c r="IL201" s="93"/>
      <c r="IM201" s="93"/>
      <c r="IN201" s="93"/>
      <c r="IO201" s="93"/>
      <c r="IP201" s="93"/>
      <c r="IQ201" s="93"/>
      <c r="IR201" s="93"/>
      <c r="IS201" s="93"/>
      <c r="IT201" s="93"/>
      <c r="IU201" s="93"/>
      <c r="IV201" s="93"/>
      <c r="IW201" s="93"/>
      <c r="IX201" s="93"/>
      <c r="IY201" s="93"/>
      <c r="IZ201" s="93"/>
    </row>
    <row r="202" spans="1:260" s="95" customFormat="1">
      <c r="A202" s="93"/>
      <c r="B202" s="183"/>
      <c r="C202" s="183"/>
      <c r="D202" s="183"/>
      <c r="E202" s="158"/>
      <c r="F202" s="158"/>
      <c r="G202" s="158"/>
      <c r="H202" s="158"/>
      <c r="I202" s="158"/>
      <c r="J202" s="158"/>
      <c r="K202" s="158"/>
      <c r="L202" s="158"/>
      <c r="M202" s="158"/>
      <c r="N202" s="158"/>
      <c r="O202" s="158"/>
      <c r="P202" s="228"/>
      <c r="Q202" s="158"/>
      <c r="R202" s="158"/>
      <c r="S202" s="207"/>
      <c r="T202" s="207"/>
      <c r="U202" s="207"/>
      <c r="V202" s="207"/>
      <c r="W202" s="207"/>
      <c r="X202" s="207"/>
      <c r="Y202" s="207"/>
      <c r="Z202" s="207"/>
      <c r="AA202" s="207"/>
      <c r="AB202" s="207"/>
      <c r="AC202" s="207"/>
      <c r="AD202" s="207"/>
      <c r="AE202" s="207"/>
      <c r="AF202" s="207"/>
      <c r="AG202" s="207"/>
      <c r="AH202" s="207"/>
      <c r="AI202" s="207"/>
      <c r="AJ202" s="207"/>
      <c r="AK202" s="207"/>
      <c r="AL202" s="207"/>
      <c r="AM202" s="94"/>
      <c r="AN202" s="94"/>
      <c r="AO202" s="94"/>
      <c r="AP202" s="94"/>
      <c r="AQ202" s="94"/>
      <c r="AR202" s="94"/>
      <c r="AS202" s="94"/>
      <c r="AT202" s="94"/>
      <c r="AU202" s="94"/>
      <c r="AV202" s="94"/>
      <c r="AW202" s="94"/>
      <c r="AX202" s="94"/>
      <c r="AY202" s="94"/>
      <c r="AZ202" s="93"/>
      <c r="BA202" s="93"/>
      <c r="BB202" s="93"/>
      <c r="BC202" s="93"/>
      <c r="BD202" s="93"/>
      <c r="BE202" s="93"/>
      <c r="BF202" s="93"/>
      <c r="BG202" s="93"/>
      <c r="BH202" s="93"/>
      <c r="BI202" s="93"/>
      <c r="BJ202" s="93"/>
      <c r="BK202" s="93"/>
      <c r="BL202" s="93"/>
      <c r="BM202" s="93"/>
      <c r="BN202" s="93"/>
      <c r="BO202" s="93"/>
      <c r="BP202" s="93"/>
      <c r="BQ202" s="93"/>
      <c r="BR202" s="93"/>
      <c r="BS202" s="93"/>
      <c r="BT202" s="93"/>
      <c r="BU202" s="93"/>
      <c r="BV202" s="93"/>
      <c r="BW202" s="93"/>
      <c r="BX202" s="93"/>
      <c r="BY202" s="93"/>
      <c r="BZ202" s="93"/>
      <c r="CA202" s="93"/>
      <c r="CB202" s="93"/>
      <c r="CC202" s="93"/>
      <c r="CD202" s="93"/>
      <c r="CE202" s="93"/>
      <c r="CF202" s="93"/>
      <c r="CG202" s="93"/>
      <c r="CH202" s="93"/>
      <c r="CI202" s="93"/>
      <c r="CJ202" s="93"/>
      <c r="CK202" s="93"/>
      <c r="CL202" s="93"/>
      <c r="CM202" s="93"/>
      <c r="CN202" s="93"/>
      <c r="CO202" s="93"/>
      <c r="CP202" s="93"/>
      <c r="CQ202" s="93"/>
      <c r="CR202" s="93"/>
      <c r="CS202" s="93"/>
      <c r="CT202" s="93"/>
      <c r="CU202" s="93"/>
      <c r="CV202" s="93"/>
      <c r="CW202" s="93"/>
      <c r="CX202" s="93"/>
      <c r="CY202" s="93"/>
      <c r="CZ202" s="93"/>
      <c r="DA202" s="93"/>
      <c r="DB202" s="93"/>
      <c r="DC202" s="93"/>
      <c r="DD202" s="93"/>
      <c r="DE202" s="93"/>
      <c r="DF202" s="93"/>
      <c r="DG202" s="93"/>
      <c r="DH202" s="93"/>
      <c r="DI202" s="93"/>
      <c r="DJ202" s="93"/>
      <c r="DK202" s="93"/>
      <c r="DL202" s="93"/>
      <c r="DM202" s="93"/>
      <c r="DN202" s="93"/>
      <c r="DO202" s="93"/>
      <c r="DP202" s="93"/>
      <c r="DQ202" s="93"/>
      <c r="DR202" s="93"/>
      <c r="DS202" s="93"/>
      <c r="DT202" s="93"/>
      <c r="DU202" s="93"/>
      <c r="DV202" s="93"/>
      <c r="DW202" s="93"/>
      <c r="DX202" s="93"/>
      <c r="DY202" s="93"/>
      <c r="DZ202" s="93"/>
      <c r="EA202" s="93"/>
      <c r="EB202" s="93"/>
      <c r="EC202" s="93"/>
      <c r="ED202" s="93"/>
      <c r="EE202" s="93"/>
      <c r="EF202" s="93"/>
      <c r="EG202" s="93"/>
      <c r="EH202" s="93"/>
      <c r="EI202" s="93"/>
      <c r="EJ202" s="93"/>
      <c r="EK202" s="93"/>
      <c r="EL202" s="93"/>
      <c r="EM202" s="93"/>
      <c r="EN202" s="93"/>
      <c r="EO202" s="93"/>
      <c r="EP202" s="93"/>
      <c r="EQ202" s="93"/>
      <c r="ER202" s="93"/>
      <c r="ES202" s="93"/>
      <c r="ET202" s="93"/>
      <c r="EU202" s="93"/>
      <c r="EV202" s="93"/>
      <c r="EW202" s="93"/>
      <c r="EX202" s="93"/>
      <c r="EY202" s="93"/>
      <c r="EZ202" s="93"/>
      <c r="FA202" s="93"/>
      <c r="FB202" s="93"/>
      <c r="FC202" s="93"/>
      <c r="FD202" s="93"/>
      <c r="FE202" s="93"/>
      <c r="FF202" s="93"/>
      <c r="FG202" s="93"/>
      <c r="FH202" s="93"/>
      <c r="FI202" s="93"/>
      <c r="FJ202" s="93"/>
      <c r="FK202" s="93"/>
      <c r="FL202" s="93"/>
      <c r="FM202" s="93"/>
      <c r="FN202" s="93"/>
      <c r="FO202" s="93"/>
      <c r="FP202" s="93"/>
      <c r="FQ202" s="93"/>
      <c r="FR202" s="93"/>
      <c r="FS202" s="93"/>
      <c r="FT202" s="93"/>
      <c r="FU202" s="93"/>
      <c r="FV202" s="93"/>
      <c r="FW202" s="93"/>
      <c r="FX202" s="93"/>
      <c r="FY202" s="93"/>
      <c r="FZ202" s="93"/>
      <c r="GA202" s="93"/>
      <c r="GB202" s="93"/>
      <c r="GC202" s="93"/>
      <c r="GD202" s="93"/>
      <c r="GE202" s="93"/>
      <c r="GF202" s="93"/>
      <c r="GG202" s="93"/>
      <c r="GH202" s="93"/>
      <c r="GI202" s="93"/>
      <c r="GJ202" s="93"/>
      <c r="GK202" s="93"/>
      <c r="GL202" s="93"/>
      <c r="GM202" s="93"/>
      <c r="GN202" s="93"/>
      <c r="GO202" s="93"/>
      <c r="GP202" s="93"/>
      <c r="GQ202" s="93"/>
      <c r="GR202" s="93"/>
      <c r="GS202" s="93"/>
      <c r="GT202" s="93"/>
      <c r="GU202" s="93"/>
      <c r="GV202" s="93"/>
      <c r="GW202" s="93"/>
      <c r="GX202" s="93"/>
      <c r="GY202" s="93"/>
      <c r="GZ202" s="93"/>
      <c r="HA202" s="93"/>
      <c r="HB202" s="93"/>
      <c r="HC202" s="93"/>
      <c r="HD202" s="93"/>
      <c r="HE202" s="93"/>
      <c r="HF202" s="93"/>
      <c r="HG202" s="93"/>
      <c r="HH202" s="93"/>
      <c r="HI202" s="93"/>
      <c r="HJ202" s="93"/>
      <c r="HK202" s="93"/>
      <c r="HL202" s="93"/>
      <c r="HM202" s="93"/>
      <c r="HN202" s="93"/>
      <c r="HO202" s="93"/>
      <c r="HP202" s="93"/>
      <c r="HQ202" s="93"/>
      <c r="HR202" s="93"/>
      <c r="HS202" s="93"/>
      <c r="HT202" s="93"/>
      <c r="HU202" s="93"/>
      <c r="HV202" s="93"/>
      <c r="HW202" s="93"/>
      <c r="HX202" s="93"/>
      <c r="HY202" s="93"/>
      <c r="HZ202" s="93"/>
      <c r="IA202" s="93"/>
      <c r="IB202" s="93"/>
      <c r="IC202" s="93"/>
      <c r="ID202" s="93"/>
      <c r="IE202" s="93"/>
      <c r="IF202" s="93"/>
      <c r="IG202" s="93"/>
      <c r="IH202" s="93"/>
      <c r="II202" s="93"/>
      <c r="IJ202" s="93"/>
      <c r="IK202" s="93"/>
      <c r="IL202" s="93"/>
      <c r="IM202" s="93"/>
      <c r="IN202" s="93"/>
      <c r="IO202" s="93"/>
      <c r="IP202" s="93"/>
      <c r="IQ202" s="93"/>
      <c r="IR202" s="93"/>
      <c r="IS202" s="93"/>
      <c r="IT202" s="93"/>
      <c r="IU202" s="93"/>
      <c r="IV202" s="93"/>
      <c r="IW202" s="93"/>
      <c r="IX202" s="93"/>
      <c r="IY202" s="93"/>
      <c r="IZ202" s="93"/>
    </row>
    <row r="203" spans="1:260" s="95" customFormat="1">
      <c r="A203" s="93"/>
      <c r="B203" s="183"/>
      <c r="C203" s="183"/>
      <c r="D203" s="183"/>
      <c r="E203" s="158"/>
      <c r="F203" s="158"/>
      <c r="G203" s="158"/>
      <c r="H203" s="158"/>
      <c r="I203" s="158"/>
      <c r="J203" s="158"/>
      <c r="K203" s="158"/>
      <c r="L203" s="158"/>
      <c r="M203" s="158"/>
      <c r="N203" s="158"/>
      <c r="O203" s="158"/>
      <c r="P203" s="228"/>
      <c r="Q203" s="158"/>
      <c r="R203" s="158"/>
      <c r="S203" s="207"/>
      <c r="T203" s="207"/>
      <c r="U203" s="207"/>
      <c r="V203" s="207"/>
      <c r="W203" s="207"/>
      <c r="X203" s="207"/>
      <c r="Y203" s="207"/>
      <c r="Z203" s="207"/>
      <c r="AA203" s="207"/>
      <c r="AB203" s="207"/>
      <c r="AC203" s="207"/>
      <c r="AD203" s="207"/>
      <c r="AE203" s="207"/>
      <c r="AF203" s="207"/>
      <c r="AG203" s="207"/>
      <c r="AH203" s="207"/>
      <c r="AI203" s="207"/>
      <c r="AJ203" s="207"/>
      <c r="AK203" s="207"/>
      <c r="AL203" s="207"/>
      <c r="AM203" s="94"/>
      <c r="AN203" s="94"/>
      <c r="AO203" s="94"/>
      <c r="AP203" s="94"/>
      <c r="AQ203" s="94"/>
      <c r="AR203" s="94"/>
      <c r="AS203" s="94"/>
      <c r="AT203" s="94"/>
      <c r="AU203" s="94"/>
      <c r="AV203" s="94"/>
      <c r="AW203" s="94"/>
      <c r="AX203" s="94"/>
      <c r="AY203" s="94"/>
      <c r="AZ203" s="93"/>
      <c r="BA203" s="93"/>
      <c r="BB203" s="93"/>
      <c r="BC203" s="93"/>
      <c r="BD203" s="93"/>
      <c r="BE203" s="93"/>
      <c r="BF203" s="93"/>
      <c r="BG203" s="93"/>
      <c r="BH203" s="93"/>
      <c r="BI203" s="93"/>
      <c r="BJ203" s="93"/>
      <c r="BK203" s="93"/>
      <c r="BL203" s="93"/>
      <c r="BM203" s="93"/>
      <c r="BN203" s="93"/>
      <c r="BO203" s="93"/>
      <c r="BP203" s="93"/>
      <c r="BQ203" s="93"/>
      <c r="BR203" s="93"/>
      <c r="BS203" s="93"/>
      <c r="BT203" s="93"/>
      <c r="BU203" s="93"/>
      <c r="BV203" s="93"/>
      <c r="BW203" s="93"/>
      <c r="BX203" s="93"/>
      <c r="BY203" s="93"/>
      <c r="BZ203" s="93"/>
      <c r="CA203" s="93"/>
      <c r="CB203" s="93"/>
      <c r="CC203" s="93"/>
      <c r="CD203" s="93"/>
      <c r="CE203" s="93"/>
      <c r="CF203" s="93"/>
      <c r="CG203" s="93"/>
      <c r="CH203" s="93"/>
      <c r="CI203" s="93"/>
      <c r="CJ203" s="93"/>
      <c r="CK203" s="93"/>
      <c r="CL203" s="93"/>
      <c r="CM203" s="93"/>
      <c r="CN203" s="93"/>
      <c r="CO203" s="93"/>
      <c r="CP203" s="93"/>
      <c r="CQ203" s="93"/>
      <c r="CR203" s="93"/>
      <c r="CS203" s="93"/>
      <c r="CT203" s="93"/>
      <c r="CU203" s="93"/>
      <c r="CV203" s="93"/>
      <c r="CW203" s="93"/>
      <c r="CX203" s="93"/>
      <c r="CY203" s="93"/>
      <c r="CZ203" s="93"/>
      <c r="DA203" s="93"/>
      <c r="DB203" s="93"/>
      <c r="DC203" s="93"/>
      <c r="DD203" s="93"/>
      <c r="DE203" s="93"/>
      <c r="DF203" s="93"/>
      <c r="DG203" s="93"/>
      <c r="DH203" s="93"/>
      <c r="DI203" s="93"/>
      <c r="DJ203" s="93"/>
      <c r="DK203" s="93"/>
      <c r="DL203" s="93"/>
      <c r="DM203" s="93"/>
      <c r="DN203" s="93"/>
      <c r="DO203" s="93"/>
      <c r="DP203" s="93"/>
      <c r="DQ203" s="93"/>
      <c r="DR203" s="93"/>
      <c r="DS203" s="93"/>
      <c r="DT203" s="93"/>
      <c r="DU203" s="93"/>
      <c r="DV203" s="93"/>
      <c r="DW203" s="93"/>
      <c r="DX203" s="93"/>
      <c r="DY203" s="93"/>
      <c r="DZ203" s="93"/>
      <c r="EA203" s="93"/>
      <c r="EB203" s="93"/>
      <c r="EC203" s="93"/>
      <c r="ED203" s="93"/>
      <c r="EE203" s="93"/>
      <c r="EF203" s="93"/>
      <c r="EG203" s="93"/>
      <c r="EH203" s="93"/>
      <c r="EI203" s="93"/>
      <c r="EJ203" s="93"/>
      <c r="EK203" s="93"/>
      <c r="EL203" s="93"/>
      <c r="EM203" s="93"/>
      <c r="EN203" s="93"/>
      <c r="EO203" s="93"/>
      <c r="EP203" s="93"/>
      <c r="EQ203" s="93"/>
      <c r="ER203" s="93"/>
      <c r="ES203" s="93"/>
      <c r="ET203" s="93"/>
      <c r="EU203" s="93"/>
      <c r="EV203" s="93"/>
      <c r="EW203" s="93"/>
      <c r="EX203" s="93"/>
      <c r="EY203" s="93"/>
      <c r="EZ203" s="93"/>
      <c r="FA203" s="93"/>
      <c r="FB203" s="93"/>
      <c r="FC203" s="93"/>
      <c r="FD203" s="93"/>
      <c r="FE203" s="93"/>
      <c r="FF203" s="93"/>
      <c r="FG203" s="93"/>
      <c r="FH203" s="93"/>
      <c r="FI203" s="93"/>
      <c r="FJ203" s="93"/>
      <c r="FK203" s="93"/>
      <c r="FL203" s="93"/>
      <c r="FM203" s="93"/>
      <c r="FN203" s="93"/>
      <c r="FO203" s="93"/>
      <c r="FP203" s="93"/>
      <c r="FQ203" s="93"/>
      <c r="FR203" s="93"/>
      <c r="FS203" s="93"/>
      <c r="FT203" s="93"/>
      <c r="FU203" s="93"/>
      <c r="FV203" s="93"/>
      <c r="FW203" s="93"/>
      <c r="FX203" s="93"/>
      <c r="FY203" s="93"/>
      <c r="FZ203" s="93"/>
      <c r="GA203" s="93"/>
      <c r="GB203" s="93"/>
      <c r="GC203" s="93"/>
      <c r="GD203" s="93"/>
      <c r="GE203" s="93"/>
      <c r="GF203" s="93"/>
      <c r="GG203" s="93"/>
      <c r="GH203" s="93"/>
      <c r="GI203" s="93"/>
      <c r="GJ203" s="93"/>
      <c r="GK203" s="93"/>
      <c r="GL203" s="93"/>
      <c r="GM203" s="93"/>
      <c r="GN203" s="93"/>
      <c r="GO203" s="93"/>
      <c r="GP203" s="93"/>
      <c r="GQ203" s="93"/>
      <c r="GR203" s="93"/>
      <c r="GS203" s="93"/>
      <c r="GT203" s="93"/>
      <c r="GU203" s="93"/>
      <c r="GV203" s="93"/>
      <c r="GW203" s="93"/>
      <c r="GX203" s="93"/>
      <c r="GY203" s="93"/>
      <c r="GZ203" s="93"/>
      <c r="HA203" s="93"/>
      <c r="HB203" s="93"/>
      <c r="HC203" s="93"/>
      <c r="HD203" s="93"/>
      <c r="HE203" s="93"/>
      <c r="HF203" s="93"/>
      <c r="HG203" s="93"/>
      <c r="HH203" s="93"/>
      <c r="HI203" s="93"/>
      <c r="HJ203" s="93"/>
      <c r="HK203" s="93"/>
      <c r="HL203" s="93"/>
      <c r="HM203" s="93"/>
      <c r="HN203" s="93"/>
      <c r="HO203" s="93"/>
      <c r="HP203" s="93"/>
      <c r="HQ203" s="93"/>
      <c r="HR203" s="93"/>
      <c r="HS203" s="93"/>
      <c r="HT203" s="93"/>
      <c r="HU203" s="93"/>
      <c r="HV203" s="93"/>
      <c r="HW203" s="93"/>
      <c r="HX203" s="93"/>
      <c r="HY203" s="93"/>
      <c r="HZ203" s="93"/>
      <c r="IA203" s="93"/>
      <c r="IB203" s="93"/>
      <c r="IC203" s="93"/>
      <c r="ID203" s="93"/>
      <c r="IE203" s="93"/>
      <c r="IF203" s="93"/>
      <c r="IG203" s="93"/>
      <c r="IH203" s="93"/>
      <c r="II203" s="93"/>
      <c r="IJ203" s="93"/>
      <c r="IK203" s="93"/>
      <c r="IL203" s="93"/>
      <c r="IM203" s="93"/>
      <c r="IN203" s="93"/>
      <c r="IO203" s="93"/>
      <c r="IP203" s="93"/>
      <c r="IQ203" s="93"/>
      <c r="IR203" s="93"/>
      <c r="IS203" s="93"/>
      <c r="IT203" s="93"/>
      <c r="IU203" s="93"/>
      <c r="IV203" s="93"/>
      <c r="IW203" s="93"/>
      <c r="IX203" s="93"/>
      <c r="IY203" s="93"/>
      <c r="IZ203" s="93"/>
    </row>
    <row r="204" spans="1:260" s="95" customFormat="1">
      <c r="A204" s="93"/>
      <c r="B204" s="183"/>
      <c r="C204" s="183"/>
      <c r="D204" s="183"/>
      <c r="E204" s="158"/>
      <c r="F204" s="158"/>
      <c r="G204" s="158"/>
      <c r="H204" s="158"/>
      <c r="I204" s="158"/>
      <c r="J204" s="158"/>
      <c r="K204" s="158"/>
      <c r="L204" s="158"/>
      <c r="M204" s="158"/>
      <c r="N204" s="158"/>
      <c r="O204" s="158"/>
      <c r="P204" s="228"/>
      <c r="Q204" s="158"/>
      <c r="R204" s="158"/>
      <c r="S204" s="207"/>
      <c r="T204" s="207"/>
      <c r="U204" s="207"/>
      <c r="V204" s="207"/>
      <c r="W204" s="207"/>
      <c r="X204" s="207"/>
      <c r="Y204" s="207"/>
      <c r="Z204" s="207"/>
      <c r="AA204" s="207"/>
      <c r="AB204" s="207"/>
      <c r="AC204" s="207"/>
      <c r="AD204" s="207"/>
      <c r="AE204" s="207"/>
      <c r="AF204" s="207"/>
      <c r="AG204" s="207"/>
      <c r="AH204" s="207"/>
      <c r="AI204" s="207"/>
      <c r="AJ204" s="207"/>
      <c r="AK204" s="207"/>
      <c r="AL204" s="207"/>
      <c r="AM204" s="94"/>
      <c r="AN204" s="94"/>
      <c r="AO204" s="94"/>
      <c r="AP204" s="94"/>
      <c r="AQ204" s="94"/>
      <c r="AR204" s="94"/>
      <c r="AS204" s="94"/>
      <c r="AT204" s="94"/>
      <c r="AU204" s="94"/>
      <c r="AV204" s="94"/>
      <c r="AW204" s="94"/>
      <c r="AX204" s="94"/>
      <c r="AY204" s="94"/>
      <c r="AZ204" s="93"/>
      <c r="BA204" s="93"/>
      <c r="BB204" s="93"/>
      <c r="BC204" s="93"/>
      <c r="BD204" s="93"/>
      <c r="BE204" s="93"/>
      <c r="BF204" s="93"/>
      <c r="BG204" s="93"/>
      <c r="BH204" s="93"/>
      <c r="BI204" s="93"/>
      <c r="BJ204" s="93"/>
      <c r="BK204" s="93"/>
      <c r="BL204" s="93"/>
      <c r="BM204" s="93"/>
      <c r="BN204" s="93"/>
      <c r="BO204" s="93"/>
      <c r="BP204" s="93"/>
      <c r="BQ204" s="93"/>
      <c r="BR204" s="93"/>
      <c r="BS204" s="93"/>
      <c r="BT204" s="93"/>
      <c r="BU204" s="93"/>
      <c r="BV204" s="93"/>
      <c r="BW204" s="93"/>
      <c r="BX204" s="93"/>
      <c r="BY204" s="93"/>
      <c r="BZ204" s="93"/>
      <c r="CA204" s="93"/>
      <c r="CB204" s="93"/>
      <c r="CC204" s="93"/>
      <c r="CD204" s="93"/>
      <c r="CE204" s="93"/>
      <c r="CF204" s="93"/>
      <c r="CG204" s="93"/>
      <c r="CH204" s="93"/>
      <c r="CI204" s="93"/>
      <c r="CJ204" s="93"/>
      <c r="CK204" s="93"/>
      <c r="CL204" s="93"/>
      <c r="CM204" s="93"/>
      <c r="CN204" s="93"/>
      <c r="CO204" s="93"/>
      <c r="CP204" s="93"/>
      <c r="CQ204" s="93"/>
      <c r="CR204" s="93"/>
      <c r="CS204" s="93"/>
      <c r="CT204" s="93"/>
      <c r="CU204" s="93"/>
      <c r="CV204" s="93"/>
      <c r="CW204" s="93"/>
      <c r="CX204" s="93"/>
      <c r="CY204" s="93"/>
      <c r="CZ204" s="93"/>
      <c r="DA204" s="93"/>
      <c r="DB204" s="93"/>
      <c r="DC204" s="93"/>
      <c r="DD204" s="93"/>
      <c r="DE204" s="93"/>
      <c r="DF204" s="93"/>
      <c r="DG204" s="93"/>
      <c r="DH204" s="93"/>
      <c r="DI204" s="93"/>
      <c r="DJ204" s="93"/>
      <c r="DK204" s="93"/>
      <c r="DL204" s="93"/>
      <c r="DM204" s="93"/>
      <c r="DN204" s="93"/>
      <c r="DO204" s="93"/>
      <c r="DP204" s="93"/>
      <c r="DQ204" s="93"/>
      <c r="DR204" s="93"/>
      <c r="DS204" s="93"/>
      <c r="DT204" s="93"/>
      <c r="DU204" s="93"/>
      <c r="DV204" s="93"/>
      <c r="DW204" s="93"/>
      <c r="DX204" s="93"/>
      <c r="DY204" s="93"/>
      <c r="DZ204" s="93"/>
      <c r="EA204" s="93"/>
      <c r="EB204" s="93"/>
      <c r="EC204" s="93"/>
      <c r="ED204" s="93"/>
      <c r="EE204" s="93"/>
      <c r="EF204" s="93"/>
      <c r="EG204" s="93"/>
      <c r="EH204" s="93"/>
      <c r="EI204" s="93"/>
      <c r="EJ204" s="93"/>
      <c r="EK204" s="93"/>
      <c r="EL204" s="93"/>
      <c r="EM204" s="93"/>
      <c r="EN204" s="93"/>
      <c r="EO204" s="93"/>
      <c r="EP204" s="93"/>
      <c r="EQ204" s="93"/>
      <c r="ER204" s="93"/>
      <c r="ES204" s="93"/>
      <c r="ET204" s="93"/>
      <c r="EU204" s="93"/>
      <c r="EV204" s="93"/>
      <c r="EW204" s="93"/>
      <c r="EX204" s="93"/>
      <c r="EY204" s="93"/>
      <c r="EZ204" s="93"/>
      <c r="FA204" s="93"/>
      <c r="FB204" s="93"/>
      <c r="FC204" s="93"/>
      <c r="FD204" s="93"/>
      <c r="FE204" s="93"/>
      <c r="FF204" s="93"/>
      <c r="FG204" s="93"/>
      <c r="FH204" s="93"/>
      <c r="FI204" s="93"/>
      <c r="FJ204" s="93"/>
      <c r="FK204" s="93"/>
      <c r="FL204" s="93"/>
      <c r="FM204" s="93"/>
      <c r="FN204" s="93"/>
      <c r="FO204" s="93"/>
      <c r="FP204" s="93"/>
      <c r="FQ204" s="93"/>
      <c r="FR204" s="93"/>
      <c r="FS204" s="93"/>
      <c r="FT204" s="93"/>
      <c r="FU204" s="93"/>
      <c r="FV204" s="93"/>
      <c r="FW204" s="93"/>
      <c r="FX204" s="93"/>
      <c r="FY204" s="93"/>
      <c r="FZ204" s="93"/>
      <c r="GA204" s="93"/>
      <c r="GB204" s="93"/>
      <c r="GC204" s="93"/>
      <c r="GD204" s="93"/>
      <c r="GE204" s="93"/>
      <c r="GF204" s="93"/>
      <c r="GG204" s="93"/>
      <c r="GH204" s="93"/>
      <c r="GI204" s="93"/>
      <c r="GJ204" s="93"/>
      <c r="GK204" s="93"/>
      <c r="GL204" s="93"/>
      <c r="GM204" s="93"/>
      <c r="GN204" s="93"/>
      <c r="GO204" s="93"/>
      <c r="GP204" s="93"/>
      <c r="GQ204" s="93"/>
      <c r="GR204" s="93"/>
      <c r="GS204" s="93"/>
      <c r="GT204" s="93"/>
      <c r="GU204" s="93"/>
      <c r="GV204" s="93"/>
      <c r="GW204" s="93"/>
      <c r="GX204" s="93"/>
      <c r="GY204" s="93"/>
      <c r="GZ204" s="93"/>
      <c r="HA204" s="93"/>
      <c r="HB204" s="93"/>
      <c r="HC204" s="93"/>
      <c r="HD204" s="93"/>
      <c r="HE204" s="93"/>
      <c r="HF204" s="93"/>
      <c r="HG204" s="93"/>
      <c r="HH204" s="93"/>
      <c r="HI204" s="93"/>
      <c r="HJ204" s="93"/>
      <c r="HK204" s="93"/>
      <c r="HL204" s="93"/>
      <c r="HM204" s="93"/>
      <c r="HN204" s="93"/>
      <c r="HO204" s="93"/>
      <c r="HP204" s="93"/>
      <c r="HQ204" s="93"/>
      <c r="HR204" s="93"/>
      <c r="HS204" s="93"/>
      <c r="HT204" s="93"/>
      <c r="HU204" s="93"/>
      <c r="HV204" s="93"/>
      <c r="HW204" s="93"/>
      <c r="HX204" s="93"/>
      <c r="HY204" s="93"/>
      <c r="HZ204" s="93"/>
      <c r="IA204" s="93"/>
      <c r="IB204" s="93"/>
      <c r="IC204" s="93"/>
      <c r="ID204" s="93"/>
      <c r="IE204" s="93"/>
      <c r="IF204" s="93"/>
      <c r="IG204" s="93"/>
      <c r="IH204" s="93"/>
      <c r="II204" s="93"/>
      <c r="IJ204" s="93"/>
      <c r="IK204" s="93"/>
      <c r="IL204" s="93"/>
      <c r="IM204" s="93"/>
      <c r="IN204" s="93"/>
      <c r="IO204" s="93"/>
      <c r="IP204" s="93"/>
      <c r="IQ204" s="93"/>
      <c r="IR204" s="93"/>
      <c r="IS204" s="93"/>
      <c r="IT204" s="93"/>
      <c r="IU204" s="93"/>
      <c r="IV204" s="93"/>
      <c r="IW204" s="93"/>
      <c r="IX204" s="93"/>
      <c r="IY204" s="93"/>
      <c r="IZ204" s="93"/>
    </row>
    <row r="205" spans="1:260" s="95" customFormat="1">
      <c r="A205" s="93"/>
      <c r="B205" s="183"/>
      <c r="C205" s="183"/>
      <c r="D205" s="183"/>
      <c r="E205" s="158"/>
      <c r="F205" s="158"/>
      <c r="G205" s="158"/>
      <c r="H205" s="158"/>
      <c r="I205" s="158"/>
      <c r="J205" s="158"/>
      <c r="K205" s="158"/>
      <c r="L205" s="158"/>
      <c r="M205" s="158"/>
      <c r="N205" s="158"/>
      <c r="O205" s="158"/>
      <c r="P205" s="228"/>
      <c r="Q205" s="158"/>
      <c r="R205" s="158"/>
      <c r="S205" s="207"/>
      <c r="T205" s="207"/>
      <c r="U205" s="207"/>
      <c r="V205" s="207"/>
      <c r="W205" s="207"/>
      <c r="X205" s="207"/>
      <c r="Y205" s="207"/>
      <c r="Z205" s="207"/>
      <c r="AA205" s="207"/>
      <c r="AB205" s="207"/>
      <c r="AC205" s="207"/>
      <c r="AD205" s="207"/>
      <c r="AE205" s="207"/>
      <c r="AF205" s="207"/>
      <c r="AG205" s="207"/>
      <c r="AH205" s="207"/>
      <c r="AI205" s="207"/>
      <c r="AJ205" s="207"/>
      <c r="AK205" s="207"/>
      <c r="AL205" s="207"/>
      <c r="AM205" s="94"/>
      <c r="AN205" s="94"/>
      <c r="AO205" s="94"/>
      <c r="AP205" s="94"/>
      <c r="AQ205" s="94"/>
      <c r="AR205" s="94"/>
      <c r="AS205" s="94"/>
      <c r="AT205" s="94"/>
      <c r="AU205" s="94"/>
      <c r="AV205" s="94"/>
      <c r="AW205" s="94"/>
      <c r="AX205" s="94"/>
      <c r="AY205" s="94"/>
      <c r="AZ205" s="93"/>
      <c r="BA205" s="93"/>
      <c r="BB205" s="93"/>
      <c r="BC205" s="93"/>
      <c r="BD205" s="93"/>
      <c r="BE205" s="93"/>
      <c r="BF205" s="93"/>
      <c r="BG205" s="93"/>
      <c r="BH205" s="93"/>
      <c r="BI205" s="93"/>
      <c r="BJ205" s="93"/>
      <c r="BK205" s="93"/>
      <c r="BL205" s="93"/>
      <c r="BM205" s="93"/>
      <c r="BN205" s="93"/>
      <c r="BO205" s="93"/>
      <c r="BP205" s="93"/>
      <c r="BQ205" s="93"/>
      <c r="BR205" s="93"/>
      <c r="BS205" s="93"/>
      <c r="BT205" s="93"/>
      <c r="BU205" s="93"/>
      <c r="BV205" s="93"/>
      <c r="BW205" s="93"/>
      <c r="BX205" s="93"/>
      <c r="BY205" s="93"/>
      <c r="BZ205" s="93"/>
      <c r="CA205" s="93"/>
      <c r="CB205" s="93"/>
      <c r="CC205" s="93"/>
      <c r="CD205" s="93"/>
      <c r="CE205" s="93"/>
      <c r="CF205" s="93"/>
      <c r="CG205" s="93"/>
      <c r="CH205" s="93"/>
      <c r="CI205" s="93"/>
      <c r="CJ205" s="93"/>
      <c r="CK205" s="93"/>
      <c r="CL205" s="93"/>
      <c r="CM205" s="93"/>
      <c r="CN205" s="93"/>
      <c r="CO205" s="93"/>
      <c r="CP205" s="93"/>
      <c r="CQ205" s="93"/>
      <c r="CR205" s="93"/>
      <c r="CS205" s="93"/>
      <c r="CT205" s="93"/>
      <c r="CU205" s="93"/>
      <c r="CV205" s="93"/>
      <c r="CW205" s="93"/>
      <c r="CX205" s="93"/>
      <c r="CY205" s="93"/>
      <c r="CZ205" s="93"/>
      <c r="DA205" s="93"/>
      <c r="DB205" s="93"/>
      <c r="DC205" s="93"/>
      <c r="DD205" s="93"/>
      <c r="DE205" s="93"/>
      <c r="DF205" s="93"/>
      <c r="DG205" s="93"/>
      <c r="DH205" s="93"/>
      <c r="DI205" s="93"/>
      <c r="DJ205" s="93"/>
      <c r="DK205" s="93"/>
      <c r="DL205" s="93"/>
      <c r="DM205" s="93"/>
      <c r="DN205" s="93"/>
      <c r="DO205" s="93"/>
      <c r="DP205" s="93"/>
      <c r="DQ205" s="93"/>
      <c r="DR205" s="93"/>
      <c r="DS205" s="93"/>
      <c r="DT205" s="93"/>
      <c r="DU205" s="93"/>
      <c r="DV205" s="93"/>
      <c r="DW205" s="93"/>
      <c r="DX205" s="93"/>
      <c r="DY205" s="93"/>
      <c r="DZ205" s="93"/>
      <c r="EA205" s="93"/>
      <c r="EB205" s="93"/>
      <c r="EC205" s="93"/>
      <c r="ED205" s="93"/>
      <c r="EE205" s="93"/>
      <c r="EF205" s="93"/>
      <c r="EG205" s="93"/>
      <c r="EH205" s="93"/>
      <c r="EI205" s="93"/>
      <c r="EJ205" s="93"/>
      <c r="EK205" s="93"/>
      <c r="EL205" s="93"/>
      <c r="EM205" s="93"/>
      <c r="EN205" s="93"/>
      <c r="EO205" s="93"/>
      <c r="EP205" s="93"/>
      <c r="EQ205" s="93"/>
      <c r="ER205" s="93"/>
      <c r="ES205" s="93"/>
      <c r="ET205" s="93"/>
      <c r="EU205" s="93"/>
      <c r="EV205" s="93"/>
      <c r="EW205" s="93"/>
      <c r="EX205" s="93"/>
      <c r="EY205" s="93"/>
      <c r="EZ205" s="93"/>
      <c r="FA205" s="93"/>
      <c r="FB205" s="93"/>
      <c r="FC205" s="93"/>
      <c r="FD205" s="93"/>
      <c r="FE205" s="93"/>
      <c r="FF205" s="93"/>
      <c r="FG205" s="93"/>
      <c r="FH205" s="93"/>
      <c r="FI205" s="93"/>
      <c r="FJ205" s="93"/>
      <c r="FK205" s="93"/>
      <c r="FL205" s="93"/>
      <c r="FM205" s="93"/>
      <c r="FN205" s="93"/>
      <c r="FO205" s="93"/>
      <c r="FP205" s="93"/>
      <c r="FQ205" s="93"/>
      <c r="FR205" s="93"/>
      <c r="FS205" s="93"/>
      <c r="FT205" s="93"/>
      <c r="FU205" s="93"/>
      <c r="FV205" s="93"/>
      <c r="FW205" s="93"/>
      <c r="FX205" s="93"/>
      <c r="FY205" s="93"/>
      <c r="FZ205" s="93"/>
      <c r="GA205" s="93"/>
      <c r="GB205" s="93"/>
      <c r="GC205" s="93"/>
      <c r="GD205" s="93"/>
      <c r="GE205" s="93"/>
      <c r="GF205" s="93"/>
      <c r="GG205" s="93"/>
      <c r="GH205" s="93"/>
      <c r="GI205" s="93"/>
      <c r="GJ205" s="93"/>
      <c r="GK205" s="93"/>
      <c r="GL205" s="93"/>
      <c r="GM205" s="93"/>
      <c r="GN205" s="93"/>
      <c r="GO205" s="93"/>
      <c r="GP205" s="93"/>
      <c r="GQ205" s="93"/>
      <c r="GR205" s="93"/>
      <c r="GS205" s="93"/>
      <c r="GT205" s="93"/>
      <c r="GU205" s="93"/>
      <c r="GV205" s="93"/>
      <c r="GW205" s="93"/>
      <c r="GX205" s="93"/>
      <c r="GY205" s="93"/>
      <c r="GZ205" s="93"/>
      <c r="HA205" s="93"/>
      <c r="HB205" s="93"/>
      <c r="HC205" s="93"/>
      <c r="HD205" s="93"/>
      <c r="HE205" s="93"/>
      <c r="HF205" s="93"/>
      <c r="HG205" s="93"/>
      <c r="HH205" s="93"/>
      <c r="HI205" s="93"/>
      <c r="HJ205" s="93"/>
      <c r="HK205" s="93"/>
      <c r="HL205" s="93"/>
      <c r="HM205" s="93"/>
      <c r="HN205" s="93"/>
      <c r="HO205" s="93"/>
      <c r="HP205" s="93"/>
      <c r="HQ205" s="93"/>
      <c r="HR205" s="93"/>
      <c r="HS205" s="93"/>
      <c r="HT205" s="93"/>
      <c r="HU205" s="93"/>
      <c r="HV205" s="93"/>
      <c r="HW205" s="93"/>
      <c r="HX205" s="93"/>
      <c r="HY205" s="93"/>
      <c r="HZ205" s="93"/>
      <c r="IA205" s="93"/>
      <c r="IB205" s="93"/>
      <c r="IC205" s="93"/>
      <c r="ID205" s="93"/>
      <c r="IE205" s="93"/>
      <c r="IF205" s="93"/>
      <c r="IG205" s="93"/>
      <c r="IH205" s="93"/>
      <c r="II205" s="93"/>
      <c r="IJ205" s="93"/>
      <c r="IK205" s="93"/>
      <c r="IL205" s="93"/>
      <c r="IM205" s="93"/>
      <c r="IN205" s="93"/>
      <c r="IO205" s="93"/>
      <c r="IP205" s="93"/>
      <c r="IQ205" s="93"/>
      <c r="IR205" s="93"/>
      <c r="IS205" s="93"/>
      <c r="IT205" s="93"/>
      <c r="IU205" s="93"/>
      <c r="IV205" s="93"/>
      <c r="IW205" s="93"/>
      <c r="IX205" s="93"/>
      <c r="IY205" s="93"/>
      <c r="IZ205" s="93"/>
    </row>
    <row r="206" spans="1:260" s="95" customFormat="1">
      <c r="A206" s="93"/>
      <c r="B206" s="183"/>
      <c r="C206" s="183"/>
      <c r="D206" s="183"/>
      <c r="E206" s="158"/>
      <c r="F206" s="158"/>
      <c r="G206" s="158"/>
      <c r="H206" s="158"/>
      <c r="I206" s="158"/>
      <c r="J206" s="158"/>
      <c r="K206" s="158"/>
      <c r="L206" s="158"/>
      <c r="M206" s="158"/>
      <c r="N206" s="158"/>
      <c r="O206" s="158"/>
      <c r="P206" s="228"/>
      <c r="Q206" s="158"/>
      <c r="R206" s="158"/>
      <c r="S206" s="207"/>
      <c r="T206" s="207"/>
      <c r="U206" s="207"/>
      <c r="V206" s="207"/>
      <c r="W206" s="207"/>
      <c r="X206" s="207"/>
      <c r="Y206" s="207"/>
      <c r="Z206" s="207"/>
      <c r="AA206" s="207"/>
      <c r="AB206" s="207"/>
      <c r="AC206" s="207"/>
      <c r="AD206" s="207"/>
      <c r="AE206" s="207"/>
      <c r="AF206" s="207"/>
      <c r="AG206" s="207"/>
      <c r="AH206" s="207"/>
      <c r="AI206" s="207"/>
      <c r="AJ206" s="207"/>
      <c r="AK206" s="207"/>
      <c r="AL206" s="207"/>
      <c r="AM206" s="94"/>
      <c r="AN206" s="94"/>
      <c r="AO206" s="94"/>
      <c r="AP206" s="94"/>
      <c r="AQ206" s="94"/>
      <c r="AR206" s="94"/>
      <c r="AS206" s="94"/>
      <c r="AT206" s="94"/>
      <c r="AU206" s="94"/>
      <c r="AV206" s="94"/>
      <c r="AW206" s="94"/>
      <c r="AX206" s="94"/>
      <c r="AY206" s="94"/>
      <c r="AZ206" s="93"/>
      <c r="BA206" s="93"/>
      <c r="BB206" s="93"/>
      <c r="BC206" s="93"/>
      <c r="BD206" s="93"/>
      <c r="BE206" s="93"/>
      <c r="BF206" s="93"/>
      <c r="BG206" s="93"/>
      <c r="BH206" s="93"/>
      <c r="BI206" s="93"/>
      <c r="BJ206" s="93"/>
      <c r="BK206" s="93"/>
      <c r="BL206" s="93"/>
      <c r="BM206" s="93"/>
      <c r="BN206" s="93"/>
      <c r="BO206" s="93"/>
      <c r="BP206" s="93"/>
      <c r="BQ206" s="93"/>
      <c r="BR206" s="93"/>
      <c r="BS206" s="93"/>
      <c r="BT206" s="93"/>
      <c r="BU206" s="93"/>
      <c r="BV206" s="93"/>
      <c r="BW206" s="93"/>
      <c r="BX206" s="93"/>
      <c r="BY206" s="93"/>
      <c r="BZ206" s="93"/>
      <c r="CA206" s="93"/>
      <c r="CB206" s="93"/>
      <c r="CC206" s="93"/>
      <c r="CD206" s="93"/>
      <c r="CE206" s="93"/>
      <c r="CF206" s="93"/>
      <c r="CG206" s="93"/>
      <c r="CH206" s="93"/>
      <c r="CI206" s="93"/>
      <c r="CJ206" s="93"/>
      <c r="CK206" s="93"/>
      <c r="CL206" s="93"/>
      <c r="CM206" s="93"/>
      <c r="CN206" s="93"/>
      <c r="CO206" s="93"/>
      <c r="CP206" s="93"/>
      <c r="CQ206" s="93"/>
      <c r="CR206" s="93"/>
      <c r="CS206" s="93"/>
      <c r="CT206" s="93"/>
      <c r="CU206" s="93"/>
      <c r="CV206" s="93"/>
      <c r="CW206" s="93"/>
      <c r="CX206" s="93"/>
      <c r="CY206" s="93"/>
      <c r="CZ206" s="93"/>
      <c r="DA206" s="93"/>
      <c r="DB206" s="93"/>
      <c r="DC206" s="93"/>
      <c r="DD206" s="93"/>
      <c r="DE206" s="93"/>
      <c r="DF206" s="93"/>
      <c r="DG206" s="93"/>
      <c r="DH206" s="93"/>
      <c r="DI206" s="93"/>
      <c r="DJ206" s="93"/>
      <c r="DK206" s="93"/>
      <c r="DL206" s="93"/>
      <c r="DM206" s="93"/>
      <c r="DN206" s="93"/>
      <c r="DO206" s="93"/>
      <c r="DP206" s="93"/>
      <c r="DQ206" s="93"/>
      <c r="DR206" s="93"/>
      <c r="DS206" s="93"/>
      <c r="DT206" s="93"/>
      <c r="DU206" s="93"/>
      <c r="DV206" s="93"/>
      <c r="DW206" s="93"/>
      <c r="DX206" s="93"/>
      <c r="DY206" s="93"/>
      <c r="DZ206" s="93"/>
      <c r="EA206" s="93"/>
      <c r="EB206" s="93"/>
      <c r="EC206" s="93"/>
      <c r="ED206" s="93"/>
      <c r="EE206" s="93"/>
      <c r="EF206" s="93"/>
      <c r="EG206" s="93"/>
      <c r="EH206" s="93"/>
      <c r="EI206" s="93"/>
      <c r="EJ206" s="93"/>
      <c r="EK206" s="93"/>
      <c r="EL206" s="93"/>
      <c r="EM206" s="93"/>
      <c r="EN206" s="93"/>
      <c r="EO206" s="93"/>
      <c r="EP206" s="93"/>
      <c r="EQ206" s="93"/>
      <c r="ER206" s="93"/>
      <c r="ES206" s="93"/>
      <c r="ET206" s="93"/>
      <c r="EU206" s="93"/>
      <c r="EV206" s="93"/>
      <c r="EW206" s="93"/>
      <c r="EX206" s="93"/>
      <c r="EY206" s="93"/>
      <c r="EZ206" s="93"/>
      <c r="FA206" s="93"/>
      <c r="FB206" s="93"/>
      <c r="FC206" s="93"/>
      <c r="FD206" s="93"/>
      <c r="FE206" s="93"/>
      <c r="FF206" s="93"/>
      <c r="FG206" s="93"/>
      <c r="FH206" s="93"/>
      <c r="FI206" s="93"/>
      <c r="FJ206" s="93"/>
      <c r="FK206" s="93"/>
      <c r="FL206" s="93"/>
      <c r="FM206" s="93"/>
      <c r="FN206" s="93"/>
      <c r="FO206" s="93"/>
      <c r="FP206" s="93"/>
      <c r="FQ206" s="93"/>
      <c r="FR206" s="93"/>
      <c r="FS206" s="93"/>
      <c r="FT206" s="93"/>
      <c r="FU206" s="93"/>
      <c r="FV206" s="93"/>
      <c r="FW206" s="93"/>
      <c r="FX206" s="93"/>
      <c r="FY206" s="93"/>
      <c r="FZ206" s="93"/>
      <c r="GA206" s="93"/>
      <c r="GB206" s="93"/>
      <c r="GC206" s="93"/>
      <c r="GD206" s="93"/>
      <c r="GE206" s="93"/>
      <c r="GF206" s="93"/>
      <c r="GG206" s="93"/>
      <c r="GH206" s="93"/>
      <c r="GI206" s="93"/>
      <c r="GJ206" s="93"/>
      <c r="GK206" s="93"/>
      <c r="GL206" s="93"/>
      <c r="GM206" s="93"/>
      <c r="GN206" s="93"/>
      <c r="GO206" s="93"/>
      <c r="GP206" s="93"/>
      <c r="GQ206" s="93"/>
      <c r="GR206" s="93"/>
      <c r="GS206" s="93"/>
      <c r="GT206" s="93"/>
      <c r="GU206" s="93"/>
      <c r="GV206" s="93"/>
      <c r="GW206" s="93"/>
      <c r="GX206" s="93"/>
      <c r="GY206" s="93"/>
      <c r="GZ206" s="93"/>
      <c r="HA206" s="93"/>
      <c r="HB206" s="93"/>
      <c r="HC206" s="93"/>
      <c r="HD206" s="93"/>
      <c r="HE206" s="93"/>
      <c r="HF206" s="93"/>
      <c r="HG206" s="93"/>
      <c r="HH206" s="93"/>
      <c r="HI206" s="93"/>
      <c r="HJ206" s="93"/>
      <c r="HK206" s="93"/>
      <c r="HL206" s="93"/>
      <c r="HM206" s="93"/>
      <c r="HN206" s="93"/>
      <c r="HO206" s="93"/>
      <c r="HP206" s="93"/>
      <c r="HQ206" s="93"/>
      <c r="HR206" s="93"/>
      <c r="HS206" s="93"/>
      <c r="HT206" s="93"/>
      <c r="HU206" s="93"/>
      <c r="HV206" s="93"/>
      <c r="HW206" s="93"/>
      <c r="HX206" s="93"/>
      <c r="HY206" s="93"/>
      <c r="HZ206" s="93"/>
      <c r="IA206" s="93"/>
      <c r="IB206" s="93"/>
      <c r="IC206" s="93"/>
      <c r="ID206" s="93"/>
      <c r="IE206" s="93"/>
      <c r="IF206" s="93"/>
      <c r="IG206" s="93"/>
      <c r="IH206" s="93"/>
      <c r="II206" s="93"/>
      <c r="IJ206" s="93"/>
      <c r="IK206" s="93"/>
      <c r="IL206" s="93"/>
      <c r="IM206" s="93"/>
      <c r="IN206" s="93"/>
      <c r="IO206" s="93"/>
      <c r="IP206" s="93"/>
      <c r="IQ206" s="93"/>
      <c r="IR206" s="93"/>
      <c r="IS206" s="93"/>
      <c r="IT206" s="93"/>
      <c r="IU206" s="93"/>
      <c r="IV206" s="93"/>
      <c r="IW206" s="93"/>
      <c r="IX206" s="93"/>
      <c r="IY206" s="93"/>
      <c r="IZ206" s="93"/>
    </row>
    <row r="207" spans="1:260" s="95" customFormat="1">
      <c r="A207" s="93"/>
      <c r="B207" s="183"/>
      <c r="C207" s="183"/>
      <c r="D207" s="183"/>
      <c r="E207" s="158"/>
      <c r="F207" s="158"/>
      <c r="G207" s="158"/>
      <c r="H207" s="158"/>
      <c r="I207" s="158"/>
      <c r="J207" s="158"/>
      <c r="K207" s="158"/>
      <c r="L207" s="158"/>
      <c r="M207" s="158"/>
      <c r="N207" s="158"/>
      <c r="O207" s="158"/>
      <c r="P207" s="228"/>
      <c r="Q207" s="158"/>
      <c r="R207" s="158"/>
      <c r="S207" s="207"/>
      <c r="T207" s="207"/>
      <c r="U207" s="207"/>
      <c r="V207" s="207"/>
      <c r="W207" s="207"/>
      <c r="X207" s="207"/>
      <c r="Y207" s="207"/>
      <c r="Z207" s="207"/>
      <c r="AA207" s="207"/>
      <c r="AB207" s="207"/>
      <c r="AC207" s="207"/>
      <c r="AD207" s="207"/>
      <c r="AE207" s="207"/>
      <c r="AF207" s="207"/>
      <c r="AG207" s="207"/>
      <c r="AH207" s="207"/>
      <c r="AI207" s="207"/>
      <c r="AJ207" s="207"/>
      <c r="AK207" s="207"/>
      <c r="AL207" s="207"/>
      <c r="AM207" s="94"/>
      <c r="AN207" s="94"/>
      <c r="AO207" s="94"/>
      <c r="AP207" s="94"/>
      <c r="AQ207" s="94"/>
      <c r="AR207" s="94"/>
      <c r="AS207" s="94"/>
      <c r="AT207" s="94"/>
      <c r="AU207" s="94"/>
      <c r="AV207" s="94"/>
      <c r="AW207" s="94"/>
      <c r="AX207" s="94"/>
      <c r="AY207" s="94"/>
      <c r="AZ207" s="93"/>
      <c r="BA207" s="93"/>
      <c r="BB207" s="93"/>
      <c r="BC207" s="93"/>
      <c r="BD207" s="93"/>
      <c r="BE207" s="93"/>
      <c r="BF207" s="93"/>
      <c r="BG207" s="93"/>
      <c r="BH207" s="93"/>
      <c r="BI207" s="93"/>
      <c r="BJ207" s="93"/>
      <c r="BK207" s="93"/>
      <c r="BL207" s="93"/>
      <c r="BM207" s="93"/>
      <c r="BN207" s="93"/>
      <c r="BO207" s="93"/>
      <c r="BP207" s="93"/>
      <c r="BQ207" s="93"/>
      <c r="BR207" s="93"/>
      <c r="BS207" s="93"/>
      <c r="BT207" s="93"/>
      <c r="BU207" s="93"/>
      <c r="BV207" s="93"/>
      <c r="BW207" s="93"/>
      <c r="BX207" s="93"/>
      <c r="BY207" s="93"/>
      <c r="BZ207" s="93"/>
      <c r="CA207" s="93"/>
      <c r="CB207" s="93"/>
      <c r="CC207" s="93"/>
      <c r="CD207" s="93"/>
      <c r="CE207" s="93"/>
      <c r="CF207" s="93"/>
      <c r="CG207" s="93"/>
      <c r="CH207" s="93"/>
      <c r="CI207" s="93"/>
      <c r="CJ207" s="93"/>
      <c r="CK207" s="93"/>
      <c r="CL207" s="93"/>
      <c r="CM207" s="93"/>
      <c r="CN207" s="93"/>
      <c r="CO207" s="93"/>
      <c r="CP207" s="93"/>
      <c r="CQ207" s="93"/>
      <c r="CR207" s="93"/>
      <c r="CS207" s="93"/>
      <c r="CT207" s="93"/>
      <c r="CU207" s="93"/>
      <c r="CV207" s="93"/>
      <c r="CW207" s="93"/>
      <c r="CX207" s="93"/>
      <c r="CY207" s="93"/>
      <c r="CZ207" s="93"/>
      <c r="DA207" s="93"/>
      <c r="DB207" s="93"/>
      <c r="DC207" s="93"/>
      <c r="DD207" s="93"/>
      <c r="DE207" s="93"/>
      <c r="DF207" s="93"/>
      <c r="DG207" s="93"/>
      <c r="DH207" s="93"/>
      <c r="DI207" s="93"/>
      <c r="DJ207" s="93"/>
      <c r="DK207" s="93"/>
      <c r="DL207" s="93"/>
      <c r="DM207" s="93"/>
      <c r="DN207" s="93"/>
      <c r="DO207" s="93"/>
      <c r="DP207" s="93"/>
      <c r="DQ207" s="93"/>
      <c r="DR207" s="93"/>
      <c r="DS207" s="93"/>
      <c r="DT207" s="93"/>
      <c r="DU207" s="93"/>
      <c r="DV207" s="93"/>
      <c r="DW207" s="93"/>
      <c r="DX207" s="93"/>
      <c r="DY207" s="93"/>
      <c r="DZ207" s="93"/>
      <c r="EA207" s="93"/>
      <c r="EB207" s="93"/>
      <c r="EC207" s="93"/>
      <c r="ED207" s="93"/>
      <c r="EE207" s="93"/>
      <c r="EF207" s="93"/>
      <c r="EG207" s="93"/>
      <c r="EH207" s="93"/>
      <c r="EI207" s="93"/>
      <c r="EJ207" s="93"/>
      <c r="EK207" s="93"/>
      <c r="EL207" s="93"/>
      <c r="EM207" s="93"/>
      <c r="EN207" s="93"/>
      <c r="EO207" s="93"/>
      <c r="EP207" s="93"/>
      <c r="EQ207" s="93"/>
      <c r="ER207" s="93"/>
      <c r="ES207" s="93"/>
      <c r="ET207" s="93"/>
      <c r="EU207" s="93"/>
      <c r="EV207" s="93"/>
      <c r="EW207" s="93"/>
      <c r="EX207" s="93"/>
      <c r="EY207" s="93"/>
      <c r="EZ207" s="93"/>
      <c r="FA207" s="93"/>
      <c r="FB207" s="93"/>
      <c r="FC207" s="93"/>
      <c r="FD207" s="93"/>
      <c r="FE207" s="93"/>
      <c r="FF207" s="93"/>
      <c r="FG207" s="93"/>
      <c r="FH207" s="93"/>
      <c r="FI207" s="93"/>
      <c r="FJ207" s="93"/>
      <c r="FK207" s="93"/>
      <c r="FL207" s="93"/>
      <c r="FM207" s="93"/>
      <c r="FN207" s="93"/>
      <c r="FO207" s="93"/>
      <c r="FP207" s="93"/>
      <c r="FQ207" s="93"/>
      <c r="FR207" s="93"/>
      <c r="FS207" s="93"/>
      <c r="FT207" s="93"/>
      <c r="FU207" s="93"/>
      <c r="FV207" s="93"/>
      <c r="FW207" s="93"/>
      <c r="FX207" s="93"/>
      <c r="FY207" s="93"/>
      <c r="FZ207" s="93"/>
      <c r="GA207" s="93"/>
      <c r="GB207" s="93"/>
      <c r="GC207" s="93"/>
      <c r="GD207" s="93"/>
      <c r="GE207" s="93"/>
      <c r="GF207" s="93"/>
      <c r="GG207" s="93"/>
      <c r="GH207" s="93"/>
      <c r="GI207" s="93"/>
      <c r="GJ207" s="93"/>
      <c r="GK207" s="93"/>
      <c r="GL207" s="93"/>
      <c r="GM207" s="93"/>
      <c r="GN207" s="93"/>
      <c r="GO207" s="93"/>
      <c r="GP207" s="93"/>
      <c r="GQ207" s="93"/>
      <c r="GR207" s="93"/>
      <c r="GS207" s="93"/>
      <c r="GT207" s="93"/>
      <c r="GU207" s="93"/>
      <c r="GV207" s="93"/>
      <c r="GW207" s="93"/>
      <c r="GX207" s="93"/>
      <c r="GY207" s="93"/>
      <c r="GZ207" s="93"/>
      <c r="HA207" s="93"/>
      <c r="HB207" s="93"/>
      <c r="HC207" s="93"/>
      <c r="HD207" s="93"/>
      <c r="HE207" s="93"/>
      <c r="HF207" s="93"/>
      <c r="HG207" s="93"/>
      <c r="HH207" s="93"/>
      <c r="HI207" s="93"/>
      <c r="HJ207" s="93"/>
      <c r="HK207" s="93"/>
      <c r="HL207" s="93"/>
      <c r="HM207" s="93"/>
      <c r="HN207" s="93"/>
      <c r="HO207" s="93"/>
      <c r="HP207" s="93"/>
      <c r="HQ207" s="93"/>
      <c r="HR207" s="93"/>
      <c r="HS207" s="93"/>
      <c r="HT207" s="93"/>
      <c r="HU207" s="93"/>
      <c r="HV207" s="93"/>
      <c r="HW207" s="93"/>
      <c r="HX207" s="93"/>
      <c r="HY207" s="93"/>
      <c r="HZ207" s="93"/>
      <c r="IA207" s="93"/>
      <c r="IB207" s="93"/>
      <c r="IC207" s="93"/>
      <c r="ID207" s="93"/>
      <c r="IE207" s="93"/>
      <c r="IF207" s="93"/>
      <c r="IG207" s="93"/>
      <c r="IH207" s="93"/>
      <c r="II207" s="93"/>
      <c r="IJ207" s="93"/>
      <c r="IK207" s="93"/>
      <c r="IL207" s="93"/>
      <c r="IM207" s="93"/>
      <c r="IN207" s="93"/>
      <c r="IO207" s="93"/>
      <c r="IP207" s="93"/>
      <c r="IQ207" s="93"/>
      <c r="IR207" s="93"/>
      <c r="IS207" s="93"/>
      <c r="IT207" s="93"/>
      <c r="IU207" s="93"/>
      <c r="IV207" s="93"/>
      <c r="IW207" s="93"/>
      <c r="IX207" s="93"/>
      <c r="IY207" s="93"/>
      <c r="IZ207" s="93"/>
    </row>
    <row r="208" spans="1:260" s="95" customFormat="1">
      <c r="A208" s="93"/>
      <c r="B208" s="183"/>
      <c r="C208" s="183"/>
      <c r="D208" s="183"/>
      <c r="E208" s="158"/>
      <c r="F208" s="158"/>
      <c r="G208" s="158"/>
      <c r="H208" s="158"/>
      <c r="I208" s="158"/>
      <c r="J208" s="158"/>
      <c r="K208" s="158"/>
      <c r="L208" s="158"/>
      <c r="M208" s="158"/>
      <c r="N208" s="158"/>
      <c r="O208" s="158"/>
      <c r="P208" s="228"/>
      <c r="Q208" s="158"/>
      <c r="R208" s="158"/>
      <c r="S208" s="207"/>
      <c r="T208" s="207"/>
      <c r="U208" s="207"/>
      <c r="V208" s="207"/>
      <c r="W208" s="207"/>
      <c r="X208" s="207"/>
      <c r="Y208" s="207"/>
      <c r="Z208" s="207"/>
      <c r="AA208" s="207"/>
      <c r="AB208" s="207"/>
      <c r="AC208" s="207"/>
      <c r="AD208" s="207"/>
      <c r="AE208" s="207"/>
      <c r="AF208" s="207"/>
      <c r="AG208" s="207"/>
      <c r="AH208" s="207"/>
      <c r="AI208" s="207"/>
      <c r="AJ208" s="207"/>
      <c r="AK208" s="207"/>
      <c r="AL208" s="207"/>
      <c r="AM208" s="94"/>
      <c r="AN208" s="94"/>
      <c r="AO208" s="94"/>
      <c r="AP208" s="94"/>
      <c r="AQ208" s="94"/>
      <c r="AR208" s="94"/>
      <c r="AS208" s="94"/>
      <c r="AT208" s="94"/>
      <c r="AU208" s="94"/>
      <c r="AV208" s="94"/>
      <c r="AW208" s="94"/>
      <c r="AX208" s="94"/>
      <c r="AY208" s="94"/>
      <c r="AZ208" s="93"/>
      <c r="BA208" s="93"/>
      <c r="BB208" s="93"/>
      <c r="BC208" s="93"/>
      <c r="BD208" s="93"/>
      <c r="BE208" s="93"/>
      <c r="BF208" s="93"/>
      <c r="BG208" s="93"/>
      <c r="BH208" s="93"/>
      <c r="BI208" s="93"/>
      <c r="BJ208" s="93"/>
      <c r="BK208" s="93"/>
      <c r="BL208" s="93"/>
      <c r="BM208" s="93"/>
      <c r="BN208" s="93"/>
      <c r="BO208" s="93"/>
      <c r="BP208" s="93"/>
      <c r="BQ208" s="93"/>
      <c r="BR208" s="93"/>
      <c r="BS208" s="93"/>
      <c r="BT208" s="93"/>
      <c r="BU208" s="93"/>
      <c r="BV208" s="93"/>
      <c r="BW208" s="93"/>
      <c r="BX208" s="93"/>
      <c r="BY208" s="93"/>
      <c r="BZ208" s="93"/>
      <c r="CA208" s="93"/>
      <c r="CB208" s="93"/>
      <c r="CC208" s="93"/>
      <c r="CD208" s="93"/>
      <c r="CE208" s="93"/>
      <c r="CF208" s="93"/>
      <c r="CG208" s="93"/>
      <c r="CH208" s="93"/>
      <c r="CI208" s="93"/>
      <c r="CJ208" s="93"/>
      <c r="CK208" s="93"/>
      <c r="CL208" s="93"/>
      <c r="CM208" s="93"/>
      <c r="CN208" s="93"/>
      <c r="CO208" s="93"/>
      <c r="CP208" s="93"/>
      <c r="CQ208" s="93"/>
      <c r="CR208" s="93"/>
      <c r="CS208" s="93"/>
      <c r="CT208" s="93"/>
      <c r="CU208" s="93"/>
      <c r="CV208" s="93"/>
      <c r="CW208" s="93"/>
      <c r="CX208" s="93"/>
      <c r="CY208" s="93"/>
      <c r="CZ208" s="93"/>
      <c r="DA208" s="93"/>
      <c r="DB208" s="93"/>
      <c r="DC208" s="93"/>
      <c r="DD208" s="93"/>
      <c r="DE208" s="93"/>
      <c r="DF208" s="93"/>
      <c r="DG208" s="93"/>
      <c r="DH208" s="93"/>
      <c r="DI208" s="93"/>
      <c r="DJ208" s="93"/>
      <c r="DK208" s="93"/>
      <c r="DL208" s="93"/>
      <c r="DM208" s="93"/>
      <c r="DN208" s="93"/>
      <c r="DO208" s="93"/>
      <c r="DP208" s="93"/>
      <c r="DQ208" s="93"/>
      <c r="DR208" s="93"/>
      <c r="DS208" s="93"/>
      <c r="DT208" s="93"/>
      <c r="DU208" s="93"/>
      <c r="DV208" s="93"/>
      <c r="DW208" s="93"/>
      <c r="DX208" s="93"/>
      <c r="DY208" s="93"/>
      <c r="DZ208" s="93"/>
      <c r="EA208" s="93"/>
      <c r="EB208" s="93"/>
      <c r="EC208" s="93"/>
      <c r="ED208" s="93"/>
      <c r="EE208" s="93"/>
      <c r="EF208" s="93"/>
      <c r="EG208" s="93"/>
      <c r="EH208" s="93"/>
      <c r="EI208" s="93"/>
      <c r="EJ208" s="93"/>
      <c r="EK208" s="93"/>
      <c r="EL208" s="93"/>
      <c r="EM208" s="93"/>
      <c r="EN208" s="93"/>
      <c r="EO208" s="93"/>
      <c r="EP208" s="93"/>
      <c r="EQ208" s="93"/>
      <c r="ER208" s="93"/>
      <c r="ES208" s="93"/>
      <c r="ET208" s="93"/>
      <c r="EU208" s="93"/>
      <c r="EV208" s="93"/>
      <c r="EW208" s="93"/>
      <c r="EX208" s="93"/>
      <c r="EY208" s="93"/>
      <c r="EZ208" s="93"/>
      <c r="FA208" s="93"/>
      <c r="FB208" s="93"/>
      <c r="FC208" s="93"/>
      <c r="FD208" s="93"/>
      <c r="FE208" s="93"/>
      <c r="FF208" s="93"/>
      <c r="FG208" s="93"/>
      <c r="FH208" s="93"/>
      <c r="FI208" s="93"/>
      <c r="FJ208" s="93"/>
      <c r="FK208" s="93"/>
      <c r="FL208" s="93"/>
      <c r="FM208" s="93"/>
      <c r="FN208" s="93"/>
      <c r="FO208" s="93"/>
      <c r="FP208" s="93"/>
      <c r="FQ208" s="93"/>
      <c r="FR208" s="93"/>
      <c r="FS208" s="93"/>
      <c r="FT208" s="93"/>
      <c r="FU208" s="93"/>
      <c r="FV208" s="93"/>
      <c r="FW208" s="93"/>
      <c r="FX208" s="93"/>
      <c r="FY208" s="93"/>
      <c r="FZ208" s="93"/>
      <c r="GA208" s="93"/>
      <c r="GB208" s="93"/>
      <c r="GC208" s="93"/>
      <c r="GD208" s="93"/>
      <c r="GE208" s="93"/>
      <c r="GF208" s="93"/>
      <c r="GG208" s="93"/>
      <c r="GH208" s="93"/>
      <c r="GI208" s="93"/>
      <c r="GJ208" s="93"/>
      <c r="GK208" s="93"/>
      <c r="GL208" s="93"/>
      <c r="GM208" s="93"/>
      <c r="GN208" s="93"/>
      <c r="GO208" s="93"/>
      <c r="GP208" s="93"/>
      <c r="GQ208" s="93"/>
      <c r="GR208" s="93"/>
      <c r="GS208" s="93"/>
      <c r="GT208" s="93"/>
      <c r="GU208" s="93"/>
      <c r="GV208" s="93"/>
      <c r="GW208" s="93"/>
      <c r="GX208" s="93"/>
      <c r="GY208" s="93"/>
      <c r="GZ208" s="93"/>
      <c r="HA208" s="93"/>
      <c r="HB208" s="93"/>
      <c r="HC208" s="93"/>
      <c r="HD208" s="93"/>
      <c r="HE208" s="93"/>
      <c r="HF208" s="93"/>
      <c r="HG208" s="93"/>
      <c r="HH208" s="93"/>
      <c r="HI208" s="93"/>
      <c r="HJ208" s="93"/>
      <c r="HK208" s="93"/>
      <c r="HL208" s="93"/>
      <c r="HM208" s="93"/>
      <c r="HN208" s="93"/>
      <c r="HO208" s="93"/>
      <c r="HP208" s="93"/>
      <c r="HQ208" s="93"/>
      <c r="HR208" s="93"/>
      <c r="HS208" s="93"/>
      <c r="HT208" s="93"/>
      <c r="HU208" s="93"/>
      <c r="HV208" s="93"/>
      <c r="HW208" s="93"/>
      <c r="HX208" s="93"/>
      <c r="HY208" s="93"/>
      <c r="HZ208" s="93"/>
      <c r="IA208" s="93"/>
      <c r="IB208" s="93"/>
      <c r="IC208" s="93"/>
      <c r="ID208" s="93"/>
      <c r="IE208" s="93"/>
      <c r="IF208" s="93"/>
      <c r="IG208" s="93"/>
      <c r="IH208" s="93"/>
      <c r="II208" s="93"/>
      <c r="IJ208" s="93"/>
      <c r="IK208" s="93"/>
      <c r="IL208" s="93"/>
      <c r="IM208" s="93"/>
      <c r="IN208" s="93"/>
      <c r="IO208" s="93"/>
      <c r="IP208" s="93"/>
      <c r="IQ208" s="93"/>
      <c r="IR208" s="93"/>
      <c r="IS208" s="93"/>
      <c r="IT208" s="93"/>
      <c r="IU208" s="93"/>
      <c r="IV208" s="93"/>
      <c r="IW208" s="93"/>
      <c r="IX208" s="93"/>
      <c r="IY208" s="93"/>
      <c r="IZ208" s="93"/>
    </row>
    <row r="209" spans="1:260" s="95" customFormat="1">
      <c r="A209" s="93"/>
      <c r="B209" s="183"/>
      <c r="C209" s="183"/>
      <c r="D209" s="183"/>
      <c r="E209" s="158"/>
      <c r="F209" s="158"/>
      <c r="G209" s="158"/>
      <c r="H209" s="158"/>
      <c r="I209" s="158"/>
      <c r="J209" s="158"/>
      <c r="K209" s="158"/>
      <c r="L209" s="158"/>
      <c r="M209" s="158"/>
      <c r="N209" s="158"/>
      <c r="O209" s="158"/>
      <c r="P209" s="228"/>
      <c r="Q209" s="158"/>
      <c r="R209" s="158"/>
      <c r="S209" s="207"/>
      <c r="T209" s="207"/>
      <c r="U209" s="207"/>
      <c r="V209" s="207"/>
      <c r="W209" s="207"/>
      <c r="X209" s="207"/>
      <c r="Y209" s="207"/>
      <c r="Z209" s="207"/>
      <c r="AA209" s="207"/>
      <c r="AB209" s="207"/>
      <c r="AC209" s="207"/>
      <c r="AD209" s="207"/>
      <c r="AE209" s="207"/>
      <c r="AF209" s="207"/>
      <c r="AG209" s="207"/>
      <c r="AH209" s="207"/>
      <c r="AI209" s="207"/>
      <c r="AJ209" s="207"/>
      <c r="AK209" s="207"/>
      <c r="AL209" s="207"/>
      <c r="AM209" s="94"/>
      <c r="AN209" s="94"/>
      <c r="AO209" s="94"/>
      <c r="AP209" s="94"/>
      <c r="AQ209" s="94"/>
      <c r="AR209" s="94"/>
      <c r="AS209" s="94"/>
      <c r="AT209" s="94"/>
      <c r="AU209" s="94"/>
      <c r="AV209" s="94"/>
      <c r="AW209" s="94"/>
      <c r="AX209" s="94"/>
      <c r="AY209" s="94"/>
      <c r="AZ209" s="93"/>
      <c r="BA209" s="93"/>
      <c r="BB209" s="93"/>
      <c r="BC209" s="93"/>
      <c r="BD209" s="93"/>
      <c r="BE209" s="93"/>
      <c r="BF209" s="93"/>
      <c r="BG209" s="93"/>
      <c r="BH209" s="93"/>
      <c r="BI209" s="93"/>
      <c r="BJ209" s="93"/>
      <c r="BK209" s="93"/>
      <c r="BL209" s="93"/>
      <c r="BM209" s="93"/>
      <c r="BN209" s="93"/>
      <c r="BO209" s="93"/>
      <c r="BP209" s="93"/>
      <c r="BQ209" s="93"/>
      <c r="BR209" s="93"/>
      <c r="BS209" s="93"/>
      <c r="BT209" s="93"/>
      <c r="BU209" s="93"/>
      <c r="BV209" s="93"/>
      <c r="BW209" s="93"/>
      <c r="BX209" s="93"/>
      <c r="BY209" s="93"/>
      <c r="BZ209" s="93"/>
      <c r="CA209" s="93"/>
      <c r="CB209" s="93"/>
      <c r="CC209" s="93"/>
      <c r="CD209" s="93"/>
      <c r="CE209" s="93"/>
      <c r="CF209" s="93"/>
      <c r="CG209" s="93"/>
      <c r="CH209" s="93"/>
      <c r="CI209" s="93"/>
      <c r="CJ209" s="93"/>
      <c r="CK209" s="93"/>
      <c r="CL209" s="93"/>
      <c r="CM209" s="93"/>
      <c r="CN209" s="93"/>
      <c r="CO209" s="93"/>
      <c r="CP209" s="93"/>
      <c r="CQ209" s="93"/>
      <c r="CR209" s="93"/>
      <c r="CS209" s="93"/>
      <c r="CT209" s="93"/>
      <c r="CU209" s="93"/>
      <c r="CV209" s="93"/>
      <c r="CW209" s="93"/>
      <c r="CX209" s="93"/>
      <c r="CY209" s="93"/>
      <c r="CZ209" s="93"/>
      <c r="DA209" s="93"/>
      <c r="DB209" s="93"/>
      <c r="DC209" s="93"/>
      <c r="DD209" s="93"/>
      <c r="DE209" s="93"/>
      <c r="DF209" s="93"/>
      <c r="DG209" s="93"/>
      <c r="DH209" s="93"/>
      <c r="DI209" s="93"/>
      <c r="DJ209" s="93"/>
      <c r="DK209" s="93"/>
      <c r="DL209" s="93"/>
      <c r="DM209" s="93"/>
      <c r="DN209" s="93"/>
      <c r="DO209" s="93"/>
      <c r="DP209" s="93"/>
      <c r="DQ209" s="93"/>
      <c r="DR209" s="93"/>
      <c r="DS209" s="93"/>
      <c r="DT209" s="93"/>
      <c r="DU209" s="93"/>
      <c r="DV209" s="93"/>
      <c r="DW209" s="93"/>
      <c r="DX209" s="93"/>
      <c r="DY209" s="93"/>
      <c r="DZ209" s="93"/>
      <c r="EA209" s="93"/>
      <c r="EB209" s="93"/>
      <c r="EC209" s="93"/>
      <c r="ED209" s="93"/>
      <c r="EE209" s="93"/>
      <c r="EF209" s="93"/>
      <c r="EG209" s="93"/>
      <c r="EH209" s="93"/>
      <c r="EI209" s="93"/>
      <c r="EJ209" s="93"/>
      <c r="EK209" s="93"/>
      <c r="EL209" s="93"/>
      <c r="EM209" s="93"/>
      <c r="EN209" s="93"/>
      <c r="EO209" s="93"/>
      <c r="EP209" s="93"/>
      <c r="EQ209" s="93"/>
      <c r="ER209" s="93"/>
      <c r="ES209" s="93"/>
      <c r="ET209" s="93"/>
      <c r="EU209" s="93"/>
      <c r="EV209" s="93"/>
      <c r="EW209" s="93"/>
      <c r="EX209" s="93"/>
      <c r="EY209" s="93"/>
      <c r="EZ209" s="93"/>
      <c r="FA209" s="93"/>
      <c r="FB209" s="93"/>
      <c r="FC209" s="93"/>
      <c r="FD209" s="93"/>
      <c r="FE209" s="93"/>
      <c r="FF209" s="93"/>
      <c r="FG209" s="93"/>
      <c r="FH209" s="93"/>
      <c r="FI209" s="93"/>
      <c r="FJ209" s="93"/>
      <c r="FK209" s="93"/>
      <c r="FL209" s="93"/>
      <c r="FM209" s="93"/>
      <c r="FN209" s="93"/>
      <c r="FO209" s="93"/>
      <c r="FP209" s="93"/>
      <c r="FQ209" s="93"/>
      <c r="FR209" s="93"/>
      <c r="FS209" s="93"/>
      <c r="FT209" s="93"/>
      <c r="FU209" s="93"/>
      <c r="FV209" s="93"/>
      <c r="FW209" s="93"/>
      <c r="FX209" s="93"/>
      <c r="FY209" s="93"/>
      <c r="FZ209" s="93"/>
      <c r="GA209" s="93"/>
      <c r="GB209" s="93"/>
      <c r="GC209" s="93"/>
      <c r="GD209" s="93"/>
      <c r="GE209" s="93"/>
      <c r="GF209" s="93"/>
      <c r="GG209" s="93"/>
      <c r="GH209" s="93"/>
      <c r="GI209" s="93"/>
      <c r="GJ209" s="93"/>
      <c r="GK209" s="93"/>
      <c r="GL209" s="93"/>
      <c r="GM209" s="93"/>
      <c r="GN209" s="93"/>
      <c r="GO209" s="93"/>
      <c r="GP209" s="93"/>
      <c r="GQ209" s="93"/>
      <c r="GR209" s="93"/>
      <c r="GS209" s="93"/>
      <c r="GT209" s="93"/>
      <c r="GU209" s="93"/>
      <c r="GV209" s="93"/>
      <c r="GW209" s="93"/>
      <c r="GX209" s="93"/>
      <c r="GY209" s="93"/>
      <c r="GZ209" s="93"/>
      <c r="HA209" s="93"/>
      <c r="HB209" s="93"/>
      <c r="HC209" s="93"/>
      <c r="HD209" s="93"/>
      <c r="HE209" s="93"/>
      <c r="HF209" s="93"/>
      <c r="HG209" s="93"/>
      <c r="HH209" s="93"/>
      <c r="HI209" s="93"/>
      <c r="HJ209" s="93"/>
      <c r="HK209" s="93"/>
      <c r="HL209" s="93"/>
      <c r="HM209" s="93"/>
      <c r="HN209" s="93"/>
      <c r="HO209" s="93"/>
      <c r="HP209" s="93"/>
      <c r="HQ209" s="93"/>
      <c r="HR209" s="93"/>
      <c r="HS209" s="93"/>
      <c r="HT209" s="93"/>
      <c r="HU209" s="93"/>
      <c r="HV209" s="93"/>
      <c r="HW209" s="93"/>
      <c r="HX209" s="93"/>
      <c r="HY209" s="93"/>
      <c r="HZ209" s="93"/>
      <c r="IA209" s="93"/>
      <c r="IB209" s="93"/>
      <c r="IC209" s="93"/>
      <c r="ID209" s="93"/>
      <c r="IE209" s="93"/>
      <c r="IF209" s="93"/>
      <c r="IG209" s="93"/>
      <c r="IH209" s="93"/>
      <c r="II209" s="93"/>
      <c r="IJ209" s="93"/>
      <c r="IK209" s="93"/>
      <c r="IL209" s="93"/>
      <c r="IM209" s="93"/>
      <c r="IN209" s="93"/>
      <c r="IO209" s="93"/>
      <c r="IP209" s="93"/>
      <c r="IQ209" s="93"/>
      <c r="IR209" s="93"/>
      <c r="IS209" s="93"/>
      <c r="IT209" s="93"/>
      <c r="IU209" s="93"/>
      <c r="IV209" s="93"/>
      <c r="IW209" s="93"/>
      <c r="IX209" s="93"/>
      <c r="IY209" s="93"/>
      <c r="IZ209" s="93"/>
    </row>
    <row r="210" spans="1:260" s="95" customFormat="1">
      <c r="A210" s="93"/>
      <c r="B210" s="183"/>
      <c r="C210" s="183"/>
      <c r="D210" s="183"/>
      <c r="E210" s="158"/>
      <c r="F210" s="158"/>
      <c r="G210" s="158"/>
      <c r="H210" s="158"/>
      <c r="I210" s="158"/>
      <c r="J210" s="158"/>
      <c r="K210" s="158"/>
      <c r="L210" s="158"/>
      <c r="M210" s="158"/>
      <c r="N210" s="158"/>
      <c r="O210" s="158"/>
      <c r="P210" s="228"/>
      <c r="Q210" s="158"/>
      <c r="R210" s="158"/>
      <c r="S210" s="207"/>
      <c r="T210" s="207"/>
      <c r="U210" s="207"/>
      <c r="V210" s="207"/>
      <c r="W210" s="207"/>
      <c r="X210" s="207"/>
      <c r="Y210" s="207"/>
      <c r="Z210" s="207"/>
      <c r="AA210" s="207"/>
      <c r="AB210" s="207"/>
      <c r="AC210" s="207"/>
      <c r="AD210" s="207"/>
      <c r="AE210" s="207"/>
      <c r="AF210" s="207"/>
      <c r="AG210" s="207"/>
      <c r="AH210" s="207"/>
      <c r="AI210" s="207"/>
      <c r="AJ210" s="207"/>
      <c r="AK210" s="207"/>
      <c r="AL210" s="207"/>
      <c r="AM210" s="94"/>
      <c r="AN210" s="94"/>
      <c r="AO210" s="94"/>
      <c r="AP210" s="94"/>
      <c r="AQ210" s="94"/>
      <c r="AR210" s="94"/>
      <c r="AS210" s="94"/>
      <c r="AT210" s="94"/>
      <c r="AU210" s="94"/>
      <c r="AV210" s="94"/>
      <c r="AW210" s="94"/>
      <c r="AX210" s="94"/>
      <c r="AY210" s="94"/>
      <c r="AZ210" s="93"/>
      <c r="BA210" s="93"/>
      <c r="BB210" s="93"/>
      <c r="BC210" s="93"/>
      <c r="BD210" s="93"/>
      <c r="BE210" s="93"/>
      <c r="BF210" s="93"/>
      <c r="BG210" s="93"/>
      <c r="BH210" s="93"/>
      <c r="BI210" s="93"/>
      <c r="BJ210" s="93"/>
      <c r="BK210" s="93"/>
      <c r="BL210" s="93"/>
      <c r="BM210" s="93"/>
      <c r="BN210" s="93"/>
      <c r="BO210" s="93"/>
      <c r="BP210" s="93"/>
      <c r="BQ210" s="93"/>
      <c r="BR210" s="93"/>
      <c r="BS210" s="93"/>
      <c r="BT210" s="93"/>
      <c r="BU210" s="93"/>
      <c r="BV210" s="93"/>
      <c r="BW210" s="93"/>
      <c r="BX210" s="93"/>
      <c r="BY210" s="93"/>
      <c r="BZ210" s="93"/>
      <c r="CA210" s="93"/>
      <c r="CB210" s="93"/>
      <c r="CC210" s="93"/>
      <c r="CD210" s="93"/>
      <c r="CE210" s="93"/>
      <c r="CF210" s="93"/>
      <c r="CG210" s="93"/>
      <c r="CH210" s="93"/>
      <c r="CI210" s="93"/>
      <c r="CJ210" s="93"/>
      <c r="CK210" s="93"/>
      <c r="CL210" s="93"/>
      <c r="CM210" s="93"/>
      <c r="CN210" s="93"/>
      <c r="CO210" s="93"/>
      <c r="CP210" s="93"/>
      <c r="CQ210" s="93"/>
      <c r="CR210" s="93"/>
      <c r="CS210" s="93"/>
      <c r="CT210" s="93"/>
      <c r="CU210" s="93"/>
      <c r="CV210" s="93"/>
      <c r="CW210" s="93"/>
      <c r="CX210" s="93"/>
      <c r="CY210" s="93"/>
      <c r="CZ210" s="93"/>
      <c r="DA210" s="93"/>
      <c r="DB210" s="93"/>
      <c r="DC210" s="93"/>
      <c r="DD210" s="93"/>
      <c r="DE210" s="93"/>
      <c r="DF210" s="93"/>
      <c r="DG210" s="93"/>
      <c r="DH210" s="93"/>
      <c r="DI210" s="93"/>
      <c r="DJ210" s="93"/>
      <c r="DK210" s="93"/>
      <c r="DL210" s="93"/>
      <c r="DM210" s="93"/>
      <c r="DN210" s="93"/>
      <c r="DO210" s="93"/>
      <c r="DP210" s="93"/>
      <c r="DQ210" s="93"/>
      <c r="DR210" s="93"/>
      <c r="DS210" s="93"/>
      <c r="DT210" s="93"/>
      <c r="DU210" s="93"/>
      <c r="DV210" s="93"/>
      <c r="DW210" s="93"/>
      <c r="DX210" s="93"/>
      <c r="DY210" s="93"/>
      <c r="DZ210" s="93"/>
      <c r="EA210" s="93"/>
      <c r="EB210" s="93"/>
      <c r="EC210" s="93"/>
      <c r="ED210" s="93"/>
      <c r="EE210" s="93"/>
      <c r="EF210" s="93"/>
      <c r="EG210" s="93"/>
      <c r="EH210" s="93"/>
      <c r="EI210" s="93"/>
      <c r="EJ210" s="93"/>
      <c r="EK210" s="93"/>
      <c r="EL210" s="93"/>
      <c r="EM210" s="93"/>
      <c r="EN210" s="93"/>
      <c r="EO210" s="93"/>
      <c r="EP210" s="93"/>
      <c r="EQ210" s="93"/>
      <c r="ER210" s="93"/>
      <c r="ES210" s="93"/>
      <c r="ET210" s="93"/>
      <c r="EU210" s="93"/>
      <c r="EV210" s="93"/>
      <c r="EW210" s="93"/>
      <c r="EX210" s="93"/>
      <c r="EY210" s="93"/>
      <c r="EZ210" s="93"/>
      <c r="FA210" s="93"/>
      <c r="FB210" s="93"/>
      <c r="FC210" s="93"/>
      <c r="FD210" s="93"/>
      <c r="FE210" s="93"/>
      <c r="FF210" s="93"/>
      <c r="FG210" s="93"/>
      <c r="FH210" s="93"/>
      <c r="FI210" s="93"/>
      <c r="FJ210" s="93"/>
      <c r="FK210" s="93"/>
      <c r="FL210" s="93"/>
      <c r="FM210" s="93"/>
      <c r="FN210" s="93"/>
      <c r="FO210" s="93"/>
      <c r="FP210" s="93"/>
      <c r="FQ210" s="93"/>
      <c r="FR210" s="93"/>
      <c r="FS210" s="93"/>
      <c r="FT210" s="93"/>
      <c r="FU210" s="93"/>
      <c r="FV210" s="93"/>
      <c r="FW210" s="93"/>
      <c r="FX210" s="93"/>
      <c r="FY210" s="93"/>
      <c r="FZ210" s="93"/>
      <c r="GA210" s="93"/>
      <c r="GB210" s="93"/>
      <c r="GC210" s="93"/>
      <c r="GD210" s="93"/>
      <c r="GE210" s="93"/>
      <c r="GF210" s="93"/>
      <c r="GG210" s="93"/>
      <c r="GH210" s="93"/>
      <c r="GI210" s="93"/>
      <c r="GJ210" s="93"/>
      <c r="GK210" s="93"/>
      <c r="GL210" s="93"/>
      <c r="GM210" s="93"/>
      <c r="GN210" s="93"/>
      <c r="GO210" s="93"/>
      <c r="GP210" s="93"/>
      <c r="GQ210" s="93"/>
      <c r="GR210" s="93"/>
      <c r="GS210" s="93"/>
      <c r="GT210" s="93"/>
      <c r="GU210" s="93"/>
      <c r="GV210" s="93"/>
      <c r="GW210" s="93"/>
      <c r="GX210" s="93"/>
      <c r="GY210" s="93"/>
      <c r="GZ210" s="93"/>
      <c r="HA210" s="93"/>
      <c r="HB210" s="93"/>
      <c r="HC210" s="93"/>
      <c r="HD210" s="93"/>
      <c r="HE210" s="93"/>
      <c r="HF210" s="93"/>
      <c r="HG210" s="93"/>
      <c r="HH210" s="93"/>
      <c r="HI210" s="93"/>
      <c r="HJ210" s="93"/>
      <c r="HK210" s="93"/>
      <c r="HL210" s="93"/>
      <c r="HM210" s="93"/>
      <c r="HN210" s="93"/>
      <c r="HO210" s="93"/>
      <c r="HP210" s="93"/>
      <c r="HQ210" s="93"/>
      <c r="HR210" s="93"/>
      <c r="HS210" s="93"/>
      <c r="HT210" s="93"/>
      <c r="HU210" s="93"/>
      <c r="HV210" s="93"/>
      <c r="HW210" s="93"/>
      <c r="HX210" s="93"/>
      <c r="HY210" s="93"/>
      <c r="HZ210" s="93"/>
      <c r="IA210" s="93"/>
      <c r="IB210" s="93"/>
      <c r="IC210" s="93"/>
      <c r="ID210" s="93"/>
      <c r="IE210" s="93"/>
      <c r="IF210" s="93"/>
      <c r="IG210" s="93"/>
      <c r="IH210" s="93"/>
      <c r="II210" s="93"/>
      <c r="IJ210" s="93"/>
      <c r="IK210" s="93"/>
      <c r="IL210" s="93"/>
      <c r="IM210" s="93"/>
      <c r="IN210" s="93"/>
      <c r="IO210" s="93"/>
      <c r="IP210" s="93"/>
      <c r="IQ210" s="93"/>
      <c r="IR210" s="93"/>
      <c r="IS210" s="93"/>
      <c r="IT210" s="93"/>
      <c r="IU210" s="93"/>
      <c r="IV210" s="93"/>
      <c r="IW210" s="93"/>
      <c r="IX210" s="93"/>
      <c r="IY210" s="93"/>
      <c r="IZ210" s="93"/>
    </row>
    <row r="211" spans="1:260" s="95" customFormat="1">
      <c r="A211" s="93"/>
      <c r="B211" s="183"/>
      <c r="C211" s="183"/>
      <c r="D211" s="183"/>
      <c r="E211" s="158"/>
      <c r="F211" s="158"/>
      <c r="G211" s="158"/>
      <c r="H211" s="158"/>
      <c r="I211" s="158"/>
      <c r="J211" s="158"/>
      <c r="K211" s="158"/>
      <c r="L211" s="158"/>
      <c r="M211" s="158"/>
      <c r="N211" s="158"/>
      <c r="O211" s="158"/>
      <c r="P211" s="228"/>
      <c r="Q211" s="158"/>
      <c r="R211" s="158"/>
      <c r="S211" s="207"/>
      <c r="T211" s="207"/>
      <c r="U211" s="207"/>
      <c r="V211" s="207"/>
      <c r="W211" s="207"/>
      <c r="X211" s="207"/>
      <c r="Y211" s="207"/>
      <c r="Z211" s="207"/>
      <c r="AA211" s="207"/>
      <c r="AB211" s="207"/>
      <c r="AC211" s="207"/>
      <c r="AD211" s="207"/>
      <c r="AE211" s="207"/>
      <c r="AF211" s="207"/>
      <c r="AG211" s="207"/>
      <c r="AH211" s="207"/>
      <c r="AI211" s="207"/>
      <c r="AJ211" s="207"/>
      <c r="AK211" s="207"/>
      <c r="AL211" s="207"/>
      <c r="AM211" s="94"/>
      <c r="AN211" s="94"/>
      <c r="AO211" s="94"/>
      <c r="AP211" s="94"/>
      <c r="AQ211" s="94"/>
      <c r="AR211" s="94"/>
      <c r="AS211" s="94"/>
      <c r="AT211" s="94"/>
      <c r="AU211" s="94"/>
      <c r="AV211" s="94"/>
      <c r="AW211" s="94"/>
      <c r="AX211" s="94"/>
      <c r="AY211" s="94"/>
      <c r="AZ211" s="93"/>
      <c r="BA211" s="93"/>
      <c r="BB211" s="93"/>
      <c r="BC211" s="93"/>
      <c r="BD211" s="93"/>
      <c r="BE211" s="93"/>
      <c r="BF211" s="93"/>
      <c r="BG211" s="93"/>
      <c r="BH211" s="93"/>
      <c r="BI211" s="93"/>
      <c r="BJ211" s="93"/>
      <c r="BK211" s="93"/>
      <c r="BL211" s="93"/>
      <c r="BM211" s="93"/>
      <c r="BN211" s="93"/>
      <c r="BO211" s="93"/>
      <c r="BP211" s="93"/>
      <c r="BQ211" s="93"/>
      <c r="BR211" s="93"/>
      <c r="BS211" s="93"/>
      <c r="BT211" s="93"/>
      <c r="BU211" s="93"/>
      <c r="BV211" s="93"/>
      <c r="BW211" s="93"/>
      <c r="BX211" s="93"/>
      <c r="BY211" s="93"/>
      <c r="BZ211" s="93"/>
      <c r="CA211" s="93"/>
      <c r="CB211" s="93"/>
      <c r="CC211" s="93"/>
      <c r="CD211" s="93"/>
      <c r="CE211" s="93"/>
      <c r="CF211" s="93"/>
      <c r="CG211" s="93"/>
      <c r="CH211" s="93"/>
      <c r="CI211" s="93"/>
      <c r="CJ211" s="93"/>
      <c r="CK211" s="93"/>
      <c r="CL211" s="93"/>
      <c r="CM211" s="93"/>
      <c r="CN211" s="93"/>
      <c r="CO211" s="93"/>
      <c r="CP211" s="93"/>
      <c r="CQ211" s="93"/>
      <c r="CR211" s="93"/>
      <c r="CS211" s="93"/>
      <c r="CT211" s="93"/>
      <c r="CU211" s="93"/>
      <c r="CV211" s="93"/>
      <c r="CW211" s="93"/>
      <c r="CX211" s="93"/>
      <c r="CY211" s="93"/>
      <c r="CZ211" s="93"/>
      <c r="DA211" s="93"/>
      <c r="DB211" s="93"/>
      <c r="DC211" s="93"/>
      <c r="DD211" s="93"/>
      <c r="DE211" s="93"/>
      <c r="DF211" s="93"/>
      <c r="DG211" s="93"/>
      <c r="DH211" s="93"/>
      <c r="DI211" s="93"/>
      <c r="DJ211" s="93"/>
      <c r="DK211" s="93"/>
      <c r="DL211" s="93"/>
      <c r="DM211" s="93"/>
      <c r="DN211" s="93"/>
      <c r="DO211" s="93"/>
      <c r="DP211" s="93"/>
      <c r="DQ211" s="93"/>
      <c r="DR211" s="93"/>
      <c r="DS211" s="93"/>
      <c r="DT211" s="93"/>
      <c r="DU211" s="93"/>
      <c r="DV211" s="93"/>
      <c r="DW211" s="93"/>
      <c r="DX211" s="93"/>
      <c r="DY211" s="93"/>
      <c r="DZ211" s="93"/>
      <c r="EA211" s="93"/>
      <c r="EB211" s="93"/>
      <c r="EC211" s="93"/>
      <c r="ED211" s="93"/>
      <c r="EE211" s="93"/>
      <c r="EF211" s="93"/>
      <c r="EG211" s="93"/>
      <c r="EH211" s="93"/>
      <c r="EI211" s="93"/>
      <c r="EJ211" s="93"/>
      <c r="EK211" s="93"/>
      <c r="EL211" s="93"/>
      <c r="EM211" s="93"/>
      <c r="EN211" s="93"/>
      <c r="EO211" s="93"/>
      <c r="EP211" s="93"/>
      <c r="EQ211" s="93"/>
      <c r="ER211" s="93"/>
      <c r="ES211" s="93"/>
      <c r="ET211" s="93"/>
      <c r="EU211" s="93"/>
      <c r="EV211" s="93"/>
      <c r="EW211" s="93"/>
      <c r="EX211" s="93"/>
      <c r="EY211" s="93"/>
      <c r="EZ211" s="93"/>
      <c r="FA211" s="93"/>
      <c r="FB211" s="93"/>
      <c r="FC211" s="93"/>
      <c r="FD211" s="93"/>
      <c r="FE211" s="93"/>
      <c r="FF211" s="93"/>
      <c r="FG211" s="93"/>
      <c r="FH211" s="93"/>
      <c r="FI211" s="93"/>
      <c r="FJ211" s="93"/>
      <c r="FK211" s="93"/>
      <c r="FL211" s="93"/>
      <c r="FM211" s="93"/>
      <c r="FN211" s="93"/>
      <c r="FO211" s="93"/>
      <c r="FP211" s="93"/>
      <c r="FQ211" s="93"/>
      <c r="FR211" s="93"/>
      <c r="FS211" s="93"/>
      <c r="FT211" s="93"/>
      <c r="FU211" s="93"/>
      <c r="FV211" s="93"/>
      <c r="FW211" s="93"/>
      <c r="FX211" s="93"/>
      <c r="FY211" s="93"/>
      <c r="FZ211" s="93"/>
      <c r="GA211" s="93"/>
      <c r="GB211" s="93"/>
      <c r="GC211" s="93"/>
      <c r="GD211" s="93"/>
      <c r="GE211" s="93"/>
      <c r="GF211" s="93"/>
      <c r="GG211" s="93"/>
      <c r="GH211" s="93"/>
      <c r="GI211" s="93"/>
      <c r="GJ211" s="93"/>
      <c r="GK211" s="93"/>
      <c r="GL211" s="93"/>
      <c r="GM211" s="93"/>
      <c r="GN211" s="93"/>
      <c r="GO211" s="93"/>
      <c r="GP211" s="93"/>
      <c r="GQ211" s="93"/>
      <c r="GR211" s="93"/>
      <c r="GS211" s="93"/>
      <c r="GT211" s="93"/>
      <c r="GU211" s="93"/>
      <c r="GV211" s="93"/>
      <c r="GW211" s="93"/>
      <c r="GX211" s="93"/>
      <c r="GY211" s="93"/>
      <c r="GZ211" s="93"/>
      <c r="HA211" s="93"/>
      <c r="HB211" s="93"/>
      <c r="HC211" s="93"/>
      <c r="HD211" s="93"/>
      <c r="HE211" s="93"/>
      <c r="HF211" s="93"/>
      <c r="HG211" s="93"/>
      <c r="HH211" s="93"/>
      <c r="HI211" s="93"/>
      <c r="HJ211" s="93"/>
      <c r="HK211" s="93"/>
      <c r="HL211" s="93"/>
      <c r="HM211" s="93"/>
      <c r="HN211" s="93"/>
      <c r="HO211" s="93"/>
      <c r="HP211" s="93"/>
      <c r="HQ211" s="93"/>
      <c r="HR211" s="93"/>
      <c r="HS211" s="93"/>
      <c r="HT211" s="93"/>
      <c r="HU211" s="93"/>
      <c r="HV211" s="93"/>
      <c r="HW211" s="93"/>
      <c r="HX211" s="93"/>
      <c r="HY211" s="93"/>
      <c r="HZ211" s="93"/>
      <c r="IA211" s="93"/>
      <c r="IB211" s="93"/>
      <c r="IC211" s="93"/>
      <c r="ID211" s="93"/>
      <c r="IE211" s="93"/>
      <c r="IF211" s="93"/>
      <c r="IG211" s="93"/>
      <c r="IH211" s="93"/>
      <c r="II211" s="93"/>
      <c r="IJ211" s="93"/>
      <c r="IK211" s="93"/>
      <c r="IL211" s="93"/>
      <c r="IM211" s="93"/>
      <c r="IN211" s="93"/>
      <c r="IO211" s="93"/>
      <c r="IP211" s="93"/>
      <c r="IQ211" s="93"/>
      <c r="IR211" s="93"/>
      <c r="IS211" s="93"/>
      <c r="IT211" s="93"/>
      <c r="IU211" s="93"/>
      <c r="IV211" s="93"/>
      <c r="IW211" s="93"/>
      <c r="IX211" s="93"/>
      <c r="IY211" s="93"/>
      <c r="IZ211" s="93"/>
    </row>
    <row r="212" spans="1:260" s="95" customFormat="1">
      <c r="A212" s="93"/>
      <c r="B212" s="183"/>
      <c r="C212" s="183"/>
      <c r="D212" s="183"/>
      <c r="E212" s="158"/>
      <c r="F212" s="158"/>
      <c r="G212" s="158"/>
      <c r="H212" s="158"/>
      <c r="I212" s="158"/>
      <c r="J212" s="158"/>
      <c r="K212" s="158"/>
      <c r="L212" s="158"/>
      <c r="M212" s="158"/>
      <c r="N212" s="158"/>
      <c r="O212" s="158"/>
      <c r="P212" s="228"/>
      <c r="Q212" s="158"/>
      <c r="R212" s="158"/>
      <c r="S212" s="207"/>
      <c r="T212" s="207"/>
      <c r="U212" s="207"/>
      <c r="V212" s="207"/>
      <c r="W212" s="207"/>
      <c r="X212" s="207"/>
      <c r="Y212" s="207"/>
      <c r="Z212" s="207"/>
      <c r="AA212" s="207"/>
      <c r="AB212" s="207"/>
      <c r="AC212" s="207"/>
      <c r="AD212" s="207"/>
      <c r="AE212" s="207"/>
      <c r="AF212" s="207"/>
      <c r="AG212" s="207"/>
      <c r="AH212" s="207"/>
      <c r="AI212" s="207"/>
      <c r="AJ212" s="207"/>
      <c r="AK212" s="207"/>
      <c r="AL212" s="207"/>
      <c r="AM212" s="94"/>
      <c r="AN212" s="94"/>
      <c r="AO212" s="94"/>
      <c r="AP212" s="94"/>
      <c r="AQ212" s="94"/>
      <c r="AR212" s="94"/>
      <c r="AS212" s="94"/>
      <c r="AT212" s="94"/>
      <c r="AU212" s="94"/>
      <c r="AV212" s="94"/>
      <c r="AW212" s="94"/>
      <c r="AX212" s="94"/>
      <c r="AY212" s="94"/>
      <c r="AZ212" s="93"/>
      <c r="BA212" s="93"/>
      <c r="BB212" s="93"/>
      <c r="BC212" s="93"/>
      <c r="BD212" s="93"/>
      <c r="BE212" s="93"/>
      <c r="BF212" s="93"/>
      <c r="BG212" s="93"/>
      <c r="BH212" s="93"/>
      <c r="BI212" s="93"/>
      <c r="BJ212" s="93"/>
      <c r="BK212" s="93"/>
      <c r="BL212" s="93"/>
      <c r="BM212" s="93"/>
      <c r="BN212" s="93"/>
      <c r="BO212" s="93"/>
      <c r="BP212" s="93"/>
      <c r="BQ212" s="93"/>
      <c r="BR212" s="93"/>
      <c r="BS212" s="93"/>
      <c r="BT212" s="93"/>
      <c r="BU212" s="93"/>
      <c r="BV212" s="93"/>
      <c r="BW212" s="93"/>
      <c r="BX212" s="93"/>
      <c r="BY212" s="93"/>
      <c r="BZ212" s="93"/>
      <c r="CA212" s="93"/>
      <c r="CB212" s="93"/>
      <c r="CC212" s="93"/>
      <c r="CD212" s="93"/>
      <c r="CE212" s="93"/>
      <c r="CF212" s="93"/>
      <c r="CG212" s="93"/>
      <c r="CH212" s="93"/>
      <c r="CI212" s="93"/>
      <c r="CJ212" s="93"/>
      <c r="CK212" s="93"/>
      <c r="CL212" s="93"/>
      <c r="CM212" s="93"/>
      <c r="CN212" s="93"/>
      <c r="CO212" s="93"/>
      <c r="CP212" s="93"/>
      <c r="CQ212" s="93"/>
      <c r="CR212" s="93"/>
      <c r="CS212" s="93"/>
      <c r="CT212" s="93"/>
      <c r="CU212" s="93"/>
      <c r="CV212" s="93"/>
      <c r="CW212" s="93"/>
      <c r="CX212" s="93"/>
      <c r="CY212" s="93"/>
      <c r="CZ212" s="93"/>
      <c r="DA212" s="93"/>
      <c r="DB212" s="93"/>
      <c r="DC212" s="93"/>
      <c r="DD212" s="93"/>
      <c r="DE212" s="93"/>
      <c r="DF212" s="93"/>
      <c r="DG212" s="93"/>
      <c r="DH212" s="93"/>
      <c r="DI212" s="93"/>
      <c r="DJ212" s="93"/>
      <c r="DK212" s="93"/>
      <c r="DL212" s="93"/>
      <c r="DM212" s="93"/>
      <c r="DN212" s="93"/>
      <c r="DO212" s="93"/>
      <c r="DP212" s="93"/>
      <c r="DQ212" s="93"/>
      <c r="DR212" s="93"/>
      <c r="DS212" s="93"/>
      <c r="DT212" s="93"/>
      <c r="DU212" s="93"/>
      <c r="DV212" s="93"/>
      <c r="DW212" s="93"/>
      <c r="DX212" s="93"/>
      <c r="DY212" s="93"/>
      <c r="DZ212" s="93"/>
      <c r="EA212" s="93"/>
      <c r="EB212" s="93"/>
      <c r="EC212" s="93"/>
      <c r="ED212" s="93"/>
      <c r="EE212" s="93"/>
      <c r="EF212" s="93"/>
      <c r="EG212" s="93"/>
      <c r="EH212" s="93"/>
      <c r="EI212" s="93"/>
      <c r="EJ212" s="93"/>
      <c r="EK212" s="93"/>
      <c r="EL212" s="93"/>
      <c r="EM212" s="93"/>
      <c r="EN212" s="93"/>
      <c r="EO212" s="93"/>
      <c r="EP212" s="93"/>
      <c r="EQ212" s="93"/>
      <c r="ER212" s="93"/>
      <c r="ES212" s="93"/>
      <c r="ET212" s="93"/>
      <c r="EU212" s="93"/>
      <c r="EV212" s="93"/>
      <c r="EW212" s="93"/>
      <c r="EX212" s="93"/>
      <c r="EY212" s="93"/>
      <c r="EZ212" s="93"/>
      <c r="FA212" s="93"/>
      <c r="FB212" s="93"/>
      <c r="FC212" s="93"/>
      <c r="FD212" s="93"/>
      <c r="FE212" s="93"/>
      <c r="FF212" s="93"/>
      <c r="FG212" s="93"/>
      <c r="FH212" s="93"/>
      <c r="FI212" s="93"/>
      <c r="FJ212" s="93"/>
      <c r="FK212" s="93"/>
      <c r="FL212" s="93"/>
      <c r="FM212" s="93"/>
      <c r="FN212" s="93"/>
      <c r="FO212" s="93"/>
      <c r="FP212" s="93"/>
      <c r="FQ212" s="93"/>
      <c r="FR212" s="93"/>
      <c r="FS212" s="93"/>
      <c r="FT212" s="93"/>
      <c r="FU212" s="93"/>
      <c r="FV212" s="93"/>
      <c r="FW212" s="93"/>
      <c r="FX212" s="93"/>
      <c r="FY212" s="93"/>
      <c r="FZ212" s="93"/>
      <c r="GA212" s="93"/>
      <c r="GB212" s="93"/>
      <c r="GC212" s="93"/>
      <c r="GD212" s="93"/>
      <c r="GE212" s="93"/>
      <c r="GF212" s="93"/>
      <c r="GG212" s="93"/>
      <c r="GH212" s="93"/>
      <c r="GI212" s="93"/>
      <c r="GJ212" s="93"/>
      <c r="GK212" s="93"/>
      <c r="GL212" s="93"/>
      <c r="GM212" s="93"/>
      <c r="GN212" s="93"/>
      <c r="GO212" s="93"/>
      <c r="GP212" s="93"/>
      <c r="GQ212" s="93"/>
      <c r="GR212" s="93"/>
      <c r="GS212" s="93"/>
      <c r="GT212" s="93"/>
      <c r="GU212" s="93"/>
      <c r="GV212" s="93"/>
      <c r="GW212" s="93"/>
      <c r="GX212" s="93"/>
      <c r="GY212" s="93"/>
      <c r="GZ212" s="93"/>
      <c r="HA212" s="93"/>
      <c r="HB212" s="93"/>
      <c r="HC212" s="93"/>
      <c r="HD212" s="93"/>
      <c r="HE212" s="93"/>
      <c r="HF212" s="93"/>
      <c r="HG212" s="93"/>
      <c r="HH212" s="93"/>
      <c r="HI212" s="93"/>
      <c r="HJ212" s="93"/>
      <c r="HK212" s="93"/>
      <c r="HL212" s="93"/>
      <c r="HM212" s="93"/>
      <c r="HN212" s="93"/>
      <c r="HO212" s="93"/>
      <c r="HP212" s="93"/>
      <c r="HQ212" s="93"/>
      <c r="HR212" s="93"/>
      <c r="HS212" s="93"/>
      <c r="HT212" s="93"/>
      <c r="HU212" s="93"/>
      <c r="HV212" s="93"/>
      <c r="HW212" s="93"/>
      <c r="HX212" s="93"/>
      <c r="HY212" s="93"/>
      <c r="HZ212" s="93"/>
      <c r="IA212" s="93"/>
      <c r="IB212" s="93"/>
      <c r="IC212" s="93"/>
      <c r="ID212" s="93"/>
      <c r="IE212" s="93"/>
      <c r="IF212" s="93"/>
      <c r="IG212" s="93"/>
      <c r="IH212" s="93"/>
      <c r="II212" s="93"/>
      <c r="IJ212" s="93"/>
      <c r="IK212" s="93"/>
      <c r="IL212" s="93"/>
      <c r="IM212" s="93"/>
      <c r="IN212" s="93"/>
      <c r="IO212" s="93"/>
      <c r="IP212" s="93"/>
      <c r="IQ212" s="93"/>
      <c r="IR212" s="93"/>
      <c r="IS212" s="93"/>
      <c r="IT212" s="93"/>
      <c r="IU212" s="93"/>
      <c r="IV212" s="93"/>
      <c r="IW212" s="93"/>
      <c r="IX212" s="93"/>
      <c r="IY212" s="93"/>
      <c r="IZ212" s="93"/>
    </row>
    <row r="213" spans="1:260" s="95" customFormat="1">
      <c r="A213" s="93"/>
      <c r="B213" s="183"/>
      <c r="C213" s="183"/>
      <c r="D213" s="183"/>
      <c r="E213" s="158"/>
      <c r="F213" s="158"/>
      <c r="G213" s="158"/>
      <c r="H213" s="158"/>
      <c r="I213" s="158"/>
      <c r="J213" s="158"/>
      <c r="K213" s="158"/>
      <c r="L213" s="158"/>
      <c r="M213" s="158"/>
      <c r="N213" s="158"/>
      <c r="O213" s="158"/>
      <c r="P213" s="228"/>
      <c r="Q213" s="158"/>
      <c r="R213" s="158"/>
      <c r="S213" s="207"/>
      <c r="T213" s="207"/>
      <c r="U213" s="207"/>
      <c r="V213" s="207"/>
      <c r="W213" s="207"/>
      <c r="X213" s="207"/>
      <c r="Y213" s="207"/>
      <c r="Z213" s="207"/>
      <c r="AA213" s="207"/>
      <c r="AB213" s="207"/>
      <c r="AC213" s="207"/>
      <c r="AD213" s="207"/>
      <c r="AE213" s="207"/>
      <c r="AF213" s="207"/>
      <c r="AG213" s="207"/>
      <c r="AH213" s="207"/>
      <c r="AI213" s="207"/>
      <c r="AJ213" s="207"/>
      <c r="AK213" s="207"/>
      <c r="AL213" s="207"/>
      <c r="AM213" s="94"/>
      <c r="AN213" s="94"/>
      <c r="AO213" s="94"/>
      <c r="AP213" s="94"/>
      <c r="AQ213" s="94"/>
      <c r="AR213" s="94"/>
      <c r="AS213" s="94"/>
      <c r="AT213" s="94"/>
      <c r="AU213" s="94"/>
      <c r="AV213" s="94"/>
      <c r="AW213" s="94"/>
      <c r="AX213" s="94"/>
      <c r="AY213" s="94"/>
      <c r="AZ213" s="93"/>
      <c r="BA213" s="93"/>
      <c r="BB213" s="93"/>
      <c r="BC213" s="93"/>
      <c r="BD213" s="93"/>
      <c r="BE213" s="93"/>
      <c r="BF213" s="93"/>
      <c r="BG213" s="93"/>
      <c r="BH213" s="93"/>
      <c r="BI213" s="93"/>
      <c r="BJ213" s="93"/>
      <c r="BK213" s="93"/>
      <c r="BL213" s="93"/>
      <c r="BM213" s="93"/>
      <c r="BN213" s="93"/>
      <c r="BO213" s="93"/>
      <c r="BP213" s="93"/>
      <c r="BQ213" s="93"/>
      <c r="BR213" s="93"/>
      <c r="BS213" s="93"/>
      <c r="BT213" s="93"/>
      <c r="BU213" s="93"/>
      <c r="BV213" s="93"/>
      <c r="BW213" s="93"/>
      <c r="BX213" s="93"/>
      <c r="BY213" s="93"/>
      <c r="BZ213" s="93"/>
      <c r="CA213" s="93"/>
      <c r="CB213" s="93"/>
      <c r="CC213" s="93"/>
      <c r="CD213" s="93"/>
      <c r="CE213" s="93"/>
      <c r="CF213" s="93"/>
      <c r="CG213" s="93"/>
      <c r="CH213" s="93"/>
      <c r="CI213" s="93"/>
      <c r="CJ213" s="93"/>
      <c r="CK213" s="93"/>
      <c r="CL213" s="93"/>
      <c r="CM213" s="93"/>
      <c r="CN213" s="93"/>
      <c r="CO213" s="93"/>
      <c r="CP213" s="93"/>
      <c r="CQ213" s="93"/>
      <c r="CR213" s="93"/>
      <c r="CS213" s="93"/>
      <c r="CT213" s="93"/>
      <c r="CU213" s="93"/>
      <c r="CV213" s="93"/>
      <c r="CW213" s="93"/>
      <c r="CX213" s="93"/>
      <c r="CY213" s="93"/>
      <c r="CZ213" s="93"/>
      <c r="DA213" s="93"/>
      <c r="DB213" s="93"/>
      <c r="DC213" s="93"/>
      <c r="DD213" s="93"/>
      <c r="DE213" s="93"/>
      <c r="DF213" s="93"/>
      <c r="DG213" s="93"/>
      <c r="DH213" s="93"/>
      <c r="DI213" s="93"/>
      <c r="DJ213" s="93"/>
      <c r="DK213" s="93"/>
      <c r="DL213" s="93"/>
      <c r="DM213" s="93"/>
      <c r="DN213" s="93"/>
      <c r="DO213" s="93"/>
      <c r="DP213" s="93"/>
      <c r="DQ213" s="93"/>
      <c r="DR213" s="93"/>
      <c r="DS213" s="93"/>
      <c r="DT213" s="93"/>
      <c r="DU213" s="93"/>
      <c r="DV213" s="93"/>
      <c r="DW213" s="93"/>
      <c r="DX213" s="93"/>
      <c r="DY213" s="93"/>
      <c r="DZ213" s="93"/>
      <c r="EA213" s="93"/>
      <c r="EB213" s="93"/>
      <c r="EC213" s="93"/>
      <c r="ED213" s="93"/>
      <c r="EE213" s="93"/>
      <c r="EF213" s="93"/>
      <c r="EG213" s="93"/>
      <c r="EH213" s="93"/>
      <c r="EI213" s="93"/>
      <c r="EJ213" s="93"/>
      <c r="EK213" s="93"/>
      <c r="EL213" s="93"/>
      <c r="EM213" s="93"/>
      <c r="EN213" s="93"/>
      <c r="EO213" s="93"/>
      <c r="EP213" s="93"/>
      <c r="EQ213" s="93"/>
      <c r="ER213" s="93"/>
      <c r="ES213" s="93"/>
      <c r="ET213" s="93"/>
      <c r="EU213" s="93"/>
      <c r="EV213" s="93"/>
      <c r="EW213" s="93"/>
      <c r="EX213" s="93"/>
      <c r="EY213" s="93"/>
      <c r="EZ213" s="93"/>
      <c r="FA213" s="93"/>
      <c r="FB213" s="93"/>
      <c r="FC213" s="93"/>
      <c r="FD213" s="93"/>
      <c r="FE213" s="93"/>
      <c r="FF213" s="93"/>
      <c r="FG213" s="93"/>
      <c r="FH213" s="93"/>
      <c r="FI213" s="93"/>
      <c r="FJ213" s="93"/>
      <c r="FK213" s="93"/>
      <c r="FL213" s="93"/>
      <c r="FM213" s="93"/>
      <c r="FN213" s="93"/>
      <c r="FO213" s="93"/>
      <c r="FP213" s="93"/>
      <c r="FQ213" s="93"/>
      <c r="FR213" s="93"/>
      <c r="FS213" s="93"/>
      <c r="FT213" s="93"/>
      <c r="FU213" s="93"/>
      <c r="FV213" s="93"/>
      <c r="FW213" s="93"/>
      <c r="FX213" s="93"/>
      <c r="FY213" s="93"/>
      <c r="FZ213" s="93"/>
      <c r="GA213" s="93"/>
      <c r="GB213" s="93"/>
      <c r="GC213" s="93"/>
      <c r="GD213" s="93"/>
      <c r="GE213" s="93"/>
      <c r="GF213" s="93"/>
      <c r="GG213" s="93"/>
      <c r="GH213" s="93"/>
      <c r="GI213" s="93"/>
      <c r="GJ213" s="93"/>
      <c r="GK213" s="93"/>
      <c r="GL213" s="93"/>
      <c r="GM213" s="93"/>
      <c r="GN213" s="93"/>
      <c r="GO213" s="93"/>
      <c r="GP213" s="93"/>
      <c r="GQ213" s="93"/>
      <c r="GR213" s="93"/>
      <c r="GS213" s="93"/>
      <c r="GT213" s="93"/>
      <c r="GU213" s="93"/>
      <c r="GV213" s="93"/>
      <c r="GW213" s="93"/>
      <c r="GX213" s="93"/>
      <c r="GY213" s="93"/>
      <c r="GZ213" s="93"/>
      <c r="HA213" s="93"/>
      <c r="HB213" s="93"/>
      <c r="HC213" s="93"/>
      <c r="HD213" s="93"/>
      <c r="HE213" s="93"/>
      <c r="HF213" s="93"/>
      <c r="HG213" s="93"/>
      <c r="HH213" s="93"/>
      <c r="HI213" s="93"/>
      <c r="HJ213" s="93"/>
      <c r="HK213" s="93"/>
      <c r="HL213" s="93"/>
      <c r="HM213" s="93"/>
      <c r="HN213" s="93"/>
      <c r="HO213" s="93"/>
      <c r="HP213" s="93"/>
      <c r="HQ213" s="93"/>
      <c r="HR213" s="93"/>
      <c r="HS213" s="93"/>
      <c r="HT213" s="93"/>
      <c r="HU213" s="93"/>
      <c r="HV213" s="93"/>
      <c r="HW213" s="93"/>
      <c r="HX213" s="93"/>
      <c r="HY213" s="93"/>
      <c r="HZ213" s="93"/>
      <c r="IA213" s="93"/>
      <c r="IB213" s="93"/>
      <c r="IC213" s="93"/>
      <c r="ID213" s="93"/>
      <c r="IE213" s="93"/>
      <c r="IF213" s="93"/>
      <c r="IG213" s="93"/>
      <c r="IH213" s="93"/>
      <c r="II213" s="93"/>
      <c r="IJ213" s="93"/>
      <c r="IK213" s="93"/>
      <c r="IL213" s="93"/>
      <c r="IM213" s="93"/>
      <c r="IN213" s="93"/>
      <c r="IO213" s="93"/>
      <c r="IP213" s="93"/>
      <c r="IQ213" s="93"/>
      <c r="IR213" s="93"/>
      <c r="IS213" s="93"/>
      <c r="IT213" s="93"/>
      <c r="IU213" s="93"/>
      <c r="IV213" s="93"/>
      <c r="IW213" s="93"/>
      <c r="IX213" s="93"/>
      <c r="IY213" s="93"/>
      <c r="IZ213" s="93"/>
    </row>
    <row r="214" spans="1:260" s="95" customFormat="1">
      <c r="A214" s="93"/>
      <c r="B214" s="183"/>
      <c r="C214" s="183"/>
      <c r="D214" s="183"/>
      <c r="E214" s="158"/>
      <c r="F214" s="158"/>
      <c r="G214" s="158"/>
      <c r="H214" s="158"/>
      <c r="I214" s="158"/>
      <c r="J214" s="158"/>
      <c r="K214" s="158"/>
      <c r="L214" s="158"/>
      <c r="M214" s="158"/>
      <c r="N214" s="158"/>
      <c r="O214" s="158"/>
      <c r="P214" s="228"/>
      <c r="Q214" s="158"/>
      <c r="R214" s="158"/>
      <c r="S214" s="207"/>
      <c r="T214" s="207"/>
      <c r="U214" s="207"/>
      <c r="V214" s="207"/>
      <c r="W214" s="207"/>
      <c r="X214" s="207"/>
      <c r="Y214" s="207"/>
      <c r="Z214" s="207"/>
      <c r="AA214" s="207"/>
      <c r="AB214" s="207"/>
      <c r="AC214" s="207"/>
      <c r="AD214" s="207"/>
      <c r="AE214" s="207"/>
      <c r="AF214" s="207"/>
      <c r="AG214" s="207"/>
      <c r="AH214" s="207"/>
      <c r="AI214" s="207"/>
      <c r="AJ214" s="207"/>
      <c r="AK214" s="207"/>
      <c r="AL214" s="207"/>
      <c r="AM214" s="94"/>
      <c r="AN214" s="94"/>
      <c r="AO214" s="94"/>
      <c r="AP214" s="94"/>
      <c r="AQ214" s="94"/>
      <c r="AR214" s="94"/>
      <c r="AS214" s="94"/>
      <c r="AT214" s="94"/>
      <c r="AU214" s="94"/>
      <c r="AV214" s="94"/>
      <c r="AW214" s="94"/>
      <c r="AX214" s="94"/>
      <c r="AY214" s="94"/>
      <c r="AZ214" s="93"/>
      <c r="BA214" s="93"/>
      <c r="BB214" s="93"/>
      <c r="BC214" s="93"/>
      <c r="BD214" s="93"/>
      <c r="BE214" s="93"/>
      <c r="BF214" s="93"/>
      <c r="BG214" s="93"/>
      <c r="BH214" s="93"/>
      <c r="BI214" s="93"/>
      <c r="BJ214" s="93"/>
      <c r="BK214" s="93"/>
      <c r="BL214" s="93"/>
      <c r="BM214" s="93"/>
      <c r="BN214" s="93"/>
      <c r="BO214" s="93"/>
      <c r="BP214" s="93"/>
      <c r="BQ214" s="93"/>
      <c r="BR214" s="93"/>
      <c r="BS214" s="93"/>
      <c r="BT214" s="93"/>
      <c r="BU214" s="93"/>
      <c r="BV214" s="93"/>
      <c r="BW214" s="93"/>
      <c r="BX214" s="93"/>
      <c r="BY214" s="93"/>
      <c r="BZ214" s="93"/>
      <c r="CA214" s="93"/>
      <c r="CB214" s="93"/>
      <c r="CC214" s="93"/>
      <c r="CD214" s="93"/>
      <c r="CE214" s="93"/>
      <c r="CF214" s="93"/>
      <c r="CG214" s="93"/>
      <c r="CH214" s="93"/>
      <c r="CI214" s="93"/>
      <c r="CJ214" s="93"/>
      <c r="CK214" s="93"/>
      <c r="CL214" s="93"/>
      <c r="CM214" s="93"/>
      <c r="CN214" s="93"/>
      <c r="CO214" s="93"/>
      <c r="CP214" s="93"/>
      <c r="CQ214" s="93"/>
      <c r="CR214" s="93"/>
      <c r="CS214" s="93"/>
      <c r="CT214" s="93"/>
      <c r="CU214" s="93"/>
      <c r="CV214" s="93"/>
      <c r="CW214" s="93"/>
      <c r="CX214" s="93"/>
      <c r="CY214" s="93"/>
      <c r="CZ214" s="93"/>
      <c r="DA214" s="93"/>
      <c r="DB214" s="93"/>
      <c r="DC214" s="93"/>
      <c r="DD214" s="93"/>
      <c r="DE214" s="93"/>
      <c r="DF214" s="93"/>
      <c r="DG214" s="93"/>
      <c r="DH214" s="93"/>
      <c r="DI214" s="93"/>
      <c r="DJ214" s="93"/>
      <c r="DK214" s="93"/>
      <c r="DL214" s="93"/>
      <c r="DM214" s="93"/>
      <c r="DN214" s="93"/>
      <c r="DO214" s="93"/>
      <c r="DP214" s="93"/>
      <c r="DQ214" s="93"/>
      <c r="DR214" s="93"/>
      <c r="DS214" s="93"/>
      <c r="DT214" s="93"/>
      <c r="DU214" s="93"/>
      <c r="DV214" s="93"/>
      <c r="DW214" s="93"/>
      <c r="DX214" s="93"/>
      <c r="DY214" s="93"/>
      <c r="DZ214" s="93"/>
      <c r="EA214" s="93"/>
      <c r="EB214" s="93"/>
      <c r="EC214" s="93"/>
      <c r="ED214" s="93"/>
      <c r="EE214" s="93"/>
      <c r="EF214" s="93"/>
      <c r="EG214" s="93"/>
      <c r="EH214" s="93"/>
      <c r="EI214" s="93"/>
      <c r="EJ214" s="93"/>
      <c r="EK214" s="93"/>
      <c r="EL214" s="93"/>
      <c r="EM214" s="93"/>
      <c r="EN214" s="93"/>
      <c r="EO214" s="93"/>
      <c r="EP214" s="93"/>
      <c r="EQ214" s="93"/>
      <c r="ER214" s="93"/>
      <c r="ES214" s="93"/>
      <c r="ET214" s="93"/>
      <c r="EU214" s="93"/>
      <c r="EV214" s="93"/>
      <c r="EW214" s="93"/>
      <c r="EX214" s="93"/>
      <c r="EY214" s="93"/>
      <c r="EZ214" s="93"/>
      <c r="FA214" s="93"/>
      <c r="FB214" s="93"/>
      <c r="FC214" s="93"/>
      <c r="FD214" s="93"/>
      <c r="FE214" s="93"/>
      <c r="FF214" s="93"/>
      <c r="FG214" s="93"/>
      <c r="FH214" s="93"/>
      <c r="FI214" s="93"/>
      <c r="FJ214" s="93"/>
      <c r="FK214" s="93"/>
      <c r="FL214" s="93"/>
      <c r="FM214" s="93"/>
      <c r="FN214" s="93"/>
      <c r="FO214" s="93"/>
      <c r="FP214" s="93"/>
      <c r="FQ214" s="93"/>
      <c r="FR214" s="93"/>
      <c r="FS214" s="93"/>
      <c r="FT214" s="93"/>
      <c r="FU214" s="93"/>
      <c r="FV214" s="93"/>
      <c r="FW214" s="93"/>
      <c r="FX214" s="93"/>
      <c r="FY214" s="93"/>
      <c r="FZ214" s="93"/>
      <c r="GA214" s="93"/>
      <c r="GB214" s="93"/>
      <c r="GC214" s="93"/>
      <c r="GD214" s="93"/>
      <c r="GE214" s="93"/>
      <c r="GF214" s="93"/>
      <c r="GG214" s="93"/>
      <c r="GH214" s="93"/>
      <c r="GI214" s="93"/>
      <c r="GJ214" s="93"/>
      <c r="GK214" s="93"/>
      <c r="GL214" s="93"/>
      <c r="GM214" s="93"/>
      <c r="GN214" s="93"/>
      <c r="GO214" s="93"/>
      <c r="GP214" s="93"/>
      <c r="GQ214" s="93"/>
      <c r="GR214" s="93"/>
      <c r="GS214" s="93"/>
      <c r="GT214" s="93"/>
      <c r="GU214" s="93"/>
      <c r="GV214" s="93"/>
      <c r="GW214" s="93"/>
      <c r="GX214" s="93"/>
      <c r="GY214" s="93"/>
      <c r="GZ214" s="93"/>
      <c r="HA214" s="93"/>
      <c r="HB214" s="93"/>
      <c r="HC214" s="93"/>
      <c r="HD214" s="93"/>
      <c r="HE214" s="93"/>
      <c r="HF214" s="93"/>
      <c r="HG214" s="93"/>
      <c r="HH214" s="93"/>
      <c r="HI214" s="93"/>
      <c r="HJ214" s="93"/>
      <c r="HK214" s="93"/>
      <c r="HL214" s="93"/>
      <c r="HM214" s="93"/>
      <c r="HN214" s="93"/>
      <c r="HO214" s="93"/>
      <c r="HP214" s="93"/>
      <c r="HQ214" s="93"/>
      <c r="HR214" s="93"/>
      <c r="HS214" s="93"/>
      <c r="HT214" s="93"/>
      <c r="HU214" s="93"/>
      <c r="HV214" s="93"/>
      <c r="HW214" s="93"/>
      <c r="HX214" s="93"/>
      <c r="HY214" s="93"/>
      <c r="HZ214" s="93"/>
      <c r="IA214" s="93"/>
      <c r="IB214" s="93"/>
      <c r="IC214" s="93"/>
      <c r="ID214" s="93"/>
      <c r="IE214" s="93"/>
      <c r="IF214" s="93"/>
      <c r="IG214" s="93"/>
      <c r="IH214" s="93"/>
      <c r="II214" s="93"/>
      <c r="IJ214" s="93"/>
      <c r="IK214" s="93"/>
      <c r="IL214" s="93"/>
      <c r="IM214" s="93"/>
      <c r="IN214" s="93"/>
      <c r="IO214" s="93"/>
      <c r="IP214" s="93"/>
      <c r="IQ214" s="93"/>
      <c r="IR214" s="93"/>
      <c r="IS214" s="93"/>
      <c r="IT214" s="93"/>
      <c r="IU214" s="93"/>
      <c r="IV214" s="93"/>
      <c r="IW214" s="93"/>
      <c r="IX214" s="93"/>
      <c r="IY214" s="93"/>
      <c r="IZ214" s="93"/>
    </row>
    <row r="215" spans="1:260" s="95" customFormat="1">
      <c r="A215" s="93"/>
      <c r="B215" s="183"/>
      <c r="C215" s="183"/>
      <c r="D215" s="183"/>
      <c r="E215" s="158"/>
      <c r="F215" s="158"/>
      <c r="G215" s="158"/>
      <c r="H215" s="158"/>
      <c r="I215" s="158"/>
      <c r="J215" s="158"/>
      <c r="K215" s="158"/>
      <c r="L215" s="158"/>
      <c r="M215" s="158"/>
      <c r="N215" s="158"/>
      <c r="O215" s="158"/>
      <c r="P215" s="228"/>
      <c r="Q215" s="158"/>
      <c r="R215" s="158"/>
      <c r="S215" s="207"/>
      <c r="T215" s="207"/>
      <c r="U215" s="207"/>
      <c r="V215" s="207"/>
      <c r="W215" s="207"/>
      <c r="X215" s="207"/>
      <c r="Y215" s="207"/>
      <c r="Z215" s="207"/>
      <c r="AA215" s="207"/>
      <c r="AB215" s="207"/>
      <c r="AC215" s="207"/>
      <c r="AD215" s="207"/>
      <c r="AE215" s="207"/>
      <c r="AF215" s="207"/>
      <c r="AG215" s="207"/>
      <c r="AH215" s="207"/>
      <c r="AI215" s="207"/>
      <c r="AJ215" s="207"/>
      <c r="AK215" s="207"/>
      <c r="AL215" s="207"/>
      <c r="AM215" s="94"/>
      <c r="AN215" s="94"/>
      <c r="AO215" s="94"/>
      <c r="AP215" s="94"/>
      <c r="AQ215" s="94"/>
      <c r="AR215" s="94"/>
      <c r="AS215" s="94"/>
      <c r="AT215" s="94"/>
      <c r="AU215" s="94"/>
      <c r="AV215" s="94"/>
      <c r="AW215" s="94"/>
      <c r="AX215" s="94"/>
      <c r="AY215" s="94"/>
      <c r="AZ215" s="93"/>
      <c r="BA215" s="93"/>
      <c r="BB215" s="93"/>
      <c r="BC215" s="93"/>
      <c r="BD215" s="93"/>
      <c r="BE215" s="93"/>
      <c r="BF215" s="93"/>
      <c r="BG215" s="93"/>
      <c r="BH215" s="93"/>
      <c r="BI215" s="93"/>
      <c r="BJ215" s="93"/>
      <c r="BK215" s="93"/>
      <c r="BL215" s="93"/>
      <c r="BM215" s="93"/>
      <c r="BN215" s="93"/>
      <c r="BO215" s="93"/>
      <c r="BP215" s="93"/>
      <c r="BQ215" s="93"/>
      <c r="BR215" s="93"/>
      <c r="BS215" s="93"/>
      <c r="BT215" s="93"/>
      <c r="BU215" s="93"/>
      <c r="BV215" s="93"/>
      <c r="BW215" s="93"/>
      <c r="BX215" s="93"/>
      <c r="BY215" s="93"/>
      <c r="BZ215" s="93"/>
      <c r="CA215" s="93"/>
      <c r="CB215" s="93"/>
      <c r="CC215" s="93"/>
      <c r="CD215" s="93"/>
      <c r="CE215" s="93"/>
      <c r="CF215" s="93"/>
      <c r="CG215" s="93"/>
      <c r="CH215" s="93"/>
      <c r="CI215" s="93"/>
      <c r="CJ215" s="93"/>
      <c r="CK215" s="93"/>
      <c r="CL215" s="93"/>
      <c r="CM215" s="93"/>
      <c r="CN215" s="93"/>
      <c r="CO215" s="93"/>
      <c r="CP215" s="93"/>
      <c r="CQ215" s="93"/>
      <c r="CR215" s="93"/>
      <c r="CS215" s="93"/>
      <c r="CT215" s="93"/>
      <c r="CU215" s="93"/>
      <c r="CV215" s="93"/>
      <c r="CW215" s="93"/>
      <c r="CX215" s="93"/>
      <c r="CY215" s="93"/>
      <c r="CZ215" s="93"/>
      <c r="DA215" s="93"/>
      <c r="DB215" s="93"/>
      <c r="DC215" s="93"/>
      <c r="DD215" s="93"/>
      <c r="DE215" s="93"/>
      <c r="DF215" s="93"/>
      <c r="DG215" s="93"/>
      <c r="DH215" s="93"/>
      <c r="DI215" s="93"/>
      <c r="DJ215" s="93"/>
      <c r="DK215" s="93"/>
      <c r="DL215" s="93"/>
      <c r="DM215" s="93"/>
      <c r="DN215" s="93"/>
      <c r="DO215" s="93"/>
      <c r="DP215" s="93"/>
      <c r="DQ215" s="93"/>
      <c r="DR215" s="93"/>
      <c r="DS215" s="93"/>
      <c r="DT215" s="93"/>
      <c r="DU215" s="93"/>
      <c r="DV215" s="93"/>
      <c r="DW215" s="93"/>
      <c r="DX215" s="93"/>
      <c r="DY215" s="93"/>
      <c r="DZ215" s="93"/>
      <c r="EA215" s="93"/>
      <c r="EB215" s="93"/>
      <c r="EC215" s="93"/>
      <c r="ED215" s="93"/>
      <c r="EE215" s="93"/>
      <c r="EF215" s="93"/>
      <c r="EG215" s="93"/>
      <c r="EH215" s="93"/>
      <c r="EI215" s="93"/>
      <c r="EJ215" s="93"/>
      <c r="EK215" s="93"/>
      <c r="EL215" s="93"/>
      <c r="EM215" s="93"/>
      <c r="EN215" s="93"/>
      <c r="EO215" s="93"/>
      <c r="EP215" s="93"/>
      <c r="EQ215" s="93"/>
      <c r="ER215" s="93"/>
      <c r="ES215" s="93"/>
      <c r="ET215" s="93"/>
      <c r="EU215" s="93"/>
      <c r="EV215" s="93"/>
      <c r="EW215" s="93"/>
      <c r="EX215" s="93"/>
      <c r="EY215" s="93"/>
      <c r="EZ215" s="93"/>
      <c r="FA215" s="93"/>
      <c r="FB215" s="93"/>
      <c r="FC215" s="93"/>
      <c r="FD215" s="93"/>
      <c r="FE215" s="93"/>
      <c r="FF215" s="93"/>
      <c r="FG215" s="93"/>
      <c r="FH215" s="93"/>
      <c r="FI215" s="93"/>
      <c r="FJ215" s="93"/>
      <c r="FK215" s="93"/>
      <c r="FL215" s="93"/>
      <c r="FM215" s="93"/>
      <c r="FN215" s="93"/>
      <c r="FO215" s="93"/>
      <c r="FP215" s="93"/>
      <c r="FQ215" s="93"/>
      <c r="FR215" s="93"/>
      <c r="FS215" s="93"/>
      <c r="FT215" s="93"/>
      <c r="FU215" s="93"/>
      <c r="FV215" s="93"/>
      <c r="FW215" s="93"/>
      <c r="FX215" s="93"/>
      <c r="FY215" s="93"/>
      <c r="FZ215" s="93"/>
      <c r="GA215" s="93"/>
      <c r="GB215" s="93"/>
      <c r="GC215" s="93"/>
      <c r="GD215" s="93"/>
      <c r="GE215" s="93"/>
      <c r="GF215" s="93"/>
      <c r="GG215" s="93"/>
      <c r="GH215" s="93"/>
      <c r="GI215" s="93"/>
      <c r="GJ215" s="93"/>
      <c r="GK215" s="93"/>
      <c r="GL215" s="93"/>
      <c r="GM215" s="93"/>
      <c r="GN215" s="93"/>
      <c r="GO215" s="93"/>
      <c r="GP215" s="93"/>
      <c r="GQ215" s="93"/>
      <c r="GR215" s="93"/>
      <c r="GS215" s="93"/>
      <c r="GT215" s="93"/>
      <c r="GU215" s="93"/>
      <c r="GV215" s="93"/>
      <c r="GW215" s="93"/>
      <c r="GX215" s="93"/>
      <c r="GY215" s="93"/>
      <c r="GZ215" s="93"/>
      <c r="HA215" s="93"/>
      <c r="HB215" s="93"/>
      <c r="HC215" s="93"/>
      <c r="HD215" s="93"/>
      <c r="HE215" s="93"/>
      <c r="HF215" s="93"/>
      <c r="HG215" s="93"/>
      <c r="HH215" s="93"/>
      <c r="HI215" s="93"/>
      <c r="HJ215" s="93"/>
      <c r="HK215" s="93"/>
      <c r="HL215" s="93"/>
      <c r="HM215" s="93"/>
      <c r="HN215" s="93"/>
      <c r="HO215" s="93"/>
      <c r="HP215" s="93"/>
      <c r="HQ215" s="93"/>
      <c r="HR215" s="93"/>
      <c r="HS215" s="93"/>
      <c r="HT215" s="93"/>
      <c r="HU215" s="93"/>
      <c r="HV215" s="93"/>
      <c r="HW215" s="93"/>
      <c r="HX215" s="93"/>
      <c r="HY215" s="93"/>
      <c r="HZ215" s="93"/>
      <c r="IA215" s="93"/>
      <c r="IB215" s="93"/>
      <c r="IC215" s="93"/>
      <c r="ID215" s="93"/>
      <c r="IE215" s="93"/>
      <c r="IF215" s="93"/>
      <c r="IG215" s="93"/>
      <c r="IH215" s="93"/>
      <c r="II215" s="93"/>
      <c r="IJ215" s="93"/>
      <c r="IK215" s="93"/>
      <c r="IL215" s="93"/>
      <c r="IM215" s="93"/>
      <c r="IN215" s="93"/>
      <c r="IO215" s="93"/>
      <c r="IP215" s="93"/>
      <c r="IQ215" s="93"/>
      <c r="IR215" s="93"/>
      <c r="IS215" s="93"/>
      <c r="IT215" s="93"/>
      <c r="IU215" s="93"/>
      <c r="IV215" s="93"/>
      <c r="IW215" s="93"/>
      <c r="IX215" s="93"/>
      <c r="IY215" s="93"/>
      <c r="IZ215" s="93"/>
    </row>
    <row r="216" spans="1:260" s="95" customFormat="1">
      <c r="A216" s="93"/>
      <c r="B216" s="183"/>
      <c r="C216" s="183"/>
      <c r="D216" s="183"/>
      <c r="E216" s="158"/>
      <c r="F216" s="158"/>
      <c r="G216" s="158"/>
      <c r="H216" s="158"/>
      <c r="I216" s="158"/>
      <c r="J216" s="158"/>
      <c r="K216" s="158"/>
      <c r="L216" s="158"/>
      <c r="M216" s="158"/>
      <c r="N216" s="158"/>
      <c r="O216" s="158"/>
      <c r="P216" s="228"/>
      <c r="Q216" s="158"/>
      <c r="R216" s="158"/>
      <c r="S216" s="207"/>
      <c r="T216" s="207"/>
      <c r="U216" s="207"/>
      <c r="V216" s="207"/>
      <c r="W216" s="207"/>
      <c r="X216" s="207"/>
      <c r="Y216" s="207"/>
      <c r="Z216" s="207"/>
      <c r="AA216" s="207"/>
      <c r="AB216" s="207"/>
      <c r="AC216" s="207"/>
      <c r="AD216" s="207"/>
      <c r="AE216" s="207"/>
      <c r="AF216" s="207"/>
      <c r="AG216" s="207"/>
      <c r="AH216" s="207"/>
      <c r="AI216" s="207"/>
      <c r="AJ216" s="207"/>
      <c r="AK216" s="207"/>
      <c r="AL216" s="207"/>
      <c r="AM216" s="94"/>
      <c r="AN216" s="94"/>
      <c r="AO216" s="94"/>
      <c r="AP216" s="94"/>
      <c r="AQ216" s="94"/>
      <c r="AR216" s="94"/>
      <c r="AS216" s="94"/>
      <c r="AT216" s="94"/>
      <c r="AU216" s="94"/>
      <c r="AV216" s="94"/>
      <c r="AW216" s="94"/>
      <c r="AX216" s="94"/>
      <c r="AY216" s="94"/>
      <c r="AZ216" s="93"/>
      <c r="BA216" s="93"/>
      <c r="BB216" s="93"/>
      <c r="BC216" s="93"/>
      <c r="BD216" s="93"/>
      <c r="BE216" s="93"/>
      <c r="BF216" s="93"/>
      <c r="BG216" s="93"/>
      <c r="BH216" s="93"/>
      <c r="BI216" s="93"/>
      <c r="BJ216" s="93"/>
      <c r="BK216" s="93"/>
      <c r="BL216" s="93"/>
      <c r="BM216" s="93"/>
      <c r="BN216" s="93"/>
      <c r="BO216" s="93"/>
      <c r="BP216" s="93"/>
      <c r="BQ216" s="93"/>
      <c r="BR216" s="93"/>
      <c r="BS216" s="93"/>
      <c r="BT216" s="93"/>
      <c r="BU216" s="93"/>
      <c r="BV216" s="93"/>
      <c r="BW216" s="93"/>
      <c r="BX216" s="93"/>
      <c r="BY216" s="93"/>
      <c r="BZ216" s="93"/>
      <c r="CA216" s="93"/>
      <c r="CB216" s="93"/>
      <c r="CC216" s="93"/>
      <c r="CD216" s="93"/>
      <c r="CE216" s="93"/>
      <c r="CF216" s="93"/>
      <c r="CG216" s="93"/>
      <c r="CH216" s="93"/>
      <c r="CI216" s="93"/>
      <c r="CJ216" s="93"/>
      <c r="CK216" s="93"/>
      <c r="CL216" s="93"/>
      <c r="CM216" s="93"/>
      <c r="CN216" s="93"/>
      <c r="CO216" s="93"/>
      <c r="CP216" s="93"/>
      <c r="CQ216" s="93"/>
      <c r="CR216" s="93"/>
      <c r="CS216" s="93"/>
      <c r="CT216" s="93"/>
      <c r="CU216" s="93"/>
      <c r="CV216" s="93"/>
      <c r="CW216" s="93"/>
      <c r="CX216" s="93"/>
      <c r="CY216" s="93"/>
      <c r="CZ216" s="93"/>
      <c r="DA216" s="93"/>
      <c r="DB216" s="93"/>
      <c r="DC216" s="93"/>
      <c r="DD216" s="93"/>
      <c r="DE216" s="93"/>
      <c r="DF216" s="93"/>
      <c r="DG216" s="93"/>
      <c r="DH216" s="93"/>
      <c r="DI216" s="93"/>
      <c r="DJ216" s="93"/>
      <c r="DK216" s="93"/>
      <c r="DL216" s="93"/>
      <c r="DM216" s="93"/>
      <c r="DN216" s="93"/>
      <c r="DO216" s="93"/>
      <c r="DP216" s="93"/>
      <c r="DQ216" s="93"/>
      <c r="DR216" s="93"/>
      <c r="DS216" s="93"/>
      <c r="DT216" s="93"/>
      <c r="DU216" s="93"/>
      <c r="DV216" s="93"/>
      <c r="DW216" s="93"/>
      <c r="DX216" s="93"/>
      <c r="DY216" s="93"/>
      <c r="DZ216" s="93"/>
      <c r="EA216" s="93"/>
      <c r="EB216" s="93"/>
      <c r="EC216" s="93"/>
      <c r="ED216" s="93"/>
      <c r="EE216" s="93"/>
      <c r="EF216" s="93"/>
      <c r="EG216" s="93"/>
      <c r="EH216" s="93"/>
      <c r="EI216" s="93"/>
      <c r="EJ216" s="93"/>
      <c r="EK216" s="93"/>
      <c r="EL216" s="93"/>
      <c r="EM216" s="93"/>
      <c r="EN216" s="93"/>
      <c r="EO216" s="93"/>
      <c r="EP216" s="93"/>
      <c r="EQ216" s="93"/>
      <c r="ER216" s="93"/>
      <c r="ES216" s="93"/>
      <c r="ET216" s="93"/>
      <c r="EU216" s="93"/>
      <c r="EV216" s="93"/>
      <c r="EW216" s="93"/>
      <c r="EX216" s="93"/>
      <c r="EY216" s="93"/>
      <c r="EZ216" s="93"/>
      <c r="FA216" s="93"/>
      <c r="FB216" s="93"/>
      <c r="FC216" s="93"/>
      <c r="FD216" s="93"/>
      <c r="FE216" s="93"/>
      <c r="FF216" s="93"/>
      <c r="FG216" s="93"/>
      <c r="FH216" s="93"/>
      <c r="FI216" s="93"/>
      <c r="FJ216" s="93"/>
      <c r="FK216" s="93"/>
      <c r="FL216" s="93"/>
      <c r="FM216" s="93"/>
      <c r="FN216" s="93"/>
      <c r="FO216" s="93"/>
      <c r="FP216" s="93"/>
      <c r="FQ216" s="93"/>
      <c r="FR216" s="93"/>
      <c r="FS216" s="93"/>
      <c r="FT216" s="93"/>
      <c r="FU216" s="93"/>
      <c r="FV216" s="93"/>
      <c r="FW216" s="93"/>
      <c r="FX216" s="93"/>
      <c r="FY216" s="93"/>
      <c r="FZ216" s="93"/>
      <c r="GA216" s="93"/>
      <c r="GB216" s="93"/>
      <c r="GC216" s="93"/>
      <c r="GD216" s="93"/>
      <c r="GE216" s="93"/>
      <c r="GF216" s="93"/>
      <c r="GG216" s="93"/>
      <c r="GH216" s="93"/>
      <c r="GI216" s="93"/>
      <c r="GJ216" s="93"/>
      <c r="GK216" s="93"/>
      <c r="GL216" s="93"/>
      <c r="GM216" s="93"/>
      <c r="GN216" s="93"/>
      <c r="GO216" s="93"/>
      <c r="GP216" s="93"/>
      <c r="GQ216" s="93"/>
      <c r="GR216" s="93"/>
      <c r="GS216" s="93"/>
      <c r="GT216" s="93"/>
      <c r="GU216" s="93"/>
      <c r="GV216" s="93"/>
      <c r="GW216" s="93"/>
      <c r="GX216" s="93"/>
      <c r="GY216" s="93"/>
      <c r="GZ216" s="93"/>
      <c r="HA216" s="93"/>
      <c r="HB216" s="93"/>
      <c r="HC216" s="93"/>
      <c r="HD216" s="93"/>
      <c r="HE216" s="93"/>
      <c r="HF216" s="93"/>
      <c r="HG216" s="93"/>
      <c r="HH216" s="93"/>
      <c r="HI216" s="93"/>
      <c r="HJ216" s="93"/>
      <c r="HK216" s="93"/>
      <c r="HL216" s="93"/>
      <c r="HM216" s="93"/>
      <c r="HN216" s="93"/>
      <c r="HO216" s="93"/>
      <c r="HP216" s="93"/>
      <c r="HQ216" s="93"/>
      <c r="HR216" s="93"/>
      <c r="HS216" s="93"/>
      <c r="HT216" s="93"/>
      <c r="HU216" s="93"/>
      <c r="HV216" s="93"/>
      <c r="HW216" s="93"/>
      <c r="HX216" s="93"/>
      <c r="HY216" s="93"/>
      <c r="HZ216" s="93"/>
      <c r="IA216" s="93"/>
      <c r="IB216" s="93"/>
      <c r="IC216" s="93"/>
      <c r="ID216" s="93"/>
      <c r="IE216" s="93"/>
      <c r="IF216" s="93"/>
      <c r="IG216" s="93"/>
      <c r="IH216" s="93"/>
      <c r="II216" s="93"/>
      <c r="IJ216" s="93"/>
      <c r="IK216" s="93"/>
      <c r="IL216" s="93"/>
      <c r="IM216" s="93"/>
      <c r="IN216" s="93"/>
      <c r="IO216" s="93"/>
      <c r="IP216" s="93"/>
      <c r="IQ216" s="93"/>
      <c r="IR216" s="93"/>
      <c r="IS216" s="93"/>
      <c r="IT216" s="93"/>
      <c r="IU216" s="93"/>
      <c r="IV216" s="93"/>
      <c r="IW216" s="93"/>
      <c r="IX216" s="93"/>
      <c r="IY216" s="93"/>
      <c r="IZ216" s="93"/>
    </row>
    <row r="217" spans="1:260" s="95" customFormat="1">
      <c r="A217" s="93"/>
      <c r="B217" s="183"/>
      <c r="C217" s="183"/>
      <c r="D217" s="183"/>
      <c r="E217" s="158"/>
      <c r="F217" s="158"/>
      <c r="G217" s="158"/>
      <c r="H217" s="158"/>
      <c r="I217" s="158"/>
      <c r="J217" s="158"/>
      <c r="K217" s="158"/>
      <c r="L217" s="158"/>
      <c r="M217" s="158"/>
      <c r="N217" s="158"/>
      <c r="O217" s="158"/>
      <c r="P217" s="228"/>
      <c r="Q217" s="158"/>
      <c r="R217" s="158"/>
      <c r="S217" s="207"/>
      <c r="T217" s="207"/>
      <c r="U217" s="207"/>
      <c r="V217" s="207"/>
      <c r="W217" s="207"/>
      <c r="X217" s="207"/>
      <c r="Y217" s="207"/>
      <c r="Z217" s="207"/>
      <c r="AA217" s="207"/>
      <c r="AB217" s="207"/>
      <c r="AC217" s="207"/>
      <c r="AD217" s="207"/>
      <c r="AE217" s="207"/>
      <c r="AF217" s="207"/>
      <c r="AG217" s="207"/>
      <c r="AH217" s="207"/>
      <c r="AI217" s="207"/>
      <c r="AJ217" s="207"/>
      <c r="AK217" s="207"/>
      <c r="AL217" s="207"/>
      <c r="AM217" s="94"/>
      <c r="AN217" s="94"/>
      <c r="AO217" s="94"/>
      <c r="AP217" s="94"/>
      <c r="AQ217" s="94"/>
      <c r="AR217" s="94"/>
      <c r="AS217" s="94"/>
      <c r="AT217" s="94"/>
      <c r="AU217" s="94"/>
      <c r="AV217" s="94"/>
      <c r="AW217" s="94"/>
      <c r="AX217" s="94"/>
      <c r="AY217" s="94"/>
      <c r="AZ217" s="93"/>
      <c r="BA217" s="93"/>
      <c r="BB217" s="93"/>
      <c r="BC217" s="93"/>
      <c r="BD217" s="93"/>
      <c r="BE217" s="93"/>
      <c r="BF217" s="93"/>
      <c r="BG217" s="93"/>
      <c r="BH217" s="93"/>
      <c r="BI217" s="93"/>
      <c r="BJ217" s="93"/>
      <c r="BK217" s="93"/>
      <c r="BL217" s="93"/>
      <c r="BM217" s="93"/>
      <c r="BN217" s="93"/>
      <c r="BO217" s="93"/>
      <c r="BP217" s="93"/>
      <c r="BQ217" s="93"/>
      <c r="BR217" s="93"/>
      <c r="BS217" s="93"/>
      <c r="BT217" s="93"/>
      <c r="BU217" s="93"/>
      <c r="BV217" s="93"/>
      <c r="BW217" s="93"/>
      <c r="BX217" s="93"/>
      <c r="BY217" s="93"/>
      <c r="BZ217" s="93"/>
      <c r="CA217" s="93"/>
      <c r="CB217" s="93"/>
      <c r="CC217" s="93"/>
      <c r="CD217" s="93"/>
      <c r="CE217" s="93"/>
      <c r="CF217" s="93"/>
      <c r="CG217" s="93"/>
      <c r="CH217" s="93"/>
      <c r="CI217" s="93"/>
      <c r="CJ217" s="93"/>
      <c r="CK217" s="93"/>
      <c r="CL217" s="93"/>
      <c r="CM217" s="93"/>
      <c r="CN217" s="93"/>
      <c r="CO217" s="93"/>
      <c r="CP217" s="93"/>
      <c r="CQ217" s="93"/>
      <c r="CR217" s="93"/>
      <c r="CS217" s="93"/>
      <c r="CT217" s="93"/>
      <c r="CU217" s="93"/>
      <c r="CV217" s="93"/>
      <c r="CW217" s="93"/>
      <c r="CX217" s="93"/>
      <c r="CY217" s="93"/>
      <c r="CZ217" s="93"/>
      <c r="DA217" s="93"/>
      <c r="DB217" s="93"/>
      <c r="DC217" s="93"/>
      <c r="DD217" s="93"/>
      <c r="DE217" s="93"/>
      <c r="DF217" s="93"/>
      <c r="DG217" s="93"/>
      <c r="DH217" s="93"/>
      <c r="DI217" s="93"/>
      <c r="DJ217" s="93"/>
      <c r="DK217" s="93"/>
      <c r="DL217" s="93"/>
      <c r="DM217" s="93"/>
      <c r="DN217" s="93"/>
      <c r="DO217" s="93"/>
      <c r="DP217" s="93"/>
      <c r="DQ217" s="93"/>
      <c r="DR217" s="93"/>
      <c r="DS217" s="93"/>
      <c r="DT217" s="93"/>
      <c r="DU217" s="93"/>
      <c r="DV217" s="93"/>
      <c r="DW217" s="93"/>
      <c r="DX217" s="93"/>
      <c r="DY217" s="93"/>
      <c r="DZ217" s="93"/>
      <c r="EA217" s="93"/>
      <c r="EB217" s="93"/>
      <c r="EC217" s="93"/>
      <c r="ED217" s="93"/>
      <c r="EE217" s="93"/>
      <c r="EF217" s="93"/>
      <c r="EG217" s="93"/>
      <c r="EH217" s="93"/>
      <c r="EI217" s="93"/>
      <c r="EJ217" s="93"/>
      <c r="EK217" s="93"/>
      <c r="EL217" s="93"/>
      <c r="EM217" s="93"/>
      <c r="EN217" s="93"/>
      <c r="EO217" s="93"/>
      <c r="EP217" s="93"/>
      <c r="EQ217" s="93"/>
      <c r="ER217" s="93"/>
      <c r="ES217" s="93"/>
      <c r="ET217" s="93"/>
      <c r="EU217" s="93"/>
      <c r="EV217" s="93"/>
      <c r="EW217" s="93"/>
      <c r="EX217" s="93"/>
      <c r="EY217" s="93"/>
      <c r="EZ217" s="93"/>
      <c r="FA217" s="93"/>
      <c r="FB217" s="93"/>
      <c r="FC217" s="93"/>
      <c r="FD217" s="93"/>
      <c r="FE217" s="93"/>
      <c r="FF217" s="93"/>
      <c r="FG217" s="93"/>
      <c r="FH217" s="93"/>
      <c r="FI217" s="93"/>
      <c r="FJ217" s="93"/>
      <c r="FK217" s="93"/>
      <c r="FL217" s="93"/>
      <c r="FM217" s="93"/>
      <c r="FN217" s="93"/>
      <c r="FO217" s="93"/>
      <c r="FP217" s="93"/>
      <c r="FQ217" s="93"/>
      <c r="FR217" s="93"/>
      <c r="FS217" s="93"/>
      <c r="FT217" s="93"/>
      <c r="FU217" s="93"/>
      <c r="FV217" s="93"/>
      <c r="FW217" s="93"/>
      <c r="FX217" s="93"/>
      <c r="FY217" s="93"/>
      <c r="FZ217" s="93"/>
      <c r="GA217" s="93"/>
      <c r="GB217" s="93"/>
      <c r="GC217" s="93"/>
      <c r="GD217" s="93"/>
      <c r="GE217" s="93"/>
      <c r="GF217" s="93"/>
      <c r="GG217" s="93"/>
      <c r="GH217" s="93"/>
      <c r="GI217" s="93"/>
      <c r="GJ217" s="93"/>
      <c r="GK217" s="93"/>
      <c r="GL217" s="93"/>
      <c r="GM217" s="93"/>
      <c r="GN217" s="93"/>
      <c r="GO217" s="93"/>
      <c r="GP217" s="93"/>
      <c r="GQ217" s="93"/>
      <c r="GR217" s="93"/>
      <c r="GS217" s="93"/>
      <c r="GT217" s="93"/>
      <c r="GU217" s="93"/>
      <c r="GV217" s="93"/>
      <c r="GW217" s="93"/>
      <c r="GX217" s="93"/>
      <c r="GY217" s="93"/>
      <c r="GZ217" s="93"/>
      <c r="HA217" s="93"/>
      <c r="HB217" s="93"/>
      <c r="HC217" s="93"/>
      <c r="HD217" s="93"/>
      <c r="HE217" s="93"/>
      <c r="HF217" s="93"/>
      <c r="HG217" s="93"/>
      <c r="HH217" s="93"/>
      <c r="HI217" s="93"/>
      <c r="HJ217" s="93"/>
      <c r="HK217" s="93"/>
      <c r="HL217" s="93"/>
      <c r="HM217" s="93"/>
      <c r="HN217" s="93"/>
      <c r="HO217" s="93"/>
      <c r="HP217" s="93"/>
      <c r="HQ217" s="93"/>
      <c r="HR217" s="93"/>
      <c r="HS217" s="93"/>
      <c r="HT217" s="93"/>
      <c r="HU217" s="93"/>
      <c r="HV217" s="93"/>
      <c r="HW217" s="93"/>
      <c r="HX217" s="93"/>
      <c r="HY217" s="93"/>
      <c r="HZ217" s="93"/>
      <c r="IA217" s="93"/>
      <c r="IB217" s="93"/>
      <c r="IC217" s="93"/>
      <c r="ID217" s="93"/>
      <c r="IE217" s="93"/>
      <c r="IF217" s="93"/>
      <c r="IG217" s="93"/>
      <c r="IH217" s="93"/>
      <c r="II217" s="93"/>
      <c r="IJ217" s="93"/>
      <c r="IK217" s="93"/>
      <c r="IL217" s="93"/>
      <c r="IM217" s="93"/>
      <c r="IN217" s="93"/>
      <c r="IO217" s="93"/>
      <c r="IP217" s="93"/>
      <c r="IQ217" s="93"/>
      <c r="IR217" s="93"/>
      <c r="IS217" s="93"/>
      <c r="IT217" s="93"/>
      <c r="IU217" s="93"/>
      <c r="IV217" s="93"/>
      <c r="IW217" s="93"/>
      <c r="IX217" s="93"/>
      <c r="IY217" s="93"/>
      <c r="IZ217" s="93"/>
    </row>
    <row r="218" spans="1:260" s="95" customFormat="1">
      <c r="A218" s="93"/>
      <c r="B218" s="183"/>
      <c r="C218" s="183"/>
      <c r="D218" s="183"/>
      <c r="E218" s="158"/>
      <c r="F218" s="158"/>
      <c r="G218" s="158"/>
      <c r="H218" s="158"/>
      <c r="I218" s="158"/>
      <c r="J218" s="158"/>
      <c r="K218" s="158"/>
      <c r="L218" s="158"/>
      <c r="M218" s="158"/>
      <c r="N218" s="158"/>
      <c r="O218" s="158"/>
      <c r="P218" s="228"/>
      <c r="Q218" s="158"/>
      <c r="R218" s="158"/>
      <c r="S218" s="207"/>
      <c r="T218" s="207"/>
      <c r="U218" s="207"/>
      <c r="V218" s="207"/>
      <c r="W218" s="207"/>
      <c r="X218" s="207"/>
      <c r="Y218" s="207"/>
      <c r="Z218" s="207"/>
      <c r="AA218" s="207"/>
      <c r="AB218" s="207"/>
      <c r="AC218" s="207"/>
      <c r="AD218" s="207"/>
      <c r="AE218" s="207"/>
      <c r="AF218" s="207"/>
      <c r="AG218" s="207"/>
      <c r="AH218" s="207"/>
      <c r="AI218" s="207"/>
      <c r="AJ218" s="207"/>
      <c r="AK218" s="207"/>
      <c r="AL218" s="207"/>
      <c r="AM218" s="94"/>
      <c r="AN218" s="94"/>
      <c r="AO218" s="94"/>
      <c r="AP218" s="94"/>
      <c r="AQ218" s="94"/>
      <c r="AR218" s="94"/>
      <c r="AS218" s="94"/>
      <c r="AT218" s="94"/>
      <c r="AU218" s="94"/>
      <c r="AV218" s="94"/>
      <c r="AW218" s="94"/>
      <c r="AX218" s="94"/>
      <c r="AY218" s="94"/>
      <c r="AZ218" s="93"/>
      <c r="BA218" s="93"/>
      <c r="BB218" s="93"/>
      <c r="BC218" s="93"/>
      <c r="BD218" s="93"/>
      <c r="BE218" s="93"/>
      <c r="BF218" s="93"/>
      <c r="BG218" s="93"/>
      <c r="BH218" s="93"/>
      <c r="BI218" s="93"/>
      <c r="BJ218" s="93"/>
      <c r="BK218" s="93"/>
      <c r="BL218" s="93"/>
      <c r="BM218" s="93"/>
      <c r="BN218" s="93"/>
      <c r="BO218" s="93"/>
      <c r="BP218" s="93"/>
      <c r="BQ218" s="93"/>
      <c r="BR218" s="93"/>
      <c r="BS218" s="93"/>
      <c r="BT218" s="93"/>
      <c r="BU218" s="93"/>
      <c r="BV218" s="93"/>
      <c r="BW218" s="93"/>
      <c r="BX218" s="93"/>
      <c r="BY218" s="93"/>
      <c r="BZ218" s="93"/>
      <c r="CA218" s="93"/>
      <c r="CB218" s="93"/>
      <c r="CC218" s="93"/>
      <c r="CD218" s="93"/>
      <c r="CE218" s="93"/>
      <c r="CF218" s="93"/>
      <c r="CG218" s="93"/>
      <c r="CH218" s="93"/>
      <c r="CI218" s="93"/>
      <c r="CJ218" s="93"/>
      <c r="CK218" s="93"/>
      <c r="CL218" s="93"/>
      <c r="CM218" s="93"/>
      <c r="CN218" s="93"/>
      <c r="CO218" s="93"/>
      <c r="CP218" s="93"/>
      <c r="CQ218" s="93"/>
      <c r="CR218" s="93"/>
      <c r="CS218" s="93"/>
      <c r="CT218" s="93"/>
      <c r="CU218" s="93"/>
      <c r="CV218" s="93"/>
      <c r="CW218" s="93"/>
      <c r="CX218" s="93"/>
      <c r="CY218" s="93"/>
      <c r="CZ218" s="93"/>
      <c r="DA218" s="93"/>
      <c r="DB218" s="93"/>
      <c r="DC218" s="93"/>
      <c r="DD218" s="93"/>
      <c r="DE218" s="93"/>
      <c r="DF218" s="93"/>
      <c r="DG218" s="93"/>
      <c r="DH218" s="93"/>
      <c r="DI218" s="93"/>
      <c r="DJ218" s="93"/>
      <c r="DK218" s="93"/>
      <c r="DL218" s="93"/>
      <c r="DM218" s="93"/>
      <c r="DN218" s="93"/>
      <c r="DO218" s="93"/>
      <c r="DP218" s="93"/>
      <c r="DQ218" s="93"/>
      <c r="DR218" s="93"/>
      <c r="DS218" s="93"/>
      <c r="DT218" s="93"/>
      <c r="DU218" s="93"/>
      <c r="DV218" s="93"/>
      <c r="DW218" s="93"/>
      <c r="DX218" s="93"/>
      <c r="DY218" s="93"/>
      <c r="DZ218" s="93"/>
      <c r="EA218" s="93"/>
      <c r="EB218" s="93"/>
      <c r="EC218" s="93"/>
      <c r="ED218" s="93"/>
      <c r="EE218" s="93"/>
      <c r="EF218" s="93"/>
      <c r="EG218" s="93"/>
      <c r="EH218" s="93"/>
      <c r="EI218" s="93"/>
      <c r="EJ218" s="93"/>
      <c r="EK218" s="93"/>
      <c r="EL218" s="93"/>
      <c r="EM218" s="93"/>
      <c r="EN218" s="93"/>
      <c r="EO218" s="93"/>
      <c r="EP218" s="93"/>
      <c r="EQ218" s="93"/>
      <c r="ER218" s="93"/>
      <c r="ES218" s="93"/>
      <c r="ET218" s="93"/>
      <c r="EU218" s="93"/>
      <c r="EV218" s="93"/>
      <c r="EW218" s="93"/>
      <c r="EX218" s="93"/>
      <c r="EY218" s="93"/>
      <c r="EZ218" s="93"/>
      <c r="FA218" s="93"/>
      <c r="FB218" s="93"/>
      <c r="FC218" s="93"/>
      <c r="FD218" s="93"/>
      <c r="FE218" s="93"/>
      <c r="FF218" s="93"/>
      <c r="FG218" s="93"/>
      <c r="FH218" s="93"/>
      <c r="FI218" s="93"/>
      <c r="FJ218" s="93"/>
      <c r="FK218" s="93"/>
      <c r="FL218" s="93"/>
      <c r="FM218" s="93"/>
      <c r="FN218" s="93"/>
      <c r="FO218" s="93"/>
      <c r="FP218" s="93"/>
      <c r="FQ218" s="93"/>
      <c r="FR218" s="93"/>
      <c r="FS218" s="93"/>
      <c r="FT218" s="93"/>
      <c r="FU218" s="93"/>
      <c r="FV218" s="93"/>
      <c r="FW218" s="93"/>
      <c r="FX218" s="93"/>
      <c r="FY218" s="93"/>
      <c r="FZ218" s="93"/>
      <c r="GA218" s="93"/>
      <c r="GB218" s="93"/>
      <c r="GC218" s="93"/>
      <c r="GD218" s="93"/>
      <c r="GE218" s="93"/>
      <c r="GF218" s="93"/>
      <c r="GG218" s="93"/>
      <c r="GH218" s="93"/>
      <c r="GI218" s="93"/>
      <c r="GJ218" s="93"/>
      <c r="GK218" s="93"/>
      <c r="GL218" s="93"/>
      <c r="GM218" s="93"/>
      <c r="GN218" s="93"/>
      <c r="GO218" s="93"/>
      <c r="GP218" s="93"/>
      <c r="GQ218" s="93"/>
      <c r="GR218" s="93"/>
      <c r="GS218" s="93"/>
      <c r="GT218" s="93"/>
      <c r="GU218" s="93"/>
      <c r="GV218" s="93"/>
      <c r="GW218" s="93"/>
      <c r="GX218" s="93"/>
      <c r="GY218" s="93"/>
      <c r="GZ218" s="93"/>
      <c r="HA218" s="93"/>
      <c r="HB218" s="93"/>
      <c r="HC218" s="93"/>
      <c r="HD218" s="93"/>
      <c r="HE218" s="93"/>
      <c r="HF218" s="93"/>
      <c r="HG218" s="93"/>
      <c r="HH218" s="93"/>
      <c r="HI218" s="93"/>
      <c r="HJ218" s="93"/>
      <c r="HK218" s="93"/>
      <c r="HL218" s="93"/>
      <c r="HM218" s="93"/>
      <c r="HN218" s="93"/>
      <c r="HO218" s="93"/>
      <c r="HP218" s="93"/>
      <c r="HQ218" s="93"/>
      <c r="HR218" s="93"/>
      <c r="HS218" s="93"/>
      <c r="HT218" s="93"/>
      <c r="HU218" s="93"/>
      <c r="HV218" s="93"/>
      <c r="HW218" s="93"/>
      <c r="HX218" s="93"/>
      <c r="HY218" s="93"/>
      <c r="HZ218" s="93"/>
      <c r="IA218" s="93"/>
      <c r="IB218" s="93"/>
      <c r="IC218" s="93"/>
      <c r="ID218" s="93"/>
      <c r="IE218" s="93"/>
      <c r="IF218" s="93"/>
      <c r="IG218" s="93"/>
      <c r="IH218" s="93"/>
      <c r="II218" s="93"/>
      <c r="IJ218" s="93"/>
      <c r="IK218" s="93"/>
      <c r="IL218" s="93"/>
      <c r="IM218" s="93"/>
      <c r="IN218" s="93"/>
      <c r="IO218" s="93"/>
      <c r="IP218" s="93"/>
      <c r="IQ218" s="93"/>
      <c r="IR218" s="93"/>
      <c r="IS218" s="93"/>
      <c r="IT218" s="93"/>
      <c r="IU218" s="93"/>
      <c r="IV218" s="93"/>
      <c r="IW218" s="93"/>
      <c r="IX218" s="93"/>
      <c r="IY218" s="93"/>
      <c r="IZ218" s="93"/>
    </row>
    <row r="219" spans="1:260" s="95" customFormat="1">
      <c r="A219" s="93"/>
      <c r="B219" s="183"/>
      <c r="C219" s="183"/>
      <c r="D219" s="183"/>
      <c r="E219" s="158"/>
      <c r="F219" s="158"/>
      <c r="G219" s="158"/>
      <c r="H219" s="158"/>
      <c r="I219" s="158"/>
      <c r="J219" s="158"/>
      <c r="K219" s="158"/>
      <c r="L219" s="158"/>
      <c r="M219" s="158"/>
      <c r="N219" s="158"/>
      <c r="O219" s="158"/>
      <c r="P219" s="228"/>
      <c r="Q219" s="158"/>
      <c r="R219" s="158"/>
      <c r="S219" s="207"/>
      <c r="T219" s="207"/>
      <c r="U219" s="207"/>
      <c r="V219" s="207"/>
      <c r="W219" s="207"/>
      <c r="X219" s="207"/>
      <c r="Y219" s="207"/>
      <c r="Z219" s="207"/>
      <c r="AA219" s="207"/>
      <c r="AB219" s="207"/>
      <c r="AC219" s="207"/>
      <c r="AD219" s="207"/>
      <c r="AE219" s="207"/>
      <c r="AF219" s="207"/>
      <c r="AG219" s="207"/>
      <c r="AH219" s="207"/>
      <c r="AI219" s="207"/>
      <c r="AJ219" s="207"/>
      <c r="AK219" s="207"/>
      <c r="AL219" s="207"/>
      <c r="AM219" s="94"/>
      <c r="AN219" s="94"/>
      <c r="AO219" s="94"/>
      <c r="AP219" s="94"/>
      <c r="AQ219" s="94"/>
      <c r="AR219" s="94"/>
      <c r="AS219" s="94"/>
      <c r="AT219" s="94"/>
      <c r="AU219" s="94"/>
      <c r="AV219" s="94"/>
      <c r="AW219" s="94"/>
      <c r="AX219" s="94"/>
      <c r="AY219" s="94"/>
      <c r="AZ219" s="93"/>
      <c r="BA219" s="93"/>
      <c r="BB219" s="93"/>
      <c r="BC219" s="93"/>
      <c r="BD219" s="93"/>
      <c r="BE219" s="93"/>
      <c r="BF219" s="93"/>
      <c r="BG219" s="93"/>
      <c r="BH219" s="93"/>
      <c r="BI219" s="93"/>
      <c r="BJ219" s="93"/>
      <c r="BK219" s="93"/>
      <c r="BL219" s="93"/>
      <c r="BM219" s="93"/>
      <c r="BN219" s="93"/>
      <c r="BO219" s="93"/>
      <c r="BP219" s="93"/>
      <c r="BQ219" s="93"/>
      <c r="BR219" s="93"/>
      <c r="BS219" s="93"/>
      <c r="BT219" s="93"/>
      <c r="BU219" s="93"/>
      <c r="BV219" s="93"/>
      <c r="BW219" s="93"/>
      <c r="BX219" s="93"/>
      <c r="BY219" s="93"/>
      <c r="BZ219" s="93"/>
      <c r="CA219" s="93"/>
      <c r="CB219" s="93"/>
      <c r="CC219" s="93"/>
      <c r="CD219" s="93"/>
      <c r="CE219" s="93"/>
      <c r="CF219" s="93"/>
      <c r="CG219" s="93"/>
      <c r="CH219" s="93"/>
      <c r="CI219" s="93"/>
      <c r="CJ219" s="93"/>
      <c r="CK219" s="93"/>
      <c r="CL219" s="93"/>
      <c r="CM219" s="93"/>
      <c r="CN219" s="93"/>
      <c r="CO219" s="93"/>
      <c r="CP219" s="93"/>
      <c r="CQ219" s="93"/>
      <c r="CR219" s="93"/>
      <c r="CS219" s="93"/>
      <c r="CT219" s="93"/>
      <c r="CU219" s="93"/>
      <c r="CV219" s="93"/>
      <c r="CW219" s="93"/>
      <c r="CX219" s="93"/>
      <c r="CY219" s="93"/>
      <c r="CZ219" s="93"/>
      <c r="DA219" s="93"/>
      <c r="DB219" s="93"/>
      <c r="DC219" s="93"/>
      <c r="DD219" s="93"/>
      <c r="DE219" s="93"/>
      <c r="DF219" s="93"/>
      <c r="DG219" s="93"/>
      <c r="DH219" s="93"/>
      <c r="DI219" s="93"/>
      <c r="DJ219" s="93"/>
      <c r="DK219" s="93"/>
      <c r="DL219" s="93"/>
      <c r="DM219" s="93"/>
      <c r="DN219" s="93"/>
      <c r="DO219" s="93"/>
      <c r="DP219" s="93"/>
      <c r="DQ219" s="93"/>
      <c r="DR219" s="93"/>
      <c r="DS219" s="93"/>
      <c r="DT219" s="93"/>
      <c r="DU219" s="93"/>
      <c r="DV219" s="93"/>
      <c r="DW219" s="93"/>
      <c r="DX219" s="93"/>
      <c r="DY219" s="93"/>
      <c r="DZ219" s="93"/>
      <c r="EA219" s="93"/>
      <c r="EB219" s="93"/>
      <c r="EC219" s="93"/>
      <c r="ED219" s="93"/>
      <c r="EE219" s="93"/>
      <c r="EF219" s="93"/>
      <c r="EG219" s="93"/>
      <c r="EH219" s="93"/>
      <c r="EI219" s="93"/>
      <c r="EJ219" s="93"/>
      <c r="EK219" s="93"/>
      <c r="EL219" s="93"/>
      <c r="EM219" s="93"/>
      <c r="EN219" s="93"/>
      <c r="EO219" s="93"/>
      <c r="EP219" s="93"/>
      <c r="EQ219" s="93"/>
      <c r="ER219" s="93"/>
      <c r="ES219" s="93"/>
      <c r="ET219" s="93"/>
      <c r="EU219" s="93"/>
      <c r="EV219" s="93"/>
      <c r="EW219" s="93"/>
      <c r="EX219" s="93"/>
      <c r="EY219" s="93"/>
      <c r="EZ219" s="93"/>
      <c r="FA219" s="93"/>
      <c r="FB219" s="93"/>
      <c r="FC219" s="93"/>
      <c r="FD219" s="93"/>
      <c r="FE219" s="93"/>
      <c r="FF219" s="93"/>
      <c r="FG219" s="93"/>
      <c r="FH219" s="93"/>
      <c r="FI219" s="93"/>
      <c r="FJ219" s="93"/>
      <c r="FK219" s="93"/>
      <c r="FL219" s="93"/>
      <c r="FM219" s="93"/>
      <c r="FN219" s="93"/>
      <c r="FO219" s="93"/>
      <c r="FP219" s="93"/>
      <c r="FQ219" s="93"/>
      <c r="FR219" s="93"/>
      <c r="FS219" s="93"/>
      <c r="FT219" s="93"/>
      <c r="FU219" s="93"/>
      <c r="FV219" s="93"/>
      <c r="FW219" s="93"/>
      <c r="FX219" s="93"/>
      <c r="FY219" s="93"/>
      <c r="FZ219" s="93"/>
      <c r="GA219" s="93"/>
      <c r="GB219" s="93"/>
      <c r="GC219" s="93"/>
      <c r="GD219" s="93"/>
      <c r="GE219" s="93"/>
      <c r="GF219" s="93"/>
      <c r="GG219" s="93"/>
      <c r="GH219" s="93"/>
      <c r="GI219" s="93"/>
      <c r="GJ219" s="93"/>
      <c r="GK219" s="93"/>
      <c r="GL219" s="93"/>
      <c r="GM219" s="93"/>
      <c r="GN219" s="93"/>
      <c r="GO219" s="93"/>
      <c r="GP219" s="93"/>
      <c r="GQ219" s="93"/>
      <c r="GR219" s="93"/>
      <c r="GS219" s="93"/>
      <c r="GT219" s="93"/>
      <c r="GU219" s="93"/>
      <c r="GV219" s="93"/>
      <c r="GW219" s="93"/>
      <c r="GX219" s="93"/>
      <c r="GY219" s="93"/>
      <c r="GZ219" s="93"/>
      <c r="HA219" s="93"/>
      <c r="HB219" s="93"/>
      <c r="HC219" s="93"/>
      <c r="HD219" s="93"/>
      <c r="HE219" s="93"/>
      <c r="HF219" s="93"/>
      <c r="HG219" s="93"/>
      <c r="HH219" s="93"/>
      <c r="HI219" s="93"/>
      <c r="HJ219" s="93"/>
      <c r="HK219" s="93"/>
      <c r="HL219" s="93"/>
      <c r="HM219" s="93"/>
      <c r="HN219" s="93"/>
      <c r="HO219" s="93"/>
      <c r="HP219" s="93"/>
      <c r="HQ219" s="93"/>
      <c r="HR219" s="93"/>
      <c r="HS219" s="93"/>
      <c r="HT219" s="93"/>
      <c r="HU219" s="93"/>
      <c r="HV219" s="93"/>
      <c r="HW219" s="93"/>
      <c r="HX219" s="93"/>
      <c r="HY219" s="93"/>
      <c r="HZ219" s="93"/>
      <c r="IA219" s="93"/>
      <c r="IB219" s="93"/>
      <c r="IC219" s="93"/>
      <c r="ID219" s="93"/>
      <c r="IE219" s="93"/>
      <c r="IF219" s="93"/>
      <c r="IG219" s="93"/>
      <c r="IH219" s="93"/>
      <c r="II219" s="93"/>
      <c r="IJ219" s="93"/>
      <c r="IK219" s="93"/>
      <c r="IL219" s="93"/>
      <c r="IM219" s="93"/>
      <c r="IN219" s="93"/>
      <c r="IO219" s="93"/>
      <c r="IP219" s="93"/>
      <c r="IQ219" s="93"/>
      <c r="IR219" s="93"/>
      <c r="IS219" s="93"/>
      <c r="IT219" s="93"/>
      <c r="IU219" s="93"/>
      <c r="IV219" s="93"/>
      <c r="IW219" s="93"/>
      <c r="IX219" s="93"/>
      <c r="IY219" s="93"/>
      <c r="IZ219" s="93"/>
    </row>
    <row r="220" spans="1:260" s="95" customFormat="1">
      <c r="A220" s="93"/>
      <c r="B220" s="183"/>
      <c r="C220" s="183"/>
      <c r="D220" s="183"/>
      <c r="E220" s="158"/>
      <c r="F220" s="158"/>
      <c r="G220" s="158"/>
      <c r="H220" s="158"/>
      <c r="I220" s="158"/>
      <c r="J220" s="158"/>
      <c r="K220" s="158"/>
      <c r="L220" s="158"/>
      <c r="M220" s="158"/>
      <c r="N220" s="158"/>
      <c r="O220" s="158"/>
      <c r="P220" s="228"/>
      <c r="Q220" s="158"/>
      <c r="R220" s="158"/>
      <c r="S220" s="207"/>
      <c r="T220" s="207"/>
      <c r="U220" s="207"/>
      <c r="V220" s="207"/>
      <c r="W220" s="207"/>
      <c r="X220" s="207"/>
      <c r="Y220" s="207"/>
      <c r="Z220" s="207"/>
      <c r="AA220" s="207"/>
      <c r="AB220" s="207"/>
      <c r="AC220" s="207"/>
      <c r="AD220" s="207"/>
      <c r="AE220" s="207"/>
      <c r="AF220" s="207"/>
      <c r="AG220" s="207"/>
      <c r="AH220" s="207"/>
      <c r="AI220" s="207"/>
      <c r="AJ220" s="207"/>
      <c r="AK220" s="207"/>
      <c r="AL220" s="207"/>
      <c r="AM220" s="94"/>
      <c r="AN220" s="94"/>
      <c r="AO220" s="94"/>
      <c r="AP220" s="94"/>
      <c r="AQ220" s="94"/>
      <c r="AR220" s="94"/>
      <c r="AS220" s="94"/>
      <c r="AT220" s="94"/>
      <c r="AU220" s="94"/>
      <c r="AV220" s="94"/>
      <c r="AW220" s="94"/>
      <c r="AX220" s="94"/>
      <c r="AY220" s="94"/>
      <c r="AZ220" s="93"/>
      <c r="BA220" s="93"/>
      <c r="BB220" s="93"/>
      <c r="BC220" s="93"/>
      <c r="BD220" s="93"/>
      <c r="BE220" s="93"/>
      <c r="BF220" s="93"/>
      <c r="BG220" s="93"/>
      <c r="BH220" s="93"/>
      <c r="BI220" s="93"/>
      <c r="BJ220" s="93"/>
      <c r="BK220" s="93"/>
      <c r="BL220" s="93"/>
      <c r="BM220" s="93"/>
      <c r="BN220" s="93"/>
      <c r="BO220" s="93"/>
      <c r="BP220" s="93"/>
      <c r="BQ220" s="93"/>
      <c r="BR220" s="93"/>
      <c r="BS220" s="93"/>
      <c r="BT220" s="93"/>
      <c r="BU220" s="93"/>
      <c r="BV220" s="93"/>
      <c r="BW220" s="93"/>
      <c r="BX220" s="93"/>
      <c r="BY220" s="93"/>
      <c r="BZ220" s="93"/>
      <c r="CA220" s="93"/>
      <c r="CB220" s="93"/>
      <c r="CC220" s="93"/>
      <c r="CD220" s="93"/>
      <c r="CE220" s="93"/>
      <c r="CF220" s="93"/>
      <c r="CG220" s="93"/>
      <c r="CH220" s="93"/>
      <c r="CI220" s="93"/>
      <c r="CJ220" s="93"/>
      <c r="CK220" s="93"/>
      <c r="CL220" s="93"/>
      <c r="CM220" s="93"/>
      <c r="CN220" s="93"/>
      <c r="CO220" s="93"/>
      <c r="CP220" s="93"/>
      <c r="CQ220" s="93"/>
      <c r="CR220" s="93"/>
      <c r="CS220" s="93"/>
      <c r="CT220" s="93"/>
      <c r="CU220" s="93"/>
      <c r="CV220" s="93"/>
      <c r="CW220" s="93"/>
      <c r="CX220" s="93"/>
      <c r="CY220" s="93"/>
      <c r="CZ220" s="93"/>
      <c r="DA220" s="93"/>
      <c r="DB220" s="93"/>
      <c r="DC220" s="93"/>
      <c r="DD220" s="93"/>
      <c r="DE220" s="93"/>
      <c r="DF220" s="93"/>
      <c r="DG220" s="93"/>
      <c r="DH220" s="93"/>
      <c r="DI220" s="93"/>
      <c r="DJ220" s="93"/>
      <c r="DK220" s="93"/>
      <c r="DL220" s="93"/>
      <c r="DM220" s="93"/>
      <c r="DN220" s="93"/>
      <c r="DO220" s="93"/>
      <c r="DP220" s="93"/>
      <c r="DQ220" s="93"/>
      <c r="DR220" s="93"/>
      <c r="DS220" s="93"/>
      <c r="DT220" s="93"/>
      <c r="DU220" s="93"/>
      <c r="DV220" s="93"/>
      <c r="DW220" s="93"/>
      <c r="DX220" s="93"/>
      <c r="DY220" s="93"/>
      <c r="DZ220" s="93"/>
      <c r="EA220" s="93"/>
      <c r="EB220" s="93"/>
      <c r="EC220" s="93"/>
      <c r="ED220" s="93"/>
      <c r="EE220" s="93"/>
      <c r="EF220" s="93"/>
      <c r="EG220" s="93"/>
      <c r="EH220" s="93"/>
      <c r="EI220" s="93"/>
      <c r="EJ220" s="93"/>
      <c r="EK220" s="93"/>
      <c r="EL220" s="93"/>
      <c r="EM220" s="93"/>
      <c r="EN220" s="93"/>
      <c r="EO220" s="93"/>
      <c r="EP220" s="93"/>
      <c r="EQ220" s="93"/>
      <c r="ER220" s="93"/>
      <c r="ES220" s="93"/>
      <c r="ET220" s="93"/>
      <c r="EU220" s="93"/>
      <c r="EV220" s="93"/>
      <c r="EW220" s="93"/>
      <c r="EX220" s="93"/>
      <c r="EY220" s="93"/>
      <c r="EZ220" s="93"/>
      <c r="FA220" s="93"/>
      <c r="FB220" s="93"/>
      <c r="FC220" s="93"/>
      <c r="FD220" s="93"/>
      <c r="FE220" s="93"/>
      <c r="FF220" s="93"/>
      <c r="FG220" s="93"/>
      <c r="FH220" s="93"/>
      <c r="FI220" s="93"/>
      <c r="FJ220" s="93"/>
      <c r="FK220" s="93"/>
      <c r="FL220" s="93"/>
      <c r="FM220" s="93"/>
      <c r="FN220" s="93"/>
      <c r="FO220" s="93"/>
      <c r="FP220" s="93"/>
      <c r="FQ220" s="93"/>
      <c r="FR220" s="93"/>
      <c r="FS220" s="93"/>
      <c r="FT220" s="93"/>
      <c r="FU220" s="93"/>
      <c r="FV220" s="93"/>
      <c r="FW220" s="93"/>
      <c r="FX220" s="93"/>
      <c r="FY220" s="93"/>
      <c r="FZ220" s="93"/>
      <c r="GA220" s="93"/>
      <c r="GB220" s="93"/>
      <c r="GC220" s="93"/>
      <c r="GD220" s="93"/>
      <c r="GE220" s="93"/>
      <c r="GF220" s="93"/>
      <c r="GG220" s="93"/>
      <c r="GH220" s="93"/>
      <c r="GI220" s="93"/>
      <c r="GJ220" s="93"/>
      <c r="GK220" s="93"/>
      <c r="GL220" s="93"/>
      <c r="GM220" s="93"/>
      <c r="GN220" s="93"/>
      <c r="GO220" s="93"/>
      <c r="GP220" s="93"/>
      <c r="GQ220" s="93"/>
      <c r="GR220" s="93"/>
      <c r="GS220" s="93"/>
      <c r="GT220" s="93"/>
      <c r="GU220" s="93"/>
      <c r="GV220" s="93"/>
      <c r="GW220" s="93"/>
      <c r="GX220" s="93"/>
      <c r="GY220" s="93"/>
      <c r="GZ220" s="93"/>
      <c r="HA220" s="93"/>
      <c r="HB220" s="93"/>
      <c r="HC220" s="93"/>
      <c r="HD220" s="93"/>
      <c r="HE220" s="93"/>
      <c r="HF220" s="93"/>
      <c r="HG220" s="93"/>
      <c r="HH220" s="93"/>
      <c r="HI220" s="93"/>
      <c r="HJ220" s="93"/>
      <c r="HK220" s="93"/>
      <c r="HL220" s="93"/>
      <c r="HM220" s="93"/>
      <c r="HN220" s="93"/>
      <c r="HO220" s="93"/>
      <c r="HP220" s="93"/>
      <c r="HQ220" s="93"/>
      <c r="HR220" s="93"/>
      <c r="HS220" s="93"/>
      <c r="HT220" s="93"/>
      <c r="HU220" s="93"/>
      <c r="HV220" s="93"/>
      <c r="HW220" s="93"/>
      <c r="HX220" s="93"/>
      <c r="HY220" s="93"/>
      <c r="HZ220" s="93"/>
      <c r="IA220" s="93"/>
      <c r="IB220" s="93"/>
      <c r="IC220" s="93"/>
      <c r="ID220" s="93"/>
      <c r="IE220" s="93"/>
      <c r="IF220" s="93"/>
      <c r="IG220" s="93"/>
      <c r="IH220" s="93"/>
      <c r="II220" s="93"/>
      <c r="IJ220" s="93"/>
      <c r="IK220" s="93"/>
      <c r="IL220" s="93"/>
      <c r="IM220" s="93"/>
      <c r="IN220" s="93"/>
      <c r="IO220" s="93"/>
      <c r="IP220" s="93"/>
      <c r="IQ220" s="93"/>
      <c r="IR220" s="93"/>
      <c r="IS220" s="93"/>
      <c r="IT220" s="93"/>
      <c r="IU220" s="93"/>
      <c r="IV220" s="93"/>
      <c r="IW220" s="93"/>
      <c r="IX220" s="93"/>
      <c r="IY220" s="93"/>
      <c r="IZ220" s="93"/>
    </row>
    <row r="221" spans="1:260" s="95" customFormat="1">
      <c r="A221" s="93"/>
      <c r="B221" s="183"/>
      <c r="C221" s="183"/>
      <c r="D221" s="183"/>
      <c r="E221" s="158"/>
      <c r="F221" s="158"/>
      <c r="G221" s="158"/>
      <c r="H221" s="158"/>
      <c r="I221" s="158"/>
      <c r="J221" s="158"/>
      <c r="K221" s="158"/>
      <c r="L221" s="158"/>
      <c r="M221" s="158"/>
      <c r="N221" s="158"/>
      <c r="O221" s="158"/>
      <c r="P221" s="228"/>
      <c r="Q221" s="158"/>
      <c r="R221" s="158"/>
      <c r="S221" s="207"/>
      <c r="T221" s="207"/>
      <c r="U221" s="207"/>
      <c r="V221" s="207"/>
      <c r="W221" s="207"/>
      <c r="X221" s="207"/>
      <c r="Y221" s="207"/>
      <c r="Z221" s="207"/>
      <c r="AA221" s="207"/>
      <c r="AB221" s="207"/>
      <c r="AC221" s="207"/>
      <c r="AD221" s="207"/>
      <c r="AE221" s="207"/>
      <c r="AF221" s="207"/>
      <c r="AG221" s="207"/>
      <c r="AH221" s="207"/>
      <c r="AI221" s="207"/>
      <c r="AJ221" s="207"/>
      <c r="AK221" s="207"/>
      <c r="AL221" s="207"/>
      <c r="AM221" s="94"/>
      <c r="AN221" s="94"/>
      <c r="AO221" s="94"/>
      <c r="AP221" s="94"/>
      <c r="AQ221" s="94"/>
      <c r="AR221" s="94"/>
      <c r="AS221" s="94"/>
      <c r="AT221" s="94"/>
      <c r="AU221" s="94"/>
      <c r="AV221" s="94"/>
      <c r="AW221" s="94"/>
      <c r="AX221" s="94"/>
      <c r="AY221" s="94"/>
      <c r="AZ221" s="93"/>
      <c r="BA221" s="93"/>
      <c r="BB221" s="93"/>
      <c r="BC221" s="93"/>
      <c r="BD221" s="93"/>
      <c r="BE221" s="93"/>
      <c r="BF221" s="93"/>
      <c r="BG221" s="93"/>
      <c r="BH221" s="93"/>
      <c r="BI221" s="93"/>
      <c r="BJ221" s="93"/>
      <c r="BK221" s="93"/>
      <c r="BL221" s="93"/>
      <c r="BM221" s="93"/>
      <c r="BN221" s="93"/>
      <c r="BO221" s="93"/>
      <c r="BP221" s="93"/>
      <c r="BQ221" s="93"/>
      <c r="BR221" s="93"/>
      <c r="BS221" s="93"/>
      <c r="BT221" s="93"/>
      <c r="BU221" s="93"/>
      <c r="BV221" s="93"/>
      <c r="BW221" s="93"/>
      <c r="BX221" s="93"/>
      <c r="BY221" s="93"/>
      <c r="BZ221" s="93"/>
      <c r="CA221" s="93"/>
      <c r="CB221" s="93"/>
      <c r="CC221" s="93"/>
      <c r="CD221" s="93"/>
      <c r="CE221" s="93"/>
      <c r="CF221" s="93"/>
      <c r="CG221" s="93"/>
      <c r="CH221" s="93"/>
      <c r="CI221" s="93"/>
      <c r="CJ221" s="93"/>
      <c r="CK221" s="93"/>
      <c r="CL221" s="93"/>
      <c r="CM221" s="93"/>
      <c r="CN221" s="93"/>
      <c r="CO221" s="93"/>
      <c r="CP221" s="93"/>
      <c r="CQ221" s="93"/>
      <c r="CR221" s="93"/>
      <c r="CS221" s="93"/>
      <c r="CT221" s="93"/>
      <c r="CU221" s="93"/>
      <c r="CV221" s="93"/>
      <c r="CW221" s="93"/>
      <c r="CX221" s="93"/>
      <c r="CY221" s="93"/>
      <c r="CZ221" s="93"/>
      <c r="DA221" s="93"/>
      <c r="DB221" s="93"/>
      <c r="DC221" s="93"/>
      <c r="DD221" s="93"/>
      <c r="DE221" s="93"/>
      <c r="DF221" s="93"/>
      <c r="DG221" s="93"/>
      <c r="DH221" s="93"/>
      <c r="DI221" s="93"/>
      <c r="DJ221" s="93"/>
      <c r="DK221" s="93"/>
      <c r="DL221" s="93"/>
      <c r="DM221" s="93"/>
      <c r="DN221" s="93"/>
      <c r="DO221" s="93"/>
      <c r="DP221" s="93"/>
      <c r="DQ221" s="93"/>
      <c r="DR221" s="93"/>
      <c r="DS221" s="93"/>
      <c r="DT221" s="93"/>
      <c r="DU221" s="93"/>
      <c r="DV221" s="93"/>
      <c r="DW221" s="93"/>
      <c r="DX221" s="93"/>
      <c r="DY221" s="93"/>
      <c r="DZ221" s="93"/>
      <c r="EA221" s="93"/>
      <c r="EB221" s="93"/>
      <c r="EC221" s="93"/>
      <c r="ED221" s="93"/>
      <c r="EE221" s="93"/>
      <c r="EF221" s="93"/>
      <c r="EG221" s="93"/>
      <c r="EH221" s="93"/>
      <c r="EI221" s="93"/>
      <c r="EJ221" s="93"/>
      <c r="EK221" s="93"/>
      <c r="EL221" s="93"/>
      <c r="EM221" s="93"/>
      <c r="EN221" s="93"/>
      <c r="EO221" s="93"/>
      <c r="EP221" s="93"/>
      <c r="EQ221" s="93"/>
      <c r="ER221" s="93"/>
      <c r="ES221" s="93"/>
      <c r="ET221" s="93"/>
      <c r="EU221" s="93"/>
      <c r="EV221" s="93"/>
      <c r="EW221" s="93"/>
      <c r="EX221" s="93"/>
      <c r="EY221" s="93"/>
      <c r="EZ221" s="93"/>
      <c r="FA221" s="93"/>
      <c r="FB221" s="93"/>
      <c r="FC221" s="93"/>
      <c r="FD221" s="93"/>
      <c r="FE221" s="93"/>
      <c r="FF221" s="93"/>
      <c r="FG221" s="93"/>
      <c r="FH221" s="93"/>
      <c r="FI221" s="93"/>
      <c r="FJ221" s="93"/>
      <c r="FK221" s="93"/>
      <c r="FL221" s="93"/>
      <c r="FM221" s="93"/>
      <c r="FN221" s="93"/>
      <c r="FO221" s="93"/>
      <c r="FP221" s="93"/>
      <c r="FQ221" s="93"/>
      <c r="FR221" s="93"/>
      <c r="FS221" s="93"/>
      <c r="FT221" s="93"/>
      <c r="FU221" s="93"/>
      <c r="FV221" s="93"/>
      <c r="FW221" s="93"/>
      <c r="FX221" s="93"/>
      <c r="FY221" s="93"/>
      <c r="FZ221" s="93"/>
      <c r="GA221" s="93"/>
      <c r="GB221" s="93"/>
      <c r="GC221" s="93"/>
      <c r="GD221" s="93"/>
      <c r="GE221" s="93"/>
      <c r="GF221" s="93"/>
      <c r="GG221" s="93"/>
      <c r="GH221" s="93"/>
      <c r="GI221" s="93"/>
      <c r="GJ221" s="93"/>
      <c r="GK221" s="93"/>
      <c r="GL221" s="93"/>
      <c r="GM221" s="93"/>
      <c r="GN221" s="93"/>
      <c r="GO221" s="93"/>
      <c r="GP221" s="93"/>
      <c r="GQ221" s="93"/>
      <c r="GR221" s="93"/>
      <c r="GS221" s="93"/>
      <c r="GT221" s="93"/>
      <c r="GU221" s="93"/>
      <c r="GV221" s="93"/>
      <c r="GW221" s="93"/>
      <c r="GX221" s="93"/>
      <c r="GY221" s="93"/>
      <c r="GZ221" s="93"/>
      <c r="HA221" s="93"/>
      <c r="HB221" s="93"/>
      <c r="HC221" s="93"/>
      <c r="HD221" s="93"/>
      <c r="HE221" s="93"/>
      <c r="HF221" s="93"/>
      <c r="HG221" s="93"/>
      <c r="HH221" s="93"/>
      <c r="HI221" s="93"/>
      <c r="HJ221" s="93"/>
      <c r="HK221" s="93"/>
      <c r="HL221" s="93"/>
      <c r="HM221" s="93"/>
      <c r="HN221" s="93"/>
      <c r="HO221" s="93"/>
      <c r="HP221" s="93"/>
      <c r="HQ221" s="93"/>
      <c r="HR221" s="93"/>
      <c r="HS221" s="93"/>
      <c r="HT221" s="93"/>
      <c r="HU221" s="93"/>
      <c r="HV221" s="93"/>
      <c r="HW221" s="93"/>
      <c r="HX221" s="93"/>
      <c r="HY221" s="93"/>
      <c r="HZ221" s="93"/>
      <c r="IA221" s="93"/>
      <c r="IB221" s="93"/>
      <c r="IC221" s="93"/>
      <c r="ID221" s="93"/>
      <c r="IE221" s="93"/>
      <c r="IF221" s="93"/>
      <c r="IG221" s="93"/>
      <c r="IH221" s="93"/>
      <c r="II221" s="93"/>
      <c r="IJ221" s="93"/>
      <c r="IK221" s="93"/>
      <c r="IL221" s="93"/>
      <c r="IM221" s="93"/>
      <c r="IN221" s="93"/>
      <c r="IO221" s="93"/>
      <c r="IP221" s="93"/>
      <c r="IQ221" s="93"/>
      <c r="IR221" s="93"/>
      <c r="IS221" s="93"/>
      <c r="IT221" s="93"/>
      <c r="IU221" s="93"/>
      <c r="IV221" s="93"/>
      <c r="IW221" s="93"/>
      <c r="IX221" s="93"/>
      <c r="IY221" s="93"/>
      <c r="IZ221" s="93"/>
    </row>
    <row r="222" spans="1:260" s="95" customFormat="1">
      <c r="A222" s="93"/>
      <c r="B222" s="183"/>
      <c r="C222" s="183"/>
      <c r="D222" s="183"/>
      <c r="E222" s="158"/>
      <c r="F222" s="158"/>
      <c r="G222" s="158"/>
      <c r="H222" s="158"/>
      <c r="I222" s="158"/>
      <c r="J222" s="158"/>
      <c r="K222" s="158"/>
      <c r="L222" s="158"/>
      <c r="M222" s="158"/>
      <c r="N222" s="158"/>
      <c r="O222" s="158"/>
      <c r="P222" s="228"/>
      <c r="Q222" s="158"/>
      <c r="R222" s="158"/>
      <c r="S222" s="207"/>
      <c r="T222" s="207"/>
      <c r="U222" s="207"/>
      <c r="V222" s="207"/>
      <c r="W222" s="207"/>
      <c r="X222" s="207"/>
      <c r="Y222" s="207"/>
      <c r="Z222" s="207"/>
      <c r="AA222" s="207"/>
      <c r="AB222" s="207"/>
      <c r="AC222" s="207"/>
      <c r="AD222" s="207"/>
      <c r="AE222" s="207"/>
      <c r="AF222" s="207"/>
      <c r="AG222" s="207"/>
      <c r="AH222" s="207"/>
      <c r="AI222" s="207"/>
      <c r="AJ222" s="207"/>
      <c r="AK222" s="207"/>
      <c r="AL222" s="207"/>
      <c r="AM222" s="94"/>
      <c r="AN222" s="94"/>
      <c r="AO222" s="94"/>
      <c r="AP222" s="94"/>
      <c r="AQ222" s="94"/>
      <c r="AR222" s="94"/>
      <c r="AS222" s="94"/>
      <c r="AT222" s="94"/>
      <c r="AU222" s="94"/>
      <c r="AV222" s="94"/>
      <c r="AW222" s="94"/>
      <c r="AX222" s="94"/>
      <c r="AY222" s="94"/>
      <c r="AZ222" s="93"/>
      <c r="BA222" s="93"/>
      <c r="BB222" s="93"/>
      <c r="BC222" s="93"/>
      <c r="BD222" s="93"/>
      <c r="BE222" s="93"/>
      <c r="BF222" s="93"/>
      <c r="BG222" s="93"/>
      <c r="BH222" s="93"/>
      <c r="BI222" s="93"/>
      <c r="BJ222" s="93"/>
      <c r="BK222" s="93"/>
      <c r="BL222" s="93"/>
      <c r="BM222" s="93"/>
      <c r="BN222" s="93"/>
      <c r="BO222" s="93"/>
      <c r="BP222" s="93"/>
      <c r="BQ222" s="93"/>
      <c r="BR222" s="93"/>
      <c r="BS222" s="93"/>
      <c r="BT222" s="93"/>
      <c r="BU222" s="93"/>
      <c r="BV222" s="93"/>
      <c r="BW222" s="93"/>
      <c r="BX222" s="93"/>
      <c r="BY222" s="93"/>
      <c r="BZ222" s="93"/>
      <c r="CA222" s="93"/>
      <c r="CB222" s="93"/>
      <c r="CC222" s="93"/>
      <c r="CD222" s="93"/>
      <c r="CE222" s="93"/>
      <c r="CF222" s="93"/>
      <c r="CG222" s="93"/>
      <c r="CH222" s="93"/>
      <c r="CI222" s="93"/>
      <c r="CJ222" s="93"/>
      <c r="CK222" s="93"/>
      <c r="CL222" s="93"/>
      <c r="CM222" s="93"/>
      <c r="CN222" s="93"/>
      <c r="CO222" s="93"/>
      <c r="CP222" s="93"/>
      <c r="CQ222" s="93"/>
      <c r="CR222" s="93"/>
      <c r="CS222" s="93"/>
      <c r="CT222" s="93"/>
      <c r="CU222" s="93"/>
      <c r="CV222" s="93"/>
      <c r="CW222" s="93"/>
      <c r="CX222" s="93"/>
      <c r="CY222" s="93"/>
      <c r="CZ222" s="93"/>
      <c r="DA222" s="93"/>
      <c r="DB222" s="93"/>
      <c r="DC222" s="93"/>
      <c r="DD222" s="93"/>
      <c r="DE222" s="93"/>
      <c r="DF222" s="93"/>
      <c r="DG222" s="93"/>
      <c r="DH222" s="93"/>
      <c r="DI222" s="93"/>
      <c r="DJ222" s="93"/>
      <c r="DK222" s="93"/>
      <c r="DL222" s="93"/>
      <c r="DM222" s="93"/>
      <c r="DN222" s="93"/>
      <c r="DO222" s="93"/>
      <c r="DP222" s="93"/>
      <c r="DQ222" s="93"/>
      <c r="DR222" s="93"/>
      <c r="DS222" s="93"/>
      <c r="DT222" s="93"/>
      <c r="DU222" s="93"/>
      <c r="DV222" s="93"/>
      <c r="DW222" s="93"/>
      <c r="DX222" s="93"/>
      <c r="DY222" s="93"/>
      <c r="DZ222" s="93"/>
      <c r="EA222" s="93"/>
      <c r="EB222" s="93"/>
      <c r="EC222" s="93"/>
      <c r="ED222" s="93"/>
      <c r="EE222" s="93"/>
      <c r="EF222" s="93"/>
      <c r="EG222" s="93"/>
      <c r="EH222" s="93"/>
      <c r="EI222" s="93"/>
      <c r="EJ222" s="93"/>
      <c r="EK222" s="93"/>
      <c r="EL222" s="93"/>
      <c r="EM222" s="93"/>
      <c r="EN222" s="93"/>
      <c r="EO222" s="93"/>
      <c r="EP222" s="93"/>
      <c r="EQ222" s="93"/>
      <c r="ER222" s="93"/>
      <c r="ES222" s="93"/>
      <c r="ET222" s="93"/>
      <c r="EU222" s="93"/>
      <c r="EV222" s="93"/>
      <c r="EW222" s="93"/>
      <c r="EX222" s="93"/>
      <c r="EY222" s="93"/>
      <c r="EZ222" s="93"/>
      <c r="FA222" s="93"/>
      <c r="FB222" s="93"/>
      <c r="FC222" s="93"/>
      <c r="FD222" s="93"/>
      <c r="FE222" s="93"/>
      <c r="FF222" s="93"/>
      <c r="FG222" s="93"/>
      <c r="FH222" s="93"/>
      <c r="FI222" s="93"/>
      <c r="FJ222" s="93"/>
      <c r="FK222" s="93"/>
      <c r="FL222" s="93"/>
      <c r="FM222" s="93"/>
      <c r="FN222" s="93"/>
      <c r="FO222" s="93"/>
      <c r="FP222" s="93"/>
      <c r="FQ222" s="93"/>
      <c r="FR222" s="93"/>
      <c r="FS222" s="93"/>
      <c r="FT222" s="93"/>
      <c r="FU222" s="93"/>
      <c r="FV222" s="93"/>
      <c r="FW222" s="93"/>
      <c r="FX222" s="93"/>
      <c r="FY222" s="93"/>
      <c r="FZ222" s="93"/>
      <c r="GA222" s="93"/>
      <c r="GB222" s="93"/>
      <c r="GC222" s="93"/>
      <c r="GD222" s="93"/>
      <c r="GE222" s="93"/>
      <c r="GF222" s="93"/>
      <c r="GG222" s="93"/>
      <c r="GH222" s="93"/>
      <c r="GI222" s="93"/>
      <c r="GJ222" s="93"/>
      <c r="GK222" s="93"/>
      <c r="GL222" s="93"/>
      <c r="GM222" s="93"/>
      <c r="GN222" s="93"/>
      <c r="GO222" s="93"/>
      <c r="GP222" s="93"/>
      <c r="GQ222" s="93"/>
      <c r="GR222" s="93"/>
      <c r="GS222" s="93"/>
      <c r="GT222" s="93"/>
      <c r="GU222" s="93"/>
      <c r="GV222" s="93"/>
      <c r="GW222" s="93"/>
      <c r="GX222" s="93"/>
      <c r="GY222" s="93"/>
      <c r="GZ222" s="93"/>
      <c r="HA222" s="93"/>
      <c r="HB222" s="93"/>
      <c r="HC222" s="93"/>
      <c r="HD222" s="93"/>
      <c r="HE222" s="93"/>
      <c r="HF222" s="93"/>
      <c r="HG222" s="93"/>
      <c r="HH222" s="93"/>
      <c r="HI222" s="93"/>
      <c r="HJ222" s="93"/>
      <c r="HK222" s="93"/>
      <c r="HL222" s="93"/>
      <c r="HM222" s="93"/>
      <c r="HN222" s="93"/>
      <c r="HO222" s="93"/>
      <c r="HP222" s="93"/>
      <c r="HQ222" s="93"/>
      <c r="HR222" s="93"/>
      <c r="HS222" s="93"/>
      <c r="HT222" s="93"/>
      <c r="HU222" s="93"/>
      <c r="HV222" s="93"/>
      <c r="HW222" s="93"/>
      <c r="HX222" s="93"/>
      <c r="HY222" s="93"/>
      <c r="HZ222" s="93"/>
      <c r="IA222" s="93"/>
      <c r="IB222" s="93"/>
      <c r="IC222" s="93"/>
      <c r="ID222" s="93"/>
      <c r="IE222" s="93"/>
      <c r="IF222" s="93"/>
      <c r="IG222" s="93"/>
      <c r="IH222" s="93"/>
      <c r="II222" s="93"/>
      <c r="IJ222" s="93"/>
      <c r="IK222" s="93"/>
      <c r="IL222" s="93"/>
      <c r="IM222" s="93"/>
      <c r="IN222" s="93"/>
      <c r="IO222" s="93"/>
      <c r="IP222" s="93"/>
      <c r="IQ222" s="93"/>
      <c r="IR222" s="93"/>
      <c r="IS222" s="93"/>
      <c r="IT222" s="93"/>
      <c r="IU222" s="93"/>
      <c r="IV222" s="93"/>
      <c r="IW222" s="93"/>
      <c r="IX222" s="93"/>
      <c r="IY222" s="93"/>
      <c r="IZ222" s="93"/>
    </row>
    <row r="223" spans="1:260" s="95" customFormat="1">
      <c r="A223" s="93"/>
      <c r="B223" s="183"/>
      <c r="C223" s="183"/>
      <c r="D223" s="183"/>
      <c r="E223" s="158"/>
      <c r="F223" s="158"/>
      <c r="G223" s="158"/>
      <c r="H223" s="158"/>
      <c r="I223" s="158"/>
      <c r="J223" s="158"/>
      <c r="K223" s="158"/>
      <c r="L223" s="158"/>
      <c r="M223" s="158"/>
      <c r="N223" s="158"/>
      <c r="O223" s="158"/>
      <c r="P223" s="228"/>
      <c r="Q223" s="158"/>
      <c r="R223" s="158"/>
      <c r="S223" s="207"/>
      <c r="T223" s="207"/>
      <c r="U223" s="207"/>
      <c r="V223" s="207"/>
      <c r="W223" s="207"/>
      <c r="X223" s="207"/>
      <c r="Y223" s="207"/>
      <c r="Z223" s="207"/>
      <c r="AA223" s="207"/>
      <c r="AB223" s="207"/>
      <c r="AC223" s="207"/>
      <c r="AD223" s="207"/>
      <c r="AE223" s="207"/>
      <c r="AF223" s="207"/>
      <c r="AG223" s="207"/>
      <c r="AH223" s="207"/>
      <c r="AI223" s="207"/>
      <c r="AJ223" s="207"/>
      <c r="AK223" s="207"/>
      <c r="AL223" s="207"/>
      <c r="AM223" s="94"/>
      <c r="AN223" s="94"/>
      <c r="AO223" s="94"/>
      <c r="AP223" s="94"/>
      <c r="AQ223" s="94"/>
      <c r="AR223" s="94"/>
      <c r="AS223" s="94"/>
      <c r="AT223" s="94"/>
      <c r="AU223" s="94"/>
      <c r="AV223" s="94"/>
      <c r="AW223" s="94"/>
      <c r="AX223" s="94"/>
      <c r="AY223" s="94"/>
      <c r="AZ223" s="93"/>
      <c r="BA223" s="93"/>
      <c r="BB223" s="93"/>
      <c r="BC223" s="93"/>
      <c r="BD223" s="93"/>
      <c r="BE223" s="93"/>
      <c r="BF223" s="93"/>
      <c r="BG223" s="93"/>
      <c r="BH223" s="93"/>
      <c r="BI223" s="93"/>
      <c r="BJ223" s="93"/>
      <c r="BK223" s="93"/>
      <c r="BL223" s="93"/>
      <c r="BM223" s="93"/>
      <c r="BN223" s="93"/>
      <c r="BO223" s="93"/>
      <c r="BP223" s="93"/>
      <c r="BQ223" s="93"/>
      <c r="BR223" s="93"/>
      <c r="BS223" s="93"/>
      <c r="BT223" s="93"/>
      <c r="BU223" s="93"/>
      <c r="BV223" s="93"/>
      <c r="BW223" s="93"/>
      <c r="BX223" s="93"/>
      <c r="BY223" s="93"/>
      <c r="BZ223" s="93"/>
      <c r="CA223" s="93"/>
      <c r="CB223" s="93"/>
      <c r="CC223" s="93"/>
      <c r="CD223" s="93"/>
      <c r="CE223" s="93"/>
      <c r="CF223" s="93"/>
      <c r="CG223" s="93"/>
      <c r="CH223" s="93"/>
      <c r="CI223" s="93"/>
      <c r="CJ223" s="93"/>
      <c r="CK223" s="93"/>
      <c r="CL223" s="93"/>
      <c r="CM223" s="93"/>
      <c r="CN223" s="93"/>
      <c r="CO223" s="93"/>
      <c r="CP223" s="93"/>
      <c r="CQ223" s="93"/>
      <c r="CR223" s="93"/>
      <c r="CS223" s="93"/>
      <c r="CT223" s="93"/>
      <c r="CU223" s="93"/>
      <c r="CV223" s="93"/>
      <c r="CW223" s="93"/>
      <c r="CX223" s="93"/>
      <c r="CY223" s="93"/>
      <c r="CZ223" s="93"/>
      <c r="DA223" s="93"/>
      <c r="DB223" s="93"/>
      <c r="DC223" s="93"/>
      <c r="DD223" s="93"/>
      <c r="DE223" s="93"/>
      <c r="DF223" s="93"/>
      <c r="DG223" s="93"/>
      <c r="DH223" s="93"/>
      <c r="DI223" s="93"/>
      <c r="DJ223" s="93"/>
      <c r="DK223" s="93"/>
      <c r="DL223" s="93"/>
      <c r="DM223" s="93"/>
      <c r="DN223" s="93"/>
      <c r="DO223" s="93"/>
      <c r="DP223" s="93"/>
      <c r="DQ223" s="93"/>
      <c r="DR223" s="93"/>
      <c r="DS223" s="93"/>
      <c r="DT223" s="93"/>
      <c r="DU223" s="93"/>
      <c r="DV223" s="93"/>
      <c r="DW223" s="93"/>
      <c r="DX223" s="93"/>
      <c r="DY223" s="93"/>
      <c r="DZ223" s="93"/>
      <c r="EA223" s="93"/>
      <c r="EB223" s="93"/>
      <c r="EC223" s="93"/>
      <c r="ED223" s="93"/>
      <c r="EE223" s="93"/>
      <c r="EF223" s="93"/>
      <c r="EG223" s="93"/>
      <c r="EH223" s="93"/>
      <c r="EI223" s="93"/>
      <c r="EJ223" s="93"/>
      <c r="EK223" s="93"/>
      <c r="EL223" s="93"/>
      <c r="EM223" s="93"/>
      <c r="EN223" s="93"/>
      <c r="EO223" s="93"/>
      <c r="EP223" s="93"/>
      <c r="EQ223" s="93"/>
      <c r="ER223" s="93"/>
      <c r="ES223" s="93"/>
      <c r="ET223" s="93"/>
      <c r="EU223" s="93"/>
      <c r="EV223" s="93"/>
      <c r="EW223" s="93"/>
      <c r="EX223" s="93"/>
      <c r="EY223" s="93"/>
      <c r="EZ223" s="93"/>
      <c r="FA223" s="93"/>
      <c r="FB223" s="93"/>
      <c r="FC223" s="93"/>
      <c r="FD223" s="93"/>
      <c r="FE223" s="93"/>
      <c r="FF223" s="93"/>
      <c r="FG223" s="93"/>
      <c r="FH223" s="93"/>
      <c r="FI223" s="93"/>
      <c r="FJ223" s="93"/>
      <c r="FK223" s="93"/>
      <c r="FL223" s="93"/>
      <c r="FM223" s="93"/>
      <c r="FN223" s="93"/>
      <c r="FO223" s="93"/>
      <c r="FP223" s="93"/>
      <c r="FQ223" s="93"/>
      <c r="FR223" s="93"/>
      <c r="FS223" s="93"/>
      <c r="FT223" s="93"/>
      <c r="FU223" s="93"/>
      <c r="FV223" s="93"/>
      <c r="FW223" s="93"/>
      <c r="FX223" s="93"/>
      <c r="FY223" s="93"/>
      <c r="FZ223" s="93"/>
      <c r="GA223" s="93"/>
      <c r="GB223" s="93"/>
      <c r="GC223" s="93"/>
      <c r="GD223" s="93"/>
      <c r="GE223" s="93"/>
      <c r="GF223" s="93"/>
      <c r="GG223" s="93"/>
      <c r="GH223" s="93"/>
      <c r="GI223" s="93"/>
      <c r="GJ223" s="93"/>
      <c r="GK223" s="93"/>
      <c r="GL223" s="93"/>
      <c r="GM223" s="93"/>
      <c r="GN223" s="93"/>
      <c r="GO223" s="93"/>
      <c r="GP223" s="93"/>
      <c r="GQ223" s="93"/>
      <c r="GR223" s="93"/>
      <c r="GS223" s="93"/>
      <c r="GT223" s="93"/>
      <c r="GU223" s="93"/>
      <c r="GV223" s="93"/>
      <c r="GW223" s="93"/>
      <c r="GX223" s="93"/>
      <c r="GY223" s="93"/>
      <c r="GZ223" s="93"/>
      <c r="HA223" s="93"/>
      <c r="HB223" s="93"/>
      <c r="HC223" s="93"/>
      <c r="HD223" s="93"/>
      <c r="HE223" s="93"/>
      <c r="HF223" s="93"/>
      <c r="HG223" s="93"/>
      <c r="HH223" s="93"/>
      <c r="HI223" s="93"/>
      <c r="HJ223" s="93"/>
      <c r="HK223" s="93"/>
      <c r="HL223" s="93"/>
      <c r="HM223" s="93"/>
      <c r="HN223" s="93"/>
      <c r="HO223" s="93"/>
      <c r="HP223" s="93"/>
      <c r="HQ223" s="93"/>
      <c r="HR223" s="93"/>
      <c r="HS223" s="93"/>
      <c r="HT223" s="93"/>
      <c r="HU223" s="93"/>
      <c r="HV223" s="93"/>
      <c r="HW223" s="93"/>
      <c r="HX223" s="93"/>
      <c r="HY223" s="93"/>
      <c r="HZ223" s="93"/>
      <c r="IA223" s="93"/>
      <c r="IB223" s="93"/>
      <c r="IC223" s="93"/>
      <c r="ID223" s="93"/>
      <c r="IE223" s="93"/>
      <c r="IF223" s="93"/>
      <c r="IG223" s="93"/>
      <c r="IH223" s="93"/>
      <c r="II223" s="93"/>
      <c r="IJ223" s="93"/>
      <c r="IK223" s="93"/>
      <c r="IL223" s="93"/>
      <c r="IM223" s="93"/>
      <c r="IN223" s="93"/>
      <c r="IO223" s="93"/>
      <c r="IP223" s="93"/>
      <c r="IQ223" s="93"/>
      <c r="IR223" s="93"/>
      <c r="IS223" s="93"/>
      <c r="IT223" s="93"/>
      <c r="IU223" s="93"/>
      <c r="IV223" s="93"/>
      <c r="IW223" s="93"/>
      <c r="IX223" s="93"/>
      <c r="IY223" s="93"/>
      <c r="IZ223" s="93"/>
    </row>
    <row r="224" spans="1:260" s="95" customFormat="1">
      <c r="A224" s="93"/>
      <c r="B224" s="183"/>
      <c r="C224" s="183"/>
      <c r="D224" s="183"/>
      <c r="E224" s="158"/>
      <c r="F224" s="158"/>
      <c r="G224" s="158"/>
      <c r="H224" s="158"/>
      <c r="I224" s="158"/>
      <c r="J224" s="158"/>
      <c r="K224" s="158"/>
      <c r="L224" s="158"/>
      <c r="M224" s="158"/>
      <c r="N224" s="158"/>
      <c r="O224" s="158"/>
      <c r="P224" s="228"/>
      <c r="Q224" s="158"/>
      <c r="R224" s="158"/>
      <c r="S224" s="207"/>
      <c r="T224" s="207"/>
      <c r="U224" s="207"/>
      <c r="V224" s="207"/>
      <c r="W224" s="207"/>
      <c r="X224" s="207"/>
      <c r="Y224" s="207"/>
      <c r="Z224" s="207"/>
      <c r="AA224" s="207"/>
      <c r="AB224" s="207"/>
      <c r="AC224" s="207"/>
      <c r="AD224" s="207"/>
      <c r="AE224" s="207"/>
      <c r="AF224" s="207"/>
      <c r="AG224" s="207"/>
      <c r="AH224" s="207"/>
      <c r="AI224" s="207"/>
      <c r="AJ224" s="207"/>
      <c r="AK224" s="207"/>
      <c r="AL224" s="207"/>
      <c r="AM224" s="94"/>
      <c r="AN224" s="94"/>
      <c r="AO224" s="94"/>
      <c r="AP224" s="94"/>
      <c r="AQ224" s="94"/>
      <c r="AR224" s="94"/>
      <c r="AS224" s="94"/>
      <c r="AT224" s="94"/>
      <c r="AU224" s="94"/>
      <c r="AV224" s="94"/>
      <c r="AW224" s="94"/>
      <c r="AX224" s="94"/>
      <c r="AY224" s="94"/>
      <c r="AZ224" s="93"/>
      <c r="BA224" s="93"/>
      <c r="BB224" s="93"/>
      <c r="BC224" s="93"/>
      <c r="BD224" s="93"/>
      <c r="BE224" s="93"/>
      <c r="BF224" s="93"/>
      <c r="BG224" s="93"/>
      <c r="BH224" s="93"/>
      <c r="BI224" s="93"/>
      <c r="BJ224" s="93"/>
      <c r="BK224" s="93"/>
      <c r="BL224" s="93"/>
      <c r="BM224" s="93"/>
      <c r="BN224" s="93"/>
      <c r="BO224" s="93"/>
      <c r="BP224" s="93"/>
      <c r="BQ224" s="93"/>
      <c r="BR224" s="93"/>
      <c r="BS224" s="93"/>
      <c r="BT224" s="93"/>
      <c r="BU224" s="93"/>
      <c r="BV224" s="93"/>
      <c r="BW224" s="93"/>
      <c r="BX224" s="93"/>
      <c r="BY224" s="93"/>
      <c r="BZ224" s="93"/>
      <c r="CA224" s="93"/>
      <c r="CB224" s="93"/>
      <c r="CC224" s="93"/>
      <c r="CD224" s="93"/>
      <c r="CE224" s="93"/>
      <c r="CF224" s="93"/>
      <c r="CG224" s="93"/>
      <c r="CH224" s="93"/>
      <c r="CI224" s="93"/>
      <c r="CJ224" s="93"/>
      <c r="CK224" s="93"/>
      <c r="CL224" s="93"/>
      <c r="CM224" s="93"/>
      <c r="CN224" s="93"/>
      <c r="CO224" s="93"/>
      <c r="CP224" s="93"/>
      <c r="CQ224" s="93"/>
      <c r="CR224" s="93"/>
      <c r="CS224" s="93"/>
      <c r="CT224" s="93"/>
      <c r="CU224" s="93"/>
      <c r="CV224" s="93"/>
      <c r="CW224" s="93"/>
      <c r="CX224" s="93"/>
      <c r="CY224" s="93"/>
      <c r="CZ224" s="93"/>
      <c r="DA224" s="93"/>
      <c r="DB224" s="93"/>
      <c r="DC224" s="93"/>
      <c r="DD224" s="93"/>
      <c r="DE224" s="93"/>
      <c r="DF224" s="93"/>
      <c r="DG224" s="93"/>
      <c r="DH224" s="93"/>
      <c r="DI224" s="93"/>
      <c r="DJ224" s="93"/>
      <c r="DK224" s="93"/>
      <c r="DL224" s="93"/>
      <c r="DM224" s="93"/>
      <c r="DN224" s="93"/>
      <c r="DO224" s="93"/>
      <c r="DP224" s="93"/>
      <c r="DQ224" s="93"/>
      <c r="DR224" s="93"/>
      <c r="DS224" s="93"/>
      <c r="DT224" s="93"/>
      <c r="DU224" s="93"/>
      <c r="DV224" s="93"/>
      <c r="DW224" s="93"/>
      <c r="DX224" s="93"/>
      <c r="DY224" s="93"/>
      <c r="DZ224" s="93"/>
      <c r="EA224" s="93"/>
      <c r="EB224" s="93"/>
      <c r="EC224" s="93"/>
      <c r="ED224" s="93"/>
      <c r="EE224" s="93"/>
      <c r="EF224" s="93"/>
      <c r="EG224" s="93"/>
      <c r="EH224" s="93"/>
      <c r="EI224" s="93"/>
      <c r="EJ224" s="93"/>
      <c r="EK224" s="93"/>
      <c r="EL224" s="93"/>
      <c r="EM224" s="93"/>
      <c r="EN224" s="93"/>
      <c r="EO224" s="93"/>
      <c r="EP224" s="93"/>
      <c r="EQ224" s="93"/>
      <c r="ER224" s="93"/>
      <c r="ES224" s="93"/>
      <c r="ET224" s="93"/>
      <c r="EU224" s="93"/>
      <c r="EV224" s="93"/>
      <c r="EW224" s="93"/>
      <c r="EX224" s="93"/>
      <c r="EY224" s="93"/>
      <c r="EZ224" s="93"/>
      <c r="FA224" s="93"/>
      <c r="FB224" s="93"/>
      <c r="FC224" s="93"/>
      <c r="FD224" s="93"/>
      <c r="FE224" s="93"/>
      <c r="FF224" s="93"/>
      <c r="FG224" s="93"/>
      <c r="FH224" s="93"/>
      <c r="FI224" s="93"/>
      <c r="FJ224" s="93"/>
      <c r="FK224" s="93"/>
      <c r="FL224" s="93"/>
      <c r="FM224" s="93"/>
      <c r="FN224" s="93"/>
      <c r="FO224" s="93"/>
      <c r="FP224" s="93"/>
      <c r="FQ224" s="93"/>
      <c r="FR224" s="93"/>
      <c r="FS224" s="93"/>
      <c r="FT224" s="93"/>
      <c r="FU224" s="93"/>
      <c r="FV224" s="93"/>
      <c r="FW224" s="93"/>
      <c r="FX224" s="93"/>
      <c r="FY224" s="93"/>
      <c r="FZ224" s="93"/>
      <c r="GA224" s="93"/>
      <c r="GB224" s="93"/>
      <c r="GC224" s="93"/>
      <c r="GD224" s="93"/>
      <c r="GE224" s="93"/>
      <c r="GF224" s="93"/>
      <c r="GG224" s="93"/>
      <c r="GH224" s="93"/>
      <c r="GI224" s="93"/>
      <c r="GJ224" s="93"/>
      <c r="GK224" s="93"/>
      <c r="GL224" s="93"/>
      <c r="GM224" s="93"/>
      <c r="GN224" s="93"/>
      <c r="GO224" s="93"/>
      <c r="GP224" s="93"/>
      <c r="GQ224" s="93"/>
      <c r="GR224" s="93"/>
      <c r="GS224" s="93"/>
      <c r="GT224" s="93"/>
      <c r="GU224" s="93"/>
      <c r="GV224" s="93"/>
      <c r="GW224" s="93"/>
      <c r="GX224" s="93"/>
      <c r="GY224" s="93"/>
      <c r="GZ224" s="93"/>
      <c r="HA224" s="93"/>
      <c r="HB224" s="93"/>
      <c r="HC224" s="93"/>
      <c r="HD224" s="93"/>
      <c r="HE224" s="93"/>
      <c r="HF224" s="93"/>
      <c r="HG224" s="93"/>
      <c r="HH224" s="93"/>
      <c r="HI224" s="93"/>
      <c r="HJ224" s="93"/>
      <c r="HK224" s="93"/>
      <c r="HL224" s="93"/>
      <c r="HM224" s="93"/>
      <c r="HN224" s="93"/>
      <c r="HO224" s="93"/>
      <c r="HP224" s="93"/>
      <c r="HQ224" s="93"/>
      <c r="HR224" s="93"/>
      <c r="HS224" s="93"/>
      <c r="HT224" s="93"/>
      <c r="HU224" s="93"/>
      <c r="HV224" s="93"/>
      <c r="HW224" s="93"/>
      <c r="HX224" s="93"/>
      <c r="HY224" s="93"/>
      <c r="HZ224" s="93"/>
      <c r="IA224" s="93"/>
      <c r="IB224" s="93"/>
      <c r="IC224" s="93"/>
      <c r="ID224" s="93"/>
      <c r="IE224" s="93"/>
      <c r="IF224" s="93"/>
      <c r="IG224" s="93"/>
      <c r="IH224" s="93"/>
      <c r="II224" s="93"/>
      <c r="IJ224" s="93"/>
      <c r="IK224" s="93"/>
      <c r="IL224" s="93"/>
      <c r="IM224" s="93"/>
      <c r="IN224" s="93"/>
      <c r="IO224" s="93"/>
      <c r="IP224" s="93"/>
      <c r="IQ224" s="93"/>
      <c r="IR224" s="93"/>
      <c r="IS224" s="93"/>
      <c r="IT224" s="93"/>
      <c r="IU224" s="93"/>
      <c r="IV224" s="93"/>
      <c r="IW224" s="93"/>
      <c r="IX224" s="93"/>
      <c r="IY224" s="93"/>
      <c r="IZ224" s="93"/>
    </row>
    <row r="225" spans="1:260" s="95" customFormat="1">
      <c r="A225" s="93"/>
      <c r="B225" s="183"/>
      <c r="C225" s="183"/>
      <c r="D225" s="183"/>
      <c r="E225" s="158"/>
      <c r="F225" s="158"/>
      <c r="G225" s="158"/>
      <c r="H225" s="158"/>
      <c r="I225" s="158"/>
      <c r="J225" s="158"/>
      <c r="K225" s="158"/>
      <c r="L225" s="158"/>
      <c r="M225" s="158"/>
      <c r="N225" s="158"/>
      <c r="O225" s="158"/>
      <c r="P225" s="228"/>
      <c r="Q225" s="158"/>
      <c r="R225" s="158"/>
      <c r="S225" s="207"/>
      <c r="T225" s="207"/>
      <c r="U225" s="207"/>
      <c r="V225" s="207"/>
      <c r="W225" s="207"/>
      <c r="X225" s="207"/>
      <c r="Y225" s="207"/>
      <c r="Z225" s="207"/>
      <c r="AA225" s="207"/>
      <c r="AB225" s="207"/>
      <c r="AC225" s="207"/>
      <c r="AD225" s="207"/>
      <c r="AE225" s="207"/>
      <c r="AF225" s="207"/>
      <c r="AG225" s="207"/>
      <c r="AH225" s="207"/>
      <c r="AI225" s="207"/>
      <c r="AJ225" s="207"/>
      <c r="AK225" s="207"/>
      <c r="AL225" s="207"/>
      <c r="AM225" s="94"/>
      <c r="AN225" s="94"/>
      <c r="AO225" s="94"/>
      <c r="AP225" s="94"/>
      <c r="AQ225" s="94"/>
      <c r="AR225" s="94"/>
      <c r="AS225" s="94"/>
      <c r="AT225" s="94"/>
      <c r="AU225" s="94"/>
      <c r="AV225" s="94"/>
      <c r="AW225" s="94"/>
      <c r="AX225" s="94"/>
      <c r="AY225" s="94"/>
      <c r="AZ225" s="93"/>
      <c r="BA225" s="93"/>
      <c r="BB225" s="93"/>
      <c r="BC225" s="93"/>
      <c r="BD225" s="93"/>
      <c r="BE225" s="93"/>
      <c r="BF225" s="93"/>
      <c r="BG225" s="93"/>
      <c r="BH225" s="93"/>
      <c r="BI225" s="93"/>
      <c r="BJ225" s="93"/>
      <c r="BK225" s="93"/>
      <c r="BL225" s="93"/>
      <c r="BM225" s="93"/>
      <c r="BN225" s="93"/>
      <c r="BO225" s="93"/>
      <c r="BP225" s="93"/>
      <c r="BQ225" s="93"/>
      <c r="BR225" s="93"/>
      <c r="BS225" s="93"/>
      <c r="BT225" s="93"/>
      <c r="BU225" s="93"/>
      <c r="BV225" s="93"/>
      <c r="BW225" s="93"/>
      <c r="BX225" s="93"/>
      <c r="BY225" s="93"/>
      <c r="BZ225" s="93"/>
      <c r="CA225" s="93"/>
      <c r="CB225" s="93"/>
      <c r="CC225" s="93"/>
      <c r="CD225" s="93"/>
      <c r="CE225" s="93"/>
      <c r="CF225" s="93"/>
      <c r="CG225" s="93"/>
      <c r="CH225" s="93"/>
      <c r="CI225" s="93"/>
      <c r="CJ225" s="93"/>
      <c r="CK225" s="93"/>
      <c r="CL225" s="93"/>
      <c r="CM225" s="93"/>
      <c r="CN225" s="93"/>
      <c r="CO225" s="93"/>
      <c r="CP225" s="93"/>
      <c r="CQ225" s="93"/>
      <c r="CR225" s="93"/>
      <c r="CS225" s="93"/>
      <c r="CT225" s="93"/>
      <c r="CU225" s="93"/>
      <c r="CV225" s="93"/>
      <c r="CW225" s="93"/>
      <c r="CX225" s="93"/>
      <c r="CY225" s="93"/>
      <c r="CZ225" s="93"/>
      <c r="DA225" s="93"/>
      <c r="DB225" s="93"/>
      <c r="DC225" s="93"/>
      <c r="DD225" s="93"/>
      <c r="DE225" s="93"/>
      <c r="DF225" s="93"/>
      <c r="DG225" s="93"/>
      <c r="DH225" s="93"/>
      <c r="DI225" s="93"/>
      <c r="DJ225" s="93"/>
      <c r="DK225" s="93"/>
      <c r="DL225" s="93"/>
      <c r="DM225" s="93"/>
      <c r="DN225" s="93"/>
      <c r="DO225" s="93"/>
      <c r="DP225" s="93"/>
      <c r="DQ225" s="93"/>
      <c r="DR225" s="93"/>
      <c r="DS225" s="93"/>
      <c r="DT225" s="93"/>
      <c r="DU225" s="93"/>
      <c r="DV225" s="93"/>
      <c r="DW225" s="93"/>
      <c r="DX225" s="93"/>
      <c r="DY225" s="93"/>
      <c r="DZ225" s="93"/>
      <c r="EA225" s="93"/>
      <c r="EB225" s="93"/>
      <c r="EC225" s="93"/>
      <c r="ED225" s="93"/>
      <c r="EE225" s="93"/>
      <c r="EF225" s="93"/>
      <c r="EG225" s="93"/>
      <c r="EH225" s="93"/>
      <c r="EI225" s="93"/>
      <c r="EJ225" s="93"/>
      <c r="EK225" s="93"/>
      <c r="EL225" s="93"/>
      <c r="EM225" s="93"/>
      <c r="EN225" s="93"/>
      <c r="EO225" s="93"/>
      <c r="EP225" s="93"/>
      <c r="EQ225" s="93"/>
      <c r="ER225" s="93"/>
      <c r="ES225" s="93"/>
      <c r="ET225" s="93"/>
      <c r="EU225" s="93"/>
      <c r="EV225" s="93"/>
      <c r="EW225" s="93"/>
      <c r="EX225" s="93"/>
      <c r="EY225" s="93"/>
      <c r="EZ225" s="93"/>
      <c r="FA225" s="93"/>
      <c r="FB225" s="93"/>
      <c r="FC225" s="93"/>
      <c r="FD225" s="93"/>
      <c r="FE225" s="93"/>
      <c r="FF225" s="93"/>
      <c r="FG225" s="93"/>
      <c r="FH225" s="93"/>
      <c r="FI225" s="93"/>
      <c r="FJ225" s="93"/>
      <c r="FK225" s="93"/>
      <c r="FL225" s="93"/>
      <c r="FM225" s="93"/>
      <c r="FN225" s="93"/>
      <c r="FO225" s="93"/>
      <c r="FP225" s="93"/>
      <c r="FQ225" s="93"/>
      <c r="FR225" s="93"/>
      <c r="FS225" s="93"/>
      <c r="FT225" s="93"/>
      <c r="FU225" s="93"/>
      <c r="FV225" s="93"/>
      <c r="FW225" s="93"/>
      <c r="FX225" s="93"/>
      <c r="FY225" s="93"/>
      <c r="FZ225" s="93"/>
      <c r="GA225" s="93"/>
      <c r="GB225" s="93"/>
      <c r="GC225" s="93"/>
      <c r="GD225" s="93"/>
      <c r="GE225" s="93"/>
      <c r="GF225" s="93"/>
      <c r="GG225" s="93"/>
      <c r="GH225" s="93"/>
      <c r="GI225" s="93"/>
      <c r="GJ225" s="93"/>
      <c r="GK225" s="93"/>
      <c r="GL225" s="93"/>
      <c r="GM225" s="93"/>
      <c r="GN225" s="93"/>
      <c r="GO225" s="93"/>
      <c r="GP225" s="93"/>
      <c r="GQ225" s="93"/>
      <c r="GR225" s="93"/>
      <c r="GS225" s="93"/>
      <c r="GT225" s="93"/>
      <c r="GU225" s="93"/>
      <c r="GV225" s="93"/>
      <c r="GW225" s="93"/>
      <c r="GX225" s="93"/>
      <c r="GY225" s="93"/>
      <c r="GZ225" s="93"/>
      <c r="HA225" s="93"/>
      <c r="HB225" s="93"/>
      <c r="HC225" s="93"/>
      <c r="HD225" s="93"/>
      <c r="HE225" s="93"/>
      <c r="HF225" s="93"/>
      <c r="HG225" s="93"/>
      <c r="HH225" s="93"/>
      <c r="HI225" s="93"/>
      <c r="HJ225" s="93"/>
      <c r="HK225" s="93"/>
      <c r="HL225" s="93"/>
      <c r="HM225" s="93"/>
      <c r="HN225" s="93"/>
      <c r="HO225" s="93"/>
      <c r="HP225" s="93"/>
      <c r="HQ225" s="93"/>
      <c r="HR225" s="93"/>
      <c r="HS225" s="93"/>
      <c r="HT225" s="93"/>
      <c r="HU225" s="93"/>
      <c r="HV225" s="93"/>
      <c r="HW225" s="93"/>
      <c r="HX225" s="93"/>
      <c r="HY225" s="93"/>
      <c r="HZ225" s="93"/>
      <c r="IA225" s="93"/>
      <c r="IB225" s="93"/>
      <c r="IC225" s="93"/>
      <c r="ID225" s="93"/>
      <c r="IE225" s="93"/>
      <c r="IF225" s="93"/>
      <c r="IG225" s="93"/>
      <c r="IH225" s="93"/>
      <c r="II225" s="93"/>
      <c r="IJ225" s="93"/>
      <c r="IK225" s="93"/>
      <c r="IL225" s="93"/>
      <c r="IM225" s="93"/>
      <c r="IN225" s="93"/>
      <c r="IO225" s="93"/>
      <c r="IP225" s="93"/>
      <c r="IQ225" s="93"/>
      <c r="IR225" s="93"/>
      <c r="IS225" s="93"/>
      <c r="IT225" s="93"/>
      <c r="IU225" s="93"/>
      <c r="IV225" s="93"/>
      <c r="IW225" s="93"/>
      <c r="IX225" s="93"/>
      <c r="IY225" s="93"/>
      <c r="IZ225" s="93"/>
    </row>
    <row r="226" spans="1:260" s="95" customFormat="1">
      <c r="A226" s="93"/>
      <c r="B226" s="183"/>
      <c r="C226" s="183"/>
      <c r="D226" s="183"/>
      <c r="E226" s="158"/>
      <c r="F226" s="158"/>
      <c r="G226" s="158"/>
      <c r="H226" s="158"/>
      <c r="I226" s="158"/>
      <c r="J226" s="158"/>
      <c r="K226" s="158"/>
      <c r="L226" s="158"/>
      <c r="M226" s="158"/>
      <c r="N226" s="158"/>
      <c r="O226" s="158"/>
      <c r="P226" s="228"/>
      <c r="Q226" s="158"/>
      <c r="R226" s="158"/>
      <c r="S226" s="207"/>
      <c r="T226" s="207"/>
      <c r="U226" s="207"/>
      <c r="V226" s="207"/>
      <c r="W226" s="207"/>
      <c r="X226" s="207"/>
      <c r="Y226" s="207"/>
      <c r="Z226" s="207"/>
      <c r="AA226" s="207"/>
      <c r="AB226" s="207"/>
      <c r="AC226" s="207"/>
      <c r="AD226" s="207"/>
      <c r="AE226" s="207"/>
      <c r="AF226" s="207"/>
      <c r="AG226" s="207"/>
      <c r="AH226" s="207"/>
      <c r="AI226" s="207"/>
      <c r="AJ226" s="207"/>
      <c r="AK226" s="207"/>
      <c r="AL226" s="207"/>
      <c r="AM226" s="94"/>
      <c r="AN226" s="94"/>
      <c r="AO226" s="94"/>
      <c r="AP226" s="94"/>
      <c r="AQ226" s="94"/>
      <c r="AR226" s="94"/>
      <c r="AS226" s="94"/>
      <c r="AT226" s="94"/>
      <c r="AU226" s="94"/>
      <c r="AV226" s="94"/>
      <c r="AW226" s="94"/>
      <c r="AX226" s="94"/>
      <c r="AY226" s="94"/>
      <c r="AZ226" s="93"/>
      <c r="BA226" s="93"/>
      <c r="BB226" s="93"/>
      <c r="BC226" s="93"/>
      <c r="BD226" s="93"/>
      <c r="BE226" s="93"/>
      <c r="BF226" s="93"/>
      <c r="BG226" s="93"/>
      <c r="BH226" s="93"/>
      <c r="BI226" s="93"/>
      <c r="BJ226" s="93"/>
      <c r="BK226" s="93"/>
      <c r="BL226" s="93"/>
      <c r="BM226" s="93"/>
      <c r="BN226" s="93"/>
      <c r="BO226" s="93"/>
      <c r="BP226" s="93"/>
      <c r="BQ226" s="93"/>
      <c r="BR226" s="93"/>
      <c r="BS226" s="93"/>
      <c r="BT226" s="93"/>
      <c r="BU226" s="93"/>
      <c r="BV226" s="93"/>
      <c r="BW226" s="93"/>
      <c r="BX226" s="93"/>
      <c r="BY226" s="93"/>
      <c r="BZ226" s="93"/>
      <c r="CA226" s="93"/>
      <c r="CB226" s="93"/>
      <c r="CC226" s="93"/>
      <c r="CD226" s="93"/>
      <c r="CE226" s="93"/>
      <c r="CF226" s="93"/>
      <c r="CG226" s="93"/>
      <c r="CH226" s="93"/>
      <c r="CI226" s="93"/>
      <c r="CJ226" s="93"/>
      <c r="CK226" s="93"/>
      <c r="CL226" s="93"/>
      <c r="CM226" s="93"/>
      <c r="CN226" s="93"/>
      <c r="CO226" s="93"/>
      <c r="CP226" s="93"/>
      <c r="CQ226" s="93"/>
      <c r="CR226" s="93"/>
      <c r="CS226" s="93"/>
      <c r="CT226" s="93"/>
      <c r="CU226" s="93"/>
      <c r="CV226" s="93"/>
      <c r="CW226" s="93"/>
      <c r="CX226" s="93"/>
      <c r="CY226" s="93"/>
      <c r="CZ226" s="93"/>
      <c r="DA226" s="93"/>
      <c r="DB226" s="93"/>
      <c r="DC226" s="93"/>
      <c r="DD226" s="93"/>
      <c r="DE226" s="93"/>
      <c r="DF226" s="93"/>
      <c r="DG226" s="93"/>
      <c r="DH226" s="93"/>
      <c r="DI226" s="93"/>
      <c r="DJ226" s="93"/>
      <c r="DK226" s="93"/>
      <c r="DL226" s="93"/>
      <c r="DM226" s="93"/>
      <c r="DN226" s="93"/>
      <c r="DO226" s="93"/>
      <c r="DP226" s="93"/>
      <c r="DQ226" s="93"/>
      <c r="DR226" s="93"/>
      <c r="DS226" s="93"/>
      <c r="DT226" s="93"/>
      <c r="DU226" s="93"/>
      <c r="DV226" s="93"/>
      <c r="DW226" s="93"/>
      <c r="DX226" s="93"/>
      <c r="DY226" s="93"/>
      <c r="DZ226" s="93"/>
      <c r="EA226" s="93"/>
      <c r="EB226" s="93"/>
      <c r="EC226" s="93"/>
      <c r="ED226" s="93"/>
      <c r="EE226" s="93"/>
      <c r="EF226" s="93"/>
      <c r="EG226" s="93"/>
      <c r="EH226" s="93"/>
      <c r="EI226" s="93"/>
      <c r="EJ226" s="93"/>
      <c r="EK226" s="93"/>
      <c r="EL226" s="93"/>
      <c r="EM226" s="93"/>
      <c r="EN226" s="93"/>
      <c r="EO226" s="93"/>
      <c r="EP226" s="93"/>
      <c r="EQ226" s="93"/>
      <c r="ER226" s="93"/>
      <c r="ES226" s="93"/>
      <c r="ET226" s="93"/>
      <c r="EU226" s="93"/>
      <c r="EV226" s="93"/>
      <c r="EW226" s="93"/>
      <c r="EX226" s="93"/>
      <c r="EY226" s="93"/>
      <c r="EZ226" s="93"/>
      <c r="FA226" s="93"/>
      <c r="FB226" s="93"/>
      <c r="FC226" s="93"/>
      <c r="FD226" s="93"/>
      <c r="FE226" s="93"/>
      <c r="FF226" s="93"/>
      <c r="FG226" s="93"/>
      <c r="FH226" s="93"/>
      <c r="FI226" s="93"/>
      <c r="FJ226" s="93"/>
      <c r="FK226" s="93"/>
      <c r="FL226" s="93"/>
      <c r="FM226" s="93"/>
      <c r="FN226" s="93"/>
      <c r="FO226" s="93"/>
      <c r="FP226" s="93"/>
      <c r="FQ226" s="93"/>
      <c r="FR226" s="93"/>
      <c r="FS226" s="93"/>
      <c r="FT226" s="93"/>
      <c r="FU226" s="93"/>
      <c r="FV226" s="93"/>
      <c r="FW226" s="93"/>
      <c r="FX226" s="93"/>
      <c r="FY226" s="93"/>
      <c r="FZ226" s="93"/>
      <c r="GA226" s="93"/>
      <c r="GB226" s="93"/>
      <c r="GC226" s="93"/>
      <c r="GD226" s="93"/>
      <c r="GE226" s="93"/>
      <c r="GF226" s="93"/>
      <c r="GG226" s="93"/>
      <c r="GH226" s="93"/>
      <c r="GI226" s="93"/>
      <c r="GJ226" s="93"/>
      <c r="GK226" s="93"/>
      <c r="GL226" s="93"/>
      <c r="GM226" s="93"/>
      <c r="GN226" s="93"/>
      <c r="GO226" s="93"/>
      <c r="GP226" s="93"/>
      <c r="GQ226" s="93"/>
      <c r="GR226" s="93"/>
      <c r="GS226" s="93"/>
      <c r="GT226" s="93"/>
      <c r="GU226" s="93"/>
      <c r="GV226" s="93"/>
      <c r="GW226" s="93"/>
      <c r="GX226" s="93"/>
      <c r="GY226" s="93"/>
      <c r="GZ226" s="93"/>
      <c r="HA226" s="93"/>
      <c r="HB226" s="93"/>
      <c r="HC226" s="93"/>
      <c r="HD226" s="93"/>
      <c r="HE226" s="93"/>
      <c r="HF226" s="93"/>
      <c r="HG226" s="93"/>
      <c r="HH226" s="93"/>
      <c r="HI226" s="93"/>
      <c r="HJ226" s="93"/>
      <c r="HK226" s="93"/>
      <c r="HL226" s="93"/>
      <c r="HM226" s="93"/>
      <c r="HN226" s="93"/>
      <c r="HO226" s="93"/>
      <c r="HP226" s="93"/>
      <c r="HQ226" s="93"/>
      <c r="HR226" s="93"/>
      <c r="HS226" s="93"/>
      <c r="HT226" s="93"/>
      <c r="HU226" s="93"/>
      <c r="HV226" s="93"/>
      <c r="HW226" s="93"/>
      <c r="HX226" s="93"/>
      <c r="HY226" s="93"/>
      <c r="HZ226" s="93"/>
      <c r="IA226" s="93"/>
      <c r="IB226" s="93"/>
      <c r="IC226" s="93"/>
      <c r="ID226" s="93"/>
      <c r="IE226" s="93"/>
      <c r="IF226" s="93"/>
      <c r="IG226" s="93"/>
      <c r="IH226" s="93"/>
      <c r="II226" s="93"/>
      <c r="IJ226" s="93"/>
      <c r="IK226" s="93"/>
      <c r="IL226" s="93"/>
      <c r="IM226" s="93"/>
      <c r="IN226" s="93"/>
      <c r="IO226" s="93"/>
      <c r="IP226" s="93"/>
      <c r="IQ226" s="93"/>
      <c r="IR226" s="93"/>
      <c r="IS226" s="93"/>
      <c r="IT226" s="93"/>
      <c r="IU226" s="93"/>
      <c r="IV226" s="93"/>
      <c r="IW226" s="93"/>
      <c r="IX226" s="93"/>
      <c r="IY226" s="93"/>
      <c r="IZ226" s="93"/>
    </row>
    <row r="227" spans="1:260" s="95" customFormat="1">
      <c r="A227" s="93"/>
      <c r="B227" s="183"/>
      <c r="C227" s="183"/>
      <c r="D227" s="183"/>
      <c r="E227" s="158"/>
      <c r="F227" s="158"/>
      <c r="G227" s="158"/>
      <c r="H227" s="158"/>
      <c r="I227" s="158"/>
      <c r="J227" s="158"/>
      <c r="K227" s="158"/>
      <c r="L227" s="158"/>
      <c r="M227" s="158"/>
      <c r="N227" s="158"/>
      <c r="O227" s="158"/>
      <c r="P227" s="228"/>
      <c r="Q227" s="158"/>
      <c r="R227" s="158"/>
      <c r="S227" s="207"/>
      <c r="T227" s="207"/>
      <c r="U227" s="207"/>
      <c r="V227" s="207"/>
      <c r="W227" s="207"/>
      <c r="X227" s="207"/>
      <c r="Y227" s="207"/>
      <c r="Z227" s="207"/>
      <c r="AA227" s="207"/>
      <c r="AB227" s="207"/>
      <c r="AC227" s="207"/>
      <c r="AD227" s="207"/>
      <c r="AE227" s="207"/>
      <c r="AF227" s="207"/>
      <c r="AG227" s="207"/>
      <c r="AH227" s="207"/>
      <c r="AI227" s="207"/>
      <c r="AJ227" s="207"/>
      <c r="AK227" s="207"/>
      <c r="AL227" s="207"/>
      <c r="AM227" s="94"/>
      <c r="AN227" s="94"/>
      <c r="AO227" s="94"/>
      <c r="AP227" s="94"/>
      <c r="AQ227" s="94"/>
      <c r="AR227" s="94"/>
      <c r="AS227" s="94"/>
      <c r="AT227" s="94"/>
      <c r="AU227" s="94"/>
      <c r="AV227" s="94"/>
      <c r="AW227" s="94"/>
      <c r="AX227" s="94"/>
      <c r="AY227" s="94"/>
      <c r="AZ227" s="93"/>
      <c r="BA227" s="93"/>
      <c r="BB227" s="93"/>
      <c r="BC227" s="93"/>
      <c r="BD227" s="93"/>
      <c r="BE227" s="93"/>
      <c r="BF227" s="93"/>
      <c r="BG227" s="93"/>
      <c r="BH227" s="93"/>
      <c r="BI227" s="93"/>
      <c r="BJ227" s="93"/>
      <c r="BK227" s="93"/>
      <c r="BL227" s="93"/>
      <c r="BM227" s="93"/>
      <c r="BN227" s="93"/>
      <c r="BO227" s="93"/>
      <c r="BP227" s="93"/>
      <c r="BQ227" s="93"/>
      <c r="BR227" s="93"/>
      <c r="BS227" s="93"/>
      <c r="BT227" s="93"/>
      <c r="BU227" s="93"/>
      <c r="BV227" s="93"/>
      <c r="BW227" s="93"/>
      <c r="BX227" s="93"/>
      <c r="BY227" s="93"/>
      <c r="BZ227" s="93"/>
      <c r="CA227" s="93"/>
      <c r="CB227" s="93"/>
      <c r="CC227" s="93"/>
      <c r="CD227" s="93"/>
      <c r="CE227" s="93"/>
      <c r="CF227" s="93"/>
      <c r="CG227" s="93"/>
      <c r="CH227" s="93"/>
      <c r="CI227" s="93"/>
      <c r="CJ227" s="93"/>
      <c r="CK227" s="93"/>
      <c r="CL227" s="93"/>
      <c r="CM227" s="93"/>
      <c r="CN227" s="93"/>
      <c r="CO227" s="93"/>
      <c r="CP227" s="93"/>
      <c r="CQ227" s="93"/>
      <c r="CR227" s="93"/>
      <c r="CS227" s="93"/>
      <c r="CT227" s="93"/>
      <c r="CU227" s="93"/>
      <c r="CV227" s="93"/>
      <c r="CW227" s="93"/>
      <c r="CX227" s="93"/>
      <c r="CY227" s="93"/>
      <c r="CZ227" s="93"/>
      <c r="DA227" s="93"/>
      <c r="DB227" s="93"/>
      <c r="DC227" s="93"/>
      <c r="DD227" s="93"/>
      <c r="DE227" s="93"/>
      <c r="DF227" s="93"/>
      <c r="DG227" s="93"/>
      <c r="DH227" s="93"/>
      <c r="DI227" s="93"/>
      <c r="DJ227" s="93"/>
      <c r="DK227" s="93"/>
      <c r="DL227" s="93"/>
      <c r="DM227" s="93"/>
      <c r="DN227" s="93"/>
      <c r="DO227" s="93"/>
      <c r="DP227" s="93"/>
      <c r="DQ227" s="93"/>
      <c r="DR227" s="93"/>
      <c r="DS227" s="93"/>
      <c r="DT227" s="93"/>
      <c r="DU227" s="93"/>
      <c r="DV227" s="93"/>
      <c r="DW227" s="93"/>
      <c r="DX227" s="93"/>
      <c r="DY227" s="93"/>
      <c r="DZ227" s="93"/>
      <c r="EA227" s="93"/>
      <c r="EB227" s="93"/>
      <c r="EC227" s="93"/>
      <c r="ED227" s="93"/>
      <c r="EE227" s="93"/>
      <c r="EF227" s="93"/>
      <c r="EG227" s="93"/>
      <c r="EH227" s="93"/>
      <c r="EI227" s="93"/>
      <c r="EJ227" s="93"/>
      <c r="EK227" s="93"/>
      <c r="EL227" s="93"/>
      <c r="EM227" s="93"/>
      <c r="EN227" s="93"/>
      <c r="EO227" s="93"/>
      <c r="EP227" s="93"/>
      <c r="EQ227" s="93"/>
      <c r="ER227" s="93"/>
      <c r="ES227" s="93"/>
      <c r="ET227" s="93"/>
      <c r="EU227" s="93"/>
      <c r="EV227" s="93"/>
      <c r="EW227" s="93"/>
      <c r="EX227" s="93"/>
      <c r="EY227" s="93"/>
      <c r="EZ227" s="93"/>
      <c r="FA227" s="93"/>
      <c r="FB227" s="93"/>
      <c r="FC227" s="93"/>
      <c r="FD227" s="93"/>
      <c r="FE227" s="93"/>
      <c r="FF227" s="93"/>
      <c r="FG227" s="93"/>
      <c r="FH227" s="93"/>
      <c r="FI227" s="93"/>
      <c r="FJ227" s="93"/>
      <c r="FK227" s="93"/>
      <c r="FL227" s="93"/>
      <c r="FM227" s="93"/>
      <c r="FN227" s="93"/>
      <c r="FO227" s="93"/>
      <c r="FP227" s="93"/>
      <c r="FQ227" s="93"/>
      <c r="FR227" s="93"/>
      <c r="FS227" s="93"/>
      <c r="FT227" s="93"/>
      <c r="FU227" s="93"/>
      <c r="FV227" s="93"/>
      <c r="FW227" s="93"/>
      <c r="FX227" s="93"/>
      <c r="FY227" s="93"/>
      <c r="FZ227" s="93"/>
      <c r="GA227" s="93"/>
      <c r="GB227" s="93"/>
      <c r="GC227" s="93"/>
      <c r="GD227" s="93"/>
      <c r="GE227" s="93"/>
      <c r="GF227" s="93"/>
      <c r="GG227" s="93"/>
      <c r="GH227" s="93"/>
      <c r="GI227" s="93"/>
      <c r="GJ227" s="93"/>
      <c r="GK227" s="93"/>
      <c r="GL227" s="93"/>
      <c r="GM227" s="93"/>
      <c r="GN227" s="93"/>
      <c r="GO227" s="93"/>
      <c r="GP227" s="93"/>
      <c r="GQ227" s="93"/>
      <c r="GR227" s="93"/>
      <c r="GS227" s="93"/>
      <c r="GT227" s="93"/>
      <c r="GU227" s="93"/>
      <c r="GV227" s="93"/>
      <c r="GW227" s="93"/>
      <c r="GX227" s="93"/>
      <c r="GY227" s="93"/>
      <c r="GZ227" s="93"/>
      <c r="HA227" s="93"/>
      <c r="HB227" s="93"/>
      <c r="HC227" s="93"/>
      <c r="HD227" s="93"/>
      <c r="HE227" s="93"/>
      <c r="HF227" s="93"/>
      <c r="HG227" s="93"/>
      <c r="HH227" s="93"/>
      <c r="HI227" s="93"/>
      <c r="HJ227" s="93"/>
      <c r="HK227" s="93"/>
      <c r="HL227" s="93"/>
      <c r="HM227" s="93"/>
      <c r="HN227" s="93"/>
      <c r="HO227" s="93"/>
      <c r="HP227" s="93"/>
      <c r="HQ227" s="93"/>
      <c r="HR227" s="93"/>
      <c r="HS227" s="93"/>
      <c r="HT227" s="93"/>
      <c r="HU227" s="93"/>
      <c r="HV227" s="93"/>
      <c r="HW227" s="93"/>
      <c r="HX227" s="93"/>
      <c r="HY227" s="93"/>
      <c r="HZ227" s="93"/>
      <c r="IA227" s="93"/>
      <c r="IB227" s="93"/>
      <c r="IC227" s="93"/>
      <c r="ID227" s="93"/>
      <c r="IE227" s="93"/>
      <c r="IF227" s="93"/>
      <c r="IG227" s="93"/>
      <c r="IH227" s="93"/>
      <c r="II227" s="93"/>
      <c r="IJ227" s="93"/>
      <c r="IK227" s="93"/>
      <c r="IL227" s="93"/>
      <c r="IM227" s="93"/>
      <c r="IN227" s="93"/>
      <c r="IO227" s="93"/>
      <c r="IP227" s="93"/>
      <c r="IQ227" s="93"/>
      <c r="IR227" s="93"/>
      <c r="IS227" s="93"/>
      <c r="IT227" s="93"/>
      <c r="IU227" s="93"/>
      <c r="IV227" s="93"/>
      <c r="IW227" s="93"/>
      <c r="IX227" s="93"/>
      <c r="IY227" s="93"/>
      <c r="IZ227" s="93"/>
    </row>
    <row r="228" spans="1:260" s="95" customFormat="1">
      <c r="A228" s="93"/>
      <c r="B228" s="183"/>
      <c r="C228" s="183"/>
      <c r="D228" s="183"/>
      <c r="E228" s="158"/>
      <c r="F228" s="158"/>
      <c r="G228" s="158"/>
      <c r="H228" s="158"/>
      <c r="I228" s="158"/>
      <c r="J228" s="158"/>
      <c r="K228" s="158"/>
      <c r="L228" s="158"/>
      <c r="M228" s="158"/>
      <c r="N228" s="158"/>
      <c r="O228" s="158"/>
      <c r="P228" s="228"/>
      <c r="Q228" s="158"/>
      <c r="R228" s="158"/>
      <c r="S228" s="207"/>
      <c r="T228" s="207"/>
      <c r="U228" s="207"/>
      <c r="V228" s="207"/>
      <c r="W228" s="207"/>
      <c r="X228" s="207"/>
      <c r="Y228" s="207"/>
      <c r="Z228" s="207"/>
      <c r="AA228" s="207"/>
      <c r="AB228" s="207"/>
      <c r="AC228" s="207"/>
      <c r="AD228" s="207"/>
      <c r="AE228" s="207"/>
      <c r="AF228" s="207"/>
      <c r="AG228" s="207"/>
      <c r="AH228" s="207"/>
      <c r="AI228" s="207"/>
      <c r="AJ228" s="207"/>
      <c r="AK228" s="207"/>
      <c r="AL228" s="207"/>
      <c r="AM228" s="94"/>
      <c r="AN228" s="94"/>
      <c r="AO228" s="94"/>
      <c r="AP228" s="94"/>
      <c r="AQ228" s="94"/>
      <c r="AR228" s="94"/>
      <c r="AS228" s="94"/>
      <c r="AT228" s="94"/>
      <c r="AU228" s="94"/>
      <c r="AV228" s="94"/>
      <c r="AW228" s="94"/>
      <c r="AX228" s="94"/>
      <c r="AY228" s="94"/>
      <c r="AZ228" s="93"/>
      <c r="BA228" s="93"/>
      <c r="BB228" s="93"/>
      <c r="BC228" s="93"/>
      <c r="BD228" s="93"/>
      <c r="BE228" s="93"/>
      <c r="BF228" s="93"/>
      <c r="BG228" s="93"/>
      <c r="BH228" s="93"/>
      <c r="BI228" s="93"/>
      <c r="BJ228" s="93"/>
      <c r="BK228" s="93"/>
      <c r="BL228" s="93"/>
      <c r="BM228" s="93"/>
      <c r="BN228" s="93"/>
      <c r="BO228" s="93"/>
      <c r="BP228" s="93"/>
      <c r="BQ228" s="93"/>
      <c r="BR228" s="93"/>
      <c r="BS228" s="93"/>
      <c r="BT228" s="93"/>
      <c r="BU228" s="93"/>
      <c r="BV228" s="93"/>
      <c r="BW228" s="93"/>
      <c r="BX228" s="93"/>
      <c r="BY228" s="93"/>
      <c r="BZ228" s="93"/>
      <c r="CA228" s="93"/>
      <c r="CB228" s="93"/>
      <c r="CC228" s="93"/>
      <c r="CD228" s="93"/>
      <c r="CE228" s="93"/>
      <c r="CF228" s="93"/>
      <c r="CG228" s="93"/>
      <c r="CH228" s="93"/>
      <c r="CI228" s="93"/>
      <c r="CJ228" s="93"/>
      <c r="CK228" s="93"/>
      <c r="CL228" s="93"/>
      <c r="CM228" s="93"/>
      <c r="CN228" s="93"/>
      <c r="CO228" s="93"/>
      <c r="CP228" s="93"/>
      <c r="CQ228" s="93"/>
      <c r="CR228" s="93"/>
      <c r="CS228" s="93"/>
      <c r="CT228" s="93"/>
      <c r="CU228" s="93"/>
      <c r="CV228" s="93"/>
      <c r="CW228" s="93"/>
      <c r="CX228" s="93"/>
      <c r="CY228" s="93"/>
      <c r="CZ228" s="93"/>
      <c r="DA228" s="93"/>
      <c r="DB228" s="93"/>
      <c r="DC228" s="93"/>
      <c r="DD228" s="93"/>
      <c r="DE228" s="93"/>
      <c r="DF228" s="93"/>
      <c r="DG228" s="93"/>
      <c r="DH228" s="93"/>
      <c r="DI228" s="93"/>
      <c r="DJ228" s="93"/>
      <c r="DK228" s="93"/>
      <c r="DL228" s="93"/>
      <c r="DM228" s="93"/>
      <c r="DN228" s="93"/>
      <c r="DO228" s="93"/>
      <c r="DP228" s="93"/>
      <c r="DQ228" s="93"/>
      <c r="DR228" s="93"/>
      <c r="DS228" s="93"/>
      <c r="DT228" s="93"/>
      <c r="DU228" s="93"/>
      <c r="DV228" s="93"/>
      <c r="DW228" s="93"/>
      <c r="DX228" s="93"/>
      <c r="DY228" s="93"/>
      <c r="DZ228" s="93"/>
      <c r="EA228" s="93"/>
      <c r="EB228" s="93"/>
      <c r="EC228" s="93"/>
      <c r="ED228" s="93"/>
      <c r="EE228" s="93"/>
      <c r="EF228" s="93"/>
      <c r="EG228" s="93"/>
      <c r="EH228" s="93"/>
      <c r="EI228" s="93"/>
      <c r="EJ228" s="93"/>
      <c r="EK228" s="93"/>
      <c r="EL228" s="93"/>
      <c r="EM228" s="93"/>
      <c r="EN228" s="93"/>
      <c r="EO228" s="93"/>
      <c r="EP228" s="93"/>
      <c r="EQ228" s="93"/>
      <c r="ER228" s="93"/>
      <c r="ES228" s="93"/>
      <c r="ET228" s="93"/>
      <c r="EU228" s="93"/>
      <c r="EV228" s="93"/>
      <c r="EW228" s="93"/>
      <c r="EX228" s="93"/>
      <c r="EY228" s="93"/>
      <c r="EZ228" s="93"/>
      <c r="FA228" s="93"/>
      <c r="FB228" s="93"/>
      <c r="FC228" s="93"/>
      <c r="FD228" s="93"/>
      <c r="FE228" s="93"/>
      <c r="FF228" s="93"/>
      <c r="FG228" s="93"/>
      <c r="FH228" s="93"/>
      <c r="FI228" s="93"/>
      <c r="FJ228" s="93"/>
      <c r="FK228" s="93"/>
      <c r="FL228" s="93"/>
      <c r="FM228" s="93"/>
      <c r="FN228" s="93"/>
      <c r="FO228" s="93"/>
      <c r="FP228" s="93"/>
      <c r="FQ228" s="93"/>
      <c r="FR228" s="93"/>
      <c r="FS228" s="93"/>
      <c r="FT228" s="93"/>
      <c r="FU228" s="93"/>
      <c r="FV228" s="93"/>
      <c r="FW228" s="93"/>
      <c r="FX228" s="93"/>
      <c r="FY228" s="93"/>
      <c r="FZ228" s="93"/>
      <c r="GA228" s="93"/>
      <c r="GB228" s="93"/>
      <c r="GC228" s="93"/>
      <c r="GD228" s="93"/>
      <c r="GE228" s="93"/>
      <c r="GF228" s="93"/>
      <c r="GG228" s="93"/>
      <c r="GH228" s="93"/>
      <c r="GI228" s="93"/>
      <c r="GJ228" s="93"/>
      <c r="GK228" s="93"/>
      <c r="GL228" s="93"/>
      <c r="GM228" s="93"/>
      <c r="GN228" s="93"/>
      <c r="GO228" s="93"/>
      <c r="GP228" s="93"/>
      <c r="GQ228" s="93"/>
      <c r="GR228" s="93"/>
      <c r="GS228" s="93"/>
      <c r="GT228" s="93"/>
      <c r="GU228" s="93"/>
      <c r="GV228" s="93"/>
      <c r="GW228" s="93"/>
      <c r="GX228" s="93"/>
      <c r="GY228" s="93"/>
      <c r="GZ228" s="93"/>
      <c r="HA228" s="93"/>
      <c r="HB228" s="93"/>
      <c r="HC228" s="93"/>
      <c r="HD228" s="93"/>
      <c r="HE228" s="93"/>
      <c r="HF228" s="93"/>
      <c r="HG228" s="93"/>
      <c r="HH228" s="93"/>
      <c r="HI228" s="93"/>
      <c r="HJ228" s="93"/>
      <c r="HK228" s="93"/>
      <c r="HL228" s="93"/>
      <c r="HM228" s="93"/>
      <c r="HN228" s="93"/>
      <c r="HO228" s="93"/>
      <c r="HP228" s="93"/>
      <c r="HQ228" s="93"/>
      <c r="HR228" s="93"/>
      <c r="HS228" s="93"/>
      <c r="HT228" s="93"/>
      <c r="HU228" s="93"/>
      <c r="HV228" s="93"/>
      <c r="HW228" s="93"/>
      <c r="HX228" s="93"/>
      <c r="HY228" s="93"/>
      <c r="HZ228" s="93"/>
      <c r="IA228" s="93"/>
      <c r="IB228" s="93"/>
      <c r="IC228" s="93"/>
      <c r="ID228" s="93"/>
      <c r="IE228" s="93"/>
      <c r="IF228" s="93"/>
      <c r="IG228" s="93"/>
      <c r="IH228" s="93"/>
      <c r="II228" s="93"/>
      <c r="IJ228" s="93"/>
      <c r="IK228" s="93"/>
      <c r="IL228" s="93"/>
      <c r="IM228" s="93"/>
      <c r="IN228" s="93"/>
      <c r="IO228" s="93"/>
      <c r="IP228" s="93"/>
      <c r="IQ228" s="93"/>
      <c r="IR228" s="93"/>
      <c r="IS228" s="93"/>
      <c r="IT228" s="93"/>
      <c r="IU228" s="93"/>
      <c r="IV228" s="93"/>
      <c r="IW228" s="93"/>
      <c r="IX228" s="93"/>
      <c r="IY228" s="93"/>
      <c r="IZ228" s="93"/>
    </row>
    <row r="229" spans="1:260" s="95" customFormat="1">
      <c r="A229" s="93"/>
      <c r="B229" s="183"/>
      <c r="C229" s="183"/>
      <c r="D229" s="183"/>
      <c r="E229" s="158"/>
      <c r="F229" s="158"/>
      <c r="G229" s="158"/>
      <c r="H229" s="158"/>
      <c r="I229" s="158"/>
      <c r="J229" s="158"/>
      <c r="K229" s="158"/>
      <c r="L229" s="158"/>
      <c r="M229" s="158"/>
      <c r="N229" s="158"/>
      <c r="O229" s="158"/>
      <c r="P229" s="228"/>
      <c r="Q229" s="158"/>
      <c r="R229" s="158"/>
      <c r="S229" s="207"/>
      <c r="T229" s="207"/>
      <c r="U229" s="207"/>
      <c r="V229" s="207"/>
      <c r="W229" s="207"/>
      <c r="X229" s="207"/>
      <c r="Y229" s="207"/>
      <c r="Z229" s="207"/>
      <c r="AA229" s="207"/>
      <c r="AB229" s="207"/>
      <c r="AC229" s="207"/>
      <c r="AD229" s="207"/>
      <c r="AE229" s="207"/>
      <c r="AF229" s="207"/>
      <c r="AG229" s="207"/>
      <c r="AH229" s="207"/>
      <c r="AI229" s="207"/>
      <c r="AJ229" s="207"/>
      <c r="AK229" s="207"/>
      <c r="AL229" s="207"/>
      <c r="AM229" s="94"/>
      <c r="AN229" s="94"/>
      <c r="AO229" s="94"/>
      <c r="AP229" s="94"/>
      <c r="AQ229" s="94"/>
      <c r="AR229" s="94"/>
      <c r="AS229" s="94"/>
      <c r="AT229" s="94"/>
      <c r="AU229" s="94"/>
      <c r="AV229" s="94"/>
      <c r="AW229" s="94"/>
      <c r="AX229" s="94"/>
      <c r="AY229" s="94"/>
      <c r="AZ229" s="93"/>
      <c r="BA229" s="93"/>
      <c r="BB229" s="93"/>
      <c r="BC229" s="93"/>
      <c r="BD229" s="93"/>
      <c r="BE229" s="93"/>
      <c r="BF229" s="93"/>
      <c r="BG229" s="93"/>
      <c r="BH229" s="93"/>
      <c r="BI229" s="93"/>
      <c r="BJ229" s="93"/>
      <c r="BK229" s="93"/>
      <c r="BL229" s="93"/>
      <c r="BM229" s="93"/>
      <c r="BN229" s="93"/>
      <c r="BO229" s="93"/>
      <c r="BP229" s="93"/>
      <c r="BQ229" s="93"/>
      <c r="BR229" s="93"/>
      <c r="BS229" s="93"/>
      <c r="BT229" s="93"/>
      <c r="BU229" s="93"/>
      <c r="BV229" s="93"/>
      <c r="BW229" s="93"/>
      <c r="BX229" s="93"/>
      <c r="BY229" s="93"/>
      <c r="BZ229" s="93"/>
      <c r="CA229" s="93"/>
      <c r="CB229" s="93"/>
      <c r="CC229" s="93"/>
      <c r="CD229" s="93"/>
      <c r="CE229" s="93"/>
      <c r="CF229" s="93"/>
      <c r="CG229" s="93"/>
      <c r="CH229" s="93"/>
      <c r="CI229" s="93"/>
      <c r="CJ229" s="93"/>
      <c r="CK229" s="93"/>
      <c r="CL229" s="93"/>
      <c r="CM229" s="93"/>
      <c r="CN229" s="93"/>
      <c r="CO229" s="93"/>
      <c r="CP229" s="93"/>
      <c r="CQ229" s="93"/>
      <c r="CR229" s="93"/>
      <c r="CS229" s="93"/>
      <c r="CT229" s="93"/>
      <c r="CU229" s="93"/>
      <c r="CV229" s="93"/>
      <c r="CW229" s="93"/>
      <c r="CX229" s="93"/>
      <c r="CY229" s="93"/>
      <c r="CZ229" s="93"/>
      <c r="DA229" s="93"/>
      <c r="DB229" s="93"/>
      <c r="DC229" s="93"/>
      <c r="DD229" s="93"/>
      <c r="DE229" s="93"/>
      <c r="DF229" s="93"/>
      <c r="DG229" s="93"/>
      <c r="DH229" s="93"/>
      <c r="DI229" s="93"/>
      <c r="DJ229" s="93"/>
      <c r="DK229" s="93"/>
      <c r="DL229" s="93"/>
      <c r="DM229" s="93"/>
      <c r="DN229" s="93"/>
      <c r="DO229" s="93"/>
      <c r="DP229" s="93"/>
      <c r="DQ229" s="93"/>
      <c r="DR229" s="93"/>
      <c r="DS229" s="93"/>
      <c r="DT229" s="93"/>
      <c r="DU229" s="93"/>
      <c r="DV229" s="93"/>
      <c r="DW229" s="93"/>
      <c r="DX229" s="93"/>
      <c r="DY229" s="93"/>
      <c r="DZ229" s="93"/>
      <c r="EA229" s="93"/>
      <c r="EB229" s="93"/>
      <c r="EC229" s="93"/>
      <c r="ED229" s="93"/>
      <c r="EE229" s="93"/>
      <c r="EF229" s="93"/>
      <c r="EG229" s="93"/>
      <c r="EH229" s="93"/>
      <c r="EI229" s="93"/>
      <c r="EJ229" s="93"/>
      <c r="EK229" s="93"/>
      <c r="EL229" s="93"/>
      <c r="EM229" s="93"/>
      <c r="EN229" s="93"/>
      <c r="EO229" s="93"/>
      <c r="EP229" s="93"/>
      <c r="EQ229" s="93"/>
      <c r="ER229" s="93"/>
      <c r="ES229" s="93"/>
      <c r="ET229" s="93"/>
      <c r="EU229" s="93"/>
      <c r="EV229" s="93"/>
      <c r="EW229" s="93"/>
      <c r="EX229" s="93"/>
      <c r="EY229" s="93"/>
      <c r="EZ229" s="93"/>
      <c r="FA229" s="93"/>
      <c r="FB229" s="93"/>
      <c r="FC229" s="93"/>
      <c r="FD229" s="93"/>
      <c r="FE229" s="93"/>
      <c r="FF229" s="93"/>
      <c r="FG229" s="93"/>
      <c r="FH229" s="93"/>
      <c r="FI229" s="93"/>
      <c r="FJ229" s="93"/>
      <c r="FK229" s="93"/>
      <c r="FL229" s="93"/>
      <c r="FM229" s="93"/>
      <c r="FN229" s="93"/>
      <c r="FO229" s="93"/>
      <c r="FP229" s="93"/>
      <c r="FQ229" s="93"/>
      <c r="FR229" s="93"/>
      <c r="FS229" s="93"/>
      <c r="FT229" s="93"/>
      <c r="FU229" s="93"/>
      <c r="FV229" s="93"/>
      <c r="FW229" s="93"/>
      <c r="FX229" s="93"/>
      <c r="FY229" s="93"/>
      <c r="FZ229" s="93"/>
      <c r="GA229" s="93"/>
      <c r="GB229" s="93"/>
      <c r="GC229" s="93"/>
      <c r="GD229" s="93"/>
      <c r="GE229" s="93"/>
      <c r="GF229" s="93"/>
      <c r="GG229" s="93"/>
      <c r="GH229" s="93"/>
      <c r="GI229" s="93"/>
      <c r="GJ229" s="93"/>
      <c r="GK229" s="93"/>
      <c r="GL229" s="93"/>
      <c r="GM229" s="93"/>
      <c r="GN229" s="93"/>
      <c r="GO229" s="93"/>
      <c r="GP229" s="93"/>
      <c r="GQ229" s="93"/>
      <c r="GR229" s="93"/>
      <c r="GS229" s="93"/>
      <c r="GT229" s="93"/>
      <c r="GU229" s="93"/>
      <c r="GV229" s="93"/>
      <c r="GW229" s="93"/>
      <c r="GX229" s="93"/>
      <c r="GY229" s="93"/>
      <c r="GZ229" s="93"/>
      <c r="HA229" s="93"/>
      <c r="HB229" s="93"/>
      <c r="HC229" s="93"/>
      <c r="HD229" s="93"/>
      <c r="HE229" s="93"/>
      <c r="HF229" s="93"/>
      <c r="HG229" s="93"/>
      <c r="HH229" s="93"/>
      <c r="HI229" s="93"/>
      <c r="HJ229" s="93"/>
      <c r="HK229" s="93"/>
      <c r="HL229" s="93"/>
      <c r="HM229" s="93"/>
      <c r="HN229" s="93"/>
      <c r="HO229" s="93"/>
      <c r="HP229" s="93"/>
      <c r="HQ229" s="93"/>
      <c r="HR229" s="93"/>
      <c r="HS229" s="93"/>
      <c r="HT229" s="93"/>
      <c r="HU229" s="93"/>
      <c r="HV229" s="93"/>
      <c r="HW229" s="93"/>
      <c r="HX229" s="93"/>
      <c r="HY229" s="93"/>
      <c r="HZ229" s="93"/>
      <c r="IA229" s="93"/>
      <c r="IB229" s="93"/>
      <c r="IC229" s="93"/>
      <c r="ID229" s="93"/>
      <c r="IE229" s="93"/>
      <c r="IF229" s="93"/>
      <c r="IG229" s="93"/>
      <c r="IH229" s="93"/>
      <c r="II229" s="93"/>
      <c r="IJ229" s="93"/>
      <c r="IK229" s="93"/>
      <c r="IL229" s="93"/>
      <c r="IM229" s="93"/>
      <c r="IN229" s="93"/>
      <c r="IO229" s="93"/>
      <c r="IP229" s="93"/>
      <c r="IQ229" s="93"/>
      <c r="IR229" s="93"/>
      <c r="IS229" s="93"/>
      <c r="IT229" s="93"/>
      <c r="IU229" s="93"/>
      <c r="IV229" s="93"/>
      <c r="IW229" s="93"/>
      <c r="IX229" s="93"/>
      <c r="IY229" s="93"/>
      <c r="IZ229" s="93"/>
    </row>
    <row r="230" spans="1:260" s="95" customFormat="1">
      <c r="A230" s="93"/>
      <c r="B230" s="183"/>
      <c r="C230" s="183"/>
      <c r="D230" s="183"/>
      <c r="E230" s="158"/>
      <c r="F230" s="158"/>
      <c r="G230" s="158"/>
      <c r="H230" s="158"/>
      <c r="I230" s="158"/>
      <c r="J230" s="158"/>
      <c r="K230" s="158"/>
      <c r="L230" s="158"/>
      <c r="M230" s="158"/>
      <c r="N230" s="158"/>
      <c r="O230" s="158"/>
      <c r="P230" s="228"/>
      <c r="Q230" s="158"/>
      <c r="R230" s="158"/>
      <c r="S230" s="207"/>
      <c r="T230" s="207"/>
      <c r="U230" s="207"/>
      <c r="V230" s="207"/>
      <c r="W230" s="207"/>
      <c r="X230" s="207"/>
      <c r="Y230" s="207"/>
      <c r="Z230" s="207"/>
      <c r="AA230" s="207"/>
      <c r="AB230" s="207"/>
      <c r="AC230" s="207"/>
      <c r="AD230" s="207"/>
      <c r="AE230" s="207"/>
      <c r="AF230" s="207"/>
      <c r="AG230" s="207"/>
      <c r="AH230" s="207"/>
      <c r="AI230" s="207"/>
      <c r="AJ230" s="207"/>
      <c r="AK230" s="207"/>
      <c r="AL230" s="207"/>
      <c r="AM230" s="94"/>
      <c r="AN230" s="94"/>
      <c r="AO230" s="94"/>
      <c r="AP230" s="94"/>
      <c r="AQ230" s="94"/>
      <c r="AR230" s="94"/>
      <c r="AS230" s="94"/>
      <c r="AT230" s="94"/>
      <c r="AU230" s="94"/>
      <c r="AV230" s="94"/>
      <c r="AW230" s="94"/>
      <c r="AX230" s="94"/>
      <c r="AY230" s="94"/>
      <c r="AZ230" s="93"/>
      <c r="BA230" s="93"/>
      <c r="BB230" s="93"/>
      <c r="BC230" s="93"/>
      <c r="BD230" s="93"/>
      <c r="BE230" s="93"/>
      <c r="BF230" s="93"/>
      <c r="BG230" s="93"/>
      <c r="BH230" s="93"/>
      <c r="BI230" s="93"/>
      <c r="BJ230" s="93"/>
      <c r="BK230" s="93"/>
      <c r="BL230" s="93"/>
      <c r="BM230" s="93"/>
      <c r="BN230" s="93"/>
      <c r="BO230" s="93"/>
      <c r="BP230" s="93"/>
      <c r="BQ230" s="93"/>
      <c r="BR230" s="93"/>
      <c r="BS230" s="93"/>
      <c r="BT230" s="93"/>
      <c r="BU230" s="93"/>
      <c r="BV230" s="93"/>
      <c r="BW230" s="93"/>
      <c r="BX230" s="93"/>
      <c r="BY230" s="93"/>
      <c r="BZ230" s="93"/>
      <c r="CA230" s="93"/>
      <c r="CB230" s="93"/>
      <c r="CC230" s="93"/>
      <c r="CD230" s="93"/>
      <c r="CE230" s="93"/>
      <c r="CF230" s="93"/>
      <c r="CG230" s="93"/>
      <c r="CH230" s="93"/>
      <c r="CI230" s="93"/>
      <c r="CJ230" s="93"/>
      <c r="CK230" s="93"/>
      <c r="CL230" s="93"/>
      <c r="CM230" s="93"/>
      <c r="CN230" s="93"/>
      <c r="CO230" s="93"/>
      <c r="CP230" s="93"/>
      <c r="CQ230" s="93"/>
      <c r="CR230" s="93"/>
      <c r="CS230" s="93"/>
      <c r="CT230" s="93"/>
      <c r="CU230" s="93"/>
      <c r="CV230" s="93"/>
      <c r="CW230" s="93"/>
      <c r="CX230" s="93"/>
      <c r="CY230" s="93"/>
      <c r="CZ230" s="93"/>
      <c r="DA230" s="93"/>
      <c r="DB230" s="93"/>
      <c r="DC230" s="93"/>
      <c r="DD230" s="93"/>
      <c r="DE230" s="93"/>
      <c r="DF230" s="93"/>
      <c r="DG230" s="93"/>
      <c r="DH230" s="93"/>
      <c r="DI230" s="93"/>
      <c r="DJ230" s="93"/>
      <c r="DK230" s="93"/>
      <c r="DL230" s="93"/>
      <c r="DM230" s="93"/>
      <c r="DN230" s="93"/>
      <c r="DO230" s="93"/>
      <c r="DP230" s="93"/>
      <c r="DQ230" s="93"/>
      <c r="DR230" s="93"/>
      <c r="DS230" s="93"/>
      <c r="DT230" s="93"/>
      <c r="DU230" s="93"/>
      <c r="DV230" s="93"/>
      <c r="DW230" s="93"/>
      <c r="DX230" s="93"/>
      <c r="DY230" s="93"/>
      <c r="DZ230" s="93"/>
      <c r="EA230" s="93"/>
      <c r="EB230" s="93"/>
      <c r="EC230" s="93"/>
      <c r="ED230" s="93"/>
      <c r="EE230" s="93"/>
      <c r="EF230" s="93"/>
      <c r="EG230" s="93"/>
      <c r="EH230" s="93"/>
      <c r="EI230" s="93"/>
      <c r="EJ230" s="93"/>
      <c r="EK230" s="93"/>
      <c r="EL230" s="93"/>
      <c r="EM230" s="93"/>
      <c r="EN230" s="93"/>
      <c r="EO230" s="93"/>
      <c r="EP230" s="93"/>
      <c r="EQ230" s="93"/>
      <c r="ER230" s="93"/>
      <c r="ES230" s="93"/>
      <c r="ET230" s="93"/>
      <c r="EU230" s="93"/>
      <c r="EV230" s="93"/>
      <c r="EW230" s="93"/>
      <c r="EX230" s="93"/>
      <c r="EY230" s="93"/>
      <c r="EZ230" s="93"/>
      <c r="FA230" s="93"/>
      <c r="FB230" s="93"/>
      <c r="FC230" s="93"/>
      <c r="FD230" s="93"/>
      <c r="FE230" s="93"/>
      <c r="FF230" s="93"/>
      <c r="FG230" s="93"/>
      <c r="FH230" s="93"/>
      <c r="FI230" s="93"/>
      <c r="FJ230" s="93"/>
      <c r="FK230" s="93"/>
      <c r="FL230" s="93"/>
      <c r="FM230" s="93"/>
      <c r="FN230" s="93"/>
      <c r="FO230" s="93"/>
      <c r="FP230" s="93"/>
      <c r="FQ230" s="93"/>
      <c r="FR230" s="93"/>
      <c r="FS230" s="93"/>
      <c r="FT230" s="93"/>
      <c r="FU230" s="93"/>
      <c r="FV230" s="93"/>
      <c r="FW230" s="93"/>
      <c r="FX230" s="93"/>
      <c r="FY230" s="93"/>
      <c r="FZ230" s="93"/>
      <c r="GA230" s="93"/>
      <c r="GB230" s="93"/>
      <c r="GC230" s="93"/>
      <c r="GD230" s="93"/>
      <c r="GE230" s="93"/>
      <c r="GF230" s="93"/>
      <c r="GG230" s="93"/>
      <c r="GH230" s="93"/>
      <c r="GI230" s="93"/>
      <c r="GJ230" s="93"/>
      <c r="GK230" s="93"/>
      <c r="GL230" s="93"/>
      <c r="GM230" s="93"/>
      <c r="GN230" s="93"/>
      <c r="GO230" s="93"/>
      <c r="GP230" s="93"/>
      <c r="GQ230" s="93"/>
      <c r="GR230" s="93"/>
      <c r="GS230" s="93"/>
      <c r="GT230" s="93"/>
      <c r="GU230" s="93"/>
      <c r="GV230" s="93"/>
      <c r="GW230" s="93"/>
      <c r="GX230" s="93"/>
      <c r="GY230" s="93"/>
      <c r="GZ230" s="93"/>
      <c r="HA230" s="93"/>
      <c r="HB230" s="93"/>
      <c r="HC230" s="93"/>
      <c r="HD230" s="93"/>
      <c r="HE230" s="93"/>
      <c r="HF230" s="93"/>
      <c r="HG230" s="93"/>
      <c r="HH230" s="93"/>
      <c r="HI230" s="93"/>
      <c r="HJ230" s="93"/>
      <c r="HK230" s="93"/>
      <c r="HL230" s="93"/>
      <c r="HM230" s="93"/>
      <c r="HN230" s="93"/>
      <c r="HO230" s="93"/>
      <c r="HP230" s="93"/>
      <c r="HQ230" s="93"/>
      <c r="HR230" s="93"/>
      <c r="HS230" s="93"/>
      <c r="HT230" s="93"/>
      <c r="HU230" s="93"/>
      <c r="HV230" s="93"/>
      <c r="HW230" s="93"/>
      <c r="HX230" s="93"/>
      <c r="HY230" s="93"/>
      <c r="HZ230" s="93"/>
      <c r="IA230" s="93"/>
      <c r="IB230" s="93"/>
      <c r="IC230" s="93"/>
      <c r="ID230" s="93"/>
      <c r="IE230" s="93"/>
      <c r="IF230" s="93"/>
      <c r="IG230" s="93"/>
      <c r="IH230" s="93"/>
      <c r="II230" s="93"/>
      <c r="IJ230" s="93"/>
      <c r="IK230" s="93"/>
      <c r="IL230" s="93"/>
      <c r="IM230" s="93"/>
      <c r="IN230" s="93"/>
      <c r="IO230" s="93"/>
      <c r="IP230" s="93"/>
      <c r="IQ230" s="93"/>
      <c r="IR230" s="93"/>
      <c r="IS230" s="93"/>
      <c r="IT230" s="93"/>
      <c r="IU230" s="93"/>
      <c r="IV230" s="93"/>
      <c r="IW230" s="93"/>
      <c r="IX230" s="93"/>
      <c r="IY230" s="93"/>
      <c r="IZ230" s="93"/>
    </row>
    <row r="231" spans="1:260" s="95" customFormat="1">
      <c r="A231" s="93"/>
      <c r="B231" s="183"/>
      <c r="C231" s="183"/>
      <c r="D231" s="183"/>
      <c r="E231" s="158"/>
      <c r="F231" s="158"/>
      <c r="G231" s="158"/>
      <c r="H231" s="158"/>
      <c r="I231" s="158"/>
      <c r="J231" s="158"/>
      <c r="K231" s="158"/>
      <c r="L231" s="158"/>
      <c r="M231" s="158"/>
      <c r="N231" s="158"/>
      <c r="O231" s="158"/>
      <c r="P231" s="228"/>
      <c r="Q231" s="158"/>
      <c r="R231" s="158"/>
      <c r="S231" s="207"/>
      <c r="T231" s="207"/>
      <c r="U231" s="207"/>
      <c r="V231" s="207"/>
      <c r="W231" s="207"/>
      <c r="X231" s="207"/>
      <c r="Y231" s="207"/>
      <c r="Z231" s="207"/>
      <c r="AA231" s="207"/>
      <c r="AB231" s="207"/>
      <c r="AC231" s="207"/>
      <c r="AD231" s="207"/>
      <c r="AE231" s="207"/>
      <c r="AF231" s="207"/>
      <c r="AG231" s="207"/>
      <c r="AH231" s="207"/>
      <c r="AI231" s="207"/>
      <c r="AJ231" s="207"/>
      <c r="AK231" s="207"/>
      <c r="AL231" s="207"/>
      <c r="AM231" s="94"/>
      <c r="AN231" s="94"/>
      <c r="AO231" s="94"/>
      <c r="AP231" s="94"/>
      <c r="AQ231" s="94"/>
      <c r="AR231" s="94"/>
      <c r="AS231" s="94"/>
      <c r="AT231" s="94"/>
      <c r="AU231" s="94"/>
      <c r="AV231" s="94"/>
      <c r="AW231" s="94"/>
      <c r="AX231" s="94"/>
      <c r="AY231" s="94"/>
      <c r="AZ231" s="93"/>
      <c r="BA231" s="93"/>
      <c r="BB231" s="93"/>
      <c r="BC231" s="93"/>
      <c r="BD231" s="93"/>
      <c r="BE231" s="93"/>
      <c r="BF231" s="93"/>
      <c r="BG231" s="93"/>
      <c r="BH231" s="93"/>
      <c r="BI231" s="93"/>
      <c r="BJ231" s="93"/>
      <c r="BK231" s="93"/>
      <c r="BL231" s="93"/>
      <c r="BM231" s="93"/>
      <c r="BN231" s="93"/>
      <c r="BO231" s="93"/>
      <c r="BP231" s="93"/>
      <c r="BQ231" s="93"/>
      <c r="BR231" s="93"/>
      <c r="BS231" s="93"/>
      <c r="BT231" s="93"/>
      <c r="BU231" s="93"/>
      <c r="BV231" s="93"/>
      <c r="BW231" s="93"/>
      <c r="BX231" s="93"/>
      <c r="BY231" s="93"/>
      <c r="BZ231" s="93"/>
      <c r="CA231" s="93"/>
      <c r="CB231" s="93"/>
      <c r="CC231" s="93"/>
      <c r="CD231" s="93"/>
      <c r="CE231" s="93"/>
      <c r="CF231" s="93"/>
      <c r="CG231" s="93"/>
      <c r="CH231" s="93"/>
      <c r="CI231" s="93"/>
      <c r="CJ231" s="93"/>
      <c r="CK231" s="93"/>
      <c r="CL231" s="93"/>
      <c r="CM231" s="93"/>
      <c r="CN231" s="93"/>
      <c r="CO231" s="93"/>
      <c r="CP231" s="93"/>
      <c r="CQ231" s="93"/>
      <c r="CR231" s="93"/>
      <c r="CS231" s="93"/>
      <c r="CT231" s="93"/>
      <c r="CU231" s="93"/>
      <c r="CV231" s="93"/>
      <c r="CW231" s="93"/>
      <c r="CX231" s="93"/>
      <c r="CY231" s="93"/>
      <c r="CZ231" s="93"/>
      <c r="DA231" s="93"/>
      <c r="DB231" s="93"/>
      <c r="DC231" s="93"/>
      <c r="DD231" s="93"/>
      <c r="DE231" s="93"/>
      <c r="DF231" s="93"/>
      <c r="DG231" s="93"/>
      <c r="DH231" s="93"/>
      <c r="DI231" s="93"/>
      <c r="DJ231" s="93"/>
      <c r="DK231" s="93"/>
      <c r="DL231" s="93"/>
      <c r="DM231" s="93"/>
      <c r="DN231" s="93"/>
      <c r="DO231" s="93"/>
      <c r="DP231" s="93"/>
      <c r="DQ231" s="93"/>
      <c r="DR231" s="93"/>
      <c r="DS231" s="93"/>
      <c r="DT231" s="93"/>
      <c r="DU231" s="93"/>
      <c r="DV231" s="93"/>
      <c r="DW231" s="93"/>
      <c r="DX231" s="93"/>
      <c r="DY231" s="93"/>
      <c r="DZ231" s="93"/>
      <c r="EA231" s="93"/>
      <c r="EB231" s="93"/>
      <c r="EC231" s="93"/>
      <c r="ED231" s="93"/>
      <c r="EE231" s="93"/>
      <c r="EF231" s="93"/>
      <c r="EG231" s="93"/>
      <c r="EH231" s="93"/>
      <c r="EI231" s="93"/>
      <c r="EJ231" s="93"/>
      <c r="EK231" s="93"/>
      <c r="EL231" s="93"/>
      <c r="EM231" s="93"/>
      <c r="EN231" s="93"/>
      <c r="EO231" s="93"/>
      <c r="EP231" s="93"/>
      <c r="EQ231" s="93"/>
      <c r="ER231" s="93"/>
      <c r="ES231" s="93"/>
      <c r="ET231" s="93"/>
      <c r="EU231" s="93"/>
      <c r="EV231" s="93"/>
      <c r="EW231" s="93"/>
      <c r="EX231" s="93"/>
      <c r="EY231" s="93"/>
      <c r="EZ231" s="93"/>
      <c r="FA231" s="93"/>
      <c r="FB231" s="93"/>
      <c r="FC231" s="93"/>
      <c r="FD231" s="93"/>
      <c r="FE231" s="93"/>
      <c r="FF231" s="93"/>
      <c r="FG231" s="93"/>
      <c r="FH231" s="93"/>
      <c r="FI231" s="93"/>
      <c r="FJ231" s="93"/>
      <c r="FK231" s="93"/>
      <c r="FL231" s="93"/>
      <c r="FM231" s="93"/>
      <c r="FN231" s="93"/>
      <c r="FO231" s="93"/>
      <c r="FP231" s="93"/>
      <c r="FQ231" s="93"/>
      <c r="FR231" s="93"/>
      <c r="FS231" s="93"/>
      <c r="FT231" s="93"/>
      <c r="FU231" s="93"/>
      <c r="FV231" s="93"/>
      <c r="FW231" s="93"/>
      <c r="FX231" s="93"/>
      <c r="FY231" s="93"/>
      <c r="FZ231" s="93"/>
      <c r="GA231" s="93"/>
      <c r="GB231" s="93"/>
      <c r="GC231" s="93"/>
      <c r="GD231" s="93"/>
      <c r="GE231" s="93"/>
      <c r="GF231" s="93"/>
      <c r="GG231" s="93"/>
      <c r="GH231" s="93"/>
      <c r="GI231" s="93"/>
      <c r="GJ231" s="93"/>
      <c r="GK231" s="93"/>
      <c r="GL231" s="93"/>
      <c r="GM231" s="93"/>
      <c r="GN231" s="93"/>
      <c r="GO231" s="93"/>
      <c r="GP231" s="93"/>
      <c r="GQ231" s="93"/>
      <c r="GR231" s="93"/>
      <c r="GS231" s="93"/>
      <c r="GT231" s="93"/>
      <c r="GU231" s="93"/>
      <c r="GV231" s="93"/>
      <c r="GW231" s="93"/>
      <c r="GX231" s="93"/>
      <c r="GY231" s="93"/>
      <c r="GZ231" s="93"/>
      <c r="HA231" s="93"/>
      <c r="HB231" s="93"/>
      <c r="HC231" s="93"/>
      <c r="HD231" s="93"/>
      <c r="HE231" s="93"/>
      <c r="HF231" s="93"/>
      <c r="HG231" s="93"/>
      <c r="HH231" s="93"/>
      <c r="HI231" s="93"/>
      <c r="HJ231" s="93"/>
      <c r="HK231" s="93"/>
      <c r="HL231" s="93"/>
      <c r="HM231" s="93"/>
      <c r="HN231" s="93"/>
      <c r="HO231" s="93"/>
      <c r="HP231" s="93"/>
      <c r="HQ231" s="93"/>
      <c r="HR231" s="93"/>
      <c r="HS231" s="93"/>
      <c r="HT231" s="93"/>
      <c r="HU231" s="93"/>
      <c r="HV231" s="93"/>
      <c r="HW231" s="93"/>
      <c r="HX231" s="93"/>
      <c r="HY231" s="93"/>
      <c r="HZ231" s="93"/>
      <c r="IA231" s="93"/>
      <c r="IB231" s="93"/>
      <c r="IC231" s="93"/>
      <c r="ID231" s="93"/>
      <c r="IE231" s="93"/>
      <c r="IF231" s="93"/>
      <c r="IG231" s="93"/>
      <c r="IH231" s="93"/>
      <c r="II231" s="93"/>
      <c r="IJ231" s="93"/>
      <c r="IK231" s="93"/>
      <c r="IL231" s="93"/>
      <c r="IM231" s="93"/>
      <c r="IN231" s="93"/>
      <c r="IO231" s="93"/>
      <c r="IP231" s="93"/>
      <c r="IQ231" s="93"/>
      <c r="IR231" s="93"/>
      <c r="IS231" s="93"/>
      <c r="IT231" s="93"/>
      <c r="IU231" s="93"/>
      <c r="IV231" s="93"/>
      <c r="IW231" s="93"/>
      <c r="IX231" s="93"/>
      <c r="IY231" s="93"/>
      <c r="IZ231" s="93"/>
    </row>
    <row r="232" spans="1:260" s="95" customFormat="1">
      <c r="A232" s="93"/>
      <c r="B232" s="183"/>
      <c r="C232" s="183"/>
      <c r="D232" s="183"/>
      <c r="E232" s="158"/>
      <c r="F232" s="158"/>
      <c r="G232" s="158"/>
      <c r="H232" s="158"/>
      <c r="I232" s="158"/>
      <c r="J232" s="158"/>
      <c r="K232" s="158"/>
      <c r="L232" s="158"/>
      <c r="M232" s="158"/>
      <c r="N232" s="158"/>
      <c r="O232" s="158"/>
      <c r="P232" s="228"/>
      <c r="Q232" s="158"/>
      <c r="R232" s="158"/>
      <c r="S232" s="207"/>
      <c r="T232" s="207"/>
      <c r="U232" s="207"/>
      <c r="V232" s="207"/>
      <c r="W232" s="207"/>
      <c r="X232" s="207"/>
      <c r="Y232" s="207"/>
      <c r="Z232" s="207"/>
      <c r="AA232" s="207"/>
      <c r="AB232" s="207"/>
      <c r="AC232" s="207"/>
      <c r="AD232" s="207"/>
      <c r="AE232" s="207"/>
      <c r="AF232" s="207"/>
      <c r="AG232" s="207"/>
      <c r="AH232" s="207"/>
      <c r="AI232" s="207"/>
      <c r="AJ232" s="207"/>
      <c r="AK232" s="207"/>
      <c r="AL232" s="207"/>
      <c r="AM232" s="94"/>
      <c r="AN232" s="94"/>
      <c r="AO232" s="94"/>
      <c r="AP232" s="94"/>
      <c r="AQ232" s="94"/>
      <c r="AR232" s="94"/>
      <c r="AS232" s="94"/>
      <c r="AT232" s="94"/>
      <c r="AU232" s="94"/>
      <c r="AV232" s="94"/>
      <c r="AW232" s="94"/>
      <c r="AX232" s="94"/>
      <c r="AY232" s="94"/>
      <c r="AZ232" s="93"/>
      <c r="BA232" s="93"/>
      <c r="BB232" s="93"/>
      <c r="BC232" s="93"/>
      <c r="BD232" s="93"/>
      <c r="BE232" s="93"/>
      <c r="BF232" s="93"/>
      <c r="BG232" s="93"/>
      <c r="BH232" s="93"/>
      <c r="BI232" s="93"/>
      <c r="BJ232" s="93"/>
      <c r="BK232" s="93"/>
      <c r="BL232" s="93"/>
      <c r="BM232" s="93"/>
      <c r="BN232" s="93"/>
      <c r="BO232" s="93"/>
      <c r="BP232" s="93"/>
      <c r="BQ232" s="93"/>
      <c r="BR232" s="93"/>
      <c r="BS232" s="93"/>
      <c r="BT232" s="93"/>
      <c r="BU232" s="93"/>
      <c r="BV232" s="93"/>
      <c r="BW232" s="93"/>
      <c r="BX232" s="93"/>
      <c r="BY232" s="93"/>
      <c r="BZ232" s="93"/>
      <c r="CA232" s="93"/>
      <c r="CB232" s="93"/>
      <c r="CC232" s="93"/>
      <c r="CD232" s="93"/>
      <c r="CE232" s="93"/>
      <c r="CF232" s="93"/>
      <c r="CG232" s="93"/>
      <c r="CH232" s="93"/>
      <c r="CI232" s="93"/>
      <c r="CJ232" s="93"/>
      <c r="CK232" s="93"/>
      <c r="CL232" s="93"/>
      <c r="CM232" s="93"/>
      <c r="CN232" s="93"/>
      <c r="CO232" s="93"/>
      <c r="CP232" s="93"/>
      <c r="CQ232" s="93"/>
      <c r="CR232" s="93"/>
      <c r="CS232" s="93"/>
      <c r="CT232" s="93"/>
      <c r="CU232" s="93"/>
      <c r="CV232" s="93"/>
      <c r="CW232" s="93"/>
      <c r="CX232" s="93"/>
      <c r="CY232" s="93"/>
      <c r="CZ232" s="93"/>
      <c r="DA232" s="93"/>
      <c r="DB232" s="93"/>
      <c r="DC232" s="93"/>
      <c r="DD232" s="93"/>
      <c r="DE232" s="93"/>
      <c r="DF232" s="93"/>
      <c r="DG232" s="93"/>
      <c r="DH232" s="93"/>
      <c r="DI232" s="93"/>
      <c r="DJ232" s="93"/>
      <c r="DK232" s="93"/>
      <c r="DL232" s="93"/>
      <c r="DM232" s="93"/>
      <c r="DN232" s="93"/>
      <c r="DO232" s="93"/>
      <c r="DP232" s="93"/>
      <c r="DQ232" s="93"/>
      <c r="DR232" s="93"/>
      <c r="DS232" s="93"/>
      <c r="DT232" s="93"/>
      <c r="DU232" s="93"/>
      <c r="DV232" s="93"/>
      <c r="DW232" s="93"/>
      <c r="DX232" s="93"/>
      <c r="DY232" s="93"/>
      <c r="DZ232" s="93"/>
      <c r="EA232" s="93"/>
      <c r="EB232" s="93"/>
      <c r="EC232" s="93"/>
      <c r="ED232" s="93"/>
      <c r="EE232" s="93"/>
      <c r="EF232" s="93"/>
      <c r="EG232" s="93"/>
      <c r="EH232" s="93"/>
      <c r="EI232" s="93"/>
      <c r="EJ232" s="93"/>
      <c r="EK232" s="93"/>
      <c r="EL232" s="93"/>
      <c r="EM232" s="93"/>
      <c r="EN232" s="93"/>
      <c r="EO232" s="93"/>
      <c r="EP232" s="93"/>
      <c r="EQ232" s="93"/>
      <c r="ER232" s="93"/>
      <c r="ES232" s="93"/>
      <c r="ET232" s="93"/>
      <c r="EU232" s="93"/>
      <c r="EV232" s="93"/>
      <c r="EW232" s="93"/>
      <c r="EX232" s="93"/>
      <c r="EY232" s="93"/>
      <c r="EZ232" s="93"/>
      <c r="FA232" s="93"/>
      <c r="FB232" s="93"/>
      <c r="FC232" s="93"/>
      <c r="FD232" s="93"/>
      <c r="FE232" s="93"/>
      <c r="FF232" s="93"/>
      <c r="FG232" s="93"/>
      <c r="FH232" s="93"/>
      <c r="FI232" s="93"/>
      <c r="FJ232" s="93"/>
      <c r="FK232" s="93"/>
      <c r="FL232" s="93"/>
      <c r="FM232" s="93"/>
      <c r="FN232" s="93"/>
      <c r="FO232" s="93"/>
      <c r="FP232" s="93"/>
      <c r="FQ232" s="93"/>
      <c r="FR232" s="93"/>
      <c r="FS232" s="93"/>
      <c r="FT232" s="93"/>
      <c r="FU232" s="93"/>
      <c r="FV232" s="93"/>
      <c r="FW232" s="93"/>
      <c r="FX232" s="93"/>
      <c r="FY232" s="93"/>
      <c r="FZ232" s="93"/>
      <c r="GA232" s="93"/>
      <c r="GB232" s="93"/>
      <c r="GC232" s="93"/>
      <c r="GD232" s="93"/>
      <c r="GE232" s="93"/>
      <c r="GF232" s="93"/>
      <c r="GG232" s="93"/>
      <c r="GH232" s="93"/>
      <c r="GI232" s="93"/>
      <c r="GJ232" s="93"/>
      <c r="GK232" s="93"/>
      <c r="GL232" s="93"/>
      <c r="GM232" s="93"/>
      <c r="GN232" s="93"/>
      <c r="GO232" s="93"/>
      <c r="GP232" s="93"/>
      <c r="GQ232" s="93"/>
      <c r="GR232" s="93"/>
      <c r="GS232" s="93"/>
      <c r="GT232" s="93"/>
      <c r="GU232" s="93"/>
      <c r="GV232" s="93"/>
      <c r="GW232" s="93"/>
      <c r="GX232" s="93"/>
      <c r="GY232" s="93"/>
      <c r="GZ232" s="93"/>
      <c r="HA232" s="93"/>
      <c r="HB232" s="93"/>
      <c r="HC232" s="93"/>
      <c r="HD232" s="93"/>
      <c r="HE232" s="93"/>
      <c r="HF232" s="93"/>
      <c r="HG232" s="93"/>
      <c r="HH232" s="93"/>
      <c r="HI232" s="93"/>
      <c r="HJ232" s="93"/>
      <c r="HK232" s="93"/>
      <c r="HL232" s="93"/>
      <c r="HM232" s="93"/>
      <c r="HN232" s="93"/>
      <c r="HO232" s="93"/>
      <c r="HP232" s="93"/>
      <c r="HQ232" s="93"/>
      <c r="HR232" s="93"/>
      <c r="HS232" s="93"/>
      <c r="HT232" s="93"/>
      <c r="HU232" s="93"/>
      <c r="HV232" s="93"/>
      <c r="HW232" s="93"/>
      <c r="HX232" s="93"/>
      <c r="HY232" s="93"/>
      <c r="HZ232" s="93"/>
      <c r="IA232" s="93"/>
      <c r="IB232" s="93"/>
      <c r="IC232" s="93"/>
      <c r="ID232" s="93"/>
      <c r="IE232" s="93"/>
      <c r="IF232" s="93"/>
      <c r="IG232" s="93"/>
      <c r="IH232" s="93"/>
      <c r="II232" s="93"/>
      <c r="IJ232" s="93"/>
      <c r="IK232" s="93"/>
      <c r="IL232" s="93"/>
      <c r="IM232" s="93"/>
      <c r="IN232" s="93"/>
      <c r="IO232" s="93"/>
      <c r="IP232" s="93"/>
      <c r="IQ232" s="93"/>
      <c r="IR232" s="93"/>
      <c r="IS232" s="93"/>
      <c r="IT232" s="93"/>
      <c r="IU232" s="93"/>
      <c r="IV232" s="93"/>
      <c r="IW232" s="93"/>
      <c r="IX232" s="93"/>
      <c r="IY232" s="93"/>
      <c r="IZ232" s="93"/>
    </row>
    <row r="233" spans="1:260" s="95" customFormat="1">
      <c r="A233" s="93"/>
      <c r="B233" s="183"/>
      <c r="C233" s="183"/>
      <c r="D233" s="183"/>
      <c r="E233" s="158"/>
      <c r="F233" s="158"/>
      <c r="G233" s="158"/>
      <c r="H233" s="158"/>
      <c r="I233" s="158"/>
      <c r="J233" s="158"/>
      <c r="K233" s="158"/>
      <c r="L233" s="158"/>
      <c r="M233" s="158"/>
      <c r="N233" s="158"/>
      <c r="O233" s="158"/>
      <c r="P233" s="228"/>
      <c r="Q233" s="158"/>
      <c r="R233" s="158"/>
      <c r="S233" s="207"/>
      <c r="T233" s="207"/>
      <c r="U233" s="207"/>
      <c r="V233" s="207"/>
      <c r="W233" s="207"/>
      <c r="X233" s="207"/>
      <c r="Y233" s="207"/>
      <c r="Z233" s="207"/>
      <c r="AA233" s="207"/>
      <c r="AB233" s="207"/>
      <c r="AC233" s="207"/>
      <c r="AD233" s="207"/>
      <c r="AE233" s="207"/>
      <c r="AF233" s="207"/>
      <c r="AG233" s="207"/>
      <c r="AH233" s="207"/>
      <c r="AI233" s="207"/>
      <c r="AJ233" s="207"/>
      <c r="AK233" s="207"/>
      <c r="AL233" s="207"/>
      <c r="AM233" s="94"/>
      <c r="AN233" s="94"/>
      <c r="AO233" s="94"/>
      <c r="AP233" s="94"/>
      <c r="AQ233" s="94"/>
      <c r="AR233" s="94"/>
      <c r="AS233" s="94"/>
      <c r="AT233" s="94"/>
      <c r="AU233" s="94"/>
      <c r="AV233" s="94"/>
      <c r="AW233" s="94"/>
      <c r="AX233" s="94"/>
      <c r="AY233" s="94"/>
      <c r="AZ233" s="93"/>
      <c r="BA233" s="93"/>
      <c r="BB233" s="93"/>
      <c r="BC233" s="93"/>
      <c r="BD233" s="93"/>
      <c r="BE233" s="93"/>
      <c r="BF233" s="93"/>
      <c r="BG233" s="93"/>
      <c r="BH233" s="93"/>
      <c r="BI233" s="93"/>
      <c r="BJ233" s="93"/>
      <c r="BK233" s="93"/>
      <c r="BL233" s="93"/>
      <c r="BM233" s="93"/>
      <c r="BN233" s="93"/>
      <c r="BO233" s="93"/>
      <c r="BP233" s="93"/>
      <c r="BQ233" s="93"/>
      <c r="BR233" s="93"/>
      <c r="BS233" s="93"/>
      <c r="BT233" s="93"/>
      <c r="BU233" s="93"/>
      <c r="BV233" s="93"/>
      <c r="BW233" s="93"/>
      <c r="BX233" s="93"/>
      <c r="BY233" s="93"/>
      <c r="BZ233" s="93"/>
      <c r="CA233" s="93"/>
      <c r="CB233" s="93"/>
      <c r="CC233" s="93"/>
      <c r="CD233" s="93"/>
      <c r="CE233" s="93"/>
      <c r="CF233" s="93"/>
      <c r="CG233" s="93"/>
      <c r="CH233" s="93"/>
      <c r="CI233" s="93"/>
      <c r="CJ233" s="93"/>
      <c r="CK233" s="93"/>
      <c r="CL233" s="93"/>
      <c r="CM233" s="93"/>
      <c r="CN233" s="93"/>
      <c r="CO233" s="93"/>
      <c r="CP233" s="93"/>
      <c r="CQ233" s="93"/>
      <c r="CR233" s="93"/>
      <c r="CS233" s="93"/>
      <c r="CT233" s="93"/>
      <c r="CU233" s="93"/>
      <c r="CV233" s="93"/>
      <c r="CW233" s="93"/>
      <c r="CX233" s="93"/>
      <c r="CY233" s="93"/>
      <c r="CZ233" s="93"/>
      <c r="DA233" s="93"/>
      <c r="DB233" s="93"/>
      <c r="DC233" s="93"/>
      <c r="DD233" s="93"/>
      <c r="DE233" s="93"/>
      <c r="DF233" s="93"/>
      <c r="DG233" s="93"/>
      <c r="DH233" s="93"/>
      <c r="DI233" s="93"/>
      <c r="DJ233" s="93"/>
      <c r="DK233" s="93"/>
      <c r="DL233" s="93"/>
      <c r="DM233" s="93"/>
      <c r="DN233" s="93"/>
      <c r="DO233" s="93"/>
      <c r="DP233" s="93"/>
      <c r="DQ233" s="93"/>
      <c r="DR233" s="93"/>
      <c r="DS233" s="93"/>
      <c r="DT233" s="93"/>
      <c r="DU233" s="93"/>
      <c r="DV233" s="93"/>
      <c r="DW233" s="93"/>
      <c r="DX233" s="93"/>
      <c r="DY233" s="93"/>
      <c r="DZ233" s="93"/>
      <c r="EA233" s="93"/>
      <c r="EB233" s="93"/>
      <c r="EC233" s="93"/>
      <c r="ED233" s="93"/>
      <c r="EE233" s="93"/>
      <c r="EF233" s="93"/>
      <c r="EG233" s="93"/>
      <c r="EH233" s="93"/>
      <c r="EI233" s="93"/>
      <c r="EJ233" s="93"/>
      <c r="EK233" s="93"/>
      <c r="EL233" s="93"/>
      <c r="EM233" s="93"/>
      <c r="EN233" s="93"/>
      <c r="EO233" s="93"/>
      <c r="EP233" s="93"/>
      <c r="EQ233" s="93"/>
      <c r="ER233" s="93"/>
      <c r="ES233" s="93"/>
      <c r="ET233" s="93"/>
      <c r="EU233" s="93"/>
      <c r="EV233" s="93"/>
      <c r="EW233" s="93"/>
      <c r="EX233" s="93"/>
      <c r="EY233" s="93"/>
      <c r="EZ233" s="93"/>
      <c r="FA233" s="93"/>
      <c r="FB233" s="93"/>
      <c r="FC233" s="93"/>
      <c r="FD233" s="93"/>
      <c r="FE233" s="93"/>
      <c r="FF233" s="93"/>
      <c r="FG233" s="93"/>
      <c r="FH233" s="93"/>
      <c r="FI233" s="93"/>
      <c r="FJ233" s="93"/>
      <c r="FK233" s="93"/>
      <c r="FL233" s="93"/>
      <c r="FM233" s="93"/>
      <c r="FN233" s="93"/>
      <c r="FO233" s="93"/>
      <c r="FP233" s="93"/>
      <c r="FQ233" s="93"/>
      <c r="FR233" s="93"/>
      <c r="FS233" s="93"/>
      <c r="FT233" s="93"/>
      <c r="FU233" s="93"/>
      <c r="FV233" s="93"/>
      <c r="FW233" s="93"/>
      <c r="FX233" s="93"/>
      <c r="FY233" s="93"/>
      <c r="FZ233" s="93"/>
      <c r="GA233" s="93"/>
      <c r="GB233" s="93"/>
      <c r="GC233" s="93"/>
      <c r="GD233" s="93"/>
      <c r="GE233" s="93"/>
      <c r="GF233" s="93"/>
      <c r="GG233" s="93"/>
      <c r="GH233" s="93"/>
      <c r="GI233" s="93"/>
      <c r="GJ233" s="93"/>
      <c r="GK233" s="93"/>
      <c r="GL233" s="93"/>
      <c r="GM233" s="93"/>
      <c r="GN233" s="93"/>
      <c r="GO233" s="93"/>
      <c r="GP233" s="93"/>
      <c r="GQ233" s="93"/>
      <c r="GR233" s="93"/>
      <c r="GS233" s="93"/>
      <c r="GT233" s="93"/>
      <c r="GU233" s="93"/>
      <c r="GV233" s="93"/>
      <c r="GW233" s="93"/>
      <c r="GX233" s="93"/>
      <c r="GY233" s="93"/>
      <c r="GZ233" s="93"/>
      <c r="HA233" s="93"/>
      <c r="HB233" s="93"/>
      <c r="HC233" s="93"/>
      <c r="HD233" s="93"/>
      <c r="HE233" s="93"/>
      <c r="HF233" s="93"/>
      <c r="HG233" s="93"/>
      <c r="HH233" s="93"/>
      <c r="HI233" s="93"/>
      <c r="HJ233" s="93"/>
      <c r="HK233" s="93"/>
      <c r="HL233" s="93"/>
      <c r="HM233" s="93"/>
      <c r="HN233" s="93"/>
      <c r="HO233" s="93"/>
      <c r="HP233" s="93"/>
      <c r="HQ233" s="93"/>
      <c r="HR233" s="93"/>
      <c r="HS233" s="93"/>
      <c r="HT233" s="93"/>
      <c r="HU233" s="93"/>
      <c r="HV233" s="93"/>
      <c r="HW233" s="93"/>
      <c r="HX233" s="93"/>
      <c r="HY233" s="93"/>
      <c r="HZ233" s="93"/>
      <c r="IA233" s="93"/>
      <c r="IB233" s="93"/>
      <c r="IC233" s="93"/>
      <c r="ID233" s="93"/>
      <c r="IE233" s="93"/>
      <c r="IF233" s="93"/>
      <c r="IG233" s="93"/>
      <c r="IH233" s="93"/>
      <c r="II233" s="93"/>
      <c r="IJ233" s="93"/>
      <c r="IK233" s="93"/>
      <c r="IL233" s="93"/>
      <c r="IM233" s="93"/>
      <c r="IN233" s="93"/>
      <c r="IO233" s="93"/>
      <c r="IP233" s="93"/>
      <c r="IQ233" s="93"/>
      <c r="IR233" s="93"/>
      <c r="IS233" s="93"/>
      <c r="IT233" s="93"/>
      <c r="IU233" s="93"/>
      <c r="IV233" s="93"/>
      <c r="IW233" s="93"/>
      <c r="IX233" s="93"/>
      <c r="IY233" s="93"/>
      <c r="IZ233" s="93"/>
    </row>
    <row r="234" spans="1:260" s="95" customFormat="1">
      <c r="A234" s="93"/>
      <c r="B234" s="183"/>
      <c r="C234" s="183"/>
      <c r="D234" s="183"/>
      <c r="E234" s="158"/>
      <c r="F234" s="158"/>
      <c r="G234" s="158"/>
      <c r="H234" s="158"/>
      <c r="I234" s="158"/>
      <c r="J234" s="158"/>
      <c r="K234" s="158"/>
      <c r="L234" s="158"/>
      <c r="M234" s="158"/>
      <c r="N234" s="158"/>
      <c r="O234" s="158"/>
      <c r="P234" s="228"/>
      <c r="Q234" s="158"/>
      <c r="R234" s="158"/>
      <c r="S234" s="207"/>
      <c r="T234" s="207"/>
      <c r="U234" s="207"/>
      <c r="V234" s="207"/>
      <c r="W234" s="207"/>
      <c r="X234" s="207"/>
      <c r="Y234" s="207"/>
      <c r="Z234" s="207"/>
      <c r="AA234" s="207"/>
      <c r="AB234" s="207"/>
      <c r="AC234" s="207"/>
      <c r="AD234" s="207"/>
      <c r="AE234" s="207"/>
      <c r="AF234" s="207"/>
      <c r="AG234" s="207"/>
      <c r="AH234" s="207"/>
      <c r="AI234" s="207"/>
      <c r="AJ234" s="207"/>
      <c r="AK234" s="207"/>
      <c r="AL234" s="207"/>
      <c r="AM234" s="94"/>
      <c r="AN234" s="94"/>
      <c r="AO234" s="94"/>
      <c r="AP234" s="94"/>
      <c r="AQ234" s="94"/>
      <c r="AR234" s="94"/>
      <c r="AS234" s="94"/>
      <c r="AT234" s="94"/>
      <c r="AU234" s="94"/>
      <c r="AV234" s="94"/>
      <c r="AW234" s="94"/>
      <c r="AX234" s="94"/>
      <c r="AY234" s="94"/>
      <c r="AZ234" s="93"/>
      <c r="BA234" s="93"/>
      <c r="BB234" s="93"/>
      <c r="BC234" s="93"/>
      <c r="BD234" s="93"/>
      <c r="BE234" s="93"/>
      <c r="BF234" s="93"/>
      <c r="BG234" s="93"/>
      <c r="BH234" s="93"/>
      <c r="BI234" s="93"/>
      <c r="BJ234" s="93"/>
      <c r="BK234" s="93"/>
      <c r="BL234" s="93"/>
      <c r="BM234" s="93"/>
      <c r="BN234" s="93"/>
      <c r="BO234" s="93"/>
      <c r="BP234" s="93"/>
      <c r="BQ234" s="93"/>
      <c r="BR234" s="93"/>
      <c r="BS234" s="93"/>
      <c r="BT234" s="93"/>
      <c r="BU234" s="93"/>
      <c r="BV234" s="93"/>
      <c r="BW234" s="93"/>
      <c r="BX234" s="93"/>
      <c r="BY234" s="93"/>
      <c r="BZ234" s="93"/>
      <c r="CA234" s="93"/>
      <c r="CB234" s="93"/>
      <c r="CC234" s="93"/>
      <c r="CD234" s="93"/>
      <c r="CE234" s="93"/>
      <c r="CF234" s="93"/>
      <c r="CG234" s="93"/>
      <c r="CH234" s="93"/>
      <c r="CI234" s="93"/>
      <c r="CJ234" s="93"/>
      <c r="CK234" s="93"/>
      <c r="CL234" s="93"/>
      <c r="CM234" s="93"/>
      <c r="CN234" s="93"/>
      <c r="CO234" s="93"/>
      <c r="CP234" s="93"/>
      <c r="CQ234" s="93"/>
      <c r="CR234" s="93"/>
      <c r="CS234" s="93"/>
      <c r="CT234" s="93"/>
      <c r="CU234" s="93"/>
      <c r="CV234" s="93"/>
      <c r="CW234" s="93"/>
      <c r="CX234" s="93"/>
      <c r="CY234" s="93"/>
      <c r="CZ234" s="93"/>
      <c r="DA234" s="93"/>
      <c r="DB234" s="93"/>
      <c r="DC234" s="93"/>
      <c r="DD234" s="93"/>
      <c r="DE234" s="93"/>
      <c r="DF234" s="93"/>
      <c r="DG234" s="93"/>
      <c r="DH234" s="93"/>
      <c r="DI234" s="93"/>
      <c r="DJ234" s="93"/>
      <c r="DK234" s="93"/>
      <c r="DL234" s="93"/>
      <c r="DM234" s="93"/>
      <c r="DN234" s="93"/>
      <c r="DO234" s="93"/>
      <c r="DP234" s="93"/>
      <c r="DQ234" s="93"/>
      <c r="DR234" s="93"/>
      <c r="DS234" s="93"/>
      <c r="DT234" s="93"/>
      <c r="DU234" s="93"/>
      <c r="DV234" s="93"/>
      <c r="DW234" s="93"/>
      <c r="DX234" s="93"/>
      <c r="DY234" s="93"/>
      <c r="DZ234" s="93"/>
      <c r="EA234" s="93"/>
      <c r="EB234" s="93"/>
      <c r="EC234" s="93"/>
      <c r="ED234" s="93"/>
      <c r="EE234" s="93"/>
      <c r="EF234" s="93"/>
      <c r="EG234" s="93"/>
      <c r="EH234" s="93"/>
      <c r="EI234" s="93"/>
      <c r="EJ234" s="93"/>
      <c r="EK234" s="93"/>
      <c r="EL234" s="93"/>
      <c r="EM234" s="93"/>
      <c r="EN234" s="93"/>
      <c r="EO234" s="93"/>
      <c r="EP234" s="93"/>
      <c r="EQ234" s="93"/>
      <c r="ER234" s="93"/>
      <c r="ES234" s="93"/>
      <c r="ET234" s="93"/>
      <c r="EU234" s="93"/>
      <c r="EV234" s="93"/>
      <c r="EW234" s="93"/>
      <c r="EX234" s="93"/>
      <c r="EY234" s="93"/>
      <c r="EZ234" s="93"/>
      <c r="FA234" s="93"/>
      <c r="FB234" s="93"/>
      <c r="FC234" s="93"/>
      <c r="FD234" s="93"/>
      <c r="FE234" s="93"/>
      <c r="FF234" s="93"/>
      <c r="FG234" s="93"/>
      <c r="FH234" s="93"/>
      <c r="FI234" s="93"/>
      <c r="FJ234" s="93"/>
      <c r="FK234" s="93"/>
      <c r="FL234" s="93"/>
      <c r="FM234" s="93"/>
      <c r="FN234" s="93"/>
      <c r="FO234" s="93"/>
      <c r="FP234" s="93"/>
      <c r="FQ234" s="93"/>
      <c r="FR234" s="93"/>
      <c r="FS234" s="93"/>
      <c r="FT234" s="93"/>
      <c r="FU234" s="93"/>
      <c r="FV234" s="93"/>
      <c r="FW234" s="93"/>
      <c r="FX234" s="93"/>
      <c r="FY234" s="93"/>
      <c r="FZ234" s="93"/>
      <c r="GA234" s="93"/>
      <c r="GB234" s="93"/>
      <c r="GC234" s="93"/>
      <c r="GD234" s="93"/>
      <c r="GE234" s="93"/>
      <c r="GF234" s="93"/>
      <c r="GG234" s="93"/>
      <c r="GH234" s="93"/>
      <c r="GI234" s="93"/>
      <c r="GJ234" s="93"/>
      <c r="GK234" s="93"/>
      <c r="GL234" s="93"/>
      <c r="GM234" s="93"/>
      <c r="GN234" s="93"/>
      <c r="GO234" s="93"/>
      <c r="GP234" s="93"/>
      <c r="GQ234" s="93"/>
      <c r="GR234" s="93"/>
      <c r="GS234" s="93"/>
      <c r="GT234" s="93"/>
      <c r="GU234" s="93"/>
      <c r="GV234" s="93"/>
      <c r="GW234" s="93"/>
      <c r="GX234" s="93"/>
      <c r="GY234" s="93"/>
      <c r="GZ234" s="93"/>
      <c r="HA234" s="93"/>
      <c r="HB234" s="93"/>
      <c r="HC234" s="93"/>
      <c r="HD234" s="93"/>
      <c r="HE234" s="93"/>
      <c r="HF234" s="93"/>
      <c r="HG234" s="93"/>
      <c r="HH234" s="93"/>
      <c r="HI234" s="93"/>
      <c r="HJ234" s="93"/>
      <c r="HK234" s="93"/>
      <c r="HL234" s="93"/>
      <c r="HM234" s="93"/>
      <c r="HN234" s="93"/>
      <c r="HO234" s="93"/>
      <c r="HP234" s="93"/>
      <c r="HQ234" s="93"/>
      <c r="HR234" s="93"/>
      <c r="HS234" s="93"/>
      <c r="HT234" s="93"/>
      <c r="HU234" s="93"/>
      <c r="HV234" s="93"/>
      <c r="HW234" s="93"/>
      <c r="HX234" s="93"/>
      <c r="HY234" s="93"/>
      <c r="HZ234" s="93"/>
      <c r="IA234" s="93"/>
      <c r="IB234" s="93"/>
      <c r="IC234" s="93"/>
      <c r="ID234" s="93"/>
      <c r="IE234" s="93"/>
      <c r="IF234" s="93"/>
      <c r="IG234" s="93"/>
      <c r="IH234" s="93"/>
      <c r="II234" s="93"/>
      <c r="IJ234" s="93"/>
      <c r="IK234" s="93"/>
      <c r="IL234" s="93"/>
      <c r="IM234" s="93"/>
      <c r="IN234" s="93"/>
      <c r="IO234" s="93"/>
      <c r="IP234" s="93"/>
      <c r="IQ234" s="93"/>
      <c r="IR234" s="93"/>
      <c r="IS234" s="93"/>
      <c r="IT234" s="93"/>
      <c r="IU234" s="93"/>
      <c r="IV234" s="93"/>
      <c r="IW234" s="93"/>
      <c r="IX234" s="93"/>
      <c r="IY234" s="93"/>
      <c r="IZ234" s="93"/>
    </row>
    <row r="235" spans="1:260" s="95" customFormat="1">
      <c r="A235" s="93"/>
      <c r="B235" s="183"/>
      <c r="C235" s="183"/>
      <c r="D235" s="183"/>
      <c r="E235" s="158"/>
      <c r="F235" s="158"/>
      <c r="G235" s="158"/>
      <c r="H235" s="158"/>
      <c r="I235" s="158"/>
      <c r="J235" s="158"/>
      <c r="K235" s="158"/>
      <c r="L235" s="158"/>
      <c r="M235" s="158"/>
      <c r="N235" s="158"/>
      <c r="O235" s="158"/>
      <c r="P235" s="228"/>
      <c r="Q235" s="158"/>
      <c r="R235" s="158"/>
      <c r="S235" s="207"/>
      <c r="T235" s="207"/>
      <c r="U235" s="207"/>
      <c r="V235" s="207"/>
      <c r="W235" s="207"/>
      <c r="X235" s="207"/>
      <c r="Y235" s="207"/>
      <c r="Z235" s="207"/>
      <c r="AA235" s="207"/>
      <c r="AB235" s="207"/>
      <c r="AC235" s="207"/>
      <c r="AD235" s="207"/>
      <c r="AE235" s="207"/>
      <c r="AF235" s="207"/>
      <c r="AG235" s="207"/>
      <c r="AH235" s="207"/>
      <c r="AI235" s="207"/>
      <c r="AJ235" s="207"/>
      <c r="AK235" s="207"/>
      <c r="AL235" s="207"/>
      <c r="AM235" s="94"/>
      <c r="AN235" s="94"/>
      <c r="AO235" s="94"/>
      <c r="AP235" s="94"/>
      <c r="AQ235" s="94"/>
      <c r="AR235" s="94"/>
      <c r="AS235" s="94"/>
      <c r="AT235" s="94"/>
      <c r="AU235" s="94"/>
      <c r="AV235" s="94"/>
      <c r="AW235" s="94"/>
      <c r="AX235" s="94"/>
      <c r="AY235" s="94"/>
      <c r="AZ235" s="93"/>
      <c r="BA235" s="93"/>
      <c r="BB235" s="93"/>
      <c r="BC235" s="93"/>
      <c r="BD235" s="93"/>
      <c r="BE235" s="93"/>
      <c r="BF235" s="93"/>
      <c r="BG235" s="93"/>
      <c r="BH235" s="93"/>
      <c r="BI235" s="93"/>
      <c r="BJ235" s="93"/>
      <c r="BK235" s="93"/>
      <c r="BL235" s="93"/>
      <c r="BM235" s="93"/>
      <c r="BN235" s="93"/>
      <c r="BO235" s="93"/>
      <c r="BP235" s="93"/>
      <c r="BQ235" s="93"/>
      <c r="BR235" s="93"/>
      <c r="BS235" s="93"/>
      <c r="BT235" s="93"/>
      <c r="BU235" s="93"/>
      <c r="BV235" s="93"/>
      <c r="BW235" s="93"/>
      <c r="BX235" s="93"/>
      <c r="BY235" s="93"/>
      <c r="BZ235" s="93"/>
      <c r="CA235" s="93"/>
      <c r="CB235" s="93"/>
      <c r="CC235" s="93"/>
      <c r="CD235" s="93"/>
      <c r="CE235" s="93"/>
      <c r="CF235" s="93"/>
      <c r="CG235" s="93"/>
      <c r="CH235" s="93"/>
      <c r="CI235" s="93"/>
      <c r="CJ235" s="93"/>
      <c r="CK235" s="93"/>
      <c r="CL235" s="93"/>
      <c r="CM235" s="93"/>
      <c r="CN235" s="93"/>
      <c r="CO235" s="93"/>
      <c r="CP235" s="93"/>
      <c r="CQ235" s="93"/>
      <c r="CR235" s="93"/>
      <c r="CS235" s="93"/>
      <c r="CT235" s="93"/>
      <c r="CU235" s="93"/>
      <c r="CV235" s="93"/>
      <c r="CW235" s="93"/>
      <c r="CX235" s="93"/>
      <c r="CY235" s="93"/>
      <c r="CZ235" s="93"/>
      <c r="DA235" s="93"/>
      <c r="DB235" s="93"/>
      <c r="DC235" s="93"/>
      <c r="DD235" s="93"/>
      <c r="DE235" s="93"/>
      <c r="DF235" s="93"/>
      <c r="DG235" s="93"/>
      <c r="DH235" s="93"/>
      <c r="DI235" s="93"/>
      <c r="DJ235" s="93"/>
      <c r="DK235" s="93"/>
      <c r="DL235" s="93"/>
      <c r="DM235" s="93"/>
      <c r="DN235" s="93"/>
      <c r="DO235" s="93"/>
      <c r="DP235" s="93"/>
      <c r="DQ235" s="93"/>
      <c r="DR235" s="93"/>
      <c r="DS235" s="93"/>
      <c r="DT235" s="93"/>
      <c r="DU235" s="93"/>
      <c r="DV235" s="93"/>
      <c r="DW235" s="93"/>
      <c r="DX235" s="93"/>
      <c r="DY235" s="93"/>
      <c r="DZ235" s="93"/>
      <c r="EA235" s="93"/>
      <c r="EB235" s="93"/>
      <c r="EC235" s="93"/>
      <c r="ED235" s="93"/>
      <c r="EE235" s="93"/>
      <c r="EF235" s="93"/>
      <c r="EG235" s="93"/>
      <c r="EH235" s="93"/>
      <c r="EI235" s="93"/>
      <c r="EJ235" s="93"/>
      <c r="EK235" s="93"/>
      <c r="EL235" s="93"/>
      <c r="EM235" s="93"/>
      <c r="EN235" s="93"/>
      <c r="EO235" s="93"/>
      <c r="EP235" s="93"/>
      <c r="EQ235" s="93"/>
      <c r="ER235" s="93"/>
      <c r="ES235" s="93"/>
      <c r="ET235" s="93"/>
      <c r="EU235" s="93"/>
      <c r="EV235" s="93"/>
      <c r="EW235" s="93"/>
      <c r="EX235" s="93"/>
      <c r="EY235" s="93"/>
      <c r="EZ235" s="93"/>
      <c r="FA235" s="93"/>
      <c r="FB235" s="93"/>
      <c r="FC235" s="93"/>
      <c r="FD235" s="93"/>
      <c r="FE235" s="93"/>
      <c r="FF235" s="93"/>
      <c r="FG235" s="93"/>
      <c r="FH235" s="93"/>
      <c r="FI235" s="93"/>
      <c r="FJ235" s="93"/>
      <c r="FK235" s="93"/>
      <c r="FL235" s="93"/>
      <c r="FM235" s="93"/>
      <c r="FN235" s="93"/>
      <c r="FO235" s="93"/>
      <c r="FP235" s="93"/>
      <c r="FQ235" s="93"/>
      <c r="FR235" s="93"/>
      <c r="FS235" s="93"/>
      <c r="FT235" s="93"/>
      <c r="FU235" s="93"/>
      <c r="FV235" s="93"/>
      <c r="FW235" s="93"/>
      <c r="FX235" s="93"/>
      <c r="FY235" s="93"/>
      <c r="FZ235" s="93"/>
      <c r="GA235" s="93"/>
      <c r="GB235" s="93"/>
      <c r="GC235" s="93"/>
      <c r="GD235" s="93"/>
      <c r="GE235" s="93"/>
      <c r="GF235" s="93"/>
      <c r="GG235" s="93"/>
      <c r="GH235" s="93"/>
      <c r="GI235" s="93"/>
      <c r="GJ235" s="93"/>
      <c r="GK235" s="93"/>
      <c r="GL235" s="93"/>
      <c r="GM235" s="93"/>
      <c r="GN235" s="93"/>
      <c r="GO235" s="93"/>
      <c r="GP235" s="93"/>
      <c r="GQ235" s="93"/>
      <c r="GR235" s="93"/>
      <c r="GS235" s="93"/>
      <c r="GT235" s="93"/>
      <c r="GU235" s="93"/>
      <c r="GV235" s="93"/>
      <c r="GW235" s="93"/>
      <c r="GX235" s="93"/>
      <c r="GY235" s="93"/>
      <c r="GZ235" s="93"/>
      <c r="HA235" s="93"/>
      <c r="HB235" s="93"/>
      <c r="HC235" s="93"/>
      <c r="HD235" s="93"/>
      <c r="HE235" s="93"/>
      <c r="HF235" s="93"/>
      <c r="HG235" s="93"/>
      <c r="HH235" s="93"/>
      <c r="HI235" s="93"/>
      <c r="HJ235" s="93"/>
      <c r="HK235" s="93"/>
      <c r="HL235" s="93"/>
      <c r="HM235" s="93"/>
      <c r="HN235" s="93"/>
      <c r="HO235" s="93"/>
      <c r="HP235" s="93"/>
      <c r="HQ235" s="93"/>
      <c r="HR235" s="93"/>
      <c r="HS235" s="93"/>
      <c r="HT235" s="93"/>
      <c r="HU235" s="93"/>
      <c r="HV235" s="93"/>
      <c r="HW235" s="93"/>
      <c r="HX235" s="93"/>
      <c r="HY235" s="93"/>
      <c r="HZ235" s="93"/>
      <c r="IA235" s="93"/>
      <c r="IB235" s="93"/>
      <c r="IC235" s="93"/>
      <c r="ID235" s="93"/>
      <c r="IE235" s="93"/>
      <c r="IF235" s="93"/>
      <c r="IG235" s="93"/>
      <c r="IH235" s="93"/>
      <c r="II235" s="93"/>
      <c r="IJ235" s="93"/>
      <c r="IK235" s="93"/>
      <c r="IL235" s="93"/>
      <c r="IM235" s="93"/>
      <c r="IN235" s="93"/>
      <c r="IO235" s="93"/>
      <c r="IP235" s="93"/>
      <c r="IQ235" s="93"/>
      <c r="IR235" s="93"/>
      <c r="IS235" s="93"/>
      <c r="IT235" s="93"/>
      <c r="IU235" s="93"/>
      <c r="IV235" s="93"/>
      <c r="IW235" s="93"/>
      <c r="IX235" s="93"/>
      <c r="IY235" s="93"/>
      <c r="IZ235" s="93"/>
    </row>
    <row r="236" spans="1:260" s="95" customFormat="1">
      <c r="A236" s="93"/>
      <c r="B236" s="183"/>
      <c r="C236" s="183"/>
      <c r="D236" s="183"/>
      <c r="E236" s="158"/>
      <c r="F236" s="158"/>
      <c r="G236" s="158"/>
      <c r="H236" s="158"/>
      <c r="I236" s="158"/>
      <c r="J236" s="158"/>
      <c r="K236" s="158"/>
      <c r="L236" s="158"/>
      <c r="M236" s="158"/>
      <c r="N236" s="158"/>
      <c r="O236" s="158"/>
      <c r="P236" s="228"/>
      <c r="Q236" s="158"/>
      <c r="R236" s="158"/>
      <c r="S236" s="207"/>
      <c r="T236" s="207"/>
      <c r="U236" s="207"/>
      <c r="V236" s="207"/>
      <c r="W236" s="207"/>
      <c r="X236" s="207"/>
      <c r="Y236" s="207"/>
      <c r="Z236" s="207"/>
      <c r="AA236" s="207"/>
      <c r="AB236" s="207"/>
      <c r="AC236" s="207"/>
      <c r="AD236" s="207"/>
      <c r="AE236" s="207"/>
      <c r="AF236" s="207"/>
      <c r="AG236" s="207"/>
      <c r="AH236" s="207"/>
      <c r="AI236" s="207"/>
      <c r="AJ236" s="207"/>
      <c r="AK236" s="207"/>
      <c r="AL236" s="207"/>
      <c r="AM236" s="94"/>
      <c r="AN236" s="94"/>
      <c r="AO236" s="94"/>
      <c r="AP236" s="94"/>
      <c r="AQ236" s="94"/>
      <c r="AR236" s="94"/>
      <c r="AS236" s="94"/>
      <c r="AT236" s="94"/>
      <c r="AU236" s="94"/>
      <c r="AV236" s="94"/>
      <c r="AW236" s="94"/>
      <c r="AX236" s="94"/>
      <c r="AY236" s="94"/>
      <c r="AZ236" s="93"/>
      <c r="BA236" s="93"/>
      <c r="BB236" s="93"/>
      <c r="BC236" s="93"/>
      <c r="BD236" s="93"/>
      <c r="BE236" s="93"/>
      <c r="BF236" s="93"/>
      <c r="BG236" s="93"/>
      <c r="BH236" s="93"/>
      <c r="BI236" s="93"/>
      <c r="BJ236" s="93"/>
      <c r="BK236" s="93"/>
      <c r="BL236" s="93"/>
      <c r="BM236" s="93"/>
      <c r="BN236" s="93"/>
      <c r="BO236" s="93"/>
      <c r="BP236" s="93"/>
      <c r="BQ236" s="93"/>
      <c r="BR236" s="93"/>
      <c r="BS236" s="93"/>
      <c r="BT236" s="93"/>
      <c r="BU236" s="93"/>
      <c r="BV236" s="93"/>
      <c r="BW236" s="93"/>
      <c r="BX236" s="93"/>
      <c r="BY236" s="93"/>
      <c r="BZ236" s="93"/>
      <c r="CA236" s="93"/>
      <c r="CB236" s="93"/>
      <c r="CC236" s="93"/>
      <c r="CD236" s="93"/>
      <c r="CE236" s="93"/>
      <c r="CF236" s="93"/>
      <c r="CG236" s="93"/>
      <c r="CH236" s="93"/>
      <c r="CI236" s="93"/>
      <c r="CJ236" s="93"/>
      <c r="CK236" s="93"/>
      <c r="CL236" s="93"/>
      <c r="CM236" s="93"/>
      <c r="CN236" s="93"/>
      <c r="CO236" s="93"/>
      <c r="CP236" s="93"/>
      <c r="CQ236" s="93"/>
      <c r="CR236" s="93"/>
      <c r="CS236" s="93"/>
      <c r="CT236" s="93"/>
      <c r="CU236" s="93"/>
      <c r="CV236" s="93"/>
      <c r="CW236" s="93"/>
      <c r="CX236" s="93"/>
      <c r="CY236" s="93"/>
      <c r="CZ236" s="93"/>
      <c r="DA236" s="93"/>
      <c r="DB236" s="93"/>
      <c r="DC236" s="93"/>
      <c r="DD236" s="93"/>
      <c r="DE236" s="93"/>
      <c r="DF236" s="93"/>
      <c r="DG236" s="93"/>
      <c r="DH236" s="93"/>
      <c r="DI236" s="93"/>
      <c r="DJ236" s="93"/>
      <c r="DK236" s="93"/>
      <c r="DL236" s="93"/>
      <c r="DM236" s="93"/>
      <c r="DN236" s="93"/>
      <c r="DO236" s="93"/>
      <c r="DP236" s="93"/>
      <c r="DQ236" s="93"/>
      <c r="DR236" s="93"/>
      <c r="DS236" s="93"/>
      <c r="DT236" s="93"/>
      <c r="DU236" s="93"/>
      <c r="DV236" s="93"/>
      <c r="DW236" s="93"/>
      <c r="DX236" s="93"/>
      <c r="DY236" s="93"/>
      <c r="DZ236" s="93"/>
      <c r="EA236" s="93"/>
      <c r="EB236" s="93"/>
      <c r="EC236" s="93"/>
      <c r="ED236" s="93"/>
      <c r="EE236" s="93"/>
      <c r="EF236" s="93"/>
      <c r="EG236" s="93"/>
      <c r="EH236" s="93"/>
      <c r="EI236" s="93"/>
      <c r="EJ236" s="93"/>
      <c r="EK236" s="93"/>
      <c r="EL236" s="93"/>
      <c r="EM236" s="93"/>
      <c r="EN236" s="93"/>
      <c r="EO236" s="93"/>
      <c r="EP236" s="93"/>
      <c r="EQ236" s="93"/>
      <c r="ER236" s="93"/>
      <c r="ES236" s="93"/>
      <c r="ET236" s="93"/>
      <c r="EU236" s="93"/>
      <c r="EV236" s="93"/>
      <c r="EW236" s="93"/>
      <c r="EX236" s="93"/>
      <c r="EY236" s="93"/>
      <c r="EZ236" s="93"/>
      <c r="FA236" s="93"/>
      <c r="FB236" s="93"/>
      <c r="FC236" s="93"/>
      <c r="FD236" s="93"/>
      <c r="FE236" s="93"/>
      <c r="FF236" s="93"/>
      <c r="FG236" s="93"/>
      <c r="FH236" s="93"/>
      <c r="FI236" s="93"/>
      <c r="FJ236" s="93"/>
      <c r="FK236" s="93"/>
      <c r="FL236" s="93"/>
      <c r="FM236" s="93"/>
      <c r="FN236" s="93"/>
      <c r="FO236" s="93"/>
      <c r="FP236" s="93"/>
      <c r="FQ236" s="93"/>
      <c r="FR236" s="93"/>
      <c r="FS236" s="93"/>
      <c r="FT236" s="93"/>
      <c r="FU236" s="93"/>
      <c r="FV236" s="93"/>
      <c r="FW236" s="93"/>
      <c r="FX236" s="93"/>
      <c r="FY236" s="93"/>
      <c r="FZ236" s="93"/>
      <c r="GA236" s="93"/>
      <c r="GB236" s="93"/>
      <c r="GC236" s="93"/>
      <c r="GD236" s="93"/>
      <c r="GE236" s="93"/>
      <c r="GF236" s="93"/>
      <c r="GG236" s="93"/>
      <c r="GH236" s="93"/>
      <c r="GI236" s="93"/>
      <c r="GJ236" s="93"/>
      <c r="GK236" s="93"/>
      <c r="GL236" s="93"/>
      <c r="GM236" s="93"/>
      <c r="GN236" s="93"/>
      <c r="GO236" s="93"/>
      <c r="GP236" s="93"/>
      <c r="GQ236" s="93"/>
      <c r="GR236" s="93"/>
      <c r="GS236" s="93"/>
      <c r="GT236" s="93"/>
      <c r="GU236" s="93"/>
      <c r="GV236" s="93"/>
      <c r="GW236" s="93"/>
      <c r="GX236" s="93"/>
      <c r="GY236" s="93"/>
      <c r="GZ236" s="93"/>
      <c r="HA236" s="93"/>
      <c r="HB236" s="93"/>
      <c r="HC236" s="93"/>
      <c r="HD236" s="93"/>
      <c r="HE236" s="93"/>
      <c r="HF236" s="93"/>
      <c r="HG236" s="93"/>
      <c r="HH236" s="93"/>
      <c r="HI236" s="93"/>
      <c r="HJ236" s="93"/>
      <c r="HK236" s="93"/>
      <c r="HL236" s="93"/>
      <c r="HM236" s="93"/>
      <c r="HN236" s="93"/>
      <c r="HO236" s="93"/>
      <c r="HP236" s="93"/>
      <c r="HQ236" s="93"/>
      <c r="HR236" s="93"/>
      <c r="HS236" s="93"/>
      <c r="HT236" s="93"/>
      <c r="HU236" s="93"/>
      <c r="HV236" s="93"/>
      <c r="HW236" s="93"/>
      <c r="HX236" s="93"/>
      <c r="HY236" s="93"/>
      <c r="HZ236" s="93"/>
      <c r="IA236" s="93"/>
      <c r="IB236" s="93"/>
      <c r="IC236" s="93"/>
      <c r="ID236" s="93"/>
      <c r="IE236" s="93"/>
      <c r="IF236" s="93"/>
      <c r="IG236" s="93"/>
      <c r="IH236" s="93"/>
      <c r="II236" s="93"/>
      <c r="IJ236" s="93"/>
      <c r="IK236" s="93"/>
      <c r="IL236" s="93"/>
      <c r="IM236" s="93"/>
      <c r="IN236" s="93"/>
      <c r="IO236" s="93"/>
      <c r="IP236" s="93"/>
      <c r="IQ236" s="93"/>
      <c r="IR236" s="93"/>
      <c r="IS236" s="93"/>
      <c r="IT236" s="93"/>
      <c r="IU236" s="93"/>
      <c r="IV236" s="93"/>
      <c r="IW236" s="93"/>
      <c r="IX236" s="93"/>
      <c r="IY236" s="93"/>
      <c r="IZ236" s="93"/>
    </row>
    <row r="237" spans="1:260" s="95" customFormat="1">
      <c r="A237" s="93"/>
      <c r="B237" s="183"/>
      <c r="C237" s="183"/>
      <c r="D237" s="183"/>
      <c r="E237" s="158"/>
      <c r="F237" s="158"/>
      <c r="G237" s="158"/>
      <c r="H237" s="158"/>
      <c r="I237" s="158"/>
      <c r="J237" s="158"/>
      <c r="K237" s="158"/>
      <c r="L237" s="158"/>
      <c r="M237" s="158"/>
      <c r="N237" s="158"/>
      <c r="O237" s="158"/>
      <c r="P237" s="228"/>
      <c r="Q237" s="158"/>
      <c r="R237" s="158"/>
      <c r="S237" s="207"/>
      <c r="T237" s="207"/>
      <c r="U237" s="207"/>
      <c r="V237" s="207"/>
      <c r="W237" s="207"/>
      <c r="X237" s="207"/>
      <c r="Y237" s="207"/>
      <c r="Z237" s="207"/>
      <c r="AA237" s="207"/>
      <c r="AB237" s="207"/>
      <c r="AC237" s="207"/>
      <c r="AD237" s="207"/>
      <c r="AE237" s="207"/>
      <c r="AF237" s="207"/>
      <c r="AG237" s="207"/>
      <c r="AH237" s="207"/>
      <c r="AI237" s="207"/>
      <c r="AJ237" s="207"/>
      <c r="AK237" s="207"/>
      <c r="AL237" s="207"/>
      <c r="AM237" s="94"/>
      <c r="AN237" s="94"/>
      <c r="AO237" s="94"/>
      <c r="AP237" s="94"/>
      <c r="AQ237" s="94"/>
      <c r="AR237" s="94"/>
      <c r="AS237" s="94"/>
      <c r="AT237" s="94"/>
      <c r="AU237" s="94"/>
      <c r="AV237" s="94"/>
      <c r="AW237" s="94"/>
      <c r="AX237" s="94"/>
      <c r="AY237" s="94"/>
      <c r="AZ237" s="93"/>
      <c r="BA237" s="93"/>
      <c r="BB237" s="93"/>
      <c r="BC237" s="93"/>
      <c r="BD237" s="93"/>
      <c r="BE237" s="93"/>
      <c r="BF237" s="93"/>
      <c r="BG237" s="93"/>
      <c r="BH237" s="93"/>
      <c r="BI237" s="93"/>
      <c r="BJ237" s="93"/>
      <c r="BK237" s="93"/>
      <c r="BL237" s="93"/>
      <c r="BM237" s="93"/>
      <c r="BN237" s="93"/>
      <c r="BO237" s="93"/>
      <c r="BP237" s="93"/>
      <c r="BQ237" s="93"/>
      <c r="BR237" s="93"/>
      <c r="BS237" s="93"/>
      <c r="BT237" s="93"/>
      <c r="BU237" s="93"/>
      <c r="BV237" s="93"/>
      <c r="BW237" s="93"/>
      <c r="BX237" s="93"/>
      <c r="BY237" s="93"/>
      <c r="BZ237" s="93"/>
      <c r="CA237" s="93"/>
      <c r="CB237" s="93"/>
      <c r="CC237" s="93"/>
      <c r="CD237" s="93"/>
      <c r="CE237" s="93"/>
      <c r="CF237" s="93"/>
      <c r="CG237" s="93"/>
      <c r="CH237" s="93"/>
      <c r="CI237" s="93"/>
      <c r="CJ237" s="93"/>
      <c r="CK237" s="93"/>
      <c r="CL237" s="93"/>
      <c r="CM237" s="93"/>
      <c r="CN237" s="93"/>
      <c r="CO237" s="93"/>
      <c r="CP237" s="93"/>
      <c r="CQ237" s="93"/>
      <c r="CR237" s="93"/>
      <c r="CS237" s="93"/>
      <c r="CT237" s="93"/>
      <c r="CU237" s="93"/>
      <c r="CV237" s="93"/>
      <c r="CW237" s="93"/>
      <c r="CX237" s="93"/>
      <c r="CY237" s="93"/>
      <c r="CZ237" s="93"/>
      <c r="DA237" s="93"/>
      <c r="DB237" s="93"/>
      <c r="DC237" s="93"/>
      <c r="DD237" s="93"/>
      <c r="DE237" s="93"/>
      <c r="DF237" s="93"/>
      <c r="DG237" s="93"/>
      <c r="DH237" s="93"/>
      <c r="DI237" s="93"/>
      <c r="DJ237" s="93"/>
      <c r="DK237" s="93"/>
      <c r="DL237" s="93"/>
      <c r="DM237" s="93"/>
      <c r="DN237" s="93"/>
      <c r="DO237" s="93"/>
      <c r="DP237" s="93"/>
      <c r="DQ237" s="93"/>
      <c r="DR237" s="93"/>
      <c r="DS237" s="93"/>
      <c r="DT237" s="93"/>
      <c r="DU237" s="93"/>
      <c r="DV237" s="93"/>
      <c r="DW237" s="93"/>
      <c r="DX237" s="93"/>
      <c r="DY237" s="93"/>
      <c r="DZ237" s="93"/>
      <c r="EA237" s="93"/>
      <c r="EB237" s="93"/>
      <c r="EC237" s="93"/>
      <c r="ED237" s="93"/>
      <c r="EE237" s="93"/>
      <c r="EF237" s="93"/>
      <c r="EG237" s="93"/>
      <c r="EH237" s="93"/>
      <c r="EI237" s="93"/>
      <c r="EJ237" s="93"/>
      <c r="EK237" s="93"/>
      <c r="EL237" s="93"/>
      <c r="EM237" s="93"/>
      <c r="EN237" s="93"/>
      <c r="EO237" s="93"/>
      <c r="EP237" s="93"/>
      <c r="EQ237" s="93"/>
      <c r="ER237" s="93"/>
      <c r="ES237" s="93"/>
      <c r="ET237" s="93"/>
      <c r="EU237" s="93"/>
      <c r="EV237" s="93"/>
      <c r="EW237" s="93"/>
      <c r="EX237" s="93"/>
      <c r="EY237" s="93"/>
      <c r="EZ237" s="93"/>
      <c r="FA237" s="93"/>
      <c r="FB237" s="93"/>
      <c r="FC237" s="93"/>
      <c r="FD237" s="93"/>
      <c r="FE237" s="93"/>
      <c r="FF237" s="93"/>
      <c r="FG237" s="93"/>
      <c r="FH237" s="93"/>
      <c r="FI237" s="93"/>
      <c r="FJ237" s="93"/>
      <c r="FK237" s="93"/>
      <c r="FL237" s="93"/>
      <c r="FM237" s="93"/>
      <c r="FN237" s="93"/>
      <c r="FO237" s="93"/>
      <c r="FP237" s="93"/>
      <c r="FQ237" s="93"/>
      <c r="FR237" s="93"/>
      <c r="FS237" s="93"/>
      <c r="FT237" s="93"/>
      <c r="FU237" s="93"/>
      <c r="FV237" s="93"/>
      <c r="FW237" s="93"/>
      <c r="FX237" s="93"/>
      <c r="FY237" s="93"/>
      <c r="FZ237" s="93"/>
      <c r="GA237" s="93"/>
      <c r="GB237" s="93"/>
      <c r="GC237" s="93"/>
      <c r="GD237" s="93"/>
      <c r="GE237" s="93"/>
      <c r="GF237" s="93"/>
      <c r="GG237" s="93"/>
      <c r="GH237" s="93"/>
      <c r="GI237" s="93"/>
      <c r="GJ237" s="93"/>
      <c r="GK237" s="93"/>
      <c r="GL237" s="93"/>
      <c r="GM237" s="93"/>
      <c r="GN237" s="93"/>
      <c r="GO237" s="93"/>
      <c r="GP237" s="93"/>
      <c r="GQ237" s="93"/>
      <c r="GR237" s="93"/>
      <c r="GS237" s="93"/>
      <c r="GT237" s="93"/>
      <c r="GU237" s="93"/>
      <c r="GV237" s="93"/>
      <c r="GW237" s="93"/>
      <c r="GX237" s="93"/>
      <c r="GY237" s="93"/>
      <c r="GZ237" s="93"/>
      <c r="HA237" s="93"/>
      <c r="HB237" s="93"/>
      <c r="HC237" s="93"/>
      <c r="HD237" s="93"/>
      <c r="HE237" s="93"/>
      <c r="HF237" s="93"/>
      <c r="HG237" s="93"/>
      <c r="HH237" s="93"/>
      <c r="HI237" s="93"/>
      <c r="HJ237" s="93"/>
      <c r="HK237" s="93"/>
      <c r="HL237" s="93"/>
      <c r="HM237" s="93"/>
      <c r="HN237" s="93"/>
      <c r="HO237" s="93"/>
      <c r="HP237" s="93"/>
      <c r="HQ237" s="93"/>
      <c r="HR237" s="93"/>
      <c r="HS237" s="93"/>
      <c r="HT237" s="93"/>
      <c r="HU237" s="93"/>
      <c r="HV237" s="93"/>
      <c r="HW237" s="93"/>
      <c r="HX237" s="93"/>
      <c r="HY237" s="93"/>
      <c r="HZ237" s="93"/>
      <c r="IA237" s="93"/>
      <c r="IB237" s="93"/>
      <c r="IC237" s="93"/>
      <c r="ID237" s="93"/>
      <c r="IE237" s="93"/>
      <c r="IF237" s="93"/>
      <c r="IG237" s="93"/>
      <c r="IH237" s="93"/>
      <c r="II237" s="93"/>
      <c r="IJ237" s="93"/>
      <c r="IK237" s="93"/>
      <c r="IL237" s="93"/>
      <c r="IM237" s="93"/>
      <c r="IN237" s="93"/>
      <c r="IO237" s="93"/>
      <c r="IP237" s="93"/>
      <c r="IQ237" s="93"/>
      <c r="IR237" s="93"/>
      <c r="IS237" s="93"/>
      <c r="IT237" s="93"/>
      <c r="IU237" s="93"/>
      <c r="IV237" s="93"/>
      <c r="IW237" s="93"/>
      <c r="IX237" s="93"/>
      <c r="IY237" s="93"/>
      <c r="IZ237" s="93"/>
    </row>
    <row r="238" spans="1:260" s="95" customFormat="1">
      <c r="A238" s="93"/>
      <c r="B238" s="183"/>
      <c r="C238" s="183"/>
      <c r="D238" s="183"/>
      <c r="E238" s="158"/>
      <c r="F238" s="158"/>
      <c r="G238" s="158"/>
      <c r="H238" s="158"/>
      <c r="I238" s="158"/>
      <c r="J238" s="158"/>
      <c r="K238" s="158"/>
      <c r="L238" s="158"/>
      <c r="M238" s="158"/>
      <c r="N238" s="158"/>
      <c r="O238" s="158"/>
      <c r="P238" s="228"/>
      <c r="Q238" s="158"/>
      <c r="R238" s="158"/>
      <c r="S238" s="207"/>
      <c r="T238" s="207"/>
      <c r="U238" s="207"/>
      <c r="V238" s="207"/>
      <c r="W238" s="207"/>
      <c r="X238" s="207"/>
      <c r="Y238" s="207"/>
      <c r="Z238" s="207"/>
      <c r="AA238" s="207"/>
      <c r="AB238" s="207"/>
      <c r="AC238" s="207"/>
      <c r="AD238" s="207"/>
      <c r="AE238" s="207"/>
      <c r="AF238" s="207"/>
      <c r="AG238" s="207"/>
      <c r="AH238" s="207"/>
      <c r="AI238" s="207"/>
      <c r="AJ238" s="207"/>
      <c r="AK238" s="207"/>
      <c r="AL238" s="207"/>
      <c r="AM238" s="94"/>
      <c r="AN238" s="94"/>
      <c r="AO238" s="94"/>
      <c r="AP238" s="94"/>
      <c r="AQ238" s="94"/>
      <c r="AR238" s="94"/>
      <c r="AS238" s="94"/>
      <c r="AT238" s="94"/>
      <c r="AU238" s="94"/>
      <c r="AV238" s="94"/>
      <c r="AW238" s="94"/>
      <c r="AX238" s="94"/>
      <c r="AY238" s="94"/>
      <c r="AZ238" s="93"/>
      <c r="BA238" s="93"/>
      <c r="BB238" s="93"/>
      <c r="BC238" s="93"/>
      <c r="BD238" s="93"/>
      <c r="BE238" s="93"/>
      <c r="BF238" s="93"/>
      <c r="BG238" s="93"/>
      <c r="BH238" s="93"/>
      <c r="BI238" s="93"/>
      <c r="BJ238" s="93"/>
      <c r="BK238" s="93"/>
      <c r="BL238" s="93"/>
      <c r="BM238" s="93"/>
      <c r="BN238" s="93"/>
      <c r="BO238" s="93"/>
      <c r="BP238" s="93"/>
      <c r="BQ238" s="93"/>
      <c r="BR238" s="93"/>
      <c r="BS238" s="93"/>
      <c r="BT238" s="93"/>
      <c r="BU238" s="93"/>
      <c r="BV238" s="93"/>
      <c r="BW238" s="93"/>
      <c r="BX238" s="93"/>
      <c r="BY238" s="93"/>
      <c r="BZ238" s="93"/>
      <c r="CA238" s="93"/>
      <c r="CB238" s="93"/>
      <c r="CC238" s="93"/>
      <c r="CD238" s="93"/>
      <c r="CE238" s="93"/>
      <c r="CF238" s="93"/>
      <c r="CG238" s="93"/>
      <c r="CH238" s="93"/>
      <c r="CI238" s="93"/>
      <c r="CJ238" s="93"/>
      <c r="CK238" s="93"/>
      <c r="CL238" s="93"/>
      <c r="CM238" s="93"/>
      <c r="CN238" s="93"/>
      <c r="CO238" s="93"/>
      <c r="CP238" s="93"/>
      <c r="CQ238" s="93"/>
      <c r="CR238" s="93"/>
      <c r="CS238" s="93"/>
      <c r="CT238" s="93"/>
      <c r="CU238" s="93"/>
      <c r="CV238" s="93"/>
      <c r="CW238" s="93"/>
      <c r="CX238" s="93"/>
      <c r="CY238" s="93"/>
      <c r="CZ238" s="93"/>
      <c r="DA238" s="93"/>
      <c r="DB238" s="93"/>
      <c r="DC238" s="93"/>
      <c r="DD238" s="93"/>
      <c r="DE238" s="93"/>
      <c r="DF238" s="93"/>
      <c r="DG238" s="93"/>
      <c r="DH238" s="93"/>
      <c r="DI238" s="93"/>
      <c r="DJ238" s="93"/>
      <c r="DK238" s="93"/>
      <c r="DL238" s="93"/>
      <c r="DM238" s="93"/>
      <c r="DN238" s="93"/>
      <c r="DO238" s="93"/>
      <c r="DP238" s="93"/>
      <c r="DQ238" s="93"/>
      <c r="DR238" s="93"/>
      <c r="DS238" s="93"/>
      <c r="DT238" s="93"/>
      <c r="DU238" s="93"/>
      <c r="DV238" s="93"/>
      <c r="DW238" s="93"/>
      <c r="DX238" s="93"/>
      <c r="DY238" s="93"/>
      <c r="DZ238" s="93"/>
      <c r="EA238" s="93"/>
      <c r="EB238" s="93"/>
      <c r="EC238" s="93"/>
      <c r="ED238" s="93"/>
      <c r="EE238" s="93"/>
      <c r="EF238" s="93"/>
      <c r="EG238" s="93"/>
      <c r="EH238" s="93"/>
      <c r="EI238" s="93"/>
      <c r="EJ238" s="93"/>
      <c r="EK238" s="93"/>
      <c r="EL238" s="93"/>
      <c r="EM238" s="93"/>
      <c r="EN238" s="93"/>
      <c r="EO238" s="93"/>
      <c r="EP238" s="93"/>
      <c r="EQ238" s="93"/>
      <c r="ER238" s="93"/>
      <c r="ES238" s="93"/>
      <c r="ET238" s="93"/>
      <c r="EU238" s="93"/>
      <c r="EV238" s="93"/>
      <c r="EW238" s="93"/>
      <c r="EX238" s="93"/>
      <c r="EY238" s="93"/>
      <c r="EZ238" s="93"/>
      <c r="FA238" s="93"/>
      <c r="FB238" s="93"/>
      <c r="FC238" s="93"/>
      <c r="FD238" s="93"/>
      <c r="FE238" s="93"/>
      <c r="FF238" s="93"/>
      <c r="FG238" s="93"/>
      <c r="FH238" s="93"/>
      <c r="FI238" s="93"/>
      <c r="FJ238" s="93"/>
      <c r="FK238" s="93"/>
      <c r="FL238" s="93"/>
      <c r="FM238" s="93"/>
      <c r="FN238" s="93"/>
      <c r="FO238" s="93"/>
      <c r="FP238" s="93"/>
      <c r="FQ238" s="93"/>
      <c r="FR238" s="93"/>
      <c r="FS238" s="93"/>
      <c r="FT238" s="93"/>
      <c r="FU238" s="93"/>
      <c r="FV238" s="93"/>
      <c r="FW238" s="93"/>
      <c r="FX238" s="93"/>
      <c r="FY238" s="93"/>
      <c r="FZ238" s="93"/>
      <c r="GA238" s="93"/>
      <c r="GB238" s="93"/>
      <c r="GC238" s="93"/>
      <c r="GD238" s="93"/>
      <c r="GE238" s="93"/>
      <c r="GF238" s="93"/>
      <c r="GG238" s="93"/>
      <c r="GH238" s="93"/>
      <c r="GI238" s="93"/>
      <c r="GJ238" s="93"/>
      <c r="GK238" s="93"/>
      <c r="GL238" s="93"/>
      <c r="GM238" s="93"/>
      <c r="GN238" s="93"/>
      <c r="GO238" s="93"/>
      <c r="GP238" s="93"/>
      <c r="GQ238" s="93"/>
      <c r="GR238" s="93"/>
      <c r="GS238" s="93"/>
      <c r="GT238" s="93"/>
      <c r="GU238" s="93"/>
      <c r="GV238" s="93"/>
      <c r="GW238" s="93"/>
      <c r="GX238" s="93"/>
      <c r="GY238" s="93"/>
      <c r="GZ238" s="93"/>
      <c r="HA238" s="93"/>
      <c r="HB238" s="93"/>
      <c r="HC238" s="93"/>
      <c r="HD238" s="93"/>
      <c r="HE238" s="93"/>
      <c r="HF238" s="93"/>
      <c r="HG238" s="93"/>
      <c r="HH238" s="93"/>
      <c r="HI238" s="93"/>
      <c r="HJ238" s="93"/>
      <c r="HK238" s="93"/>
      <c r="HL238" s="93"/>
      <c r="HM238" s="93"/>
      <c r="HN238" s="93"/>
      <c r="HO238" s="93"/>
      <c r="HP238" s="93"/>
      <c r="HQ238" s="93"/>
      <c r="HR238" s="93"/>
      <c r="HS238" s="93"/>
      <c r="HT238" s="93"/>
      <c r="HU238" s="93"/>
      <c r="HV238" s="93"/>
      <c r="HW238" s="93"/>
      <c r="HX238" s="93"/>
      <c r="HY238" s="93"/>
      <c r="HZ238" s="93"/>
      <c r="IA238" s="93"/>
      <c r="IB238" s="93"/>
      <c r="IC238" s="93"/>
      <c r="ID238" s="93"/>
      <c r="IE238" s="93"/>
      <c r="IF238" s="93"/>
      <c r="IG238" s="93"/>
      <c r="IH238" s="93"/>
      <c r="II238" s="93"/>
      <c r="IJ238" s="93"/>
      <c r="IK238" s="93"/>
      <c r="IL238" s="93"/>
      <c r="IM238" s="93"/>
      <c r="IN238" s="93"/>
      <c r="IO238" s="93"/>
      <c r="IP238" s="93"/>
      <c r="IQ238" s="93"/>
      <c r="IR238" s="93"/>
      <c r="IS238" s="93"/>
      <c r="IT238" s="93"/>
      <c r="IU238" s="93"/>
      <c r="IV238" s="93"/>
      <c r="IW238" s="93"/>
      <c r="IX238" s="93"/>
      <c r="IY238" s="93"/>
      <c r="IZ238" s="93"/>
    </row>
    <row r="239" spans="1:260" s="95" customFormat="1">
      <c r="A239" s="93"/>
      <c r="B239" s="183"/>
      <c r="C239" s="183"/>
      <c r="D239" s="183"/>
      <c r="E239" s="158"/>
      <c r="F239" s="158"/>
      <c r="G239" s="158"/>
      <c r="H239" s="158"/>
      <c r="I239" s="158"/>
      <c r="J239" s="158"/>
      <c r="K239" s="158"/>
      <c r="L239" s="158"/>
      <c r="M239" s="158"/>
      <c r="N239" s="158"/>
      <c r="O239" s="158"/>
      <c r="P239" s="228"/>
      <c r="Q239" s="158"/>
      <c r="R239" s="158"/>
      <c r="S239" s="207"/>
      <c r="T239" s="207"/>
      <c r="U239" s="207"/>
      <c r="V239" s="207"/>
      <c r="W239" s="207"/>
      <c r="X239" s="207"/>
      <c r="Y239" s="207"/>
      <c r="Z239" s="207"/>
      <c r="AA239" s="207"/>
      <c r="AB239" s="207"/>
      <c r="AC239" s="207"/>
      <c r="AD239" s="207"/>
      <c r="AE239" s="207"/>
      <c r="AF239" s="207"/>
      <c r="AG239" s="207"/>
      <c r="AH239" s="207"/>
      <c r="AI239" s="207"/>
      <c r="AJ239" s="207"/>
      <c r="AK239" s="207"/>
      <c r="AL239" s="207"/>
      <c r="AM239" s="94"/>
      <c r="AN239" s="94"/>
      <c r="AO239" s="94"/>
      <c r="AP239" s="94"/>
      <c r="AQ239" s="94"/>
      <c r="AR239" s="94"/>
      <c r="AS239" s="94"/>
      <c r="AT239" s="94"/>
      <c r="AU239" s="94"/>
      <c r="AV239" s="94"/>
      <c r="AW239" s="94"/>
      <c r="AX239" s="94"/>
      <c r="AY239" s="94"/>
      <c r="AZ239" s="93"/>
      <c r="BA239" s="93"/>
      <c r="BB239" s="93"/>
      <c r="BC239" s="93"/>
      <c r="BD239" s="93"/>
      <c r="BE239" s="93"/>
      <c r="BF239" s="93"/>
      <c r="BG239" s="93"/>
      <c r="BH239" s="93"/>
      <c r="BI239" s="93"/>
      <c r="BJ239" s="93"/>
      <c r="BK239" s="93"/>
      <c r="BL239" s="93"/>
      <c r="BM239" s="93"/>
      <c r="BN239" s="93"/>
      <c r="BO239" s="93"/>
      <c r="BP239" s="93"/>
      <c r="BQ239" s="93"/>
      <c r="BR239" s="93"/>
      <c r="BS239" s="93"/>
      <c r="BT239" s="93"/>
      <c r="BU239" s="93"/>
      <c r="BV239" s="93"/>
      <c r="BW239" s="93"/>
      <c r="BX239" s="93"/>
      <c r="BY239" s="93"/>
      <c r="BZ239" s="93"/>
      <c r="CA239" s="93"/>
      <c r="CB239" s="93"/>
      <c r="CC239" s="93"/>
      <c r="CD239" s="93"/>
      <c r="CE239" s="93"/>
      <c r="CF239" s="93"/>
      <c r="CG239" s="93"/>
      <c r="CH239" s="93"/>
      <c r="CI239" s="93"/>
      <c r="CJ239" s="93"/>
      <c r="CK239" s="93"/>
      <c r="CL239" s="93"/>
      <c r="CM239" s="93"/>
      <c r="CN239" s="93"/>
      <c r="CO239" s="93"/>
      <c r="CP239" s="93"/>
      <c r="CQ239" s="93"/>
      <c r="CR239" s="93"/>
      <c r="CS239" s="93"/>
      <c r="CT239" s="93"/>
      <c r="CU239" s="93"/>
      <c r="CV239" s="93"/>
      <c r="CW239" s="93"/>
      <c r="CX239" s="93"/>
      <c r="CY239" s="93"/>
      <c r="CZ239" s="93"/>
      <c r="DA239" s="93"/>
      <c r="DB239" s="93"/>
      <c r="DC239" s="93"/>
      <c r="DD239" s="93"/>
      <c r="DE239" s="93"/>
      <c r="DF239" s="93"/>
      <c r="DG239" s="93"/>
      <c r="DH239" s="93"/>
      <c r="DI239" s="93"/>
      <c r="DJ239" s="93"/>
      <c r="DK239" s="93"/>
      <c r="DL239" s="93"/>
      <c r="DM239" s="93"/>
      <c r="DN239" s="93"/>
      <c r="DO239" s="93"/>
      <c r="DP239" s="93"/>
      <c r="DQ239" s="93"/>
      <c r="DR239" s="93"/>
      <c r="DS239" s="93"/>
      <c r="DT239" s="93"/>
      <c r="DU239" s="93"/>
      <c r="DV239" s="93"/>
      <c r="DW239" s="93"/>
      <c r="DX239" s="93"/>
      <c r="DY239" s="93"/>
      <c r="DZ239" s="93"/>
      <c r="EA239" s="93"/>
      <c r="EB239" s="93"/>
      <c r="EC239" s="93"/>
      <c r="ED239" s="93"/>
      <c r="EE239" s="93"/>
      <c r="EF239" s="93"/>
      <c r="EG239" s="93"/>
      <c r="EH239" s="93"/>
      <c r="EI239" s="93"/>
      <c r="EJ239" s="93"/>
      <c r="EK239" s="93"/>
      <c r="EL239" s="93"/>
      <c r="EM239" s="93"/>
      <c r="EN239" s="93"/>
      <c r="EO239" s="93"/>
      <c r="EP239" s="93"/>
      <c r="EQ239" s="93"/>
      <c r="ER239" s="93"/>
      <c r="ES239" s="93"/>
      <c r="ET239" s="93"/>
      <c r="EU239" s="93"/>
      <c r="EV239" s="93"/>
      <c r="EW239" s="93"/>
      <c r="EX239" s="93"/>
      <c r="EY239" s="93"/>
      <c r="EZ239" s="93"/>
      <c r="FA239" s="93"/>
      <c r="FB239" s="93"/>
      <c r="FC239" s="93"/>
      <c r="FD239" s="93"/>
      <c r="FE239" s="93"/>
      <c r="FF239" s="93"/>
      <c r="FG239" s="93"/>
      <c r="FH239" s="93"/>
      <c r="FI239" s="93"/>
      <c r="FJ239" s="93"/>
      <c r="FK239" s="93"/>
      <c r="FL239" s="93"/>
      <c r="FM239" s="93"/>
      <c r="FN239" s="93"/>
      <c r="FO239" s="93"/>
      <c r="FP239" s="93"/>
      <c r="FQ239" s="93"/>
      <c r="FR239" s="93"/>
      <c r="FS239" s="93"/>
      <c r="FT239" s="93"/>
      <c r="FU239" s="93"/>
      <c r="FV239" s="93"/>
      <c r="FW239" s="93"/>
      <c r="FX239" s="93"/>
      <c r="FY239" s="93"/>
      <c r="FZ239" s="93"/>
      <c r="GA239" s="93"/>
      <c r="GB239" s="93"/>
      <c r="GC239" s="93"/>
      <c r="GD239" s="93"/>
      <c r="GE239" s="93"/>
      <c r="GF239" s="93"/>
      <c r="GG239" s="93"/>
      <c r="GH239" s="93"/>
      <c r="GI239" s="93"/>
      <c r="GJ239" s="93"/>
      <c r="GK239" s="93"/>
      <c r="GL239" s="93"/>
      <c r="GM239" s="93"/>
      <c r="GN239" s="93"/>
      <c r="GO239" s="93"/>
      <c r="GP239" s="93"/>
      <c r="GQ239" s="93"/>
      <c r="GR239" s="93"/>
      <c r="GS239" s="93"/>
      <c r="GT239" s="93"/>
      <c r="GU239" s="93"/>
      <c r="GV239" s="93"/>
      <c r="GW239" s="93"/>
      <c r="GX239" s="93"/>
      <c r="GY239" s="93"/>
      <c r="GZ239" s="93"/>
      <c r="HA239" s="93"/>
      <c r="HB239" s="93"/>
      <c r="HC239" s="93"/>
      <c r="HD239" s="93"/>
      <c r="HE239" s="93"/>
      <c r="HF239" s="93"/>
      <c r="HG239" s="93"/>
      <c r="HH239" s="93"/>
      <c r="HI239" s="93"/>
      <c r="HJ239" s="93"/>
      <c r="HK239" s="93"/>
      <c r="HL239" s="93"/>
      <c r="HM239" s="93"/>
      <c r="HN239" s="93"/>
      <c r="HO239" s="93"/>
      <c r="HP239" s="93"/>
      <c r="HQ239" s="93"/>
      <c r="HR239" s="93"/>
      <c r="HS239" s="93"/>
      <c r="HT239" s="93"/>
      <c r="HU239" s="93"/>
      <c r="HV239" s="93"/>
      <c r="HW239" s="93"/>
      <c r="HX239" s="93"/>
      <c r="HY239" s="93"/>
      <c r="HZ239" s="93"/>
      <c r="IA239" s="93"/>
      <c r="IB239" s="93"/>
      <c r="IC239" s="93"/>
      <c r="ID239" s="93"/>
      <c r="IE239" s="93"/>
      <c r="IF239" s="93"/>
      <c r="IG239" s="93"/>
      <c r="IH239" s="93"/>
      <c r="II239" s="93"/>
      <c r="IJ239" s="93"/>
      <c r="IK239" s="93"/>
      <c r="IL239" s="93"/>
      <c r="IM239" s="93"/>
      <c r="IN239" s="93"/>
      <c r="IO239" s="93"/>
      <c r="IP239" s="93"/>
      <c r="IQ239" s="93"/>
      <c r="IR239" s="93"/>
      <c r="IS239" s="93"/>
      <c r="IT239" s="93"/>
      <c r="IU239" s="93"/>
      <c r="IV239" s="93"/>
      <c r="IW239" s="93"/>
      <c r="IX239" s="93"/>
      <c r="IY239" s="93"/>
      <c r="IZ239" s="93"/>
    </row>
    <row r="240" spans="1:260" s="95" customFormat="1">
      <c r="A240" s="93"/>
      <c r="B240" s="183"/>
      <c r="C240" s="183"/>
      <c r="D240" s="183"/>
      <c r="E240" s="158"/>
      <c r="F240" s="158"/>
      <c r="G240" s="158"/>
      <c r="H240" s="158"/>
      <c r="I240" s="158"/>
      <c r="J240" s="158"/>
      <c r="K240" s="158"/>
      <c r="L240" s="158"/>
      <c r="M240" s="158"/>
      <c r="N240" s="158"/>
      <c r="O240" s="158"/>
      <c r="P240" s="228"/>
      <c r="Q240" s="158"/>
      <c r="R240" s="158"/>
      <c r="S240" s="207"/>
      <c r="T240" s="207"/>
      <c r="U240" s="207"/>
      <c r="V240" s="207"/>
      <c r="W240" s="207"/>
      <c r="X240" s="207"/>
      <c r="Y240" s="207"/>
      <c r="Z240" s="207"/>
      <c r="AA240" s="207"/>
      <c r="AB240" s="207"/>
      <c r="AC240" s="207"/>
      <c r="AD240" s="207"/>
      <c r="AE240" s="207"/>
      <c r="AF240" s="207"/>
      <c r="AG240" s="207"/>
      <c r="AH240" s="207"/>
      <c r="AI240" s="207"/>
      <c r="AJ240" s="207"/>
      <c r="AK240" s="207"/>
      <c r="AL240" s="207"/>
      <c r="AM240" s="94"/>
      <c r="AN240" s="94"/>
      <c r="AO240" s="94"/>
      <c r="AP240" s="94"/>
      <c r="AQ240" s="94"/>
      <c r="AR240" s="94"/>
      <c r="AS240" s="94"/>
      <c r="AT240" s="94"/>
      <c r="AU240" s="94"/>
      <c r="AV240" s="94"/>
      <c r="AW240" s="94"/>
      <c r="AX240" s="94"/>
      <c r="AY240" s="94"/>
      <c r="AZ240" s="93"/>
      <c r="BA240" s="93"/>
      <c r="BB240" s="93"/>
      <c r="BC240" s="93"/>
      <c r="BD240" s="93"/>
      <c r="BE240" s="93"/>
      <c r="BF240" s="93"/>
      <c r="BG240" s="93"/>
      <c r="BH240" s="93"/>
      <c r="BI240" s="93"/>
      <c r="BJ240" s="93"/>
      <c r="BK240" s="93"/>
      <c r="BL240" s="93"/>
      <c r="BM240" s="93"/>
      <c r="BN240" s="93"/>
      <c r="BO240" s="93"/>
      <c r="BP240" s="93"/>
      <c r="BQ240" s="93"/>
      <c r="BR240" s="93"/>
      <c r="BS240" s="93"/>
      <c r="BT240" s="93"/>
      <c r="BU240" s="93"/>
      <c r="BV240" s="93"/>
      <c r="BW240" s="93"/>
      <c r="BX240" s="93"/>
      <c r="BY240" s="93"/>
      <c r="BZ240" s="93"/>
      <c r="CA240" s="93"/>
      <c r="CB240" s="93"/>
      <c r="CC240" s="93"/>
      <c r="CD240" s="93"/>
      <c r="CE240" s="93"/>
      <c r="CF240" s="93"/>
      <c r="CG240" s="93"/>
      <c r="CH240" s="93"/>
      <c r="CI240" s="93"/>
      <c r="CJ240" s="93"/>
      <c r="CK240" s="93"/>
      <c r="CL240" s="93"/>
      <c r="CM240" s="93"/>
      <c r="CN240" s="93"/>
      <c r="CO240" s="93"/>
      <c r="CP240" s="93"/>
      <c r="CQ240" s="93"/>
      <c r="CR240" s="93"/>
      <c r="CS240" s="93"/>
      <c r="CT240" s="93"/>
      <c r="CU240" s="93"/>
      <c r="CV240" s="93"/>
      <c r="CW240" s="93"/>
      <c r="CX240" s="93"/>
      <c r="CY240" s="93"/>
      <c r="CZ240" s="93"/>
      <c r="DA240" s="93"/>
      <c r="DB240" s="93"/>
      <c r="DC240" s="93"/>
      <c r="DD240" s="93"/>
      <c r="DE240" s="93"/>
      <c r="DF240" s="93"/>
      <c r="DG240" s="93"/>
      <c r="DH240" s="93"/>
      <c r="DI240" s="93"/>
      <c r="DJ240" s="93"/>
      <c r="DK240" s="93"/>
      <c r="DL240" s="93"/>
      <c r="DM240" s="93"/>
      <c r="DN240" s="93"/>
      <c r="DO240" s="93"/>
      <c r="DP240" s="93"/>
      <c r="DQ240" s="93"/>
      <c r="DR240" s="93"/>
      <c r="DS240" s="93"/>
      <c r="DT240" s="93"/>
      <c r="DU240" s="93"/>
      <c r="DV240" s="93"/>
      <c r="DW240" s="93"/>
      <c r="DX240" s="93"/>
      <c r="DY240" s="93"/>
      <c r="DZ240" s="93"/>
      <c r="EA240" s="93"/>
      <c r="EB240" s="93"/>
      <c r="EC240" s="93"/>
      <c r="ED240" s="93"/>
      <c r="EE240" s="93"/>
      <c r="EF240" s="93"/>
      <c r="EG240" s="93"/>
      <c r="EH240" s="93"/>
      <c r="EI240" s="93"/>
      <c r="EJ240" s="93"/>
      <c r="EK240" s="93"/>
      <c r="EL240" s="93"/>
      <c r="EM240" s="93"/>
      <c r="EN240" s="93"/>
      <c r="EO240" s="93"/>
      <c r="EP240" s="93"/>
      <c r="EQ240" s="93"/>
      <c r="ER240" s="93"/>
      <c r="ES240" s="93"/>
      <c r="ET240" s="93"/>
      <c r="EU240" s="93"/>
      <c r="EV240" s="93"/>
      <c r="EW240" s="93"/>
      <c r="EX240" s="93"/>
      <c r="EY240" s="93"/>
      <c r="EZ240" s="93"/>
      <c r="FA240" s="93"/>
      <c r="FB240" s="93"/>
      <c r="FC240" s="93"/>
      <c r="FD240" s="93"/>
      <c r="FE240" s="93"/>
      <c r="FF240" s="93"/>
      <c r="FG240" s="93"/>
      <c r="FH240" s="93"/>
      <c r="FI240" s="93"/>
      <c r="FJ240" s="93"/>
      <c r="FK240" s="93"/>
      <c r="FL240" s="93"/>
      <c r="FM240" s="93"/>
      <c r="FN240" s="93"/>
      <c r="FO240" s="93"/>
      <c r="FP240" s="93"/>
      <c r="FQ240" s="93"/>
      <c r="FR240" s="93"/>
      <c r="FS240" s="93"/>
      <c r="FT240" s="93"/>
      <c r="FU240" s="93"/>
      <c r="FV240" s="93"/>
      <c r="FW240" s="93"/>
      <c r="FX240" s="93"/>
      <c r="FY240" s="93"/>
      <c r="FZ240" s="93"/>
      <c r="GA240" s="93"/>
      <c r="GB240" s="93"/>
      <c r="GC240" s="93"/>
      <c r="GD240" s="93"/>
      <c r="GE240" s="93"/>
      <c r="GF240" s="93"/>
      <c r="GG240" s="93"/>
      <c r="GH240" s="93"/>
      <c r="GI240" s="93"/>
      <c r="GJ240" s="93"/>
      <c r="GK240" s="93"/>
      <c r="GL240" s="93"/>
      <c r="GM240" s="93"/>
      <c r="GN240" s="93"/>
      <c r="GO240" s="93"/>
      <c r="GP240" s="93"/>
      <c r="GQ240" s="93"/>
      <c r="GR240" s="93"/>
      <c r="GS240" s="93"/>
      <c r="GT240" s="93"/>
      <c r="GU240" s="93"/>
      <c r="GV240" s="93"/>
      <c r="GW240" s="93"/>
      <c r="GX240" s="93"/>
      <c r="GY240" s="93"/>
      <c r="GZ240" s="93"/>
      <c r="HA240" s="93"/>
      <c r="HB240" s="93"/>
      <c r="HC240" s="93"/>
      <c r="HD240" s="93"/>
      <c r="HE240" s="93"/>
      <c r="HF240" s="93"/>
      <c r="HG240" s="93"/>
      <c r="HH240" s="93"/>
      <c r="HI240" s="93"/>
      <c r="HJ240" s="93"/>
      <c r="HK240" s="93"/>
      <c r="HL240" s="93"/>
      <c r="HM240" s="93"/>
      <c r="HN240" s="93"/>
      <c r="HO240" s="93"/>
      <c r="HP240" s="93"/>
      <c r="HQ240" s="93"/>
      <c r="HR240" s="93"/>
      <c r="HS240" s="93"/>
      <c r="HT240" s="93"/>
      <c r="HU240" s="93"/>
      <c r="HV240" s="93"/>
      <c r="HW240" s="93"/>
      <c r="HX240" s="93"/>
      <c r="HY240" s="93"/>
      <c r="HZ240" s="93"/>
      <c r="IA240" s="93"/>
      <c r="IB240" s="93"/>
      <c r="IC240" s="93"/>
      <c r="ID240" s="93"/>
      <c r="IE240" s="93"/>
      <c r="IF240" s="93"/>
      <c r="IG240" s="93"/>
      <c r="IH240" s="93"/>
      <c r="II240" s="93"/>
      <c r="IJ240" s="93"/>
      <c r="IK240" s="93"/>
      <c r="IL240" s="93"/>
      <c r="IM240" s="93"/>
      <c r="IN240" s="93"/>
      <c r="IO240" s="93"/>
      <c r="IP240" s="93"/>
      <c r="IQ240" s="93"/>
      <c r="IR240" s="93"/>
      <c r="IS240" s="93"/>
      <c r="IT240" s="93"/>
      <c r="IU240" s="93"/>
      <c r="IV240" s="93"/>
      <c r="IW240" s="93"/>
      <c r="IX240" s="93"/>
      <c r="IY240" s="93"/>
      <c r="IZ240" s="93"/>
    </row>
    <row r="241" spans="1:260" s="95" customFormat="1">
      <c r="A241" s="93"/>
      <c r="B241" s="183"/>
      <c r="C241" s="183"/>
      <c r="D241" s="183"/>
      <c r="E241" s="158"/>
      <c r="F241" s="158"/>
      <c r="G241" s="158"/>
      <c r="H241" s="158"/>
      <c r="I241" s="158"/>
      <c r="J241" s="158"/>
      <c r="K241" s="158"/>
      <c r="L241" s="158"/>
      <c r="M241" s="158"/>
      <c r="N241" s="158"/>
      <c r="O241" s="158"/>
      <c r="P241" s="228"/>
      <c r="Q241" s="158"/>
      <c r="R241" s="158"/>
      <c r="S241" s="207"/>
      <c r="T241" s="207"/>
      <c r="U241" s="207"/>
      <c r="V241" s="207"/>
      <c r="W241" s="207"/>
      <c r="X241" s="207"/>
      <c r="Y241" s="207"/>
      <c r="Z241" s="207"/>
      <c r="AA241" s="207"/>
      <c r="AB241" s="207"/>
      <c r="AC241" s="207"/>
      <c r="AD241" s="207"/>
      <c r="AE241" s="207"/>
      <c r="AF241" s="207"/>
      <c r="AG241" s="207"/>
      <c r="AH241" s="207"/>
      <c r="AI241" s="207"/>
      <c r="AJ241" s="207"/>
      <c r="AK241" s="207"/>
      <c r="AL241" s="207"/>
      <c r="AM241" s="94"/>
      <c r="AN241" s="94"/>
      <c r="AO241" s="94"/>
      <c r="AP241" s="94"/>
      <c r="AQ241" s="94"/>
      <c r="AR241" s="94"/>
      <c r="AS241" s="94"/>
      <c r="AT241" s="94"/>
      <c r="AU241" s="94"/>
      <c r="AV241" s="94"/>
      <c r="AW241" s="94"/>
      <c r="AX241" s="94"/>
      <c r="AY241" s="94"/>
      <c r="AZ241" s="93"/>
      <c r="BA241" s="93"/>
      <c r="BB241" s="93"/>
      <c r="BC241" s="93"/>
      <c r="BD241" s="93"/>
      <c r="BE241" s="93"/>
      <c r="BF241" s="93"/>
      <c r="BG241" s="93"/>
      <c r="BH241" s="93"/>
      <c r="BI241" s="93"/>
      <c r="BJ241" s="93"/>
      <c r="BK241" s="93"/>
      <c r="BL241" s="93"/>
      <c r="BM241" s="93"/>
      <c r="BN241" s="93"/>
      <c r="BO241" s="93"/>
      <c r="BP241" s="93"/>
      <c r="BQ241" s="93"/>
      <c r="BR241" s="93"/>
      <c r="BS241" s="93"/>
      <c r="BT241" s="93"/>
      <c r="BU241" s="93"/>
      <c r="BV241" s="93"/>
      <c r="BW241" s="93"/>
      <c r="BX241" s="93"/>
      <c r="BY241" s="93"/>
      <c r="BZ241" s="93"/>
      <c r="CA241" s="93"/>
      <c r="CB241" s="93"/>
      <c r="CC241" s="93"/>
      <c r="CD241" s="93"/>
      <c r="CE241" s="93"/>
      <c r="CF241" s="93"/>
      <c r="CG241" s="93"/>
      <c r="CH241" s="93"/>
      <c r="CI241" s="93"/>
      <c r="CJ241" s="93"/>
      <c r="CK241" s="93"/>
      <c r="CL241" s="93"/>
      <c r="CM241" s="93"/>
      <c r="CN241" s="93"/>
      <c r="CO241" s="93"/>
      <c r="CP241" s="93"/>
      <c r="CQ241" s="93"/>
      <c r="CR241" s="93"/>
      <c r="CS241" s="93"/>
      <c r="CT241" s="93"/>
      <c r="CU241" s="93"/>
      <c r="CV241" s="93"/>
      <c r="CW241" s="93"/>
      <c r="CX241" s="93"/>
      <c r="CY241" s="93"/>
      <c r="CZ241" s="93"/>
      <c r="DA241" s="93"/>
      <c r="DB241" s="93"/>
      <c r="DC241" s="93"/>
      <c r="DD241" s="93"/>
      <c r="DE241" s="93"/>
      <c r="DF241" s="93"/>
      <c r="DG241" s="93"/>
      <c r="DH241" s="93"/>
      <c r="DI241" s="93"/>
      <c r="DJ241" s="93"/>
      <c r="DK241" s="93"/>
      <c r="DL241" s="93"/>
      <c r="DM241" s="93"/>
      <c r="DN241" s="93"/>
      <c r="DO241" s="93"/>
      <c r="DP241" s="93"/>
      <c r="DQ241" s="93"/>
      <c r="DR241" s="93"/>
      <c r="DS241" s="93"/>
      <c r="DT241" s="93"/>
      <c r="DU241" s="93"/>
      <c r="DV241" s="93"/>
      <c r="DW241" s="93"/>
      <c r="DX241" s="93"/>
      <c r="DY241" s="93"/>
      <c r="DZ241" s="93"/>
      <c r="EA241" s="93"/>
      <c r="EB241" s="93"/>
      <c r="EC241" s="93"/>
      <c r="ED241" s="93"/>
      <c r="EE241" s="93"/>
      <c r="EF241" s="93"/>
      <c r="EG241" s="93"/>
      <c r="EH241" s="93"/>
      <c r="EI241" s="93"/>
      <c r="EJ241" s="93"/>
      <c r="EK241" s="93"/>
      <c r="EL241" s="93"/>
      <c r="EM241" s="93"/>
      <c r="EN241" s="93"/>
      <c r="EO241" s="93"/>
      <c r="EP241" s="93"/>
      <c r="EQ241" s="93"/>
      <c r="ER241" s="93"/>
      <c r="ES241" s="93"/>
      <c r="ET241" s="93"/>
      <c r="EU241" s="93"/>
      <c r="EV241" s="93"/>
      <c r="EW241" s="93"/>
      <c r="EX241" s="93"/>
      <c r="EY241" s="93"/>
      <c r="EZ241" s="93"/>
      <c r="FA241" s="93"/>
      <c r="FB241" s="93"/>
      <c r="FC241" s="93"/>
      <c r="FD241" s="93"/>
      <c r="FE241" s="93"/>
      <c r="FF241" s="93"/>
      <c r="FG241" s="93"/>
      <c r="FH241" s="93"/>
      <c r="FI241" s="93"/>
      <c r="FJ241" s="93"/>
      <c r="FK241" s="93"/>
      <c r="FL241" s="93"/>
      <c r="FM241" s="93"/>
      <c r="FN241" s="93"/>
      <c r="FO241" s="93"/>
      <c r="FP241" s="93"/>
      <c r="FQ241" s="93"/>
      <c r="FR241" s="93"/>
      <c r="FS241" s="93"/>
      <c r="FT241" s="93"/>
      <c r="FU241" s="93"/>
      <c r="FV241" s="93"/>
      <c r="FW241" s="93"/>
      <c r="FX241" s="93"/>
      <c r="FY241" s="93"/>
      <c r="FZ241" s="93"/>
      <c r="GA241" s="93"/>
      <c r="GB241" s="93"/>
      <c r="GC241" s="93"/>
      <c r="GD241" s="93"/>
      <c r="GE241" s="93"/>
      <c r="GF241" s="93"/>
      <c r="GG241" s="93"/>
      <c r="GH241" s="93"/>
      <c r="GI241" s="93"/>
      <c r="GJ241" s="93"/>
      <c r="GK241" s="93"/>
      <c r="GL241" s="93"/>
      <c r="GM241" s="93"/>
      <c r="GN241" s="93"/>
      <c r="GO241" s="93"/>
      <c r="GP241" s="93"/>
      <c r="GQ241" s="93"/>
      <c r="GR241" s="93"/>
      <c r="GS241" s="93"/>
      <c r="GT241" s="93"/>
      <c r="GU241" s="93"/>
      <c r="GV241" s="93"/>
      <c r="GW241" s="93"/>
      <c r="GX241" s="93"/>
      <c r="GY241" s="93"/>
      <c r="GZ241" s="93"/>
      <c r="HA241" s="93"/>
      <c r="HB241" s="93"/>
      <c r="HC241" s="93"/>
      <c r="HD241" s="93"/>
      <c r="HE241" s="93"/>
      <c r="HF241" s="93"/>
      <c r="HG241" s="93"/>
      <c r="HH241" s="93"/>
      <c r="HI241" s="93"/>
      <c r="HJ241" s="93"/>
      <c r="HK241" s="93"/>
      <c r="HL241" s="93"/>
      <c r="HM241" s="93"/>
      <c r="HN241" s="93"/>
      <c r="HO241" s="93"/>
      <c r="HP241" s="93"/>
      <c r="HQ241" s="93"/>
      <c r="HR241" s="93"/>
      <c r="HS241" s="93"/>
      <c r="HT241" s="93"/>
      <c r="HU241" s="93"/>
      <c r="HV241" s="93"/>
      <c r="HW241" s="93"/>
      <c r="HX241" s="93"/>
      <c r="HY241" s="93"/>
      <c r="HZ241" s="93"/>
      <c r="IA241" s="93"/>
      <c r="IB241" s="93"/>
      <c r="IC241" s="93"/>
      <c r="ID241" s="93"/>
      <c r="IE241" s="93"/>
      <c r="IF241" s="93"/>
      <c r="IG241" s="93"/>
      <c r="IH241" s="93"/>
      <c r="II241" s="93"/>
      <c r="IJ241" s="93"/>
      <c r="IK241" s="93"/>
      <c r="IL241" s="93"/>
      <c r="IM241" s="93"/>
      <c r="IN241" s="93"/>
      <c r="IO241" s="93"/>
      <c r="IP241" s="93"/>
      <c r="IQ241" s="93"/>
      <c r="IR241" s="93"/>
      <c r="IS241" s="93"/>
      <c r="IT241" s="93"/>
      <c r="IU241" s="93"/>
      <c r="IV241" s="93"/>
      <c r="IW241" s="93"/>
      <c r="IX241" s="93"/>
      <c r="IY241" s="93"/>
      <c r="IZ241" s="93"/>
    </row>
    <row r="242" spans="1:260" s="95" customFormat="1">
      <c r="A242" s="93"/>
      <c r="B242" s="183"/>
      <c r="C242" s="183"/>
      <c r="D242" s="183"/>
      <c r="E242" s="158"/>
      <c r="F242" s="158"/>
      <c r="G242" s="158"/>
      <c r="H242" s="158"/>
      <c r="I242" s="158"/>
      <c r="J242" s="158"/>
      <c r="K242" s="158"/>
      <c r="L242" s="158"/>
      <c r="M242" s="158"/>
      <c r="N242" s="158"/>
      <c r="O242" s="158"/>
      <c r="P242" s="228"/>
      <c r="Q242" s="158"/>
      <c r="R242" s="158"/>
      <c r="S242" s="207"/>
      <c r="T242" s="207"/>
      <c r="U242" s="207"/>
      <c r="V242" s="207"/>
      <c r="W242" s="207"/>
      <c r="X242" s="207"/>
      <c r="Y242" s="207"/>
      <c r="Z242" s="207"/>
      <c r="AA242" s="207"/>
      <c r="AB242" s="207"/>
      <c r="AC242" s="207"/>
      <c r="AD242" s="207"/>
      <c r="AE242" s="207"/>
      <c r="AF242" s="207"/>
      <c r="AG242" s="207"/>
      <c r="AH242" s="207"/>
      <c r="AI242" s="207"/>
      <c r="AJ242" s="207"/>
      <c r="AK242" s="207"/>
      <c r="AL242" s="207"/>
      <c r="AM242" s="94"/>
      <c r="AN242" s="94"/>
      <c r="AO242" s="94"/>
      <c r="AP242" s="94"/>
      <c r="AQ242" s="94"/>
      <c r="AR242" s="94"/>
      <c r="AS242" s="94"/>
      <c r="AT242" s="94"/>
      <c r="AU242" s="94"/>
      <c r="AV242" s="94"/>
      <c r="AW242" s="94"/>
      <c r="AX242" s="94"/>
      <c r="AY242" s="94"/>
      <c r="AZ242" s="93"/>
      <c r="BA242" s="93"/>
      <c r="BB242" s="93"/>
      <c r="BC242" s="93"/>
      <c r="BD242" s="93"/>
      <c r="BE242" s="93"/>
      <c r="BF242" s="93"/>
      <c r="BG242" s="93"/>
      <c r="BH242" s="93"/>
      <c r="BI242" s="93"/>
      <c r="BJ242" s="93"/>
      <c r="BK242" s="93"/>
      <c r="BL242" s="93"/>
      <c r="BM242" s="93"/>
      <c r="BN242" s="93"/>
      <c r="BO242" s="93"/>
      <c r="BP242" s="93"/>
      <c r="BQ242" s="93"/>
      <c r="BR242" s="93"/>
      <c r="BS242" s="93"/>
      <c r="BT242" s="93"/>
      <c r="BU242" s="93"/>
      <c r="BV242" s="93"/>
      <c r="BW242" s="93"/>
      <c r="BX242" s="93"/>
      <c r="BY242" s="93"/>
      <c r="BZ242" s="93"/>
      <c r="CA242" s="93"/>
      <c r="CB242" s="93"/>
      <c r="CC242" s="93"/>
      <c r="CD242" s="93"/>
      <c r="CE242" s="93"/>
      <c r="CF242" s="93"/>
      <c r="CG242" s="93"/>
      <c r="CH242" s="93"/>
      <c r="CI242" s="93"/>
      <c r="CJ242" s="93"/>
      <c r="CK242" s="93"/>
      <c r="CL242" s="93"/>
      <c r="CM242" s="93"/>
      <c r="CN242" s="93"/>
      <c r="CO242" s="93"/>
      <c r="CP242" s="93"/>
      <c r="CQ242" s="93"/>
      <c r="CR242" s="93"/>
      <c r="CS242" s="93"/>
      <c r="CT242" s="93"/>
      <c r="CU242" s="93"/>
      <c r="CV242" s="93"/>
      <c r="CW242" s="93"/>
      <c r="CX242" s="93"/>
      <c r="CY242" s="93"/>
      <c r="CZ242" s="93"/>
      <c r="DA242" s="93"/>
      <c r="DB242" s="93"/>
      <c r="DC242" s="93"/>
      <c r="DD242" s="93"/>
      <c r="DE242" s="93"/>
      <c r="DF242" s="93"/>
      <c r="DG242" s="93"/>
      <c r="DH242" s="93"/>
      <c r="DI242" s="93"/>
      <c r="DJ242" s="93"/>
      <c r="DK242" s="93"/>
      <c r="DL242" s="93"/>
      <c r="DM242" s="93"/>
      <c r="DN242" s="93"/>
      <c r="DO242" s="93"/>
      <c r="DP242" s="93"/>
      <c r="DQ242" s="93"/>
      <c r="DR242" s="93"/>
      <c r="DS242" s="93"/>
      <c r="DT242" s="93"/>
      <c r="DU242" s="93"/>
      <c r="DV242" s="93"/>
      <c r="DW242" s="93"/>
      <c r="DX242" s="93"/>
      <c r="DY242" s="93"/>
      <c r="DZ242" s="93"/>
      <c r="EA242" s="93"/>
      <c r="EB242" s="93"/>
      <c r="EC242" s="93"/>
      <c r="ED242" s="93"/>
      <c r="EE242" s="93"/>
      <c r="EF242" s="93"/>
      <c r="EG242" s="93"/>
      <c r="EH242" s="93"/>
      <c r="EI242" s="93"/>
      <c r="EJ242" s="93"/>
      <c r="EK242" s="93"/>
      <c r="EL242" s="93"/>
      <c r="EM242" s="93"/>
      <c r="EN242" s="93"/>
      <c r="EO242" s="93"/>
      <c r="EP242" s="93"/>
      <c r="EQ242" s="93"/>
      <c r="ER242" s="93"/>
      <c r="ES242" s="93"/>
      <c r="ET242" s="93"/>
      <c r="EU242" s="93"/>
      <c r="EV242" s="93"/>
      <c r="EW242" s="93"/>
      <c r="EX242" s="93"/>
      <c r="EY242" s="93"/>
      <c r="EZ242" s="93"/>
      <c r="FA242" s="93"/>
      <c r="FB242" s="93"/>
      <c r="FC242" s="93"/>
      <c r="FD242" s="93"/>
      <c r="FE242" s="93"/>
      <c r="FF242" s="93"/>
      <c r="FG242" s="93"/>
      <c r="FH242" s="93"/>
      <c r="FI242" s="93"/>
      <c r="FJ242" s="93"/>
      <c r="FK242" s="93"/>
      <c r="FL242" s="93"/>
      <c r="FM242" s="93"/>
      <c r="FN242" s="93"/>
      <c r="FO242" s="93"/>
      <c r="FP242" s="93"/>
      <c r="FQ242" s="93"/>
      <c r="FR242" s="93"/>
      <c r="FS242" s="93"/>
      <c r="FT242" s="93"/>
      <c r="FU242" s="93"/>
      <c r="FV242" s="93"/>
      <c r="FW242" s="93"/>
      <c r="FX242" s="93"/>
      <c r="FY242" s="93"/>
      <c r="FZ242" s="93"/>
      <c r="GA242" s="93"/>
      <c r="GB242" s="93"/>
      <c r="GC242" s="93"/>
      <c r="GD242" s="93"/>
      <c r="GE242" s="93"/>
      <c r="GF242" s="93"/>
      <c r="GG242" s="93"/>
      <c r="GH242" s="93"/>
      <c r="GI242" s="93"/>
      <c r="GJ242" s="93"/>
      <c r="GK242" s="93"/>
      <c r="GL242" s="93"/>
      <c r="GM242" s="93"/>
      <c r="GN242" s="93"/>
      <c r="GO242" s="93"/>
      <c r="GP242" s="93"/>
      <c r="GQ242" s="93"/>
      <c r="GR242" s="93"/>
      <c r="GS242" s="93"/>
      <c r="GT242" s="93"/>
      <c r="GU242" s="93"/>
      <c r="GV242" s="93"/>
      <c r="GW242" s="93"/>
      <c r="GX242" s="93"/>
      <c r="GY242" s="93"/>
      <c r="GZ242" s="93"/>
      <c r="HA242" s="93"/>
      <c r="HB242" s="93"/>
      <c r="HC242" s="93"/>
      <c r="HD242" s="93"/>
      <c r="HE242" s="93"/>
      <c r="HF242" s="93"/>
      <c r="HG242" s="93"/>
      <c r="HH242" s="93"/>
      <c r="HI242" s="93"/>
      <c r="HJ242" s="93"/>
      <c r="HK242" s="93"/>
      <c r="HL242" s="93"/>
      <c r="HM242" s="93"/>
      <c r="HN242" s="93"/>
      <c r="HO242" s="93"/>
      <c r="HP242" s="93"/>
      <c r="HQ242" s="93"/>
      <c r="HR242" s="93"/>
      <c r="HS242" s="93"/>
      <c r="HT242" s="93"/>
      <c r="HU242" s="93"/>
      <c r="HV242" s="93"/>
      <c r="HW242" s="93"/>
      <c r="HX242" s="93"/>
      <c r="HY242" s="93"/>
      <c r="HZ242" s="93"/>
      <c r="IA242" s="93"/>
      <c r="IB242" s="93"/>
      <c r="IC242" s="93"/>
      <c r="ID242" s="93"/>
      <c r="IE242" s="93"/>
      <c r="IF242" s="93"/>
      <c r="IG242" s="93"/>
      <c r="IH242" s="93"/>
      <c r="II242" s="93"/>
      <c r="IJ242" s="93"/>
      <c r="IK242" s="93"/>
      <c r="IL242" s="93"/>
      <c r="IM242" s="93"/>
      <c r="IN242" s="93"/>
      <c r="IO242" s="93"/>
      <c r="IP242" s="93"/>
      <c r="IQ242" s="93"/>
      <c r="IR242" s="93"/>
      <c r="IS242" s="93"/>
      <c r="IT242" s="93"/>
      <c r="IU242" s="93"/>
      <c r="IV242" s="93"/>
      <c r="IW242" s="93"/>
      <c r="IX242" s="93"/>
      <c r="IY242" s="93"/>
      <c r="IZ242" s="93"/>
    </row>
    <row r="243" spans="1:260" s="95" customFormat="1">
      <c r="A243" s="93"/>
      <c r="B243" s="183"/>
      <c r="C243" s="183"/>
      <c r="D243" s="183"/>
      <c r="E243" s="158"/>
      <c r="F243" s="158"/>
      <c r="G243" s="158"/>
      <c r="H243" s="158"/>
      <c r="I243" s="158"/>
      <c r="J243" s="158"/>
      <c r="K243" s="158"/>
      <c r="L243" s="158"/>
      <c r="M243" s="158"/>
      <c r="N243" s="158"/>
      <c r="O243" s="158"/>
      <c r="P243" s="228"/>
      <c r="Q243" s="158"/>
      <c r="R243" s="158"/>
      <c r="S243" s="207"/>
      <c r="T243" s="207"/>
      <c r="U243" s="207"/>
      <c r="V243" s="207"/>
      <c r="W243" s="207"/>
      <c r="X243" s="207"/>
      <c r="Y243" s="207"/>
      <c r="Z243" s="207"/>
      <c r="AA243" s="207"/>
      <c r="AB243" s="207"/>
      <c r="AC243" s="207"/>
      <c r="AD243" s="207"/>
      <c r="AE243" s="207"/>
      <c r="AF243" s="207"/>
      <c r="AG243" s="207"/>
      <c r="AH243" s="207"/>
      <c r="AI243" s="207"/>
      <c r="AJ243" s="207"/>
      <c r="AK243" s="207"/>
      <c r="AL243" s="207"/>
      <c r="AM243" s="94"/>
      <c r="AN243" s="94"/>
      <c r="AO243" s="94"/>
      <c r="AP243" s="94"/>
      <c r="AQ243" s="94"/>
      <c r="AR243" s="94"/>
      <c r="AS243" s="94"/>
      <c r="AT243" s="94"/>
      <c r="AU243" s="94"/>
      <c r="AV243" s="94"/>
      <c r="AW243" s="94"/>
      <c r="AX243" s="94"/>
      <c r="AY243" s="94"/>
      <c r="AZ243" s="93"/>
      <c r="BA243" s="93"/>
      <c r="BB243" s="93"/>
      <c r="BC243" s="93"/>
      <c r="BD243" s="93"/>
      <c r="BE243" s="93"/>
      <c r="BF243" s="93"/>
      <c r="BG243" s="93"/>
      <c r="BH243" s="93"/>
      <c r="BI243" s="93"/>
      <c r="BJ243" s="93"/>
      <c r="BK243" s="93"/>
      <c r="BL243" s="93"/>
      <c r="BM243" s="93"/>
      <c r="BN243" s="93"/>
      <c r="BO243" s="93"/>
      <c r="BP243" s="93"/>
      <c r="BQ243" s="93"/>
      <c r="BR243" s="93"/>
      <c r="BS243" s="93"/>
      <c r="BT243" s="93"/>
      <c r="BU243" s="93"/>
      <c r="BV243" s="93"/>
      <c r="BW243" s="93"/>
      <c r="BX243" s="93"/>
      <c r="BY243" s="93"/>
      <c r="BZ243" s="93"/>
      <c r="CA243" s="93"/>
      <c r="CB243" s="93"/>
      <c r="CC243" s="93"/>
      <c r="CD243" s="93"/>
      <c r="CE243" s="93"/>
      <c r="CF243" s="93"/>
      <c r="CG243" s="93"/>
      <c r="CH243" s="93"/>
      <c r="CI243" s="93"/>
      <c r="CJ243" s="93"/>
      <c r="CK243" s="93"/>
      <c r="CL243" s="93"/>
      <c r="CM243" s="93"/>
      <c r="CN243" s="93"/>
      <c r="CO243" s="93"/>
      <c r="CP243" s="93"/>
      <c r="CQ243" s="93"/>
      <c r="CR243" s="93"/>
      <c r="CS243" s="93"/>
      <c r="CT243" s="93"/>
      <c r="CU243" s="93"/>
      <c r="CV243" s="93"/>
      <c r="CW243" s="93"/>
      <c r="CX243" s="93"/>
      <c r="CY243" s="93"/>
      <c r="CZ243" s="93"/>
      <c r="DA243" s="93"/>
      <c r="DB243" s="93"/>
      <c r="DC243" s="93"/>
      <c r="DD243" s="93"/>
      <c r="DE243" s="93"/>
      <c r="DF243" s="93"/>
      <c r="DG243" s="93"/>
      <c r="DH243" s="93"/>
      <c r="DI243" s="93"/>
      <c r="DJ243" s="93"/>
      <c r="DK243" s="93"/>
      <c r="DL243" s="93"/>
      <c r="DM243" s="93"/>
      <c r="DN243" s="93"/>
      <c r="DO243" s="93"/>
      <c r="DP243" s="93"/>
      <c r="DQ243" s="93"/>
      <c r="DR243" s="93"/>
      <c r="DS243" s="93"/>
      <c r="DT243" s="93"/>
      <c r="DU243" s="93"/>
      <c r="DV243" s="93"/>
      <c r="DW243" s="93"/>
      <c r="DX243" s="93"/>
      <c r="DY243" s="93"/>
      <c r="DZ243" s="93"/>
      <c r="EA243" s="93"/>
      <c r="EB243" s="93"/>
      <c r="EC243" s="93"/>
      <c r="ED243" s="93"/>
      <c r="EE243" s="93"/>
      <c r="EF243" s="93"/>
      <c r="EG243" s="93"/>
      <c r="EH243" s="93"/>
      <c r="EI243" s="93"/>
      <c r="EJ243" s="93"/>
      <c r="EK243" s="93"/>
      <c r="EL243" s="93"/>
      <c r="EM243" s="93"/>
      <c r="EN243" s="93"/>
      <c r="EO243" s="93"/>
      <c r="EP243" s="93"/>
      <c r="EQ243" s="93"/>
      <c r="ER243" s="93"/>
      <c r="ES243" s="93"/>
      <c r="ET243" s="93"/>
      <c r="EU243" s="93"/>
      <c r="EV243" s="93"/>
      <c r="EW243" s="93"/>
      <c r="EX243" s="93"/>
      <c r="EY243" s="93"/>
      <c r="EZ243" s="93"/>
      <c r="FA243" s="93"/>
      <c r="FB243" s="93"/>
      <c r="FC243" s="93"/>
      <c r="FD243" s="93"/>
      <c r="FE243" s="93"/>
      <c r="FF243" s="93"/>
      <c r="FG243" s="93"/>
      <c r="FH243" s="93"/>
      <c r="FI243" s="93"/>
      <c r="FJ243" s="93"/>
      <c r="FK243" s="93"/>
      <c r="FL243" s="93"/>
      <c r="FM243" s="93"/>
      <c r="FN243" s="93"/>
      <c r="FO243" s="93"/>
      <c r="FP243" s="93"/>
      <c r="FQ243" s="93"/>
      <c r="FR243" s="93"/>
      <c r="FS243" s="93"/>
      <c r="FT243" s="93"/>
      <c r="FU243" s="93"/>
      <c r="FV243" s="93"/>
      <c r="FW243" s="93"/>
      <c r="FX243" s="93"/>
      <c r="FY243" s="93"/>
      <c r="FZ243" s="93"/>
      <c r="GA243" s="93"/>
      <c r="GB243" s="93"/>
      <c r="GC243" s="93"/>
      <c r="GD243" s="93"/>
      <c r="GE243" s="93"/>
      <c r="GF243" s="93"/>
      <c r="GG243" s="93"/>
      <c r="GH243" s="93"/>
      <c r="GI243" s="93"/>
      <c r="GJ243" s="93"/>
      <c r="GK243" s="93"/>
      <c r="GL243" s="93"/>
      <c r="GM243" s="93"/>
      <c r="GN243" s="93"/>
      <c r="GO243" s="93"/>
      <c r="GP243" s="93"/>
      <c r="GQ243" s="93"/>
      <c r="GR243" s="93"/>
      <c r="GS243" s="93"/>
      <c r="GT243" s="93"/>
      <c r="GU243" s="93"/>
      <c r="GV243" s="93"/>
      <c r="GW243" s="93"/>
      <c r="GX243" s="93"/>
      <c r="GY243" s="93"/>
      <c r="GZ243" s="93"/>
      <c r="HA243" s="93"/>
      <c r="HB243" s="93"/>
      <c r="HC243" s="93"/>
      <c r="HD243" s="93"/>
      <c r="HE243" s="93"/>
      <c r="HF243" s="93"/>
      <c r="HG243" s="93"/>
      <c r="HH243" s="93"/>
      <c r="HI243" s="93"/>
      <c r="HJ243" s="93"/>
      <c r="HK243" s="93"/>
      <c r="HL243" s="93"/>
      <c r="HM243" s="93"/>
      <c r="HN243" s="93"/>
      <c r="HO243" s="93"/>
      <c r="HP243" s="93"/>
      <c r="HQ243" s="93"/>
      <c r="HR243" s="93"/>
      <c r="HS243" s="93"/>
      <c r="HT243" s="93"/>
      <c r="HU243" s="93"/>
      <c r="HV243" s="93"/>
      <c r="HW243" s="93"/>
      <c r="HX243" s="93"/>
      <c r="HY243" s="93"/>
      <c r="HZ243" s="93"/>
      <c r="IA243" s="93"/>
      <c r="IB243" s="93"/>
      <c r="IC243" s="93"/>
      <c r="ID243" s="93"/>
      <c r="IE243" s="93"/>
      <c r="IF243" s="93"/>
      <c r="IG243" s="93"/>
      <c r="IH243" s="93"/>
      <c r="II243" s="93"/>
      <c r="IJ243" s="93"/>
      <c r="IK243" s="93"/>
      <c r="IL243" s="93"/>
      <c r="IM243" s="93"/>
      <c r="IN243" s="93"/>
      <c r="IO243" s="93"/>
      <c r="IP243" s="93"/>
      <c r="IQ243" s="93"/>
      <c r="IR243" s="93"/>
      <c r="IS243" s="93"/>
      <c r="IT243" s="93"/>
      <c r="IU243" s="93"/>
      <c r="IV243" s="93"/>
      <c r="IW243" s="93"/>
      <c r="IX243" s="93"/>
      <c r="IY243" s="93"/>
      <c r="IZ243" s="93"/>
    </row>
    <row r="244" spans="1:260" s="95" customFormat="1">
      <c r="A244" s="93"/>
      <c r="B244" s="183"/>
      <c r="C244" s="183"/>
      <c r="D244" s="183"/>
      <c r="E244" s="158"/>
      <c r="F244" s="158"/>
      <c r="G244" s="158"/>
      <c r="H244" s="158"/>
      <c r="I244" s="158"/>
      <c r="J244" s="158"/>
      <c r="K244" s="158"/>
      <c r="L244" s="158"/>
      <c r="M244" s="158"/>
      <c r="N244" s="158"/>
      <c r="O244" s="158"/>
      <c r="P244" s="228"/>
      <c r="Q244" s="158"/>
      <c r="R244" s="158"/>
      <c r="S244" s="207"/>
      <c r="T244" s="207"/>
      <c r="U244" s="207"/>
      <c r="V244" s="207"/>
      <c r="W244" s="207"/>
      <c r="X244" s="207"/>
      <c r="Y244" s="207"/>
      <c r="Z244" s="207"/>
      <c r="AA244" s="207"/>
      <c r="AB244" s="207"/>
      <c r="AC244" s="207"/>
      <c r="AD244" s="207"/>
      <c r="AE244" s="207"/>
      <c r="AF244" s="207"/>
      <c r="AG244" s="207"/>
      <c r="AH244" s="207"/>
      <c r="AI244" s="207"/>
      <c r="AJ244" s="207"/>
      <c r="AK244" s="207"/>
      <c r="AL244" s="207"/>
      <c r="AM244" s="94"/>
      <c r="AN244" s="94"/>
      <c r="AO244" s="94"/>
      <c r="AP244" s="94"/>
      <c r="AQ244" s="94"/>
      <c r="AR244" s="94"/>
      <c r="AS244" s="94"/>
      <c r="AT244" s="94"/>
      <c r="AU244" s="94"/>
      <c r="AV244" s="94"/>
      <c r="AW244" s="94"/>
      <c r="AX244" s="94"/>
      <c r="AY244" s="94"/>
      <c r="AZ244" s="93"/>
      <c r="BA244" s="93"/>
      <c r="BB244" s="93"/>
      <c r="BC244" s="93"/>
      <c r="BD244" s="93"/>
      <c r="BE244" s="93"/>
      <c r="BF244" s="93"/>
      <c r="BG244" s="93"/>
      <c r="BH244" s="93"/>
      <c r="BI244" s="93"/>
      <c r="BJ244" s="93"/>
      <c r="BK244" s="93"/>
      <c r="BL244" s="93"/>
      <c r="BM244" s="93"/>
      <c r="BN244" s="93"/>
      <c r="BO244" s="93"/>
      <c r="BP244" s="93"/>
      <c r="BQ244" s="93"/>
      <c r="BR244" s="93"/>
      <c r="BS244" s="93"/>
      <c r="BT244" s="93"/>
      <c r="BU244" s="93"/>
      <c r="BV244" s="93"/>
      <c r="BW244" s="93"/>
      <c r="BX244" s="93"/>
      <c r="BY244" s="93"/>
      <c r="BZ244" s="93"/>
      <c r="CA244" s="93"/>
      <c r="CB244" s="93"/>
      <c r="CC244" s="93"/>
      <c r="CD244" s="93"/>
      <c r="CE244" s="93"/>
      <c r="CF244" s="93"/>
      <c r="CG244" s="93"/>
      <c r="CH244" s="93"/>
      <c r="CI244" s="93"/>
      <c r="CJ244" s="93"/>
      <c r="CK244" s="93"/>
      <c r="CL244" s="93"/>
      <c r="CM244" s="93"/>
      <c r="CN244" s="93"/>
      <c r="CO244" s="93"/>
      <c r="CP244" s="93"/>
      <c r="CQ244" s="93"/>
      <c r="CR244" s="93"/>
      <c r="CS244" s="93"/>
      <c r="CT244" s="93"/>
      <c r="CU244" s="93"/>
      <c r="CV244" s="93"/>
      <c r="CW244" s="93"/>
      <c r="CX244" s="93"/>
      <c r="CY244" s="93"/>
      <c r="CZ244" s="93"/>
      <c r="DA244" s="93"/>
      <c r="DB244" s="93"/>
      <c r="DC244" s="93"/>
      <c r="DD244" s="93"/>
      <c r="DE244" s="93"/>
      <c r="DF244" s="93"/>
      <c r="DG244" s="93"/>
      <c r="DH244" s="93"/>
      <c r="DI244" s="93"/>
      <c r="DJ244" s="93"/>
      <c r="DK244" s="93"/>
      <c r="DL244" s="93"/>
      <c r="DM244" s="93"/>
      <c r="DN244" s="93"/>
      <c r="DO244" s="93"/>
      <c r="DP244" s="93"/>
      <c r="DQ244" s="93"/>
      <c r="DR244" s="93"/>
      <c r="DS244" s="93"/>
      <c r="DT244" s="93"/>
      <c r="DU244" s="93"/>
      <c r="DV244" s="93"/>
      <c r="DW244" s="93"/>
      <c r="DX244" s="93"/>
      <c r="DY244" s="93"/>
      <c r="DZ244" s="93"/>
      <c r="EA244" s="93"/>
      <c r="EB244" s="93"/>
      <c r="EC244" s="93"/>
      <c r="ED244" s="93"/>
      <c r="EE244" s="93"/>
      <c r="EF244" s="93"/>
      <c r="EG244" s="93"/>
      <c r="EH244" s="93"/>
      <c r="EI244" s="93"/>
      <c r="EJ244" s="93"/>
      <c r="EK244" s="93"/>
      <c r="EL244" s="93"/>
      <c r="EM244" s="93"/>
      <c r="EN244" s="93"/>
      <c r="EO244" s="93"/>
      <c r="EP244" s="93"/>
      <c r="EQ244" s="93"/>
      <c r="ER244" s="93"/>
      <c r="ES244" s="93"/>
      <c r="ET244" s="93"/>
      <c r="EU244" s="93"/>
      <c r="EV244" s="93"/>
      <c r="EW244" s="93"/>
      <c r="EX244" s="93"/>
      <c r="EY244" s="93"/>
      <c r="EZ244" s="93"/>
      <c r="FA244" s="93"/>
      <c r="FB244" s="93"/>
      <c r="FC244" s="93"/>
      <c r="FD244" s="93"/>
      <c r="FE244" s="93"/>
      <c r="FF244" s="93"/>
      <c r="FG244" s="93"/>
      <c r="FH244" s="93"/>
      <c r="FI244" s="93"/>
      <c r="FJ244" s="93"/>
      <c r="FK244" s="93"/>
      <c r="FL244" s="93"/>
      <c r="FM244" s="93"/>
      <c r="FN244" s="93"/>
      <c r="FO244" s="93"/>
      <c r="FP244" s="93"/>
      <c r="FQ244" s="93"/>
      <c r="FR244" s="93"/>
      <c r="FS244" s="93"/>
      <c r="FT244" s="93"/>
      <c r="FU244" s="93"/>
      <c r="FV244" s="93"/>
      <c r="FW244" s="93"/>
      <c r="FX244" s="93"/>
      <c r="FY244" s="93"/>
      <c r="FZ244" s="93"/>
      <c r="GA244" s="93"/>
      <c r="GB244" s="93"/>
      <c r="GC244" s="93"/>
      <c r="GD244" s="93"/>
      <c r="GE244" s="93"/>
      <c r="GF244" s="93"/>
      <c r="GG244" s="93"/>
      <c r="GH244" s="93"/>
      <c r="GI244" s="93"/>
      <c r="GJ244" s="93"/>
      <c r="GK244" s="93"/>
      <c r="GL244" s="93"/>
      <c r="GM244" s="93"/>
      <c r="GN244" s="93"/>
      <c r="GO244" s="93"/>
      <c r="GP244" s="93"/>
      <c r="GQ244" s="93"/>
      <c r="GR244" s="93"/>
      <c r="GS244" s="93"/>
      <c r="GT244" s="93"/>
      <c r="GU244" s="93"/>
      <c r="GV244" s="93"/>
      <c r="GW244" s="93"/>
      <c r="GX244" s="93"/>
      <c r="GY244" s="93"/>
      <c r="GZ244" s="93"/>
      <c r="HA244" s="93"/>
      <c r="HB244" s="93"/>
      <c r="HC244" s="93"/>
      <c r="HD244" s="93"/>
      <c r="HE244" s="93"/>
      <c r="HF244" s="93"/>
      <c r="HG244" s="93"/>
      <c r="HH244" s="93"/>
      <c r="HI244" s="93"/>
      <c r="HJ244" s="93"/>
      <c r="HK244" s="93"/>
      <c r="HL244" s="93"/>
      <c r="HM244" s="93"/>
      <c r="HN244" s="93"/>
      <c r="HO244" s="93"/>
      <c r="HP244" s="93"/>
      <c r="HQ244" s="93"/>
      <c r="HR244" s="93"/>
      <c r="HS244" s="93"/>
      <c r="HT244" s="93"/>
      <c r="HU244" s="93"/>
      <c r="HV244" s="93"/>
      <c r="HW244" s="93"/>
      <c r="HX244" s="93"/>
      <c r="HY244" s="93"/>
      <c r="HZ244" s="93"/>
      <c r="IA244" s="93"/>
      <c r="IB244" s="93"/>
      <c r="IC244" s="93"/>
      <c r="ID244" s="93"/>
      <c r="IE244" s="93"/>
      <c r="IF244" s="93"/>
      <c r="IG244" s="93"/>
      <c r="IH244" s="93"/>
      <c r="II244" s="93"/>
      <c r="IJ244" s="93"/>
      <c r="IK244" s="93"/>
      <c r="IL244" s="93"/>
      <c r="IM244" s="93"/>
      <c r="IN244" s="93"/>
      <c r="IO244" s="93"/>
      <c r="IP244" s="93"/>
      <c r="IQ244" s="93"/>
      <c r="IR244" s="93"/>
      <c r="IS244" s="93"/>
      <c r="IT244" s="93"/>
      <c r="IU244" s="93"/>
      <c r="IV244" s="93"/>
      <c r="IW244" s="93"/>
      <c r="IX244" s="93"/>
      <c r="IY244" s="93"/>
      <c r="IZ244" s="93"/>
    </row>
    <row r="245" spans="1:260" s="95" customFormat="1">
      <c r="A245" s="93"/>
      <c r="B245" s="183"/>
      <c r="C245" s="183"/>
      <c r="D245" s="183"/>
      <c r="E245" s="158"/>
      <c r="F245" s="158"/>
      <c r="G245" s="158"/>
      <c r="H245" s="158"/>
      <c r="I245" s="158"/>
      <c r="J245" s="158"/>
      <c r="K245" s="158"/>
      <c r="L245" s="158"/>
      <c r="M245" s="158"/>
      <c r="N245" s="158"/>
      <c r="O245" s="158"/>
      <c r="P245" s="228"/>
      <c r="Q245" s="158"/>
      <c r="R245" s="158"/>
      <c r="S245" s="207"/>
      <c r="T245" s="207"/>
      <c r="U245" s="207"/>
      <c r="V245" s="207"/>
      <c r="W245" s="207"/>
      <c r="X245" s="207"/>
      <c r="Y245" s="207"/>
      <c r="Z245" s="207"/>
      <c r="AA245" s="207"/>
      <c r="AB245" s="207"/>
      <c r="AC245" s="207"/>
      <c r="AD245" s="207"/>
      <c r="AE245" s="207"/>
      <c r="AF245" s="207"/>
      <c r="AG245" s="207"/>
      <c r="AH245" s="207"/>
      <c r="AI245" s="207"/>
      <c r="AJ245" s="207"/>
      <c r="AK245" s="207"/>
      <c r="AL245" s="207"/>
      <c r="AM245" s="94"/>
      <c r="AN245" s="94"/>
      <c r="AO245" s="94"/>
      <c r="AP245" s="94"/>
      <c r="AQ245" s="94"/>
      <c r="AR245" s="94"/>
      <c r="AS245" s="94"/>
      <c r="AT245" s="94"/>
      <c r="AU245" s="94"/>
      <c r="AV245" s="94"/>
      <c r="AW245" s="94"/>
      <c r="AX245" s="94"/>
      <c r="AY245" s="94"/>
      <c r="AZ245" s="93"/>
      <c r="BA245" s="93"/>
      <c r="BB245" s="93"/>
      <c r="BC245" s="93"/>
      <c r="BD245" s="93"/>
      <c r="BE245" s="93"/>
      <c r="BF245" s="93"/>
      <c r="BG245" s="93"/>
      <c r="BH245" s="93"/>
      <c r="BI245" s="93"/>
      <c r="BJ245" s="93"/>
      <c r="BK245" s="93"/>
      <c r="BL245" s="93"/>
      <c r="BM245" s="93"/>
      <c r="BN245" s="93"/>
      <c r="BO245" s="93"/>
      <c r="BP245" s="93"/>
      <c r="BQ245" s="93"/>
      <c r="BR245" s="93"/>
      <c r="BS245" s="93"/>
      <c r="BT245" s="93"/>
      <c r="BU245" s="93"/>
      <c r="BV245" s="93"/>
      <c r="BW245" s="93"/>
      <c r="BX245" s="93"/>
      <c r="BY245" s="93"/>
      <c r="BZ245" s="93"/>
      <c r="CA245" s="93"/>
      <c r="CB245" s="93"/>
      <c r="CC245" s="93"/>
      <c r="CD245" s="93"/>
      <c r="CE245" s="93"/>
      <c r="CF245" s="93"/>
      <c r="CG245" s="93"/>
      <c r="CH245" s="93"/>
      <c r="CI245" s="93"/>
      <c r="CJ245" s="93"/>
      <c r="CK245" s="93"/>
      <c r="CL245" s="93"/>
      <c r="CM245" s="93"/>
      <c r="CN245" s="93"/>
      <c r="CO245" s="93"/>
      <c r="CP245" s="93"/>
      <c r="CQ245" s="93"/>
      <c r="CR245" s="93"/>
      <c r="CS245" s="93"/>
      <c r="CT245" s="93"/>
      <c r="CU245" s="93"/>
      <c r="CV245" s="93"/>
      <c r="CW245" s="93"/>
      <c r="CX245" s="93"/>
      <c r="CY245" s="93"/>
      <c r="CZ245" s="93"/>
      <c r="DA245" s="93"/>
      <c r="DB245" s="93"/>
      <c r="DC245" s="93"/>
      <c r="DD245" s="93"/>
      <c r="DE245" s="93"/>
      <c r="DF245" s="93"/>
      <c r="DG245" s="93"/>
      <c r="DH245" s="93"/>
      <c r="DI245" s="93"/>
      <c r="DJ245" s="93"/>
      <c r="DK245" s="93"/>
      <c r="DL245" s="93"/>
      <c r="DM245" s="93"/>
      <c r="DN245" s="93"/>
      <c r="DO245" s="93"/>
      <c r="DP245" s="93"/>
      <c r="DQ245" s="93"/>
      <c r="DR245" s="93"/>
      <c r="DS245" s="93"/>
      <c r="DT245" s="93"/>
      <c r="DU245" s="93"/>
      <c r="DV245" s="93"/>
      <c r="DW245" s="93"/>
      <c r="DX245" s="93"/>
      <c r="DY245" s="93"/>
      <c r="DZ245" s="93"/>
      <c r="EA245" s="93"/>
      <c r="EB245" s="93"/>
      <c r="EC245" s="93"/>
      <c r="ED245" s="93"/>
      <c r="EE245" s="93"/>
      <c r="EF245" s="93"/>
      <c r="EG245" s="93"/>
      <c r="EH245" s="93"/>
      <c r="EI245" s="93"/>
      <c r="EJ245" s="93"/>
      <c r="EK245" s="93"/>
      <c r="EL245" s="93"/>
      <c r="EM245" s="93"/>
      <c r="EN245" s="93"/>
      <c r="EO245" s="93"/>
      <c r="EP245" s="93"/>
      <c r="EQ245" s="93"/>
      <c r="ER245" s="93"/>
      <c r="ES245" s="93"/>
      <c r="ET245" s="93"/>
      <c r="EU245" s="93"/>
      <c r="EV245" s="93"/>
      <c r="EW245" s="93"/>
      <c r="EX245" s="93"/>
      <c r="EY245" s="93"/>
      <c r="EZ245" s="93"/>
      <c r="FA245" s="93"/>
      <c r="FB245" s="93"/>
      <c r="FC245" s="93"/>
      <c r="FD245" s="93"/>
      <c r="FE245" s="93"/>
      <c r="FF245" s="93"/>
      <c r="FG245" s="93"/>
      <c r="FH245" s="93"/>
      <c r="FI245" s="93"/>
      <c r="FJ245" s="93"/>
      <c r="FK245" s="93"/>
      <c r="FL245" s="93"/>
      <c r="FM245" s="93"/>
      <c r="FN245" s="93"/>
      <c r="FO245" s="93"/>
      <c r="FP245" s="93"/>
      <c r="FQ245" s="93"/>
      <c r="FR245" s="93"/>
      <c r="FS245" s="93"/>
      <c r="FT245" s="93"/>
      <c r="FU245" s="93"/>
      <c r="FV245" s="93"/>
      <c r="FW245" s="93"/>
      <c r="FX245" s="93"/>
      <c r="FY245" s="93"/>
      <c r="FZ245" s="93"/>
      <c r="GA245" s="93"/>
      <c r="GB245" s="93"/>
      <c r="GC245" s="93"/>
      <c r="GD245" s="93"/>
      <c r="GE245" s="93"/>
      <c r="GF245" s="93"/>
      <c r="GG245" s="93"/>
      <c r="GH245" s="93"/>
      <c r="GI245" s="93"/>
      <c r="GJ245" s="93"/>
      <c r="GK245" s="93"/>
      <c r="GL245" s="93"/>
      <c r="GM245" s="93"/>
      <c r="GN245" s="93"/>
      <c r="GO245" s="93"/>
      <c r="GP245" s="93"/>
      <c r="GQ245" s="93"/>
      <c r="GR245" s="93"/>
      <c r="GS245" s="93"/>
      <c r="GT245" s="93"/>
      <c r="GU245" s="93"/>
      <c r="GV245" s="93"/>
      <c r="GW245" s="93"/>
      <c r="GX245" s="93"/>
      <c r="GY245" s="93"/>
      <c r="GZ245" s="93"/>
      <c r="HA245" s="93"/>
      <c r="HB245" s="93"/>
      <c r="HC245" s="93"/>
      <c r="HD245" s="93"/>
      <c r="HE245" s="93"/>
      <c r="HF245" s="93"/>
      <c r="HG245" s="93"/>
      <c r="HH245" s="93"/>
      <c r="HI245" s="93"/>
      <c r="HJ245" s="93"/>
      <c r="HK245" s="93"/>
      <c r="HL245" s="93"/>
      <c r="HM245" s="93"/>
      <c r="HN245" s="93"/>
      <c r="HO245" s="93"/>
      <c r="HP245" s="93"/>
      <c r="HQ245" s="93"/>
      <c r="HR245" s="93"/>
      <c r="HS245" s="93"/>
      <c r="HT245" s="93"/>
      <c r="HU245" s="93"/>
      <c r="HV245" s="93"/>
      <c r="HW245" s="93"/>
      <c r="HX245" s="93"/>
      <c r="HY245" s="93"/>
      <c r="HZ245" s="93"/>
      <c r="IA245" s="93"/>
      <c r="IB245" s="93"/>
      <c r="IC245" s="93"/>
      <c r="ID245" s="93"/>
      <c r="IE245" s="93"/>
      <c r="IF245" s="93"/>
      <c r="IG245" s="93"/>
      <c r="IH245" s="93"/>
      <c r="II245" s="93"/>
      <c r="IJ245" s="93"/>
      <c r="IK245" s="93"/>
      <c r="IL245" s="93"/>
      <c r="IM245" s="93"/>
      <c r="IN245" s="93"/>
      <c r="IO245" s="93"/>
      <c r="IP245" s="93"/>
      <c r="IQ245" s="93"/>
      <c r="IR245" s="93"/>
      <c r="IS245" s="93"/>
      <c r="IT245" s="93"/>
      <c r="IU245" s="93"/>
      <c r="IV245" s="93"/>
      <c r="IW245" s="93"/>
      <c r="IX245" s="93"/>
      <c r="IY245" s="93"/>
      <c r="IZ245" s="93"/>
    </row>
    <row r="246" spans="1:260" s="95" customFormat="1">
      <c r="A246" s="93"/>
      <c r="B246" s="183"/>
      <c r="C246" s="183"/>
      <c r="D246" s="183"/>
      <c r="E246" s="158"/>
      <c r="F246" s="158"/>
      <c r="G246" s="158"/>
      <c r="H246" s="158"/>
      <c r="I246" s="158"/>
      <c r="J246" s="158"/>
      <c r="K246" s="158"/>
      <c r="L246" s="158"/>
      <c r="M246" s="158"/>
      <c r="N246" s="158"/>
      <c r="O246" s="158"/>
      <c r="P246" s="228"/>
      <c r="Q246" s="158"/>
      <c r="R246" s="158"/>
      <c r="S246" s="207"/>
      <c r="T246" s="207"/>
      <c r="U246" s="207"/>
      <c r="V246" s="207"/>
      <c r="W246" s="207"/>
      <c r="X246" s="207"/>
      <c r="Y246" s="207"/>
      <c r="Z246" s="207"/>
      <c r="AA246" s="207"/>
      <c r="AB246" s="207"/>
      <c r="AC246" s="207"/>
      <c r="AD246" s="207"/>
      <c r="AE246" s="207"/>
      <c r="AF246" s="207"/>
      <c r="AG246" s="207"/>
      <c r="AH246" s="207"/>
      <c r="AI246" s="207"/>
      <c r="AJ246" s="207"/>
      <c r="AK246" s="207"/>
      <c r="AL246" s="207"/>
      <c r="AM246" s="94"/>
      <c r="AN246" s="94"/>
      <c r="AO246" s="94"/>
      <c r="AP246" s="94"/>
      <c r="AQ246" s="94"/>
      <c r="AR246" s="94"/>
      <c r="AS246" s="94"/>
      <c r="AT246" s="94"/>
      <c r="AU246" s="94"/>
      <c r="AV246" s="94"/>
      <c r="AW246" s="94"/>
      <c r="AX246" s="94"/>
      <c r="AY246" s="94"/>
      <c r="AZ246" s="93"/>
      <c r="BA246" s="93"/>
      <c r="BB246" s="93"/>
      <c r="BC246" s="93"/>
      <c r="BD246" s="93"/>
      <c r="BE246" s="93"/>
      <c r="BF246" s="93"/>
      <c r="BG246" s="93"/>
      <c r="BH246" s="93"/>
      <c r="BI246" s="93"/>
      <c r="BJ246" s="93"/>
      <c r="BK246" s="93"/>
      <c r="BL246" s="93"/>
      <c r="BM246" s="93"/>
      <c r="BN246" s="93"/>
      <c r="BO246" s="93"/>
      <c r="BP246" s="93"/>
      <c r="BQ246" s="93"/>
      <c r="BR246" s="93"/>
      <c r="BS246" s="93"/>
      <c r="BT246" s="93"/>
      <c r="BU246" s="93"/>
      <c r="BV246" s="93"/>
      <c r="BW246" s="93"/>
      <c r="BX246" s="93"/>
      <c r="BY246" s="93"/>
      <c r="BZ246" s="93"/>
      <c r="CA246" s="93"/>
      <c r="CB246" s="93"/>
      <c r="CC246" s="93"/>
      <c r="CD246" s="93"/>
      <c r="CE246" s="93"/>
      <c r="CF246" s="93"/>
      <c r="CG246" s="93"/>
      <c r="CH246" s="93"/>
      <c r="CI246" s="93"/>
      <c r="CJ246" s="93"/>
      <c r="CK246" s="93"/>
      <c r="CL246" s="93"/>
      <c r="CM246" s="93"/>
      <c r="CN246" s="93"/>
      <c r="CO246" s="93"/>
      <c r="CP246" s="93"/>
      <c r="CQ246" s="93"/>
      <c r="CR246" s="93"/>
      <c r="CS246" s="93"/>
      <c r="CT246" s="93"/>
      <c r="CU246" s="93"/>
      <c r="CV246" s="93"/>
      <c r="CW246" s="93"/>
      <c r="CX246" s="93"/>
      <c r="CY246" s="93"/>
      <c r="CZ246" s="93"/>
      <c r="DA246" s="93"/>
      <c r="DB246" s="93"/>
      <c r="DC246" s="93"/>
      <c r="DD246" s="93"/>
      <c r="DE246" s="93"/>
      <c r="DF246" s="93"/>
      <c r="DG246" s="93"/>
      <c r="DH246" s="93"/>
      <c r="DI246" s="93"/>
      <c r="DJ246" s="93"/>
      <c r="DK246" s="93"/>
      <c r="DL246" s="93"/>
      <c r="DM246" s="93"/>
      <c r="DN246" s="93"/>
      <c r="DO246" s="93"/>
      <c r="DP246" s="93"/>
      <c r="DQ246" s="93"/>
      <c r="DR246" s="93"/>
      <c r="DS246" s="93"/>
      <c r="DT246" s="93"/>
      <c r="DU246" s="93"/>
      <c r="DV246" s="93"/>
      <c r="DW246" s="93"/>
      <c r="DX246" s="93"/>
      <c r="DY246" s="93"/>
      <c r="DZ246" s="93"/>
      <c r="EA246" s="93"/>
      <c r="EB246" s="93"/>
      <c r="EC246" s="93"/>
      <c r="ED246" s="93"/>
      <c r="EE246" s="93"/>
      <c r="EF246" s="93"/>
      <c r="EG246" s="93"/>
      <c r="EH246" s="93"/>
      <c r="EI246" s="93"/>
      <c r="EJ246" s="93"/>
      <c r="EK246" s="93"/>
      <c r="EL246" s="93"/>
      <c r="EM246" s="93"/>
      <c r="EN246" s="93"/>
      <c r="EO246" s="93"/>
      <c r="EP246" s="93"/>
      <c r="EQ246" s="93"/>
      <c r="ER246" s="93"/>
      <c r="ES246" s="93"/>
      <c r="ET246" s="93"/>
      <c r="EU246" s="93"/>
      <c r="EV246" s="93"/>
      <c r="EW246" s="93"/>
      <c r="EX246" s="93"/>
      <c r="EY246" s="93"/>
      <c r="EZ246" s="93"/>
      <c r="FA246" s="93"/>
      <c r="FB246" s="93"/>
      <c r="FC246" s="93"/>
      <c r="FD246" s="93"/>
      <c r="FE246" s="93"/>
      <c r="FF246" s="93"/>
      <c r="FG246" s="93"/>
      <c r="FH246" s="93"/>
      <c r="FI246" s="93"/>
      <c r="FJ246" s="93"/>
      <c r="FK246" s="93"/>
      <c r="FL246" s="93"/>
      <c r="FM246" s="93"/>
      <c r="FN246" s="93"/>
      <c r="FO246" s="93"/>
      <c r="FP246" s="93"/>
      <c r="FQ246" s="93"/>
      <c r="FR246" s="93"/>
      <c r="FS246" s="93"/>
      <c r="FT246" s="93"/>
      <c r="FU246" s="93"/>
      <c r="FV246" s="93"/>
      <c r="FW246" s="93"/>
      <c r="FX246" s="93"/>
      <c r="FY246" s="93"/>
      <c r="FZ246" s="93"/>
      <c r="GA246" s="93"/>
      <c r="GB246" s="93"/>
      <c r="GC246" s="93"/>
      <c r="GD246" s="93"/>
      <c r="GE246" s="93"/>
      <c r="GF246" s="93"/>
      <c r="GG246" s="93"/>
      <c r="GH246" s="93"/>
      <c r="GI246" s="93"/>
      <c r="GJ246" s="93"/>
      <c r="GK246" s="93"/>
      <c r="GL246" s="93"/>
      <c r="GM246" s="93"/>
      <c r="GN246" s="93"/>
      <c r="GO246" s="93"/>
      <c r="GP246" s="93"/>
      <c r="GQ246" s="93"/>
      <c r="GR246" s="93"/>
      <c r="GS246" s="93"/>
      <c r="GT246" s="93"/>
      <c r="GU246" s="93"/>
      <c r="GV246" s="93"/>
      <c r="GW246" s="93"/>
      <c r="GX246" s="93"/>
      <c r="GY246" s="93"/>
      <c r="GZ246" s="93"/>
      <c r="HA246" s="93"/>
      <c r="HB246" s="93"/>
      <c r="HC246" s="93"/>
      <c r="HD246" s="93"/>
      <c r="HE246" s="93"/>
      <c r="HF246" s="93"/>
      <c r="HG246" s="93"/>
      <c r="HH246" s="93"/>
      <c r="HI246" s="93"/>
      <c r="HJ246" s="93"/>
      <c r="HK246" s="93"/>
      <c r="HL246" s="93"/>
      <c r="HM246" s="93"/>
      <c r="HN246" s="93"/>
      <c r="HO246" s="93"/>
      <c r="HP246" s="93"/>
      <c r="HQ246" s="93"/>
      <c r="HR246" s="93"/>
      <c r="HS246" s="93"/>
      <c r="HT246" s="93"/>
      <c r="HU246" s="93"/>
      <c r="HV246" s="93"/>
      <c r="HW246" s="93"/>
      <c r="HX246" s="93"/>
      <c r="HY246" s="93"/>
      <c r="HZ246" s="93"/>
      <c r="IA246" s="93"/>
      <c r="IB246" s="93"/>
      <c r="IC246" s="93"/>
      <c r="ID246" s="93"/>
      <c r="IE246" s="93"/>
      <c r="IF246" s="93"/>
      <c r="IG246" s="93"/>
      <c r="IH246" s="93"/>
      <c r="II246" s="93"/>
      <c r="IJ246" s="93"/>
      <c r="IK246" s="93"/>
      <c r="IL246" s="93"/>
      <c r="IM246" s="93"/>
      <c r="IN246" s="93"/>
      <c r="IO246" s="93"/>
      <c r="IP246" s="93"/>
      <c r="IQ246" s="93"/>
      <c r="IR246" s="93"/>
      <c r="IS246" s="93"/>
      <c r="IT246" s="93"/>
      <c r="IU246" s="93"/>
      <c r="IV246" s="93"/>
      <c r="IW246" s="93"/>
      <c r="IX246" s="93"/>
      <c r="IY246" s="93"/>
      <c r="IZ246" s="93"/>
    </row>
    <row r="247" spans="1:260" s="95" customFormat="1">
      <c r="A247" s="93"/>
      <c r="B247" s="183"/>
      <c r="C247" s="183"/>
      <c r="D247" s="183"/>
      <c r="E247" s="158"/>
      <c r="F247" s="158"/>
      <c r="G247" s="158"/>
      <c r="H247" s="158"/>
      <c r="I247" s="158"/>
      <c r="J247" s="158"/>
      <c r="K247" s="158"/>
      <c r="L247" s="158"/>
      <c r="M247" s="158"/>
      <c r="N247" s="158"/>
      <c r="O247" s="158"/>
      <c r="P247" s="228"/>
      <c r="Q247" s="158"/>
      <c r="R247" s="158"/>
      <c r="S247" s="207"/>
      <c r="T247" s="207"/>
      <c r="U247" s="207"/>
      <c r="V247" s="207"/>
      <c r="W247" s="207"/>
      <c r="X247" s="207"/>
      <c r="Y247" s="207"/>
      <c r="Z247" s="207"/>
      <c r="AA247" s="207"/>
      <c r="AB247" s="207"/>
      <c r="AC247" s="207"/>
      <c r="AD247" s="207"/>
      <c r="AE247" s="207"/>
      <c r="AF247" s="207"/>
      <c r="AG247" s="207"/>
      <c r="AH247" s="207"/>
      <c r="AI247" s="207"/>
      <c r="AJ247" s="207"/>
      <c r="AK247" s="207"/>
      <c r="AL247" s="207"/>
      <c r="AM247" s="94"/>
      <c r="AN247" s="94"/>
      <c r="AO247" s="94"/>
      <c r="AP247" s="94"/>
      <c r="AQ247" s="94"/>
      <c r="AR247" s="94"/>
      <c r="AS247" s="94"/>
      <c r="AT247" s="94"/>
      <c r="AU247" s="94"/>
      <c r="AV247" s="94"/>
      <c r="AW247" s="94"/>
      <c r="AX247" s="94"/>
      <c r="AY247" s="94"/>
      <c r="AZ247" s="93"/>
      <c r="BA247" s="93"/>
      <c r="BB247" s="93"/>
      <c r="BC247" s="93"/>
      <c r="BD247" s="93"/>
      <c r="BE247" s="93"/>
      <c r="BF247" s="93"/>
      <c r="BG247" s="93"/>
      <c r="BH247" s="93"/>
      <c r="BI247" s="93"/>
      <c r="BJ247" s="93"/>
      <c r="BK247" s="93"/>
      <c r="BL247" s="93"/>
      <c r="BM247" s="93"/>
      <c r="BN247" s="93"/>
      <c r="BO247" s="93"/>
      <c r="BP247" s="93"/>
      <c r="BQ247" s="93"/>
      <c r="BR247" s="93"/>
      <c r="BS247" s="93"/>
      <c r="BT247" s="93"/>
      <c r="BU247" s="93"/>
      <c r="BV247" s="93"/>
      <c r="BW247" s="93"/>
      <c r="BX247" s="93"/>
      <c r="BY247" s="93"/>
      <c r="BZ247" s="93"/>
      <c r="CA247" s="93"/>
      <c r="CB247" s="93"/>
      <c r="CC247" s="93"/>
      <c r="CD247" s="93"/>
      <c r="CE247" s="93"/>
      <c r="CF247" s="93"/>
      <c r="CG247" s="93"/>
      <c r="CH247" s="93"/>
      <c r="CI247" s="93"/>
      <c r="CJ247" s="93"/>
      <c r="CK247" s="93"/>
      <c r="CL247" s="93"/>
      <c r="CM247" s="93"/>
      <c r="CN247" s="93"/>
      <c r="CO247" s="93"/>
      <c r="CP247" s="93"/>
      <c r="CQ247" s="93"/>
      <c r="CR247" s="93"/>
      <c r="CS247" s="93"/>
      <c r="CT247" s="93"/>
      <c r="CU247" s="93"/>
      <c r="CV247" s="93"/>
      <c r="CW247" s="93"/>
      <c r="CX247" s="93"/>
      <c r="CY247" s="93"/>
      <c r="CZ247" s="93"/>
      <c r="DA247" s="93"/>
      <c r="DB247" s="93"/>
      <c r="DC247" s="93"/>
      <c r="DD247" s="93"/>
      <c r="DE247" s="93"/>
      <c r="DF247" s="93"/>
      <c r="DG247" s="93"/>
      <c r="DH247" s="93"/>
      <c r="DI247" s="93"/>
      <c r="DJ247" s="93"/>
      <c r="DK247" s="93"/>
      <c r="DL247" s="93"/>
      <c r="DM247" s="93"/>
      <c r="DN247" s="93"/>
      <c r="DO247" s="93"/>
      <c r="DP247" s="93"/>
      <c r="DQ247" s="93"/>
      <c r="DR247" s="93"/>
      <c r="DS247" s="93"/>
      <c r="DT247" s="93"/>
      <c r="DU247" s="93"/>
      <c r="DV247" s="93"/>
      <c r="DW247" s="93"/>
      <c r="DX247" s="93"/>
      <c r="DY247" s="93"/>
      <c r="DZ247" s="93"/>
      <c r="EA247" s="93"/>
      <c r="EB247" s="93"/>
      <c r="EC247" s="93"/>
      <c r="ED247" s="93"/>
      <c r="EE247" s="93"/>
      <c r="EF247" s="93"/>
      <c r="EG247" s="93"/>
      <c r="EH247" s="93"/>
      <c r="EI247" s="93"/>
      <c r="EJ247" s="93"/>
      <c r="EK247" s="93"/>
      <c r="EL247" s="93"/>
      <c r="EM247" s="93"/>
      <c r="EN247" s="93"/>
      <c r="EO247" s="93"/>
      <c r="EP247" s="93"/>
      <c r="EQ247" s="93"/>
      <c r="ER247" s="93"/>
      <c r="ES247" s="93"/>
      <c r="ET247" s="93"/>
      <c r="EU247" s="93"/>
      <c r="EV247" s="93"/>
      <c r="EW247" s="93"/>
      <c r="EX247" s="93"/>
      <c r="EY247" s="93"/>
      <c r="EZ247" s="93"/>
      <c r="FA247" s="93"/>
      <c r="FB247" s="93"/>
      <c r="FC247" s="93"/>
      <c r="FD247" s="93"/>
      <c r="FE247" s="93"/>
      <c r="FF247" s="93"/>
      <c r="FG247" s="93"/>
      <c r="FH247" s="93"/>
      <c r="FI247" s="93"/>
      <c r="FJ247" s="93"/>
      <c r="FK247" s="93"/>
      <c r="FL247" s="93"/>
      <c r="FM247" s="93"/>
      <c r="FN247" s="93"/>
      <c r="FO247" s="93"/>
      <c r="FP247" s="93"/>
      <c r="FQ247" s="93"/>
      <c r="FR247" s="93"/>
      <c r="FS247" s="93"/>
      <c r="FT247" s="93"/>
      <c r="FU247" s="93"/>
      <c r="FV247" s="93"/>
      <c r="FW247" s="93"/>
      <c r="FX247" s="93"/>
      <c r="FY247" s="93"/>
      <c r="FZ247" s="93"/>
      <c r="GA247" s="93"/>
      <c r="GB247" s="93"/>
      <c r="GC247" s="93"/>
      <c r="GD247" s="93"/>
      <c r="GE247" s="93"/>
      <c r="GF247" s="93"/>
      <c r="GG247" s="93"/>
      <c r="GH247" s="93"/>
      <c r="GI247" s="93"/>
      <c r="GJ247" s="93"/>
      <c r="GK247" s="93"/>
      <c r="GL247" s="93"/>
      <c r="GM247" s="93"/>
      <c r="GN247" s="93"/>
      <c r="GO247" s="93"/>
      <c r="GP247" s="93"/>
      <c r="GQ247" s="93"/>
      <c r="GR247" s="93"/>
      <c r="GS247" s="93"/>
      <c r="GT247" s="93"/>
      <c r="GU247" s="93"/>
      <c r="GV247" s="93"/>
      <c r="GW247" s="93"/>
      <c r="GX247" s="93"/>
      <c r="GY247" s="93"/>
      <c r="GZ247" s="93"/>
      <c r="HA247" s="93"/>
      <c r="HB247" s="93"/>
      <c r="HC247" s="93"/>
      <c r="HD247" s="93"/>
      <c r="HE247" s="93"/>
      <c r="HF247" s="93"/>
      <c r="HG247" s="93"/>
      <c r="HH247" s="93"/>
      <c r="HI247" s="93"/>
      <c r="HJ247" s="93"/>
      <c r="HK247" s="93"/>
      <c r="HL247" s="93"/>
      <c r="HM247" s="93"/>
      <c r="HN247" s="93"/>
      <c r="HO247" s="93"/>
      <c r="HP247" s="93"/>
      <c r="HQ247" s="93"/>
      <c r="HR247" s="93"/>
      <c r="HS247" s="93"/>
      <c r="HT247" s="93"/>
      <c r="HU247" s="93"/>
      <c r="HV247" s="93"/>
      <c r="HW247" s="93"/>
      <c r="HX247" s="93"/>
      <c r="HY247" s="93"/>
      <c r="HZ247" s="93"/>
      <c r="IA247" s="93"/>
      <c r="IB247" s="93"/>
      <c r="IC247" s="93"/>
      <c r="ID247" s="93"/>
      <c r="IE247" s="93"/>
      <c r="IF247" s="93"/>
      <c r="IG247" s="93"/>
      <c r="IH247" s="93"/>
      <c r="II247" s="93"/>
      <c r="IJ247" s="93"/>
      <c r="IK247" s="93"/>
      <c r="IL247" s="93"/>
      <c r="IM247" s="93"/>
      <c r="IN247" s="93"/>
      <c r="IO247" s="93"/>
      <c r="IP247" s="93"/>
      <c r="IQ247" s="93"/>
      <c r="IR247" s="93"/>
      <c r="IS247" s="93"/>
      <c r="IT247" s="93"/>
      <c r="IU247" s="93"/>
      <c r="IV247" s="93"/>
      <c r="IW247" s="93"/>
      <c r="IX247" s="93"/>
      <c r="IY247" s="93"/>
      <c r="IZ247" s="93"/>
    </row>
    <row r="248" spans="1:260" s="95" customFormat="1">
      <c r="A248" s="93"/>
      <c r="B248" s="183"/>
      <c r="C248" s="183"/>
      <c r="D248" s="183"/>
      <c r="E248" s="158"/>
      <c r="F248" s="158"/>
      <c r="G248" s="158"/>
      <c r="H248" s="158"/>
      <c r="I248" s="158"/>
      <c r="J248" s="158"/>
      <c r="K248" s="158"/>
      <c r="L248" s="158"/>
      <c r="M248" s="158"/>
      <c r="N248" s="158"/>
      <c r="O248" s="158"/>
      <c r="P248" s="228"/>
      <c r="Q248" s="158"/>
      <c r="R248" s="158"/>
      <c r="S248" s="207"/>
      <c r="T248" s="207"/>
      <c r="U248" s="207"/>
      <c r="V248" s="207"/>
      <c r="W248" s="207"/>
      <c r="X248" s="207"/>
      <c r="Y248" s="207"/>
      <c r="Z248" s="207"/>
      <c r="AA248" s="207"/>
      <c r="AB248" s="207"/>
      <c r="AC248" s="207"/>
      <c r="AD248" s="207"/>
      <c r="AE248" s="207"/>
      <c r="AF248" s="207"/>
      <c r="AG248" s="207"/>
      <c r="AH248" s="207"/>
      <c r="AI248" s="207"/>
      <c r="AJ248" s="207"/>
      <c r="AK248" s="207"/>
      <c r="AL248" s="207"/>
      <c r="AM248" s="94"/>
      <c r="AN248" s="94"/>
      <c r="AO248" s="94"/>
      <c r="AP248" s="94"/>
      <c r="AQ248" s="94"/>
      <c r="AR248" s="94"/>
      <c r="AS248" s="94"/>
      <c r="AT248" s="94"/>
      <c r="AU248" s="94"/>
      <c r="AV248" s="94"/>
      <c r="AW248" s="94"/>
      <c r="AX248" s="94"/>
      <c r="AY248" s="94"/>
      <c r="AZ248" s="93"/>
      <c r="BA248" s="93"/>
      <c r="BB248" s="93"/>
      <c r="BC248" s="93"/>
      <c r="BD248" s="93"/>
      <c r="BE248" s="93"/>
      <c r="BF248" s="93"/>
      <c r="BG248" s="93"/>
      <c r="BH248" s="93"/>
      <c r="BI248" s="93"/>
      <c r="BJ248" s="93"/>
      <c r="BK248" s="93"/>
      <c r="BL248" s="93"/>
      <c r="BM248" s="93"/>
      <c r="BN248" s="93"/>
      <c r="BO248" s="93"/>
      <c r="BP248" s="93"/>
      <c r="BQ248" s="93"/>
      <c r="BR248" s="93"/>
      <c r="BS248" s="93"/>
      <c r="BT248" s="93"/>
      <c r="BU248" s="93"/>
      <c r="BV248" s="93"/>
      <c r="BW248" s="93"/>
      <c r="BX248" s="93"/>
      <c r="BY248" s="93"/>
      <c r="BZ248" s="93"/>
      <c r="CA248" s="93"/>
      <c r="CB248" s="93"/>
      <c r="CC248" s="93"/>
      <c r="CD248" s="93"/>
      <c r="CE248" s="93"/>
      <c r="CF248" s="93"/>
      <c r="CG248" s="93"/>
      <c r="CH248" s="93"/>
      <c r="CI248" s="93"/>
      <c r="CJ248" s="93"/>
      <c r="CK248" s="93"/>
      <c r="CL248" s="93"/>
      <c r="CM248" s="93"/>
      <c r="CN248" s="93"/>
      <c r="CO248" s="93"/>
      <c r="CP248" s="93"/>
      <c r="CQ248" s="93"/>
      <c r="CR248" s="93"/>
      <c r="CS248" s="93"/>
      <c r="CT248" s="93"/>
      <c r="CU248" s="93"/>
      <c r="CV248" s="93"/>
      <c r="CW248" s="93"/>
      <c r="CX248" s="93"/>
      <c r="CY248" s="93"/>
      <c r="CZ248" s="93"/>
      <c r="DA248" s="93"/>
      <c r="DB248" s="93"/>
      <c r="DC248" s="93"/>
      <c r="DD248" s="93"/>
      <c r="DE248" s="93"/>
      <c r="DF248" s="93"/>
      <c r="DG248" s="93"/>
      <c r="DH248" s="93"/>
      <c r="DI248" s="93"/>
      <c r="DJ248" s="93"/>
      <c r="DK248" s="93"/>
      <c r="DL248" s="93"/>
      <c r="DM248" s="93"/>
      <c r="DN248" s="93"/>
      <c r="DO248" s="93"/>
      <c r="DP248" s="93"/>
      <c r="DQ248" s="93"/>
      <c r="DR248" s="93"/>
      <c r="DS248" s="93"/>
      <c r="DT248" s="93"/>
      <c r="DU248" s="93"/>
      <c r="DV248" s="93"/>
      <c r="DW248" s="93"/>
      <c r="DX248" s="93"/>
      <c r="DY248" s="93"/>
      <c r="DZ248" s="93"/>
      <c r="EA248" s="93"/>
      <c r="EB248" s="93"/>
      <c r="EC248" s="93"/>
      <c r="ED248" s="93"/>
      <c r="EE248" s="93"/>
      <c r="EF248" s="93"/>
      <c r="EG248" s="93"/>
      <c r="EH248" s="93"/>
      <c r="EI248" s="93"/>
      <c r="EJ248" s="93"/>
      <c r="EK248" s="93"/>
      <c r="EL248" s="93"/>
      <c r="EM248" s="93"/>
      <c r="EN248" s="93"/>
      <c r="EO248" s="93"/>
      <c r="EP248" s="93"/>
      <c r="EQ248" s="93"/>
      <c r="ER248" s="93"/>
      <c r="ES248" s="93"/>
      <c r="ET248" s="93"/>
      <c r="EU248" s="93"/>
      <c r="EV248" s="93"/>
      <c r="EW248" s="93"/>
      <c r="EX248" s="93"/>
      <c r="EY248" s="93"/>
      <c r="EZ248" s="93"/>
      <c r="FA248" s="93"/>
      <c r="FB248" s="93"/>
      <c r="FC248" s="93"/>
      <c r="FD248" s="93"/>
      <c r="FE248" s="93"/>
      <c r="FF248" s="93"/>
      <c r="FG248" s="93"/>
      <c r="FH248" s="93"/>
      <c r="FI248" s="93"/>
      <c r="FJ248" s="93"/>
      <c r="FK248" s="93"/>
      <c r="FL248" s="93"/>
      <c r="FM248" s="93"/>
      <c r="FN248" s="93"/>
      <c r="FO248" s="93"/>
      <c r="FP248" s="93"/>
      <c r="FQ248" s="93"/>
      <c r="FR248" s="93"/>
      <c r="FS248" s="93"/>
      <c r="FT248" s="93"/>
      <c r="FU248" s="93"/>
      <c r="FV248" s="93"/>
      <c r="FW248" s="93"/>
      <c r="FX248" s="93"/>
      <c r="FY248" s="93"/>
      <c r="FZ248" s="93"/>
      <c r="GA248" s="93"/>
      <c r="GB248" s="93"/>
      <c r="GC248" s="93"/>
      <c r="GD248" s="93"/>
      <c r="GE248" s="93"/>
      <c r="GF248" s="93"/>
      <c r="GG248" s="93"/>
      <c r="GH248" s="93"/>
      <c r="GI248" s="93"/>
      <c r="GJ248" s="93"/>
      <c r="GK248" s="93"/>
      <c r="GL248" s="93"/>
      <c r="GM248" s="93"/>
      <c r="GN248" s="93"/>
      <c r="GO248" s="93"/>
      <c r="GP248" s="93"/>
      <c r="GQ248" s="93"/>
      <c r="GR248" s="93"/>
      <c r="GS248" s="93"/>
      <c r="GT248" s="93"/>
      <c r="GU248" s="93"/>
      <c r="GV248" s="93"/>
      <c r="GW248" s="93"/>
      <c r="GX248" s="93"/>
      <c r="GY248" s="93"/>
      <c r="GZ248" s="93"/>
      <c r="HA248" s="93"/>
      <c r="HB248" s="93"/>
      <c r="HC248" s="93"/>
      <c r="HD248" s="93"/>
      <c r="HE248" s="93"/>
      <c r="HF248" s="93"/>
      <c r="HG248" s="93"/>
      <c r="HH248" s="93"/>
      <c r="HI248" s="93"/>
      <c r="HJ248" s="93"/>
      <c r="HK248" s="93"/>
      <c r="HL248" s="93"/>
      <c r="HM248" s="93"/>
      <c r="HN248" s="93"/>
      <c r="HO248" s="93"/>
      <c r="HP248" s="93"/>
      <c r="HQ248" s="93"/>
      <c r="HR248" s="93"/>
      <c r="HS248" s="93"/>
      <c r="HT248" s="93"/>
      <c r="HU248" s="93"/>
      <c r="HV248" s="93"/>
      <c r="HW248" s="93"/>
      <c r="HX248" s="93"/>
      <c r="HY248" s="93"/>
      <c r="HZ248" s="93"/>
      <c r="IA248" s="93"/>
      <c r="IB248" s="93"/>
      <c r="IC248" s="93"/>
      <c r="ID248" s="93"/>
      <c r="IE248" s="93"/>
      <c r="IF248" s="93"/>
      <c r="IG248" s="93"/>
      <c r="IH248" s="93"/>
      <c r="II248" s="93"/>
      <c r="IJ248" s="93"/>
      <c r="IK248" s="93"/>
      <c r="IL248" s="93"/>
      <c r="IM248" s="93"/>
      <c r="IN248" s="93"/>
      <c r="IO248" s="93"/>
      <c r="IP248" s="93"/>
      <c r="IQ248" s="93"/>
      <c r="IR248" s="93"/>
      <c r="IS248" s="93"/>
      <c r="IT248" s="93"/>
      <c r="IU248" s="93"/>
      <c r="IV248" s="93"/>
      <c r="IW248" s="93"/>
      <c r="IX248" s="93"/>
      <c r="IY248" s="93"/>
      <c r="IZ248" s="93"/>
    </row>
    <row r="249" spans="1:260" s="95" customFormat="1">
      <c r="A249" s="93"/>
      <c r="B249" s="183"/>
      <c r="C249" s="183"/>
      <c r="D249" s="183"/>
      <c r="E249" s="158"/>
      <c r="F249" s="158"/>
      <c r="G249" s="158"/>
      <c r="H249" s="158"/>
      <c r="I249" s="158"/>
      <c r="J249" s="158"/>
      <c r="K249" s="158"/>
      <c r="L249" s="158"/>
      <c r="M249" s="158"/>
      <c r="N249" s="158"/>
      <c r="O249" s="158"/>
      <c r="P249" s="228"/>
      <c r="Q249" s="158"/>
      <c r="R249" s="158"/>
      <c r="S249" s="207"/>
      <c r="T249" s="207"/>
      <c r="U249" s="207"/>
      <c r="V249" s="207"/>
      <c r="W249" s="207"/>
      <c r="X249" s="207"/>
      <c r="Y249" s="207"/>
      <c r="Z249" s="207"/>
      <c r="AA249" s="207"/>
      <c r="AB249" s="207"/>
      <c r="AC249" s="207"/>
      <c r="AD249" s="207"/>
      <c r="AE249" s="207"/>
      <c r="AF249" s="207"/>
      <c r="AG249" s="207"/>
      <c r="AH249" s="207"/>
      <c r="AI249" s="207"/>
      <c r="AJ249" s="207"/>
      <c r="AK249" s="207"/>
      <c r="AL249" s="207"/>
      <c r="AM249" s="94"/>
      <c r="AN249" s="94"/>
      <c r="AO249" s="94"/>
      <c r="AP249" s="94"/>
      <c r="AQ249" s="94"/>
      <c r="AR249" s="94"/>
      <c r="AS249" s="94"/>
      <c r="AT249" s="94"/>
      <c r="AU249" s="94"/>
      <c r="AV249" s="94"/>
      <c r="AW249" s="94"/>
      <c r="AX249" s="94"/>
      <c r="AY249" s="94"/>
      <c r="AZ249" s="93"/>
      <c r="BA249" s="93"/>
      <c r="BB249" s="93"/>
      <c r="BC249" s="93"/>
      <c r="BD249" s="93"/>
      <c r="BE249" s="93"/>
      <c r="BF249" s="93"/>
      <c r="BG249" s="93"/>
      <c r="BH249" s="93"/>
      <c r="BI249" s="93"/>
      <c r="BJ249" s="93"/>
      <c r="BK249" s="93"/>
      <c r="BL249" s="93"/>
      <c r="BM249" s="93"/>
      <c r="BN249" s="93"/>
      <c r="BO249" s="93"/>
      <c r="BP249" s="93"/>
      <c r="BQ249" s="93"/>
      <c r="BR249" s="93"/>
      <c r="BS249" s="93"/>
      <c r="BT249" s="93"/>
      <c r="BU249" s="93"/>
      <c r="BV249" s="93"/>
      <c r="BW249" s="93"/>
      <c r="BX249" s="93"/>
      <c r="BY249" s="93"/>
      <c r="BZ249" s="93"/>
      <c r="CA249" s="93"/>
      <c r="CB249" s="93"/>
      <c r="CC249" s="93"/>
      <c r="CD249" s="93"/>
      <c r="CE249" s="93"/>
      <c r="CF249" s="93"/>
      <c r="CG249" s="93"/>
      <c r="CH249" s="93"/>
      <c r="CI249" s="93"/>
      <c r="CJ249" s="93"/>
      <c r="CK249" s="93"/>
      <c r="CL249" s="93"/>
      <c r="CM249" s="93"/>
      <c r="CN249" s="93"/>
      <c r="CO249" s="93"/>
      <c r="CP249" s="93"/>
      <c r="CQ249" s="93"/>
      <c r="CR249" s="93"/>
      <c r="CS249" s="93"/>
      <c r="CT249" s="93"/>
      <c r="CU249" s="93"/>
      <c r="CV249" s="93"/>
      <c r="CW249" s="93"/>
      <c r="CX249" s="93"/>
      <c r="CY249" s="93"/>
      <c r="CZ249" s="93"/>
      <c r="DA249" s="93"/>
      <c r="DB249" s="93"/>
      <c r="DC249" s="93"/>
      <c r="DD249" s="93"/>
      <c r="DE249" s="93"/>
      <c r="DF249" s="93"/>
      <c r="DG249" s="93"/>
      <c r="DH249" s="93"/>
      <c r="DI249" s="93"/>
      <c r="DJ249" s="93"/>
      <c r="DK249" s="93"/>
      <c r="DL249" s="93"/>
      <c r="DM249" s="93"/>
      <c r="DN249" s="93"/>
      <c r="DO249" s="93"/>
      <c r="DP249" s="93"/>
      <c r="DQ249" s="93"/>
      <c r="DR249" s="93"/>
      <c r="DS249" s="93"/>
      <c r="DT249" s="93"/>
      <c r="DU249" s="93"/>
      <c r="DV249" s="93"/>
      <c r="DW249" s="93"/>
      <c r="DX249" s="93"/>
      <c r="DY249" s="93"/>
      <c r="DZ249" s="93"/>
      <c r="EA249" s="93"/>
      <c r="EB249" s="93"/>
      <c r="EC249" s="93"/>
      <c r="ED249" s="93"/>
      <c r="EE249" s="93"/>
      <c r="EF249" s="93"/>
      <c r="EG249" s="93"/>
      <c r="EH249" s="93"/>
      <c r="EI249" s="93"/>
      <c r="EJ249" s="93"/>
      <c r="EK249" s="93"/>
      <c r="EL249" s="93"/>
      <c r="EM249" s="93"/>
      <c r="EN249" s="93"/>
      <c r="EO249" s="93"/>
      <c r="EP249" s="93"/>
      <c r="EQ249" s="93"/>
      <c r="ER249" s="93"/>
      <c r="ES249" s="93"/>
      <c r="ET249" s="93"/>
      <c r="EU249" s="93"/>
      <c r="EV249" s="93"/>
      <c r="EW249" s="93"/>
      <c r="EX249" s="93"/>
      <c r="EY249" s="93"/>
      <c r="EZ249" s="93"/>
      <c r="FA249" s="93"/>
      <c r="FB249" s="93"/>
      <c r="FC249" s="93"/>
      <c r="FD249" s="93"/>
      <c r="FE249" s="93"/>
      <c r="FF249" s="93"/>
      <c r="FG249" s="93"/>
      <c r="FH249" s="93"/>
      <c r="FI249" s="93"/>
      <c r="FJ249" s="93"/>
      <c r="FK249" s="93"/>
      <c r="FL249" s="93"/>
      <c r="FM249" s="93"/>
      <c r="FN249" s="93"/>
      <c r="FO249" s="93"/>
      <c r="FP249" s="93"/>
      <c r="FQ249" s="93"/>
      <c r="FR249" s="93"/>
      <c r="FS249" s="93"/>
      <c r="FT249" s="93"/>
      <c r="FU249" s="93"/>
      <c r="FV249" s="93"/>
      <c r="FW249" s="93"/>
      <c r="FX249" s="93"/>
      <c r="FY249" s="93"/>
      <c r="FZ249" s="93"/>
      <c r="GA249" s="93"/>
      <c r="GB249" s="93"/>
      <c r="GC249" s="93"/>
      <c r="GD249" s="93"/>
      <c r="GE249" s="93"/>
      <c r="GF249" s="93"/>
      <c r="GG249" s="93"/>
      <c r="GH249" s="93"/>
      <c r="GI249" s="93"/>
      <c r="GJ249" s="93"/>
      <c r="GK249" s="93"/>
      <c r="GL249" s="93"/>
      <c r="GM249" s="93"/>
      <c r="GN249" s="93"/>
      <c r="GO249" s="93"/>
      <c r="GP249" s="93"/>
      <c r="GQ249" s="93"/>
      <c r="GR249" s="93"/>
      <c r="GS249" s="93"/>
      <c r="GT249" s="93"/>
      <c r="GU249" s="93"/>
      <c r="GV249" s="93"/>
      <c r="GW249" s="93"/>
      <c r="GX249" s="93"/>
      <c r="GY249" s="93"/>
      <c r="GZ249" s="93"/>
      <c r="HA249" s="93"/>
      <c r="HB249" s="93"/>
      <c r="HC249" s="93"/>
      <c r="HD249" s="93"/>
      <c r="HE249" s="93"/>
      <c r="HF249" s="93"/>
      <c r="HG249" s="93"/>
      <c r="HH249" s="93"/>
      <c r="HI249" s="93"/>
      <c r="HJ249" s="93"/>
      <c r="HK249" s="93"/>
      <c r="HL249" s="93"/>
      <c r="HM249" s="93"/>
      <c r="HN249" s="93"/>
      <c r="HO249" s="93"/>
      <c r="HP249" s="93"/>
      <c r="HQ249" s="93"/>
      <c r="HR249" s="93"/>
      <c r="HS249" s="93"/>
      <c r="HT249" s="93"/>
      <c r="HU249" s="93"/>
      <c r="HV249" s="93"/>
      <c r="HW249" s="93"/>
      <c r="HX249" s="93"/>
      <c r="HY249" s="93"/>
      <c r="HZ249" s="93"/>
      <c r="IA249" s="93"/>
      <c r="IB249" s="93"/>
      <c r="IC249" s="93"/>
      <c r="ID249" s="93"/>
      <c r="IE249" s="93"/>
      <c r="IF249" s="93"/>
      <c r="IG249" s="93"/>
      <c r="IH249" s="93"/>
      <c r="II249" s="93"/>
      <c r="IJ249" s="93"/>
      <c r="IK249" s="93"/>
      <c r="IL249" s="93"/>
      <c r="IM249" s="93"/>
      <c r="IN249" s="93"/>
      <c r="IO249" s="93"/>
      <c r="IP249" s="93"/>
      <c r="IQ249" s="93"/>
      <c r="IR249" s="93"/>
      <c r="IS249" s="93"/>
      <c r="IT249" s="93"/>
      <c r="IU249" s="93"/>
      <c r="IV249" s="93"/>
      <c r="IW249" s="93"/>
      <c r="IX249" s="93"/>
      <c r="IY249" s="93"/>
      <c r="IZ249" s="93"/>
    </row>
    <row r="250" spans="1:260" s="95" customFormat="1">
      <c r="A250" s="93"/>
      <c r="B250" s="183"/>
      <c r="C250" s="183"/>
      <c r="D250" s="183"/>
      <c r="E250" s="158"/>
      <c r="F250" s="158"/>
      <c r="G250" s="158"/>
      <c r="H250" s="158"/>
      <c r="I250" s="158"/>
      <c r="J250" s="158"/>
      <c r="K250" s="158"/>
      <c r="L250" s="158"/>
      <c r="M250" s="158"/>
      <c r="N250" s="158"/>
      <c r="O250" s="158"/>
      <c r="P250" s="228"/>
      <c r="Q250" s="158"/>
      <c r="R250" s="158"/>
      <c r="S250" s="207"/>
      <c r="T250" s="207"/>
      <c r="U250" s="207"/>
      <c r="V250" s="207"/>
      <c r="W250" s="207"/>
      <c r="X250" s="207"/>
      <c r="Y250" s="207"/>
      <c r="Z250" s="207"/>
      <c r="AA250" s="207"/>
      <c r="AB250" s="207"/>
      <c r="AC250" s="207"/>
      <c r="AD250" s="207"/>
      <c r="AE250" s="207"/>
      <c r="AF250" s="207"/>
      <c r="AG250" s="207"/>
      <c r="AH250" s="207"/>
      <c r="AI250" s="207"/>
      <c r="AJ250" s="207"/>
      <c r="AK250" s="207"/>
      <c r="AL250" s="207"/>
      <c r="AM250" s="94"/>
      <c r="AN250" s="94"/>
      <c r="AO250" s="94"/>
      <c r="AP250" s="94"/>
      <c r="AQ250" s="94"/>
      <c r="AR250" s="94"/>
      <c r="AS250" s="94"/>
      <c r="AT250" s="94"/>
      <c r="AU250" s="94"/>
      <c r="AV250" s="94"/>
      <c r="AW250" s="94"/>
      <c r="AX250" s="94"/>
      <c r="AY250" s="94"/>
      <c r="AZ250" s="93"/>
      <c r="BA250" s="93"/>
      <c r="BB250" s="93"/>
      <c r="BC250" s="93"/>
      <c r="BD250" s="93"/>
      <c r="BE250" s="93"/>
      <c r="BF250" s="93"/>
      <c r="BG250" s="93"/>
      <c r="BH250" s="93"/>
      <c r="BI250" s="93"/>
      <c r="BJ250" s="93"/>
      <c r="BK250" s="93"/>
      <c r="BL250" s="93"/>
      <c r="BM250" s="93"/>
      <c r="BN250" s="93"/>
      <c r="BO250" s="93"/>
      <c r="BP250" s="93"/>
      <c r="BQ250" s="93"/>
      <c r="BR250" s="93"/>
      <c r="BS250" s="93"/>
      <c r="BT250" s="93"/>
      <c r="BU250" s="93"/>
      <c r="BV250" s="93"/>
      <c r="BW250" s="93"/>
      <c r="BX250" s="93"/>
      <c r="BY250" s="93"/>
      <c r="BZ250" s="93"/>
      <c r="CA250" s="93"/>
      <c r="CB250" s="93"/>
      <c r="CC250" s="93"/>
      <c r="CD250" s="93"/>
      <c r="CE250" s="93"/>
      <c r="CF250" s="93"/>
      <c r="CG250" s="93"/>
      <c r="CH250" s="93"/>
      <c r="CI250" s="93"/>
      <c r="CJ250" s="93"/>
      <c r="CK250" s="93"/>
      <c r="CL250" s="93"/>
      <c r="CM250" s="93"/>
      <c r="CN250" s="93"/>
      <c r="CO250" s="93"/>
      <c r="CP250" s="93"/>
      <c r="CQ250" s="93"/>
      <c r="CR250" s="93"/>
      <c r="CS250" s="93"/>
      <c r="CT250" s="93"/>
      <c r="CU250" s="93"/>
      <c r="CV250" s="93"/>
      <c r="CW250" s="93"/>
      <c r="CX250" s="93"/>
      <c r="CY250" s="93"/>
      <c r="CZ250" s="93"/>
      <c r="DA250" s="93"/>
      <c r="DB250" s="93"/>
      <c r="DC250" s="93"/>
      <c r="DD250" s="93"/>
      <c r="DE250" s="93"/>
      <c r="DF250" s="93"/>
      <c r="DG250" s="93"/>
      <c r="DH250" s="93"/>
      <c r="DI250" s="93"/>
      <c r="DJ250" s="93"/>
      <c r="DK250" s="93"/>
      <c r="DL250" s="93"/>
      <c r="DM250" s="93"/>
      <c r="DN250" s="93"/>
      <c r="DO250" s="93"/>
      <c r="DP250" s="93"/>
      <c r="DQ250" s="93"/>
      <c r="DR250" s="93"/>
      <c r="DS250" s="93"/>
      <c r="DT250" s="93"/>
      <c r="DU250" s="93"/>
      <c r="DV250" s="93"/>
      <c r="DW250" s="93"/>
      <c r="DX250" s="93"/>
      <c r="DY250" s="93"/>
      <c r="DZ250" s="93"/>
      <c r="EA250" s="93"/>
      <c r="EB250" s="93"/>
      <c r="EC250" s="93"/>
      <c r="ED250" s="93"/>
      <c r="EE250" s="93"/>
      <c r="EF250" s="93"/>
      <c r="EG250" s="93"/>
      <c r="EH250" s="93"/>
      <c r="EI250" s="93"/>
      <c r="EJ250" s="93"/>
      <c r="EK250" s="93"/>
      <c r="EL250" s="93"/>
      <c r="EM250" s="93"/>
      <c r="EN250" s="93"/>
      <c r="EO250" s="93"/>
      <c r="EP250" s="93"/>
      <c r="EQ250" s="93"/>
      <c r="ER250" s="93"/>
      <c r="ES250" s="93"/>
      <c r="ET250" s="93"/>
      <c r="EU250" s="93"/>
      <c r="EV250" s="93"/>
      <c r="EW250" s="93"/>
      <c r="EX250" s="93"/>
      <c r="EY250" s="93"/>
      <c r="EZ250" s="93"/>
      <c r="FA250" s="93"/>
      <c r="FB250" s="93"/>
      <c r="FC250" s="93"/>
      <c r="FD250" s="93"/>
      <c r="FE250" s="93"/>
      <c r="FF250" s="93"/>
      <c r="FG250" s="93"/>
      <c r="FH250" s="93"/>
      <c r="FI250" s="93"/>
      <c r="FJ250" s="93"/>
      <c r="FK250" s="93"/>
      <c r="FL250" s="93"/>
      <c r="FM250" s="93"/>
      <c r="FN250" s="93"/>
      <c r="FO250" s="93"/>
      <c r="FP250" s="93"/>
      <c r="FQ250" s="93"/>
      <c r="FR250" s="93"/>
      <c r="FS250" s="93"/>
      <c r="FT250" s="93"/>
      <c r="FU250" s="93"/>
      <c r="FV250" s="93"/>
      <c r="FW250" s="93"/>
      <c r="FX250" s="93"/>
      <c r="FY250" s="93"/>
      <c r="FZ250" s="93"/>
      <c r="GA250" s="93"/>
      <c r="GB250" s="93"/>
      <c r="GC250" s="93"/>
      <c r="GD250" s="93"/>
      <c r="GE250" s="93"/>
      <c r="GF250" s="93"/>
      <c r="GG250" s="93"/>
      <c r="GH250" s="93"/>
      <c r="GI250" s="93"/>
      <c r="GJ250" s="93"/>
      <c r="GK250" s="93"/>
      <c r="GL250" s="93"/>
      <c r="GM250" s="93"/>
      <c r="GN250" s="93"/>
      <c r="GO250" s="93"/>
      <c r="GP250" s="93"/>
      <c r="GQ250" s="93"/>
      <c r="GR250" s="93"/>
      <c r="GS250" s="93"/>
      <c r="GT250" s="93"/>
      <c r="GU250" s="93"/>
      <c r="GV250" s="93"/>
      <c r="GW250" s="93"/>
      <c r="GX250" s="93"/>
      <c r="GY250" s="93"/>
      <c r="GZ250" s="93"/>
      <c r="HA250" s="93"/>
      <c r="HB250" s="93"/>
      <c r="HC250" s="93"/>
      <c r="HD250" s="93"/>
      <c r="HE250" s="93"/>
      <c r="HF250" s="93"/>
      <c r="HG250" s="93"/>
      <c r="HH250" s="93"/>
      <c r="HI250" s="93"/>
      <c r="HJ250" s="93"/>
      <c r="HK250" s="93"/>
      <c r="HL250" s="93"/>
      <c r="HM250" s="93"/>
      <c r="HN250" s="93"/>
      <c r="HO250" s="93"/>
      <c r="HP250" s="93"/>
      <c r="HQ250" s="93"/>
      <c r="HR250" s="93"/>
      <c r="HS250" s="93"/>
      <c r="HT250" s="93"/>
      <c r="HU250" s="93"/>
      <c r="HV250" s="93"/>
      <c r="HW250" s="93"/>
      <c r="HX250" s="93"/>
      <c r="HY250" s="93"/>
      <c r="HZ250" s="93"/>
      <c r="IA250" s="93"/>
      <c r="IB250" s="93"/>
      <c r="IC250" s="93"/>
      <c r="ID250" s="93"/>
      <c r="IE250" s="93"/>
      <c r="IF250" s="93"/>
      <c r="IG250" s="93"/>
      <c r="IH250" s="93"/>
      <c r="II250" s="93"/>
      <c r="IJ250" s="93"/>
      <c r="IK250" s="93"/>
      <c r="IL250" s="93"/>
      <c r="IM250" s="93"/>
      <c r="IN250" s="93"/>
      <c r="IO250" s="93"/>
      <c r="IP250" s="93"/>
      <c r="IQ250" s="93"/>
      <c r="IR250" s="93"/>
      <c r="IS250" s="93"/>
      <c r="IT250" s="93"/>
      <c r="IU250" s="93"/>
      <c r="IV250" s="93"/>
      <c r="IW250" s="93"/>
      <c r="IX250" s="93"/>
      <c r="IY250" s="93"/>
      <c r="IZ250" s="93"/>
    </row>
    <row r="251" spans="1:260" s="95" customFormat="1">
      <c r="A251" s="93"/>
      <c r="B251" s="183"/>
      <c r="C251" s="183"/>
      <c r="D251" s="183"/>
      <c r="E251" s="158"/>
      <c r="F251" s="158"/>
      <c r="G251" s="158"/>
      <c r="H251" s="158"/>
      <c r="I251" s="158"/>
      <c r="J251" s="158"/>
      <c r="K251" s="158"/>
      <c r="L251" s="158"/>
      <c r="M251" s="158"/>
      <c r="N251" s="158"/>
      <c r="O251" s="158"/>
      <c r="P251" s="228"/>
      <c r="Q251" s="158"/>
      <c r="R251" s="158"/>
      <c r="S251" s="207"/>
      <c r="T251" s="207"/>
      <c r="U251" s="207"/>
      <c r="V251" s="207"/>
      <c r="W251" s="207"/>
      <c r="X251" s="207"/>
      <c r="Y251" s="207"/>
      <c r="Z251" s="207"/>
      <c r="AA251" s="207"/>
      <c r="AB251" s="207"/>
      <c r="AC251" s="207"/>
      <c r="AD251" s="207"/>
      <c r="AE251" s="207"/>
      <c r="AF251" s="207"/>
      <c r="AG251" s="207"/>
      <c r="AH251" s="207"/>
      <c r="AI251" s="207"/>
      <c r="AJ251" s="207"/>
      <c r="AK251" s="207"/>
      <c r="AL251" s="207"/>
      <c r="AM251" s="94"/>
      <c r="AN251" s="94"/>
      <c r="AO251" s="94"/>
      <c r="AP251" s="94"/>
      <c r="AQ251" s="94"/>
      <c r="AR251" s="94"/>
      <c r="AS251" s="94"/>
      <c r="AT251" s="94"/>
      <c r="AU251" s="94"/>
      <c r="AV251" s="94"/>
      <c r="AW251" s="94"/>
      <c r="AX251" s="94"/>
      <c r="AY251" s="94"/>
      <c r="AZ251" s="93"/>
      <c r="BA251" s="93"/>
      <c r="BB251" s="93"/>
      <c r="BC251" s="93"/>
      <c r="BD251" s="93"/>
      <c r="BE251" s="93"/>
      <c r="BF251" s="93"/>
      <c r="BG251" s="93"/>
      <c r="BH251" s="93"/>
      <c r="BI251" s="93"/>
      <c r="BJ251" s="93"/>
      <c r="BK251" s="93"/>
      <c r="BL251" s="93"/>
      <c r="BM251" s="93"/>
      <c r="BN251" s="93"/>
      <c r="BO251" s="93"/>
      <c r="BP251" s="93"/>
      <c r="BQ251" s="93"/>
      <c r="BR251" s="93"/>
      <c r="BS251" s="93"/>
      <c r="BT251" s="93"/>
      <c r="BU251" s="93"/>
      <c r="BV251" s="93"/>
      <c r="BW251" s="93"/>
      <c r="BX251" s="93"/>
      <c r="BY251" s="93"/>
      <c r="BZ251" s="93"/>
      <c r="CA251" s="93"/>
      <c r="CB251" s="93"/>
      <c r="CC251" s="93"/>
      <c r="CD251" s="93"/>
      <c r="CE251" s="93"/>
      <c r="CF251" s="93"/>
      <c r="CG251" s="93"/>
      <c r="CH251" s="93"/>
      <c r="CI251" s="93"/>
      <c r="CJ251" s="93"/>
      <c r="CK251" s="93"/>
      <c r="CL251" s="93"/>
      <c r="CM251" s="93"/>
      <c r="CN251" s="93"/>
      <c r="CO251" s="93"/>
      <c r="CP251" s="93"/>
      <c r="CQ251" s="93"/>
      <c r="CR251" s="93"/>
      <c r="CS251" s="93"/>
      <c r="CT251" s="93"/>
      <c r="CU251" s="93"/>
      <c r="CV251" s="93"/>
      <c r="CW251" s="93"/>
      <c r="CX251" s="93"/>
      <c r="CY251" s="93"/>
      <c r="CZ251" s="93"/>
      <c r="DA251" s="93"/>
      <c r="DB251" s="93"/>
      <c r="DC251" s="93"/>
      <c r="DD251" s="93"/>
      <c r="DE251" s="93"/>
      <c r="DF251" s="93"/>
      <c r="DG251" s="93"/>
      <c r="DH251" s="93"/>
      <c r="DI251" s="93"/>
      <c r="DJ251" s="93"/>
      <c r="DK251" s="93"/>
      <c r="DL251" s="93"/>
      <c r="DM251" s="93"/>
      <c r="DN251" s="93"/>
      <c r="DO251" s="93"/>
      <c r="DP251" s="93"/>
      <c r="DQ251" s="93"/>
      <c r="DR251" s="93"/>
      <c r="DS251" s="93"/>
      <c r="DT251" s="93"/>
      <c r="DU251" s="93"/>
      <c r="DV251" s="93"/>
      <c r="DW251" s="93"/>
      <c r="DX251" s="93"/>
      <c r="DY251" s="93"/>
      <c r="DZ251" s="93"/>
      <c r="EA251" s="93"/>
      <c r="EB251" s="93"/>
      <c r="EC251" s="93"/>
      <c r="ED251" s="93"/>
      <c r="EE251" s="93"/>
      <c r="EF251" s="93"/>
      <c r="EG251" s="93"/>
      <c r="EH251" s="93"/>
      <c r="EI251" s="93"/>
      <c r="EJ251" s="93"/>
      <c r="EK251" s="93"/>
      <c r="EL251" s="93"/>
      <c r="EM251" s="93"/>
      <c r="EN251" s="93"/>
      <c r="EO251" s="93"/>
      <c r="EP251" s="93"/>
      <c r="EQ251" s="93"/>
      <c r="ER251" s="93"/>
      <c r="ES251" s="93"/>
      <c r="ET251" s="93"/>
      <c r="EU251" s="93"/>
      <c r="EV251" s="93"/>
      <c r="EW251" s="93"/>
      <c r="EX251" s="93"/>
      <c r="EY251" s="93"/>
      <c r="EZ251" s="93"/>
      <c r="FA251" s="93"/>
      <c r="FB251" s="93"/>
      <c r="FC251" s="93"/>
      <c r="FD251" s="93"/>
      <c r="FE251" s="93"/>
      <c r="FF251" s="93"/>
      <c r="FG251" s="93"/>
      <c r="FH251" s="93"/>
      <c r="FI251" s="93"/>
      <c r="FJ251" s="93"/>
      <c r="FK251" s="93"/>
      <c r="FL251" s="93"/>
      <c r="FM251" s="93"/>
      <c r="FN251" s="93"/>
      <c r="FO251" s="93"/>
      <c r="FP251" s="93"/>
      <c r="FQ251" s="93"/>
      <c r="FR251" s="93"/>
      <c r="FS251" s="93"/>
      <c r="FT251" s="93"/>
      <c r="FU251" s="93"/>
      <c r="FV251" s="93"/>
      <c r="FW251" s="93"/>
      <c r="FX251" s="93"/>
      <c r="FY251" s="93"/>
      <c r="FZ251" s="93"/>
      <c r="GA251" s="93"/>
      <c r="GB251" s="93"/>
      <c r="GC251" s="93"/>
      <c r="GD251" s="93"/>
      <c r="GE251" s="93"/>
      <c r="GF251" s="93"/>
      <c r="GG251" s="93"/>
      <c r="GH251" s="93"/>
      <c r="GI251" s="93"/>
      <c r="GJ251" s="93"/>
      <c r="GK251" s="93"/>
      <c r="GL251" s="93"/>
      <c r="GM251" s="93"/>
      <c r="GN251" s="93"/>
      <c r="GO251" s="93"/>
      <c r="GP251" s="93"/>
      <c r="GQ251" s="93"/>
      <c r="GR251" s="93"/>
      <c r="GS251" s="93"/>
      <c r="GT251" s="93"/>
      <c r="GU251" s="93"/>
      <c r="GV251" s="93"/>
      <c r="GW251" s="93"/>
      <c r="GX251" s="93"/>
      <c r="GY251" s="93"/>
      <c r="GZ251" s="93"/>
      <c r="HA251" s="93"/>
      <c r="HB251" s="93"/>
      <c r="HC251" s="93"/>
      <c r="HD251" s="93"/>
      <c r="HE251" s="93"/>
      <c r="HF251" s="93"/>
      <c r="HG251" s="93"/>
      <c r="HH251" s="93"/>
      <c r="HI251" s="93"/>
      <c r="HJ251" s="93"/>
      <c r="HK251" s="93"/>
      <c r="HL251" s="93"/>
      <c r="HM251" s="93"/>
      <c r="HN251" s="93"/>
      <c r="HO251" s="93"/>
      <c r="HP251" s="93"/>
      <c r="HQ251" s="93"/>
      <c r="HR251" s="93"/>
      <c r="HS251" s="93"/>
      <c r="HT251" s="93"/>
      <c r="HU251" s="93"/>
      <c r="HV251" s="93"/>
      <c r="HW251" s="93"/>
      <c r="HX251" s="93"/>
      <c r="HY251" s="93"/>
      <c r="HZ251" s="93"/>
      <c r="IA251" s="93"/>
      <c r="IB251" s="93"/>
      <c r="IC251" s="93"/>
      <c r="ID251" s="93"/>
      <c r="IE251" s="93"/>
      <c r="IF251" s="93"/>
      <c r="IG251" s="93"/>
      <c r="IH251" s="93"/>
      <c r="II251" s="93"/>
      <c r="IJ251" s="93"/>
      <c r="IK251" s="93"/>
      <c r="IL251" s="93"/>
      <c r="IM251" s="93"/>
      <c r="IN251" s="93"/>
      <c r="IO251" s="93"/>
      <c r="IP251" s="93"/>
      <c r="IQ251" s="93"/>
      <c r="IR251" s="93"/>
      <c r="IS251" s="93"/>
      <c r="IT251" s="93"/>
      <c r="IU251" s="93"/>
      <c r="IV251" s="93"/>
      <c r="IW251" s="93"/>
      <c r="IX251" s="93"/>
      <c r="IY251" s="93"/>
      <c r="IZ251" s="93"/>
    </row>
    <row r="252" spans="1:260" s="95" customFormat="1">
      <c r="A252" s="93"/>
      <c r="B252" s="183"/>
      <c r="C252" s="183"/>
      <c r="D252" s="183"/>
      <c r="E252" s="158"/>
      <c r="F252" s="158"/>
      <c r="G252" s="158"/>
      <c r="H252" s="158"/>
      <c r="I252" s="158"/>
      <c r="J252" s="158"/>
      <c r="K252" s="158"/>
      <c r="L252" s="158"/>
      <c r="M252" s="158"/>
      <c r="N252" s="158"/>
      <c r="O252" s="158"/>
      <c r="P252" s="228"/>
      <c r="Q252" s="158"/>
      <c r="R252" s="158"/>
      <c r="S252" s="207"/>
      <c r="T252" s="207"/>
      <c r="U252" s="207"/>
      <c r="V252" s="207"/>
      <c r="W252" s="207"/>
      <c r="X252" s="207"/>
      <c r="Y252" s="207"/>
      <c r="Z252" s="207"/>
      <c r="AA252" s="207"/>
      <c r="AB252" s="207"/>
      <c r="AC252" s="207"/>
      <c r="AD252" s="207"/>
      <c r="AE252" s="207"/>
      <c r="AF252" s="207"/>
      <c r="AG252" s="207"/>
      <c r="AH252" s="207"/>
      <c r="AI252" s="207"/>
      <c r="AJ252" s="207"/>
      <c r="AK252" s="207"/>
      <c r="AL252" s="207"/>
      <c r="AM252" s="94"/>
      <c r="AN252" s="94"/>
      <c r="AO252" s="94"/>
      <c r="AP252" s="94"/>
      <c r="AQ252" s="94"/>
      <c r="AR252" s="94"/>
      <c r="AS252" s="94"/>
      <c r="AT252" s="94"/>
      <c r="AU252" s="94"/>
      <c r="AV252" s="94"/>
      <c r="AW252" s="94"/>
      <c r="AX252" s="94"/>
      <c r="AY252" s="94"/>
      <c r="AZ252" s="93"/>
      <c r="BA252" s="93"/>
      <c r="BB252" s="93"/>
      <c r="BC252" s="93"/>
      <c r="BD252" s="93"/>
      <c r="BE252" s="93"/>
      <c r="BF252" s="93"/>
      <c r="BG252" s="93"/>
      <c r="BH252" s="93"/>
      <c r="BI252" s="93"/>
      <c r="BJ252" s="93"/>
      <c r="BK252" s="93"/>
      <c r="BL252" s="93"/>
      <c r="BM252" s="93"/>
      <c r="BN252" s="93"/>
      <c r="BO252" s="93"/>
      <c r="BP252" s="93"/>
      <c r="BQ252" s="93"/>
      <c r="BR252" s="93"/>
      <c r="BS252" s="93"/>
      <c r="BT252" s="93"/>
      <c r="BU252" s="93"/>
      <c r="BV252" s="93"/>
      <c r="BW252" s="93"/>
      <c r="BX252" s="93"/>
      <c r="BY252" s="93"/>
      <c r="BZ252" s="93"/>
      <c r="CA252" s="93"/>
      <c r="CB252" s="93"/>
      <c r="CC252" s="93"/>
      <c r="CD252" s="93"/>
      <c r="CE252" s="93"/>
      <c r="CF252" s="93"/>
      <c r="CG252" s="93"/>
      <c r="CH252" s="93"/>
      <c r="CI252" s="93"/>
      <c r="CJ252" s="93"/>
      <c r="CK252" s="93"/>
      <c r="CL252" s="93"/>
      <c r="CM252" s="93"/>
      <c r="CN252" s="93"/>
      <c r="CO252" s="93"/>
      <c r="CP252" s="93"/>
      <c r="CQ252" s="93"/>
      <c r="CR252" s="93"/>
      <c r="CS252" s="93"/>
      <c r="CT252" s="93"/>
      <c r="CU252" s="93"/>
      <c r="CV252" s="93"/>
      <c r="CW252" s="93"/>
      <c r="CX252" s="93"/>
      <c r="CY252" s="93"/>
      <c r="CZ252" s="93"/>
      <c r="DA252" s="93"/>
      <c r="DB252" s="93"/>
      <c r="DC252" s="93"/>
      <c r="DD252" s="93"/>
      <c r="DE252" s="93"/>
      <c r="DF252" s="93"/>
      <c r="DG252" s="93"/>
      <c r="DH252" s="93"/>
      <c r="DI252" s="93"/>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3"/>
      <c r="FG252" s="93"/>
      <c r="FH252" s="93"/>
      <c r="FI252" s="93"/>
      <c r="FJ252" s="93"/>
      <c r="FK252" s="93"/>
      <c r="FL252" s="93"/>
      <c r="FM252" s="93"/>
      <c r="FN252" s="93"/>
      <c r="FO252" s="93"/>
      <c r="FP252" s="93"/>
      <c r="FQ252" s="93"/>
      <c r="FR252" s="93"/>
      <c r="FS252" s="93"/>
      <c r="FT252" s="93"/>
      <c r="FU252" s="93"/>
      <c r="FV252" s="93"/>
      <c r="FW252" s="93"/>
      <c r="FX252" s="93"/>
      <c r="FY252" s="93"/>
      <c r="FZ252" s="93"/>
      <c r="GA252" s="93"/>
      <c r="GB252" s="93"/>
      <c r="GC252" s="93"/>
      <c r="GD252" s="93"/>
      <c r="GE252" s="93"/>
      <c r="GF252" s="93"/>
      <c r="GG252" s="93"/>
      <c r="GH252" s="93"/>
      <c r="GI252" s="93"/>
      <c r="GJ252" s="93"/>
      <c r="GK252" s="93"/>
      <c r="GL252" s="93"/>
      <c r="GM252" s="93"/>
      <c r="GN252" s="93"/>
      <c r="GO252" s="93"/>
      <c r="GP252" s="93"/>
      <c r="GQ252" s="93"/>
      <c r="GR252" s="93"/>
      <c r="GS252" s="93"/>
      <c r="GT252" s="93"/>
      <c r="GU252" s="93"/>
      <c r="GV252" s="93"/>
      <c r="GW252" s="93"/>
      <c r="GX252" s="93"/>
      <c r="GY252" s="93"/>
      <c r="GZ252" s="93"/>
      <c r="HA252" s="93"/>
      <c r="HB252" s="93"/>
      <c r="HC252" s="93"/>
      <c r="HD252" s="93"/>
      <c r="HE252" s="93"/>
      <c r="HF252" s="93"/>
      <c r="HG252" s="93"/>
      <c r="HH252" s="93"/>
      <c r="HI252" s="93"/>
      <c r="HJ252" s="93"/>
      <c r="HK252" s="93"/>
      <c r="HL252" s="93"/>
      <c r="HM252" s="93"/>
      <c r="HN252" s="93"/>
      <c r="HO252" s="93"/>
      <c r="HP252" s="93"/>
      <c r="HQ252" s="93"/>
      <c r="HR252" s="93"/>
      <c r="HS252" s="93"/>
      <c r="HT252" s="93"/>
      <c r="HU252" s="93"/>
      <c r="HV252" s="93"/>
      <c r="HW252" s="93"/>
      <c r="HX252" s="93"/>
      <c r="HY252" s="93"/>
      <c r="HZ252" s="93"/>
      <c r="IA252" s="93"/>
      <c r="IB252" s="93"/>
      <c r="IC252" s="93"/>
      <c r="ID252" s="93"/>
      <c r="IE252" s="93"/>
      <c r="IF252" s="93"/>
      <c r="IG252" s="93"/>
      <c r="IH252" s="93"/>
      <c r="II252" s="93"/>
      <c r="IJ252" s="93"/>
      <c r="IK252" s="93"/>
      <c r="IL252" s="93"/>
      <c r="IM252" s="93"/>
      <c r="IN252" s="93"/>
      <c r="IO252" s="93"/>
      <c r="IP252" s="93"/>
      <c r="IQ252" s="93"/>
      <c r="IR252" s="93"/>
      <c r="IS252" s="93"/>
      <c r="IT252" s="93"/>
      <c r="IU252" s="93"/>
      <c r="IV252" s="93"/>
      <c r="IW252" s="93"/>
      <c r="IX252" s="93"/>
      <c r="IY252" s="93"/>
      <c r="IZ252" s="93"/>
    </row>
    <row r="253" spans="1:260" s="95" customFormat="1">
      <c r="A253" s="93"/>
      <c r="B253" s="183"/>
      <c r="C253" s="183"/>
      <c r="D253" s="183"/>
      <c r="E253" s="158"/>
      <c r="F253" s="158"/>
      <c r="G253" s="158"/>
      <c r="H253" s="158"/>
      <c r="I253" s="158"/>
      <c r="J253" s="158"/>
      <c r="K253" s="158"/>
      <c r="L253" s="158"/>
      <c r="M253" s="158"/>
      <c r="N253" s="158"/>
      <c r="O253" s="158"/>
      <c r="P253" s="228"/>
      <c r="Q253" s="158"/>
      <c r="R253" s="158"/>
      <c r="S253" s="207"/>
      <c r="T253" s="207"/>
      <c r="U253" s="207"/>
      <c r="V253" s="207"/>
      <c r="W253" s="207"/>
      <c r="X253" s="207"/>
      <c r="Y253" s="207"/>
      <c r="Z253" s="207"/>
      <c r="AA253" s="207"/>
      <c r="AB253" s="207"/>
      <c r="AC253" s="207"/>
      <c r="AD253" s="207"/>
      <c r="AE253" s="207"/>
      <c r="AF253" s="207"/>
      <c r="AG253" s="207"/>
      <c r="AH253" s="207"/>
      <c r="AI253" s="207"/>
      <c r="AJ253" s="207"/>
      <c r="AK253" s="207"/>
      <c r="AL253" s="207"/>
      <c r="AM253" s="94"/>
      <c r="AN253" s="94"/>
      <c r="AO253" s="94"/>
      <c r="AP253" s="94"/>
      <c r="AQ253" s="94"/>
      <c r="AR253" s="94"/>
      <c r="AS253" s="94"/>
      <c r="AT253" s="94"/>
      <c r="AU253" s="94"/>
      <c r="AV253" s="94"/>
      <c r="AW253" s="94"/>
      <c r="AX253" s="94"/>
      <c r="AY253" s="94"/>
      <c r="AZ253" s="93"/>
      <c r="BA253" s="93"/>
      <c r="BB253" s="93"/>
      <c r="BC253" s="93"/>
      <c r="BD253" s="93"/>
      <c r="BE253" s="93"/>
      <c r="BF253" s="93"/>
      <c r="BG253" s="93"/>
      <c r="BH253" s="93"/>
      <c r="BI253" s="93"/>
      <c r="BJ253" s="93"/>
      <c r="BK253" s="93"/>
      <c r="BL253" s="93"/>
      <c r="BM253" s="93"/>
      <c r="BN253" s="93"/>
      <c r="BO253" s="93"/>
      <c r="BP253" s="93"/>
      <c r="BQ253" s="93"/>
      <c r="BR253" s="93"/>
      <c r="BS253" s="93"/>
      <c r="BT253" s="93"/>
      <c r="BU253" s="93"/>
      <c r="BV253" s="93"/>
      <c r="BW253" s="93"/>
      <c r="BX253" s="93"/>
      <c r="BY253" s="93"/>
      <c r="BZ253" s="93"/>
      <c r="CA253" s="93"/>
      <c r="CB253" s="93"/>
      <c r="CC253" s="93"/>
      <c r="CD253" s="93"/>
      <c r="CE253" s="93"/>
      <c r="CF253" s="93"/>
      <c r="CG253" s="93"/>
      <c r="CH253" s="93"/>
      <c r="CI253" s="93"/>
      <c r="CJ253" s="93"/>
      <c r="CK253" s="93"/>
      <c r="CL253" s="93"/>
      <c r="CM253" s="93"/>
      <c r="CN253" s="93"/>
      <c r="CO253" s="93"/>
      <c r="CP253" s="93"/>
      <c r="CQ253" s="93"/>
      <c r="CR253" s="93"/>
      <c r="CS253" s="93"/>
      <c r="CT253" s="93"/>
      <c r="CU253" s="93"/>
      <c r="CV253" s="93"/>
      <c r="CW253" s="93"/>
      <c r="CX253" s="93"/>
      <c r="CY253" s="93"/>
      <c r="CZ253" s="93"/>
      <c r="DA253" s="93"/>
      <c r="DB253" s="93"/>
      <c r="DC253" s="93"/>
      <c r="DD253" s="93"/>
      <c r="DE253" s="93"/>
      <c r="DF253" s="93"/>
      <c r="DG253" s="93"/>
      <c r="DH253" s="93"/>
      <c r="DI253" s="93"/>
      <c r="DJ253" s="93"/>
      <c r="DK253" s="93"/>
      <c r="DL253" s="93"/>
      <c r="DM253" s="93"/>
      <c r="DN253" s="93"/>
      <c r="DO253" s="93"/>
      <c r="DP253" s="93"/>
      <c r="DQ253" s="93"/>
      <c r="DR253" s="93"/>
      <c r="DS253" s="93"/>
      <c r="DT253" s="93"/>
      <c r="DU253" s="93"/>
      <c r="DV253" s="93"/>
      <c r="DW253" s="93"/>
      <c r="DX253" s="93"/>
      <c r="DY253" s="93"/>
      <c r="DZ253" s="93"/>
      <c r="EA253" s="93"/>
      <c r="EB253" s="93"/>
      <c r="EC253" s="93"/>
      <c r="ED253" s="93"/>
      <c r="EE253" s="93"/>
      <c r="EF253" s="93"/>
      <c r="EG253" s="93"/>
      <c r="EH253" s="93"/>
      <c r="EI253" s="93"/>
      <c r="EJ253" s="93"/>
      <c r="EK253" s="93"/>
      <c r="EL253" s="93"/>
      <c r="EM253" s="93"/>
      <c r="EN253" s="93"/>
      <c r="EO253" s="93"/>
      <c r="EP253" s="93"/>
      <c r="EQ253" s="93"/>
      <c r="ER253" s="93"/>
      <c r="ES253" s="93"/>
      <c r="ET253" s="93"/>
      <c r="EU253" s="93"/>
      <c r="EV253" s="93"/>
      <c r="EW253" s="93"/>
      <c r="EX253" s="93"/>
      <c r="EY253" s="93"/>
      <c r="EZ253" s="93"/>
      <c r="FA253" s="93"/>
      <c r="FB253" s="93"/>
      <c r="FC253" s="93"/>
      <c r="FD253" s="93"/>
      <c r="FE253" s="93"/>
      <c r="FF253" s="93"/>
      <c r="FG253" s="93"/>
      <c r="FH253" s="93"/>
      <c r="FI253" s="93"/>
      <c r="FJ253" s="93"/>
      <c r="FK253" s="93"/>
      <c r="FL253" s="93"/>
      <c r="FM253" s="93"/>
      <c r="FN253" s="93"/>
      <c r="FO253" s="93"/>
      <c r="FP253" s="93"/>
      <c r="FQ253" s="93"/>
      <c r="FR253" s="93"/>
      <c r="FS253" s="93"/>
      <c r="FT253" s="93"/>
      <c r="FU253" s="93"/>
      <c r="FV253" s="93"/>
      <c r="FW253" s="93"/>
      <c r="FX253" s="93"/>
      <c r="FY253" s="93"/>
      <c r="FZ253" s="93"/>
      <c r="GA253" s="93"/>
      <c r="GB253" s="93"/>
      <c r="GC253" s="93"/>
      <c r="GD253" s="93"/>
      <c r="GE253" s="93"/>
      <c r="GF253" s="93"/>
      <c r="GG253" s="93"/>
      <c r="GH253" s="93"/>
      <c r="GI253" s="93"/>
      <c r="GJ253" s="93"/>
      <c r="GK253" s="93"/>
      <c r="GL253" s="93"/>
      <c r="GM253" s="93"/>
      <c r="GN253" s="93"/>
      <c r="GO253" s="93"/>
      <c r="GP253" s="93"/>
      <c r="GQ253" s="93"/>
      <c r="GR253" s="93"/>
      <c r="GS253" s="93"/>
      <c r="GT253" s="93"/>
      <c r="GU253" s="93"/>
      <c r="GV253" s="93"/>
      <c r="GW253" s="93"/>
      <c r="GX253" s="93"/>
      <c r="GY253" s="93"/>
      <c r="GZ253" s="93"/>
      <c r="HA253" s="93"/>
      <c r="HB253" s="93"/>
      <c r="HC253" s="93"/>
      <c r="HD253" s="93"/>
      <c r="HE253" s="93"/>
      <c r="HF253" s="93"/>
      <c r="HG253" s="93"/>
      <c r="HH253" s="93"/>
      <c r="HI253" s="93"/>
      <c r="HJ253" s="93"/>
      <c r="HK253" s="93"/>
      <c r="HL253" s="93"/>
      <c r="HM253" s="93"/>
      <c r="HN253" s="93"/>
      <c r="HO253" s="93"/>
      <c r="HP253" s="93"/>
      <c r="HQ253" s="93"/>
      <c r="HR253" s="93"/>
      <c r="HS253" s="93"/>
      <c r="HT253" s="93"/>
      <c r="HU253" s="93"/>
      <c r="HV253" s="93"/>
      <c r="HW253" s="93"/>
      <c r="HX253" s="93"/>
      <c r="HY253" s="93"/>
      <c r="HZ253" s="93"/>
      <c r="IA253" s="93"/>
      <c r="IB253" s="93"/>
      <c r="IC253" s="93"/>
      <c r="ID253" s="93"/>
      <c r="IE253" s="93"/>
      <c r="IF253" s="93"/>
      <c r="IG253" s="93"/>
      <c r="IH253" s="93"/>
      <c r="II253" s="93"/>
      <c r="IJ253" s="93"/>
      <c r="IK253" s="93"/>
      <c r="IL253" s="93"/>
      <c r="IM253" s="93"/>
      <c r="IN253" s="93"/>
      <c r="IO253" s="93"/>
      <c r="IP253" s="93"/>
      <c r="IQ253" s="93"/>
      <c r="IR253" s="93"/>
      <c r="IS253" s="93"/>
      <c r="IT253" s="93"/>
      <c r="IU253" s="93"/>
      <c r="IV253" s="93"/>
      <c r="IW253" s="93"/>
      <c r="IX253" s="93"/>
      <c r="IY253" s="93"/>
      <c r="IZ253" s="93"/>
    </row>
    <row r="254" spans="1:260" s="95" customFormat="1">
      <c r="A254" s="93"/>
      <c r="B254" s="183"/>
      <c r="C254" s="183"/>
      <c r="D254" s="183"/>
      <c r="E254" s="158"/>
      <c r="F254" s="158"/>
      <c r="G254" s="158"/>
      <c r="H254" s="158"/>
      <c r="I254" s="158"/>
      <c r="J254" s="158"/>
      <c r="K254" s="158"/>
      <c r="L254" s="158"/>
      <c r="M254" s="158"/>
      <c r="N254" s="158"/>
      <c r="O254" s="158"/>
      <c r="P254" s="228"/>
      <c r="Q254" s="158"/>
      <c r="R254" s="158"/>
      <c r="S254" s="207"/>
      <c r="T254" s="207"/>
      <c r="U254" s="207"/>
      <c r="V254" s="207"/>
      <c r="W254" s="207"/>
      <c r="X254" s="207"/>
      <c r="Y254" s="207"/>
      <c r="Z254" s="207"/>
      <c r="AA254" s="207"/>
      <c r="AB254" s="207"/>
      <c r="AC254" s="207"/>
      <c r="AD254" s="207"/>
      <c r="AE254" s="207"/>
      <c r="AF254" s="207"/>
      <c r="AG254" s="207"/>
      <c r="AH254" s="207"/>
      <c r="AI254" s="207"/>
      <c r="AJ254" s="207"/>
      <c r="AK254" s="207"/>
      <c r="AL254" s="207"/>
      <c r="AM254" s="94"/>
      <c r="AN254" s="94"/>
      <c r="AO254" s="94"/>
      <c r="AP254" s="94"/>
      <c r="AQ254" s="94"/>
      <c r="AR254" s="94"/>
      <c r="AS254" s="94"/>
      <c r="AT254" s="94"/>
      <c r="AU254" s="94"/>
      <c r="AV254" s="94"/>
      <c r="AW254" s="94"/>
      <c r="AX254" s="94"/>
      <c r="AY254" s="94"/>
      <c r="AZ254" s="93"/>
      <c r="BA254" s="93"/>
      <c r="BB254" s="93"/>
      <c r="BC254" s="93"/>
      <c r="BD254" s="93"/>
      <c r="BE254" s="93"/>
      <c r="BF254" s="93"/>
      <c r="BG254" s="93"/>
      <c r="BH254" s="93"/>
      <c r="BI254" s="93"/>
      <c r="BJ254" s="93"/>
      <c r="BK254" s="93"/>
      <c r="BL254" s="93"/>
      <c r="BM254" s="93"/>
      <c r="BN254" s="93"/>
      <c r="BO254" s="93"/>
      <c r="BP254" s="93"/>
      <c r="BQ254" s="93"/>
      <c r="BR254" s="93"/>
      <c r="BS254" s="93"/>
      <c r="BT254" s="93"/>
      <c r="BU254" s="93"/>
      <c r="BV254" s="93"/>
      <c r="BW254" s="93"/>
      <c r="BX254" s="93"/>
      <c r="BY254" s="93"/>
      <c r="BZ254" s="93"/>
      <c r="CA254" s="93"/>
      <c r="CB254" s="93"/>
      <c r="CC254" s="93"/>
      <c r="CD254" s="93"/>
      <c r="CE254" s="93"/>
      <c r="CF254" s="93"/>
      <c r="CG254" s="93"/>
      <c r="CH254" s="93"/>
      <c r="CI254" s="93"/>
      <c r="CJ254" s="93"/>
      <c r="CK254" s="93"/>
      <c r="CL254" s="93"/>
      <c r="CM254" s="93"/>
      <c r="CN254" s="93"/>
      <c r="CO254" s="93"/>
      <c r="CP254" s="93"/>
      <c r="CQ254" s="93"/>
      <c r="CR254" s="93"/>
      <c r="CS254" s="93"/>
      <c r="CT254" s="93"/>
      <c r="CU254" s="93"/>
      <c r="CV254" s="93"/>
      <c r="CW254" s="93"/>
      <c r="CX254" s="93"/>
      <c r="CY254" s="93"/>
      <c r="CZ254" s="93"/>
      <c r="DA254" s="93"/>
      <c r="DB254" s="93"/>
      <c r="DC254" s="93"/>
      <c r="DD254" s="93"/>
      <c r="DE254" s="93"/>
      <c r="DF254" s="93"/>
      <c r="DG254" s="93"/>
      <c r="DH254" s="93"/>
      <c r="DI254" s="93"/>
      <c r="DJ254" s="93"/>
      <c r="DK254" s="93"/>
      <c r="DL254" s="93"/>
      <c r="DM254" s="93"/>
      <c r="DN254" s="93"/>
      <c r="DO254" s="93"/>
      <c r="DP254" s="93"/>
      <c r="DQ254" s="93"/>
      <c r="DR254" s="93"/>
      <c r="DS254" s="93"/>
      <c r="DT254" s="93"/>
      <c r="DU254" s="93"/>
      <c r="DV254" s="93"/>
      <c r="DW254" s="93"/>
      <c r="DX254" s="93"/>
      <c r="DY254" s="93"/>
      <c r="DZ254" s="93"/>
      <c r="EA254" s="93"/>
      <c r="EB254" s="93"/>
      <c r="EC254" s="93"/>
      <c r="ED254" s="93"/>
      <c r="EE254" s="93"/>
      <c r="EF254" s="93"/>
      <c r="EG254" s="93"/>
      <c r="EH254" s="93"/>
      <c r="EI254" s="93"/>
      <c r="EJ254" s="93"/>
      <c r="EK254" s="93"/>
      <c r="EL254" s="93"/>
      <c r="EM254" s="93"/>
      <c r="EN254" s="93"/>
      <c r="EO254" s="93"/>
      <c r="EP254" s="93"/>
      <c r="EQ254" s="93"/>
      <c r="ER254" s="93"/>
      <c r="ES254" s="93"/>
      <c r="ET254" s="93"/>
      <c r="EU254" s="93"/>
      <c r="EV254" s="93"/>
      <c r="EW254" s="93"/>
      <c r="EX254" s="93"/>
      <c r="EY254" s="93"/>
      <c r="EZ254" s="93"/>
      <c r="FA254" s="93"/>
      <c r="FB254" s="93"/>
      <c r="FC254" s="93"/>
      <c r="FD254" s="93"/>
      <c r="FE254" s="93"/>
      <c r="FF254" s="93"/>
      <c r="FG254" s="93"/>
      <c r="FH254" s="93"/>
      <c r="FI254" s="93"/>
      <c r="FJ254" s="93"/>
      <c r="FK254" s="93"/>
      <c r="FL254" s="93"/>
      <c r="FM254" s="93"/>
      <c r="FN254" s="93"/>
      <c r="FO254" s="93"/>
      <c r="FP254" s="93"/>
      <c r="FQ254" s="93"/>
      <c r="FR254" s="93"/>
      <c r="FS254" s="93"/>
      <c r="FT254" s="93"/>
      <c r="FU254" s="93"/>
      <c r="FV254" s="93"/>
      <c r="FW254" s="93"/>
      <c r="FX254" s="93"/>
      <c r="FY254" s="93"/>
      <c r="FZ254" s="93"/>
      <c r="GA254" s="93"/>
      <c r="GB254" s="93"/>
      <c r="GC254" s="93"/>
      <c r="GD254" s="93"/>
      <c r="GE254" s="93"/>
      <c r="GF254" s="93"/>
      <c r="GG254" s="93"/>
      <c r="GH254" s="93"/>
      <c r="GI254" s="93"/>
      <c r="GJ254" s="93"/>
      <c r="GK254" s="93"/>
      <c r="GL254" s="93"/>
      <c r="GM254" s="93"/>
      <c r="GN254" s="93"/>
      <c r="GO254" s="93"/>
      <c r="GP254" s="93"/>
      <c r="GQ254" s="93"/>
      <c r="GR254" s="93"/>
      <c r="GS254" s="93"/>
      <c r="GT254" s="93"/>
      <c r="GU254" s="93"/>
      <c r="GV254" s="93"/>
      <c r="GW254" s="93"/>
      <c r="GX254" s="93"/>
      <c r="GY254" s="93"/>
      <c r="GZ254" s="93"/>
      <c r="HA254" s="93"/>
      <c r="HB254" s="93"/>
      <c r="HC254" s="93"/>
      <c r="HD254" s="93"/>
      <c r="HE254" s="93"/>
      <c r="HF254" s="93"/>
      <c r="HG254" s="93"/>
      <c r="HH254" s="93"/>
      <c r="HI254" s="93"/>
      <c r="HJ254" s="93"/>
      <c r="HK254" s="93"/>
      <c r="HL254" s="93"/>
      <c r="HM254" s="93"/>
      <c r="HN254" s="93"/>
      <c r="HO254" s="93"/>
      <c r="HP254" s="93"/>
      <c r="HQ254" s="93"/>
      <c r="HR254" s="93"/>
      <c r="HS254" s="93"/>
      <c r="HT254" s="93"/>
      <c r="HU254" s="93"/>
      <c r="HV254" s="93"/>
      <c r="HW254" s="93"/>
      <c r="HX254" s="93"/>
      <c r="HY254" s="93"/>
      <c r="HZ254" s="93"/>
      <c r="IA254" s="93"/>
      <c r="IB254" s="93"/>
      <c r="IC254" s="93"/>
      <c r="ID254" s="93"/>
      <c r="IE254" s="93"/>
      <c r="IF254" s="93"/>
      <c r="IG254" s="93"/>
      <c r="IH254" s="93"/>
      <c r="II254" s="93"/>
      <c r="IJ254" s="93"/>
      <c r="IK254" s="93"/>
      <c r="IL254" s="93"/>
      <c r="IM254" s="93"/>
      <c r="IN254" s="93"/>
      <c r="IO254" s="93"/>
      <c r="IP254" s="93"/>
      <c r="IQ254" s="93"/>
      <c r="IR254" s="93"/>
      <c r="IS254" s="93"/>
      <c r="IT254" s="93"/>
      <c r="IU254" s="93"/>
      <c r="IV254" s="93"/>
      <c r="IW254" s="93"/>
      <c r="IX254" s="93"/>
      <c r="IY254" s="93"/>
      <c r="IZ254" s="93"/>
    </row>
    <row r="255" spans="1:260" s="95" customFormat="1">
      <c r="A255" s="93"/>
      <c r="B255" s="183"/>
      <c r="C255" s="183"/>
      <c r="D255" s="183"/>
      <c r="E255" s="158"/>
      <c r="F255" s="158"/>
      <c r="G255" s="158"/>
      <c r="H255" s="158"/>
      <c r="I255" s="158"/>
      <c r="J255" s="158"/>
      <c r="K255" s="158"/>
      <c r="L255" s="158"/>
      <c r="M255" s="158"/>
      <c r="N255" s="158"/>
      <c r="O255" s="158"/>
      <c r="P255" s="228"/>
      <c r="Q255" s="158"/>
      <c r="R255" s="158"/>
      <c r="S255" s="207"/>
      <c r="T255" s="207"/>
      <c r="U255" s="207"/>
      <c r="V255" s="207"/>
      <c r="W255" s="207"/>
      <c r="X255" s="207"/>
      <c r="Y255" s="207"/>
      <c r="Z255" s="207"/>
      <c r="AA255" s="207"/>
      <c r="AB255" s="207"/>
      <c r="AC255" s="207"/>
      <c r="AD255" s="207"/>
      <c r="AE255" s="207"/>
      <c r="AF255" s="207"/>
      <c r="AG255" s="207"/>
      <c r="AH255" s="207"/>
      <c r="AI255" s="207"/>
      <c r="AJ255" s="207"/>
      <c r="AK255" s="207"/>
      <c r="AL255" s="207"/>
      <c r="AM255" s="94"/>
      <c r="AN255" s="94"/>
      <c r="AO255" s="94"/>
      <c r="AP255" s="94"/>
      <c r="AQ255" s="94"/>
      <c r="AR255" s="94"/>
      <c r="AS255" s="94"/>
      <c r="AT255" s="94"/>
      <c r="AU255" s="94"/>
      <c r="AV255" s="94"/>
      <c r="AW255" s="94"/>
      <c r="AX255" s="94"/>
      <c r="AY255" s="94"/>
      <c r="AZ255" s="93"/>
      <c r="BA255" s="93"/>
      <c r="BB255" s="93"/>
      <c r="BC255" s="93"/>
      <c r="BD255" s="93"/>
      <c r="BE255" s="93"/>
      <c r="BF255" s="93"/>
      <c r="BG255" s="93"/>
      <c r="BH255" s="93"/>
      <c r="BI255" s="93"/>
      <c r="BJ255" s="93"/>
      <c r="BK255" s="93"/>
      <c r="BL255" s="93"/>
      <c r="BM255" s="93"/>
      <c r="BN255" s="93"/>
      <c r="BO255" s="93"/>
      <c r="BP255" s="93"/>
      <c r="BQ255" s="93"/>
      <c r="BR255" s="93"/>
      <c r="BS255" s="93"/>
      <c r="BT255" s="93"/>
      <c r="BU255" s="93"/>
      <c r="BV255" s="93"/>
      <c r="BW255" s="93"/>
      <c r="BX255" s="93"/>
      <c r="BY255" s="93"/>
      <c r="BZ255" s="93"/>
      <c r="CA255" s="93"/>
      <c r="CB255" s="93"/>
      <c r="CC255" s="93"/>
      <c r="CD255" s="93"/>
      <c r="CE255" s="93"/>
      <c r="CF255" s="93"/>
      <c r="CG255" s="93"/>
      <c r="CH255" s="93"/>
      <c r="CI255" s="93"/>
      <c r="CJ255" s="93"/>
      <c r="CK255" s="93"/>
      <c r="CL255" s="93"/>
      <c r="CM255" s="93"/>
      <c r="CN255" s="93"/>
      <c r="CO255" s="93"/>
      <c r="CP255" s="93"/>
      <c r="CQ255" s="93"/>
      <c r="CR255" s="93"/>
      <c r="CS255" s="93"/>
      <c r="CT255" s="93"/>
      <c r="CU255" s="93"/>
      <c r="CV255" s="93"/>
      <c r="CW255" s="93"/>
      <c r="CX255" s="93"/>
      <c r="CY255" s="93"/>
      <c r="CZ255" s="93"/>
      <c r="DA255" s="93"/>
      <c r="DB255" s="93"/>
      <c r="DC255" s="93"/>
      <c r="DD255" s="93"/>
      <c r="DE255" s="93"/>
      <c r="DF255" s="93"/>
      <c r="DG255" s="93"/>
      <c r="DH255" s="93"/>
      <c r="DI255" s="93"/>
      <c r="DJ255" s="93"/>
      <c r="DK255" s="93"/>
      <c r="DL255" s="93"/>
      <c r="DM255" s="93"/>
      <c r="DN255" s="93"/>
      <c r="DO255" s="93"/>
      <c r="DP255" s="93"/>
      <c r="DQ255" s="93"/>
      <c r="DR255" s="93"/>
      <c r="DS255" s="93"/>
      <c r="DT255" s="93"/>
      <c r="DU255" s="93"/>
      <c r="DV255" s="93"/>
      <c r="DW255" s="93"/>
      <c r="DX255" s="93"/>
      <c r="DY255" s="93"/>
      <c r="DZ255" s="93"/>
      <c r="EA255" s="93"/>
      <c r="EB255" s="93"/>
      <c r="EC255" s="93"/>
      <c r="ED255" s="93"/>
      <c r="EE255" s="93"/>
      <c r="EF255" s="93"/>
      <c r="EG255" s="93"/>
      <c r="EH255" s="93"/>
      <c r="EI255" s="93"/>
      <c r="EJ255" s="93"/>
      <c r="EK255" s="93"/>
      <c r="EL255" s="93"/>
      <c r="EM255" s="93"/>
      <c r="EN255" s="93"/>
      <c r="EO255" s="93"/>
      <c r="EP255" s="93"/>
      <c r="EQ255" s="93"/>
      <c r="ER255" s="93"/>
      <c r="ES255" s="93"/>
      <c r="ET255" s="93"/>
      <c r="EU255" s="93"/>
      <c r="EV255" s="93"/>
      <c r="EW255" s="93"/>
      <c r="EX255" s="93"/>
      <c r="EY255" s="93"/>
      <c r="EZ255" s="93"/>
      <c r="FA255" s="93"/>
      <c r="FB255" s="93"/>
      <c r="FC255" s="93"/>
      <c r="FD255" s="93"/>
      <c r="FE255" s="93"/>
      <c r="FF255" s="93"/>
      <c r="FG255" s="93"/>
      <c r="FH255" s="93"/>
      <c r="FI255" s="93"/>
      <c r="FJ255" s="93"/>
      <c r="FK255" s="93"/>
      <c r="FL255" s="93"/>
      <c r="FM255" s="93"/>
      <c r="FN255" s="93"/>
      <c r="FO255" s="93"/>
      <c r="FP255" s="93"/>
      <c r="FQ255" s="93"/>
      <c r="FR255" s="93"/>
      <c r="FS255" s="93"/>
      <c r="FT255" s="93"/>
      <c r="FU255" s="93"/>
      <c r="FV255" s="93"/>
      <c r="FW255" s="93"/>
      <c r="FX255" s="93"/>
      <c r="FY255" s="93"/>
      <c r="FZ255" s="93"/>
      <c r="GA255" s="93"/>
      <c r="GB255" s="93"/>
      <c r="GC255" s="93"/>
      <c r="GD255" s="93"/>
      <c r="GE255" s="93"/>
      <c r="GF255" s="93"/>
      <c r="GG255" s="93"/>
      <c r="GH255" s="93"/>
      <c r="GI255" s="93"/>
      <c r="GJ255" s="93"/>
      <c r="GK255" s="93"/>
      <c r="GL255" s="93"/>
      <c r="GM255" s="93"/>
      <c r="GN255" s="93"/>
      <c r="GO255" s="93"/>
      <c r="GP255" s="93"/>
      <c r="GQ255" s="93"/>
      <c r="GR255" s="93"/>
      <c r="GS255" s="93"/>
      <c r="GT255" s="93"/>
      <c r="GU255" s="93"/>
      <c r="GV255" s="93"/>
      <c r="GW255" s="93"/>
      <c r="GX255" s="93"/>
      <c r="GY255" s="93"/>
      <c r="GZ255" s="93"/>
      <c r="HA255" s="93"/>
      <c r="HB255" s="93"/>
      <c r="HC255" s="93"/>
      <c r="HD255" s="93"/>
      <c r="HE255" s="93"/>
      <c r="HF255" s="93"/>
      <c r="HG255" s="93"/>
      <c r="HH255" s="93"/>
      <c r="HI255" s="93"/>
      <c r="HJ255" s="93"/>
      <c r="HK255" s="93"/>
      <c r="HL255" s="93"/>
      <c r="HM255" s="93"/>
      <c r="HN255" s="93"/>
      <c r="HO255" s="93"/>
      <c r="HP255" s="93"/>
      <c r="HQ255" s="93"/>
      <c r="HR255" s="93"/>
      <c r="HS255" s="93"/>
      <c r="HT255" s="93"/>
      <c r="HU255" s="93"/>
      <c r="HV255" s="93"/>
      <c r="HW255" s="93"/>
      <c r="HX255" s="93"/>
      <c r="HY255" s="93"/>
      <c r="HZ255" s="93"/>
      <c r="IA255" s="93"/>
      <c r="IB255" s="93"/>
      <c r="IC255" s="93"/>
      <c r="ID255" s="93"/>
      <c r="IE255" s="93"/>
      <c r="IF255" s="93"/>
      <c r="IG255" s="93"/>
      <c r="IH255" s="93"/>
      <c r="II255" s="93"/>
      <c r="IJ255" s="93"/>
      <c r="IK255" s="93"/>
      <c r="IL255" s="93"/>
      <c r="IM255" s="93"/>
      <c r="IN255" s="93"/>
      <c r="IO255" s="93"/>
      <c r="IP255" s="93"/>
      <c r="IQ255" s="93"/>
      <c r="IR255" s="93"/>
      <c r="IS255" s="93"/>
      <c r="IT255" s="93"/>
      <c r="IU255" s="93"/>
      <c r="IV255" s="93"/>
      <c r="IW255" s="93"/>
      <c r="IX255" s="93"/>
      <c r="IY255" s="93"/>
      <c r="IZ255" s="93"/>
    </row>
    <row r="256" spans="1:260" s="95" customFormat="1">
      <c r="A256" s="93"/>
      <c r="B256" s="183"/>
      <c r="C256" s="183"/>
      <c r="D256" s="183"/>
      <c r="E256" s="158"/>
      <c r="F256" s="158"/>
      <c r="G256" s="158"/>
      <c r="H256" s="158"/>
      <c r="I256" s="158"/>
      <c r="J256" s="158"/>
      <c r="K256" s="158"/>
      <c r="L256" s="158"/>
      <c r="M256" s="158"/>
      <c r="N256" s="158"/>
      <c r="O256" s="158"/>
      <c r="P256" s="228"/>
      <c r="Q256" s="158"/>
      <c r="R256" s="158"/>
      <c r="S256" s="207"/>
      <c r="T256" s="207"/>
      <c r="U256" s="207"/>
      <c r="V256" s="207"/>
      <c r="W256" s="207"/>
      <c r="X256" s="207"/>
      <c r="Y256" s="207"/>
      <c r="Z256" s="207"/>
      <c r="AA256" s="207"/>
      <c r="AB256" s="207"/>
      <c r="AC256" s="207"/>
      <c r="AD256" s="207"/>
      <c r="AE256" s="207"/>
      <c r="AF256" s="207"/>
      <c r="AG256" s="207"/>
      <c r="AH256" s="207"/>
      <c r="AI256" s="207"/>
      <c r="AJ256" s="207"/>
      <c r="AK256" s="207"/>
      <c r="AL256" s="207"/>
      <c r="AM256" s="94"/>
      <c r="AN256" s="94"/>
      <c r="AO256" s="94"/>
      <c r="AP256" s="94"/>
      <c r="AQ256" s="94"/>
      <c r="AR256" s="94"/>
      <c r="AS256" s="94"/>
      <c r="AT256" s="94"/>
      <c r="AU256" s="94"/>
      <c r="AV256" s="94"/>
      <c r="AW256" s="94"/>
      <c r="AX256" s="94"/>
      <c r="AY256" s="94"/>
      <c r="AZ256" s="93"/>
      <c r="BA256" s="93"/>
      <c r="BB256" s="93"/>
      <c r="BC256" s="93"/>
      <c r="BD256" s="93"/>
      <c r="BE256" s="93"/>
      <c r="BF256" s="93"/>
      <c r="BG256" s="93"/>
      <c r="BH256" s="93"/>
      <c r="BI256" s="93"/>
      <c r="BJ256" s="93"/>
      <c r="BK256" s="93"/>
      <c r="BL256" s="93"/>
      <c r="BM256" s="93"/>
      <c r="BN256" s="93"/>
      <c r="BO256" s="93"/>
      <c r="BP256" s="93"/>
      <c r="BQ256" s="93"/>
      <c r="BR256" s="93"/>
      <c r="BS256" s="93"/>
      <c r="BT256" s="93"/>
      <c r="BU256" s="93"/>
      <c r="BV256" s="93"/>
      <c r="BW256" s="93"/>
      <c r="BX256" s="93"/>
      <c r="BY256" s="93"/>
      <c r="BZ256" s="93"/>
      <c r="CA256" s="93"/>
      <c r="CB256" s="93"/>
      <c r="CC256" s="93"/>
      <c r="CD256" s="93"/>
      <c r="CE256" s="93"/>
      <c r="CF256" s="93"/>
      <c r="CG256" s="93"/>
      <c r="CH256" s="93"/>
      <c r="CI256" s="93"/>
      <c r="CJ256" s="93"/>
      <c r="CK256" s="93"/>
      <c r="CL256" s="93"/>
      <c r="CM256" s="93"/>
      <c r="CN256" s="93"/>
      <c r="CO256" s="93"/>
      <c r="CP256" s="93"/>
      <c r="CQ256" s="93"/>
      <c r="CR256" s="93"/>
      <c r="CS256" s="93"/>
      <c r="CT256" s="93"/>
      <c r="CU256" s="93"/>
      <c r="CV256" s="93"/>
      <c r="CW256" s="93"/>
      <c r="CX256" s="93"/>
      <c r="CY256" s="93"/>
      <c r="CZ256" s="93"/>
      <c r="DA256" s="93"/>
      <c r="DB256" s="93"/>
      <c r="DC256" s="93"/>
      <c r="DD256" s="93"/>
      <c r="DE256" s="93"/>
      <c r="DF256" s="93"/>
      <c r="DG256" s="93"/>
      <c r="DH256" s="93"/>
      <c r="DI256" s="93"/>
      <c r="DJ256" s="93"/>
      <c r="DK256" s="93"/>
      <c r="DL256" s="93"/>
      <c r="DM256" s="93"/>
      <c r="DN256" s="93"/>
      <c r="DO256" s="93"/>
      <c r="DP256" s="93"/>
      <c r="DQ256" s="93"/>
      <c r="DR256" s="93"/>
      <c r="DS256" s="93"/>
      <c r="DT256" s="93"/>
      <c r="DU256" s="93"/>
      <c r="DV256" s="93"/>
      <c r="DW256" s="93"/>
      <c r="DX256" s="93"/>
      <c r="DY256" s="93"/>
      <c r="DZ256" s="93"/>
      <c r="EA256" s="93"/>
      <c r="EB256" s="93"/>
      <c r="EC256" s="93"/>
      <c r="ED256" s="93"/>
      <c r="EE256" s="93"/>
      <c r="EF256" s="93"/>
      <c r="EG256" s="93"/>
      <c r="EH256" s="93"/>
      <c r="EI256" s="93"/>
      <c r="EJ256" s="93"/>
      <c r="EK256" s="93"/>
      <c r="EL256" s="93"/>
      <c r="EM256" s="93"/>
      <c r="EN256" s="93"/>
      <c r="EO256" s="93"/>
      <c r="EP256" s="93"/>
      <c r="EQ256" s="93"/>
      <c r="ER256" s="93"/>
      <c r="ES256" s="93"/>
      <c r="ET256" s="93"/>
      <c r="EU256" s="93"/>
      <c r="EV256" s="93"/>
      <c r="EW256" s="93"/>
      <c r="EX256" s="93"/>
      <c r="EY256" s="93"/>
      <c r="EZ256" s="93"/>
      <c r="FA256" s="93"/>
      <c r="FB256" s="93"/>
      <c r="FC256" s="93"/>
      <c r="FD256" s="93"/>
      <c r="FE256" s="93"/>
      <c r="FF256" s="93"/>
      <c r="FG256" s="93"/>
      <c r="FH256" s="93"/>
      <c r="FI256" s="93"/>
      <c r="FJ256" s="93"/>
      <c r="FK256" s="93"/>
      <c r="FL256" s="93"/>
      <c r="FM256" s="93"/>
      <c r="FN256" s="93"/>
      <c r="FO256" s="93"/>
      <c r="FP256" s="93"/>
      <c r="FQ256" s="93"/>
      <c r="FR256" s="93"/>
      <c r="FS256" s="93"/>
      <c r="FT256" s="93"/>
      <c r="FU256" s="93"/>
      <c r="FV256" s="93"/>
      <c r="FW256" s="93"/>
      <c r="FX256" s="93"/>
      <c r="FY256" s="93"/>
      <c r="FZ256" s="93"/>
      <c r="GA256" s="93"/>
      <c r="GB256" s="93"/>
      <c r="GC256" s="93"/>
      <c r="GD256" s="93"/>
      <c r="GE256" s="93"/>
      <c r="GF256" s="93"/>
      <c r="GG256" s="93"/>
      <c r="GH256" s="93"/>
      <c r="GI256" s="93"/>
      <c r="GJ256" s="93"/>
      <c r="GK256" s="93"/>
      <c r="GL256" s="93"/>
      <c r="GM256" s="93"/>
      <c r="GN256" s="93"/>
      <c r="GO256" s="93"/>
      <c r="GP256" s="93"/>
      <c r="GQ256" s="93"/>
      <c r="GR256" s="93"/>
      <c r="GS256" s="93"/>
      <c r="GT256" s="93"/>
      <c r="GU256" s="93"/>
      <c r="GV256" s="93"/>
      <c r="GW256" s="93"/>
      <c r="GX256" s="93"/>
      <c r="GY256" s="93"/>
      <c r="GZ256" s="93"/>
      <c r="HA256" s="93"/>
      <c r="HB256" s="93"/>
      <c r="HC256" s="93"/>
      <c r="HD256" s="93"/>
      <c r="HE256" s="93"/>
      <c r="HF256" s="93"/>
      <c r="HG256" s="93"/>
      <c r="HH256" s="93"/>
      <c r="HI256" s="93"/>
      <c r="HJ256" s="93"/>
      <c r="HK256" s="93"/>
      <c r="HL256" s="93"/>
      <c r="HM256" s="93"/>
      <c r="HN256" s="93"/>
      <c r="HO256" s="93"/>
      <c r="HP256" s="93"/>
      <c r="HQ256" s="93"/>
      <c r="HR256" s="93"/>
      <c r="HS256" s="93"/>
      <c r="HT256" s="93"/>
      <c r="HU256" s="93"/>
      <c r="HV256" s="93"/>
      <c r="HW256" s="93"/>
      <c r="HX256" s="93"/>
      <c r="HY256" s="93"/>
      <c r="HZ256" s="93"/>
      <c r="IA256" s="93"/>
      <c r="IB256" s="93"/>
      <c r="IC256" s="93"/>
      <c r="ID256" s="93"/>
      <c r="IE256" s="93"/>
      <c r="IF256" s="93"/>
      <c r="IG256" s="93"/>
      <c r="IH256" s="93"/>
      <c r="II256" s="93"/>
      <c r="IJ256" s="93"/>
      <c r="IK256" s="93"/>
      <c r="IL256" s="93"/>
      <c r="IM256" s="93"/>
      <c r="IN256" s="93"/>
      <c r="IO256" s="93"/>
      <c r="IP256" s="93"/>
      <c r="IQ256" s="93"/>
      <c r="IR256" s="93"/>
      <c r="IS256" s="93"/>
      <c r="IT256" s="93"/>
      <c r="IU256" s="93"/>
      <c r="IV256" s="93"/>
      <c r="IW256" s="93"/>
      <c r="IX256" s="93"/>
      <c r="IY256" s="93"/>
      <c r="IZ256" s="93"/>
    </row>
    <row r="257" spans="1:260" s="95" customFormat="1">
      <c r="A257" s="93"/>
      <c r="B257" s="183"/>
      <c r="C257" s="183"/>
      <c r="D257" s="183"/>
      <c r="E257" s="158"/>
      <c r="F257" s="158"/>
      <c r="G257" s="158"/>
      <c r="H257" s="158"/>
      <c r="I257" s="158"/>
      <c r="J257" s="158"/>
      <c r="K257" s="158"/>
      <c r="L257" s="158"/>
      <c r="M257" s="158"/>
      <c r="N257" s="158"/>
      <c r="O257" s="158"/>
      <c r="P257" s="228"/>
      <c r="Q257" s="158"/>
      <c r="R257" s="158"/>
      <c r="S257" s="207"/>
      <c r="T257" s="207"/>
      <c r="U257" s="207"/>
      <c r="V257" s="207"/>
      <c r="W257" s="207"/>
      <c r="X257" s="207"/>
      <c r="Y257" s="207"/>
      <c r="Z257" s="207"/>
      <c r="AA257" s="207"/>
      <c r="AB257" s="207"/>
      <c r="AC257" s="207"/>
      <c r="AD257" s="207"/>
      <c r="AE257" s="207"/>
      <c r="AF257" s="207"/>
      <c r="AG257" s="207"/>
      <c r="AH257" s="207"/>
      <c r="AI257" s="207"/>
      <c r="AJ257" s="207"/>
      <c r="AK257" s="207"/>
      <c r="AL257" s="207"/>
      <c r="AM257" s="94"/>
      <c r="AN257" s="94"/>
      <c r="AO257" s="94"/>
      <c r="AP257" s="94"/>
      <c r="AQ257" s="94"/>
      <c r="AR257" s="94"/>
      <c r="AS257" s="94"/>
      <c r="AT257" s="94"/>
      <c r="AU257" s="94"/>
      <c r="AV257" s="94"/>
      <c r="AW257" s="94"/>
      <c r="AX257" s="94"/>
      <c r="AY257" s="94"/>
      <c r="AZ257" s="93"/>
      <c r="BA257" s="93"/>
      <c r="BB257" s="93"/>
      <c r="BC257" s="93"/>
      <c r="BD257" s="93"/>
      <c r="BE257" s="93"/>
      <c r="BF257" s="93"/>
      <c r="BG257" s="93"/>
      <c r="BH257" s="93"/>
      <c r="BI257" s="93"/>
      <c r="BJ257" s="93"/>
      <c r="BK257" s="93"/>
      <c r="BL257" s="93"/>
      <c r="BM257" s="93"/>
      <c r="BN257" s="93"/>
      <c r="BO257" s="93"/>
      <c r="BP257" s="93"/>
      <c r="BQ257" s="93"/>
      <c r="BR257" s="93"/>
      <c r="BS257" s="93"/>
      <c r="BT257" s="93"/>
      <c r="BU257" s="93"/>
      <c r="BV257" s="93"/>
      <c r="BW257" s="93"/>
      <c r="BX257" s="93"/>
      <c r="BY257" s="93"/>
      <c r="BZ257" s="93"/>
      <c r="CA257" s="93"/>
      <c r="CB257" s="93"/>
      <c r="CC257" s="93"/>
      <c r="CD257" s="93"/>
      <c r="CE257" s="93"/>
      <c r="CF257" s="93"/>
      <c r="CG257" s="93"/>
      <c r="CH257" s="93"/>
      <c r="CI257" s="93"/>
      <c r="CJ257" s="93"/>
      <c r="CK257" s="93"/>
      <c r="CL257" s="93"/>
      <c r="CM257" s="93"/>
      <c r="CN257" s="93"/>
      <c r="CO257" s="93"/>
      <c r="CP257" s="93"/>
      <c r="CQ257" s="93"/>
      <c r="CR257" s="93"/>
      <c r="CS257" s="93"/>
      <c r="CT257" s="93"/>
      <c r="CU257" s="93"/>
      <c r="CV257" s="93"/>
      <c r="CW257" s="93"/>
      <c r="CX257" s="93"/>
      <c r="CY257" s="93"/>
      <c r="CZ257" s="93"/>
      <c r="DA257" s="93"/>
      <c r="DB257" s="93"/>
      <c r="DC257" s="93"/>
      <c r="DD257" s="93"/>
      <c r="DE257" s="93"/>
      <c r="DF257" s="93"/>
      <c r="DG257" s="93"/>
      <c r="DH257" s="93"/>
      <c r="DI257" s="93"/>
      <c r="DJ257" s="93"/>
      <c r="DK257" s="93"/>
      <c r="DL257" s="93"/>
      <c r="DM257" s="93"/>
      <c r="DN257" s="93"/>
      <c r="DO257" s="93"/>
      <c r="DP257" s="93"/>
      <c r="DQ257" s="93"/>
      <c r="DR257" s="93"/>
      <c r="DS257" s="93"/>
      <c r="DT257" s="93"/>
      <c r="DU257" s="93"/>
      <c r="DV257" s="93"/>
      <c r="DW257" s="93"/>
      <c r="DX257" s="93"/>
      <c r="DY257" s="93"/>
      <c r="DZ257" s="93"/>
      <c r="EA257" s="93"/>
      <c r="EB257" s="93"/>
      <c r="EC257" s="93"/>
      <c r="ED257" s="93"/>
      <c r="EE257" s="93"/>
      <c r="EF257" s="93"/>
      <c r="EG257" s="93"/>
      <c r="EH257" s="93"/>
      <c r="EI257" s="93"/>
      <c r="EJ257" s="93"/>
      <c r="EK257" s="93"/>
      <c r="EL257" s="93"/>
      <c r="EM257" s="93"/>
      <c r="EN257" s="93"/>
      <c r="EO257" s="93"/>
      <c r="EP257" s="93"/>
      <c r="EQ257" s="93"/>
      <c r="ER257" s="93"/>
      <c r="ES257" s="93"/>
      <c r="ET257" s="93"/>
      <c r="EU257" s="93"/>
      <c r="EV257" s="93"/>
      <c r="EW257" s="93"/>
      <c r="EX257" s="93"/>
      <c r="EY257" s="93"/>
      <c r="EZ257" s="93"/>
      <c r="FA257" s="93"/>
      <c r="FB257" s="93"/>
      <c r="FC257" s="93"/>
      <c r="FD257" s="93"/>
      <c r="FE257" s="93"/>
      <c r="FF257" s="93"/>
      <c r="FG257" s="93"/>
      <c r="FH257" s="93"/>
      <c r="FI257" s="93"/>
      <c r="FJ257" s="93"/>
      <c r="FK257" s="93"/>
      <c r="FL257" s="93"/>
      <c r="FM257" s="93"/>
      <c r="FN257" s="93"/>
      <c r="FO257" s="93"/>
      <c r="FP257" s="93"/>
      <c r="FQ257" s="93"/>
      <c r="FR257" s="93"/>
      <c r="FS257" s="93"/>
      <c r="FT257" s="93"/>
      <c r="FU257" s="93"/>
      <c r="FV257" s="93"/>
      <c r="FW257" s="93"/>
      <c r="FX257" s="93"/>
      <c r="FY257" s="93"/>
      <c r="FZ257" s="93"/>
      <c r="GA257" s="93"/>
      <c r="GB257" s="93"/>
      <c r="GC257" s="93"/>
      <c r="GD257" s="93"/>
      <c r="GE257" s="93"/>
      <c r="GF257" s="93"/>
      <c r="GG257" s="93"/>
      <c r="GH257" s="93"/>
      <c r="GI257" s="93"/>
      <c r="GJ257" s="93"/>
      <c r="GK257" s="93"/>
      <c r="GL257" s="93"/>
      <c r="GM257" s="93"/>
      <c r="GN257" s="93"/>
      <c r="GO257" s="93"/>
      <c r="GP257" s="93"/>
      <c r="GQ257" s="93"/>
      <c r="GR257" s="93"/>
      <c r="GS257" s="93"/>
      <c r="GT257" s="93"/>
      <c r="GU257" s="93"/>
      <c r="GV257" s="93"/>
      <c r="GW257" s="93"/>
      <c r="GX257" s="93"/>
      <c r="GY257" s="93"/>
      <c r="GZ257" s="93"/>
      <c r="HA257" s="93"/>
      <c r="HB257" s="93"/>
      <c r="HC257" s="93"/>
      <c r="HD257" s="93"/>
      <c r="HE257" s="93"/>
      <c r="HF257" s="93"/>
      <c r="HG257" s="93"/>
      <c r="HH257" s="93"/>
      <c r="HI257" s="93"/>
      <c r="HJ257" s="93"/>
      <c r="HK257" s="93"/>
      <c r="HL257" s="93"/>
      <c r="HM257" s="93"/>
      <c r="HN257" s="93"/>
      <c r="HO257" s="93"/>
      <c r="HP257" s="93"/>
      <c r="HQ257" s="93"/>
      <c r="HR257" s="93"/>
      <c r="HS257" s="93"/>
      <c r="HT257" s="93"/>
      <c r="HU257" s="93"/>
      <c r="HV257" s="93"/>
      <c r="HW257" s="93"/>
      <c r="HX257" s="93"/>
      <c r="HY257" s="93"/>
      <c r="HZ257" s="93"/>
      <c r="IA257" s="93"/>
      <c r="IB257" s="93"/>
      <c r="IC257" s="93"/>
      <c r="ID257" s="93"/>
      <c r="IE257" s="93"/>
      <c r="IF257" s="93"/>
      <c r="IG257" s="93"/>
      <c r="IH257" s="93"/>
      <c r="II257" s="93"/>
      <c r="IJ257" s="93"/>
      <c r="IK257" s="93"/>
      <c r="IL257" s="93"/>
      <c r="IM257" s="93"/>
      <c r="IN257" s="93"/>
      <c r="IO257" s="93"/>
      <c r="IP257" s="93"/>
      <c r="IQ257" s="93"/>
      <c r="IR257" s="93"/>
      <c r="IS257" s="93"/>
      <c r="IT257" s="93"/>
      <c r="IU257" s="93"/>
      <c r="IV257" s="93"/>
      <c r="IW257" s="93"/>
      <c r="IX257" s="93"/>
      <c r="IY257" s="93"/>
      <c r="IZ257" s="93"/>
    </row>
    <row r="258" spans="1:260" s="95" customFormat="1">
      <c r="A258" s="93"/>
      <c r="B258" s="183"/>
      <c r="C258" s="183"/>
      <c r="D258" s="183"/>
      <c r="E258" s="158"/>
      <c r="F258" s="158"/>
      <c r="G258" s="158"/>
      <c r="H258" s="158"/>
      <c r="I258" s="158"/>
      <c r="J258" s="158"/>
      <c r="K258" s="158"/>
      <c r="L258" s="158"/>
      <c r="M258" s="158"/>
      <c r="N258" s="158"/>
      <c r="O258" s="158"/>
      <c r="P258" s="228"/>
      <c r="Q258" s="158"/>
      <c r="R258" s="158"/>
      <c r="S258" s="207"/>
      <c r="T258" s="207"/>
      <c r="U258" s="207"/>
      <c r="V258" s="207"/>
      <c r="W258" s="207"/>
      <c r="X258" s="207"/>
      <c r="Y258" s="207"/>
      <c r="Z258" s="207"/>
      <c r="AA258" s="207"/>
      <c r="AB258" s="207"/>
      <c r="AC258" s="207"/>
      <c r="AD258" s="207"/>
      <c r="AE258" s="207"/>
      <c r="AF258" s="207"/>
      <c r="AG258" s="207"/>
      <c r="AH258" s="207"/>
      <c r="AI258" s="207"/>
      <c r="AJ258" s="207"/>
      <c r="AK258" s="207"/>
      <c r="AL258" s="207"/>
      <c r="AM258" s="94"/>
      <c r="AN258" s="94"/>
      <c r="AO258" s="94"/>
      <c r="AP258" s="94"/>
      <c r="AQ258" s="94"/>
      <c r="AR258" s="94"/>
      <c r="AS258" s="94"/>
      <c r="AT258" s="94"/>
      <c r="AU258" s="94"/>
      <c r="AV258" s="94"/>
      <c r="AW258" s="94"/>
      <c r="AX258" s="94"/>
      <c r="AY258" s="94"/>
      <c r="AZ258" s="93"/>
      <c r="BA258" s="93"/>
      <c r="BB258" s="93"/>
      <c r="BC258" s="93"/>
      <c r="BD258" s="93"/>
      <c r="BE258" s="93"/>
      <c r="BF258" s="93"/>
      <c r="BG258" s="93"/>
      <c r="BH258" s="93"/>
      <c r="BI258" s="93"/>
      <c r="BJ258" s="93"/>
      <c r="BK258" s="93"/>
      <c r="BL258" s="93"/>
      <c r="BM258" s="93"/>
      <c r="BN258" s="93"/>
      <c r="BO258" s="93"/>
      <c r="BP258" s="93"/>
      <c r="BQ258" s="93"/>
      <c r="BR258" s="93"/>
      <c r="BS258" s="93"/>
      <c r="BT258" s="93"/>
      <c r="BU258" s="93"/>
      <c r="BV258" s="93"/>
      <c r="BW258" s="93"/>
      <c r="BX258" s="93"/>
      <c r="BY258" s="93"/>
      <c r="BZ258" s="93"/>
      <c r="CA258" s="93"/>
      <c r="CB258" s="93"/>
      <c r="CC258" s="93"/>
      <c r="CD258" s="93"/>
      <c r="CE258" s="93"/>
      <c r="CF258" s="93"/>
      <c r="CG258" s="93"/>
      <c r="CH258" s="93"/>
      <c r="CI258" s="93"/>
      <c r="CJ258" s="93"/>
      <c r="CK258" s="93"/>
      <c r="CL258" s="93"/>
      <c r="CM258" s="93"/>
      <c r="CN258" s="93"/>
      <c r="CO258" s="93"/>
      <c r="CP258" s="93"/>
      <c r="CQ258" s="93"/>
      <c r="CR258" s="93"/>
      <c r="CS258" s="93"/>
      <c r="CT258" s="93"/>
      <c r="CU258" s="93"/>
      <c r="CV258" s="93"/>
      <c r="CW258" s="93"/>
      <c r="CX258" s="93"/>
      <c r="CY258" s="93"/>
      <c r="CZ258" s="93"/>
      <c r="DA258" s="93"/>
      <c r="DB258" s="93"/>
      <c r="DC258" s="93"/>
      <c r="DD258" s="93"/>
      <c r="DE258" s="93"/>
      <c r="DF258" s="93"/>
      <c r="DG258" s="93"/>
      <c r="DH258" s="93"/>
      <c r="DI258" s="93"/>
      <c r="DJ258" s="93"/>
      <c r="DK258" s="93"/>
      <c r="DL258" s="93"/>
      <c r="DM258" s="93"/>
      <c r="DN258" s="93"/>
      <c r="DO258" s="93"/>
      <c r="DP258" s="93"/>
      <c r="DQ258" s="93"/>
      <c r="DR258" s="93"/>
      <c r="DS258" s="93"/>
      <c r="DT258" s="93"/>
      <c r="DU258" s="93"/>
      <c r="DV258" s="93"/>
      <c r="DW258" s="93"/>
      <c r="DX258" s="93"/>
      <c r="DY258" s="93"/>
      <c r="DZ258" s="93"/>
      <c r="EA258" s="93"/>
      <c r="EB258" s="93"/>
      <c r="EC258" s="93"/>
      <c r="ED258" s="93"/>
      <c r="EE258" s="93"/>
      <c r="EF258" s="93"/>
      <c r="EG258" s="93"/>
      <c r="EH258" s="93"/>
      <c r="EI258" s="93"/>
      <c r="EJ258" s="93"/>
      <c r="EK258" s="93"/>
      <c r="EL258" s="93"/>
      <c r="EM258" s="93"/>
      <c r="EN258" s="93"/>
      <c r="EO258" s="93"/>
      <c r="EP258" s="93"/>
      <c r="EQ258" s="93"/>
      <c r="ER258" s="93"/>
      <c r="ES258" s="93"/>
      <c r="ET258" s="93"/>
      <c r="EU258" s="93"/>
      <c r="EV258" s="93"/>
      <c r="EW258" s="93"/>
      <c r="EX258" s="93"/>
      <c r="EY258" s="93"/>
      <c r="EZ258" s="93"/>
      <c r="FA258" s="93"/>
      <c r="FB258" s="93"/>
      <c r="FC258" s="93"/>
      <c r="FD258" s="93"/>
      <c r="FE258" s="93"/>
      <c r="FF258" s="93"/>
      <c r="FG258" s="93"/>
      <c r="FH258" s="93"/>
      <c r="FI258" s="93"/>
      <c r="FJ258" s="93"/>
      <c r="FK258" s="93"/>
      <c r="FL258" s="93"/>
      <c r="FM258" s="93"/>
      <c r="FN258" s="93"/>
      <c r="FO258" s="93"/>
      <c r="FP258" s="93"/>
      <c r="FQ258" s="93"/>
      <c r="FR258" s="93"/>
      <c r="FS258" s="93"/>
      <c r="FT258" s="93"/>
      <c r="FU258" s="93"/>
      <c r="FV258" s="93"/>
      <c r="FW258" s="93"/>
      <c r="FX258" s="93"/>
      <c r="FY258" s="93"/>
      <c r="FZ258" s="93"/>
      <c r="GA258" s="93"/>
      <c r="GB258" s="93"/>
      <c r="GC258" s="93"/>
      <c r="GD258" s="93"/>
      <c r="GE258" s="93"/>
      <c r="GF258" s="93"/>
      <c r="GG258" s="93"/>
      <c r="GH258" s="93"/>
      <c r="GI258" s="93"/>
      <c r="GJ258" s="93"/>
      <c r="GK258" s="93"/>
      <c r="GL258" s="93"/>
      <c r="GM258" s="93"/>
      <c r="GN258" s="93"/>
      <c r="GO258" s="93"/>
      <c r="GP258" s="93"/>
      <c r="GQ258" s="93"/>
      <c r="GR258" s="93"/>
      <c r="GS258" s="93"/>
      <c r="GT258" s="93"/>
      <c r="GU258" s="93"/>
      <c r="GV258" s="93"/>
      <c r="GW258" s="93"/>
      <c r="GX258" s="93"/>
      <c r="GY258" s="93"/>
      <c r="GZ258" s="93"/>
      <c r="HA258" s="93"/>
      <c r="HB258" s="93"/>
      <c r="HC258" s="93"/>
      <c r="HD258" s="93"/>
      <c r="HE258" s="93"/>
      <c r="HF258" s="93"/>
      <c r="HG258" s="93"/>
      <c r="HH258" s="93"/>
      <c r="HI258" s="93"/>
      <c r="HJ258" s="93"/>
      <c r="HK258" s="93"/>
      <c r="HL258" s="93"/>
      <c r="HM258" s="93"/>
      <c r="HN258" s="93"/>
      <c r="HO258" s="93"/>
      <c r="HP258" s="93"/>
      <c r="HQ258" s="93"/>
      <c r="HR258" s="93"/>
      <c r="HS258" s="93"/>
      <c r="HT258" s="93"/>
      <c r="HU258" s="93"/>
      <c r="HV258" s="93"/>
      <c r="HW258" s="93"/>
      <c r="HX258" s="93"/>
      <c r="HY258" s="93"/>
      <c r="HZ258" s="93"/>
      <c r="IA258" s="93"/>
      <c r="IB258" s="93"/>
      <c r="IC258" s="93"/>
      <c r="ID258" s="93"/>
      <c r="IE258" s="93"/>
      <c r="IF258" s="93"/>
      <c r="IG258" s="93"/>
      <c r="IH258" s="93"/>
      <c r="II258" s="93"/>
      <c r="IJ258" s="93"/>
      <c r="IK258" s="93"/>
      <c r="IL258" s="93"/>
      <c r="IM258" s="93"/>
      <c r="IN258" s="93"/>
      <c r="IO258" s="93"/>
      <c r="IP258" s="93"/>
      <c r="IQ258" s="93"/>
      <c r="IR258" s="93"/>
      <c r="IS258" s="93"/>
      <c r="IT258" s="93"/>
      <c r="IU258" s="93"/>
      <c r="IV258" s="93"/>
      <c r="IW258" s="93"/>
      <c r="IX258" s="93"/>
      <c r="IY258" s="93"/>
      <c r="IZ258" s="93"/>
    </row>
    <row r="259" spans="1:260" s="95" customFormat="1">
      <c r="A259" s="93"/>
      <c r="B259" s="183"/>
      <c r="C259" s="183"/>
      <c r="D259" s="183"/>
      <c r="E259" s="158"/>
      <c r="F259" s="158"/>
      <c r="G259" s="158"/>
      <c r="H259" s="158"/>
      <c r="I259" s="158"/>
      <c r="J259" s="158"/>
      <c r="K259" s="158"/>
      <c r="L259" s="158"/>
      <c r="M259" s="158"/>
      <c r="N259" s="158"/>
      <c r="O259" s="158"/>
      <c r="P259" s="228"/>
      <c r="Q259" s="158"/>
      <c r="R259" s="158"/>
      <c r="S259" s="207"/>
      <c r="T259" s="207"/>
      <c r="U259" s="207"/>
      <c r="V259" s="207"/>
      <c r="W259" s="207"/>
      <c r="X259" s="207"/>
      <c r="Y259" s="207"/>
      <c r="Z259" s="207"/>
      <c r="AA259" s="207"/>
      <c r="AB259" s="207"/>
      <c r="AC259" s="207"/>
      <c r="AD259" s="207"/>
      <c r="AE259" s="207"/>
      <c r="AF259" s="207"/>
      <c r="AG259" s="207"/>
      <c r="AH259" s="207"/>
      <c r="AI259" s="207"/>
      <c r="AJ259" s="207"/>
      <c r="AK259" s="207"/>
      <c r="AL259" s="207"/>
      <c r="AM259" s="94"/>
      <c r="AN259" s="94"/>
      <c r="AO259" s="94"/>
      <c r="AP259" s="94"/>
      <c r="AQ259" s="94"/>
      <c r="AR259" s="94"/>
      <c r="AS259" s="94"/>
      <c r="AT259" s="94"/>
      <c r="AU259" s="94"/>
      <c r="AV259" s="94"/>
      <c r="AW259" s="94"/>
      <c r="AX259" s="94"/>
      <c r="AY259" s="94"/>
      <c r="AZ259" s="93"/>
      <c r="BA259" s="93"/>
      <c r="BB259" s="93"/>
      <c r="BC259" s="93"/>
      <c r="BD259" s="93"/>
      <c r="BE259" s="93"/>
      <c r="BF259" s="93"/>
      <c r="BG259" s="93"/>
      <c r="BH259" s="93"/>
      <c r="BI259" s="93"/>
      <c r="BJ259" s="93"/>
      <c r="BK259" s="93"/>
      <c r="BL259" s="93"/>
      <c r="BM259" s="93"/>
      <c r="BN259" s="93"/>
      <c r="BO259" s="93"/>
      <c r="BP259" s="93"/>
      <c r="BQ259" s="93"/>
      <c r="BR259" s="93"/>
      <c r="BS259" s="93"/>
      <c r="BT259" s="93"/>
      <c r="BU259" s="93"/>
      <c r="BV259" s="93"/>
      <c r="BW259" s="93"/>
      <c r="BX259" s="93"/>
      <c r="BY259" s="93"/>
      <c r="BZ259" s="93"/>
      <c r="CA259" s="93"/>
      <c r="CB259" s="93"/>
      <c r="CC259" s="93"/>
      <c r="CD259" s="93"/>
      <c r="CE259" s="93"/>
      <c r="CF259" s="93"/>
      <c r="CG259" s="93"/>
      <c r="CH259" s="93"/>
      <c r="CI259" s="93"/>
      <c r="CJ259" s="93"/>
      <c r="CK259" s="93"/>
      <c r="CL259" s="93"/>
      <c r="CM259" s="93"/>
      <c r="CN259" s="93"/>
      <c r="CO259" s="93"/>
      <c r="CP259" s="93"/>
      <c r="CQ259" s="93"/>
      <c r="CR259" s="93"/>
      <c r="CS259" s="93"/>
      <c r="CT259" s="93"/>
      <c r="CU259" s="93"/>
      <c r="CV259" s="93"/>
      <c r="CW259" s="93"/>
      <c r="CX259" s="93"/>
      <c r="CY259" s="93"/>
      <c r="CZ259" s="93"/>
      <c r="DA259" s="93"/>
      <c r="DB259" s="93"/>
      <c r="DC259" s="93"/>
      <c r="DD259" s="93"/>
      <c r="DE259" s="93"/>
      <c r="DF259" s="93"/>
      <c r="DG259" s="93"/>
      <c r="DH259" s="93"/>
      <c r="DI259" s="93"/>
      <c r="DJ259" s="93"/>
      <c r="DK259" s="93"/>
      <c r="DL259" s="93"/>
      <c r="DM259" s="93"/>
      <c r="DN259" s="93"/>
      <c r="DO259" s="93"/>
      <c r="DP259" s="93"/>
      <c r="DQ259" s="93"/>
      <c r="DR259" s="93"/>
      <c r="DS259" s="93"/>
      <c r="DT259" s="93"/>
      <c r="DU259" s="93"/>
      <c r="DV259" s="93"/>
      <c r="DW259" s="93"/>
      <c r="DX259" s="93"/>
      <c r="DY259" s="93"/>
      <c r="DZ259" s="93"/>
      <c r="EA259" s="93"/>
      <c r="EB259" s="93"/>
      <c r="EC259" s="93"/>
      <c r="ED259" s="93"/>
      <c r="EE259" s="93"/>
      <c r="EF259" s="93"/>
      <c r="EG259" s="93"/>
      <c r="EH259" s="93"/>
      <c r="EI259" s="93"/>
      <c r="EJ259" s="93"/>
      <c r="EK259" s="93"/>
      <c r="EL259" s="93"/>
      <c r="EM259" s="93"/>
      <c r="EN259" s="93"/>
      <c r="EO259" s="93"/>
      <c r="EP259" s="93"/>
      <c r="EQ259" s="93"/>
      <c r="ER259" s="93"/>
      <c r="ES259" s="93"/>
      <c r="ET259" s="93"/>
      <c r="EU259" s="93"/>
      <c r="EV259" s="93"/>
      <c r="EW259" s="93"/>
      <c r="EX259" s="93"/>
      <c r="EY259" s="93"/>
      <c r="EZ259" s="93"/>
      <c r="FA259" s="93"/>
      <c r="FB259" s="93"/>
      <c r="FC259" s="93"/>
      <c r="FD259" s="93"/>
      <c r="FE259" s="93"/>
      <c r="FF259" s="93"/>
      <c r="FG259" s="93"/>
      <c r="FH259" s="93"/>
      <c r="FI259" s="93"/>
      <c r="FJ259" s="93"/>
      <c r="FK259" s="93"/>
      <c r="FL259" s="93"/>
      <c r="FM259" s="93"/>
      <c r="FN259" s="93"/>
      <c r="FO259" s="93"/>
      <c r="FP259" s="93"/>
      <c r="FQ259" s="93"/>
      <c r="FR259" s="93"/>
      <c r="FS259" s="93"/>
      <c r="FT259" s="93"/>
      <c r="FU259" s="93"/>
      <c r="FV259" s="93"/>
      <c r="FW259" s="93"/>
      <c r="FX259" s="93"/>
      <c r="FY259" s="93"/>
      <c r="FZ259" s="93"/>
      <c r="GA259" s="93"/>
      <c r="GB259" s="93"/>
      <c r="GC259" s="93"/>
      <c r="GD259" s="93"/>
      <c r="GE259" s="93"/>
      <c r="GF259" s="93"/>
      <c r="GG259" s="93"/>
      <c r="GH259" s="93"/>
      <c r="GI259" s="93"/>
      <c r="GJ259" s="93"/>
      <c r="GK259" s="93"/>
      <c r="GL259" s="93"/>
      <c r="GM259" s="93"/>
      <c r="GN259" s="93"/>
      <c r="GO259" s="93"/>
      <c r="GP259" s="93"/>
      <c r="GQ259" s="93"/>
      <c r="GR259" s="93"/>
      <c r="GS259" s="93"/>
      <c r="GT259" s="93"/>
      <c r="GU259" s="93"/>
      <c r="GV259" s="93"/>
      <c r="GW259" s="93"/>
      <c r="GX259" s="93"/>
      <c r="GY259" s="93"/>
      <c r="GZ259" s="93"/>
      <c r="HA259" s="93"/>
      <c r="HB259" s="93"/>
      <c r="HC259" s="93"/>
      <c r="HD259" s="93"/>
      <c r="HE259" s="93"/>
      <c r="HF259" s="93"/>
      <c r="HG259" s="93"/>
      <c r="HH259" s="93"/>
      <c r="HI259" s="93"/>
      <c r="HJ259" s="93"/>
      <c r="HK259" s="93"/>
      <c r="HL259" s="93"/>
      <c r="HM259" s="93"/>
      <c r="HN259" s="93"/>
      <c r="HO259" s="93"/>
      <c r="HP259" s="93"/>
      <c r="HQ259" s="93"/>
      <c r="HR259" s="93"/>
      <c r="HS259" s="93"/>
      <c r="HT259" s="93"/>
      <c r="HU259" s="93"/>
      <c r="HV259" s="93"/>
      <c r="HW259" s="93"/>
      <c r="HX259" s="93"/>
      <c r="HY259" s="93"/>
      <c r="HZ259" s="93"/>
      <c r="IA259" s="93"/>
      <c r="IB259" s="93"/>
      <c r="IC259" s="93"/>
      <c r="ID259" s="93"/>
      <c r="IE259" s="93"/>
      <c r="IF259" s="93"/>
      <c r="IG259" s="93"/>
      <c r="IH259" s="93"/>
      <c r="II259" s="93"/>
      <c r="IJ259" s="93"/>
      <c r="IK259" s="93"/>
      <c r="IL259" s="93"/>
      <c r="IM259" s="93"/>
      <c r="IN259" s="93"/>
      <c r="IO259" s="93"/>
      <c r="IP259" s="93"/>
      <c r="IQ259" s="93"/>
      <c r="IR259" s="93"/>
      <c r="IS259" s="93"/>
      <c r="IT259" s="93"/>
      <c r="IU259" s="93"/>
      <c r="IV259" s="93"/>
      <c r="IW259" s="93"/>
      <c r="IX259" s="93"/>
      <c r="IY259" s="93"/>
      <c r="IZ259" s="93"/>
    </row>
    <row r="260" spans="1:260" s="95" customFormat="1">
      <c r="A260" s="93"/>
      <c r="B260" s="183"/>
      <c r="C260" s="183"/>
      <c r="D260" s="183"/>
      <c r="E260" s="158"/>
      <c r="F260" s="158"/>
      <c r="G260" s="158"/>
      <c r="H260" s="158"/>
      <c r="I260" s="158"/>
      <c r="J260" s="158"/>
      <c r="K260" s="158"/>
      <c r="L260" s="158"/>
      <c r="M260" s="158"/>
      <c r="N260" s="158"/>
      <c r="O260" s="158"/>
      <c r="P260" s="228"/>
      <c r="Q260" s="158"/>
      <c r="R260" s="158"/>
      <c r="S260" s="207"/>
      <c r="T260" s="207"/>
      <c r="U260" s="207"/>
      <c r="V260" s="207"/>
      <c r="W260" s="207"/>
      <c r="X260" s="207"/>
      <c r="Y260" s="207"/>
      <c r="Z260" s="207"/>
      <c r="AA260" s="207"/>
      <c r="AB260" s="207"/>
      <c r="AC260" s="207"/>
      <c r="AD260" s="207"/>
      <c r="AE260" s="207"/>
      <c r="AF260" s="207"/>
      <c r="AG260" s="207"/>
      <c r="AH260" s="207"/>
      <c r="AI260" s="207"/>
      <c r="AJ260" s="207"/>
      <c r="AK260" s="207"/>
      <c r="AL260" s="207"/>
      <c r="AM260" s="94"/>
      <c r="AN260" s="94"/>
      <c r="AO260" s="94"/>
      <c r="AP260" s="94"/>
      <c r="AQ260" s="94"/>
      <c r="AR260" s="94"/>
      <c r="AS260" s="94"/>
      <c r="AT260" s="94"/>
      <c r="AU260" s="94"/>
      <c r="AV260" s="94"/>
      <c r="AW260" s="94"/>
      <c r="AX260" s="94"/>
      <c r="AY260" s="94"/>
      <c r="AZ260" s="93"/>
      <c r="BA260" s="93"/>
      <c r="BB260" s="93"/>
      <c r="BC260" s="93"/>
      <c r="BD260" s="93"/>
      <c r="BE260" s="93"/>
      <c r="BF260" s="93"/>
      <c r="BG260" s="93"/>
      <c r="BH260" s="93"/>
      <c r="BI260" s="93"/>
      <c r="BJ260" s="93"/>
      <c r="BK260" s="93"/>
      <c r="BL260" s="93"/>
      <c r="BM260" s="93"/>
      <c r="BN260" s="93"/>
      <c r="BO260" s="93"/>
      <c r="BP260" s="93"/>
      <c r="BQ260" s="93"/>
      <c r="BR260" s="93"/>
      <c r="BS260" s="93"/>
      <c r="BT260" s="93"/>
      <c r="BU260" s="93"/>
      <c r="BV260" s="93"/>
      <c r="BW260" s="93"/>
      <c r="BX260" s="93"/>
      <c r="BY260" s="93"/>
      <c r="BZ260" s="93"/>
      <c r="CA260" s="93"/>
      <c r="CB260" s="93"/>
      <c r="CC260" s="93"/>
      <c r="CD260" s="93"/>
      <c r="CE260" s="93"/>
      <c r="CF260" s="93"/>
      <c r="CG260" s="93"/>
      <c r="CH260" s="93"/>
      <c r="CI260" s="93"/>
      <c r="CJ260" s="93"/>
      <c r="CK260" s="93"/>
      <c r="CL260" s="93"/>
      <c r="CM260" s="93"/>
      <c r="CN260" s="93"/>
      <c r="CO260" s="93"/>
      <c r="CP260" s="93"/>
      <c r="CQ260" s="93"/>
      <c r="CR260" s="93"/>
      <c r="CS260" s="93"/>
      <c r="CT260" s="93"/>
      <c r="CU260" s="93"/>
      <c r="CV260" s="93"/>
      <c r="CW260" s="93"/>
      <c r="CX260" s="93"/>
      <c r="CY260" s="93"/>
      <c r="CZ260" s="93"/>
      <c r="DA260" s="93"/>
      <c r="DB260" s="93"/>
      <c r="DC260" s="93"/>
      <c r="DD260" s="93"/>
      <c r="DE260" s="93"/>
      <c r="DF260" s="93"/>
      <c r="DG260" s="93"/>
      <c r="DH260" s="93"/>
      <c r="DI260" s="93"/>
      <c r="DJ260" s="93"/>
      <c r="DK260" s="93"/>
      <c r="DL260" s="93"/>
      <c r="DM260" s="93"/>
      <c r="DN260" s="93"/>
      <c r="DO260" s="93"/>
      <c r="DP260" s="93"/>
      <c r="DQ260" s="93"/>
      <c r="DR260" s="93"/>
      <c r="DS260" s="93"/>
      <c r="DT260" s="93"/>
      <c r="DU260" s="93"/>
      <c r="DV260" s="93"/>
      <c r="DW260" s="93"/>
      <c r="DX260" s="93"/>
      <c r="DY260" s="93"/>
      <c r="DZ260" s="93"/>
      <c r="EA260" s="93"/>
      <c r="EB260" s="93"/>
      <c r="EC260" s="93"/>
      <c r="ED260" s="93"/>
      <c r="EE260" s="93"/>
      <c r="EF260" s="93"/>
      <c r="EG260" s="93"/>
      <c r="EH260" s="93"/>
      <c r="EI260" s="93"/>
      <c r="EJ260" s="93"/>
      <c r="EK260" s="93"/>
      <c r="EL260" s="93"/>
      <c r="EM260" s="93"/>
      <c r="EN260" s="93"/>
      <c r="EO260" s="93"/>
      <c r="EP260" s="93"/>
      <c r="EQ260" s="93"/>
      <c r="ER260" s="93"/>
      <c r="ES260" s="93"/>
      <c r="ET260" s="93"/>
      <c r="EU260" s="93"/>
      <c r="EV260" s="93"/>
      <c r="EW260" s="93"/>
      <c r="EX260" s="93"/>
      <c r="EY260" s="93"/>
      <c r="EZ260" s="93"/>
      <c r="FA260" s="93"/>
      <c r="FB260" s="93"/>
      <c r="FC260" s="93"/>
      <c r="FD260" s="93"/>
      <c r="FE260" s="93"/>
      <c r="FF260" s="93"/>
      <c r="FG260" s="93"/>
      <c r="FH260" s="93"/>
      <c r="FI260" s="93"/>
      <c r="FJ260" s="93"/>
      <c r="FK260" s="93"/>
      <c r="FL260" s="93"/>
      <c r="FM260" s="93"/>
      <c r="FN260" s="93"/>
      <c r="FO260" s="93"/>
      <c r="FP260" s="93"/>
      <c r="FQ260" s="93"/>
      <c r="FR260" s="93"/>
      <c r="FS260" s="93"/>
      <c r="FT260" s="93"/>
      <c r="FU260" s="93"/>
      <c r="FV260" s="93"/>
      <c r="FW260" s="93"/>
      <c r="FX260" s="93"/>
      <c r="FY260" s="93"/>
      <c r="FZ260" s="93"/>
      <c r="GA260" s="93"/>
      <c r="GB260" s="93"/>
      <c r="GC260" s="93"/>
      <c r="GD260" s="93"/>
      <c r="GE260" s="93"/>
      <c r="GF260" s="93"/>
      <c r="GG260" s="93"/>
      <c r="GH260" s="93"/>
      <c r="GI260" s="93"/>
      <c r="GJ260" s="93"/>
      <c r="GK260" s="93"/>
      <c r="GL260" s="93"/>
      <c r="GM260" s="93"/>
      <c r="GN260" s="93"/>
      <c r="GO260" s="93"/>
      <c r="GP260" s="93"/>
      <c r="GQ260" s="93"/>
      <c r="GR260" s="93"/>
      <c r="GS260" s="93"/>
      <c r="GT260" s="93"/>
      <c r="GU260" s="93"/>
      <c r="GV260" s="93"/>
      <c r="GW260" s="93"/>
      <c r="GX260" s="93"/>
      <c r="GY260" s="93"/>
      <c r="GZ260" s="93"/>
      <c r="HA260" s="93"/>
      <c r="HB260" s="93"/>
      <c r="HC260" s="93"/>
      <c r="HD260" s="93"/>
      <c r="HE260" s="93"/>
      <c r="HF260" s="93"/>
      <c r="HG260" s="93"/>
      <c r="HH260" s="93"/>
      <c r="HI260" s="93"/>
      <c r="HJ260" s="93"/>
      <c r="HK260" s="93"/>
      <c r="HL260" s="93"/>
      <c r="HM260" s="93"/>
      <c r="HN260" s="93"/>
      <c r="HO260" s="93"/>
      <c r="HP260" s="93"/>
      <c r="HQ260" s="93"/>
      <c r="HR260" s="93"/>
      <c r="HS260" s="93"/>
      <c r="HT260" s="93"/>
      <c r="HU260" s="93"/>
      <c r="HV260" s="93"/>
      <c r="HW260" s="93"/>
      <c r="HX260" s="93"/>
      <c r="HY260" s="93"/>
      <c r="HZ260" s="93"/>
      <c r="IA260" s="93"/>
      <c r="IB260" s="93"/>
      <c r="IC260" s="93"/>
      <c r="ID260" s="93"/>
      <c r="IE260" s="93"/>
      <c r="IF260" s="93"/>
      <c r="IG260" s="93"/>
      <c r="IH260" s="93"/>
      <c r="II260" s="93"/>
      <c r="IJ260" s="93"/>
      <c r="IK260" s="93"/>
      <c r="IL260" s="93"/>
      <c r="IM260" s="93"/>
      <c r="IN260" s="93"/>
      <c r="IO260" s="93"/>
      <c r="IP260" s="93"/>
      <c r="IQ260" s="93"/>
      <c r="IR260" s="93"/>
      <c r="IS260" s="93"/>
      <c r="IT260" s="93"/>
      <c r="IU260" s="93"/>
      <c r="IV260" s="93"/>
      <c r="IW260" s="93"/>
      <c r="IX260" s="93"/>
      <c r="IY260" s="93"/>
      <c r="IZ260" s="93"/>
    </row>
    <row r="261" spans="1:260" s="95" customFormat="1">
      <c r="A261" s="93"/>
      <c r="B261" s="183"/>
      <c r="C261" s="183"/>
      <c r="D261" s="183"/>
      <c r="E261" s="158"/>
      <c r="F261" s="158"/>
      <c r="G261" s="158"/>
      <c r="H261" s="158"/>
      <c r="I261" s="158"/>
      <c r="J261" s="158"/>
      <c r="K261" s="158"/>
      <c r="L261" s="158"/>
      <c r="M261" s="158"/>
      <c r="N261" s="158"/>
      <c r="O261" s="158"/>
      <c r="P261" s="228"/>
      <c r="Q261" s="158"/>
      <c r="R261" s="158"/>
      <c r="S261" s="207"/>
      <c r="T261" s="207"/>
      <c r="U261" s="207"/>
      <c r="V261" s="207"/>
      <c r="W261" s="207"/>
      <c r="X261" s="207"/>
      <c r="Y261" s="207"/>
      <c r="Z261" s="207"/>
      <c r="AA261" s="207"/>
      <c r="AB261" s="207"/>
      <c r="AC261" s="207"/>
      <c r="AD261" s="207"/>
      <c r="AE261" s="207"/>
      <c r="AF261" s="207"/>
      <c r="AG261" s="207"/>
      <c r="AH261" s="207"/>
      <c r="AI261" s="207"/>
      <c r="AJ261" s="207"/>
      <c r="AK261" s="207"/>
      <c r="AL261" s="207"/>
      <c r="AM261" s="94"/>
      <c r="AN261" s="94"/>
      <c r="AO261" s="94"/>
      <c r="AP261" s="94"/>
      <c r="AQ261" s="94"/>
      <c r="AR261" s="94"/>
      <c r="AS261" s="94"/>
      <c r="AT261" s="94"/>
      <c r="AU261" s="94"/>
      <c r="AV261" s="94"/>
      <c r="AW261" s="94"/>
      <c r="AX261" s="94"/>
      <c r="AY261" s="94"/>
      <c r="AZ261" s="93"/>
      <c r="BA261" s="93"/>
      <c r="BB261" s="93"/>
      <c r="BC261" s="93"/>
      <c r="BD261" s="93"/>
      <c r="BE261" s="93"/>
      <c r="BF261" s="93"/>
      <c r="BG261" s="93"/>
      <c r="BH261" s="93"/>
      <c r="BI261" s="93"/>
      <c r="BJ261" s="93"/>
      <c r="BK261" s="93"/>
      <c r="BL261" s="93"/>
      <c r="BM261" s="93"/>
      <c r="BN261" s="93"/>
      <c r="BO261" s="93"/>
      <c r="BP261" s="93"/>
      <c r="BQ261" s="93"/>
      <c r="BR261" s="93"/>
      <c r="BS261" s="93"/>
      <c r="BT261" s="93"/>
      <c r="BU261" s="93"/>
      <c r="BV261" s="93"/>
      <c r="BW261" s="93"/>
      <c r="BX261" s="93"/>
      <c r="BY261" s="93"/>
      <c r="BZ261" s="93"/>
      <c r="CA261" s="93"/>
      <c r="CB261" s="93"/>
      <c r="CC261" s="93"/>
      <c r="CD261" s="93"/>
      <c r="CE261" s="93"/>
      <c r="CF261" s="93"/>
      <c r="CG261" s="93"/>
      <c r="CH261" s="93"/>
      <c r="CI261" s="93"/>
      <c r="CJ261" s="93"/>
      <c r="CK261" s="93"/>
      <c r="CL261" s="93"/>
      <c r="CM261" s="93"/>
      <c r="CN261" s="93"/>
      <c r="CO261" s="93"/>
      <c r="CP261" s="93"/>
      <c r="CQ261" s="93"/>
      <c r="CR261" s="93"/>
      <c r="CS261" s="93"/>
      <c r="CT261" s="93"/>
      <c r="CU261" s="93"/>
      <c r="CV261" s="93"/>
      <c r="CW261" s="93"/>
      <c r="CX261" s="93"/>
      <c r="CY261" s="93"/>
      <c r="CZ261" s="93"/>
      <c r="DA261" s="93"/>
      <c r="DB261" s="93"/>
      <c r="DC261" s="93"/>
      <c r="DD261" s="93"/>
      <c r="DE261" s="93"/>
      <c r="DF261" s="93"/>
      <c r="DG261" s="93"/>
      <c r="DH261" s="93"/>
      <c r="DI261" s="93"/>
      <c r="DJ261" s="93"/>
      <c r="DK261" s="93"/>
      <c r="DL261" s="93"/>
      <c r="DM261" s="93"/>
      <c r="DN261" s="93"/>
      <c r="DO261" s="93"/>
      <c r="DP261" s="93"/>
      <c r="DQ261" s="93"/>
      <c r="DR261" s="93"/>
      <c r="DS261" s="93"/>
      <c r="DT261" s="93"/>
      <c r="DU261" s="93"/>
      <c r="DV261" s="93"/>
      <c r="DW261" s="93"/>
      <c r="DX261" s="93"/>
      <c r="DY261" s="93"/>
      <c r="DZ261" s="93"/>
      <c r="EA261" s="93"/>
      <c r="EB261" s="93"/>
      <c r="EC261" s="93"/>
      <c r="ED261" s="93"/>
      <c r="EE261" s="93"/>
      <c r="EF261" s="93"/>
      <c r="EG261" s="93"/>
      <c r="EH261" s="93"/>
      <c r="EI261" s="93"/>
      <c r="EJ261" s="93"/>
      <c r="EK261" s="93"/>
      <c r="EL261" s="93"/>
      <c r="EM261" s="93"/>
      <c r="EN261" s="93"/>
      <c r="EO261" s="93"/>
      <c r="EP261" s="93"/>
      <c r="EQ261" s="93"/>
      <c r="ER261" s="93"/>
      <c r="ES261" s="93"/>
      <c r="ET261" s="93"/>
      <c r="EU261" s="93"/>
      <c r="EV261" s="93"/>
      <c r="EW261" s="93"/>
      <c r="EX261" s="93"/>
      <c r="EY261" s="93"/>
      <c r="EZ261" s="93"/>
      <c r="FA261" s="93"/>
      <c r="FB261" s="93"/>
      <c r="FC261" s="93"/>
      <c r="FD261" s="93"/>
      <c r="FE261" s="93"/>
      <c r="FF261" s="93"/>
      <c r="FG261" s="93"/>
      <c r="FH261" s="93"/>
      <c r="FI261" s="93"/>
      <c r="FJ261" s="93"/>
      <c r="FK261" s="93"/>
      <c r="FL261" s="93"/>
      <c r="FM261" s="93"/>
      <c r="FN261" s="93"/>
      <c r="FO261" s="93"/>
      <c r="FP261" s="93"/>
      <c r="FQ261" s="93"/>
      <c r="FR261" s="93"/>
      <c r="FS261" s="93"/>
      <c r="FT261" s="93"/>
      <c r="FU261" s="93"/>
      <c r="FV261" s="93"/>
      <c r="FW261" s="93"/>
      <c r="FX261" s="93"/>
      <c r="FY261" s="93"/>
      <c r="FZ261" s="93"/>
      <c r="GA261" s="93"/>
      <c r="GB261" s="93"/>
      <c r="GC261" s="93"/>
      <c r="GD261" s="93"/>
      <c r="GE261" s="93"/>
      <c r="GF261" s="93"/>
      <c r="GG261" s="93"/>
      <c r="GH261" s="93"/>
      <c r="GI261" s="93"/>
      <c r="GJ261" s="93"/>
      <c r="GK261" s="93"/>
      <c r="GL261" s="93"/>
      <c r="GM261" s="93"/>
      <c r="GN261" s="93"/>
      <c r="GO261" s="93"/>
      <c r="GP261" s="93"/>
      <c r="GQ261" s="93"/>
      <c r="GR261" s="93"/>
      <c r="GS261" s="93"/>
      <c r="GT261" s="93"/>
      <c r="GU261" s="93"/>
      <c r="GV261" s="93"/>
      <c r="GW261" s="93"/>
      <c r="GX261" s="93"/>
      <c r="GY261" s="93"/>
      <c r="GZ261" s="93"/>
      <c r="HA261" s="93"/>
      <c r="HB261" s="93"/>
      <c r="HC261" s="93"/>
      <c r="HD261" s="93"/>
      <c r="HE261" s="93"/>
      <c r="HF261" s="93"/>
      <c r="HG261" s="93"/>
      <c r="HH261" s="93"/>
      <c r="HI261" s="93"/>
      <c r="HJ261" s="93"/>
      <c r="HK261" s="93"/>
      <c r="HL261" s="93"/>
      <c r="HM261" s="93"/>
      <c r="HN261" s="93"/>
      <c r="HO261" s="93"/>
      <c r="HP261" s="93"/>
      <c r="HQ261" s="93"/>
      <c r="HR261" s="93"/>
      <c r="HS261" s="93"/>
      <c r="HT261" s="93"/>
      <c r="HU261" s="93"/>
      <c r="HV261" s="93"/>
      <c r="HW261" s="93"/>
      <c r="HX261" s="93"/>
      <c r="HY261" s="93"/>
      <c r="HZ261" s="93"/>
      <c r="IA261" s="93"/>
      <c r="IB261" s="93"/>
      <c r="IC261" s="93"/>
      <c r="ID261" s="93"/>
      <c r="IE261" s="93"/>
      <c r="IF261" s="93"/>
      <c r="IG261" s="93"/>
      <c r="IH261" s="93"/>
      <c r="II261" s="93"/>
      <c r="IJ261" s="93"/>
      <c r="IK261" s="93"/>
      <c r="IL261" s="93"/>
      <c r="IM261" s="93"/>
      <c r="IN261" s="93"/>
      <c r="IO261" s="93"/>
      <c r="IP261" s="93"/>
      <c r="IQ261" s="93"/>
      <c r="IR261" s="93"/>
      <c r="IS261" s="93"/>
      <c r="IT261" s="93"/>
      <c r="IU261" s="93"/>
      <c r="IV261" s="93"/>
      <c r="IW261" s="93"/>
      <c r="IX261" s="93"/>
      <c r="IY261" s="93"/>
      <c r="IZ261" s="93"/>
    </row>
    <row r="262" spans="1:260" s="95" customFormat="1">
      <c r="A262" s="93"/>
      <c r="B262" s="183"/>
      <c r="C262" s="183"/>
      <c r="D262" s="183"/>
      <c r="E262" s="158"/>
      <c r="F262" s="158"/>
      <c r="G262" s="158"/>
      <c r="H262" s="158"/>
      <c r="I262" s="158"/>
      <c r="J262" s="158"/>
      <c r="K262" s="158"/>
      <c r="L262" s="158"/>
      <c r="M262" s="158"/>
      <c r="N262" s="158"/>
      <c r="O262" s="158"/>
      <c r="P262" s="228"/>
      <c r="Q262" s="158"/>
      <c r="R262" s="158"/>
      <c r="S262" s="207"/>
      <c r="T262" s="207"/>
      <c r="U262" s="207"/>
      <c r="V262" s="207"/>
      <c r="W262" s="207"/>
      <c r="X262" s="207"/>
      <c r="Y262" s="207"/>
      <c r="Z262" s="207"/>
      <c r="AA262" s="207"/>
      <c r="AB262" s="207"/>
      <c r="AC262" s="207"/>
      <c r="AD262" s="207"/>
      <c r="AE262" s="207"/>
      <c r="AF262" s="207"/>
      <c r="AG262" s="207"/>
      <c r="AH262" s="207"/>
      <c r="AI262" s="207"/>
      <c r="AJ262" s="207"/>
      <c r="AK262" s="207"/>
      <c r="AL262" s="207"/>
      <c r="AM262" s="94"/>
      <c r="AN262" s="94"/>
      <c r="AO262" s="94"/>
      <c r="AP262" s="94"/>
      <c r="AQ262" s="94"/>
      <c r="AR262" s="94"/>
      <c r="AS262" s="94"/>
      <c r="AT262" s="94"/>
      <c r="AU262" s="94"/>
      <c r="AV262" s="94"/>
      <c r="AW262" s="94"/>
      <c r="AX262" s="94"/>
      <c r="AY262" s="94"/>
      <c r="AZ262" s="93"/>
      <c r="BA262" s="93"/>
      <c r="BB262" s="93"/>
      <c r="BC262" s="93"/>
      <c r="BD262" s="93"/>
      <c r="BE262" s="93"/>
      <c r="BF262" s="93"/>
      <c r="BG262" s="93"/>
      <c r="BH262" s="93"/>
      <c r="BI262" s="93"/>
      <c r="BJ262" s="93"/>
      <c r="BK262" s="93"/>
      <c r="BL262" s="93"/>
      <c r="BM262" s="93"/>
      <c r="BN262" s="93"/>
      <c r="BO262" s="93"/>
      <c r="BP262" s="93"/>
      <c r="BQ262" s="93"/>
      <c r="BR262" s="93"/>
      <c r="BS262" s="93"/>
      <c r="BT262" s="93"/>
      <c r="BU262" s="93"/>
      <c r="BV262" s="93"/>
      <c r="BW262" s="93"/>
      <c r="BX262" s="93"/>
      <c r="BY262" s="93"/>
      <c r="BZ262" s="93"/>
      <c r="CA262" s="93"/>
      <c r="CB262" s="93"/>
      <c r="CC262" s="93"/>
      <c r="CD262" s="93"/>
      <c r="CE262" s="93"/>
      <c r="CF262" s="93"/>
      <c r="CG262" s="93"/>
      <c r="CH262" s="93"/>
      <c r="CI262" s="93"/>
      <c r="CJ262" s="93"/>
      <c r="CK262" s="93"/>
      <c r="CL262" s="93"/>
      <c r="CM262" s="93"/>
      <c r="CN262" s="93"/>
      <c r="CO262" s="93"/>
      <c r="CP262" s="93"/>
      <c r="CQ262" s="93"/>
      <c r="CR262" s="93"/>
      <c r="CS262" s="93"/>
      <c r="CT262" s="93"/>
      <c r="CU262" s="93"/>
      <c r="CV262" s="93"/>
      <c r="CW262" s="93"/>
      <c r="CX262" s="93"/>
      <c r="CY262" s="93"/>
      <c r="CZ262" s="93"/>
      <c r="DA262" s="93"/>
      <c r="DB262" s="93"/>
      <c r="DC262" s="93"/>
      <c r="DD262" s="93"/>
      <c r="DE262" s="93"/>
      <c r="DF262" s="93"/>
      <c r="DG262" s="93"/>
      <c r="DH262" s="93"/>
      <c r="DI262" s="93"/>
      <c r="DJ262" s="93"/>
      <c r="DK262" s="93"/>
      <c r="DL262" s="93"/>
      <c r="DM262" s="93"/>
      <c r="DN262" s="93"/>
      <c r="DO262" s="93"/>
      <c r="DP262" s="93"/>
      <c r="DQ262" s="93"/>
      <c r="DR262" s="93"/>
      <c r="DS262" s="93"/>
      <c r="DT262" s="93"/>
      <c r="DU262" s="93"/>
      <c r="DV262" s="93"/>
      <c r="DW262" s="93"/>
      <c r="DX262" s="93"/>
      <c r="DY262" s="93"/>
      <c r="DZ262" s="93"/>
      <c r="EA262" s="93"/>
      <c r="EB262" s="93"/>
      <c r="EC262" s="93"/>
      <c r="ED262" s="93"/>
      <c r="EE262" s="93"/>
      <c r="EF262" s="93"/>
      <c r="EG262" s="93"/>
      <c r="EH262" s="93"/>
      <c r="EI262" s="93"/>
      <c r="EJ262" s="93"/>
      <c r="EK262" s="93"/>
      <c r="EL262" s="93"/>
      <c r="EM262" s="93"/>
      <c r="EN262" s="93"/>
      <c r="EO262" s="93"/>
      <c r="EP262" s="93"/>
      <c r="EQ262" s="93"/>
      <c r="ER262" s="93"/>
      <c r="ES262" s="93"/>
      <c r="ET262" s="93"/>
      <c r="EU262" s="93"/>
      <c r="EV262" s="93"/>
      <c r="EW262" s="93"/>
      <c r="EX262" s="93"/>
      <c r="EY262" s="93"/>
      <c r="EZ262" s="93"/>
      <c r="FA262" s="93"/>
      <c r="FB262" s="93"/>
      <c r="FC262" s="93"/>
      <c r="FD262" s="93"/>
      <c r="FE262" s="93"/>
      <c r="FF262" s="93"/>
      <c r="FG262" s="93"/>
      <c r="FH262" s="93"/>
      <c r="FI262" s="93"/>
      <c r="FJ262" s="93"/>
      <c r="FK262" s="93"/>
      <c r="FL262" s="93"/>
      <c r="FM262" s="93"/>
      <c r="FN262" s="93"/>
      <c r="FO262" s="93"/>
      <c r="FP262" s="93"/>
      <c r="FQ262" s="93"/>
      <c r="FR262" s="93"/>
      <c r="FS262" s="93"/>
      <c r="FT262" s="93"/>
      <c r="FU262" s="93"/>
      <c r="FV262" s="93"/>
      <c r="FW262" s="93"/>
      <c r="FX262" s="93"/>
      <c r="FY262" s="93"/>
      <c r="FZ262" s="93"/>
      <c r="GA262" s="93"/>
      <c r="GB262" s="93"/>
      <c r="GC262" s="93"/>
      <c r="GD262" s="93"/>
      <c r="GE262" s="93"/>
      <c r="GF262" s="93"/>
      <c r="GG262" s="93"/>
      <c r="GH262" s="93"/>
      <c r="GI262" s="93"/>
      <c r="GJ262" s="93"/>
      <c r="GK262" s="93"/>
      <c r="GL262" s="93"/>
      <c r="GM262" s="93"/>
      <c r="GN262" s="93"/>
      <c r="GO262" s="93"/>
      <c r="GP262" s="93"/>
      <c r="GQ262" s="93"/>
      <c r="GR262" s="93"/>
      <c r="GS262" s="93"/>
      <c r="GT262" s="93"/>
      <c r="GU262" s="93"/>
      <c r="GV262" s="93"/>
      <c r="GW262" s="93"/>
      <c r="GX262" s="93"/>
      <c r="GY262" s="93"/>
      <c r="GZ262" s="93"/>
      <c r="HA262" s="93"/>
      <c r="HB262" s="93"/>
      <c r="HC262" s="93"/>
      <c r="HD262" s="93"/>
      <c r="HE262" s="93"/>
      <c r="HF262" s="93"/>
      <c r="HG262" s="93"/>
      <c r="HH262" s="93"/>
      <c r="HI262" s="93"/>
      <c r="HJ262" s="93"/>
      <c r="HK262" s="93"/>
      <c r="HL262" s="93"/>
      <c r="HM262" s="93"/>
      <c r="HN262" s="93"/>
      <c r="HO262" s="93"/>
      <c r="HP262" s="93"/>
      <c r="HQ262" s="93"/>
      <c r="HR262" s="93"/>
      <c r="HS262" s="93"/>
      <c r="HT262" s="93"/>
      <c r="HU262" s="93"/>
      <c r="HV262" s="93"/>
      <c r="HW262" s="93"/>
      <c r="HX262" s="93"/>
      <c r="HY262" s="93"/>
      <c r="HZ262" s="93"/>
      <c r="IA262" s="93"/>
      <c r="IB262" s="93"/>
      <c r="IC262" s="93"/>
      <c r="ID262" s="93"/>
      <c r="IE262" s="93"/>
      <c r="IF262" s="93"/>
      <c r="IG262" s="93"/>
      <c r="IH262" s="93"/>
      <c r="II262" s="93"/>
      <c r="IJ262" s="93"/>
      <c r="IK262" s="93"/>
      <c r="IL262" s="93"/>
      <c r="IM262" s="93"/>
      <c r="IN262" s="93"/>
      <c r="IO262" s="93"/>
      <c r="IP262" s="93"/>
      <c r="IQ262" s="93"/>
      <c r="IR262" s="93"/>
      <c r="IS262" s="93"/>
      <c r="IT262" s="93"/>
      <c r="IU262" s="93"/>
      <c r="IV262" s="93"/>
      <c r="IW262" s="93"/>
      <c r="IX262" s="93"/>
      <c r="IY262" s="93"/>
      <c r="IZ262" s="93"/>
    </row>
    <row r="263" spans="1:260" s="95" customFormat="1">
      <c r="A263" s="93"/>
      <c r="B263" s="183"/>
      <c r="C263" s="183"/>
      <c r="D263" s="183"/>
      <c r="E263" s="158"/>
      <c r="F263" s="158"/>
      <c r="G263" s="158"/>
      <c r="H263" s="158"/>
      <c r="I263" s="158"/>
      <c r="J263" s="158"/>
      <c r="K263" s="158"/>
      <c r="L263" s="158"/>
      <c r="M263" s="158"/>
      <c r="N263" s="158"/>
      <c r="O263" s="158"/>
      <c r="P263" s="228"/>
      <c r="Q263" s="158"/>
      <c r="R263" s="158"/>
      <c r="S263" s="207"/>
      <c r="T263" s="207"/>
      <c r="U263" s="207"/>
      <c r="V263" s="207"/>
      <c r="W263" s="207"/>
      <c r="X263" s="207"/>
      <c r="Y263" s="207"/>
      <c r="Z263" s="207"/>
      <c r="AA263" s="207"/>
      <c r="AB263" s="207"/>
      <c r="AC263" s="207"/>
      <c r="AD263" s="207"/>
      <c r="AE263" s="207"/>
      <c r="AF263" s="207"/>
      <c r="AG263" s="207"/>
      <c r="AH263" s="207"/>
      <c r="AI263" s="207"/>
      <c r="AJ263" s="207"/>
      <c r="AK263" s="207"/>
      <c r="AL263" s="207"/>
      <c r="AM263" s="94"/>
      <c r="AN263" s="94"/>
      <c r="AO263" s="94"/>
      <c r="AP263" s="94"/>
      <c r="AQ263" s="94"/>
      <c r="AR263" s="94"/>
      <c r="AS263" s="94"/>
      <c r="AT263" s="94"/>
      <c r="AU263" s="94"/>
      <c r="AV263" s="94"/>
      <c r="AW263" s="94"/>
      <c r="AX263" s="94"/>
      <c r="AY263" s="94"/>
      <c r="AZ263" s="93"/>
      <c r="BA263" s="93"/>
      <c r="BB263" s="93"/>
      <c r="BC263" s="93"/>
      <c r="BD263" s="93"/>
      <c r="BE263" s="93"/>
      <c r="BF263" s="93"/>
      <c r="BG263" s="93"/>
      <c r="BH263" s="93"/>
      <c r="BI263" s="93"/>
      <c r="BJ263" s="93"/>
      <c r="BK263" s="93"/>
      <c r="BL263" s="93"/>
      <c r="BM263" s="93"/>
      <c r="BN263" s="93"/>
      <c r="BO263" s="93"/>
      <c r="BP263" s="93"/>
      <c r="BQ263" s="93"/>
      <c r="BR263" s="93"/>
      <c r="BS263" s="93"/>
      <c r="BT263" s="93"/>
      <c r="BU263" s="93"/>
      <c r="BV263" s="93"/>
      <c r="BW263" s="93"/>
      <c r="BX263" s="93"/>
      <c r="BY263" s="93"/>
      <c r="BZ263" s="93"/>
      <c r="CA263" s="93"/>
      <c r="CB263" s="93"/>
      <c r="CC263" s="93"/>
      <c r="CD263" s="93"/>
      <c r="CE263" s="93"/>
      <c r="CF263" s="93"/>
      <c r="CG263" s="93"/>
      <c r="CH263" s="93"/>
      <c r="CI263" s="93"/>
      <c r="CJ263" s="93"/>
      <c r="CK263" s="93"/>
      <c r="CL263" s="93"/>
      <c r="CM263" s="93"/>
      <c r="CN263" s="93"/>
      <c r="CO263" s="93"/>
      <c r="CP263" s="93"/>
      <c r="CQ263" s="93"/>
      <c r="CR263" s="93"/>
      <c r="CS263" s="93"/>
      <c r="CT263" s="93"/>
      <c r="CU263" s="93"/>
      <c r="CV263" s="93"/>
      <c r="CW263" s="93"/>
      <c r="CX263" s="93"/>
      <c r="CY263" s="93"/>
      <c r="CZ263" s="93"/>
      <c r="DA263" s="93"/>
      <c r="DB263" s="93"/>
      <c r="DC263" s="93"/>
      <c r="DD263" s="93"/>
      <c r="DE263" s="93"/>
      <c r="DF263" s="93"/>
      <c r="DG263" s="93"/>
      <c r="DH263" s="93"/>
      <c r="DI263" s="93"/>
      <c r="DJ263" s="93"/>
      <c r="DK263" s="93"/>
      <c r="DL263" s="93"/>
      <c r="DM263" s="93"/>
      <c r="DN263" s="93"/>
      <c r="DO263" s="93"/>
      <c r="DP263" s="93"/>
      <c r="DQ263" s="93"/>
      <c r="DR263" s="93"/>
      <c r="DS263" s="93"/>
      <c r="DT263" s="93"/>
      <c r="DU263" s="93"/>
      <c r="DV263" s="93"/>
      <c r="DW263" s="93"/>
      <c r="DX263" s="93"/>
      <c r="DY263" s="93"/>
      <c r="DZ263" s="93"/>
      <c r="EA263" s="93"/>
      <c r="EB263" s="93"/>
      <c r="EC263" s="93"/>
      <c r="ED263" s="93"/>
      <c r="EE263" s="93"/>
      <c r="EF263" s="93"/>
      <c r="EG263" s="93"/>
      <c r="EH263" s="93"/>
      <c r="EI263" s="93"/>
      <c r="EJ263" s="93"/>
      <c r="EK263" s="93"/>
      <c r="EL263" s="93"/>
      <c r="EM263" s="93"/>
      <c r="EN263" s="93"/>
      <c r="EO263" s="93"/>
      <c r="EP263" s="93"/>
      <c r="EQ263" s="93"/>
      <c r="ER263" s="93"/>
      <c r="ES263" s="93"/>
      <c r="ET263" s="93"/>
      <c r="EU263" s="93"/>
      <c r="EV263" s="93"/>
      <c r="EW263" s="93"/>
      <c r="EX263" s="93"/>
      <c r="EY263" s="93"/>
      <c r="EZ263" s="93"/>
      <c r="FA263" s="93"/>
      <c r="FB263" s="93"/>
      <c r="FC263" s="93"/>
      <c r="FD263" s="93"/>
      <c r="FE263" s="93"/>
      <c r="FF263" s="93"/>
      <c r="FG263" s="93"/>
      <c r="FH263" s="93"/>
      <c r="FI263" s="93"/>
      <c r="FJ263" s="93"/>
      <c r="FK263" s="93"/>
      <c r="FL263" s="93"/>
      <c r="FM263" s="93"/>
      <c r="FN263" s="93"/>
      <c r="FO263" s="93"/>
      <c r="FP263" s="93"/>
      <c r="FQ263" s="93"/>
      <c r="FR263" s="93"/>
      <c r="FS263" s="93"/>
      <c r="FT263" s="93"/>
      <c r="FU263" s="93"/>
      <c r="FV263" s="93"/>
      <c r="FW263" s="93"/>
      <c r="FX263" s="93"/>
      <c r="FY263" s="93"/>
      <c r="FZ263" s="93"/>
      <c r="GA263" s="93"/>
      <c r="GB263" s="93"/>
      <c r="GC263" s="93"/>
      <c r="GD263" s="93"/>
      <c r="GE263" s="93"/>
      <c r="GF263" s="93"/>
      <c r="GG263" s="93"/>
      <c r="GH263" s="93"/>
      <c r="GI263" s="93"/>
      <c r="GJ263" s="93"/>
      <c r="GK263" s="93"/>
      <c r="GL263" s="93"/>
      <c r="GM263" s="93"/>
      <c r="GN263" s="93"/>
      <c r="GO263" s="93"/>
      <c r="GP263" s="93"/>
      <c r="GQ263" s="93"/>
      <c r="GR263" s="93"/>
      <c r="GS263" s="93"/>
      <c r="GT263" s="93"/>
      <c r="GU263" s="93"/>
      <c r="GV263" s="93"/>
      <c r="GW263" s="93"/>
      <c r="GX263" s="93"/>
      <c r="GY263" s="93"/>
      <c r="GZ263" s="93"/>
      <c r="HA263" s="93"/>
      <c r="HB263" s="93"/>
      <c r="HC263" s="93"/>
      <c r="HD263" s="93"/>
      <c r="HE263" s="93"/>
      <c r="HF263" s="93"/>
      <c r="HG263" s="93"/>
      <c r="HH263" s="93"/>
      <c r="HI263" s="93"/>
      <c r="HJ263" s="93"/>
      <c r="HK263" s="93"/>
      <c r="HL263" s="93"/>
      <c r="HM263" s="93"/>
      <c r="HN263" s="93"/>
      <c r="HO263" s="93"/>
      <c r="HP263" s="93"/>
      <c r="HQ263" s="93"/>
      <c r="HR263" s="93"/>
      <c r="HS263" s="93"/>
      <c r="HT263" s="93"/>
      <c r="HU263" s="93"/>
      <c r="HV263" s="93"/>
      <c r="HW263" s="93"/>
      <c r="HX263" s="93"/>
      <c r="HY263" s="93"/>
      <c r="HZ263" s="93"/>
      <c r="IA263" s="93"/>
      <c r="IB263" s="93"/>
      <c r="IC263" s="93"/>
      <c r="ID263" s="93"/>
      <c r="IE263" s="93"/>
      <c r="IF263" s="93"/>
      <c r="IG263" s="93"/>
      <c r="IH263" s="93"/>
      <c r="II263" s="93"/>
      <c r="IJ263" s="93"/>
      <c r="IK263" s="93"/>
      <c r="IL263" s="93"/>
      <c r="IM263" s="93"/>
      <c r="IN263" s="93"/>
      <c r="IO263" s="93"/>
      <c r="IP263" s="93"/>
      <c r="IQ263" s="93"/>
      <c r="IR263" s="93"/>
      <c r="IS263" s="93"/>
      <c r="IT263" s="93"/>
      <c r="IU263" s="93"/>
      <c r="IV263" s="93"/>
      <c r="IW263" s="93"/>
      <c r="IX263" s="93"/>
      <c r="IY263" s="93"/>
      <c r="IZ263" s="93"/>
    </row>
    <row r="264" spans="1:260" s="95" customFormat="1">
      <c r="A264" s="93"/>
      <c r="B264" s="183"/>
      <c r="C264" s="183"/>
      <c r="D264" s="183"/>
      <c r="E264" s="158"/>
      <c r="F264" s="158"/>
      <c r="G264" s="158"/>
      <c r="H264" s="158"/>
      <c r="I264" s="158"/>
      <c r="J264" s="158"/>
      <c r="K264" s="158"/>
      <c r="L264" s="158"/>
      <c r="M264" s="158"/>
      <c r="N264" s="158"/>
      <c r="O264" s="158"/>
      <c r="P264" s="228"/>
      <c r="Q264" s="158"/>
      <c r="R264" s="158"/>
      <c r="S264" s="207"/>
      <c r="T264" s="207"/>
      <c r="U264" s="207"/>
      <c r="V264" s="207"/>
      <c r="W264" s="207"/>
      <c r="X264" s="207"/>
      <c r="Y264" s="207"/>
      <c r="Z264" s="207"/>
      <c r="AA264" s="207"/>
      <c r="AB264" s="207"/>
      <c r="AC264" s="207"/>
      <c r="AD264" s="207"/>
      <c r="AE264" s="207"/>
      <c r="AF264" s="207"/>
      <c r="AG264" s="207"/>
      <c r="AH264" s="207"/>
      <c r="AI264" s="207"/>
      <c r="AJ264" s="207"/>
      <c r="AK264" s="207"/>
      <c r="AL264" s="207"/>
      <c r="AM264" s="94"/>
      <c r="AN264" s="94"/>
      <c r="AO264" s="94"/>
      <c r="AP264" s="94"/>
      <c r="AQ264" s="94"/>
      <c r="AR264" s="94"/>
      <c r="AS264" s="94"/>
      <c r="AT264" s="94"/>
      <c r="AU264" s="94"/>
      <c r="AV264" s="94"/>
      <c r="AW264" s="94"/>
      <c r="AX264" s="94"/>
      <c r="AY264" s="94"/>
      <c r="AZ264" s="93"/>
      <c r="BA264" s="93"/>
      <c r="BB264" s="93"/>
      <c r="BC264" s="93"/>
      <c r="BD264" s="93"/>
      <c r="BE264" s="93"/>
      <c r="BF264" s="93"/>
      <c r="BG264" s="93"/>
      <c r="BH264" s="93"/>
      <c r="BI264" s="93"/>
      <c r="BJ264" s="93"/>
      <c r="BK264" s="93"/>
      <c r="BL264" s="93"/>
      <c r="BM264" s="93"/>
      <c r="BN264" s="93"/>
      <c r="BO264" s="93"/>
      <c r="BP264" s="93"/>
      <c r="BQ264" s="93"/>
      <c r="BR264" s="93"/>
      <c r="BS264" s="93"/>
      <c r="BT264" s="93"/>
      <c r="BU264" s="93"/>
      <c r="BV264" s="93"/>
      <c r="BW264" s="93"/>
      <c r="BX264" s="93"/>
      <c r="BY264" s="93"/>
      <c r="BZ264" s="93"/>
      <c r="CA264" s="93"/>
      <c r="CB264" s="93"/>
      <c r="CC264" s="93"/>
      <c r="CD264" s="93"/>
      <c r="CE264" s="93"/>
      <c r="CF264" s="93"/>
      <c r="CG264" s="93"/>
      <c r="CH264" s="93"/>
      <c r="CI264" s="93"/>
      <c r="CJ264" s="93"/>
      <c r="CK264" s="93"/>
      <c r="CL264" s="93"/>
      <c r="CM264" s="93"/>
      <c r="CN264" s="93"/>
      <c r="CO264" s="93"/>
      <c r="CP264" s="93"/>
      <c r="CQ264" s="93"/>
      <c r="CR264" s="93"/>
      <c r="CS264" s="93"/>
      <c r="CT264" s="93"/>
      <c r="CU264" s="93"/>
      <c r="CV264" s="93"/>
      <c r="CW264" s="93"/>
      <c r="CX264" s="93"/>
      <c r="CY264" s="93"/>
      <c r="CZ264" s="93"/>
      <c r="DA264" s="93"/>
      <c r="DB264" s="93"/>
      <c r="DC264" s="93"/>
      <c r="DD264" s="93"/>
      <c r="DE264" s="93"/>
      <c r="DF264" s="93"/>
      <c r="DG264" s="93"/>
      <c r="DH264" s="93"/>
      <c r="DI264" s="93"/>
      <c r="DJ264" s="93"/>
      <c r="DK264" s="93"/>
      <c r="DL264" s="93"/>
      <c r="DM264" s="93"/>
      <c r="DN264" s="93"/>
      <c r="DO264" s="93"/>
      <c r="DP264" s="93"/>
      <c r="DQ264" s="93"/>
      <c r="DR264" s="93"/>
      <c r="DS264" s="93"/>
      <c r="DT264" s="93"/>
      <c r="DU264" s="93"/>
      <c r="DV264" s="93"/>
      <c r="DW264" s="93"/>
      <c r="DX264" s="93"/>
      <c r="DY264" s="93"/>
      <c r="DZ264" s="93"/>
      <c r="EA264" s="93"/>
      <c r="EB264" s="93"/>
      <c r="EC264" s="93"/>
      <c r="ED264" s="93"/>
      <c r="EE264" s="93"/>
      <c r="EF264" s="93"/>
      <c r="EG264" s="93"/>
      <c r="EH264" s="93"/>
      <c r="EI264" s="93"/>
      <c r="EJ264" s="93"/>
      <c r="EK264" s="93"/>
      <c r="EL264" s="93"/>
      <c r="EM264" s="93"/>
      <c r="EN264" s="93"/>
      <c r="EO264" s="93"/>
      <c r="EP264" s="93"/>
      <c r="EQ264" s="93"/>
      <c r="ER264" s="93"/>
      <c r="ES264" s="93"/>
      <c r="ET264" s="93"/>
      <c r="EU264" s="93"/>
      <c r="EV264" s="93"/>
      <c r="EW264" s="93"/>
      <c r="EX264" s="93"/>
      <c r="EY264" s="93"/>
      <c r="EZ264" s="93"/>
      <c r="FA264" s="93"/>
      <c r="FB264" s="93"/>
      <c r="FC264" s="93"/>
      <c r="FD264" s="93"/>
      <c r="FE264" s="93"/>
      <c r="FF264" s="93"/>
      <c r="FG264" s="93"/>
      <c r="FH264" s="93"/>
      <c r="FI264" s="93"/>
      <c r="FJ264" s="93"/>
      <c r="FK264" s="93"/>
      <c r="FL264" s="93"/>
      <c r="FM264" s="93"/>
      <c r="FN264" s="93"/>
      <c r="FO264" s="93"/>
      <c r="FP264" s="93"/>
      <c r="FQ264" s="93"/>
      <c r="FR264" s="93"/>
      <c r="FS264" s="93"/>
      <c r="FT264" s="93"/>
      <c r="FU264" s="93"/>
      <c r="FV264" s="93"/>
      <c r="FW264" s="93"/>
      <c r="FX264" s="93"/>
      <c r="FY264" s="93"/>
      <c r="FZ264" s="93"/>
      <c r="GA264" s="93"/>
      <c r="GB264" s="93"/>
      <c r="GC264" s="93"/>
      <c r="GD264" s="93"/>
      <c r="GE264" s="93"/>
      <c r="GF264" s="93"/>
      <c r="GG264" s="93"/>
      <c r="GH264" s="93"/>
      <c r="GI264" s="93"/>
      <c r="GJ264" s="93"/>
      <c r="GK264" s="93"/>
      <c r="GL264" s="93"/>
      <c r="GM264" s="93"/>
      <c r="GN264" s="93"/>
      <c r="GO264" s="93"/>
      <c r="GP264" s="93"/>
      <c r="GQ264" s="93"/>
      <c r="GR264" s="93"/>
      <c r="GS264" s="93"/>
      <c r="GT264" s="93"/>
      <c r="GU264" s="93"/>
      <c r="GV264" s="93"/>
      <c r="GW264" s="93"/>
      <c r="GX264" s="93"/>
      <c r="GY264" s="93"/>
      <c r="GZ264" s="93"/>
      <c r="HA264" s="93"/>
      <c r="HB264" s="93"/>
      <c r="HC264" s="93"/>
      <c r="HD264" s="93"/>
      <c r="HE264" s="93"/>
      <c r="HF264" s="93"/>
      <c r="HG264" s="93"/>
      <c r="HH264" s="93"/>
      <c r="HI264" s="93"/>
      <c r="HJ264" s="93"/>
      <c r="HK264" s="93"/>
      <c r="HL264" s="93"/>
      <c r="HM264" s="93"/>
      <c r="HN264" s="93"/>
      <c r="HO264" s="93"/>
      <c r="HP264" s="93"/>
      <c r="HQ264" s="93"/>
      <c r="HR264" s="93"/>
      <c r="HS264" s="93"/>
      <c r="HT264" s="93"/>
      <c r="HU264" s="93"/>
      <c r="HV264" s="93"/>
      <c r="HW264" s="93"/>
      <c r="HX264" s="93"/>
      <c r="HY264" s="93"/>
      <c r="HZ264" s="93"/>
      <c r="IA264" s="93"/>
      <c r="IB264" s="93"/>
      <c r="IC264" s="93"/>
      <c r="ID264" s="93"/>
      <c r="IE264" s="93"/>
      <c r="IF264" s="93"/>
      <c r="IG264" s="93"/>
      <c r="IH264" s="93"/>
      <c r="II264" s="93"/>
      <c r="IJ264" s="93"/>
      <c r="IK264" s="93"/>
      <c r="IL264" s="93"/>
      <c r="IM264" s="93"/>
      <c r="IN264" s="93"/>
      <c r="IO264" s="93"/>
      <c r="IP264" s="93"/>
      <c r="IQ264" s="93"/>
      <c r="IR264" s="93"/>
      <c r="IS264" s="93"/>
      <c r="IT264" s="93"/>
      <c r="IU264" s="93"/>
      <c r="IV264" s="93"/>
      <c r="IW264" s="93"/>
      <c r="IX264" s="93"/>
      <c r="IY264" s="93"/>
      <c r="IZ264" s="93"/>
    </row>
    <row r="265" spans="1:260" s="95" customFormat="1">
      <c r="A265" s="93"/>
      <c r="B265" s="183"/>
      <c r="C265" s="183"/>
      <c r="D265" s="183"/>
      <c r="E265" s="158"/>
      <c r="F265" s="158"/>
      <c r="G265" s="158"/>
      <c r="H265" s="158"/>
      <c r="I265" s="158"/>
      <c r="J265" s="158"/>
      <c r="K265" s="158"/>
      <c r="L265" s="158"/>
      <c r="M265" s="158"/>
      <c r="N265" s="158"/>
      <c r="O265" s="158"/>
      <c r="P265" s="228"/>
      <c r="Q265" s="158"/>
      <c r="R265" s="158"/>
      <c r="S265" s="207"/>
      <c r="T265" s="207"/>
      <c r="U265" s="207"/>
      <c r="V265" s="207"/>
      <c r="W265" s="207"/>
      <c r="X265" s="207"/>
      <c r="Y265" s="207"/>
      <c r="Z265" s="207"/>
      <c r="AA265" s="207"/>
      <c r="AB265" s="207"/>
      <c r="AC265" s="207"/>
      <c r="AD265" s="207"/>
      <c r="AE265" s="207"/>
      <c r="AF265" s="207"/>
      <c r="AG265" s="207"/>
      <c r="AH265" s="207"/>
      <c r="AI265" s="207"/>
      <c r="AJ265" s="207"/>
      <c r="AK265" s="207"/>
      <c r="AL265" s="207"/>
      <c r="AM265" s="94"/>
      <c r="AN265" s="94"/>
      <c r="AO265" s="94"/>
      <c r="AP265" s="94"/>
      <c r="AQ265" s="94"/>
      <c r="AR265" s="94"/>
      <c r="AS265" s="94"/>
      <c r="AT265" s="94"/>
      <c r="AU265" s="94"/>
      <c r="AV265" s="94"/>
      <c r="AW265" s="94"/>
      <c r="AX265" s="94"/>
      <c r="AY265" s="94"/>
      <c r="AZ265" s="93"/>
      <c r="BA265" s="93"/>
      <c r="BB265" s="93"/>
      <c r="BC265" s="93"/>
      <c r="BD265" s="93"/>
      <c r="BE265" s="93"/>
      <c r="BF265" s="93"/>
      <c r="BG265" s="93"/>
      <c r="BH265" s="93"/>
      <c r="BI265" s="93"/>
      <c r="BJ265" s="93"/>
      <c r="BK265" s="93"/>
      <c r="BL265" s="93"/>
      <c r="BM265" s="93"/>
      <c r="BN265" s="93"/>
      <c r="BO265" s="93"/>
      <c r="BP265" s="93"/>
      <c r="BQ265" s="93"/>
      <c r="BR265" s="93"/>
      <c r="BS265" s="93"/>
      <c r="BT265" s="93"/>
      <c r="BU265" s="93"/>
      <c r="BV265" s="93"/>
      <c r="BW265" s="93"/>
      <c r="BX265" s="93"/>
      <c r="BY265" s="93"/>
      <c r="BZ265" s="93"/>
      <c r="CA265" s="93"/>
      <c r="CB265" s="93"/>
      <c r="CC265" s="93"/>
      <c r="CD265" s="93"/>
      <c r="CE265" s="93"/>
      <c r="CF265" s="93"/>
      <c r="CG265" s="93"/>
      <c r="CH265" s="93"/>
      <c r="CI265" s="93"/>
      <c r="CJ265" s="93"/>
      <c r="CK265" s="93"/>
      <c r="CL265" s="93"/>
      <c r="CM265" s="93"/>
      <c r="CN265" s="93"/>
      <c r="CO265" s="93"/>
      <c r="CP265" s="93"/>
      <c r="CQ265" s="93"/>
      <c r="CR265" s="93"/>
      <c r="CS265" s="93"/>
      <c r="CT265" s="93"/>
      <c r="CU265" s="93"/>
      <c r="CV265" s="93"/>
      <c r="CW265" s="93"/>
      <c r="CX265" s="93"/>
      <c r="CY265" s="93"/>
      <c r="CZ265" s="93"/>
      <c r="DA265" s="93"/>
      <c r="DB265" s="93"/>
      <c r="DC265" s="93"/>
      <c r="DD265" s="93"/>
      <c r="DE265" s="93"/>
      <c r="DF265" s="93"/>
      <c r="DG265" s="93"/>
      <c r="DH265" s="93"/>
      <c r="DI265" s="93"/>
      <c r="DJ265" s="93"/>
      <c r="DK265" s="93"/>
      <c r="DL265" s="93"/>
      <c r="DM265" s="93"/>
      <c r="DN265" s="93"/>
      <c r="DO265" s="93"/>
      <c r="DP265" s="93"/>
      <c r="DQ265" s="93"/>
      <c r="DR265" s="93"/>
      <c r="DS265" s="93"/>
      <c r="DT265" s="93"/>
      <c r="DU265" s="93"/>
      <c r="DV265" s="93"/>
      <c r="DW265" s="93"/>
      <c r="DX265" s="93"/>
      <c r="DY265" s="93"/>
      <c r="DZ265" s="93"/>
      <c r="EA265" s="93"/>
      <c r="EB265" s="93"/>
      <c r="EC265" s="93"/>
      <c r="ED265" s="93"/>
      <c r="EE265" s="93"/>
      <c r="EF265" s="93"/>
      <c r="EG265" s="93"/>
      <c r="EH265" s="93"/>
      <c r="EI265" s="93"/>
      <c r="EJ265" s="93"/>
      <c r="EK265" s="93"/>
      <c r="EL265" s="93"/>
      <c r="EM265" s="93"/>
      <c r="EN265" s="93"/>
      <c r="EO265" s="93"/>
      <c r="EP265" s="93"/>
      <c r="EQ265" s="93"/>
      <c r="ER265" s="93"/>
      <c r="ES265" s="93"/>
      <c r="ET265" s="93"/>
      <c r="EU265" s="93"/>
      <c r="EV265" s="93"/>
      <c r="EW265" s="93"/>
      <c r="EX265" s="93"/>
      <c r="EY265" s="93"/>
      <c r="EZ265" s="93"/>
      <c r="FA265" s="93"/>
      <c r="FB265" s="93"/>
      <c r="FC265" s="93"/>
      <c r="FD265" s="93"/>
      <c r="FE265" s="93"/>
      <c r="FF265" s="93"/>
      <c r="FG265" s="93"/>
      <c r="FH265" s="93"/>
      <c r="FI265" s="93"/>
      <c r="FJ265" s="93"/>
      <c r="FK265" s="93"/>
      <c r="FL265" s="93"/>
      <c r="FM265" s="93"/>
      <c r="FN265" s="93"/>
      <c r="FO265" s="93"/>
      <c r="FP265" s="93"/>
      <c r="FQ265" s="93"/>
      <c r="FR265" s="93"/>
      <c r="FS265" s="93"/>
      <c r="FT265" s="93"/>
      <c r="FU265" s="93"/>
      <c r="FV265" s="93"/>
      <c r="FW265" s="93"/>
      <c r="FX265" s="93"/>
      <c r="FY265" s="93"/>
      <c r="FZ265" s="93"/>
      <c r="GA265" s="93"/>
      <c r="GB265" s="93"/>
      <c r="GC265" s="93"/>
      <c r="GD265" s="93"/>
      <c r="GE265" s="93"/>
      <c r="GF265" s="93"/>
      <c r="GG265" s="93"/>
      <c r="GH265" s="93"/>
      <c r="GI265" s="93"/>
      <c r="GJ265" s="93"/>
      <c r="GK265" s="93"/>
      <c r="GL265" s="93"/>
      <c r="GM265" s="93"/>
      <c r="GN265" s="93"/>
      <c r="GO265" s="93"/>
      <c r="GP265" s="93"/>
      <c r="GQ265" s="93"/>
      <c r="GR265" s="93"/>
      <c r="GS265" s="93"/>
      <c r="GT265" s="93"/>
      <c r="GU265" s="93"/>
      <c r="GV265" s="93"/>
      <c r="GW265" s="93"/>
      <c r="GX265" s="93"/>
      <c r="GY265" s="93"/>
      <c r="GZ265" s="93"/>
      <c r="HA265" s="93"/>
      <c r="HB265" s="93"/>
      <c r="HC265" s="93"/>
      <c r="HD265" s="93"/>
      <c r="HE265" s="93"/>
      <c r="HF265" s="93"/>
      <c r="HG265" s="93"/>
      <c r="HH265" s="93"/>
      <c r="HI265" s="93"/>
      <c r="HJ265" s="93"/>
      <c r="HK265" s="93"/>
      <c r="HL265" s="93"/>
      <c r="HM265" s="93"/>
      <c r="HN265" s="93"/>
      <c r="HO265" s="93"/>
      <c r="HP265" s="93"/>
      <c r="HQ265" s="93"/>
      <c r="HR265" s="93"/>
      <c r="HS265" s="93"/>
      <c r="HT265" s="93"/>
      <c r="HU265" s="93"/>
      <c r="HV265" s="93"/>
      <c r="HW265" s="93"/>
      <c r="HX265" s="93"/>
      <c r="HY265" s="93"/>
      <c r="HZ265" s="93"/>
      <c r="IA265" s="93"/>
      <c r="IB265" s="93"/>
      <c r="IC265" s="93"/>
      <c r="ID265" s="93"/>
      <c r="IE265" s="93"/>
      <c r="IF265" s="93"/>
      <c r="IG265" s="93"/>
      <c r="IH265" s="93"/>
      <c r="II265" s="93"/>
      <c r="IJ265" s="93"/>
      <c r="IK265" s="93"/>
      <c r="IL265" s="93"/>
      <c r="IM265" s="93"/>
      <c r="IN265" s="93"/>
      <c r="IO265" s="93"/>
      <c r="IP265" s="93"/>
      <c r="IQ265" s="93"/>
      <c r="IR265" s="93"/>
      <c r="IS265" s="93"/>
      <c r="IT265" s="93"/>
      <c r="IU265" s="93"/>
      <c r="IV265" s="93"/>
      <c r="IW265" s="93"/>
      <c r="IX265" s="93"/>
      <c r="IY265" s="93"/>
      <c r="IZ265" s="93"/>
    </row>
    <row r="266" spans="1:260" s="95" customFormat="1">
      <c r="A266" s="93"/>
      <c r="B266" s="183"/>
      <c r="C266" s="183"/>
      <c r="D266" s="183"/>
      <c r="E266" s="158"/>
      <c r="F266" s="158"/>
      <c r="G266" s="158"/>
      <c r="H266" s="158"/>
      <c r="I266" s="158"/>
      <c r="J266" s="158"/>
      <c r="K266" s="158"/>
      <c r="L266" s="158"/>
      <c r="M266" s="158"/>
      <c r="N266" s="158"/>
      <c r="O266" s="158"/>
      <c r="P266" s="228"/>
      <c r="Q266" s="158"/>
      <c r="R266" s="158"/>
      <c r="S266" s="207"/>
      <c r="T266" s="207"/>
      <c r="U266" s="207"/>
      <c r="V266" s="207"/>
      <c r="W266" s="207"/>
      <c r="X266" s="207"/>
      <c r="Y266" s="207"/>
      <c r="Z266" s="207"/>
      <c r="AA266" s="207"/>
      <c r="AB266" s="207"/>
      <c r="AC266" s="207"/>
      <c r="AD266" s="207"/>
      <c r="AE266" s="207"/>
      <c r="AF266" s="207"/>
      <c r="AG266" s="207"/>
      <c r="AH266" s="207"/>
      <c r="AI266" s="207"/>
      <c r="AJ266" s="207"/>
      <c r="AK266" s="207"/>
      <c r="AL266" s="207"/>
      <c r="AM266" s="94"/>
      <c r="AN266" s="94"/>
      <c r="AO266" s="94"/>
      <c r="AP266" s="94"/>
      <c r="AQ266" s="94"/>
      <c r="AR266" s="94"/>
      <c r="AS266" s="94"/>
      <c r="AT266" s="94"/>
      <c r="AU266" s="94"/>
      <c r="AV266" s="94"/>
      <c r="AW266" s="94"/>
      <c r="AX266" s="94"/>
      <c r="AY266" s="94"/>
      <c r="AZ266" s="93"/>
      <c r="BA266" s="93"/>
      <c r="BB266" s="93"/>
      <c r="BC266" s="93"/>
      <c r="BD266" s="93"/>
      <c r="BE266" s="93"/>
      <c r="BF266" s="93"/>
      <c r="BG266" s="93"/>
      <c r="BH266" s="93"/>
      <c r="BI266" s="93"/>
      <c r="BJ266" s="93"/>
      <c r="BK266" s="93"/>
      <c r="BL266" s="93"/>
      <c r="BM266" s="93"/>
      <c r="BN266" s="93"/>
      <c r="BO266" s="93"/>
      <c r="BP266" s="93"/>
      <c r="BQ266" s="93"/>
      <c r="BR266" s="93"/>
      <c r="BS266" s="93"/>
      <c r="BT266" s="93"/>
      <c r="BU266" s="93"/>
      <c r="BV266" s="93"/>
      <c r="BW266" s="93"/>
      <c r="BX266" s="93"/>
      <c r="BY266" s="93"/>
      <c r="BZ266" s="93"/>
      <c r="CA266" s="93"/>
      <c r="CB266" s="93"/>
      <c r="CC266" s="93"/>
      <c r="CD266" s="93"/>
      <c r="CE266" s="93"/>
      <c r="CF266" s="93"/>
      <c r="CG266" s="93"/>
      <c r="CH266" s="93"/>
      <c r="CI266" s="93"/>
      <c r="CJ266" s="93"/>
      <c r="CK266" s="93"/>
      <c r="CL266" s="93"/>
      <c r="CM266" s="93"/>
      <c r="CN266" s="93"/>
      <c r="CO266" s="93"/>
      <c r="CP266" s="93"/>
      <c r="CQ266" s="93"/>
      <c r="CR266" s="93"/>
      <c r="CS266" s="93"/>
      <c r="CT266" s="93"/>
      <c r="CU266" s="93"/>
      <c r="CV266" s="93"/>
      <c r="CW266" s="93"/>
      <c r="CX266" s="93"/>
      <c r="CY266" s="93"/>
      <c r="CZ266" s="93"/>
      <c r="DA266" s="93"/>
      <c r="DB266" s="93"/>
      <c r="DC266" s="93"/>
      <c r="DD266" s="93"/>
      <c r="DE266" s="93"/>
      <c r="DF266" s="93"/>
      <c r="DG266" s="93"/>
      <c r="DH266" s="93"/>
      <c r="DI266" s="93"/>
      <c r="DJ266" s="93"/>
      <c r="DK266" s="93"/>
      <c r="DL266" s="93"/>
      <c r="DM266" s="93"/>
      <c r="DN266" s="93"/>
      <c r="DO266" s="93"/>
      <c r="DP266" s="93"/>
      <c r="DQ266" s="93"/>
      <c r="DR266" s="93"/>
      <c r="DS266" s="93"/>
      <c r="DT266" s="93"/>
      <c r="DU266" s="93"/>
      <c r="DV266" s="93"/>
      <c r="DW266" s="93"/>
      <c r="DX266" s="93"/>
      <c r="DY266" s="93"/>
      <c r="DZ266" s="93"/>
      <c r="EA266" s="93"/>
      <c r="EB266" s="93"/>
      <c r="EC266" s="93"/>
      <c r="ED266" s="93"/>
      <c r="EE266" s="93"/>
      <c r="EF266" s="93"/>
      <c r="EG266" s="93"/>
      <c r="EH266" s="93"/>
      <c r="EI266" s="93"/>
      <c r="EJ266" s="93"/>
      <c r="EK266" s="93"/>
      <c r="EL266" s="93"/>
      <c r="EM266" s="93"/>
      <c r="EN266" s="93"/>
      <c r="EO266" s="93"/>
      <c r="EP266" s="93"/>
      <c r="EQ266" s="93"/>
      <c r="ER266" s="93"/>
      <c r="ES266" s="93"/>
      <c r="ET266" s="93"/>
      <c r="EU266" s="93"/>
      <c r="EV266" s="93"/>
      <c r="EW266" s="93"/>
      <c r="EX266" s="93"/>
      <c r="EY266" s="93"/>
      <c r="EZ266" s="93"/>
      <c r="FA266" s="93"/>
      <c r="FB266" s="93"/>
      <c r="FC266" s="93"/>
      <c r="FD266" s="93"/>
      <c r="FE266" s="93"/>
      <c r="FF266" s="93"/>
      <c r="FG266" s="93"/>
      <c r="FH266" s="93"/>
      <c r="FI266" s="93"/>
      <c r="FJ266" s="93"/>
      <c r="FK266" s="93"/>
      <c r="FL266" s="93"/>
      <c r="FM266" s="93"/>
      <c r="FN266" s="93"/>
      <c r="FO266" s="93"/>
      <c r="FP266" s="93"/>
      <c r="FQ266" s="93"/>
      <c r="FR266" s="93"/>
      <c r="FS266" s="93"/>
      <c r="FT266" s="93"/>
      <c r="FU266" s="93"/>
      <c r="FV266" s="93"/>
      <c r="FW266" s="93"/>
      <c r="FX266" s="93"/>
      <c r="FY266" s="93"/>
      <c r="FZ266" s="93"/>
      <c r="GA266" s="93"/>
      <c r="GB266" s="93"/>
      <c r="GC266" s="93"/>
      <c r="GD266" s="93"/>
      <c r="GE266" s="93"/>
      <c r="GF266" s="93"/>
      <c r="GG266" s="93"/>
      <c r="GH266" s="93"/>
      <c r="GI266" s="93"/>
      <c r="GJ266" s="93"/>
      <c r="GK266" s="93"/>
      <c r="GL266" s="93"/>
      <c r="GM266" s="93"/>
      <c r="GN266" s="93"/>
      <c r="GO266" s="93"/>
      <c r="GP266" s="93"/>
      <c r="GQ266" s="93"/>
      <c r="GR266" s="93"/>
      <c r="GS266" s="93"/>
      <c r="GT266" s="93"/>
      <c r="GU266" s="93"/>
      <c r="GV266" s="93"/>
      <c r="GW266" s="93"/>
      <c r="GX266" s="93"/>
      <c r="GY266" s="93"/>
      <c r="GZ266" s="93"/>
      <c r="HA266" s="93"/>
      <c r="HB266" s="93"/>
      <c r="HC266" s="93"/>
      <c r="HD266" s="93"/>
      <c r="HE266" s="93"/>
      <c r="HF266" s="93"/>
      <c r="HG266" s="93"/>
      <c r="HH266" s="93"/>
      <c r="HI266" s="93"/>
      <c r="HJ266" s="93"/>
      <c r="HK266" s="93"/>
      <c r="HL266" s="93"/>
      <c r="HM266" s="93"/>
      <c r="HN266" s="93"/>
      <c r="HO266" s="93"/>
      <c r="HP266" s="93"/>
      <c r="HQ266" s="93"/>
      <c r="HR266" s="93"/>
      <c r="HS266" s="93"/>
      <c r="HT266" s="93"/>
      <c r="HU266" s="93"/>
      <c r="HV266" s="93"/>
      <c r="HW266" s="93"/>
      <c r="HX266" s="93"/>
      <c r="HY266" s="93"/>
      <c r="HZ266" s="93"/>
      <c r="IA266" s="93"/>
      <c r="IB266" s="93"/>
      <c r="IC266" s="93"/>
      <c r="ID266" s="93"/>
      <c r="IE266" s="93"/>
      <c r="IF266" s="93"/>
      <c r="IG266" s="93"/>
      <c r="IH266" s="93"/>
      <c r="II266" s="93"/>
      <c r="IJ266" s="93"/>
      <c r="IK266" s="93"/>
      <c r="IL266" s="93"/>
      <c r="IM266" s="93"/>
      <c r="IN266" s="93"/>
      <c r="IO266" s="93"/>
      <c r="IP266" s="93"/>
      <c r="IQ266" s="93"/>
      <c r="IR266" s="93"/>
      <c r="IS266" s="93"/>
      <c r="IT266" s="93"/>
      <c r="IU266" s="93"/>
      <c r="IV266" s="93"/>
      <c r="IW266" s="93"/>
      <c r="IX266" s="93"/>
      <c r="IY266" s="93"/>
      <c r="IZ266" s="93"/>
    </row>
    <row r="267" spans="1:260" s="95" customFormat="1">
      <c r="A267" s="93"/>
      <c r="B267" s="183"/>
      <c r="C267" s="183"/>
      <c r="D267" s="183"/>
      <c r="E267" s="158"/>
      <c r="F267" s="158"/>
      <c r="G267" s="158"/>
      <c r="H267" s="158"/>
      <c r="I267" s="158"/>
      <c r="J267" s="158"/>
      <c r="K267" s="158"/>
      <c r="L267" s="158"/>
      <c r="M267" s="158"/>
      <c r="N267" s="158"/>
      <c r="O267" s="158"/>
      <c r="P267" s="228"/>
      <c r="Q267" s="158"/>
      <c r="R267" s="158"/>
      <c r="S267" s="207"/>
      <c r="T267" s="207"/>
      <c r="U267" s="207"/>
      <c r="V267" s="207"/>
      <c r="W267" s="207"/>
      <c r="X267" s="207"/>
      <c r="Y267" s="207"/>
      <c r="Z267" s="207"/>
      <c r="AA267" s="207"/>
      <c r="AB267" s="207"/>
      <c r="AC267" s="207"/>
      <c r="AD267" s="207"/>
      <c r="AE267" s="207"/>
      <c r="AF267" s="207"/>
      <c r="AG267" s="207"/>
      <c r="AH267" s="207"/>
      <c r="AI267" s="207"/>
      <c r="AJ267" s="207"/>
      <c r="AK267" s="207"/>
      <c r="AL267" s="207"/>
      <c r="AM267" s="94"/>
      <c r="AN267" s="94"/>
      <c r="AO267" s="94"/>
      <c r="AP267" s="94"/>
      <c r="AQ267" s="94"/>
      <c r="AR267" s="94"/>
      <c r="AS267" s="94"/>
      <c r="AT267" s="94"/>
      <c r="AU267" s="94"/>
      <c r="AV267" s="94"/>
      <c r="AW267" s="94"/>
      <c r="AX267" s="94"/>
      <c r="AY267" s="94"/>
      <c r="AZ267" s="93"/>
      <c r="BA267" s="93"/>
      <c r="BB267" s="93"/>
      <c r="BC267" s="93"/>
      <c r="BD267" s="93"/>
      <c r="BE267" s="93"/>
      <c r="BF267" s="93"/>
      <c r="BG267" s="93"/>
      <c r="BH267" s="93"/>
      <c r="BI267" s="93"/>
      <c r="BJ267" s="93"/>
      <c r="BK267" s="93"/>
      <c r="BL267" s="93"/>
      <c r="BM267" s="93"/>
      <c r="BN267" s="93"/>
      <c r="BO267" s="93"/>
      <c r="BP267" s="93"/>
      <c r="BQ267" s="93"/>
      <c r="BR267" s="93"/>
      <c r="BS267" s="93"/>
      <c r="BT267" s="93"/>
      <c r="BU267" s="93"/>
      <c r="BV267" s="93"/>
      <c r="BW267" s="93"/>
      <c r="BX267" s="93"/>
      <c r="BY267" s="93"/>
      <c r="BZ267" s="93"/>
      <c r="CA267" s="93"/>
      <c r="CB267" s="93"/>
      <c r="CC267" s="93"/>
      <c r="CD267" s="93"/>
      <c r="CE267" s="93"/>
      <c r="CF267" s="93"/>
      <c r="CG267" s="93"/>
      <c r="CH267" s="93"/>
      <c r="CI267" s="93"/>
      <c r="CJ267" s="93"/>
      <c r="CK267" s="93"/>
      <c r="CL267" s="93"/>
      <c r="CM267" s="93"/>
      <c r="CN267" s="93"/>
      <c r="CO267" s="93"/>
      <c r="CP267" s="93"/>
      <c r="CQ267" s="93"/>
      <c r="CR267" s="93"/>
      <c r="CS267" s="93"/>
      <c r="CT267" s="93"/>
      <c r="CU267" s="93"/>
      <c r="CV267" s="93"/>
      <c r="CW267" s="93"/>
      <c r="CX267" s="93"/>
      <c r="CY267" s="93"/>
      <c r="CZ267" s="93"/>
      <c r="DA267" s="93"/>
      <c r="DB267" s="93"/>
      <c r="DC267" s="93"/>
      <c r="DD267" s="93"/>
      <c r="DE267" s="93"/>
      <c r="DF267" s="93"/>
      <c r="DG267" s="93"/>
      <c r="DH267" s="93"/>
      <c r="DI267" s="93"/>
      <c r="DJ267" s="93"/>
      <c r="DK267" s="93"/>
      <c r="DL267" s="93"/>
      <c r="DM267" s="93"/>
      <c r="DN267" s="93"/>
      <c r="DO267" s="93"/>
      <c r="DP267" s="93"/>
      <c r="DQ267" s="93"/>
      <c r="DR267" s="93"/>
      <c r="DS267" s="93"/>
      <c r="DT267" s="93"/>
      <c r="DU267" s="93"/>
      <c r="DV267" s="93"/>
      <c r="DW267" s="93"/>
      <c r="DX267" s="93"/>
      <c r="DY267" s="93"/>
      <c r="DZ267" s="93"/>
      <c r="EA267" s="93"/>
      <c r="EB267" s="93"/>
      <c r="EC267" s="93"/>
      <c r="ED267" s="93"/>
      <c r="EE267" s="93"/>
      <c r="EF267" s="93"/>
      <c r="EG267" s="93"/>
      <c r="EH267" s="93"/>
      <c r="EI267" s="93"/>
      <c r="EJ267" s="93"/>
      <c r="EK267" s="93"/>
      <c r="EL267" s="93"/>
      <c r="EM267" s="93"/>
      <c r="EN267" s="93"/>
      <c r="EO267" s="93"/>
      <c r="EP267" s="93"/>
      <c r="EQ267" s="93"/>
      <c r="ER267" s="93"/>
      <c r="ES267" s="93"/>
      <c r="ET267" s="93"/>
      <c r="EU267" s="93"/>
      <c r="EV267" s="93"/>
      <c r="EW267" s="93"/>
      <c r="EX267" s="93"/>
      <c r="EY267" s="93"/>
      <c r="EZ267" s="93"/>
      <c r="FA267" s="93"/>
      <c r="FB267" s="93"/>
      <c r="FC267" s="93"/>
      <c r="FD267" s="93"/>
      <c r="FE267" s="93"/>
      <c r="FF267" s="93"/>
      <c r="FG267" s="93"/>
      <c r="FH267" s="93"/>
      <c r="FI267" s="93"/>
      <c r="FJ267" s="93"/>
      <c r="FK267" s="93"/>
      <c r="FL267" s="93"/>
      <c r="FM267" s="93"/>
      <c r="FN267" s="93"/>
      <c r="FO267" s="93"/>
      <c r="FP267" s="93"/>
      <c r="FQ267" s="93"/>
      <c r="FR267" s="93"/>
      <c r="FS267" s="93"/>
      <c r="FT267" s="93"/>
      <c r="FU267" s="93"/>
      <c r="FV267" s="93"/>
      <c r="FW267" s="93"/>
      <c r="FX267" s="93"/>
      <c r="FY267" s="93"/>
      <c r="FZ267" s="93"/>
      <c r="GA267" s="93"/>
      <c r="GB267" s="93"/>
      <c r="GC267" s="93"/>
      <c r="GD267" s="93"/>
      <c r="GE267" s="93"/>
      <c r="GF267" s="93"/>
      <c r="GG267" s="93"/>
      <c r="GH267" s="93"/>
      <c r="GI267" s="93"/>
      <c r="GJ267" s="93"/>
      <c r="GK267" s="93"/>
      <c r="GL267" s="93"/>
      <c r="GM267" s="93"/>
      <c r="GN267" s="93"/>
      <c r="GO267" s="93"/>
      <c r="GP267" s="93"/>
      <c r="GQ267" s="93"/>
      <c r="GR267" s="93"/>
      <c r="GS267" s="93"/>
      <c r="GT267" s="93"/>
      <c r="GU267" s="93"/>
      <c r="GV267" s="93"/>
      <c r="GW267" s="93"/>
      <c r="GX267" s="93"/>
      <c r="GY267" s="93"/>
      <c r="GZ267" s="93"/>
      <c r="HA267" s="93"/>
      <c r="HB267" s="93"/>
      <c r="HC267" s="93"/>
      <c r="HD267" s="93"/>
      <c r="HE267" s="93"/>
      <c r="HF267" s="93"/>
      <c r="HG267" s="93"/>
      <c r="HH267" s="93"/>
      <c r="HI267" s="93"/>
      <c r="HJ267" s="93"/>
      <c r="HK267" s="93"/>
      <c r="HL267" s="93"/>
      <c r="HM267" s="93"/>
      <c r="HN267" s="93"/>
      <c r="HO267" s="93"/>
      <c r="HP267" s="93"/>
      <c r="HQ267" s="93"/>
      <c r="HR267" s="93"/>
      <c r="HS267" s="93"/>
      <c r="HT267" s="93"/>
      <c r="HU267" s="93"/>
      <c r="HV267" s="93"/>
      <c r="HW267" s="93"/>
      <c r="HX267" s="93"/>
      <c r="HY267" s="93"/>
      <c r="HZ267" s="93"/>
      <c r="IA267" s="93"/>
      <c r="IB267" s="93"/>
      <c r="IC267" s="93"/>
      <c r="ID267" s="93"/>
      <c r="IE267" s="93"/>
      <c r="IF267" s="93"/>
      <c r="IG267" s="93"/>
      <c r="IH267" s="93"/>
      <c r="II267" s="93"/>
      <c r="IJ267" s="93"/>
      <c r="IK267" s="93"/>
      <c r="IL267" s="93"/>
      <c r="IM267" s="93"/>
      <c r="IN267" s="93"/>
      <c r="IO267" s="93"/>
      <c r="IP267" s="93"/>
      <c r="IQ267" s="93"/>
      <c r="IR267" s="93"/>
      <c r="IS267" s="93"/>
      <c r="IT267" s="93"/>
      <c r="IU267" s="93"/>
      <c r="IV267" s="93"/>
      <c r="IW267" s="93"/>
      <c r="IX267" s="93"/>
      <c r="IY267" s="93"/>
      <c r="IZ267" s="93"/>
    </row>
    <row r="268" spans="1:260" s="95" customFormat="1">
      <c r="A268" s="93"/>
      <c r="B268" s="183"/>
      <c r="C268" s="183"/>
      <c r="D268" s="183"/>
      <c r="E268" s="158"/>
      <c r="F268" s="158"/>
      <c r="G268" s="158"/>
      <c r="H268" s="158"/>
      <c r="I268" s="158"/>
      <c r="J268" s="158"/>
      <c r="K268" s="158"/>
      <c r="L268" s="158"/>
      <c r="M268" s="158"/>
      <c r="N268" s="158"/>
      <c r="O268" s="158"/>
      <c r="P268" s="228"/>
      <c r="Q268" s="158"/>
      <c r="R268" s="158"/>
      <c r="S268" s="207"/>
      <c r="T268" s="207"/>
      <c r="U268" s="207"/>
      <c r="V268" s="207"/>
      <c r="W268" s="207"/>
      <c r="X268" s="207"/>
      <c r="Y268" s="207"/>
      <c r="Z268" s="207"/>
      <c r="AA268" s="207"/>
      <c r="AB268" s="207"/>
      <c r="AC268" s="207"/>
      <c r="AD268" s="207"/>
      <c r="AE268" s="207"/>
      <c r="AF268" s="207"/>
      <c r="AG268" s="207"/>
      <c r="AH268" s="207"/>
      <c r="AI268" s="207"/>
      <c r="AJ268" s="207"/>
      <c r="AK268" s="207"/>
      <c r="AL268" s="207"/>
      <c r="AM268" s="94"/>
      <c r="AN268" s="94"/>
      <c r="AO268" s="94"/>
      <c r="AP268" s="94"/>
      <c r="AQ268" s="94"/>
      <c r="AR268" s="94"/>
      <c r="AS268" s="94"/>
      <c r="AT268" s="94"/>
      <c r="AU268" s="94"/>
      <c r="AV268" s="94"/>
      <c r="AW268" s="94"/>
      <c r="AX268" s="94"/>
      <c r="AY268" s="94"/>
      <c r="AZ268" s="93"/>
      <c r="BA268" s="93"/>
      <c r="BB268" s="93"/>
      <c r="BC268" s="93"/>
      <c r="BD268" s="93"/>
      <c r="BE268" s="93"/>
      <c r="BF268" s="93"/>
      <c r="BG268" s="93"/>
      <c r="BH268" s="93"/>
      <c r="BI268" s="93"/>
      <c r="BJ268" s="93"/>
      <c r="BK268" s="93"/>
      <c r="BL268" s="93"/>
      <c r="BM268" s="93"/>
      <c r="BN268" s="93"/>
      <c r="BO268" s="93"/>
      <c r="BP268" s="93"/>
      <c r="BQ268" s="93"/>
      <c r="BR268" s="93"/>
      <c r="BS268" s="93"/>
      <c r="BT268" s="93"/>
      <c r="BU268" s="93"/>
      <c r="BV268" s="93"/>
      <c r="BW268" s="93"/>
      <c r="BX268" s="93"/>
      <c r="BY268" s="93"/>
      <c r="BZ268" s="93"/>
      <c r="CA268" s="93"/>
      <c r="CB268" s="93"/>
      <c r="CC268" s="93"/>
      <c r="CD268" s="93"/>
      <c r="CE268" s="93"/>
      <c r="CF268" s="93"/>
      <c r="CG268" s="93"/>
      <c r="CH268" s="93"/>
      <c r="CI268" s="93"/>
      <c r="CJ268" s="93"/>
      <c r="CK268" s="93"/>
      <c r="CL268" s="93"/>
      <c r="CM268" s="93"/>
      <c r="CN268" s="93"/>
      <c r="CO268" s="93"/>
      <c r="CP268" s="93"/>
      <c r="CQ268" s="93"/>
      <c r="CR268" s="93"/>
      <c r="CS268" s="93"/>
      <c r="CT268" s="93"/>
      <c r="CU268" s="93"/>
      <c r="CV268" s="93"/>
      <c r="CW268" s="93"/>
      <c r="CX268" s="93"/>
      <c r="CY268" s="93"/>
      <c r="CZ268" s="93"/>
      <c r="DA268" s="93"/>
      <c r="DB268" s="93"/>
      <c r="DC268" s="93"/>
      <c r="DD268" s="93"/>
      <c r="DE268" s="93"/>
      <c r="DF268" s="93"/>
      <c r="DG268" s="93"/>
      <c r="DH268" s="93"/>
      <c r="DI268" s="93"/>
      <c r="DJ268" s="93"/>
      <c r="DK268" s="93"/>
      <c r="DL268" s="93"/>
      <c r="DM268" s="93"/>
      <c r="DN268" s="93"/>
      <c r="DO268" s="93"/>
      <c r="DP268" s="93"/>
      <c r="DQ268" s="93"/>
      <c r="DR268" s="93"/>
      <c r="DS268" s="93"/>
      <c r="DT268" s="93"/>
      <c r="DU268" s="93"/>
      <c r="DV268" s="93"/>
      <c r="DW268" s="93"/>
      <c r="DX268" s="93"/>
      <c r="DY268" s="93"/>
      <c r="DZ268" s="93"/>
      <c r="EA268" s="93"/>
      <c r="EB268" s="93"/>
      <c r="EC268" s="93"/>
      <c r="ED268" s="93"/>
      <c r="EE268" s="93"/>
      <c r="EF268" s="93"/>
      <c r="EG268" s="93"/>
      <c r="EH268" s="93"/>
      <c r="EI268" s="93"/>
      <c r="EJ268" s="93"/>
      <c r="EK268" s="93"/>
      <c r="EL268" s="93"/>
      <c r="EM268" s="93"/>
      <c r="EN268" s="93"/>
      <c r="EO268" s="93"/>
      <c r="EP268" s="93"/>
      <c r="EQ268" s="93"/>
      <c r="ER268" s="93"/>
      <c r="ES268" s="93"/>
      <c r="ET268" s="93"/>
      <c r="EU268" s="93"/>
      <c r="EV268" s="93"/>
      <c r="EW268" s="93"/>
      <c r="EX268" s="93"/>
      <c r="EY268" s="93"/>
      <c r="EZ268" s="93"/>
      <c r="FA268" s="93"/>
      <c r="FB268" s="93"/>
      <c r="FC268" s="93"/>
      <c r="FD268" s="93"/>
      <c r="FE268" s="93"/>
      <c r="FF268" s="93"/>
      <c r="FG268" s="93"/>
      <c r="FH268" s="93"/>
      <c r="FI268" s="93"/>
      <c r="FJ268" s="93"/>
      <c r="FK268" s="93"/>
      <c r="FL268" s="93"/>
      <c r="FM268" s="93"/>
      <c r="FN268" s="93"/>
      <c r="FO268" s="93"/>
      <c r="FP268" s="93"/>
      <c r="FQ268" s="93"/>
      <c r="FR268" s="93"/>
      <c r="FS268" s="93"/>
      <c r="FT268" s="93"/>
      <c r="FU268" s="93"/>
      <c r="FV268" s="93"/>
      <c r="FW268" s="93"/>
      <c r="FX268" s="93"/>
      <c r="FY268" s="93"/>
      <c r="FZ268" s="93"/>
      <c r="GA268" s="93"/>
      <c r="GB268" s="93"/>
      <c r="GC268" s="93"/>
      <c r="GD268" s="93"/>
      <c r="GE268" s="93"/>
      <c r="GF268" s="93"/>
      <c r="GG268" s="93"/>
      <c r="GH268" s="93"/>
      <c r="GI268" s="93"/>
      <c r="GJ268" s="93"/>
      <c r="GK268" s="93"/>
      <c r="GL268" s="93"/>
      <c r="GM268" s="93"/>
      <c r="GN268" s="93"/>
      <c r="GO268" s="93"/>
      <c r="GP268" s="93"/>
      <c r="GQ268" s="93"/>
      <c r="GR268" s="93"/>
      <c r="GS268" s="93"/>
      <c r="GT268" s="93"/>
      <c r="GU268" s="93"/>
      <c r="GV268" s="93"/>
      <c r="GW268" s="93"/>
      <c r="GX268" s="93"/>
      <c r="GY268" s="93"/>
      <c r="GZ268" s="93"/>
      <c r="HA268" s="93"/>
      <c r="HB268" s="93"/>
      <c r="HC268" s="93"/>
      <c r="HD268" s="93"/>
      <c r="HE268" s="93"/>
      <c r="HF268" s="93"/>
      <c r="HG268" s="93"/>
      <c r="HH268" s="93"/>
      <c r="HI268" s="93"/>
      <c r="HJ268" s="93"/>
      <c r="HK268" s="93"/>
      <c r="HL268" s="93"/>
      <c r="HM268" s="93"/>
      <c r="HN268" s="93"/>
      <c r="HO268" s="93"/>
      <c r="HP268" s="93"/>
      <c r="HQ268" s="93"/>
      <c r="HR268" s="93"/>
      <c r="HS268" s="93"/>
      <c r="HT268" s="93"/>
      <c r="HU268" s="93"/>
      <c r="HV268" s="93"/>
      <c r="HW268" s="93"/>
      <c r="HX268" s="93"/>
      <c r="HY268" s="93"/>
      <c r="HZ268" s="93"/>
      <c r="IA268" s="93"/>
      <c r="IB268" s="93"/>
      <c r="IC268" s="93"/>
      <c r="ID268" s="93"/>
      <c r="IE268" s="93"/>
      <c r="IF268" s="93"/>
      <c r="IG268" s="93"/>
      <c r="IH268" s="93"/>
      <c r="II268" s="93"/>
      <c r="IJ268" s="93"/>
      <c r="IK268" s="93"/>
      <c r="IL268" s="93"/>
      <c r="IM268" s="93"/>
      <c r="IN268" s="93"/>
      <c r="IO268" s="93"/>
      <c r="IP268" s="93"/>
      <c r="IQ268" s="93"/>
      <c r="IR268" s="93"/>
      <c r="IS268" s="93"/>
      <c r="IT268" s="93"/>
      <c r="IU268" s="93"/>
      <c r="IV268" s="93"/>
      <c r="IW268" s="93"/>
      <c r="IX268" s="93"/>
      <c r="IY268" s="93"/>
      <c r="IZ268" s="93"/>
    </row>
    <row r="269" spans="1:260" s="95" customFormat="1">
      <c r="A269" s="93"/>
      <c r="B269" s="183"/>
      <c r="C269" s="183"/>
      <c r="D269" s="183"/>
      <c r="E269" s="158"/>
      <c r="F269" s="158"/>
      <c r="G269" s="158"/>
      <c r="H269" s="158"/>
      <c r="I269" s="158"/>
      <c r="J269" s="158"/>
      <c r="K269" s="158"/>
      <c r="L269" s="158"/>
      <c r="M269" s="158"/>
      <c r="N269" s="158"/>
      <c r="O269" s="158"/>
      <c r="P269" s="228"/>
      <c r="Q269" s="158"/>
      <c r="R269" s="158"/>
      <c r="S269" s="207"/>
      <c r="T269" s="207"/>
      <c r="U269" s="207"/>
      <c r="V269" s="207"/>
      <c r="W269" s="207"/>
      <c r="X269" s="207"/>
      <c r="Y269" s="207"/>
      <c r="Z269" s="207"/>
      <c r="AA269" s="207"/>
      <c r="AB269" s="207"/>
      <c r="AC269" s="207"/>
      <c r="AD269" s="207"/>
      <c r="AE269" s="207"/>
      <c r="AF269" s="207"/>
      <c r="AG269" s="207"/>
      <c r="AH269" s="207"/>
      <c r="AI269" s="207"/>
      <c r="AJ269" s="207"/>
      <c r="AK269" s="207"/>
      <c r="AL269" s="207"/>
      <c r="AM269" s="94"/>
      <c r="AN269" s="94"/>
      <c r="AO269" s="94"/>
      <c r="AP269" s="94"/>
      <c r="AQ269" s="94"/>
      <c r="AR269" s="94"/>
      <c r="AS269" s="94"/>
      <c r="AT269" s="94"/>
      <c r="AU269" s="94"/>
      <c r="AV269" s="94"/>
      <c r="AW269" s="94"/>
      <c r="AX269" s="94"/>
      <c r="AY269" s="94"/>
      <c r="AZ269" s="93"/>
      <c r="BA269" s="93"/>
      <c r="BB269" s="93"/>
      <c r="BC269" s="93"/>
      <c r="BD269" s="93"/>
      <c r="BE269" s="93"/>
      <c r="BF269" s="93"/>
      <c r="BG269" s="93"/>
      <c r="BH269" s="93"/>
      <c r="BI269" s="93"/>
      <c r="BJ269" s="93"/>
      <c r="BK269" s="93"/>
      <c r="BL269" s="93"/>
      <c r="BM269" s="93"/>
      <c r="BN269" s="93"/>
      <c r="BO269" s="93"/>
      <c r="BP269" s="93"/>
      <c r="BQ269" s="93"/>
      <c r="BR269" s="93"/>
      <c r="BS269" s="93"/>
      <c r="BT269" s="93"/>
      <c r="BU269" s="93"/>
      <c r="BV269" s="93"/>
      <c r="BW269" s="93"/>
      <c r="BX269" s="93"/>
      <c r="BY269" s="93"/>
      <c r="BZ269" s="93"/>
      <c r="CA269" s="93"/>
      <c r="CB269" s="93"/>
      <c r="CC269" s="93"/>
      <c r="CD269" s="93"/>
      <c r="CE269" s="93"/>
      <c r="CF269" s="93"/>
      <c r="CG269" s="93"/>
      <c r="CH269" s="93"/>
      <c r="CI269" s="93"/>
      <c r="CJ269" s="93"/>
      <c r="CK269" s="93"/>
      <c r="CL269" s="93"/>
      <c r="CM269" s="93"/>
      <c r="CN269" s="93"/>
      <c r="CO269" s="93"/>
      <c r="CP269" s="93"/>
      <c r="CQ269" s="93"/>
      <c r="CR269" s="93"/>
      <c r="CS269" s="93"/>
      <c r="CT269" s="93"/>
      <c r="CU269" s="93"/>
      <c r="CV269" s="93"/>
      <c r="CW269" s="93"/>
      <c r="CX269" s="93"/>
      <c r="CY269" s="93"/>
      <c r="CZ269" s="93"/>
      <c r="DA269" s="93"/>
      <c r="DB269" s="93"/>
      <c r="DC269" s="93"/>
      <c r="DD269" s="93"/>
      <c r="DE269" s="93"/>
      <c r="DF269" s="93"/>
      <c r="DG269" s="93"/>
      <c r="DH269" s="93"/>
      <c r="DI269" s="93"/>
      <c r="DJ269" s="93"/>
      <c r="DK269" s="93"/>
      <c r="DL269" s="93"/>
      <c r="DM269" s="93"/>
      <c r="DN269" s="93"/>
      <c r="DO269" s="93"/>
      <c r="DP269" s="93"/>
      <c r="DQ269" s="93"/>
      <c r="DR269" s="93"/>
      <c r="DS269" s="93"/>
      <c r="DT269" s="93"/>
      <c r="DU269" s="93"/>
      <c r="DV269" s="93"/>
      <c r="DW269" s="93"/>
      <c r="DX269" s="93"/>
      <c r="DY269" s="93"/>
      <c r="DZ269" s="93"/>
      <c r="EA269" s="93"/>
      <c r="EB269" s="93"/>
      <c r="EC269" s="93"/>
      <c r="ED269" s="93"/>
      <c r="EE269" s="93"/>
      <c r="EF269" s="93"/>
      <c r="EG269" s="93"/>
      <c r="EH269" s="93"/>
      <c r="EI269" s="93"/>
      <c r="EJ269" s="93"/>
      <c r="EK269" s="93"/>
      <c r="EL269" s="93"/>
      <c r="EM269" s="93"/>
      <c r="EN269" s="93"/>
      <c r="EO269" s="93"/>
      <c r="EP269" s="93"/>
      <c r="EQ269" s="93"/>
      <c r="ER269" s="93"/>
      <c r="ES269" s="93"/>
      <c r="ET269" s="93"/>
      <c r="EU269" s="93"/>
      <c r="EV269" s="93"/>
      <c r="EW269" s="93"/>
      <c r="EX269" s="93"/>
      <c r="EY269" s="93"/>
      <c r="EZ269" s="93"/>
      <c r="FA269" s="93"/>
      <c r="FB269" s="93"/>
      <c r="FC269" s="93"/>
      <c r="FD269" s="93"/>
      <c r="FE269" s="93"/>
      <c r="FF269" s="93"/>
      <c r="FG269" s="93"/>
      <c r="FH269" s="93"/>
      <c r="FI269" s="93"/>
      <c r="FJ269" s="93"/>
      <c r="FK269" s="93"/>
      <c r="FL269" s="93"/>
      <c r="FM269" s="93"/>
      <c r="FN269" s="93"/>
      <c r="FO269" s="93"/>
      <c r="FP269" s="93"/>
      <c r="FQ269" s="93"/>
      <c r="FR269" s="93"/>
      <c r="FS269" s="93"/>
      <c r="FT269" s="93"/>
      <c r="FU269" s="93"/>
      <c r="FV269" s="93"/>
      <c r="FW269" s="93"/>
      <c r="FX269" s="93"/>
      <c r="FY269" s="93"/>
      <c r="FZ269" s="93"/>
      <c r="GA269" s="93"/>
      <c r="GB269" s="93"/>
      <c r="GC269" s="93"/>
      <c r="GD269" s="93"/>
      <c r="GE269" s="93"/>
      <c r="GF269" s="93"/>
      <c r="GG269" s="93"/>
      <c r="GH269" s="93"/>
      <c r="GI269" s="93"/>
      <c r="GJ269" s="93"/>
      <c r="GK269" s="93"/>
      <c r="GL269" s="93"/>
      <c r="GM269" s="93"/>
      <c r="GN269" s="93"/>
      <c r="GO269" s="93"/>
      <c r="GP269" s="93"/>
      <c r="GQ269" s="93"/>
      <c r="GR269" s="93"/>
      <c r="GS269" s="93"/>
      <c r="GT269" s="93"/>
      <c r="GU269" s="93"/>
      <c r="GV269" s="93"/>
      <c r="GW269" s="93"/>
      <c r="GX269" s="93"/>
      <c r="GY269" s="93"/>
      <c r="GZ269" s="93"/>
      <c r="HA269" s="93"/>
      <c r="HB269" s="93"/>
      <c r="HC269" s="93"/>
      <c r="HD269" s="93"/>
      <c r="HE269" s="93"/>
      <c r="HF269" s="93"/>
      <c r="HG269" s="93"/>
      <c r="HH269" s="93"/>
      <c r="HI269" s="93"/>
      <c r="HJ269" s="93"/>
      <c r="HK269" s="93"/>
      <c r="HL269" s="93"/>
      <c r="HM269" s="93"/>
      <c r="HN269" s="93"/>
      <c r="HO269" s="93"/>
      <c r="HP269" s="93"/>
      <c r="HQ269" s="93"/>
      <c r="HR269" s="93"/>
      <c r="HS269" s="93"/>
      <c r="HT269" s="93"/>
      <c r="HU269" s="93"/>
      <c r="HV269" s="93"/>
      <c r="HW269" s="93"/>
      <c r="HX269" s="93"/>
      <c r="HY269" s="93"/>
      <c r="HZ269" s="93"/>
      <c r="IA269" s="93"/>
      <c r="IB269" s="93"/>
      <c r="IC269" s="93"/>
      <c r="ID269" s="93"/>
      <c r="IE269" s="93"/>
      <c r="IF269" s="93"/>
      <c r="IG269" s="93"/>
      <c r="IH269" s="93"/>
      <c r="II269" s="93"/>
      <c r="IJ269" s="93"/>
      <c r="IK269" s="93"/>
      <c r="IL269" s="93"/>
      <c r="IM269" s="93"/>
      <c r="IN269" s="93"/>
      <c r="IO269" s="93"/>
      <c r="IP269" s="93"/>
      <c r="IQ269" s="93"/>
      <c r="IR269" s="93"/>
      <c r="IS269" s="93"/>
      <c r="IT269" s="93"/>
      <c r="IU269" s="93"/>
      <c r="IV269" s="93"/>
      <c r="IW269" s="93"/>
      <c r="IX269" s="93"/>
      <c r="IY269" s="93"/>
      <c r="IZ269" s="93"/>
    </row>
    <row r="270" spans="1:260" s="95" customFormat="1">
      <c r="A270" s="93"/>
      <c r="B270" s="183"/>
      <c r="C270" s="183"/>
      <c r="D270" s="183"/>
      <c r="E270" s="158"/>
      <c r="F270" s="158"/>
      <c r="G270" s="158"/>
      <c r="H270" s="158"/>
      <c r="I270" s="158"/>
      <c r="J270" s="158"/>
      <c r="K270" s="158"/>
      <c r="L270" s="158"/>
      <c r="M270" s="158"/>
      <c r="N270" s="158"/>
      <c r="O270" s="158"/>
      <c r="P270" s="228"/>
      <c r="Q270" s="158"/>
      <c r="R270" s="158"/>
      <c r="S270" s="207"/>
      <c r="T270" s="207"/>
      <c r="U270" s="207"/>
      <c r="V270" s="207"/>
      <c r="W270" s="207"/>
      <c r="X270" s="207"/>
      <c r="Y270" s="207"/>
      <c r="Z270" s="207"/>
      <c r="AA270" s="207"/>
      <c r="AB270" s="207"/>
      <c r="AC270" s="207"/>
      <c r="AD270" s="207"/>
      <c r="AE270" s="207"/>
      <c r="AF270" s="207"/>
      <c r="AG270" s="207"/>
      <c r="AH270" s="207"/>
      <c r="AI270" s="207"/>
      <c r="AJ270" s="207"/>
      <c r="AK270" s="207"/>
      <c r="AL270" s="207"/>
      <c r="AM270" s="94"/>
      <c r="AN270" s="94"/>
      <c r="AO270" s="94"/>
      <c r="AP270" s="94"/>
      <c r="AQ270" s="94"/>
      <c r="AR270" s="94"/>
      <c r="AS270" s="94"/>
      <c r="AT270" s="94"/>
      <c r="AU270" s="94"/>
      <c r="AV270" s="94"/>
      <c r="AW270" s="94"/>
      <c r="AX270" s="94"/>
      <c r="AY270" s="94"/>
      <c r="AZ270" s="93"/>
      <c r="BA270" s="93"/>
      <c r="BB270" s="93"/>
      <c r="BC270" s="93"/>
      <c r="BD270" s="93"/>
      <c r="BE270" s="93"/>
      <c r="BF270" s="93"/>
      <c r="BG270" s="93"/>
      <c r="BH270" s="93"/>
      <c r="BI270" s="93"/>
      <c r="BJ270" s="93"/>
      <c r="BK270" s="93"/>
      <c r="BL270" s="93"/>
      <c r="BM270" s="93"/>
      <c r="BN270" s="93"/>
      <c r="BO270" s="93"/>
      <c r="BP270" s="93"/>
      <c r="BQ270" s="93"/>
      <c r="BR270" s="93"/>
      <c r="BS270" s="93"/>
      <c r="BT270" s="93"/>
      <c r="BU270" s="93"/>
      <c r="BV270" s="93"/>
      <c r="BW270" s="93"/>
      <c r="BX270" s="93"/>
      <c r="BY270" s="93"/>
      <c r="BZ270" s="93"/>
      <c r="CA270" s="93"/>
      <c r="CB270" s="93"/>
      <c r="CC270" s="93"/>
      <c r="CD270" s="93"/>
      <c r="CE270" s="93"/>
      <c r="CF270" s="93"/>
      <c r="CG270" s="93"/>
      <c r="CH270" s="93"/>
      <c r="CI270" s="93"/>
      <c r="CJ270" s="93"/>
      <c r="CK270" s="93"/>
      <c r="CL270" s="93"/>
      <c r="CM270" s="93"/>
      <c r="CN270" s="93"/>
      <c r="CO270" s="93"/>
      <c r="CP270" s="93"/>
      <c r="CQ270" s="93"/>
      <c r="CR270" s="93"/>
      <c r="CS270" s="93"/>
      <c r="CT270" s="93"/>
      <c r="CU270" s="93"/>
      <c r="CV270" s="93"/>
      <c r="CW270" s="93"/>
      <c r="CX270" s="93"/>
      <c r="CY270" s="93"/>
      <c r="CZ270" s="93"/>
      <c r="DA270" s="93"/>
      <c r="DB270" s="93"/>
      <c r="DC270" s="93"/>
      <c r="DD270" s="93"/>
      <c r="DE270" s="93"/>
      <c r="DF270" s="93"/>
      <c r="DG270" s="93"/>
      <c r="DH270" s="93"/>
      <c r="DI270" s="93"/>
      <c r="DJ270" s="93"/>
      <c r="DK270" s="93"/>
      <c r="DL270" s="93"/>
      <c r="DM270" s="93"/>
      <c r="DN270" s="93"/>
      <c r="DO270" s="93"/>
      <c r="DP270" s="93"/>
      <c r="DQ270" s="93"/>
      <c r="DR270" s="93"/>
      <c r="DS270" s="93"/>
      <c r="DT270" s="93"/>
      <c r="DU270" s="93"/>
      <c r="DV270" s="93"/>
      <c r="DW270" s="93"/>
      <c r="DX270" s="93"/>
      <c r="DY270" s="93"/>
      <c r="DZ270" s="93"/>
      <c r="EA270" s="93"/>
      <c r="EB270" s="93"/>
      <c r="EC270" s="93"/>
      <c r="ED270" s="93"/>
      <c r="EE270" s="93"/>
      <c r="EF270" s="93"/>
      <c r="EG270" s="93"/>
      <c r="EH270" s="93"/>
      <c r="EI270" s="93"/>
      <c r="EJ270" s="93"/>
      <c r="EK270" s="93"/>
      <c r="EL270" s="93"/>
      <c r="EM270" s="93"/>
      <c r="EN270" s="93"/>
      <c r="EO270" s="93"/>
      <c r="EP270" s="93"/>
      <c r="EQ270" s="93"/>
      <c r="ER270" s="93"/>
      <c r="ES270" s="93"/>
      <c r="ET270" s="93"/>
      <c r="EU270" s="93"/>
      <c r="EV270" s="93"/>
      <c r="EW270" s="93"/>
      <c r="EX270" s="93"/>
      <c r="EY270" s="93"/>
      <c r="EZ270" s="93"/>
      <c r="FA270" s="93"/>
      <c r="FB270" s="93"/>
      <c r="FC270" s="93"/>
      <c r="FD270" s="93"/>
      <c r="FE270" s="93"/>
      <c r="FF270" s="93"/>
      <c r="FG270" s="93"/>
      <c r="FH270" s="93"/>
      <c r="FI270" s="93"/>
      <c r="FJ270" s="93"/>
      <c r="FK270" s="93"/>
      <c r="FL270" s="93"/>
      <c r="FM270" s="93"/>
      <c r="FN270" s="93"/>
      <c r="FO270" s="93"/>
      <c r="FP270" s="93"/>
      <c r="FQ270" s="93"/>
      <c r="FR270" s="93"/>
      <c r="FS270" s="93"/>
      <c r="FT270" s="93"/>
      <c r="FU270" s="93"/>
      <c r="FV270" s="93"/>
      <c r="FW270" s="93"/>
      <c r="FX270" s="93"/>
      <c r="FY270" s="93"/>
      <c r="FZ270" s="93"/>
      <c r="GA270" s="93"/>
      <c r="GB270" s="93"/>
      <c r="GC270" s="93"/>
      <c r="GD270" s="93"/>
      <c r="GE270" s="93"/>
      <c r="GF270" s="93"/>
      <c r="GG270" s="93"/>
      <c r="GH270" s="93"/>
      <c r="GI270" s="93"/>
      <c r="GJ270" s="93"/>
      <c r="GK270" s="93"/>
      <c r="GL270" s="93"/>
      <c r="GM270" s="93"/>
      <c r="GN270" s="93"/>
      <c r="GO270" s="93"/>
      <c r="GP270" s="93"/>
      <c r="GQ270" s="93"/>
      <c r="GR270" s="93"/>
      <c r="GS270" s="93"/>
      <c r="GT270" s="93"/>
      <c r="GU270" s="93"/>
      <c r="GV270" s="93"/>
      <c r="GW270" s="93"/>
      <c r="GX270" s="93"/>
      <c r="GY270" s="93"/>
      <c r="GZ270" s="93"/>
      <c r="HA270" s="93"/>
      <c r="HB270" s="93"/>
      <c r="HC270" s="93"/>
      <c r="HD270" s="93"/>
      <c r="HE270" s="93"/>
      <c r="HF270" s="93"/>
      <c r="HG270" s="93"/>
      <c r="HH270" s="93"/>
      <c r="HI270" s="93"/>
      <c r="HJ270" s="93"/>
      <c r="HK270" s="93"/>
      <c r="HL270" s="93"/>
      <c r="HM270" s="93"/>
      <c r="HN270" s="93"/>
      <c r="HO270" s="93"/>
      <c r="HP270" s="93"/>
      <c r="HQ270" s="93"/>
      <c r="HR270" s="93"/>
      <c r="HS270" s="93"/>
      <c r="HT270" s="93"/>
      <c r="HU270" s="93"/>
      <c r="HV270" s="93"/>
      <c r="HW270" s="93"/>
      <c r="HX270" s="93"/>
      <c r="HY270" s="93"/>
      <c r="HZ270" s="93"/>
      <c r="IA270" s="93"/>
      <c r="IB270" s="93"/>
      <c r="IC270" s="93"/>
      <c r="ID270" s="93"/>
      <c r="IE270" s="93"/>
      <c r="IF270" s="93"/>
      <c r="IG270" s="93"/>
      <c r="IH270" s="93"/>
      <c r="II270" s="93"/>
      <c r="IJ270" s="93"/>
      <c r="IK270" s="93"/>
      <c r="IL270" s="93"/>
      <c r="IM270" s="93"/>
      <c r="IN270" s="93"/>
      <c r="IO270" s="93"/>
      <c r="IP270" s="93"/>
      <c r="IQ270" s="93"/>
      <c r="IR270" s="93"/>
      <c r="IS270" s="93"/>
      <c r="IT270" s="93"/>
      <c r="IU270" s="93"/>
      <c r="IV270" s="93"/>
      <c r="IW270" s="93"/>
      <c r="IX270" s="93"/>
      <c r="IY270" s="93"/>
      <c r="IZ270" s="93"/>
    </row>
    <row r="271" spans="1:260" s="95" customFormat="1">
      <c r="A271" s="93"/>
      <c r="B271" s="183"/>
      <c r="C271" s="183"/>
      <c r="D271" s="183"/>
      <c r="E271" s="158"/>
      <c r="F271" s="158"/>
      <c r="G271" s="158"/>
      <c r="H271" s="158"/>
      <c r="I271" s="158"/>
      <c r="J271" s="158"/>
      <c r="K271" s="158"/>
      <c r="L271" s="158"/>
      <c r="M271" s="158"/>
      <c r="N271" s="158"/>
      <c r="O271" s="158"/>
      <c r="P271" s="228"/>
      <c r="Q271" s="158"/>
      <c r="R271" s="158"/>
      <c r="S271" s="207"/>
      <c r="T271" s="207"/>
      <c r="U271" s="207"/>
      <c r="V271" s="207"/>
      <c r="W271" s="207"/>
      <c r="X271" s="207"/>
      <c r="Y271" s="207"/>
      <c r="Z271" s="207"/>
      <c r="AA271" s="207"/>
      <c r="AB271" s="207"/>
      <c r="AC271" s="207"/>
      <c r="AD271" s="207"/>
      <c r="AE271" s="207"/>
      <c r="AF271" s="207"/>
      <c r="AG271" s="207"/>
      <c r="AH271" s="207"/>
      <c r="AI271" s="207"/>
      <c r="AJ271" s="207"/>
      <c r="AK271" s="207"/>
      <c r="AL271" s="207"/>
      <c r="AM271" s="94"/>
      <c r="AN271" s="94"/>
      <c r="AO271" s="94"/>
      <c r="AP271" s="94"/>
      <c r="AQ271" s="94"/>
      <c r="AR271" s="94"/>
      <c r="AS271" s="94"/>
      <c r="AT271" s="94"/>
      <c r="AU271" s="94"/>
      <c r="AV271" s="94"/>
      <c r="AW271" s="94"/>
      <c r="AX271" s="94"/>
      <c r="AY271" s="94"/>
      <c r="AZ271" s="93"/>
      <c r="BA271" s="93"/>
      <c r="BB271" s="93"/>
      <c r="BC271" s="93"/>
      <c r="BD271" s="93"/>
      <c r="BE271" s="93"/>
      <c r="BF271" s="93"/>
      <c r="BG271" s="93"/>
      <c r="BH271" s="93"/>
      <c r="BI271" s="93"/>
      <c r="BJ271" s="93"/>
      <c r="BK271" s="93"/>
      <c r="BL271" s="93"/>
      <c r="BM271" s="93"/>
      <c r="BN271" s="93"/>
      <c r="BO271" s="93"/>
      <c r="BP271" s="93"/>
      <c r="BQ271" s="93"/>
      <c r="BR271" s="93"/>
      <c r="BS271" s="93"/>
      <c r="BT271" s="93"/>
      <c r="BU271" s="93"/>
      <c r="BV271" s="93"/>
      <c r="BW271" s="93"/>
      <c r="BX271" s="93"/>
      <c r="BY271" s="93"/>
      <c r="BZ271" s="93"/>
      <c r="CA271" s="93"/>
      <c r="CB271" s="93"/>
      <c r="CC271" s="93"/>
      <c r="CD271" s="93"/>
      <c r="CE271" s="93"/>
      <c r="CF271" s="93"/>
      <c r="CG271" s="93"/>
      <c r="CH271" s="93"/>
      <c r="CI271" s="93"/>
      <c r="CJ271" s="93"/>
      <c r="CK271" s="93"/>
      <c r="CL271" s="93"/>
      <c r="CM271" s="93"/>
      <c r="CN271" s="93"/>
      <c r="CO271" s="93"/>
      <c r="CP271" s="93"/>
      <c r="CQ271" s="93"/>
      <c r="CR271" s="93"/>
      <c r="CS271" s="93"/>
      <c r="CT271" s="93"/>
      <c r="CU271" s="93"/>
      <c r="CV271" s="93"/>
      <c r="CW271" s="93"/>
      <c r="CX271" s="93"/>
      <c r="CY271" s="93"/>
      <c r="CZ271" s="93"/>
      <c r="DA271" s="93"/>
      <c r="DB271" s="93"/>
      <c r="DC271" s="93"/>
      <c r="DD271" s="93"/>
      <c r="DE271" s="93"/>
      <c r="DF271" s="93"/>
      <c r="DG271" s="93"/>
      <c r="DH271" s="93"/>
      <c r="DI271" s="93"/>
      <c r="DJ271" s="93"/>
      <c r="DK271" s="93"/>
      <c r="DL271" s="93"/>
      <c r="DM271" s="93"/>
      <c r="DN271" s="93"/>
      <c r="DO271" s="93"/>
      <c r="DP271" s="93"/>
      <c r="DQ271" s="93"/>
      <c r="DR271" s="93"/>
      <c r="DS271" s="93"/>
      <c r="DT271" s="93"/>
      <c r="DU271" s="93"/>
      <c r="DV271" s="93"/>
      <c r="DW271" s="93"/>
      <c r="DX271" s="93"/>
      <c r="DY271" s="93"/>
      <c r="DZ271" s="93"/>
      <c r="EA271" s="93"/>
      <c r="EB271" s="93"/>
      <c r="EC271" s="93"/>
      <c r="ED271" s="93"/>
      <c r="EE271" s="93"/>
      <c r="EF271" s="93"/>
      <c r="EG271" s="93"/>
      <c r="EH271" s="93"/>
      <c r="EI271" s="93"/>
      <c r="EJ271" s="93"/>
      <c r="EK271" s="93"/>
      <c r="EL271" s="93"/>
      <c r="EM271" s="93"/>
      <c r="EN271" s="93"/>
      <c r="EO271" s="93"/>
      <c r="EP271" s="93"/>
      <c r="EQ271" s="93"/>
      <c r="ER271" s="93"/>
      <c r="ES271" s="93"/>
      <c r="ET271" s="93"/>
      <c r="EU271" s="93"/>
      <c r="EV271" s="93"/>
      <c r="EW271" s="93"/>
      <c r="EX271" s="93"/>
      <c r="EY271" s="93"/>
      <c r="EZ271" s="93"/>
      <c r="FA271" s="93"/>
      <c r="FB271" s="93"/>
      <c r="FC271" s="93"/>
      <c r="FD271" s="93"/>
      <c r="FE271" s="93"/>
      <c r="FF271" s="93"/>
      <c r="FG271" s="93"/>
      <c r="FH271" s="93"/>
      <c r="FI271" s="93"/>
      <c r="FJ271" s="93"/>
      <c r="FK271" s="93"/>
      <c r="FL271" s="93"/>
      <c r="FM271" s="93"/>
      <c r="FN271" s="93"/>
      <c r="FO271" s="93"/>
      <c r="FP271" s="93"/>
      <c r="FQ271" s="93"/>
      <c r="FR271" s="93"/>
      <c r="FS271" s="93"/>
      <c r="FT271" s="93"/>
      <c r="FU271" s="93"/>
      <c r="FV271" s="93"/>
      <c r="FW271" s="93"/>
      <c r="FX271" s="93"/>
      <c r="FY271" s="93"/>
      <c r="FZ271" s="93"/>
      <c r="GA271" s="93"/>
      <c r="GB271" s="93"/>
      <c r="GC271" s="93"/>
      <c r="GD271" s="93"/>
      <c r="GE271" s="93"/>
      <c r="GF271" s="93"/>
      <c r="GG271" s="93"/>
      <c r="GH271" s="93"/>
      <c r="GI271" s="93"/>
      <c r="GJ271" s="93"/>
      <c r="GK271" s="93"/>
      <c r="GL271" s="93"/>
      <c r="GM271" s="93"/>
      <c r="GN271" s="93"/>
      <c r="GO271" s="93"/>
      <c r="GP271" s="93"/>
      <c r="GQ271" s="93"/>
      <c r="GR271" s="93"/>
      <c r="GS271" s="93"/>
      <c r="GT271" s="93"/>
      <c r="GU271" s="93"/>
      <c r="GV271" s="93"/>
      <c r="GW271" s="93"/>
      <c r="GX271" s="93"/>
      <c r="GY271" s="93"/>
      <c r="GZ271" s="93"/>
      <c r="HA271" s="93"/>
      <c r="HB271" s="93"/>
      <c r="HC271" s="93"/>
      <c r="HD271" s="93"/>
      <c r="HE271" s="93"/>
      <c r="HF271" s="93"/>
      <c r="HG271" s="93"/>
      <c r="HH271" s="93"/>
      <c r="HI271" s="93"/>
      <c r="HJ271" s="93"/>
      <c r="HK271" s="93"/>
      <c r="HL271" s="93"/>
      <c r="HM271" s="93"/>
      <c r="HN271" s="93"/>
      <c r="HO271" s="93"/>
      <c r="HP271" s="93"/>
      <c r="HQ271" s="93"/>
      <c r="HR271" s="93"/>
      <c r="HS271" s="93"/>
      <c r="HT271" s="93"/>
      <c r="HU271" s="93"/>
      <c r="HV271" s="93"/>
      <c r="HW271" s="93"/>
      <c r="HX271" s="93"/>
      <c r="HY271" s="93"/>
      <c r="HZ271" s="93"/>
      <c r="IA271" s="93"/>
      <c r="IB271" s="93"/>
      <c r="IC271" s="93"/>
      <c r="ID271" s="93"/>
      <c r="IE271" s="93"/>
      <c r="IF271" s="93"/>
      <c r="IG271" s="93"/>
      <c r="IH271" s="93"/>
      <c r="II271" s="93"/>
      <c r="IJ271" s="93"/>
      <c r="IK271" s="93"/>
      <c r="IL271" s="93"/>
      <c r="IM271" s="93"/>
      <c r="IN271" s="93"/>
      <c r="IO271" s="93"/>
      <c r="IP271" s="93"/>
      <c r="IQ271" s="93"/>
      <c r="IR271" s="93"/>
      <c r="IS271" s="93"/>
      <c r="IT271" s="93"/>
      <c r="IU271" s="93"/>
      <c r="IV271" s="93"/>
      <c r="IW271" s="93"/>
      <c r="IX271" s="93"/>
      <c r="IY271" s="93"/>
      <c r="IZ271" s="93"/>
    </row>
    <row r="272" spans="1:260" s="95" customFormat="1">
      <c r="A272" s="93"/>
      <c r="B272" s="183"/>
      <c r="C272" s="183"/>
      <c r="D272" s="183"/>
      <c r="E272" s="158"/>
      <c r="F272" s="158"/>
      <c r="G272" s="158"/>
      <c r="H272" s="158"/>
      <c r="I272" s="158"/>
      <c r="J272" s="158"/>
      <c r="K272" s="158"/>
      <c r="L272" s="158"/>
      <c r="M272" s="158"/>
      <c r="N272" s="158"/>
      <c r="O272" s="158"/>
      <c r="P272" s="228"/>
      <c r="Q272" s="158"/>
      <c r="R272" s="158"/>
      <c r="S272" s="207"/>
      <c r="T272" s="207"/>
      <c r="U272" s="207"/>
      <c r="V272" s="207"/>
      <c r="W272" s="207"/>
      <c r="X272" s="207"/>
      <c r="Y272" s="207"/>
      <c r="Z272" s="207"/>
      <c r="AA272" s="207"/>
      <c r="AB272" s="207"/>
      <c r="AC272" s="207"/>
      <c r="AD272" s="207"/>
      <c r="AE272" s="207"/>
      <c r="AF272" s="207"/>
      <c r="AG272" s="207"/>
      <c r="AH272" s="207"/>
      <c r="AI272" s="207"/>
      <c r="AJ272" s="207"/>
      <c r="AK272" s="207"/>
      <c r="AL272" s="207"/>
      <c r="AM272" s="94"/>
      <c r="AN272" s="94"/>
      <c r="AO272" s="94"/>
      <c r="AP272" s="94"/>
      <c r="AQ272" s="94"/>
      <c r="AR272" s="94"/>
      <c r="AS272" s="94"/>
      <c r="AT272" s="94"/>
      <c r="AU272" s="94"/>
      <c r="AV272" s="94"/>
      <c r="AW272" s="94"/>
      <c r="AX272" s="94"/>
      <c r="AY272" s="94"/>
      <c r="AZ272" s="93"/>
      <c r="BA272" s="93"/>
      <c r="BB272" s="93"/>
      <c r="BC272" s="93"/>
      <c r="BD272" s="93"/>
      <c r="BE272" s="93"/>
      <c r="BF272" s="93"/>
      <c r="BG272" s="93"/>
      <c r="BH272" s="93"/>
      <c r="BI272" s="93"/>
      <c r="BJ272" s="93"/>
      <c r="BK272" s="93"/>
      <c r="BL272" s="93"/>
      <c r="BM272" s="93"/>
      <c r="BN272" s="93"/>
      <c r="BO272" s="93"/>
      <c r="BP272" s="93"/>
      <c r="BQ272" s="93"/>
      <c r="BR272" s="93"/>
      <c r="BS272" s="93"/>
      <c r="BT272" s="93"/>
      <c r="BU272" s="93"/>
      <c r="BV272" s="93"/>
      <c r="BW272" s="93"/>
      <c r="BX272" s="93"/>
      <c r="BY272" s="93"/>
      <c r="BZ272" s="93"/>
      <c r="CA272" s="93"/>
      <c r="CB272" s="93"/>
      <c r="CC272" s="93"/>
      <c r="CD272" s="93"/>
      <c r="CE272" s="93"/>
      <c r="CF272" s="93"/>
      <c r="CG272" s="93"/>
      <c r="CH272" s="93"/>
      <c r="CI272" s="93"/>
      <c r="CJ272" s="93"/>
      <c r="CK272" s="93"/>
      <c r="CL272" s="93"/>
      <c r="CM272" s="93"/>
      <c r="CN272" s="93"/>
      <c r="CO272" s="93"/>
      <c r="CP272" s="93"/>
      <c r="CQ272" s="93"/>
      <c r="CR272" s="93"/>
      <c r="CS272" s="93"/>
      <c r="CT272" s="93"/>
      <c r="CU272" s="93"/>
      <c r="CV272" s="93"/>
      <c r="CW272" s="93"/>
      <c r="CX272" s="93"/>
      <c r="CY272" s="93"/>
      <c r="CZ272" s="93"/>
      <c r="DA272" s="93"/>
      <c r="DB272" s="93"/>
      <c r="DC272" s="93"/>
      <c r="DD272" s="93"/>
      <c r="DE272" s="93"/>
      <c r="DF272" s="93"/>
      <c r="DG272" s="93"/>
      <c r="DH272" s="93"/>
      <c r="DI272" s="93"/>
      <c r="DJ272" s="93"/>
      <c r="DK272" s="93"/>
      <c r="DL272" s="93"/>
      <c r="DM272" s="93"/>
      <c r="DN272" s="93"/>
      <c r="DO272" s="93"/>
      <c r="DP272" s="93"/>
      <c r="DQ272" s="93"/>
      <c r="DR272" s="93"/>
      <c r="DS272" s="93"/>
      <c r="DT272" s="93"/>
      <c r="DU272" s="93"/>
      <c r="DV272" s="93"/>
      <c r="DW272" s="93"/>
      <c r="DX272" s="93"/>
      <c r="DY272" s="93"/>
      <c r="DZ272" s="93"/>
      <c r="EA272" s="93"/>
      <c r="EB272" s="93"/>
      <c r="EC272" s="93"/>
      <c r="ED272" s="93"/>
      <c r="EE272" s="93"/>
      <c r="EF272" s="93"/>
      <c r="EG272" s="93"/>
      <c r="EH272" s="93"/>
      <c r="EI272" s="93"/>
      <c r="EJ272" s="93"/>
      <c r="EK272" s="93"/>
      <c r="EL272" s="93"/>
      <c r="EM272" s="93"/>
      <c r="EN272" s="93"/>
      <c r="EO272" s="93"/>
      <c r="EP272" s="93"/>
      <c r="EQ272" s="93"/>
      <c r="ER272" s="93"/>
      <c r="ES272" s="93"/>
      <c r="ET272" s="93"/>
      <c r="EU272" s="93"/>
      <c r="EV272" s="93"/>
      <c r="EW272" s="93"/>
      <c r="EX272" s="93"/>
      <c r="EY272" s="93"/>
      <c r="EZ272" s="93"/>
      <c r="FA272" s="93"/>
      <c r="FB272" s="93"/>
      <c r="FC272" s="93"/>
      <c r="FD272" s="93"/>
      <c r="FE272" s="93"/>
      <c r="FF272" s="93"/>
      <c r="FG272" s="93"/>
      <c r="FH272" s="93"/>
      <c r="FI272" s="93"/>
      <c r="FJ272" s="93"/>
      <c r="FK272" s="93"/>
      <c r="FL272" s="93"/>
      <c r="FM272" s="93"/>
      <c r="FN272" s="93"/>
      <c r="FO272" s="93"/>
      <c r="FP272" s="93"/>
      <c r="FQ272" s="93"/>
      <c r="FR272" s="93"/>
      <c r="FS272" s="93"/>
      <c r="FT272" s="93"/>
      <c r="FU272" s="93"/>
      <c r="FV272" s="93"/>
      <c r="FW272" s="93"/>
      <c r="FX272" s="93"/>
      <c r="FY272" s="93"/>
      <c r="FZ272" s="93"/>
      <c r="GA272" s="93"/>
      <c r="GB272" s="93"/>
      <c r="GC272" s="93"/>
      <c r="GD272" s="93"/>
      <c r="GE272" s="93"/>
      <c r="GF272" s="93"/>
      <c r="GG272" s="93"/>
      <c r="GH272" s="93"/>
      <c r="GI272" s="93"/>
      <c r="GJ272" s="93"/>
      <c r="GK272" s="93"/>
      <c r="GL272" s="93"/>
      <c r="GM272" s="93"/>
      <c r="GN272" s="93"/>
      <c r="GO272" s="93"/>
      <c r="GP272" s="93"/>
      <c r="GQ272" s="93"/>
      <c r="GR272" s="93"/>
      <c r="GS272" s="93"/>
      <c r="GT272" s="93"/>
      <c r="GU272" s="93"/>
      <c r="GV272" s="93"/>
      <c r="GW272" s="93"/>
      <c r="GX272" s="93"/>
      <c r="GY272" s="93"/>
      <c r="GZ272" s="93"/>
      <c r="HA272" s="93"/>
      <c r="HB272" s="93"/>
      <c r="HC272" s="93"/>
      <c r="HD272" s="93"/>
      <c r="HE272" s="93"/>
      <c r="HF272" s="93"/>
      <c r="HG272" s="93"/>
      <c r="HH272" s="93"/>
      <c r="HI272" s="93"/>
      <c r="HJ272" s="93"/>
      <c r="HK272" s="93"/>
      <c r="HL272" s="93"/>
      <c r="HM272" s="93"/>
      <c r="HN272" s="93"/>
      <c r="HO272" s="93"/>
      <c r="HP272" s="93"/>
      <c r="HQ272" s="93"/>
      <c r="HR272" s="93"/>
      <c r="HS272" s="93"/>
      <c r="HT272" s="93"/>
      <c r="HU272" s="93"/>
      <c r="HV272" s="93"/>
      <c r="HW272" s="93"/>
      <c r="HX272" s="93"/>
      <c r="HY272" s="93"/>
      <c r="HZ272" s="93"/>
      <c r="IA272" s="93"/>
      <c r="IB272" s="93"/>
      <c r="IC272" s="93"/>
      <c r="ID272" s="93"/>
      <c r="IE272" s="93"/>
      <c r="IF272" s="93"/>
      <c r="IG272" s="93"/>
      <c r="IH272" s="93"/>
      <c r="II272" s="93"/>
      <c r="IJ272" s="93"/>
      <c r="IK272" s="93"/>
      <c r="IL272" s="93"/>
      <c r="IM272" s="93"/>
      <c r="IN272" s="93"/>
      <c r="IO272" s="93"/>
      <c r="IP272" s="93"/>
      <c r="IQ272" s="93"/>
      <c r="IR272" s="93"/>
      <c r="IS272" s="93"/>
      <c r="IT272" s="93"/>
      <c r="IU272" s="93"/>
      <c r="IV272" s="93"/>
      <c r="IW272" s="93"/>
      <c r="IX272" s="93"/>
      <c r="IY272" s="93"/>
      <c r="IZ272" s="93"/>
    </row>
    <row r="273" spans="1:260" s="95" customFormat="1">
      <c r="A273" s="93"/>
      <c r="B273" s="183"/>
      <c r="C273" s="183"/>
      <c r="D273" s="183"/>
      <c r="E273" s="158"/>
      <c r="F273" s="158"/>
      <c r="G273" s="158"/>
      <c r="H273" s="158"/>
      <c r="I273" s="158"/>
      <c r="J273" s="158"/>
      <c r="K273" s="158"/>
      <c r="L273" s="158"/>
      <c r="M273" s="158"/>
      <c r="N273" s="158"/>
      <c r="O273" s="158"/>
      <c r="P273" s="228"/>
      <c r="Q273" s="158"/>
      <c r="R273" s="158"/>
      <c r="S273" s="207"/>
      <c r="T273" s="207"/>
      <c r="U273" s="207"/>
      <c r="V273" s="207"/>
      <c r="W273" s="207"/>
      <c r="X273" s="207"/>
      <c r="Y273" s="207"/>
      <c r="Z273" s="207"/>
      <c r="AA273" s="207"/>
      <c r="AB273" s="207"/>
      <c r="AC273" s="207"/>
      <c r="AD273" s="207"/>
      <c r="AE273" s="207"/>
      <c r="AF273" s="207"/>
      <c r="AG273" s="207"/>
      <c r="AH273" s="207"/>
      <c r="AI273" s="207"/>
      <c r="AJ273" s="207"/>
      <c r="AK273" s="207"/>
      <c r="AL273" s="207"/>
      <c r="AM273" s="94"/>
      <c r="AN273" s="94"/>
      <c r="AO273" s="94"/>
      <c r="AP273" s="94"/>
      <c r="AQ273" s="94"/>
      <c r="AR273" s="94"/>
      <c r="AS273" s="94"/>
      <c r="AT273" s="94"/>
      <c r="AU273" s="94"/>
      <c r="AV273" s="94"/>
      <c r="AW273" s="94"/>
      <c r="AX273" s="94"/>
      <c r="AY273" s="94"/>
      <c r="AZ273" s="93"/>
      <c r="BA273" s="93"/>
      <c r="BB273" s="93"/>
      <c r="BC273" s="93"/>
      <c r="BD273" s="93"/>
      <c r="BE273" s="93"/>
      <c r="BF273" s="93"/>
      <c r="BG273" s="93"/>
      <c r="BH273" s="93"/>
      <c r="BI273" s="93"/>
      <c r="BJ273" s="93"/>
      <c r="BK273" s="93"/>
      <c r="BL273" s="93"/>
      <c r="BM273" s="93"/>
      <c r="BN273" s="93"/>
      <c r="BO273" s="93"/>
      <c r="BP273" s="93"/>
      <c r="BQ273" s="93"/>
      <c r="BR273" s="93"/>
      <c r="BS273" s="93"/>
      <c r="BT273" s="93"/>
      <c r="BU273" s="93"/>
      <c r="BV273" s="93"/>
      <c r="BW273" s="93"/>
      <c r="BX273" s="93"/>
      <c r="BY273" s="93"/>
      <c r="BZ273" s="93"/>
      <c r="CA273" s="93"/>
      <c r="CB273" s="93"/>
      <c r="CC273" s="93"/>
      <c r="CD273" s="93"/>
      <c r="CE273" s="93"/>
      <c r="CF273" s="93"/>
      <c r="CG273" s="93"/>
      <c r="CH273" s="93"/>
      <c r="CI273" s="93"/>
      <c r="CJ273" s="93"/>
      <c r="CK273" s="93"/>
      <c r="CL273" s="93"/>
      <c r="CM273" s="93"/>
      <c r="CN273" s="93"/>
      <c r="CO273" s="93"/>
      <c r="CP273" s="93"/>
      <c r="CQ273" s="93"/>
      <c r="CR273" s="93"/>
      <c r="CS273" s="93"/>
      <c r="CT273" s="93"/>
      <c r="CU273" s="93"/>
      <c r="CV273" s="93"/>
      <c r="CW273" s="93"/>
      <c r="CX273" s="93"/>
      <c r="CY273" s="93"/>
      <c r="CZ273" s="93"/>
      <c r="DA273" s="93"/>
      <c r="DB273" s="93"/>
      <c r="DC273" s="93"/>
      <c r="DD273" s="93"/>
      <c r="DE273" s="93"/>
      <c r="DF273" s="93"/>
      <c r="DG273" s="93"/>
      <c r="DH273" s="93"/>
      <c r="DI273" s="93"/>
      <c r="DJ273" s="93"/>
      <c r="DK273" s="93"/>
      <c r="DL273" s="93"/>
      <c r="DM273" s="93"/>
      <c r="DN273" s="93"/>
      <c r="DO273" s="93"/>
      <c r="DP273" s="93"/>
      <c r="DQ273" s="93"/>
      <c r="DR273" s="93"/>
      <c r="DS273" s="93"/>
      <c r="DT273" s="93"/>
      <c r="DU273" s="93"/>
      <c r="DV273" s="93"/>
      <c r="DW273" s="93"/>
      <c r="DX273" s="93"/>
      <c r="DY273" s="93"/>
      <c r="DZ273" s="93"/>
      <c r="EA273" s="93"/>
      <c r="EB273" s="93"/>
      <c r="EC273" s="93"/>
      <c r="ED273" s="93"/>
      <c r="EE273" s="93"/>
      <c r="EF273" s="93"/>
      <c r="EG273" s="93"/>
      <c r="EH273" s="93"/>
      <c r="EI273" s="93"/>
      <c r="EJ273" s="93"/>
      <c r="EK273" s="93"/>
      <c r="EL273" s="93"/>
      <c r="EM273" s="93"/>
      <c r="EN273" s="93"/>
      <c r="EO273" s="93"/>
      <c r="EP273" s="93"/>
      <c r="EQ273" s="93"/>
      <c r="ER273" s="93"/>
      <c r="ES273" s="93"/>
      <c r="ET273" s="93"/>
      <c r="EU273" s="93"/>
      <c r="EV273" s="93"/>
      <c r="EW273" s="93"/>
      <c r="EX273" s="93"/>
      <c r="EY273" s="93"/>
      <c r="EZ273" s="93"/>
      <c r="FA273" s="93"/>
      <c r="FB273" s="93"/>
      <c r="FC273" s="93"/>
      <c r="FD273" s="93"/>
      <c r="FE273" s="93"/>
      <c r="FF273" s="93"/>
      <c r="FG273" s="93"/>
      <c r="FH273" s="93"/>
      <c r="FI273" s="93"/>
      <c r="FJ273" s="93"/>
      <c r="FK273" s="93"/>
      <c r="FL273" s="93"/>
      <c r="FM273" s="93"/>
      <c r="FN273" s="93"/>
      <c r="FO273" s="93"/>
      <c r="FP273" s="93"/>
      <c r="FQ273" s="93"/>
      <c r="FR273" s="93"/>
      <c r="FS273" s="93"/>
      <c r="FT273" s="93"/>
      <c r="FU273" s="93"/>
      <c r="FV273" s="93"/>
      <c r="FW273" s="93"/>
      <c r="FX273" s="93"/>
      <c r="FY273" s="93"/>
      <c r="FZ273" s="93"/>
      <c r="GA273" s="93"/>
      <c r="GB273" s="93"/>
      <c r="GC273" s="93"/>
      <c r="GD273" s="93"/>
      <c r="GE273" s="93"/>
      <c r="GF273" s="93"/>
      <c r="GG273" s="93"/>
      <c r="GH273" s="93"/>
      <c r="GI273" s="93"/>
      <c r="GJ273" s="93"/>
      <c r="GK273" s="93"/>
      <c r="GL273" s="93"/>
      <c r="GM273" s="93"/>
      <c r="GN273" s="93"/>
      <c r="GO273" s="93"/>
      <c r="GP273" s="93"/>
      <c r="GQ273" s="93"/>
      <c r="GR273" s="93"/>
      <c r="GS273" s="93"/>
      <c r="GT273" s="93"/>
      <c r="GU273" s="93"/>
      <c r="GV273" s="93"/>
      <c r="GW273" s="93"/>
      <c r="GX273" s="93"/>
      <c r="GY273" s="93"/>
      <c r="GZ273" s="93"/>
      <c r="HA273" s="93"/>
      <c r="HB273" s="93"/>
      <c r="HC273" s="93"/>
      <c r="HD273" s="93"/>
      <c r="HE273" s="93"/>
      <c r="HF273" s="93"/>
      <c r="HG273" s="93"/>
      <c r="HH273" s="93"/>
      <c r="HI273" s="93"/>
      <c r="HJ273" s="93"/>
      <c r="HK273" s="93"/>
      <c r="HL273" s="93"/>
      <c r="HM273" s="93"/>
      <c r="HN273" s="93"/>
      <c r="HO273" s="93"/>
      <c r="HP273" s="93"/>
      <c r="HQ273" s="93"/>
      <c r="HR273" s="93"/>
      <c r="HS273" s="93"/>
      <c r="HT273" s="93"/>
      <c r="HU273" s="93"/>
      <c r="HV273" s="93"/>
      <c r="HW273" s="93"/>
      <c r="HX273" s="93"/>
      <c r="HY273" s="93"/>
      <c r="HZ273" s="93"/>
      <c r="IA273" s="93"/>
      <c r="IB273" s="93"/>
      <c r="IC273" s="93"/>
      <c r="ID273" s="93"/>
      <c r="IE273" s="93"/>
      <c r="IF273" s="93"/>
      <c r="IG273" s="93"/>
      <c r="IH273" s="93"/>
      <c r="II273" s="93"/>
      <c r="IJ273" s="93"/>
      <c r="IK273" s="93"/>
      <c r="IL273" s="93"/>
      <c r="IM273" s="93"/>
      <c r="IN273" s="93"/>
      <c r="IO273" s="93"/>
      <c r="IP273" s="93"/>
      <c r="IQ273" s="93"/>
      <c r="IR273" s="93"/>
      <c r="IS273" s="93"/>
      <c r="IT273" s="93"/>
      <c r="IU273" s="93"/>
      <c r="IV273" s="93"/>
      <c r="IW273" s="93"/>
      <c r="IX273" s="93"/>
      <c r="IY273" s="93"/>
      <c r="IZ273" s="93"/>
    </row>
    <row r="274" spans="1:260" s="95" customFormat="1">
      <c r="A274" s="93"/>
      <c r="B274" s="183"/>
      <c r="C274" s="183"/>
      <c r="D274" s="183"/>
      <c r="E274" s="158"/>
      <c r="F274" s="158"/>
      <c r="G274" s="158"/>
      <c r="H274" s="158"/>
      <c r="I274" s="158"/>
      <c r="J274" s="158"/>
      <c r="K274" s="158"/>
      <c r="L274" s="158"/>
      <c r="M274" s="158"/>
      <c r="N274" s="158"/>
      <c r="O274" s="158"/>
      <c r="P274" s="228"/>
      <c r="Q274" s="158"/>
      <c r="R274" s="158"/>
      <c r="S274" s="207"/>
      <c r="T274" s="207"/>
      <c r="U274" s="207"/>
      <c r="V274" s="207"/>
      <c r="W274" s="207"/>
      <c r="X274" s="207"/>
      <c r="Y274" s="207"/>
      <c r="Z274" s="207"/>
      <c r="AA274" s="207"/>
      <c r="AB274" s="207"/>
      <c r="AC274" s="207"/>
      <c r="AD274" s="207"/>
      <c r="AE274" s="207"/>
      <c r="AF274" s="207"/>
      <c r="AG274" s="207"/>
      <c r="AH274" s="207"/>
      <c r="AI274" s="207"/>
      <c r="AJ274" s="207"/>
      <c r="AK274" s="207"/>
      <c r="AL274" s="207"/>
      <c r="AM274" s="94"/>
      <c r="AN274" s="94"/>
      <c r="AO274" s="94"/>
      <c r="AP274" s="94"/>
      <c r="AQ274" s="94"/>
      <c r="AR274" s="94"/>
      <c r="AS274" s="94"/>
      <c r="AT274" s="94"/>
      <c r="AU274" s="94"/>
      <c r="AV274" s="94"/>
      <c r="AW274" s="94"/>
      <c r="AX274" s="94"/>
      <c r="AY274" s="94"/>
      <c r="AZ274" s="93"/>
      <c r="BA274" s="93"/>
      <c r="BB274" s="93"/>
      <c r="BC274" s="93"/>
      <c r="BD274" s="93"/>
      <c r="BE274" s="93"/>
      <c r="BF274" s="93"/>
      <c r="BG274" s="93"/>
      <c r="BH274" s="93"/>
      <c r="BI274" s="93"/>
      <c r="BJ274" s="93"/>
      <c r="BK274" s="93"/>
      <c r="BL274" s="93"/>
      <c r="BM274" s="93"/>
      <c r="BN274" s="93"/>
      <c r="BO274" s="93"/>
      <c r="BP274" s="93"/>
      <c r="BQ274" s="93"/>
      <c r="BR274" s="93"/>
      <c r="BS274" s="93"/>
      <c r="BT274" s="93"/>
      <c r="BU274" s="93"/>
      <c r="BV274" s="93"/>
      <c r="BW274" s="93"/>
      <c r="BX274" s="93"/>
      <c r="BY274" s="93"/>
      <c r="BZ274" s="93"/>
      <c r="CA274" s="93"/>
      <c r="CB274" s="93"/>
      <c r="CC274" s="93"/>
      <c r="CD274" s="93"/>
      <c r="CE274" s="93"/>
      <c r="CF274" s="93"/>
      <c r="CG274" s="93"/>
      <c r="CH274" s="93"/>
      <c r="CI274" s="93"/>
      <c r="CJ274" s="93"/>
      <c r="CK274" s="93"/>
      <c r="CL274" s="93"/>
      <c r="CM274" s="93"/>
      <c r="CN274" s="93"/>
      <c r="CO274" s="93"/>
      <c r="CP274" s="93"/>
      <c r="CQ274" s="93"/>
      <c r="CR274" s="93"/>
      <c r="CS274" s="93"/>
      <c r="CT274" s="93"/>
      <c r="CU274" s="93"/>
      <c r="CV274" s="93"/>
      <c r="CW274" s="93"/>
      <c r="CX274" s="93"/>
      <c r="CY274" s="93"/>
      <c r="CZ274" s="93"/>
      <c r="DA274" s="93"/>
      <c r="DB274" s="93"/>
      <c r="DC274" s="93"/>
      <c r="DD274" s="93"/>
      <c r="DE274" s="93"/>
      <c r="DF274" s="93"/>
      <c r="DG274" s="93"/>
      <c r="DH274" s="93"/>
      <c r="DI274" s="93"/>
      <c r="DJ274" s="93"/>
      <c r="DK274" s="93"/>
      <c r="DL274" s="93"/>
      <c r="DM274" s="93"/>
      <c r="DN274" s="93"/>
      <c r="DO274" s="93"/>
      <c r="DP274" s="93"/>
      <c r="DQ274" s="93"/>
      <c r="DR274" s="93"/>
      <c r="DS274" s="93"/>
      <c r="DT274" s="93"/>
      <c r="DU274" s="93"/>
      <c r="DV274" s="93"/>
      <c r="DW274" s="93"/>
      <c r="DX274" s="93"/>
      <c r="DY274" s="93"/>
      <c r="DZ274" s="93"/>
      <c r="EA274" s="93"/>
      <c r="EB274" s="93"/>
      <c r="EC274" s="93"/>
      <c r="ED274" s="93"/>
      <c r="EE274" s="93"/>
      <c r="EF274" s="93"/>
      <c r="EG274" s="93"/>
      <c r="EH274" s="93"/>
      <c r="EI274" s="93"/>
      <c r="EJ274" s="93"/>
      <c r="EK274" s="93"/>
      <c r="EL274" s="93"/>
      <c r="EM274" s="93"/>
      <c r="EN274" s="93"/>
      <c r="EO274" s="93"/>
      <c r="EP274" s="93"/>
      <c r="EQ274" s="93"/>
      <c r="ER274" s="93"/>
      <c r="ES274" s="93"/>
      <c r="ET274" s="93"/>
      <c r="EU274" s="93"/>
      <c r="EV274" s="93"/>
      <c r="EW274" s="93"/>
      <c r="EX274" s="93"/>
      <c r="EY274" s="93"/>
      <c r="EZ274" s="93"/>
      <c r="FA274" s="93"/>
      <c r="FB274" s="93"/>
      <c r="FC274" s="93"/>
      <c r="FD274" s="93"/>
      <c r="FE274" s="93"/>
      <c r="FF274" s="93"/>
      <c r="FG274" s="93"/>
      <c r="FH274" s="93"/>
      <c r="FI274" s="93"/>
      <c r="FJ274" s="93"/>
      <c r="FK274" s="93"/>
      <c r="FL274" s="93"/>
      <c r="FM274" s="93"/>
      <c r="FN274" s="93"/>
      <c r="FO274" s="93"/>
      <c r="FP274" s="93"/>
      <c r="FQ274" s="93"/>
      <c r="FR274" s="93"/>
      <c r="FS274" s="93"/>
      <c r="FT274" s="93"/>
      <c r="FU274" s="93"/>
      <c r="FV274" s="93"/>
      <c r="FW274" s="93"/>
      <c r="FX274" s="93"/>
      <c r="FY274" s="93"/>
      <c r="FZ274" s="93"/>
      <c r="GA274" s="93"/>
      <c r="GB274" s="93"/>
      <c r="GC274" s="93"/>
      <c r="GD274" s="93"/>
      <c r="GE274" s="93"/>
      <c r="GF274" s="93"/>
      <c r="GG274" s="93"/>
      <c r="GH274" s="93"/>
      <c r="GI274" s="93"/>
      <c r="GJ274" s="93"/>
      <c r="GK274" s="93"/>
      <c r="GL274" s="93"/>
      <c r="GM274" s="93"/>
      <c r="GN274" s="93"/>
      <c r="GO274" s="93"/>
      <c r="GP274" s="93"/>
      <c r="GQ274" s="93"/>
      <c r="GR274" s="93"/>
      <c r="GS274" s="93"/>
      <c r="GT274" s="93"/>
      <c r="GU274" s="93"/>
      <c r="GV274" s="93"/>
      <c r="GW274" s="93"/>
      <c r="GX274" s="93"/>
      <c r="GY274" s="93"/>
      <c r="GZ274" s="93"/>
      <c r="HA274" s="93"/>
      <c r="HB274" s="93"/>
      <c r="HC274" s="93"/>
      <c r="HD274" s="93"/>
      <c r="HE274" s="93"/>
      <c r="HF274" s="93"/>
      <c r="HG274" s="93"/>
      <c r="HH274" s="93"/>
      <c r="HI274" s="93"/>
      <c r="HJ274" s="93"/>
      <c r="HK274" s="93"/>
      <c r="HL274" s="93"/>
      <c r="HM274" s="93"/>
      <c r="HN274" s="93"/>
      <c r="HO274" s="93"/>
      <c r="HP274" s="93"/>
      <c r="HQ274" s="93"/>
      <c r="HR274" s="93"/>
      <c r="HS274" s="93"/>
      <c r="HT274" s="93"/>
      <c r="HU274" s="93"/>
      <c r="HV274" s="93"/>
      <c r="HW274" s="93"/>
      <c r="HX274" s="93"/>
      <c r="HY274" s="93"/>
      <c r="HZ274" s="93"/>
      <c r="IA274" s="93"/>
      <c r="IB274" s="93"/>
      <c r="IC274" s="93"/>
      <c r="ID274" s="93"/>
      <c r="IE274" s="93"/>
      <c r="IF274" s="93"/>
      <c r="IG274" s="93"/>
      <c r="IH274" s="93"/>
      <c r="II274" s="93"/>
      <c r="IJ274" s="93"/>
      <c r="IK274" s="93"/>
      <c r="IL274" s="93"/>
      <c r="IM274" s="93"/>
      <c r="IN274" s="93"/>
      <c r="IO274" s="93"/>
      <c r="IP274" s="93"/>
      <c r="IQ274" s="93"/>
      <c r="IR274" s="93"/>
      <c r="IS274" s="93"/>
      <c r="IT274" s="93"/>
      <c r="IU274" s="93"/>
      <c r="IV274" s="93"/>
      <c r="IW274" s="93"/>
      <c r="IX274" s="93"/>
      <c r="IY274" s="93"/>
      <c r="IZ274" s="93"/>
    </row>
    <row r="275" spans="1:260" s="95" customFormat="1">
      <c r="A275" s="93"/>
      <c r="B275" s="183"/>
      <c r="C275" s="183"/>
      <c r="D275" s="183"/>
      <c r="E275" s="158"/>
      <c r="F275" s="158"/>
      <c r="G275" s="158"/>
      <c r="H275" s="158"/>
      <c r="I275" s="158"/>
      <c r="J275" s="158"/>
      <c r="K275" s="158"/>
      <c r="L275" s="158"/>
      <c r="M275" s="158"/>
      <c r="N275" s="158"/>
      <c r="O275" s="158"/>
      <c r="P275" s="228"/>
      <c r="Q275" s="158"/>
      <c r="R275" s="158"/>
      <c r="S275" s="207"/>
      <c r="T275" s="207"/>
      <c r="U275" s="207"/>
      <c r="V275" s="207"/>
      <c r="W275" s="207"/>
      <c r="X275" s="207"/>
      <c r="Y275" s="207"/>
      <c r="Z275" s="207"/>
      <c r="AA275" s="207"/>
      <c r="AB275" s="207"/>
      <c r="AC275" s="207"/>
      <c r="AD275" s="207"/>
      <c r="AE275" s="207"/>
      <c r="AF275" s="207"/>
      <c r="AG275" s="207"/>
      <c r="AH275" s="207"/>
      <c r="AI275" s="207"/>
      <c r="AJ275" s="207"/>
      <c r="AK275" s="207"/>
      <c r="AL275" s="207"/>
      <c r="AM275" s="94"/>
      <c r="AN275" s="94"/>
      <c r="AO275" s="94"/>
      <c r="AP275" s="94"/>
      <c r="AQ275" s="94"/>
      <c r="AR275" s="94"/>
      <c r="AS275" s="94"/>
      <c r="AT275" s="94"/>
      <c r="AU275" s="94"/>
      <c r="AV275" s="94"/>
      <c r="AW275" s="94"/>
      <c r="AX275" s="94"/>
      <c r="AY275" s="94"/>
      <c r="AZ275" s="93"/>
      <c r="BA275" s="93"/>
      <c r="BB275" s="93"/>
      <c r="BC275" s="93"/>
      <c r="BD275" s="93"/>
      <c r="BE275" s="93"/>
      <c r="BF275" s="93"/>
      <c r="BG275" s="93"/>
      <c r="BH275" s="93"/>
      <c r="BI275" s="93"/>
      <c r="BJ275" s="93"/>
      <c r="BK275" s="93"/>
      <c r="BL275" s="93"/>
      <c r="BM275" s="93"/>
      <c r="BN275" s="93"/>
      <c r="BO275" s="93"/>
      <c r="BP275" s="93"/>
      <c r="BQ275" s="93"/>
      <c r="BR275" s="93"/>
      <c r="BS275" s="93"/>
      <c r="BT275" s="93"/>
      <c r="BU275" s="93"/>
      <c r="BV275" s="93"/>
      <c r="BW275" s="93"/>
      <c r="BX275" s="93"/>
      <c r="BY275" s="93"/>
      <c r="BZ275" s="93"/>
      <c r="CA275" s="93"/>
      <c r="CB275" s="93"/>
      <c r="CC275" s="93"/>
      <c r="CD275" s="93"/>
      <c r="CE275" s="93"/>
      <c r="CF275" s="93"/>
      <c r="CG275" s="93"/>
      <c r="CH275" s="93"/>
      <c r="CI275" s="93"/>
      <c r="CJ275" s="93"/>
      <c r="CK275" s="93"/>
      <c r="CL275" s="93"/>
      <c r="CM275" s="93"/>
      <c r="CN275" s="93"/>
      <c r="CO275" s="93"/>
      <c r="CP275" s="93"/>
      <c r="CQ275" s="93"/>
      <c r="CR275" s="93"/>
      <c r="CS275" s="93"/>
      <c r="CT275" s="93"/>
      <c r="CU275" s="93"/>
      <c r="CV275" s="93"/>
      <c r="CW275" s="93"/>
      <c r="CX275" s="93"/>
      <c r="CY275" s="93"/>
      <c r="CZ275" s="93"/>
      <c r="DA275" s="93"/>
      <c r="DB275" s="93"/>
      <c r="DC275" s="93"/>
      <c r="DD275" s="93"/>
      <c r="DE275" s="93"/>
      <c r="DF275" s="93"/>
      <c r="DG275" s="93"/>
      <c r="DH275" s="93"/>
      <c r="DI275" s="93"/>
      <c r="DJ275" s="93"/>
      <c r="DK275" s="93"/>
      <c r="DL275" s="93"/>
      <c r="DM275" s="93"/>
      <c r="DN275" s="93"/>
      <c r="DO275" s="93"/>
      <c r="DP275" s="93"/>
      <c r="DQ275" s="93"/>
      <c r="DR275" s="93"/>
      <c r="DS275" s="93"/>
      <c r="DT275" s="93"/>
      <c r="DU275" s="93"/>
      <c r="DV275" s="93"/>
      <c r="DW275" s="93"/>
      <c r="DX275" s="93"/>
      <c r="DY275" s="93"/>
      <c r="DZ275" s="93"/>
      <c r="EA275" s="93"/>
      <c r="EB275" s="93"/>
      <c r="EC275" s="93"/>
      <c r="ED275" s="93"/>
      <c r="EE275" s="93"/>
      <c r="EF275" s="93"/>
      <c r="EG275" s="93"/>
      <c r="EH275" s="93"/>
      <c r="EI275" s="93"/>
      <c r="EJ275" s="93"/>
      <c r="EK275" s="93"/>
      <c r="EL275" s="93"/>
      <c r="EM275" s="93"/>
      <c r="EN275" s="93"/>
      <c r="EO275" s="93"/>
      <c r="EP275" s="93"/>
      <c r="EQ275" s="93"/>
      <c r="ER275" s="93"/>
      <c r="ES275" s="93"/>
      <c r="ET275" s="93"/>
      <c r="EU275" s="93"/>
      <c r="EV275" s="93"/>
      <c r="EW275" s="93"/>
      <c r="EX275" s="93"/>
      <c r="EY275" s="93"/>
      <c r="EZ275" s="93"/>
      <c r="FA275" s="93"/>
      <c r="FB275" s="93"/>
      <c r="FC275" s="93"/>
      <c r="FD275" s="93"/>
      <c r="FE275" s="93"/>
      <c r="FF275" s="93"/>
      <c r="FG275" s="93"/>
      <c r="FH275" s="93"/>
      <c r="FI275" s="93"/>
      <c r="FJ275" s="93"/>
      <c r="FK275" s="93"/>
      <c r="FL275" s="93"/>
      <c r="FM275" s="93"/>
      <c r="FN275" s="93"/>
      <c r="FO275" s="93"/>
      <c r="FP275" s="93"/>
      <c r="FQ275" s="93"/>
      <c r="FR275" s="93"/>
      <c r="FS275" s="93"/>
      <c r="FT275" s="93"/>
      <c r="FU275" s="93"/>
      <c r="FV275" s="93"/>
      <c r="FW275" s="93"/>
      <c r="FX275" s="93"/>
      <c r="FY275" s="93"/>
      <c r="FZ275" s="93"/>
      <c r="GA275" s="93"/>
      <c r="GB275" s="93"/>
      <c r="GC275" s="93"/>
      <c r="GD275" s="93"/>
      <c r="GE275" s="93"/>
      <c r="GF275" s="93"/>
      <c r="GG275" s="93"/>
      <c r="GH275" s="93"/>
      <c r="GI275" s="93"/>
      <c r="GJ275" s="93"/>
      <c r="GK275" s="93"/>
      <c r="GL275" s="93"/>
      <c r="GM275" s="93"/>
      <c r="GN275" s="93"/>
      <c r="GO275" s="93"/>
      <c r="GP275" s="93"/>
      <c r="GQ275" s="93"/>
      <c r="GR275" s="93"/>
      <c r="GS275" s="93"/>
      <c r="GT275" s="93"/>
      <c r="GU275" s="93"/>
      <c r="GV275" s="93"/>
      <c r="GW275" s="93"/>
      <c r="GX275" s="93"/>
      <c r="GY275" s="93"/>
      <c r="GZ275" s="93"/>
      <c r="HA275" s="93"/>
      <c r="HB275" s="93"/>
      <c r="HC275" s="93"/>
      <c r="HD275" s="93"/>
      <c r="HE275" s="93"/>
      <c r="HF275" s="93"/>
      <c r="HG275" s="93"/>
      <c r="HH275" s="93"/>
      <c r="HI275" s="93"/>
      <c r="HJ275" s="93"/>
      <c r="HK275" s="93"/>
      <c r="HL275" s="93"/>
      <c r="HM275" s="93"/>
      <c r="HN275" s="93"/>
      <c r="HO275" s="93"/>
      <c r="HP275" s="93"/>
      <c r="HQ275" s="93"/>
      <c r="HR275" s="93"/>
      <c r="HS275" s="93"/>
      <c r="HT275" s="93"/>
      <c r="HU275" s="93"/>
      <c r="HV275" s="93"/>
      <c r="HW275" s="93"/>
      <c r="HX275" s="93"/>
      <c r="HY275" s="93"/>
      <c r="HZ275" s="93"/>
      <c r="IA275" s="93"/>
      <c r="IB275" s="93"/>
      <c r="IC275" s="93"/>
      <c r="ID275" s="93"/>
      <c r="IE275" s="93"/>
      <c r="IF275" s="93"/>
      <c r="IG275" s="93"/>
      <c r="IH275" s="93"/>
      <c r="II275" s="93"/>
      <c r="IJ275" s="93"/>
      <c r="IK275" s="93"/>
      <c r="IL275" s="93"/>
      <c r="IM275" s="93"/>
      <c r="IN275" s="93"/>
      <c r="IO275" s="93"/>
      <c r="IP275" s="93"/>
      <c r="IQ275" s="93"/>
      <c r="IR275" s="93"/>
      <c r="IS275" s="93"/>
      <c r="IT275" s="93"/>
      <c r="IU275" s="93"/>
      <c r="IV275" s="93"/>
      <c r="IW275" s="93"/>
      <c r="IX275" s="93"/>
      <c r="IY275" s="93"/>
      <c r="IZ275" s="93"/>
    </row>
    <row r="276" spans="1:260" s="95" customFormat="1">
      <c r="A276" s="93"/>
      <c r="B276" s="183"/>
      <c r="C276" s="183"/>
      <c r="D276" s="183"/>
      <c r="E276" s="158"/>
      <c r="F276" s="158"/>
      <c r="G276" s="158"/>
      <c r="H276" s="158"/>
      <c r="I276" s="158"/>
      <c r="J276" s="158"/>
      <c r="K276" s="158"/>
      <c r="L276" s="158"/>
      <c r="M276" s="158"/>
      <c r="N276" s="158"/>
      <c r="O276" s="158"/>
      <c r="P276" s="228"/>
      <c r="Q276" s="158"/>
      <c r="R276" s="158"/>
      <c r="S276" s="207"/>
      <c r="T276" s="207"/>
      <c r="U276" s="207"/>
      <c r="V276" s="207"/>
      <c r="W276" s="207"/>
      <c r="X276" s="207"/>
      <c r="Y276" s="207"/>
      <c r="Z276" s="207"/>
      <c r="AA276" s="207"/>
      <c r="AB276" s="207"/>
      <c r="AC276" s="207"/>
      <c r="AD276" s="207"/>
      <c r="AE276" s="207"/>
      <c r="AF276" s="207"/>
      <c r="AG276" s="207"/>
      <c r="AH276" s="207"/>
      <c r="AI276" s="207"/>
      <c r="AJ276" s="207"/>
      <c r="AK276" s="207"/>
      <c r="AL276" s="207"/>
      <c r="AM276" s="94"/>
      <c r="AN276" s="94"/>
      <c r="AO276" s="94"/>
      <c r="AP276" s="94"/>
      <c r="AQ276" s="94"/>
      <c r="AR276" s="94"/>
      <c r="AS276" s="94"/>
      <c r="AT276" s="94"/>
      <c r="AU276" s="94"/>
      <c r="AV276" s="94"/>
      <c r="AW276" s="94"/>
      <c r="AX276" s="94"/>
      <c r="AY276" s="94"/>
      <c r="AZ276" s="93"/>
      <c r="BA276" s="93"/>
      <c r="BB276" s="93"/>
      <c r="BC276" s="93"/>
      <c r="BD276" s="93"/>
      <c r="BE276" s="93"/>
      <c r="BF276" s="93"/>
      <c r="BG276" s="93"/>
      <c r="BH276" s="93"/>
      <c r="BI276" s="93"/>
      <c r="BJ276" s="93"/>
      <c r="BK276" s="93"/>
      <c r="BL276" s="93"/>
      <c r="BM276" s="93"/>
      <c r="BN276" s="93"/>
      <c r="BO276" s="93"/>
      <c r="BP276" s="93"/>
      <c r="BQ276" s="93"/>
      <c r="BR276" s="93"/>
      <c r="BS276" s="93"/>
      <c r="BT276" s="93"/>
      <c r="BU276" s="93"/>
      <c r="BV276" s="93"/>
      <c r="BW276" s="93"/>
      <c r="BX276" s="93"/>
      <c r="BY276" s="93"/>
      <c r="BZ276" s="93"/>
      <c r="CA276" s="93"/>
      <c r="CB276" s="93"/>
      <c r="CC276" s="93"/>
      <c r="CD276" s="93"/>
      <c r="CE276" s="93"/>
      <c r="CF276" s="93"/>
      <c r="CG276" s="93"/>
      <c r="CH276" s="93"/>
      <c r="CI276" s="93"/>
      <c r="CJ276" s="93"/>
      <c r="CK276" s="93"/>
      <c r="CL276" s="93"/>
      <c r="CM276" s="93"/>
      <c r="CN276" s="93"/>
      <c r="CO276" s="93"/>
      <c r="CP276" s="93"/>
      <c r="CQ276" s="93"/>
      <c r="CR276" s="93"/>
      <c r="CS276" s="93"/>
      <c r="CT276" s="93"/>
      <c r="CU276" s="93"/>
      <c r="CV276" s="93"/>
      <c r="CW276" s="93"/>
      <c r="CX276" s="93"/>
      <c r="CY276" s="93"/>
      <c r="CZ276" s="93"/>
      <c r="DA276" s="93"/>
      <c r="DB276" s="93"/>
      <c r="DC276" s="93"/>
      <c r="DD276" s="93"/>
      <c r="DE276" s="93"/>
      <c r="DF276" s="93"/>
      <c r="DG276" s="93"/>
      <c r="DH276" s="93"/>
      <c r="DI276" s="93"/>
      <c r="DJ276" s="93"/>
      <c r="DK276" s="93"/>
      <c r="DL276" s="93"/>
      <c r="DM276" s="93"/>
      <c r="DN276" s="93"/>
      <c r="DO276" s="93"/>
      <c r="DP276" s="93"/>
      <c r="DQ276" s="93"/>
      <c r="DR276" s="93"/>
      <c r="DS276" s="93"/>
      <c r="DT276" s="93"/>
      <c r="DU276" s="93"/>
      <c r="DV276" s="93"/>
      <c r="DW276" s="93"/>
      <c r="DX276" s="93"/>
      <c r="DY276" s="93"/>
      <c r="DZ276" s="93"/>
      <c r="EA276" s="93"/>
      <c r="EB276" s="93"/>
      <c r="EC276" s="93"/>
      <c r="ED276" s="93"/>
      <c r="EE276" s="93"/>
      <c r="EF276" s="93"/>
      <c r="EG276" s="93"/>
      <c r="EH276" s="93"/>
      <c r="EI276" s="93"/>
      <c r="EJ276" s="93"/>
      <c r="EK276" s="93"/>
      <c r="EL276" s="93"/>
      <c r="EM276" s="93"/>
      <c r="EN276" s="93"/>
      <c r="EO276" s="93"/>
      <c r="EP276" s="93"/>
      <c r="EQ276" s="93"/>
      <c r="ER276" s="93"/>
      <c r="ES276" s="93"/>
      <c r="ET276" s="93"/>
      <c r="EU276" s="93"/>
      <c r="EV276" s="93"/>
      <c r="EW276" s="93"/>
      <c r="EX276" s="93"/>
      <c r="EY276" s="93"/>
      <c r="EZ276" s="93"/>
      <c r="FA276" s="93"/>
      <c r="FB276" s="93"/>
      <c r="FC276" s="93"/>
      <c r="FD276" s="93"/>
      <c r="FE276" s="93"/>
      <c r="FF276" s="93"/>
      <c r="FG276" s="93"/>
      <c r="FH276" s="93"/>
      <c r="FI276" s="93"/>
      <c r="FJ276" s="93"/>
      <c r="FK276" s="93"/>
      <c r="FL276" s="93"/>
      <c r="FM276" s="93"/>
      <c r="FN276" s="93"/>
      <c r="FO276" s="93"/>
      <c r="FP276" s="93"/>
      <c r="FQ276" s="93"/>
      <c r="FR276" s="93"/>
      <c r="FS276" s="93"/>
      <c r="FT276" s="93"/>
      <c r="FU276" s="93"/>
      <c r="FV276" s="93"/>
      <c r="FW276" s="93"/>
      <c r="FX276" s="93"/>
      <c r="FY276" s="93"/>
      <c r="FZ276" s="93"/>
      <c r="GA276" s="93"/>
      <c r="GB276" s="93"/>
      <c r="GC276" s="93"/>
      <c r="GD276" s="93"/>
      <c r="GE276" s="93"/>
      <c r="GF276" s="93"/>
      <c r="GG276" s="93"/>
      <c r="GH276" s="93"/>
      <c r="GI276" s="93"/>
      <c r="GJ276" s="93"/>
      <c r="GK276" s="93"/>
      <c r="GL276" s="93"/>
      <c r="GM276" s="93"/>
      <c r="GN276" s="93"/>
      <c r="GO276" s="93"/>
      <c r="GP276" s="93"/>
      <c r="GQ276" s="93"/>
      <c r="GR276" s="93"/>
      <c r="GS276" s="93"/>
      <c r="GT276" s="93"/>
      <c r="GU276" s="93"/>
      <c r="GV276" s="93"/>
      <c r="GW276" s="93"/>
      <c r="GX276" s="93"/>
      <c r="GY276" s="93"/>
      <c r="GZ276" s="93"/>
      <c r="HA276" s="93"/>
      <c r="HB276" s="93"/>
      <c r="HC276" s="93"/>
      <c r="HD276" s="93"/>
      <c r="HE276" s="93"/>
      <c r="HF276" s="93"/>
      <c r="HG276" s="93"/>
      <c r="HH276" s="93"/>
      <c r="HI276" s="93"/>
      <c r="HJ276" s="93"/>
      <c r="HK276" s="93"/>
      <c r="HL276" s="93"/>
      <c r="HM276" s="93"/>
      <c r="HN276" s="93"/>
      <c r="HO276" s="93"/>
      <c r="HP276" s="93"/>
      <c r="HQ276" s="93"/>
      <c r="HR276" s="93"/>
      <c r="HS276" s="93"/>
      <c r="HT276" s="93"/>
      <c r="HU276" s="93"/>
      <c r="HV276" s="93"/>
      <c r="HW276" s="93"/>
      <c r="HX276" s="93"/>
      <c r="HY276" s="93"/>
      <c r="HZ276" s="93"/>
      <c r="IA276" s="93"/>
      <c r="IB276" s="93"/>
      <c r="IC276" s="93"/>
      <c r="ID276" s="93"/>
      <c r="IE276" s="93"/>
      <c r="IF276" s="93"/>
      <c r="IG276" s="93"/>
      <c r="IH276" s="93"/>
      <c r="II276" s="93"/>
      <c r="IJ276" s="93"/>
      <c r="IK276" s="93"/>
      <c r="IL276" s="93"/>
      <c r="IM276" s="93"/>
      <c r="IN276" s="93"/>
      <c r="IO276" s="93"/>
      <c r="IP276" s="93"/>
      <c r="IQ276" s="93"/>
      <c r="IR276" s="93"/>
      <c r="IS276" s="93"/>
      <c r="IT276" s="93"/>
      <c r="IU276" s="93"/>
      <c r="IV276" s="93"/>
      <c r="IW276" s="93"/>
      <c r="IX276" s="93"/>
      <c r="IY276" s="93"/>
      <c r="IZ276" s="93"/>
    </row>
    <row r="277" spans="1:260" s="95" customFormat="1">
      <c r="A277" s="93"/>
      <c r="B277" s="183"/>
      <c r="C277" s="183"/>
      <c r="D277" s="183"/>
      <c r="E277" s="158"/>
      <c r="F277" s="158"/>
      <c r="G277" s="158"/>
      <c r="H277" s="158"/>
      <c r="I277" s="158"/>
      <c r="J277" s="158"/>
      <c r="K277" s="158"/>
      <c r="L277" s="158"/>
      <c r="M277" s="158"/>
      <c r="N277" s="158"/>
      <c r="O277" s="158"/>
      <c r="P277" s="228"/>
      <c r="Q277" s="158"/>
      <c r="R277" s="158"/>
      <c r="S277" s="207"/>
      <c r="T277" s="207"/>
      <c r="U277" s="207"/>
      <c r="V277" s="207"/>
      <c r="W277" s="207"/>
      <c r="X277" s="207"/>
      <c r="Y277" s="207"/>
      <c r="Z277" s="207"/>
      <c r="AA277" s="207"/>
      <c r="AB277" s="207"/>
      <c r="AC277" s="207"/>
      <c r="AD277" s="207"/>
      <c r="AE277" s="207"/>
      <c r="AF277" s="207"/>
      <c r="AG277" s="207"/>
      <c r="AH277" s="207"/>
      <c r="AI277" s="207"/>
      <c r="AJ277" s="207"/>
      <c r="AK277" s="207"/>
      <c r="AL277" s="207"/>
      <c r="AM277" s="94"/>
      <c r="AN277" s="94"/>
      <c r="AO277" s="94"/>
      <c r="AP277" s="94"/>
      <c r="AQ277" s="94"/>
      <c r="AR277" s="94"/>
      <c r="AS277" s="94"/>
      <c r="AT277" s="94"/>
      <c r="AU277" s="94"/>
      <c r="AV277" s="94"/>
      <c r="AW277" s="94"/>
      <c r="AX277" s="94"/>
      <c r="AY277" s="94"/>
      <c r="AZ277" s="93"/>
      <c r="BA277" s="93"/>
      <c r="BB277" s="93"/>
      <c r="BC277" s="93"/>
      <c r="BD277" s="93"/>
      <c r="BE277" s="93"/>
      <c r="BF277" s="93"/>
      <c r="BG277" s="93"/>
      <c r="BH277" s="93"/>
      <c r="BI277" s="93"/>
      <c r="BJ277" s="93"/>
      <c r="BK277" s="93"/>
      <c r="BL277" s="93"/>
      <c r="BM277" s="93"/>
      <c r="BN277" s="93"/>
      <c r="BO277" s="93"/>
      <c r="BP277" s="93"/>
      <c r="BQ277" s="93"/>
      <c r="BR277" s="93"/>
      <c r="BS277" s="93"/>
      <c r="BT277" s="93"/>
      <c r="BU277" s="93"/>
      <c r="BV277" s="93"/>
      <c r="BW277" s="93"/>
      <c r="BX277" s="93"/>
      <c r="BY277" s="93"/>
      <c r="BZ277" s="93"/>
      <c r="CA277" s="93"/>
      <c r="CB277" s="93"/>
      <c r="CC277" s="93"/>
      <c r="CD277" s="93"/>
      <c r="CE277" s="93"/>
      <c r="CF277" s="93"/>
      <c r="CG277" s="93"/>
      <c r="CH277" s="93"/>
      <c r="CI277" s="93"/>
      <c r="CJ277" s="93"/>
      <c r="CK277" s="93"/>
      <c r="CL277" s="93"/>
      <c r="CM277" s="93"/>
      <c r="CN277" s="93"/>
      <c r="CO277" s="93"/>
      <c r="CP277" s="93"/>
      <c r="CQ277" s="93"/>
      <c r="CR277" s="93"/>
      <c r="CS277" s="93"/>
      <c r="CT277" s="93"/>
      <c r="CU277" s="93"/>
      <c r="CV277" s="93"/>
      <c r="CW277" s="93"/>
      <c r="CX277" s="93"/>
      <c r="CY277" s="93"/>
      <c r="CZ277" s="93"/>
      <c r="DA277" s="93"/>
      <c r="DB277" s="93"/>
      <c r="DC277" s="93"/>
      <c r="DD277" s="93"/>
      <c r="DE277" s="93"/>
      <c r="DF277" s="93"/>
      <c r="DG277" s="93"/>
      <c r="DH277" s="93"/>
      <c r="DI277" s="93"/>
      <c r="DJ277" s="93"/>
      <c r="DK277" s="93"/>
      <c r="DL277" s="93"/>
      <c r="DM277" s="93"/>
      <c r="DN277" s="93"/>
      <c r="DO277" s="93"/>
      <c r="DP277" s="93"/>
      <c r="DQ277" s="93"/>
      <c r="DR277" s="93"/>
      <c r="DS277" s="93"/>
      <c r="DT277" s="93"/>
      <c r="DU277" s="93"/>
      <c r="DV277" s="93"/>
      <c r="DW277" s="93"/>
      <c r="DX277" s="93"/>
      <c r="DY277" s="93"/>
      <c r="DZ277" s="93"/>
      <c r="EA277" s="93"/>
      <c r="EB277" s="93"/>
      <c r="EC277" s="93"/>
      <c r="ED277" s="93"/>
      <c r="EE277" s="93"/>
      <c r="EF277" s="93"/>
      <c r="EG277" s="93"/>
      <c r="EH277" s="93"/>
      <c r="EI277" s="93"/>
      <c r="EJ277" s="93"/>
      <c r="EK277" s="93"/>
      <c r="EL277" s="93"/>
      <c r="EM277" s="93"/>
      <c r="EN277" s="93"/>
      <c r="EO277" s="93"/>
      <c r="EP277" s="93"/>
      <c r="EQ277" s="93"/>
      <c r="ER277" s="93"/>
      <c r="ES277" s="93"/>
      <c r="ET277" s="93"/>
      <c r="EU277" s="93"/>
      <c r="EV277" s="93"/>
      <c r="EW277" s="93"/>
      <c r="EX277" s="93"/>
      <c r="EY277" s="93"/>
      <c r="EZ277" s="93"/>
      <c r="FA277" s="93"/>
      <c r="FB277" s="93"/>
      <c r="FC277" s="93"/>
      <c r="FD277" s="93"/>
      <c r="FE277" s="93"/>
      <c r="FF277" s="93"/>
      <c r="FG277" s="93"/>
      <c r="FH277" s="93"/>
      <c r="FI277" s="93"/>
      <c r="FJ277" s="93"/>
      <c r="FK277" s="93"/>
      <c r="FL277" s="93"/>
      <c r="FM277" s="93"/>
      <c r="FN277" s="93"/>
      <c r="FO277" s="93"/>
      <c r="FP277" s="93"/>
      <c r="FQ277" s="93"/>
      <c r="FR277" s="93"/>
      <c r="FS277" s="93"/>
      <c r="FT277" s="93"/>
      <c r="FU277" s="93"/>
      <c r="FV277" s="93"/>
      <c r="FW277" s="93"/>
      <c r="FX277" s="93"/>
      <c r="FY277" s="93"/>
      <c r="FZ277" s="93"/>
      <c r="GA277" s="93"/>
      <c r="GB277" s="93"/>
      <c r="GC277" s="93"/>
      <c r="GD277" s="93"/>
      <c r="GE277" s="93"/>
      <c r="GF277" s="93"/>
      <c r="GG277" s="93"/>
      <c r="GH277" s="93"/>
      <c r="GI277" s="93"/>
      <c r="GJ277" s="93"/>
      <c r="GK277" s="93"/>
      <c r="GL277" s="93"/>
      <c r="GM277" s="93"/>
      <c r="GN277" s="93"/>
      <c r="GO277" s="93"/>
      <c r="GP277" s="93"/>
      <c r="GQ277" s="93"/>
      <c r="GR277" s="93"/>
      <c r="GS277" s="93"/>
      <c r="GT277" s="93"/>
      <c r="GU277" s="93"/>
      <c r="GV277" s="93"/>
      <c r="GW277" s="93"/>
      <c r="GX277" s="93"/>
      <c r="GY277" s="93"/>
      <c r="GZ277" s="93"/>
      <c r="HA277" s="93"/>
      <c r="HB277" s="93"/>
      <c r="HC277" s="93"/>
      <c r="HD277" s="93"/>
      <c r="HE277" s="93"/>
      <c r="HF277" s="93"/>
      <c r="HG277" s="93"/>
      <c r="HH277" s="93"/>
      <c r="HI277" s="93"/>
      <c r="HJ277" s="93"/>
      <c r="HK277" s="93"/>
      <c r="HL277" s="93"/>
      <c r="HM277" s="93"/>
      <c r="HN277" s="93"/>
      <c r="HO277" s="93"/>
      <c r="HP277" s="93"/>
      <c r="HQ277" s="93"/>
      <c r="HR277" s="93"/>
      <c r="HS277" s="93"/>
      <c r="HT277" s="93"/>
      <c r="HU277" s="93"/>
      <c r="HV277" s="93"/>
      <c r="HW277" s="93"/>
      <c r="HX277" s="93"/>
      <c r="HY277" s="93"/>
      <c r="HZ277" s="93"/>
      <c r="IA277" s="93"/>
      <c r="IB277" s="93"/>
      <c r="IC277" s="93"/>
      <c r="ID277" s="93"/>
      <c r="IE277" s="93"/>
      <c r="IF277" s="93"/>
      <c r="IG277" s="93"/>
      <c r="IH277" s="93"/>
      <c r="II277" s="93"/>
      <c r="IJ277" s="93"/>
      <c r="IK277" s="93"/>
      <c r="IL277" s="93"/>
      <c r="IM277" s="93"/>
      <c r="IN277" s="93"/>
      <c r="IO277" s="93"/>
      <c r="IP277" s="93"/>
      <c r="IQ277" s="93"/>
      <c r="IR277" s="93"/>
      <c r="IS277" s="93"/>
      <c r="IT277" s="93"/>
      <c r="IU277" s="93"/>
      <c r="IV277" s="93"/>
      <c r="IW277" s="93"/>
      <c r="IX277" s="93"/>
      <c r="IY277" s="93"/>
      <c r="IZ277" s="93"/>
    </row>
    <row r="278" spans="1:260" s="95" customFormat="1">
      <c r="A278" s="93"/>
      <c r="B278" s="183"/>
      <c r="C278" s="183"/>
      <c r="D278" s="183"/>
      <c r="E278" s="158"/>
      <c r="F278" s="158"/>
      <c r="G278" s="158"/>
      <c r="H278" s="158"/>
      <c r="I278" s="158"/>
      <c r="J278" s="158"/>
      <c r="K278" s="158"/>
      <c r="L278" s="158"/>
      <c r="M278" s="158"/>
      <c r="N278" s="158"/>
      <c r="O278" s="158"/>
      <c r="P278" s="228"/>
      <c r="Q278" s="158"/>
      <c r="R278" s="158"/>
      <c r="S278" s="207"/>
      <c r="T278" s="207"/>
      <c r="U278" s="207"/>
      <c r="V278" s="207"/>
      <c r="W278" s="207"/>
      <c r="X278" s="207"/>
      <c r="Y278" s="207"/>
      <c r="Z278" s="207"/>
      <c r="AA278" s="207"/>
      <c r="AB278" s="207"/>
      <c r="AC278" s="207"/>
      <c r="AD278" s="207"/>
      <c r="AE278" s="207"/>
      <c r="AF278" s="207"/>
      <c r="AG278" s="207"/>
      <c r="AH278" s="207"/>
      <c r="AI278" s="207"/>
      <c r="AJ278" s="207"/>
      <c r="AK278" s="207"/>
      <c r="AL278" s="207"/>
      <c r="AM278" s="94"/>
      <c r="AN278" s="94"/>
      <c r="AO278" s="94"/>
      <c r="AP278" s="94"/>
      <c r="AQ278" s="94"/>
      <c r="AR278" s="94"/>
      <c r="AS278" s="94"/>
      <c r="AT278" s="94"/>
      <c r="AU278" s="94"/>
      <c r="AV278" s="94"/>
      <c r="AW278" s="94"/>
      <c r="AX278" s="94"/>
      <c r="AY278" s="94"/>
      <c r="AZ278" s="93"/>
      <c r="BA278" s="93"/>
      <c r="BB278" s="93"/>
      <c r="BC278" s="93"/>
      <c r="BD278" s="93"/>
      <c r="BE278" s="93"/>
      <c r="BF278" s="93"/>
      <c r="BG278" s="93"/>
      <c r="BH278" s="93"/>
      <c r="BI278" s="93"/>
      <c r="BJ278" s="93"/>
      <c r="BK278" s="93"/>
      <c r="BL278" s="93"/>
      <c r="BM278" s="93"/>
      <c r="BN278" s="93"/>
      <c r="BO278" s="93"/>
      <c r="BP278" s="93"/>
      <c r="BQ278" s="93"/>
      <c r="BR278" s="93"/>
      <c r="BS278" s="93"/>
      <c r="BT278" s="93"/>
      <c r="BU278" s="93"/>
      <c r="BV278" s="93"/>
      <c r="BW278" s="93"/>
      <c r="BX278" s="93"/>
      <c r="BY278" s="93"/>
      <c r="BZ278" s="93"/>
      <c r="CA278" s="93"/>
      <c r="CB278" s="93"/>
      <c r="CC278" s="93"/>
      <c r="CD278" s="93"/>
      <c r="CE278" s="93"/>
      <c r="CF278" s="93"/>
      <c r="CG278" s="93"/>
      <c r="CH278" s="93"/>
      <c r="CI278" s="93"/>
      <c r="CJ278" s="93"/>
      <c r="CK278" s="93"/>
      <c r="CL278" s="93"/>
      <c r="CM278" s="93"/>
      <c r="CN278" s="93"/>
      <c r="CO278" s="93"/>
      <c r="CP278" s="93"/>
      <c r="CQ278" s="93"/>
      <c r="CR278" s="93"/>
      <c r="CS278" s="93"/>
      <c r="CT278" s="93"/>
      <c r="CU278" s="93"/>
      <c r="CV278" s="93"/>
      <c r="CW278" s="93"/>
      <c r="CX278" s="93"/>
      <c r="CY278" s="93"/>
      <c r="CZ278" s="93"/>
      <c r="DA278" s="93"/>
      <c r="DB278" s="93"/>
      <c r="DC278" s="93"/>
      <c r="DD278" s="93"/>
      <c r="DE278" s="93"/>
      <c r="DF278" s="93"/>
      <c r="DG278" s="93"/>
      <c r="DH278" s="93"/>
      <c r="DI278" s="93"/>
      <c r="DJ278" s="93"/>
      <c r="DK278" s="93"/>
      <c r="DL278" s="93"/>
      <c r="DM278" s="93"/>
      <c r="DN278" s="93"/>
      <c r="DO278" s="93"/>
      <c r="DP278" s="93"/>
      <c r="DQ278" s="93"/>
      <c r="DR278" s="93"/>
      <c r="DS278" s="93"/>
      <c r="DT278" s="93"/>
      <c r="DU278" s="93"/>
      <c r="DV278" s="93"/>
      <c r="DW278" s="93"/>
      <c r="DX278" s="93"/>
      <c r="DY278" s="93"/>
      <c r="DZ278" s="93"/>
      <c r="EA278" s="93"/>
      <c r="EB278" s="93"/>
      <c r="EC278" s="93"/>
      <c r="ED278" s="93"/>
      <c r="EE278" s="93"/>
      <c r="EF278" s="93"/>
      <c r="EG278" s="93"/>
      <c r="EH278" s="93"/>
      <c r="EI278" s="93"/>
      <c r="EJ278" s="93"/>
      <c r="EK278" s="93"/>
      <c r="EL278" s="93"/>
      <c r="EM278" s="93"/>
      <c r="EN278" s="93"/>
      <c r="EO278" s="93"/>
      <c r="EP278" s="93"/>
      <c r="EQ278" s="93"/>
      <c r="ER278" s="93"/>
      <c r="ES278" s="93"/>
      <c r="ET278" s="93"/>
      <c r="EU278" s="93"/>
      <c r="EV278" s="93"/>
      <c r="EW278" s="93"/>
      <c r="EX278" s="93"/>
      <c r="EY278" s="93"/>
      <c r="EZ278" s="93"/>
      <c r="FA278" s="93"/>
      <c r="FB278" s="93"/>
      <c r="FC278" s="93"/>
      <c r="FD278" s="93"/>
      <c r="FE278" s="93"/>
      <c r="FF278" s="93"/>
      <c r="FG278" s="93"/>
      <c r="FH278" s="93"/>
      <c r="FI278" s="93"/>
      <c r="FJ278" s="93"/>
      <c r="FK278" s="93"/>
      <c r="FL278" s="93"/>
      <c r="FM278" s="93"/>
      <c r="FN278" s="93"/>
      <c r="FO278" s="93"/>
      <c r="FP278" s="93"/>
      <c r="FQ278" s="93"/>
      <c r="FR278" s="93"/>
      <c r="FS278" s="93"/>
      <c r="FT278" s="93"/>
      <c r="FU278" s="93"/>
      <c r="FV278" s="93"/>
      <c r="FW278" s="93"/>
      <c r="FX278" s="93"/>
      <c r="FY278" s="93"/>
      <c r="FZ278" s="93"/>
      <c r="GA278" s="93"/>
      <c r="GB278" s="93"/>
      <c r="GC278" s="93"/>
      <c r="GD278" s="93"/>
      <c r="GE278" s="93"/>
      <c r="GF278" s="93"/>
      <c r="GG278" s="93"/>
      <c r="GH278" s="93"/>
      <c r="GI278" s="93"/>
      <c r="GJ278" s="93"/>
      <c r="GK278" s="93"/>
      <c r="GL278" s="93"/>
      <c r="GM278" s="93"/>
      <c r="GN278" s="93"/>
      <c r="GO278" s="93"/>
      <c r="GP278" s="93"/>
      <c r="GQ278" s="93"/>
      <c r="GR278" s="93"/>
      <c r="GS278" s="93"/>
      <c r="GT278" s="93"/>
      <c r="GU278" s="93"/>
      <c r="GV278" s="93"/>
      <c r="GW278" s="93"/>
      <c r="GX278" s="93"/>
      <c r="GY278" s="93"/>
      <c r="GZ278" s="93"/>
      <c r="HA278" s="93"/>
      <c r="HB278" s="93"/>
      <c r="HC278" s="93"/>
      <c r="HD278" s="93"/>
      <c r="HE278" s="93"/>
      <c r="HF278" s="93"/>
      <c r="HG278" s="93"/>
      <c r="HH278" s="93"/>
      <c r="HI278" s="93"/>
      <c r="HJ278" s="93"/>
      <c r="HK278" s="93"/>
      <c r="HL278" s="93"/>
      <c r="HM278" s="93"/>
      <c r="HN278" s="93"/>
      <c r="HO278" s="93"/>
      <c r="HP278" s="93"/>
      <c r="HQ278" s="93"/>
      <c r="HR278" s="93"/>
      <c r="HS278" s="93"/>
      <c r="HT278" s="93"/>
      <c r="HU278" s="93"/>
      <c r="HV278" s="93"/>
      <c r="HW278" s="93"/>
      <c r="HX278" s="93"/>
      <c r="HY278" s="93"/>
      <c r="HZ278" s="93"/>
      <c r="IA278" s="93"/>
      <c r="IB278" s="93"/>
      <c r="IC278" s="93"/>
      <c r="ID278" s="93"/>
      <c r="IE278" s="93"/>
      <c r="IF278" s="93"/>
      <c r="IG278" s="93"/>
      <c r="IH278" s="93"/>
      <c r="II278" s="93"/>
      <c r="IJ278" s="93"/>
      <c r="IK278" s="93"/>
      <c r="IL278" s="93"/>
      <c r="IM278" s="93"/>
      <c r="IN278" s="93"/>
      <c r="IO278" s="93"/>
      <c r="IP278" s="93"/>
      <c r="IQ278" s="93"/>
      <c r="IR278" s="93"/>
      <c r="IS278" s="93"/>
      <c r="IT278" s="93"/>
      <c r="IU278" s="93"/>
      <c r="IV278" s="93"/>
      <c r="IW278" s="93"/>
      <c r="IX278" s="93"/>
      <c r="IY278" s="93"/>
      <c r="IZ278" s="93"/>
    </row>
    <row r="279" spans="1:260" s="95" customFormat="1">
      <c r="A279" s="93"/>
      <c r="B279" s="183"/>
      <c r="C279" s="183"/>
      <c r="D279" s="183"/>
      <c r="E279" s="158"/>
      <c r="F279" s="158"/>
      <c r="G279" s="158"/>
      <c r="H279" s="158"/>
      <c r="I279" s="158"/>
      <c r="J279" s="158"/>
      <c r="K279" s="158"/>
      <c r="L279" s="158"/>
      <c r="M279" s="158"/>
      <c r="N279" s="158"/>
      <c r="O279" s="158"/>
      <c r="P279" s="228"/>
      <c r="Q279" s="158"/>
      <c r="R279" s="158"/>
      <c r="S279" s="207"/>
      <c r="T279" s="207"/>
      <c r="U279" s="207"/>
      <c r="V279" s="207"/>
      <c r="W279" s="207"/>
      <c r="X279" s="207"/>
      <c r="Y279" s="207"/>
      <c r="Z279" s="207"/>
      <c r="AA279" s="207"/>
      <c r="AB279" s="207"/>
      <c r="AC279" s="207"/>
      <c r="AD279" s="207"/>
      <c r="AE279" s="207"/>
      <c r="AF279" s="207"/>
      <c r="AG279" s="207"/>
      <c r="AH279" s="207"/>
      <c r="AI279" s="207"/>
      <c r="AJ279" s="207"/>
      <c r="AK279" s="207"/>
      <c r="AL279" s="207"/>
      <c r="AM279" s="94"/>
      <c r="AN279" s="94"/>
      <c r="AO279" s="94"/>
      <c r="AP279" s="94"/>
      <c r="AQ279" s="94"/>
      <c r="AR279" s="94"/>
      <c r="AS279" s="94"/>
      <c r="AT279" s="94"/>
      <c r="AU279" s="94"/>
      <c r="AV279" s="94"/>
      <c r="AW279" s="94"/>
      <c r="AX279" s="94"/>
      <c r="AY279" s="94"/>
      <c r="AZ279" s="93"/>
      <c r="BA279" s="93"/>
      <c r="BB279" s="93"/>
      <c r="BC279" s="93"/>
      <c r="BD279" s="93"/>
      <c r="BE279" s="93"/>
      <c r="BF279" s="93"/>
      <c r="BG279" s="93"/>
      <c r="BH279" s="93"/>
      <c r="BI279" s="93"/>
      <c r="BJ279" s="93"/>
      <c r="BK279" s="93"/>
      <c r="BL279" s="93"/>
      <c r="BM279" s="93"/>
      <c r="BN279" s="93"/>
      <c r="BO279" s="93"/>
      <c r="BP279" s="93"/>
      <c r="BQ279" s="93"/>
      <c r="BR279" s="93"/>
      <c r="BS279" s="93"/>
      <c r="BT279" s="93"/>
      <c r="BU279" s="93"/>
      <c r="BV279" s="93"/>
      <c r="BW279" s="93"/>
      <c r="BX279" s="93"/>
      <c r="BY279" s="93"/>
      <c r="BZ279" s="93"/>
      <c r="CA279" s="93"/>
      <c r="CB279" s="93"/>
      <c r="CC279" s="93"/>
      <c r="CD279" s="93"/>
      <c r="CE279" s="93"/>
      <c r="CF279" s="93"/>
      <c r="CG279" s="93"/>
      <c r="CH279" s="93"/>
      <c r="CI279" s="93"/>
      <c r="CJ279" s="93"/>
      <c r="CK279" s="93"/>
      <c r="CL279" s="93"/>
      <c r="CM279" s="93"/>
      <c r="CN279" s="93"/>
      <c r="CO279" s="93"/>
      <c r="CP279" s="93"/>
      <c r="CQ279" s="93"/>
      <c r="CR279" s="93"/>
      <c r="CS279" s="93"/>
      <c r="CT279" s="93"/>
      <c r="CU279" s="93"/>
      <c r="CV279" s="93"/>
      <c r="CW279" s="93"/>
      <c r="CX279" s="93"/>
      <c r="CY279" s="93"/>
      <c r="CZ279" s="93"/>
      <c r="DA279" s="93"/>
      <c r="DB279" s="93"/>
      <c r="DC279" s="93"/>
      <c r="DD279" s="93"/>
      <c r="DE279" s="93"/>
      <c r="DF279" s="93"/>
      <c r="DG279" s="93"/>
      <c r="DH279" s="93"/>
      <c r="DI279" s="93"/>
      <c r="DJ279" s="93"/>
      <c r="DK279" s="93"/>
      <c r="DL279" s="93"/>
      <c r="DM279" s="93"/>
      <c r="DN279" s="93"/>
      <c r="DO279" s="93"/>
      <c r="DP279" s="93"/>
      <c r="DQ279" s="93"/>
      <c r="DR279" s="93"/>
      <c r="DS279" s="93"/>
      <c r="DT279" s="93"/>
      <c r="DU279" s="93"/>
      <c r="DV279" s="93"/>
      <c r="DW279" s="93"/>
      <c r="DX279" s="93"/>
      <c r="DY279" s="93"/>
      <c r="DZ279" s="93"/>
      <c r="EA279" s="93"/>
      <c r="EB279" s="93"/>
      <c r="EC279" s="93"/>
      <c r="ED279" s="93"/>
      <c r="EE279" s="93"/>
      <c r="EF279" s="93"/>
      <c r="EG279" s="93"/>
      <c r="EH279" s="93"/>
      <c r="EI279" s="93"/>
      <c r="EJ279" s="93"/>
      <c r="EK279" s="93"/>
      <c r="EL279" s="93"/>
      <c r="EM279" s="93"/>
      <c r="EN279" s="93"/>
      <c r="EO279" s="93"/>
      <c r="EP279" s="93"/>
      <c r="EQ279" s="93"/>
      <c r="ER279" s="93"/>
      <c r="ES279" s="93"/>
      <c r="ET279" s="93"/>
      <c r="EU279" s="93"/>
      <c r="EV279" s="93"/>
      <c r="EW279" s="93"/>
      <c r="EX279" s="93"/>
      <c r="EY279" s="93"/>
      <c r="EZ279" s="93"/>
      <c r="FA279" s="93"/>
      <c r="FB279" s="93"/>
      <c r="FC279" s="93"/>
      <c r="FD279" s="93"/>
      <c r="FE279" s="93"/>
      <c r="FF279" s="93"/>
      <c r="FG279" s="93"/>
      <c r="FH279" s="93"/>
      <c r="FI279" s="93"/>
      <c r="FJ279" s="93"/>
      <c r="FK279" s="93"/>
      <c r="FL279" s="93"/>
      <c r="FM279" s="93"/>
      <c r="FN279" s="93"/>
      <c r="FO279" s="93"/>
      <c r="FP279" s="93"/>
      <c r="FQ279" s="93"/>
      <c r="FR279" s="93"/>
      <c r="FS279" s="93"/>
      <c r="FT279" s="93"/>
      <c r="FU279" s="93"/>
      <c r="FV279" s="93"/>
      <c r="FW279" s="93"/>
      <c r="FX279" s="93"/>
      <c r="FY279" s="93"/>
      <c r="FZ279" s="93"/>
      <c r="GA279" s="93"/>
      <c r="GB279" s="93"/>
      <c r="GC279" s="93"/>
      <c r="GD279" s="93"/>
      <c r="GE279" s="93"/>
      <c r="GF279" s="93"/>
      <c r="GG279" s="93"/>
      <c r="GH279" s="93"/>
      <c r="GI279" s="93"/>
      <c r="GJ279" s="93"/>
      <c r="GK279" s="93"/>
      <c r="GL279" s="93"/>
      <c r="GM279" s="93"/>
      <c r="GN279" s="93"/>
      <c r="GO279" s="93"/>
      <c r="GP279" s="93"/>
      <c r="GQ279" s="93"/>
      <c r="GR279" s="93"/>
      <c r="GS279" s="93"/>
      <c r="GT279" s="93"/>
      <c r="GU279" s="93"/>
      <c r="GV279" s="93"/>
      <c r="GW279" s="93"/>
      <c r="GX279" s="93"/>
      <c r="GY279" s="93"/>
      <c r="GZ279" s="93"/>
      <c r="HA279" s="93"/>
      <c r="HB279" s="93"/>
      <c r="HC279" s="93"/>
      <c r="HD279" s="93"/>
      <c r="HE279" s="93"/>
      <c r="HF279" s="93"/>
      <c r="HG279" s="93"/>
      <c r="HH279" s="93"/>
      <c r="HI279" s="93"/>
      <c r="HJ279" s="93"/>
      <c r="HK279" s="93"/>
      <c r="HL279" s="93"/>
      <c r="HM279" s="93"/>
      <c r="HN279" s="93"/>
      <c r="HO279" s="93"/>
      <c r="HP279" s="93"/>
      <c r="HQ279" s="93"/>
      <c r="HR279" s="93"/>
      <c r="HS279" s="93"/>
      <c r="HT279" s="93"/>
      <c r="HU279" s="93"/>
      <c r="HV279" s="93"/>
      <c r="HW279" s="93"/>
      <c r="HX279" s="93"/>
      <c r="HY279" s="93"/>
      <c r="HZ279" s="93"/>
      <c r="IA279" s="93"/>
      <c r="IB279" s="93"/>
      <c r="IC279" s="93"/>
      <c r="ID279" s="93"/>
      <c r="IE279" s="93"/>
      <c r="IF279" s="93"/>
      <c r="IG279" s="93"/>
      <c r="IH279" s="93"/>
      <c r="II279" s="93"/>
      <c r="IJ279" s="93"/>
      <c r="IK279" s="93"/>
      <c r="IL279" s="93"/>
      <c r="IM279" s="93"/>
      <c r="IN279" s="93"/>
      <c r="IO279" s="93"/>
      <c r="IP279" s="93"/>
      <c r="IQ279" s="93"/>
      <c r="IR279" s="93"/>
      <c r="IS279" s="93"/>
      <c r="IT279" s="93"/>
      <c r="IU279" s="93"/>
      <c r="IV279" s="93"/>
      <c r="IW279" s="93"/>
      <c r="IX279" s="93"/>
      <c r="IY279" s="93"/>
      <c r="IZ279" s="93"/>
    </row>
    <row r="280" spans="1:260" s="95" customFormat="1">
      <c r="A280" s="93"/>
      <c r="B280" s="183"/>
      <c r="C280" s="183"/>
      <c r="D280" s="183"/>
      <c r="E280" s="158"/>
      <c r="F280" s="158"/>
      <c r="G280" s="158"/>
      <c r="H280" s="158"/>
      <c r="I280" s="158"/>
      <c r="J280" s="158"/>
      <c r="K280" s="158"/>
      <c r="L280" s="158"/>
      <c r="M280" s="158"/>
      <c r="N280" s="158"/>
      <c r="O280" s="158"/>
      <c r="P280" s="228"/>
      <c r="Q280" s="158"/>
      <c r="R280" s="158"/>
      <c r="S280" s="207"/>
      <c r="T280" s="207"/>
      <c r="U280" s="207"/>
      <c r="V280" s="207"/>
      <c r="W280" s="207"/>
      <c r="X280" s="207"/>
      <c r="Y280" s="207"/>
      <c r="Z280" s="207"/>
      <c r="AA280" s="207"/>
      <c r="AB280" s="207"/>
      <c r="AC280" s="207"/>
      <c r="AD280" s="207"/>
      <c r="AE280" s="207"/>
      <c r="AF280" s="207"/>
      <c r="AG280" s="207"/>
      <c r="AH280" s="207"/>
      <c r="AI280" s="207"/>
      <c r="AJ280" s="207"/>
      <c r="AK280" s="207"/>
      <c r="AL280" s="207"/>
      <c r="AM280" s="94"/>
      <c r="AN280" s="94"/>
      <c r="AO280" s="94"/>
      <c r="AP280" s="94"/>
      <c r="AQ280" s="94"/>
      <c r="AR280" s="94"/>
      <c r="AS280" s="94"/>
      <c r="AT280" s="94"/>
      <c r="AU280" s="94"/>
      <c r="AV280" s="94"/>
      <c r="AW280" s="94"/>
      <c r="AX280" s="94"/>
      <c r="AY280" s="94"/>
      <c r="AZ280" s="93"/>
      <c r="BA280" s="93"/>
      <c r="BB280" s="93"/>
      <c r="BC280" s="93"/>
      <c r="BD280" s="93"/>
      <c r="BE280" s="93"/>
      <c r="BF280" s="93"/>
      <c r="BG280" s="93"/>
      <c r="BH280" s="93"/>
      <c r="BI280" s="93"/>
      <c r="BJ280" s="93"/>
      <c r="BK280" s="93"/>
      <c r="BL280" s="93"/>
      <c r="BM280" s="93"/>
      <c r="BN280" s="93"/>
      <c r="BO280" s="93"/>
      <c r="BP280" s="93"/>
      <c r="BQ280" s="93"/>
      <c r="BR280" s="93"/>
      <c r="BS280" s="93"/>
      <c r="BT280" s="93"/>
      <c r="BU280" s="93"/>
      <c r="BV280" s="93"/>
      <c r="BW280" s="93"/>
      <c r="BX280" s="93"/>
      <c r="BY280" s="93"/>
      <c r="BZ280" s="93"/>
      <c r="CA280" s="93"/>
      <c r="CB280" s="93"/>
      <c r="CC280" s="93"/>
      <c r="CD280" s="93"/>
      <c r="CE280" s="93"/>
      <c r="CF280" s="93"/>
      <c r="CG280" s="93"/>
      <c r="CH280" s="93"/>
      <c r="CI280" s="93"/>
      <c r="CJ280" s="93"/>
      <c r="CK280" s="93"/>
      <c r="CL280" s="93"/>
      <c r="CM280" s="93"/>
      <c r="CN280" s="93"/>
      <c r="CO280" s="93"/>
      <c r="CP280" s="93"/>
      <c r="CQ280" s="93"/>
      <c r="CR280" s="93"/>
      <c r="CS280" s="93"/>
      <c r="CT280" s="93"/>
      <c r="CU280" s="93"/>
      <c r="CV280" s="93"/>
      <c r="CW280" s="93"/>
      <c r="CX280" s="93"/>
      <c r="CY280" s="93"/>
      <c r="CZ280" s="93"/>
      <c r="DA280" s="93"/>
      <c r="DB280" s="93"/>
      <c r="DC280" s="93"/>
      <c r="DD280" s="93"/>
      <c r="DE280" s="93"/>
      <c r="DF280" s="93"/>
      <c r="DG280" s="93"/>
      <c r="DH280" s="93"/>
      <c r="DI280" s="93"/>
      <c r="DJ280" s="93"/>
      <c r="DK280" s="93"/>
      <c r="DL280" s="93"/>
      <c r="DM280" s="93"/>
      <c r="DN280" s="93"/>
      <c r="DO280" s="93"/>
      <c r="DP280" s="93"/>
      <c r="DQ280" s="93"/>
      <c r="DR280" s="93"/>
      <c r="DS280" s="93"/>
      <c r="DT280" s="93"/>
      <c r="DU280" s="93"/>
      <c r="DV280" s="93"/>
      <c r="DW280" s="93"/>
      <c r="DX280" s="93"/>
      <c r="DY280" s="93"/>
      <c r="DZ280" s="93"/>
      <c r="EA280" s="93"/>
      <c r="EB280" s="93"/>
      <c r="EC280" s="93"/>
      <c r="ED280" s="93"/>
      <c r="EE280" s="93"/>
      <c r="EF280" s="93"/>
      <c r="EG280" s="93"/>
      <c r="EH280" s="93"/>
      <c r="EI280" s="93"/>
      <c r="EJ280" s="93"/>
      <c r="EK280" s="93"/>
      <c r="EL280" s="93"/>
      <c r="EM280" s="93"/>
      <c r="EN280" s="93"/>
      <c r="EO280" s="93"/>
      <c r="EP280" s="93"/>
      <c r="EQ280" s="93"/>
      <c r="ER280" s="93"/>
      <c r="ES280" s="93"/>
      <c r="ET280" s="93"/>
      <c r="EU280" s="93"/>
      <c r="EV280" s="93"/>
      <c r="EW280" s="93"/>
      <c r="EX280" s="93"/>
      <c r="EY280" s="93"/>
      <c r="EZ280" s="93"/>
      <c r="FA280" s="93"/>
      <c r="FB280" s="93"/>
      <c r="FC280" s="93"/>
      <c r="FD280" s="93"/>
      <c r="FE280" s="93"/>
      <c r="FF280" s="93"/>
      <c r="FG280" s="93"/>
      <c r="FH280" s="93"/>
      <c r="FI280" s="93"/>
      <c r="FJ280" s="93"/>
      <c r="FK280" s="93"/>
      <c r="FL280" s="93"/>
      <c r="FM280" s="93"/>
      <c r="FN280" s="93"/>
      <c r="FO280" s="93"/>
      <c r="FP280" s="93"/>
      <c r="FQ280" s="93"/>
      <c r="FR280" s="93"/>
      <c r="FS280" s="93"/>
      <c r="FT280" s="93"/>
      <c r="FU280" s="93"/>
      <c r="FV280" s="93"/>
      <c r="FW280" s="93"/>
      <c r="FX280" s="93"/>
      <c r="FY280" s="93"/>
      <c r="FZ280" s="93"/>
      <c r="GA280" s="93"/>
      <c r="GB280" s="93"/>
      <c r="GC280" s="93"/>
      <c r="GD280" s="93"/>
      <c r="GE280" s="93"/>
      <c r="GF280" s="93"/>
      <c r="GG280" s="93"/>
      <c r="GH280" s="93"/>
      <c r="GI280" s="93"/>
      <c r="GJ280" s="93"/>
      <c r="GK280" s="93"/>
      <c r="GL280" s="93"/>
      <c r="GM280" s="93"/>
      <c r="GN280" s="93"/>
      <c r="GO280" s="93"/>
      <c r="GP280" s="93"/>
      <c r="GQ280" s="93"/>
      <c r="GR280" s="93"/>
      <c r="GS280" s="93"/>
      <c r="GT280" s="93"/>
      <c r="GU280" s="93"/>
      <c r="GV280" s="93"/>
      <c r="GW280" s="93"/>
      <c r="GX280" s="93"/>
      <c r="GY280" s="93"/>
      <c r="GZ280" s="93"/>
      <c r="HA280" s="93"/>
      <c r="HB280" s="93"/>
      <c r="HC280" s="93"/>
      <c r="HD280" s="93"/>
      <c r="HE280" s="93"/>
      <c r="HF280" s="93"/>
      <c r="HG280" s="93"/>
      <c r="HH280" s="93"/>
      <c r="HI280" s="93"/>
      <c r="HJ280" s="93"/>
      <c r="HK280" s="93"/>
      <c r="HL280" s="93"/>
      <c r="HM280" s="93"/>
      <c r="HN280" s="93"/>
      <c r="HO280" s="93"/>
      <c r="HP280" s="93"/>
      <c r="HQ280" s="93"/>
      <c r="HR280" s="93"/>
      <c r="HS280" s="93"/>
      <c r="HT280" s="93"/>
      <c r="HU280" s="93"/>
      <c r="HV280" s="93"/>
      <c r="HW280" s="93"/>
      <c r="HX280" s="93"/>
      <c r="HY280" s="93"/>
      <c r="HZ280" s="93"/>
      <c r="IA280" s="93"/>
      <c r="IB280" s="93"/>
      <c r="IC280" s="93"/>
      <c r="ID280" s="93"/>
      <c r="IE280" s="93"/>
      <c r="IF280" s="93"/>
      <c r="IG280" s="93"/>
      <c r="IH280" s="93"/>
      <c r="II280" s="93"/>
      <c r="IJ280" s="93"/>
      <c r="IK280" s="93"/>
      <c r="IL280" s="93"/>
      <c r="IM280" s="93"/>
      <c r="IN280" s="93"/>
      <c r="IO280" s="93"/>
      <c r="IP280" s="93"/>
      <c r="IQ280" s="93"/>
      <c r="IR280" s="93"/>
      <c r="IS280" s="93"/>
      <c r="IT280" s="93"/>
      <c r="IU280" s="93"/>
      <c r="IV280" s="93"/>
      <c r="IW280" s="93"/>
      <c r="IX280" s="93"/>
      <c r="IY280" s="93"/>
      <c r="IZ280" s="93"/>
    </row>
    <row r="281" spans="1:260" s="95" customFormat="1">
      <c r="A281" s="93"/>
      <c r="B281" s="183"/>
      <c r="C281" s="183"/>
      <c r="D281" s="183"/>
      <c r="E281" s="158"/>
      <c r="F281" s="158"/>
      <c r="G281" s="158"/>
      <c r="H281" s="158"/>
      <c r="I281" s="158"/>
      <c r="J281" s="158"/>
      <c r="K281" s="158"/>
      <c r="L281" s="158"/>
      <c r="M281" s="158"/>
      <c r="N281" s="158"/>
      <c r="O281" s="158"/>
      <c r="P281" s="228"/>
      <c r="Q281" s="158"/>
      <c r="R281" s="158"/>
      <c r="S281" s="207"/>
      <c r="T281" s="207"/>
      <c r="U281" s="207"/>
      <c r="V281" s="207"/>
      <c r="W281" s="207"/>
      <c r="X281" s="207"/>
      <c r="Y281" s="207"/>
      <c r="Z281" s="207"/>
      <c r="AA281" s="207"/>
      <c r="AB281" s="207"/>
      <c r="AC281" s="207"/>
      <c r="AD281" s="207"/>
      <c r="AE281" s="207"/>
      <c r="AF281" s="207"/>
      <c r="AG281" s="207"/>
      <c r="AH281" s="207"/>
      <c r="AI281" s="207"/>
      <c r="AJ281" s="207"/>
      <c r="AK281" s="207"/>
      <c r="AL281" s="207"/>
      <c r="AM281" s="94"/>
      <c r="AN281" s="94"/>
      <c r="AO281" s="94"/>
      <c r="AP281" s="94"/>
      <c r="AQ281" s="94"/>
      <c r="AR281" s="94"/>
      <c r="AS281" s="94"/>
      <c r="AT281" s="94"/>
      <c r="AU281" s="94"/>
      <c r="AV281" s="94"/>
      <c r="AW281" s="94"/>
      <c r="AX281" s="94"/>
      <c r="AY281" s="94"/>
      <c r="AZ281" s="93"/>
      <c r="BA281" s="93"/>
      <c r="BB281" s="93"/>
      <c r="BC281" s="93"/>
      <c r="BD281" s="93"/>
      <c r="BE281" s="93"/>
      <c r="BF281" s="93"/>
      <c r="BG281" s="93"/>
      <c r="BH281" s="93"/>
      <c r="BI281" s="93"/>
      <c r="BJ281" s="93"/>
      <c r="BK281" s="93"/>
      <c r="BL281" s="93"/>
      <c r="BM281" s="93"/>
      <c r="BN281" s="93"/>
      <c r="BO281" s="93"/>
      <c r="BP281" s="93"/>
      <c r="BQ281" s="93"/>
      <c r="BR281" s="93"/>
      <c r="BS281" s="93"/>
      <c r="BT281" s="93"/>
      <c r="BU281" s="93"/>
      <c r="BV281" s="93"/>
      <c r="BW281" s="93"/>
      <c r="BX281" s="93"/>
      <c r="BY281" s="93"/>
      <c r="BZ281" s="93"/>
      <c r="CA281" s="93"/>
      <c r="CB281" s="93"/>
      <c r="CC281" s="93"/>
      <c r="CD281" s="93"/>
      <c r="CE281" s="93"/>
      <c r="CF281" s="93"/>
      <c r="CG281" s="93"/>
      <c r="CH281" s="93"/>
      <c r="CI281" s="93"/>
      <c r="CJ281" s="93"/>
      <c r="CK281" s="93"/>
      <c r="CL281" s="93"/>
      <c r="CM281" s="93"/>
      <c r="CN281" s="93"/>
      <c r="CO281" s="93"/>
      <c r="CP281" s="93"/>
      <c r="CQ281" s="93"/>
      <c r="CR281" s="93"/>
      <c r="CS281" s="93"/>
      <c r="CT281" s="93"/>
      <c r="CU281" s="93"/>
      <c r="CV281" s="93"/>
      <c r="CW281" s="93"/>
      <c r="CX281" s="93"/>
      <c r="CY281" s="93"/>
      <c r="CZ281" s="93"/>
      <c r="DA281" s="93"/>
      <c r="DB281" s="93"/>
      <c r="DC281" s="93"/>
      <c r="DD281" s="93"/>
      <c r="DE281" s="93"/>
      <c r="DF281" s="93"/>
      <c r="DG281" s="93"/>
      <c r="DH281" s="93"/>
      <c r="DI281" s="93"/>
      <c r="DJ281" s="93"/>
      <c r="DK281" s="93"/>
      <c r="DL281" s="93"/>
      <c r="DM281" s="93"/>
      <c r="DN281" s="93"/>
      <c r="DO281" s="93"/>
      <c r="DP281" s="93"/>
      <c r="DQ281" s="93"/>
      <c r="DR281" s="93"/>
      <c r="DS281" s="93"/>
      <c r="DT281" s="93"/>
      <c r="DU281" s="93"/>
      <c r="DV281" s="93"/>
      <c r="DW281" s="93"/>
      <c r="DX281" s="93"/>
      <c r="DY281" s="93"/>
      <c r="DZ281" s="93"/>
      <c r="EA281" s="93"/>
      <c r="EB281" s="93"/>
      <c r="EC281" s="93"/>
      <c r="ED281" s="93"/>
      <c r="EE281" s="93"/>
      <c r="EF281" s="93"/>
      <c r="EG281" s="93"/>
      <c r="EH281" s="93"/>
      <c r="EI281" s="93"/>
      <c r="EJ281" s="93"/>
      <c r="EK281" s="93"/>
      <c r="EL281" s="93"/>
      <c r="EM281" s="93"/>
      <c r="EN281" s="93"/>
      <c r="EO281" s="93"/>
      <c r="EP281" s="93"/>
      <c r="EQ281" s="93"/>
      <c r="ER281" s="93"/>
      <c r="ES281" s="93"/>
      <c r="ET281" s="93"/>
      <c r="EU281" s="93"/>
      <c r="EV281" s="93"/>
      <c r="EW281" s="93"/>
      <c r="EX281" s="93"/>
      <c r="EY281" s="93"/>
      <c r="EZ281" s="93"/>
      <c r="FA281" s="93"/>
      <c r="FB281" s="93"/>
      <c r="FC281" s="93"/>
      <c r="FD281" s="93"/>
      <c r="FE281" s="93"/>
      <c r="FF281" s="93"/>
      <c r="FG281" s="93"/>
      <c r="FH281" s="93"/>
      <c r="FI281" s="93"/>
      <c r="FJ281" s="93"/>
      <c r="FK281" s="93"/>
      <c r="FL281" s="93"/>
      <c r="FM281" s="93"/>
      <c r="FN281" s="93"/>
      <c r="FO281" s="93"/>
      <c r="FP281" s="93"/>
      <c r="FQ281" s="93"/>
      <c r="FR281" s="93"/>
      <c r="FS281" s="93"/>
      <c r="FT281" s="93"/>
      <c r="FU281" s="93"/>
      <c r="FV281" s="93"/>
      <c r="FW281" s="93"/>
      <c r="FX281" s="93"/>
      <c r="FY281" s="93"/>
      <c r="FZ281" s="93"/>
      <c r="GA281" s="93"/>
      <c r="GB281" s="93"/>
      <c r="GC281" s="93"/>
      <c r="GD281" s="93"/>
      <c r="GE281" s="93"/>
      <c r="GF281" s="93"/>
      <c r="GG281" s="93"/>
      <c r="GH281" s="93"/>
      <c r="GI281" s="93"/>
      <c r="GJ281" s="93"/>
      <c r="GK281" s="93"/>
      <c r="GL281" s="93"/>
      <c r="GM281" s="93"/>
      <c r="GN281" s="93"/>
      <c r="GO281" s="93"/>
      <c r="GP281" s="93"/>
      <c r="GQ281" s="93"/>
      <c r="GR281" s="93"/>
      <c r="GS281" s="93"/>
      <c r="GT281" s="93"/>
      <c r="GU281" s="93"/>
      <c r="GV281" s="93"/>
      <c r="GW281" s="93"/>
      <c r="GX281" s="93"/>
      <c r="GY281" s="93"/>
      <c r="GZ281" s="93"/>
      <c r="HA281" s="93"/>
      <c r="HB281" s="93"/>
      <c r="HC281" s="93"/>
      <c r="HD281" s="93"/>
      <c r="HE281" s="93"/>
      <c r="HF281" s="93"/>
      <c r="HG281" s="93"/>
      <c r="HH281" s="93"/>
      <c r="HI281" s="93"/>
      <c r="HJ281" s="93"/>
      <c r="HK281" s="93"/>
      <c r="HL281" s="93"/>
      <c r="HM281" s="93"/>
      <c r="HN281" s="93"/>
      <c r="HO281" s="93"/>
      <c r="HP281" s="93"/>
      <c r="HQ281" s="93"/>
      <c r="HR281" s="93"/>
      <c r="HS281" s="93"/>
      <c r="HT281" s="93"/>
      <c r="HU281" s="93"/>
      <c r="HV281" s="93"/>
      <c r="HW281" s="93"/>
      <c r="HX281" s="93"/>
      <c r="HY281" s="93"/>
      <c r="HZ281" s="93"/>
      <c r="IA281" s="93"/>
      <c r="IB281" s="93"/>
      <c r="IC281" s="93"/>
      <c r="ID281" s="93"/>
      <c r="IE281" s="93"/>
      <c r="IF281" s="93"/>
      <c r="IG281" s="93"/>
      <c r="IH281" s="93"/>
      <c r="II281" s="93"/>
      <c r="IJ281" s="93"/>
      <c r="IK281" s="93"/>
      <c r="IL281" s="93"/>
      <c r="IM281" s="93"/>
      <c r="IN281" s="93"/>
      <c r="IO281" s="93"/>
      <c r="IP281" s="93"/>
      <c r="IQ281" s="93"/>
      <c r="IR281" s="93"/>
      <c r="IS281" s="93"/>
      <c r="IT281" s="93"/>
      <c r="IU281" s="93"/>
      <c r="IV281" s="93"/>
      <c r="IW281" s="93"/>
      <c r="IX281" s="93"/>
      <c r="IY281" s="93"/>
      <c r="IZ281" s="93"/>
    </row>
    <row r="282" spans="1:260" s="95" customFormat="1">
      <c r="A282" s="93"/>
      <c r="B282" s="183"/>
      <c r="C282" s="183"/>
      <c r="D282" s="183"/>
      <c r="E282" s="158"/>
      <c r="F282" s="158"/>
      <c r="G282" s="158"/>
      <c r="H282" s="158"/>
      <c r="I282" s="158"/>
      <c r="J282" s="158"/>
      <c r="K282" s="158"/>
      <c r="L282" s="158"/>
      <c r="M282" s="158"/>
      <c r="N282" s="158"/>
      <c r="O282" s="158"/>
      <c r="P282" s="228"/>
      <c r="Q282" s="158"/>
      <c r="R282" s="158"/>
      <c r="S282" s="207"/>
      <c r="T282" s="207"/>
      <c r="U282" s="207"/>
      <c r="V282" s="207"/>
      <c r="W282" s="207"/>
      <c r="X282" s="207"/>
      <c r="Y282" s="207"/>
      <c r="Z282" s="207"/>
      <c r="AA282" s="207"/>
      <c r="AB282" s="207"/>
      <c r="AC282" s="207"/>
      <c r="AD282" s="207"/>
      <c r="AE282" s="207"/>
      <c r="AF282" s="207"/>
      <c r="AG282" s="207"/>
      <c r="AH282" s="207"/>
      <c r="AI282" s="207"/>
      <c r="AJ282" s="207"/>
      <c r="AK282" s="207"/>
      <c r="AL282" s="207"/>
      <c r="AM282" s="94"/>
      <c r="AN282" s="94"/>
      <c r="AO282" s="94"/>
      <c r="AP282" s="94"/>
      <c r="AQ282" s="94"/>
      <c r="AR282" s="94"/>
      <c r="AS282" s="94"/>
      <c r="AT282" s="94"/>
      <c r="AU282" s="94"/>
      <c r="AV282" s="94"/>
      <c r="AW282" s="94"/>
      <c r="AX282" s="94"/>
      <c r="AY282" s="94"/>
      <c r="AZ282" s="93"/>
      <c r="BA282" s="93"/>
      <c r="BB282" s="93"/>
      <c r="BC282" s="93"/>
      <c r="BD282" s="93"/>
      <c r="BE282" s="93"/>
      <c r="BF282" s="93"/>
      <c r="BG282" s="93"/>
      <c r="BH282" s="93"/>
      <c r="BI282" s="93"/>
      <c r="BJ282" s="93"/>
      <c r="BK282" s="93"/>
      <c r="BL282" s="93"/>
      <c r="BM282" s="93"/>
      <c r="BN282" s="93"/>
      <c r="BO282" s="93"/>
      <c r="BP282" s="93"/>
      <c r="BQ282" s="93"/>
      <c r="BR282" s="93"/>
      <c r="BS282" s="93"/>
      <c r="BT282" s="93"/>
      <c r="BU282" s="93"/>
      <c r="BV282" s="93"/>
      <c r="BW282" s="93"/>
      <c r="BX282" s="93"/>
      <c r="BY282" s="93"/>
      <c r="BZ282" s="93"/>
      <c r="CA282" s="93"/>
      <c r="CB282" s="93"/>
      <c r="CC282" s="93"/>
      <c r="CD282" s="93"/>
      <c r="CE282" s="93"/>
      <c r="CF282" s="93"/>
      <c r="CG282" s="93"/>
      <c r="CH282" s="93"/>
      <c r="CI282" s="93"/>
      <c r="CJ282" s="93"/>
      <c r="CK282" s="93"/>
      <c r="CL282" s="93"/>
      <c r="CM282" s="93"/>
      <c r="CN282" s="93"/>
      <c r="CO282" s="93"/>
      <c r="CP282" s="93"/>
      <c r="CQ282" s="93"/>
      <c r="CR282" s="93"/>
      <c r="CS282" s="93"/>
      <c r="CT282" s="93"/>
      <c r="CU282" s="93"/>
      <c r="CV282" s="93"/>
      <c r="CW282" s="93"/>
      <c r="CX282" s="93"/>
      <c r="CY282" s="93"/>
      <c r="CZ282" s="93"/>
      <c r="DA282" s="93"/>
      <c r="DB282" s="93"/>
      <c r="DC282" s="93"/>
      <c r="DD282" s="93"/>
      <c r="DE282" s="93"/>
      <c r="DF282" s="93"/>
      <c r="DG282" s="93"/>
      <c r="DH282" s="93"/>
      <c r="DI282" s="93"/>
      <c r="DJ282" s="93"/>
      <c r="DK282" s="93"/>
      <c r="DL282" s="93"/>
      <c r="DM282" s="93"/>
      <c r="DN282" s="93"/>
      <c r="DO282" s="93"/>
      <c r="DP282" s="93"/>
      <c r="DQ282" s="93"/>
      <c r="DR282" s="93"/>
      <c r="DS282" s="93"/>
      <c r="DT282" s="93"/>
      <c r="DU282" s="93"/>
      <c r="DV282" s="93"/>
      <c r="DW282" s="93"/>
      <c r="DX282" s="93"/>
      <c r="DY282" s="93"/>
      <c r="DZ282" s="93"/>
      <c r="EA282" s="93"/>
      <c r="EB282" s="93"/>
      <c r="EC282" s="93"/>
      <c r="ED282" s="93"/>
      <c r="EE282" s="93"/>
      <c r="EF282" s="93"/>
      <c r="EG282" s="93"/>
      <c r="EH282" s="93"/>
      <c r="EI282" s="93"/>
      <c r="EJ282" s="93"/>
      <c r="EK282" s="93"/>
      <c r="EL282" s="93"/>
      <c r="EM282" s="93"/>
      <c r="EN282" s="93"/>
      <c r="EO282" s="93"/>
      <c r="EP282" s="93"/>
      <c r="EQ282" s="93"/>
      <c r="ER282" s="93"/>
      <c r="ES282" s="93"/>
      <c r="ET282" s="93"/>
      <c r="EU282" s="93"/>
      <c r="EV282" s="93"/>
      <c r="EW282" s="93"/>
      <c r="EX282" s="93"/>
      <c r="EY282" s="93"/>
      <c r="EZ282" s="93"/>
      <c r="FA282" s="93"/>
      <c r="FB282" s="93"/>
      <c r="FC282" s="93"/>
      <c r="FD282" s="93"/>
      <c r="FE282" s="93"/>
      <c r="FF282" s="93"/>
      <c r="FG282" s="93"/>
      <c r="FH282" s="93"/>
      <c r="FI282" s="93"/>
      <c r="FJ282" s="93"/>
      <c r="FK282" s="93"/>
      <c r="FL282" s="93"/>
      <c r="FM282" s="93"/>
      <c r="FN282" s="93"/>
      <c r="FO282" s="93"/>
      <c r="FP282" s="93"/>
      <c r="FQ282" s="93"/>
      <c r="FR282" s="93"/>
      <c r="FS282" s="93"/>
      <c r="FT282" s="93"/>
      <c r="FU282" s="93"/>
      <c r="FV282" s="93"/>
      <c r="FW282" s="93"/>
      <c r="FX282" s="93"/>
      <c r="FY282" s="93"/>
      <c r="FZ282" s="93"/>
      <c r="GA282" s="93"/>
      <c r="GB282" s="93"/>
      <c r="GC282" s="93"/>
      <c r="GD282" s="93"/>
      <c r="GE282" s="93"/>
      <c r="GF282" s="93"/>
      <c r="GG282" s="93"/>
      <c r="GH282" s="93"/>
      <c r="GI282" s="93"/>
      <c r="GJ282" s="93"/>
      <c r="GK282" s="93"/>
      <c r="GL282" s="93"/>
      <c r="GM282" s="93"/>
      <c r="GN282" s="93"/>
      <c r="GO282" s="93"/>
      <c r="GP282" s="93"/>
      <c r="GQ282" s="93"/>
      <c r="GR282" s="93"/>
      <c r="GS282" s="93"/>
      <c r="GT282" s="93"/>
      <c r="GU282" s="93"/>
      <c r="GV282" s="93"/>
      <c r="GW282" s="93"/>
      <c r="GX282" s="93"/>
      <c r="GY282" s="93"/>
      <c r="GZ282" s="93"/>
      <c r="HA282" s="93"/>
      <c r="HB282" s="93"/>
      <c r="HC282" s="93"/>
      <c r="HD282" s="93"/>
      <c r="HE282" s="93"/>
      <c r="HF282" s="93"/>
      <c r="HG282" s="93"/>
      <c r="HH282" s="93"/>
      <c r="HI282" s="93"/>
      <c r="HJ282" s="93"/>
      <c r="HK282" s="93"/>
      <c r="HL282" s="93"/>
      <c r="HM282" s="93"/>
      <c r="HN282" s="93"/>
      <c r="HO282" s="93"/>
      <c r="HP282" s="93"/>
      <c r="HQ282" s="93"/>
      <c r="HR282" s="93"/>
      <c r="HS282" s="93"/>
      <c r="HT282" s="93"/>
      <c r="HU282" s="93"/>
      <c r="HV282" s="93"/>
      <c r="HW282" s="93"/>
      <c r="HX282" s="93"/>
      <c r="HY282" s="93"/>
      <c r="HZ282" s="93"/>
      <c r="IA282" s="93"/>
      <c r="IB282" s="93"/>
      <c r="IC282" s="93"/>
      <c r="ID282" s="93"/>
      <c r="IE282" s="93"/>
      <c r="IF282" s="93"/>
      <c r="IG282" s="93"/>
      <c r="IH282" s="93"/>
      <c r="II282" s="93"/>
      <c r="IJ282" s="93"/>
      <c r="IK282" s="93"/>
      <c r="IL282" s="93"/>
      <c r="IM282" s="93"/>
      <c r="IN282" s="93"/>
      <c r="IO282" s="93"/>
      <c r="IP282" s="93"/>
      <c r="IQ282" s="93"/>
      <c r="IR282" s="93"/>
      <c r="IS282" s="93"/>
      <c r="IT282" s="93"/>
      <c r="IU282" s="93"/>
      <c r="IV282" s="93"/>
      <c r="IW282" s="93"/>
      <c r="IX282" s="93"/>
      <c r="IY282" s="93"/>
      <c r="IZ282" s="93"/>
    </row>
    <row r="283" spans="1:260" s="95" customFormat="1">
      <c r="A283" s="93"/>
      <c r="B283" s="183"/>
      <c r="C283" s="183"/>
      <c r="D283" s="183"/>
      <c r="E283" s="158"/>
      <c r="F283" s="158"/>
      <c r="G283" s="158"/>
      <c r="H283" s="158"/>
      <c r="I283" s="158"/>
      <c r="J283" s="158"/>
      <c r="K283" s="158"/>
      <c r="L283" s="158"/>
      <c r="M283" s="158"/>
      <c r="N283" s="158"/>
      <c r="O283" s="158"/>
      <c r="P283" s="228"/>
      <c r="Q283" s="158"/>
      <c r="R283" s="158"/>
      <c r="S283" s="207"/>
      <c r="T283" s="207"/>
      <c r="U283" s="207"/>
      <c r="V283" s="207"/>
      <c r="W283" s="207"/>
      <c r="X283" s="207"/>
      <c r="Y283" s="207"/>
      <c r="Z283" s="207"/>
      <c r="AA283" s="207"/>
      <c r="AB283" s="207"/>
      <c r="AC283" s="207"/>
      <c r="AD283" s="207"/>
      <c r="AE283" s="207"/>
      <c r="AF283" s="207"/>
      <c r="AG283" s="207"/>
      <c r="AH283" s="207"/>
      <c r="AI283" s="207"/>
      <c r="AJ283" s="207"/>
      <c r="AK283" s="207"/>
      <c r="AL283" s="207"/>
      <c r="AM283" s="94"/>
      <c r="AN283" s="94"/>
      <c r="AO283" s="94"/>
      <c r="AP283" s="94"/>
      <c r="AQ283" s="94"/>
      <c r="AR283" s="94"/>
      <c r="AS283" s="94"/>
      <c r="AT283" s="94"/>
      <c r="AU283" s="94"/>
      <c r="AV283" s="94"/>
      <c r="AW283" s="94"/>
      <c r="AX283" s="94"/>
      <c r="AY283" s="94"/>
      <c r="AZ283" s="93"/>
      <c r="BA283" s="93"/>
      <c r="BB283" s="93"/>
      <c r="BC283" s="93"/>
      <c r="BD283" s="93"/>
      <c r="BE283" s="93"/>
      <c r="BF283" s="93"/>
      <c r="BG283" s="93"/>
      <c r="BH283" s="93"/>
      <c r="BI283" s="93"/>
      <c r="BJ283" s="93"/>
      <c r="BK283" s="93"/>
      <c r="BL283" s="93"/>
      <c r="BM283" s="93"/>
      <c r="BN283" s="93"/>
      <c r="BO283" s="93"/>
      <c r="BP283" s="93"/>
      <c r="BQ283" s="93"/>
      <c r="BR283" s="93"/>
      <c r="BS283" s="93"/>
      <c r="BT283" s="93"/>
      <c r="BU283" s="93"/>
      <c r="BV283" s="93"/>
      <c r="BW283" s="93"/>
      <c r="BX283" s="93"/>
      <c r="BY283" s="93"/>
      <c r="BZ283" s="93"/>
      <c r="CA283" s="93"/>
      <c r="CB283" s="93"/>
      <c r="CC283" s="93"/>
      <c r="CD283" s="93"/>
      <c r="CE283" s="93"/>
      <c r="CF283" s="93"/>
      <c r="CG283" s="93"/>
      <c r="CH283" s="93"/>
      <c r="CI283" s="93"/>
      <c r="CJ283" s="93"/>
      <c r="CK283" s="93"/>
      <c r="CL283" s="93"/>
      <c r="CM283" s="93"/>
      <c r="CN283" s="93"/>
      <c r="CO283" s="93"/>
      <c r="CP283" s="93"/>
      <c r="CQ283" s="93"/>
      <c r="CR283" s="93"/>
      <c r="CS283" s="93"/>
      <c r="CT283" s="93"/>
      <c r="CU283" s="93"/>
      <c r="CV283" s="93"/>
      <c r="CW283" s="93"/>
      <c r="CX283" s="93"/>
      <c r="CY283" s="93"/>
      <c r="CZ283" s="93"/>
      <c r="DA283" s="93"/>
      <c r="DB283" s="93"/>
      <c r="DC283" s="93"/>
      <c r="DD283" s="93"/>
      <c r="DE283" s="93"/>
      <c r="DF283" s="93"/>
      <c r="DG283" s="93"/>
      <c r="DH283" s="93"/>
      <c r="DI283" s="93"/>
      <c r="DJ283" s="93"/>
      <c r="DK283" s="93"/>
      <c r="DL283" s="93"/>
      <c r="DM283" s="93"/>
      <c r="DN283" s="93"/>
      <c r="DO283" s="93"/>
      <c r="DP283" s="93"/>
      <c r="DQ283" s="93"/>
      <c r="DR283" s="93"/>
      <c r="DS283" s="93"/>
      <c r="DT283" s="93"/>
      <c r="DU283" s="93"/>
      <c r="DV283" s="93"/>
      <c r="DW283" s="93"/>
      <c r="DX283" s="93"/>
      <c r="DY283" s="93"/>
      <c r="DZ283" s="93"/>
      <c r="EA283" s="93"/>
      <c r="EB283" s="93"/>
      <c r="EC283" s="93"/>
      <c r="ED283" s="93"/>
      <c r="EE283" s="93"/>
      <c r="EF283" s="93"/>
      <c r="EG283" s="93"/>
      <c r="EH283" s="93"/>
      <c r="EI283" s="93"/>
      <c r="EJ283" s="93"/>
      <c r="EK283" s="93"/>
      <c r="EL283" s="93"/>
      <c r="EM283" s="93"/>
      <c r="EN283" s="93"/>
      <c r="EO283" s="93"/>
      <c r="EP283" s="93"/>
      <c r="EQ283" s="93"/>
      <c r="ER283" s="93"/>
      <c r="ES283" s="93"/>
      <c r="ET283" s="93"/>
      <c r="EU283" s="93"/>
      <c r="EV283" s="93"/>
      <c r="EW283" s="93"/>
      <c r="EX283" s="93"/>
      <c r="EY283" s="93"/>
      <c r="EZ283" s="93"/>
      <c r="FA283" s="93"/>
      <c r="FB283" s="93"/>
      <c r="FC283" s="93"/>
      <c r="FD283" s="93"/>
      <c r="FE283" s="93"/>
      <c r="FF283" s="93"/>
      <c r="FG283" s="93"/>
      <c r="FH283" s="93"/>
      <c r="FI283" s="93"/>
      <c r="FJ283" s="93"/>
      <c r="FK283" s="93"/>
      <c r="FL283" s="93"/>
      <c r="FM283" s="93"/>
      <c r="FN283" s="93"/>
      <c r="FO283" s="93"/>
      <c r="FP283" s="93"/>
      <c r="FQ283" s="93"/>
      <c r="FR283" s="93"/>
      <c r="FS283" s="93"/>
      <c r="FT283" s="93"/>
      <c r="FU283" s="93"/>
      <c r="FV283" s="93"/>
      <c r="FW283" s="93"/>
      <c r="FX283" s="93"/>
      <c r="FY283" s="93"/>
      <c r="FZ283" s="93"/>
      <c r="GA283" s="93"/>
      <c r="GB283" s="93"/>
      <c r="GC283" s="93"/>
      <c r="GD283" s="93"/>
      <c r="GE283" s="93"/>
      <c r="GF283" s="93"/>
      <c r="GG283" s="93"/>
      <c r="GH283" s="93"/>
      <c r="GI283" s="93"/>
      <c r="GJ283" s="93"/>
      <c r="GK283" s="93"/>
      <c r="GL283" s="93"/>
      <c r="GM283" s="93"/>
      <c r="GN283" s="93"/>
      <c r="GO283" s="93"/>
      <c r="GP283" s="93"/>
      <c r="GQ283" s="93"/>
      <c r="GR283" s="93"/>
      <c r="GS283" s="93"/>
      <c r="GT283" s="93"/>
      <c r="GU283" s="93"/>
      <c r="GV283" s="93"/>
      <c r="GW283" s="93"/>
      <c r="GX283" s="93"/>
      <c r="GY283" s="93"/>
      <c r="GZ283" s="93"/>
      <c r="HA283" s="93"/>
      <c r="HB283" s="93"/>
      <c r="HC283" s="93"/>
      <c r="HD283" s="93"/>
      <c r="HE283" s="93"/>
      <c r="HF283" s="93"/>
      <c r="HG283" s="93"/>
      <c r="HH283" s="93"/>
      <c r="HI283" s="93"/>
      <c r="HJ283" s="93"/>
      <c r="HK283" s="93"/>
      <c r="HL283" s="93"/>
      <c r="HM283" s="93"/>
      <c r="HN283" s="93"/>
      <c r="HO283" s="93"/>
      <c r="HP283" s="93"/>
      <c r="HQ283" s="93"/>
      <c r="HR283" s="93"/>
      <c r="HS283" s="93"/>
      <c r="HT283" s="93"/>
      <c r="HU283" s="93"/>
      <c r="HV283" s="93"/>
      <c r="HW283" s="93"/>
      <c r="HX283" s="93"/>
      <c r="HY283" s="93"/>
      <c r="HZ283" s="93"/>
      <c r="IA283" s="93"/>
      <c r="IB283" s="93"/>
      <c r="IC283" s="93"/>
      <c r="ID283" s="93"/>
      <c r="IE283" s="93"/>
      <c r="IF283" s="93"/>
      <c r="IG283" s="93"/>
      <c r="IH283" s="93"/>
      <c r="II283" s="93"/>
      <c r="IJ283" s="93"/>
      <c r="IK283" s="93"/>
      <c r="IL283" s="93"/>
      <c r="IM283" s="93"/>
      <c r="IN283" s="93"/>
      <c r="IO283" s="93"/>
      <c r="IP283" s="93"/>
      <c r="IQ283" s="93"/>
      <c r="IR283" s="93"/>
      <c r="IS283" s="93"/>
      <c r="IT283" s="93"/>
      <c r="IU283" s="93"/>
      <c r="IV283" s="93"/>
      <c r="IW283" s="93"/>
      <c r="IX283" s="93"/>
      <c r="IY283" s="93"/>
      <c r="IZ283" s="93"/>
    </row>
    <row r="284" spans="1:260" s="95" customFormat="1">
      <c r="A284" s="93"/>
      <c r="B284" s="183"/>
      <c r="C284" s="183"/>
      <c r="D284" s="183"/>
      <c r="E284" s="158"/>
      <c r="F284" s="158"/>
      <c r="G284" s="158"/>
      <c r="H284" s="158"/>
      <c r="I284" s="158"/>
      <c r="J284" s="158"/>
      <c r="K284" s="158"/>
      <c r="L284" s="158"/>
      <c r="M284" s="158"/>
      <c r="N284" s="158"/>
      <c r="O284" s="158"/>
      <c r="P284" s="228"/>
      <c r="Q284" s="158"/>
      <c r="R284" s="158"/>
      <c r="S284" s="207"/>
      <c r="T284" s="207"/>
      <c r="U284" s="207"/>
      <c r="V284" s="207"/>
      <c r="W284" s="207"/>
      <c r="X284" s="207"/>
      <c r="Y284" s="207"/>
      <c r="Z284" s="207"/>
      <c r="AA284" s="207"/>
      <c r="AB284" s="207"/>
      <c r="AC284" s="207"/>
      <c r="AD284" s="207"/>
      <c r="AE284" s="207"/>
      <c r="AF284" s="207"/>
      <c r="AG284" s="207"/>
      <c r="AH284" s="207"/>
      <c r="AI284" s="207"/>
      <c r="AJ284" s="207"/>
      <c r="AK284" s="207"/>
      <c r="AL284" s="207"/>
      <c r="AM284" s="94"/>
      <c r="AN284" s="94"/>
      <c r="AO284" s="94"/>
      <c r="AP284" s="94"/>
      <c r="AQ284" s="94"/>
      <c r="AR284" s="94"/>
      <c r="AS284" s="94"/>
      <c r="AT284" s="94"/>
      <c r="AU284" s="94"/>
      <c r="AV284" s="94"/>
      <c r="AW284" s="94"/>
      <c r="AX284" s="94"/>
      <c r="AY284" s="94"/>
      <c r="AZ284" s="93"/>
      <c r="BA284" s="93"/>
      <c r="BB284" s="93"/>
      <c r="BC284" s="93"/>
      <c r="BD284" s="93"/>
      <c r="BE284" s="93"/>
      <c r="BF284" s="93"/>
      <c r="BG284" s="93"/>
      <c r="BH284" s="93"/>
      <c r="BI284" s="93"/>
      <c r="BJ284" s="93"/>
      <c r="BK284" s="93"/>
      <c r="BL284" s="93"/>
      <c r="BM284" s="93"/>
      <c r="BN284" s="93"/>
      <c r="BO284" s="93"/>
      <c r="BP284" s="93"/>
      <c r="BQ284" s="93"/>
      <c r="BR284" s="93"/>
      <c r="BS284" s="93"/>
      <c r="BT284" s="93"/>
      <c r="BU284" s="93"/>
      <c r="BV284" s="93"/>
      <c r="BW284" s="93"/>
      <c r="BX284" s="93"/>
      <c r="BY284" s="93"/>
      <c r="BZ284" s="93"/>
      <c r="CA284" s="93"/>
      <c r="CB284" s="93"/>
      <c r="CC284" s="93"/>
      <c r="CD284" s="93"/>
      <c r="CE284" s="93"/>
      <c r="CF284" s="93"/>
      <c r="CG284" s="93"/>
      <c r="CH284" s="93"/>
      <c r="CI284" s="93"/>
      <c r="CJ284" s="93"/>
      <c r="CK284" s="93"/>
      <c r="CL284" s="93"/>
      <c r="CM284" s="93"/>
      <c r="CN284" s="93"/>
      <c r="CO284" s="93"/>
      <c r="CP284" s="93"/>
      <c r="CQ284" s="93"/>
      <c r="CR284" s="93"/>
      <c r="CS284" s="93"/>
      <c r="CT284" s="93"/>
      <c r="CU284" s="93"/>
      <c r="CV284" s="93"/>
      <c r="CW284" s="93"/>
      <c r="CX284" s="93"/>
      <c r="CY284" s="93"/>
      <c r="CZ284" s="93"/>
      <c r="DA284" s="93"/>
      <c r="DB284" s="93"/>
      <c r="DC284" s="93"/>
      <c r="DD284" s="93"/>
      <c r="DE284" s="93"/>
      <c r="DF284" s="93"/>
      <c r="DG284" s="93"/>
      <c r="DH284" s="93"/>
      <c r="DI284" s="93"/>
      <c r="DJ284" s="93"/>
      <c r="DK284" s="93"/>
      <c r="DL284" s="93"/>
      <c r="DM284" s="93"/>
      <c r="DN284" s="93"/>
      <c r="DO284" s="93"/>
      <c r="DP284" s="93"/>
      <c r="DQ284" s="93"/>
      <c r="DR284" s="93"/>
      <c r="DS284" s="93"/>
      <c r="DT284" s="93"/>
      <c r="DU284" s="93"/>
      <c r="DV284" s="93"/>
      <c r="DW284" s="93"/>
      <c r="DX284" s="93"/>
      <c r="DY284" s="93"/>
      <c r="DZ284" s="93"/>
      <c r="EA284" s="93"/>
      <c r="EB284" s="93"/>
      <c r="EC284" s="93"/>
      <c r="ED284" s="93"/>
      <c r="EE284" s="93"/>
      <c r="EF284" s="93"/>
      <c r="EG284" s="93"/>
      <c r="EH284" s="93"/>
      <c r="EI284" s="93"/>
      <c r="EJ284" s="93"/>
      <c r="EK284" s="93"/>
      <c r="EL284" s="93"/>
      <c r="EM284" s="93"/>
      <c r="EN284" s="93"/>
      <c r="EO284" s="93"/>
      <c r="EP284" s="93"/>
      <c r="EQ284" s="93"/>
      <c r="ER284" s="93"/>
      <c r="ES284" s="93"/>
      <c r="ET284" s="93"/>
      <c r="EU284" s="93"/>
      <c r="EV284" s="93"/>
      <c r="EW284" s="93"/>
      <c r="EX284" s="93"/>
      <c r="EY284" s="93"/>
      <c r="EZ284" s="93"/>
      <c r="FA284" s="93"/>
      <c r="FB284" s="93"/>
      <c r="FC284" s="93"/>
      <c r="FD284" s="93"/>
      <c r="FE284" s="93"/>
      <c r="FF284" s="93"/>
      <c r="FG284" s="93"/>
      <c r="FH284" s="93"/>
      <c r="FI284" s="93"/>
      <c r="FJ284" s="93"/>
      <c r="FK284" s="93"/>
      <c r="FL284" s="93"/>
      <c r="FM284" s="93"/>
      <c r="FN284" s="93"/>
      <c r="FO284" s="93"/>
      <c r="FP284" s="93"/>
      <c r="FQ284" s="93"/>
      <c r="FR284" s="93"/>
      <c r="FS284" s="93"/>
      <c r="FT284" s="93"/>
      <c r="FU284" s="93"/>
      <c r="FV284" s="93"/>
      <c r="FW284" s="93"/>
      <c r="FX284" s="93"/>
      <c r="FY284" s="93"/>
      <c r="FZ284" s="93"/>
      <c r="GA284" s="93"/>
      <c r="GB284" s="93"/>
      <c r="GC284" s="93"/>
      <c r="GD284" s="93"/>
      <c r="GE284" s="93"/>
      <c r="GF284" s="93"/>
      <c r="GG284" s="93"/>
      <c r="GH284" s="93"/>
      <c r="GI284" s="93"/>
      <c r="GJ284" s="93"/>
      <c r="GK284" s="93"/>
      <c r="GL284" s="93"/>
      <c r="GM284" s="93"/>
      <c r="GN284" s="93"/>
      <c r="GO284" s="93"/>
      <c r="GP284" s="93"/>
      <c r="GQ284" s="93"/>
      <c r="GR284" s="93"/>
      <c r="GS284" s="93"/>
      <c r="GT284" s="93"/>
      <c r="GU284" s="93"/>
      <c r="GV284" s="93"/>
      <c r="GW284" s="93"/>
      <c r="GX284" s="93"/>
      <c r="GY284" s="93"/>
      <c r="GZ284" s="93"/>
      <c r="HA284" s="93"/>
      <c r="HB284" s="93"/>
      <c r="HC284" s="93"/>
      <c r="HD284" s="93"/>
      <c r="HE284" s="93"/>
      <c r="HF284" s="93"/>
      <c r="HG284" s="93"/>
      <c r="HH284" s="93"/>
      <c r="HI284" s="93"/>
      <c r="HJ284" s="93"/>
      <c r="HK284" s="93"/>
      <c r="HL284" s="93"/>
      <c r="HM284" s="93"/>
      <c r="HN284" s="93"/>
      <c r="HO284" s="93"/>
      <c r="HP284" s="93"/>
      <c r="HQ284" s="93"/>
      <c r="HR284" s="93"/>
      <c r="HS284" s="93"/>
      <c r="HT284" s="93"/>
      <c r="HU284" s="93"/>
      <c r="HV284" s="93"/>
      <c r="HW284" s="93"/>
      <c r="HX284" s="93"/>
      <c r="HY284" s="93"/>
      <c r="HZ284" s="93"/>
      <c r="IA284" s="93"/>
      <c r="IB284" s="93"/>
      <c r="IC284" s="93"/>
      <c r="ID284" s="93"/>
      <c r="IE284" s="93"/>
      <c r="IF284" s="93"/>
      <c r="IG284" s="93"/>
      <c r="IH284" s="93"/>
      <c r="II284" s="93"/>
      <c r="IJ284" s="93"/>
      <c r="IK284" s="93"/>
      <c r="IL284" s="93"/>
      <c r="IM284" s="93"/>
      <c r="IN284" s="93"/>
      <c r="IO284" s="93"/>
      <c r="IP284" s="93"/>
      <c r="IQ284" s="93"/>
      <c r="IR284" s="93"/>
      <c r="IS284" s="93"/>
      <c r="IT284" s="93"/>
      <c r="IU284" s="93"/>
      <c r="IV284" s="93"/>
      <c r="IW284" s="93"/>
      <c r="IX284" s="93"/>
      <c r="IY284" s="93"/>
      <c r="IZ284" s="93"/>
    </row>
    <row r="285" spans="1:260" s="95" customFormat="1">
      <c r="A285" s="93"/>
      <c r="B285" s="183"/>
      <c r="C285" s="183"/>
      <c r="D285" s="183"/>
      <c r="E285" s="158"/>
      <c r="F285" s="158"/>
      <c r="G285" s="158"/>
      <c r="H285" s="158"/>
      <c r="I285" s="158"/>
      <c r="J285" s="158"/>
      <c r="K285" s="158"/>
      <c r="L285" s="158"/>
      <c r="M285" s="158"/>
      <c r="N285" s="158"/>
      <c r="O285" s="158"/>
      <c r="P285" s="228"/>
      <c r="Q285" s="158"/>
      <c r="R285" s="158"/>
      <c r="S285" s="207"/>
      <c r="T285" s="207"/>
      <c r="U285" s="207"/>
      <c r="V285" s="207"/>
      <c r="W285" s="207"/>
      <c r="X285" s="207"/>
      <c r="Y285" s="207"/>
      <c r="Z285" s="207"/>
      <c r="AA285" s="207"/>
      <c r="AB285" s="207"/>
      <c r="AC285" s="207"/>
      <c r="AD285" s="207"/>
      <c r="AE285" s="207"/>
      <c r="AF285" s="207"/>
      <c r="AG285" s="207"/>
      <c r="AH285" s="207"/>
      <c r="AI285" s="207"/>
      <c r="AJ285" s="207"/>
      <c r="AK285" s="207"/>
      <c r="AL285" s="207"/>
      <c r="AM285" s="94"/>
      <c r="AN285" s="94"/>
      <c r="AO285" s="94"/>
      <c r="AP285" s="94"/>
      <c r="AQ285" s="94"/>
      <c r="AR285" s="94"/>
      <c r="AS285" s="94"/>
      <c r="AT285" s="94"/>
      <c r="AU285" s="94"/>
      <c r="AV285" s="94"/>
      <c r="AW285" s="94"/>
      <c r="AX285" s="94"/>
      <c r="AY285" s="94"/>
      <c r="AZ285" s="93"/>
      <c r="BA285" s="93"/>
      <c r="BB285" s="93"/>
      <c r="BC285" s="93"/>
      <c r="BD285" s="93"/>
      <c r="BE285" s="93"/>
      <c r="BF285" s="93"/>
      <c r="BG285" s="93"/>
      <c r="BH285" s="93"/>
      <c r="BI285" s="93"/>
      <c r="BJ285" s="93"/>
      <c r="BK285" s="93"/>
      <c r="BL285" s="93"/>
      <c r="BM285" s="93"/>
      <c r="BN285" s="93"/>
      <c r="BO285" s="93"/>
      <c r="BP285" s="93"/>
      <c r="BQ285" s="93"/>
      <c r="BR285" s="93"/>
      <c r="BS285" s="93"/>
      <c r="BT285" s="93"/>
      <c r="BU285" s="93"/>
      <c r="BV285" s="93"/>
      <c r="BW285" s="93"/>
      <c r="BX285" s="93"/>
      <c r="BY285" s="93"/>
      <c r="BZ285" s="93"/>
      <c r="CA285" s="93"/>
      <c r="CB285" s="93"/>
      <c r="CC285" s="93"/>
      <c r="CD285" s="93"/>
      <c r="CE285" s="93"/>
      <c r="CF285" s="93"/>
      <c r="CG285" s="93"/>
      <c r="CH285" s="93"/>
      <c r="CI285" s="93"/>
      <c r="CJ285" s="93"/>
      <c r="CK285" s="93"/>
      <c r="CL285" s="93"/>
      <c r="CM285" s="93"/>
      <c r="CN285" s="93"/>
      <c r="CO285" s="93"/>
      <c r="CP285" s="93"/>
      <c r="CQ285" s="93"/>
      <c r="CR285" s="93"/>
      <c r="CS285" s="93"/>
      <c r="CT285" s="93"/>
      <c r="CU285" s="93"/>
      <c r="CV285" s="93"/>
      <c r="CW285" s="93"/>
      <c r="CX285" s="93"/>
      <c r="CY285" s="93"/>
      <c r="CZ285" s="93"/>
      <c r="DA285" s="93"/>
      <c r="DB285" s="93"/>
      <c r="DC285" s="93"/>
      <c r="DD285" s="93"/>
      <c r="DE285" s="93"/>
      <c r="DF285" s="93"/>
      <c r="DG285" s="93"/>
      <c r="DH285" s="93"/>
      <c r="DI285" s="93"/>
      <c r="DJ285" s="93"/>
      <c r="DK285" s="93"/>
      <c r="DL285" s="93"/>
      <c r="DM285" s="93"/>
      <c r="DN285" s="93"/>
      <c r="DO285" s="93"/>
      <c r="DP285" s="93"/>
      <c r="DQ285" s="93"/>
      <c r="DR285" s="93"/>
      <c r="DS285" s="93"/>
      <c r="DT285" s="93"/>
      <c r="DU285" s="93"/>
      <c r="DV285" s="93"/>
      <c r="DW285" s="93"/>
      <c r="DX285" s="93"/>
      <c r="DY285" s="93"/>
      <c r="DZ285" s="93"/>
      <c r="EA285" s="93"/>
      <c r="EB285" s="93"/>
      <c r="EC285" s="93"/>
      <c r="ED285" s="93"/>
      <c r="EE285" s="93"/>
      <c r="EF285" s="93"/>
      <c r="EG285" s="93"/>
      <c r="EH285" s="93"/>
      <c r="EI285" s="93"/>
      <c r="EJ285" s="93"/>
      <c r="EK285" s="93"/>
      <c r="EL285" s="93"/>
      <c r="EM285" s="93"/>
      <c r="EN285" s="93"/>
      <c r="EO285" s="93"/>
      <c r="EP285" s="93"/>
      <c r="EQ285" s="93"/>
      <c r="ER285" s="93"/>
      <c r="ES285" s="93"/>
      <c r="ET285" s="93"/>
      <c r="EU285" s="93"/>
      <c r="EV285" s="93"/>
      <c r="EW285" s="93"/>
      <c r="EX285" s="93"/>
      <c r="EY285" s="93"/>
      <c r="EZ285" s="93"/>
      <c r="FA285" s="93"/>
      <c r="FB285" s="93"/>
      <c r="FC285" s="93"/>
      <c r="FD285" s="93"/>
      <c r="FE285" s="93"/>
      <c r="FF285" s="93"/>
      <c r="FG285" s="93"/>
      <c r="FH285" s="93"/>
      <c r="FI285" s="93"/>
      <c r="FJ285" s="93"/>
      <c r="FK285" s="93"/>
      <c r="FL285" s="93"/>
      <c r="FM285" s="93"/>
      <c r="FN285" s="93"/>
      <c r="FO285" s="93"/>
      <c r="FP285" s="93"/>
      <c r="FQ285" s="93"/>
      <c r="FR285" s="93"/>
      <c r="FS285" s="93"/>
      <c r="FT285" s="93"/>
      <c r="FU285" s="93"/>
      <c r="FV285" s="93"/>
      <c r="FW285" s="93"/>
      <c r="FX285" s="93"/>
      <c r="FY285" s="93"/>
      <c r="FZ285" s="93"/>
      <c r="GA285" s="93"/>
      <c r="GB285" s="93"/>
      <c r="GC285" s="93"/>
      <c r="GD285" s="93"/>
      <c r="GE285" s="93"/>
      <c r="GF285" s="93"/>
      <c r="GG285" s="93"/>
      <c r="GH285" s="93"/>
      <c r="GI285" s="93"/>
      <c r="GJ285" s="93"/>
      <c r="GK285" s="93"/>
      <c r="GL285" s="93"/>
      <c r="GM285" s="93"/>
      <c r="GN285" s="93"/>
      <c r="GO285" s="93"/>
      <c r="GP285" s="93"/>
      <c r="GQ285" s="93"/>
      <c r="GR285" s="93"/>
      <c r="GS285" s="93"/>
      <c r="GT285" s="93"/>
      <c r="GU285" s="93"/>
      <c r="GV285" s="93"/>
      <c r="GW285" s="93"/>
      <c r="GX285" s="93"/>
      <c r="GY285" s="93"/>
      <c r="GZ285" s="93"/>
      <c r="HA285" s="93"/>
      <c r="HB285" s="93"/>
      <c r="HC285" s="93"/>
      <c r="HD285" s="93"/>
      <c r="HE285" s="93"/>
      <c r="HF285" s="93"/>
      <c r="HG285" s="93"/>
      <c r="HH285" s="93"/>
      <c r="HI285" s="93"/>
      <c r="HJ285" s="93"/>
      <c r="HK285" s="93"/>
      <c r="HL285" s="93"/>
      <c r="HM285" s="93"/>
      <c r="HN285" s="93"/>
      <c r="HO285" s="93"/>
      <c r="HP285" s="93"/>
      <c r="HQ285" s="93"/>
      <c r="HR285" s="93"/>
      <c r="HS285" s="93"/>
      <c r="HT285" s="93"/>
      <c r="HU285" s="93"/>
      <c r="HV285" s="93"/>
      <c r="HW285" s="93"/>
      <c r="HX285" s="93"/>
      <c r="HY285" s="93"/>
      <c r="HZ285" s="93"/>
      <c r="IA285" s="93"/>
      <c r="IB285" s="93"/>
      <c r="IC285" s="93"/>
      <c r="ID285" s="93"/>
      <c r="IE285" s="93"/>
      <c r="IF285" s="93"/>
      <c r="IG285" s="93"/>
      <c r="IH285" s="93"/>
      <c r="II285" s="93"/>
      <c r="IJ285" s="93"/>
      <c r="IK285" s="93"/>
      <c r="IL285" s="93"/>
      <c r="IM285" s="93"/>
      <c r="IN285" s="93"/>
      <c r="IO285" s="93"/>
      <c r="IP285" s="93"/>
      <c r="IQ285" s="93"/>
      <c r="IR285" s="93"/>
      <c r="IS285" s="93"/>
      <c r="IT285" s="93"/>
      <c r="IU285" s="93"/>
      <c r="IV285" s="93"/>
      <c r="IW285" s="93"/>
      <c r="IX285" s="93"/>
      <c r="IY285" s="93"/>
      <c r="IZ285" s="93"/>
    </row>
    <row r="286" spans="1:260" s="95" customFormat="1">
      <c r="A286" s="93"/>
      <c r="B286" s="183"/>
      <c r="C286" s="183"/>
      <c r="D286" s="183"/>
      <c r="E286" s="158"/>
      <c r="F286" s="158"/>
      <c r="G286" s="158"/>
      <c r="H286" s="158"/>
      <c r="I286" s="158"/>
      <c r="J286" s="158"/>
      <c r="K286" s="158"/>
      <c r="L286" s="158"/>
      <c r="M286" s="158"/>
      <c r="N286" s="158"/>
      <c r="O286" s="158"/>
      <c r="P286" s="228"/>
      <c r="Q286" s="158"/>
      <c r="R286" s="158"/>
      <c r="S286" s="207"/>
      <c r="T286" s="207"/>
      <c r="U286" s="207"/>
      <c r="V286" s="207"/>
      <c r="W286" s="207"/>
      <c r="X286" s="207"/>
      <c r="Y286" s="207"/>
      <c r="Z286" s="207"/>
      <c r="AA286" s="207"/>
      <c r="AB286" s="207"/>
      <c r="AC286" s="207"/>
      <c r="AD286" s="207"/>
      <c r="AE286" s="207"/>
      <c r="AF286" s="207"/>
      <c r="AG286" s="207"/>
      <c r="AH286" s="207"/>
      <c r="AI286" s="207"/>
      <c r="AJ286" s="207"/>
      <c r="AK286" s="207"/>
      <c r="AL286" s="207"/>
      <c r="AM286" s="94"/>
      <c r="AN286" s="94"/>
      <c r="AO286" s="94"/>
      <c r="AP286" s="94"/>
      <c r="AQ286" s="94"/>
      <c r="AR286" s="94"/>
      <c r="AS286" s="94"/>
      <c r="AT286" s="94"/>
      <c r="AU286" s="94"/>
      <c r="AV286" s="94"/>
      <c r="AW286" s="94"/>
      <c r="AX286" s="94"/>
      <c r="AY286" s="94"/>
      <c r="AZ286" s="93"/>
      <c r="BA286" s="93"/>
      <c r="BB286" s="93"/>
      <c r="BC286" s="93"/>
      <c r="BD286" s="93"/>
      <c r="BE286" s="93"/>
      <c r="BF286" s="93"/>
      <c r="BG286" s="93"/>
      <c r="BH286" s="93"/>
      <c r="BI286" s="93"/>
      <c r="BJ286" s="93"/>
      <c r="BK286" s="93"/>
      <c r="BL286" s="93"/>
      <c r="BM286" s="93"/>
      <c r="BN286" s="93"/>
      <c r="BO286" s="93"/>
      <c r="BP286" s="93"/>
      <c r="BQ286" s="93"/>
      <c r="BR286" s="93"/>
      <c r="BS286" s="93"/>
      <c r="BT286" s="93"/>
      <c r="BU286" s="93"/>
      <c r="BV286" s="93"/>
      <c r="BW286" s="93"/>
      <c r="BX286" s="93"/>
      <c r="BY286" s="93"/>
      <c r="BZ286" s="93"/>
      <c r="CA286" s="93"/>
      <c r="CB286" s="93"/>
      <c r="CC286" s="93"/>
      <c r="CD286" s="93"/>
      <c r="CE286" s="93"/>
      <c r="CF286" s="93"/>
      <c r="CG286" s="93"/>
      <c r="CH286" s="93"/>
      <c r="CI286" s="93"/>
      <c r="CJ286" s="93"/>
      <c r="CK286" s="93"/>
      <c r="CL286" s="93"/>
      <c r="CM286" s="93"/>
      <c r="CN286" s="93"/>
      <c r="CO286" s="93"/>
      <c r="CP286" s="93"/>
      <c r="CQ286" s="93"/>
      <c r="CR286" s="93"/>
      <c r="CS286" s="93"/>
      <c r="CT286" s="93"/>
      <c r="CU286" s="93"/>
      <c r="CV286" s="93"/>
      <c r="CW286" s="93"/>
      <c r="CX286" s="93"/>
      <c r="CY286" s="93"/>
      <c r="CZ286" s="93"/>
      <c r="DA286" s="93"/>
      <c r="DB286" s="93"/>
      <c r="DC286" s="93"/>
      <c r="DD286" s="93"/>
      <c r="DE286" s="93"/>
      <c r="DF286" s="93"/>
      <c r="DG286" s="93"/>
      <c r="DH286" s="93"/>
      <c r="DI286" s="93"/>
      <c r="DJ286" s="93"/>
      <c r="DK286" s="93"/>
      <c r="DL286" s="93"/>
      <c r="DM286" s="93"/>
      <c r="DN286" s="93"/>
      <c r="DO286" s="93"/>
      <c r="DP286" s="93"/>
      <c r="DQ286" s="93"/>
      <c r="DR286" s="93"/>
      <c r="DS286" s="93"/>
      <c r="DT286" s="93"/>
      <c r="DU286" s="93"/>
      <c r="DV286" s="93"/>
      <c r="DW286" s="93"/>
      <c r="DX286" s="93"/>
      <c r="DY286" s="93"/>
      <c r="DZ286" s="93"/>
      <c r="EA286" s="93"/>
      <c r="EB286" s="93"/>
      <c r="EC286" s="93"/>
      <c r="ED286" s="93"/>
      <c r="EE286" s="93"/>
      <c r="EF286" s="93"/>
      <c r="EG286" s="93"/>
      <c r="EH286" s="93"/>
      <c r="EI286" s="93"/>
      <c r="EJ286" s="93"/>
      <c r="EK286" s="93"/>
      <c r="EL286" s="93"/>
      <c r="EM286" s="93"/>
      <c r="EN286" s="93"/>
      <c r="EO286" s="93"/>
      <c r="EP286" s="93"/>
      <c r="EQ286" s="93"/>
      <c r="ER286" s="93"/>
      <c r="ES286" s="93"/>
      <c r="ET286" s="93"/>
      <c r="EU286" s="93"/>
      <c r="EV286" s="93"/>
      <c r="EW286" s="93"/>
      <c r="EX286" s="93"/>
      <c r="EY286" s="93"/>
      <c r="EZ286" s="93"/>
      <c r="FA286" s="93"/>
      <c r="FB286" s="93"/>
      <c r="FC286" s="93"/>
      <c r="FD286" s="93"/>
      <c r="FE286" s="93"/>
      <c r="FF286" s="93"/>
      <c r="FG286" s="93"/>
      <c r="FH286" s="93"/>
      <c r="FI286" s="93"/>
      <c r="FJ286" s="93"/>
      <c r="FK286" s="93"/>
      <c r="FL286" s="93"/>
      <c r="FM286" s="93"/>
      <c r="FN286" s="93"/>
      <c r="FO286" s="93"/>
      <c r="FP286" s="93"/>
      <c r="FQ286" s="93"/>
      <c r="FR286" s="93"/>
      <c r="FS286" s="93"/>
      <c r="FT286" s="93"/>
      <c r="FU286" s="93"/>
      <c r="FV286" s="93"/>
      <c r="FW286" s="93"/>
      <c r="FX286" s="93"/>
      <c r="FY286" s="93"/>
      <c r="FZ286" s="93"/>
      <c r="GA286" s="93"/>
      <c r="GB286" s="93"/>
      <c r="GC286" s="93"/>
      <c r="GD286" s="93"/>
      <c r="GE286" s="93"/>
      <c r="GF286" s="93"/>
      <c r="GG286" s="93"/>
      <c r="GH286" s="93"/>
      <c r="GI286" s="93"/>
      <c r="GJ286" s="93"/>
      <c r="GK286" s="93"/>
      <c r="GL286" s="93"/>
      <c r="GM286" s="93"/>
      <c r="GN286" s="93"/>
      <c r="GO286" s="93"/>
      <c r="GP286" s="93"/>
      <c r="GQ286" s="93"/>
      <c r="GR286" s="93"/>
      <c r="GS286" s="93"/>
      <c r="GT286" s="93"/>
      <c r="GU286" s="93"/>
      <c r="GV286" s="93"/>
      <c r="GW286" s="93"/>
      <c r="GX286" s="93"/>
      <c r="GY286" s="93"/>
      <c r="GZ286" s="93"/>
      <c r="HA286" s="93"/>
      <c r="HB286" s="93"/>
      <c r="HC286" s="93"/>
      <c r="HD286" s="93"/>
      <c r="HE286" s="93"/>
      <c r="HF286" s="93"/>
      <c r="HG286" s="93"/>
      <c r="HH286" s="93"/>
      <c r="HI286" s="93"/>
      <c r="HJ286" s="93"/>
      <c r="HK286" s="93"/>
      <c r="HL286" s="93"/>
      <c r="HM286" s="93"/>
      <c r="HN286" s="93"/>
      <c r="HO286" s="93"/>
      <c r="HP286" s="93"/>
      <c r="HQ286" s="93"/>
      <c r="HR286" s="93"/>
      <c r="HS286" s="93"/>
      <c r="HT286" s="93"/>
      <c r="HU286" s="93"/>
      <c r="HV286" s="93"/>
      <c r="HW286" s="93"/>
      <c r="HX286" s="93"/>
      <c r="HY286" s="93"/>
      <c r="HZ286" s="93"/>
      <c r="IA286" s="93"/>
      <c r="IB286" s="93"/>
      <c r="IC286" s="93"/>
      <c r="ID286" s="93"/>
      <c r="IE286" s="93"/>
      <c r="IF286" s="93"/>
      <c r="IG286" s="93"/>
      <c r="IH286" s="93"/>
      <c r="II286" s="93"/>
      <c r="IJ286" s="93"/>
      <c r="IK286" s="93"/>
      <c r="IL286" s="93"/>
      <c r="IM286" s="93"/>
      <c r="IN286" s="93"/>
      <c r="IO286" s="93"/>
      <c r="IP286" s="93"/>
      <c r="IQ286" s="93"/>
      <c r="IR286" s="93"/>
      <c r="IS286" s="93"/>
      <c r="IT286" s="93"/>
      <c r="IU286" s="93"/>
      <c r="IV286" s="93"/>
      <c r="IW286" s="93"/>
      <c r="IX286" s="93"/>
      <c r="IY286" s="93"/>
      <c r="IZ286" s="93"/>
    </row>
    <row r="287" spans="1:260" s="95" customFormat="1">
      <c r="A287" s="93"/>
      <c r="B287" s="183"/>
      <c r="C287" s="183"/>
      <c r="D287" s="183"/>
      <c r="E287" s="158"/>
      <c r="F287" s="158"/>
      <c r="G287" s="158"/>
      <c r="H287" s="158"/>
      <c r="I287" s="158"/>
      <c r="J287" s="158"/>
      <c r="K287" s="158"/>
      <c r="L287" s="158"/>
      <c r="M287" s="158"/>
      <c r="N287" s="158"/>
      <c r="O287" s="158"/>
      <c r="P287" s="228"/>
      <c r="Q287" s="158"/>
      <c r="R287" s="158"/>
      <c r="S287" s="207"/>
      <c r="T287" s="207"/>
      <c r="U287" s="207"/>
      <c r="V287" s="207"/>
      <c r="W287" s="207"/>
      <c r="X287" s="207"/>
      <c r="Y287" s="207"/>
      <c r="Z287" s="207"/>
      <c r="AA287" s="207"/>
      <c r="AB287" s="207"/>
      <c r="AC287" s="207"/>
      <c r="AD287" s="207"/>
      <c r="AE287" s="207"/>
      <c r="AF287" s="207"/>
      <c r="AG287" s="207"/>
      <c r="AH287" s="207"/>
      <c r="AI287" s="207"/>
      <c r="AJ287" s="207"/>
      <c r="AK287" s="207"/>
      <c r="AL287" s="207"/>
      <c r="AM287" s="94"/>
      <c r="AN287" s="94"/>
      <c r="AO287" s="94"/>
      <c r="AP287" s="94"/>
      <c r="AQ287" s="94"/>
      <c r="AR287" s="94"/>
      <c r="AS287" s="94"/>
      <c r="AT287" s="94"/>
      <c r="AU287" s="94"/>
      <c r="AV287" s="94"/>
      <c r="AW287" s="94"/>
      <c r="AX287" s="94"/>
      <c r="AY287" s="94"/>
      <c r="AZ287" s="93"/>
      <c r="BA287" s="93"/>
      <c r="BB287" s="93"/>
      <c r="BC287" s="93"/>
      <c r="BD287" s="93"/>
      <c r="BE287" s="93"/>
      <c r="BF287" s="93"/>
      <c r="BG287" s="93"/>
      <c r="BH287" s="93"/>
      <c r="BI287" s="93"/>
      <c r="BJ287" s="93"/>
      <c r="BK287" s="93"/>
      <c r="BL287" s="93"/>
      <c r="BM287" s="93"/>
      <c r="BN287" s="93"/>
      <c r="BO287" s="93"/>
      <c r="BP287" s="93"/>
      <c r="BQ287" s="93"/>
      <c r="BR287" s="93"/>
      <c r="BS287" s="93"/>
      <c r="BT287" s="93"/>
      <c r="BU287" s="93"/>
      <c r="BV287" s="93"/>
      <c r="BW287" s="93"/>
      <c r="BX287" s="93"/>
      <c r="BY287" s="93"/>
      <c r="BZ287" s="93"/>
      <c r="CA287" s="93"/>
      <c r="CB287" s="93"/>
      <c r="CC287" s="93"/>
      <c r="CD287" s="93"/>
      <c r="CE287" s="93"/>
      <c r="CF287" s="93"/>
      <c r="CG287" s="93"/>
      <c r="CH287" s="93"/>
      <c r="CI287" s="93"/>
      <c r="CJ287" s="93"/>
      <c r="CK287" s="93"/>
      <c r="CL287" s="93"/>
      <c r="CM287" s="93"/>
      <c r="CN287" s="93"/>
      <c r="CO287" s="93"/>
      <c r="CP287" s="93"/>
      <c r="CQ287" s="93"/>
      <c r="CR287" s="93"/>
      <c r="CS287" s="93"/>
      <c r="CT287" s="93"/>
      <c r="CU287" s="93"/>
      <c r="CV287" s="93"/>
      <c r="CW287" s="93"/>
      <c r="CX287" s="93"/>
      <c r="CY287" s="93"/>
      <c r="CZ287" s="93"/>
      <c r="DA287" s="93"/>
      <c r="DB287" s="93"/>
      <c r="DC287" s="93"/>
      <c r="DD287" s="93"/>
      <c r="DE287" s="93"/>
      <c r="DF287" s="93"/>
      <c r="DG287" s="93"/>
      <c r="DH287" s="93"/>
      <c r="DI287" s="93"/>
      <c r="DJ287" s="93"/>
      <c r="DK287" s="93"/>
      <c r="DL287" s="93"/>
      <c r="DM287" s="93"/>
      <c r="DN287" s="93"/>
      <c r="DO287" s="93"/>
      <c r="DP287" s="93"/>
      <c r="DQ287" s="93"/>
      <c r="DR287" s="93"/>
      <c r="DS287" s="93"/>
      <c r="DT287" s="93"/>
      <c r="DU287" s="93"/>
      <c r="DV287" s="93"/>
      <c r="DW287" s="93"/>
      <c r="DX287" s="93"/>
      <c r="DY287" s="93"/>
      <c r="DZ287" s="93"/>
      <c r="EA287" s="93"/>
      <c r="EB287" s="93"/>
      <c r="EC287" s="93"/>
      <c r="ED287" s="93"/>
      <c r="EE287" s="93"/>
      <c r="EF287" s="93"/>
      <c r="EG287" s="93"/>
      <c r="EH287" s="93"/>
      <c r="EI287" s="93"/>
      <c r="EJ287" s="93"/>
      <c r="EK287" s="93"/>
      <c r="EL287" s="93"/>
      <c r="EM287" s="93"/>
      <c r="EN287" s="93"/>
      <c r="EO287" s="93"/>
      <c r="EP287" s="93"/>
      <c r="EQ287" s="93"/>
      <c r="ER287" s="93"/>
      <c r="ES287" s="93"/>
      <c r="ET287" s="93"/>
      <c r="EU287" s="93"/>
      <c r="EV287" s="93"/>
      <c r="EW287" s="93"/>
      <c r="EX287" s="93"/>
      <c r="EY287" s="93"/>
      <c r="EZ287" s="93"/>
      <c r="FA287" s="93"/>
      <c r="FB287" s="93"/>
      <c r="FC287" s="93"/>
      <c r="FD287" s="93"/>
      <c r="FE287" s="93"/>
      <c r="FF287" s="93"/>
      <c r="FG287" s="93"/>
      <c r="FH287" s="93"/>
      <c r="FI287" s="93"/>
      <c r="FJ287" s="93"/>
      <c r="FK287" s="93"/>
      <c r="FL287" s="93"/>
      <c r="FM287" s="93"/>
      <c r="FN287" s="93"/>
      <c r="FO287" s="93"/>
      <c r="FP287" s="93"/>
      <c r="FQ287" s="93"/>
      <c r="FR287" s="93"/>
      <c r="FS287" s="93"/>
      <c r="FT287" s="93"/>
      <c r="FU287" s="93"/>
      <c r="FV287" s="93"/>
      <c r="FW287" s="93"/>
      <c r="FX287" s="93"/>
      <c r="FY287" s="93"/>
      <c r="FZ287" s="93"/>
      <c r="GA287" s="93"/>
      <c r="GB287" s="93"/>
      <c r="GC287" s="93"/>
      <c r="GD287" s="93"/>
      <c r="GE287" s="93"/>
      <c r="GF287" s="93"/>
      <c r="GG287" s="93"/>
      <c r="GH287" s="93"/>
      <c r="GI287" s="93"/>
      <c r="GJ287" s="93"/>
      <c r="GK287" s="93"/>
      <c r="GL287" s="93"/>
      <c r="GM287" s="93"/>
      <c r="GN287" s="93"/>
      <c r="GO287" s="93"/>
      <c r="GP287" s="93"/>
      <c r="GQ287" s="93"/>
      <c r="GR287" s="93"/>
      <c r="GS287" s="93"/>
      <c r="GT287" s="93"/>
      <c r="GU287" s="93"/>
      <c r="GV287" s="93"/>
      <c r="GW287" s="93"/>
      <c r="GX287" s="93"/>
      <c r="GY287" s="93"/>
      <c r="GZ287" s="93"/>
      <c r="HA287" s="93"/>
      <c r="HB287" s="93"/>
      <c r="HC287" s="93"/>
      <c r="HD287" s="93"/>
      <c r="HE287" s="93"/>
      <c r="HF287" s="93"/>
      <c r="HG287" s="93"/>
      <c r="HH287" s="93"/>
      <c r="HI287" s="93"/>
      <c r="HJ287" s="93"/>
      <c r="HK287" s="93"/>
      <c r="HL287" s="93"/>
      <c r="HM287" s="93"/>
      <c r="HN287" s="93"/>
      <c r="HO287" s="93"/>
      <c r="HP287" s="93"/>
      <c r="HQ287" s="93"/>
      <c r="HR287" s="93"/>
      <c r="HS287" s="93"/>
      <c r="HT287" s="93"/>
      <c r="HU287" s="93"/>
      <c r="HV287" s="93"/>
      <c r="HW287" s="93"/>
      <c r="HX287" s="93"/>
      <c r="HY287" s="93"/>
      <c r="HZ287" s="93"/>
      <c r="IA287" s="93"/>
      <c r="IB287" s="93"/>
      <c r="IC287" s="93"/>
      <c r="ID287" s="93"/>
      <c r="IE287" s="93"/>
      <c r="IF287" s="93"/>
      <c r="IG287" s="93"/>
      <c r="IH287" s="93"/>
      <c r="II287" s="93"/>
      <c r="IJ287" s="93"/>
      <c r="IK287" s="93"/>
      <c r="IL287" s="93"/>
      <c r="IM287" s="93"/>
      <c r="IN287" s="93"/>
      <c r="IO287" s="93"/>
      <c r="IP287" s="93"/>
      <c r="IQ287" s="93"/>
      <c r="IR287" s="93"/>
      <c r="IS287" s="93"/>
      <c r="IT287" s="93"/>
      <c r="IU287" s="93"/>
      <c r="IV287" s="93"/>
      <c r="IW287" s="93"/>
      <c r="IX287" s="93"/>
      <c r="IY287" s="93"/>
      <c r="IZ287" s="93"/>
    </row>
    <row r="288" spans="1:260" s="95" customFormat="1">
      <c r="A288" s="93"/>
      <c r="B288" s="183"/>
      <c r="C288" s="183"/>
      <c r="D288" s="183"/>
      <c r="E288" s="158"/>
      <c r="F288" s="158"/>
      <c r="G288" s="158"/>
      <c r="H288" s="158"/>
      <c r="I288" s="158"/>
      <c r="J288" s="158"/>
      <c r="K288" s="158"/>
      <c r="L288" s="158"/>
      <c r="M288" s="158"/>
      <c r="N288" s="158"/>
      <c r="O288" s="158"/>
      <c r="P288" s="228"/>
      <c r="Q288" s="158"/>
      <c r="R288" s="158"/>
      <c r="S288" s="207"/>
      <c r="T288" s="207"/>
      <c r="U288" s="207"/>
      <c r="V288" s="207"/>
      <c r="W288" s="207"/>
      <c r="X288" s="207"/>
      <c r="Y288" s="207"/>
      <c r="Z288" s="207"/>
      <c r="AA288" s="207"/>
      <c r="AB288" s="207"/>
      <c r="AC288" s="207"/>
      <c r="AD288" s="207"/>
      <c r="AE288" s="207"/>
      <c r="AF288" s="207"/>
      <c r="AG288" s="207"/>
      <c r="AH288" s="207"/>
      <c r="AI288" s="207"/>
      <c r="AJ288" s="207"/>
      <c r="AK288" s="207"/>
      <c r="AL288" s="207"/>
      <c r="AM288" s="94"/>
      <c r="AN288" s="94"/>
      <c r="AO288" s="94"/>
      <c r="AP288" s="94"/>
      <c r="AQ288" s="94"/>
      <c r="AR288" s="94"/>
      <c r="AS288" s="94"/>
      <c r="AT288" s="94"/>
      <c r="AU288" s="94"/>
      <c r="AV288" s="94"/>
      <c r="AW288" s="94"/>
      <c r="AX288" s="94"/>
      <c r="AY288" s="94"/>
      <c r="AZ288" s="93"/>
      <c r="BA288" s="93"/>
      <c r="BB288" s="93"/>
      <c r="BC288" s="93"/>
      <c r="BD288" s="93"/>
      <c r="BE288" s="93"/>
      <c r="BF288" s="93"/>
      <c r="BG288" s="93"/>
      <c r="BH288" s="93"/>
      <c r="BI288" s="93"/>
      <c r="BJ288" s="93"/>
      <c r="BK288" s="93"/>
      <c r="BL288" s="93"/>
      <c r="BM288" s="93"/>
      <c r="BN288" s="93"/>
      <c r="BO288" s="93"/>
      <c r="BP288" s="93"/>
      <c r="BQ288" s="93"/>
      <c r="BR288" s="93"/>
      <c r="BS288" s="93"/>
      <c r="BT288" s="93"/>
      <c r="BU288" s="93"/>
      <c r="BV288" s="93"/>
      <c r="BW288" s="93"/>
      <c r="BX288" s="93"/>
      <c r="BY288" s="93"/>
      <c r="BZ288" s="93"/>
      <c r="CA288" s="93"/>
      <c r="CB288" s="93"/>
      <c r="CC288" s="93"/>
      <c r="CD288" s="93"/>
      <c r="CE288" s="93"/>
      <c r="CF288" s="93"/>
      <c r="CG288" s="93"/>
      <c r="CH288" s="93"/>
      <c r="CI288" s="93"/>
      <c r="CJ288" s="93"/>
      <c r="CK288" s="93"/>
      <c r="CL288" s="93"/>
      <c r="CM288" s="93"/>
      <c r="CN288" s="93"/>
      <c r="CO288" s="93"/>
      <c r="CP288" s="93"/>
      <c r="CQ288" s="93"/>
      <c r="CR288" s="93"/>
      <c r="CS288" s="93"/>
      <c r="CT288" s="93"/>
      <c r="CU288" s="93"/>
      <c r="CV288" s="93"/>
      <c r="CW288" s="93"/>
      <c r="CX288" s="93"/>
      <c r="CY288" s="93"/>
      <c r="CZ288" s="93"/>
      <c r="DA288" s="93"/>
      <c r="DB288" s="93"/>
      <c r="DC288" s="93"/>
      <c r="DD288" s="93"/>
      <c r="DE288" s="93"/>
      <c r="DF288" s="93"/>
      <c r="DG288" s="93"/>
      <c r="DH288" s="93"/>
      <c r="DI288" s="93"/>
      <c r="DJ288" s="93"/>
      <c r="DK288" s="93"/>
      <c r="DL288" s="93"/>
      <c r="DM288" s="93"/>
      <c r="DN288" s="93"/>
      <c r="DO288" s="93"/>
      <c r="DP288" s="93"/>
      <c r="DQ288" s="93"/>
      <c r="DR288" s="93"/>
      <c r="DS288" s="93"/>
      <c r="DT288" s="93"/>
      <c r="DU288" s="93"/>
      <c r="DV288" s="93"/>
      <c r="DW288" s="93"/>
      <c r="DX288" s="93"/>
      <c r="DY288" s="93"/>
      <c r="DZ288" s="93"/>
      <c r="EA288" s="93"/>
      <c r="EB288" s="93"/>
      <c r="EC288" s="93"/>
      <c r="ED288" s="93"/>
      <c r="EE288" s="93"/>
      <c r="EF288" s="93"/>
      <c r="EG288" s="93"/>
      <c r="EH288" s="93"/>
      <c r="EI288" s="93"/>
      <c r="EJ288" s="93"/>
      <c r="EK288" s="93"/>
      <c r="EL288" s="93"/>
      <c r="EM288" s="93"/>
      <c r="EN288" s="93"/>
      <c r="EO288" s="93"/>
      <c r="EP288" s="93"/>
      <c r="EQ288" s="93"/>
      <c r="ER288" s="93"/>
      <c r="ES288" s="93"/>
      <c r="ET288" s="93"/>
      <c r="EU288" s="93"/>
      <c r="EV288" s="93"/>
      <c r="EW288" s="93"/>
      <c r="EX288" s="93"/>
      <c r="EY288" s="93"/>
      <c r="EZ288" s="93"/>
      <c r="FA288" s="93"/>
      <c r="FB288" s="93"/>
      <c r="FC288" s="93"/>
      <c r="FD288" s="93"/>
      <c r="FE288" s="93"/>
      <c r="FF288" s="93"/>
      <c r="FG288" s="93"/>
      <c r="FH288" s="93"/>
      <c r="FI288" s="93"/>
      <c r="FJ288" s="93"/>
      <c r="FK288" s="93"/>
      <c r="FL288" s="93"/>
      <c r="FM288" s="93"/>
      <c r="FN288" s="93"/>
      <c r="FO288" s="93"/>
      <c r="FP288" s="93"/>
      <c r="FQ288" s="93"/>
      <c r="FR288" s="93"/>
      <c r="FS288" s="93"/>
      <c r="FT288" s="93"/>
      <c r="FU288" s="93"/>
      <c r="FV288" s="93"/>
      <c r="FW288" s="93"/>
      <c r="FX288" s="93"/>
      <c r="FY288" s="93"/>
      <c r="FZ288" s="93"/>
      <c r="GA288" s="93"/>
      <c r="GB288" s="93"/>
      <c r="GC288" s="93"/>
      <c r="GD288" s="93"/>
      <c r="GE288" s="93"/>
      <c r="GF288" s="93"/>
      <c r="GG288" s="93"/>
      <c r="GH288" s="93"/>
      <c r="GI288" s="93"/>
      <c r="GJ288" s="93"/>
      <c r="GK288" s="93"/>
      <c r="GL288" s="93"/>
      <c r="GM288" s="93"/>
      <c r="GN288" s="93"/>
      <c r="GO288" s="93"/>
      <c r="GP288" s="93"/>
      <c r="GQ288" s="93"/>
      <c r="GR288" s="93"/>
      <c r="GS288" s="93"/>
      <c r="GT288" s="93"/>
      <c r="GU288" s="93"/>
      <c r="GV288" s="93"/>
      <c r="GW288" s="93"/>
      <c r="GX288" s="93"/>
      <c r="GY288" s="93"/>
      <c r="GZ288" s="93"/>
      <c r="HA288" s="93"/>
      <c r="HB288" s="93"/>
      <c r="HC288" s="93"/>
      <c r="HD288" s="93"/>
      <c r="HE288" s="93"/>
      <c r="HF288" s="93"/>
      <c r="HG288" s="93"/>
      <c r="HH288" s="93"/>
      <c r="HI288" s="93"/>
      <c r="HJ288" s="93"/>
      <c r="HK288" s="93"/>
      <c r="HL288" s="93"/>
      <c r="HM288" s="93"/>
      <c r="HN288" s="93"/>
      <c r="HO288" s="93"/>
      <c r="HP288" s="93"/>
      <c r="HQ288" s="93"/>
      <c r="HR288" s="93"/>
      <c r="HS288" s="93"/>
      <c r="HT288" s="93"/>
      <c r="HU288" s="93"/>
      <c r="HV288" s="93"/>
      <c r="HW288" s="93"/>
      <c r="HX288" s="93"/>
      <c r="HY288" s="93"/>
      <c r="HZ288" s="93"/>
      <c r="IA288" s="93"/>
      <c r="IB288" s="93"/>
      <c r="IC288" s="93"/>
      <c r="ID288" s="93"/>
      <c r="IE288" s="93"/>
      <c r="IF288" s="93"/>
      <c r="IG288" s="93"/>
      <c r="IH288" s="93"/>
      <c r="II288" s="93"/>
      <c r="IJ288" s="93"/>
      <c r="IK288" s="93"/>
      <c r="IL288" s="93"/>
      <c r="IM288" s="93"/>
      <c r="IN288" s="93"/>
      <c r="IO288" s="93"/>
      <c r="IP288" s="93"/>
      <c r="IQ288" s="93"/>
      <c r="IR288" s="93"/>
      <c r="IS288" s="93"/>
      <c r="IT288" s="93"/>
      <c r="IU288" s="93"/>
      <c r="IV288" s="93"/>
      <c r="IW288" s="93"/>
      <c r="IX288" s="93"/>
      <c r="IY288" s="93"/>
      <c r="IZ288" s="93"/>
    </row>
    <row r="289" spans="1:260" s="95" customFormat="1">
      <c r="A289" s="93"/>
      <c r="B289" s="183"/>
      <c r="C289" s="183"/>
      <c r="D289" s="183"/>
      <c r="E289" s="158"/>
      <c r="F289" s="158"/>
      <c r="G289" s="158"/>
      <c r="H289" s="158"/>
      <c r="I289" s="158"/>
      <c r="J289" s="158"/>
      <c r="K289" s="158"/>
      <c r="L289" s="158"/>
      <c r="M289" s="158"/>
      <c r="N289" s="158"/>
      <c r="O289" s="158"/>
      <c r="P289" s="228"/>
      <c r="Q289" s="158"/>
      <c r="R289" s="158"/>
      <c r="S289" s="207"/>
      <c r="T289" s="207"/>
      <c r="U289" s="207"/>
      <c r="V289" s="207"/>
      <c r="W289" s="207"/>
      <c r="X289" s="207"/>
      <c r="Y289" s="207"/>
      <c r="Z289" s="207"/>
      <c r="AA289" s="207"/>
      <c r="AB289" s="207"/>
      <c r="AC289" s="207"/>
      <c r="AD289" s="207"/>
      <c r="AE289" s="207"/>
      <c r="AF289" s="207"/>
      <c r="AG289" s="207"/>
      <c r="AH289" s="207"/>
      <c r="AI289" s="207"/>
      <c r="AJ289" s="207"/>
      <c r="AK289" s="207"/>
      <c r="AL289" s="207"/>
      <c r="AM289" s="94"/>
      <c r="AN289" s="94"/>
      <c r="AO289" s="94"/>
      <c r="AP289" s="94"/>
      <c r="AQ289" s="94"/>
      <c r="AR289" s="94"/>
      <c r="AS289" s="94"/>
      <c r="AT289" s="94"/>
      <c r="AU289" s="94"/>
      <c r="AV289" s="94"/>
      <c r="AW289" s="94"/>
      <c r="AX289" s="94"/>
      <c r="AY289" s="94"/>
      <c r="AZ289" s="93"/>
      <c r="BA289" s="93"/>
      <c r="BB289" s="93"/>
      <c r="BC289" s="93"/>
      <c r="BD289" s="93"/>
      <c r="BE289" s="93"/>
      <c r="BF289" s="93"/>
      <c r="BG289" s="93"/>
      <c r="BH289" s="93"/>
      <c r="BI289" s="93"/>
      <c r="BJ289" s="93"/>
      <c r="BK289" s="93"/>
      <c r="BL289" s="93"/>
      <c r="BM289" s="93"/>
      <c r="BN289" s="93"/>
      <c r="BO289" s="93"/>
      <c r="BP289" s="93"/>
      <c r="BQ289" s="93"/>
      <c r="BR289" s="93"/>
      <c r="BS289" s="93"/>
      <c r="BT289" s="93"/>
      <c r="BU289" s="93"/>
      <c r="BV289" s="93"/>
      <c r="BW289" s="93"/>
      <c r="BX289" s="93"/>
      <c r="BY289" s="93"/>
      <c r="BZ289" s="93"/>
      <c r="CA289" s="93"/>
      <c r="CB289" s="93"/>
      <c r="CC289" s="93"/>
      <c r="CD289" s="93"/>
      <c r="CE289" s="93"/>
      <c r="CF289" s="93"/>
      <c r="CG289" s="93"/>
      <c r="CH289" s="93"/>
      <c r="CI289" s="93"/>
      <c r="CJ289" s="93"/>
      <c r="CK289" s="93"/>
      <c r="CL289" s="93"/>
      <c r="CM289" s="93"/>
      <c r="CN289" s="93"/>
      <c r="CO289" s="93"/>
      <c r="CP289" s="93"/>
      <c r="CQ289" s="93"/>
      <c r="CR289" s="93"/>
      <c r="CS289" s="93"/>
      <c r="CT289" s="93"/>
      <c r="CU289" s="93"/>
      <c r="CV289" s="93"/>
      <c r="CW289" s="93"/>
      <c r="CX289" s="93"/>
      <c r="CY289" s="93"/>
      <c r="CZ289" s="93"/>
      <c r="DA289" s="93"/>
      <c r="DB289" s="93"/>
      <c r="DC289" s="93"/>
      <c r="DD289" s="93"/>
      <c r="DE289" s="93"/>
      <c r="DF289" s="93"/>
      <c r="DG289" s="93"/>
      <c r="DH289" s="93"/>
      <c r="DI289" s="93"/>
      <c r="DJ289" s="93"/>
      <c r="DK289" s="93"/>
      <c r="DL289" s="93"/>
      <c r="DM289" s="93"/>
      <c r="DN289" s="93"/>
      <c r="DO289" s="93"/>
      <c r="DP289" s="93"/>
      <c r="DQ289" s="93"/>
      <c r="DR289" s="93"/>
      <c r="DS289" s="93"/>
      <c r="DT289" s="93"/>
      <c r="DU289" s="93"/>
      <c r="DV289" s="93"/>
      <c r="DW289" s="93"/>
      <c r="DX289" s="93"/>
      <c r="DY289" s="93"/>
      <c r="DZ289" s="93"/>
      <c r="EA289" s="93"/>
      <c r="EB289" s="93"/>
      <c r="EC289" s="93"/>
      <c r="ED289" s="93"/>
      <c r="EE289" s="93"/>
      <c r="EF289" s="93"/>
      <c r="EG289" s="93"/>
      <c r="EH289" s="93"/>
      <c r="EI289" s="93"/>
      <c r="EJ289" s="93"/>
      <c r="EK289" s="93"/>
      <c r="EL289" s="93"/>
      <c r="EM289" s="93"/>
      <c r="EN289" s="93"/>
      <c r="EO289" s="93"/>
      <c r="EP289" s="93"/>
      <c r="EQ289" s="93"/>
      <c r="ER289" s="93"/>
      <c r="ES289" s="93"/>
      <c r="ET289" s="93"/>
      <c r="EU289" s="93"/>
      <c r="EV289" s="93"/>
      <c r="EW289" s="93"/>
      <c r="EX289" s="93"/>
      <c r="EY289" s="93"/>
      <c r="EZ289" s="93"/>
      <c r="FA289" s="93"/>
      <c r="FB289" s="93"/>
      <c r="FC289" s="93"/>
      <c r="FD289" s="93"/>
      <c r="FE289" s="93"/>
      <c r="FF289" s="93"/>
      <c r="FG289" s="93"/>
      <c r="FH289" s="93"/>
      <c r="FI289" s="93"/>
      <c r="FJ289" s="93"/>
      <c r="FK289" s="93"/>
      <c r="FL289" s="93"/>
      <c r="FM289" s="93"/>
      <c r="FN289" s="93"/>
      <c r="FO289" s="93"/>
      <c r="FP289" s="93"/>
      <c r="FQ289" s="93"/>
      <c r="FR289" s="93"/>
      <c r="FS289" s="93"/>
      <c r="FT289" s="93"/>
      <c r="FU289" s="93"/>
      <c r="FV289" s="93"/>
      <c r="FW289" s="93"/>
      <c r="FX289" s="93"/>
      <c r="FY289" s="93"/>
      <c r="FZ289" s="93"/>
      <c r="GA289" s="93"/>
      <c r="GB289" s="93"/>
      <c r="GC289" s="93"/>
      <c r="GD289" s="93"/>
      <c r="GE289" s="93"/>
      <c r="GF289" s="93"/>
      <c r="GG289" s="93"/>
      <c r="GH289" s="93"/>
      <c r="GI289" s="93"/>
      <c r="GJ289" s="93"/>
      <c r="GK289" s="93"/>
      <c r="GL289" s="93"/>
      <c r="GM289" s="93"/>
      <c r="GN289" s="93"/>
      <c r="GO289" s="93"/>
      <c r="GP289" s="93"/>
      <c r="GQ289" s="93"/>
      <c r="GR289" s="93"/>
      <c r="GS289" s="93"/>
      <c r="GT289" s="93"/>
      <c r="GU289" s="93"/>
      <c r="GV289" s="93"/>
      <c r="GW289" s="93"/>
      <c r="GX289" s="93"/>
      <c r="GY289" s="93"/>
      <c r="GZ289" s="93"/>
      <c r="HA289" s="93"/>
      <c r="HB289" s="93"/>
      <c r="HC289" s="93"/>
      <c r="HD289" s="93"/>
      <c r="HE289" s="93"/>
      <c r="HF289" s="93"/>
      <c r="HG289" s="93"/>
      <c r="HH289" s="93"/>
      <c r="HI289" s="93"/>
      <c r="HJ289" s="93"/>
      <c r="HK289" s="93"/>
      <c r="HL289" s="93"/>
      <c r="HM289" s="93"/>
      <c r="HN289" s="93"/>
      <c r="HO289" s="93"/>
      <c r="HP289" s="93"/>
      <c r="HQ289" s="93"/>
      <c r="HR289" s="93"/>
      <c r="HS289" s="93"/>
      <c r="HT289" s="93"/>
      <c r="HU289" s="93"/>
      <c r="HV289" s="93"/>
      <c r="HW289" s="93"/>
      <c r="HX289" s="93"/>
      <c r="HY289" s="93"/>
      <c r="HZ289" s="93"/>
      <c r="IA289" s="93"/>
      <c r="IB289" s="93"/>
      <c r="IC289" s="93"/>
      <c r="ID289" s="93"/>
      <c r="IE289" s="93"/>
      <c r="IF289" s="93"/>
      <c r="IG289" s="93"/>
      <c r="IH289" s="93"/>
      <c r="II289" s="93"/>
      <c r="IJ289" s="93"/>
      <c r="IK289" s="93"/>
      <c r="IL289" s="93"/>
      <c r="IM289" s="93"/>
      <c r="IN289" s="93"/>
      <c r="IO289" s="93"/>
      <c r="IP289" s="93"/>
      <c r="IQ289" s="93"/>
      <c r="IR289" s="93"/>
      <c r="IS289" s="93"/>
      <c r="IT289" s="93"/>
      <c r="IU289" s="93"/>
      <c r="IV289" s="93"/>
      <c r="IW289" s="93"/>
      <c r="IX289" s="93"/>
      <c r="IY289" s="93"/>
      <c r="IZ289" s="93"/>
    </row>
    <row r="290" spans="1:260" s="95" customFormat="1">
      <c r="A290" s="93"/>
      <c r="B290" s="183"/>
      <c r="C290" s="183"/>
      <c r="D290" s="183"/>
      <c r="E290" s="158"/>
      <c r="F290" s="158"/>
      <c r="G290" s="158"/>
      <c r="H290" s="158"/>
      <c r="I290" s="158"/>
      <c r="J290" s="158"/>
      <c r="K290" s="158"/>
      <c r="L290" s="158"/>
      <c r="M290" s="158"/>
      <c r="N290" s="158"/>
      <c r="O290" s="158"/>
      <c r="P290" s="228"/>
      <c r="Q290" s="158"/>
      <c r="R290" s="158"/>
      <c r="S290" s="207"/>
      <c r="T290" s="207"/>
      <c r="U290" s="207"/>
      <c r="V290" s="207"/>
      <c r="W290" s="207"/>
      <c r="X290" s="207"/>
      <c r="Y290" s="207"/>
      <c r="Z290" s="207"/>
      <c r="AA290" s="207"/>
      <c r="AB290" s="207"/>
      <c r="AC290" s="207"/>
      <c r="AD290" s="207"/>
      <c r="AE290" s="207"/>
      <c r="AF290" s="207"/>
      <c r="AG290" s="207"/>
      <c r="AH290" s="207"/>
      <c r="AI290" s="207"/>
      <c r="AJ290" s="207"/>
      <c r="AK290" s="207"/>
      <c r="AL290" s="207"/>
      <c r="AM290" s="94"/>
      <c r="AN290" s="94"/>
      <c r="AO290" s="94"/>
      <c r="AP290" s="94"/>
      <c r="AQ290" s="94"/>
      <c r="AR290" s="94"/>
      <c r="AS290" s="94"/>
      <c r="AT290" s="94"/>
      <c r="AU290" s="94"/>
      <c r="AV290" s="94"/>
      <c r="AW290" s="94"/>
      <c r="AX290" s="94"/>
      <c r="AY290" s="94"/>
      <c r="AZ290" s="93"/>
      <c r="BA290" s="93"/>
      <c r="BB290" s="93"/>
      <c r="BC290" s="93"/>
      <c r="BD290" s="93"/>
      <c r="BE290" s="93"/>
      <c r="BF290" s="93"/>
      <c r="BG290" s="93"/>
      <c r="BH290" s="93"/>
      <c r="BI290" s="93"/>
      <c r="BJ290" s="93"/>
      <c r="BK290" s="93"/>
      <c r="BL290" s="93"/>
      <c r="BM290" s="93"/>
      <c r="BN290" s="93"/>
      <c r="BO290" s="93"/>
      <c r="BP290" s="93"/>
      <c r="BQ290" s="93"/>
      <c r="BR290" s="93"/>
      <c r="BS290" s="93"/>
      <c r="BT290" s="93"/>
      <c r="BU290" s="93"/>
      <c r="BV290" s="93"/>
      <c r="BW290" s="93"/>
      <c r="BX290" s="93"/>
      <c r="BY290" s="93"/>
      <c r="BZ290" s="93"/>
      <c r="CA290" s="93"/>
      <c r="CB290" s="93"/>
      <c r="CC290" s="93"/>
      <c r="CD290" s="93"/>
      <c r="CE290" s="93"/>
      <c r="CF290" s="93"/>
      <c r="CG290" s="93"/>
      <c r="CH290" s="93"/>
      <c r="CI290" s="93"/>
      <c r="CJ290" s="93"/>
      <c r="CK290" s="93"/>
      <c r="CL290" s="93"/>
      <c r="CM290" s="93"/>
      <c r="CN290" s="93"/>
      <c r="CO290" s="93"/>
      <c r="CP290" s="93"/>
      <c r="CQ290" s="93"/>
      <c r="CR290" s="93"/>
      <c r="CS290" s="93"/>
      <c r="CT290" s="93"/>
      <c r="CU290" s="93"/>
      <c r="CV290" s="93"/>
      <c r="CW290" s="93"/>
      <c r="CX290" s="93"/>
      <c r="CY290" s="93"/>
      <c r="CZ290" s="93"/>
      <c r="DA290" s="93"/>
      <c r="DB290" s="93"/>
      <c r="DC290" s="93"/>
      <c r="DD290" s="93"/>
      <c r="DE290" s="93"/>
      <c r="DF290" s="93"/>
      <c r="DG290" s="93"/>
      <c r="DH290" s="93"/>
      <c r="DI290" s="93"/>
      <c r="DJ290" s="93"/>
      <c r="DK290" s="93"/>
      <c r="DL290" s="93"/>
      <c r="DM290" s="93"/>
      <c r="DN290" s="93"/>
      <c r="DO290" s="93"/>
      <c r="DP290" s="93"/>
      <c r="DQ290" s="93"/>
      <c r="DR290" s="93"/>
      <c r="DS290" s="93"/>
      <c r="DT290" s="93"/>
      <c r="DU290" s="93"/>
      <c r="DV290" s="93"/>
      <c r="DW290" s="93"/>
      <c r="DX290" s="93"/>
      <c r="DY290" s="93"/>
      <c r="DZ290" s="93"/>
      <c r="EA290" s="93"/>
      <c r="EB290" s="93"/>
      <c r="EC290" s="93"/>
      <c r="ED290" s="93"/>
      <c r="EE290" s="93"/>
      <c r="EF290" s="93"/>
      <c r="EG290" s="93"/>
      <c r="EH290" s="93"/>
      <c r="EI290" s="93"/>
      <c r="EJ290" s="93"/>
      <c r="EK290" s="93"/>
      <c r="EL290" s="93"/>
      <c r="EM290" s="93"/>
      <c r="EN290" s="93"/>
      <c r="EO290" s="93"/>
      <c r="EP290" s="93"/>
      <c r="EQ290" s="93"/>
      <c r="ER290" s="93"/>
      <c r="ES290" s="93"/>
      <c r="ET290" s="93"/>
      <c r="EU290" s="93"/>
      <c r="EV290" s="93"/>
      <c r="EW290" s="93"/>
      <c r="EX290" s="93"/>
      <c r="EY290" s="93"/>
      <c r="EZ290" s="93"/>
      <c r="FA290" s="93"/>
      <c r="FB290" s="93"/>
      <c r="FC290" s="93"/>
      <c r="FD290" s="93"/>
      <c r="FE290" s="93"/>
      <c r="FF290" s="93"/>
      <c r="FG290" s="93"/>
      <c r="FH290" s="93"/>
      <c r="FI290" s="93"/>
      <c r="FJ290" s="93"/>
      <c r="FK290" s="93"/>
      <c r="FL290" s="93"/>
      <c r="FM290" s="93"/>
      <c r="FN290" s="93"/>
      <c r="FO290" s="93"/>
      <c r="FP290" s="93"/>
      <c r="FQ290" s="93"/>
      <c r="FR290" s="93"/>
      <c r="FS290" s="93"/>
      <c r="FT290" s="93"/>
      <c r="FU290" s="93"/>
      <c r="FV290" s="93"/>
      <c r="FW290" s="93"/>
      <c r="FX290" s="93"/>
      <c r="FY290" s="93"/>
      <c r="FZ290" s="93"/>
      <c r="GA290" s="93"/>
      <c r="GB290" s="93"/>
      <c r="GC290" s="93"/>
      <c r="GD290" s="93"/>
      <c r="GE290" s="93"/>
      <c r="GF290" s="93"/>
      <c r="GG290" s="93"/>
      <c r="GH290" s="93"/>
      <c r="GI290" s="93"/>
      <c r="GJ290" s="93"/>
      <c r="GK290" s="93"/>
      <c r="GL290" s="93"/>
      <c r="GM290" s="93"/>
      <c r="GN290" s="93"/>
      <c r="GO290" s="93"/>
      <c r="GP290" s="93"/>
      <c r="GQ290" s="93"/>
      <c r="GR290" s="93"/>
      <c r="GS290" s="93"/>
      <c r="GT290" s="93"/>
      <c r="GU290" s="93"/>
      <c r="GV290" s="93"/>
      <c r="GW290" s="93"/>
      <c r="GX290" s="93"/>
      <c r="GY290" s="93"/>
      <c r="GZ290" s="93"/>
      <c r="HA290" s="93"/>
      <c r="HB290" s="93"/>
      <c r="HC290" s="93"/>
      <c r="HD290" s="93"/>
      <c r="HE290" s="93"/>
      <c r="HF290" s="93"/>
      <c r="HG290" s="93"/>
      <c r="HH290" s="93"/>
      <c r="HI290" s="93"/>
      <c r="HJ290" s="93"/>
      <c r="HK290" s="93"/>
      <c r="HL290" s="93"/>
      <c r="HM290" s="93"/>
      <c r="HN290" s="93"/>
      <c r="HO290" s="93"/>
      <c r="HP290" s="93"/>
      <c r="HQ290" s="93"/>
      <c r="HR290" s="93"/>
      <c r="HS290" s="93"/>
      <c r="HT290" s="93"/>
      <c r="HU290" s="93"/>
      <c r="HV290" s="93"/>
      <c r="HW290" s="93"/>
      <c r="HX290" s="93"/>
      <c r="HY290" s="93"/>
      <c r="HZ290" s="93"/>
      <c r="IA290" s="93"/>
      <c r="IB290" s="93"/>
      <c r="IC290" s="93"/>
      <c r="ID290" s="93"/>
      <c r="IE290" s="93"/>
      <c r="IF290" s="93"/>
      <c r="IG290" s="93"/>
      <c r="IH290" s="93"/>
      <c r="II290" s="93"/>
      <c r="IJ290" s="93"/>
      <c r="IK290" s="93"/>
      <c r="IL290" s="93"/>
      <c r="IM290" s="93"/>
      <c r="IN290" s="93"/>
      <c r="IO290" s="93"/>
      <c r="IP290" s="93"/>
      <c r="IQ290" s="93"/>
      <c r="IR290" s="93"/>
      <c r="IS290" s="93"/>
      <c r="IT290" s="93"/>
      <c r="IU290" s="93"/>
      <c r="IV290" s="93"/>
      <c r="IW290" s="93"/>
      <c r="IX290" s="93"/>
      <c r="IY290" s="93"/>
      <c r="IZ290" s="93"/>
    </row>
    <row r="291" spans="1:260" s="95" customFormat="1">
      <c r="A291" s="93"/>
      <c r="B291" s="183"/>
      <c r="C291" s="183"/>
      <c r="D291" s="183"/>
      <c r="E291" s="158"/>
      <c r="F291" s="158"/>
      <c r="G291" s="158"/>
      <c r="H291" s="158"/>
      <c r="I291" s="158"/>
      <c r="J291" s="158"/>
      <c r="K291" s="158"/>
      <c r="L291" s="158"/>
      <c r="M291" s="158"/>
      <c r="N291" s="158"/>
      <c r="O291" s="158"/>
      <c r="P291" s="228"/>
      <c r="Q291" s="158"/>
      <c r="R291" s="158"/>
      <c r="S291" s="207"/>
      <c r="T291" s="207"/>
      <c r="U291" s="207"/>
      <c r="V291" s="207"/>
      <c r="W291" s="207"/>
      <c r="X291" s="207"/>
      <c r="Y291" s="207"/>
      <c r="Z291" s="207"/>
      <c r="AA291" s="207"/>
      <c r="AB291" s="207"/>
      <c r="AC291" s="207"/>
      <c r="AD291" s="207"/>
      <c r="AE291" s="207"/>
      <c r="AF291" s="207"/>
      <c r="AG291" s="207"/>
      <c r="AH291" s="207"/>
      <c r="AI291" s="207"/>
      <c r="AJ291" s="207"/>
      <c r="AK291" s="207"/>
      <c r="AL291" s="207"/>
      <c r="AM291" s="94"/>
      <c r="AN291" s="94"/>
      <c r="AO291" s="94"/>
      <c r="AP291" s="94"/>
      <c r="AQ291" s="94"/>
      <c r="AR291" s="94"/>
      <c r="AS291" s="94"/>
      <c r="AT291" s="94"/>
      <c r="AU291" s="94"/>
      <c r="AV291" s="94"/>
      <c r="AW291" s="94"/>
      <c r="AX291" s="94"/>
      <c r="AY291" s="94"/>
      <c r="AZ291" s="93"/>
      <c r="BA291" s="93"/>
      <c r="BB291" s="93"/>
      <c r="BC291" s="93"/>
      <c r="BD291" s="93"/>
      <c r="BE291" s="93"/>
      <c r="BF291" s="93"/>
      <c r="BG291" s="93"/>
      <c r="BH291" s="93"/>
      <c r="BI291" s="93"/>
      <c r="BJ291" s="93"/>
      <c r="BK291" s="93"/>
      <c r="BL291" s="93"/>
      <c r="BM291" s="93"/>
      <c r="BN291" s="93"/>
      <c r="BO291" s="93"/>
      <c r="BP291" s="93"/>
      <c r="BQ291" s="93"/>
      <c r="BR291" s="93"/>
      <c r="BS291" s="93"/>
      <c r="BT291" s="93"/>
      <c r="BU291" s="93"/>
      <c r="BV291" s="93"/>
      <c r="BW291" s="93"/>
      <c r="BX291" s="93"/>
      <c r="BY291" s="93"/>
      <c r="BZ291" s="93"/>
      <c r="CA291" s="93"/>
      <c r="CB291" s="93"/>
      <c r="CC291" s="93"/>
      <c r="CD291" s="93"/>
      <c r="CE291" s="93"/>
      <c r="CF291" s="93"/>
      <c r="CG291" s="93"/>
      <c r="CH291" s="93"/>
      <c r="CI291" s="93"/>
      <c r="CJ291" s="93"/>
      <c r="CK291" s="93"/>
      <c r="CL291" s="93"/>
      <c r="CM291" s="93"/>
      <c r="CN291" s="93"/>
      <c r="CO291" s="93"/>
      <c r="CP291" s="93"/>
      <c r="CQ291" s="93"/>
      <c r="CR291" s="93"/>
      <c r="CS291" s="93"/>
      <c r="CT291" s="93"/>
      <c r="CU291" s="93"/>
      <c r="CV291" s="93"/>
      <c r="CW291" s="93"/>
      <c r="CX291" s="93"/>
      <c r="CY291" s="93"/>
      <c r="CZ291" s="93"/>
      <c r="DA291" s="93"/>
      <c r="DB291" s="93"/>
      <c r="DC291" s="93"/>
      <c r="DD291" s="93"/>
      <c r="DE291" s="93"/>
      <c r="DF291" s="93"/>
      <c r="DG291" s="93"/>
      <c r="DH291" s="93"/>
      <c r="DI291" s="93"/>
      <c r="DJ291" s="93"/>
      <c r="DK291" s="93"/>
      <c r="DL291" s="93"/>
      <c r="DM291" s="93"/>
      <c r="DN291" s="93"/>
      <c r="DO291" s="93"/>
      <c r="DP291" s="93"/>
      <c r="DQ291" s="93"/>
      <c r="DR291" s="93"/>
      <c r="DS291" s="93"/>
      <c r="DT291" s="93"/>
      <c r="DU291" s="93"/>
      <c r="DV291" s="93"/>
      <c r="DW291" s="93"/>
      <c r="DX291" s="93"/>
      <c r="DY291" s="93"/>
      <c r="DZ291" s="93"/>
      <c r="EA291" s="93"/>
      <c r="EB291" s="93"/>
      <c r="EC291" s="93"/>
      <c r="ED291" s="93"/>
      <c r="EE291" s="93"/>
      <c r="EF291" s="93"/>
      <c r="EG291" s="93"/>
      <c r="EH291" s="93"/>
      <c r="EI291" s="93"/>
      <c r="EJ291" s="93"/>
      <c r="EK291" s="93"/>
      <c r="EL291" s="93"/>
      <c r="EM291" s="93"/>
      <c r="EN291" s="93"/>
      <c r="EO291" s="93"/>
      <c r="EP291" s="93"/>
      <c r="EQ291" s="93"/>
      <c r="ER291" s="93"/>
      <c r="ES291" s="93"/>
      <c r="ET291" s="93"/>
      <c r="EU291" s="93"/>
      <c r="EV291" s="93"/>
      <c r="EW291" s="93"/>
      <c r="EX291" s="93"/>
      <c r="EY291" s="93"/>
      <c r="EZ291" s="93"/>
      <c r="FA291" s="93"/>
      <c r="FB291" s="93"/>
      <c r="FC291" s="93"/>
      <c r="FD291" s="93"/>
      <c r="FE291" s="93"/>
      <c r="FF291" s="93"/>
      <c r="FG291" s="93"/>
      <c r="FH291" s="93"/>
      <c r="FI291" s="93"/>
      <c r="FJ291" s="93"/>
      <c r="FK291" s="93"/>
      <c r="FL291" s="93"/>
      <c r="FM291" s="93"/>
      <c r="FN291" s="93"/>
      <c r="FO291" s="93"/>
      <c r="FP291" s="93"/>
      <c r="FQ291" s="93"/>
      <c r="FR291" s="93"/>
      <c r="FS291" s="93"/>
      <c r="FT291" s="93"/>
      <c r="FU291" s="93"/>
      <c r="FV291" s="93"/>
      <c r="FW291" s="93"/>
      <c r="FX291" s="93"/>
      <c r="FY291" s="93"/>
      <c r="FZ291" s="93"/>
      <c r="GA291" s="93"/>
      <c r="GB291" s="93"/>
      <c r="GC291" s="93"/>
      <c r="GD291" s="93"/>
      <c r="GE291" s="93"/>
      <c r="GF291" s="93"/>
      <c r="GG291" s="93"/>
      <c r="GH291" s="93"/>
      <c r="GI291" s="93"/>
      <c r="GJ291" s="93"/>
      <c r="GK291" s="93"/>
      <c r="GL291" s="93"/>
      <c r="GM291" s="93"/>
      <c r="GN291" s="93"/>
      <c r="GO291" s="93"/>
      <c r="GP291" s="93"/>
      <c r="GQ291" s="93"/>
      <c r="GR291" s="93"/>
      <c r="GS291" s="93"/>
      <c r="GT291" s="93"/>
      <c r="GU291" s="93"/>
      <c r="GV291" s="93"/>
      <c r="GW291" s="93"/>
      <c r="GX291" s="93"/>
      <c r="GY291" s="93"/>
      <c r="GZ291" s="93"/>
      <c r="HA291" s="93"/>
      <c r="HB291" s="93"/>
      <c r="HC291" s="93"/>
      <c r="HD291" s="93"/>
      <c r="HE291" s="93"/>
      <c r="HF291" s="93"/>
      <c r="HG291" s="93"/>
      <c r="HH291" s="93"/>
      <c r="HI291" s="93"/>
      <c r="HJ291" s="93"/>
      <c r="HK291" s="93"/>
      <c r="HL291" s="93"/>
      <c r="HM291" s="93"/>
      <c r="HN291" s="93"/>
      <c r="HO291" s="93"/>
      <c r="HP291" s="93"/>
      <c r="HQ291" s="93"/>
      <c r="HR291" s="93"/>
      <c r="HS291" s="93"/>
      <c r="HT291" s="93"/>
      <c r="HU291" s="93"/>
      <c r="HV291" s="93"/>
      <c r="HW291" s="93"/>
      <c r="HX291" s="93"/>
      <c r="HY291" s="93"/>
      <c r="HZ291" s="93"/>
      <c r="IA291" s="93"/>
      <c r="IB291" s="93"/>
      <c r="IC291" s="93"/>
      <c r="ID291" s="93"/>
      <c r="IE291" s="93"/>
      <c r="IF291" s="93"/>
      <c r="IG291" s="93"/>
      <c r="IH291" s="93"/>
      <c r="II291" s="93"/>
      <c r="IJ291" s="93"/>
      <c r="IK291" s="93"/>
      <c r="IL291" s="93"/>
      <c r="IM291" s="93"/>
      <c r="IN291" s="93"/>
      <c r="IO291" s="93"/>
      <c r="IP291" s="93"/>
      <c r="IQ291" s="93"/>
      <c r="IR291" s="93"/>
      <c r="IS291" s="93"/>
      <c r="IT291" s="93"/>
      <c r="IU291" s="93"/>
      <c r="IV291" s="93"/>
      <c r="IW291" s="93"/>
      <c r="IX291" s="93"/>
      <c r="IY291" s="93"/>
      <c r="IZ291" s="93"/>
    </row>
    <row r="292" spans="1:260" s="95" customFormat="1">
      <c r="A292" s="93"/>
      <c r="B292" s="183"/>
      <c r="C292" s="183"/>
      <c r="D292" s="183"/>
      <c r="E292" s="158"/>
      <c r="F292" s="158"/>
      <c r="G292" s="158"/>
      <c r="H292" s="158"/>
      <c r="I292" s="158"/>
      <c r="J292" s="158"/>
      <c r="K292" s="158"/>
      <c r="L292" s="158"/>
      <c r="M292" s="158"/>
      <c r="N292" s="158"/>
      <c r="O292" s="158"/>
      <c r="P292" s="228"/>
      <c r="Q292" s="158"/>
      <c r="R292" s="158"/>
      <c r="S292" s="207"/>
      <c r="T292" s="207"/>
      <c r="U292" s="207"/>
      <c r="V292" s="207"/>
      <c r="W292" s="207"/>
      <c r="X292" s="207"/>
      <c r="Y292" s="207"/>
      <c r="Z292" s="207"/>
      <c r="AA292" s="207"/>
      <c r="AB292" s="207"/>
      <c r="AC292" s="207"/>
      <c r="AD292" s="207"/>
      <c r="AE292" s="207"/>
      <c r="AF292" s="207"/>
      <c r="AG292" s="207"/>
      <c r="AH292" s="207"/>
      <c r="AI292" s="207"/>
      <c r="AJ292" s="207"/>
      <c r="AK292" s="207"/>
      <c r="AL292" s="207"/>
      <c r="AM292" s="94"/>
      <c r="AN292" s="94"/>
      <c r="AO292" s="94"/>
      <c r="AP292" s="94"/>
      <c r="AQ292" s="94"/>
      <c r="AR292" s="94"/>
      <c r="AS292" s="94"/>
      <c r="AT292" s="94"/>
      <c r="AU292" s="94"/>
      <c r="AV292" s="94"/>
      <c r="AW292" s="94"/>
      <c r="AX292" s="94"/>
      <c r="AY292" s="94"/>
      <c r="AZ292" s="93"/>
      <c r="BA292" s="93"/>
      <c r="BB292" s="93"/>
      <c r="BC292" s="93"/>
      <c r="BD292" s="93"/>
      <c r="BE292" s="93"/>
      <c r="BF292" s="93"/>
      <c r="BG292" s="93"/>
      <c r="BH292" s="93"/>
      <c r="BI292" s="93"/>
      <c r="BJ292" s="93"/>
      <c r="BK292" s="93"/>
      <c r="BL292" s="93"/>
      <c r="BM292" s="93"/>
      <c r="BN292" s="93"/>
      <c r="BO292" s="93"/>
      <c r="BP292" s="93"/>
      <c r="BQ292" s="93"/>
      <c r="BR292" s="93"/>
      <c r="BS292" s="93"/>
      <c r="BT292" s="93"/>
      <c r="BU292" s="93"/>
      <c r="BV292" s="93"/>
      <c r="BW292" s="93"/>
      <c r="BX292" s="93"/>
      <c r="BY292" s="93"/>
      <c r="BZ292" s="93"/>
      <c r="CA292" s="93"/>
      <c r="CB292" s="93"/>
      <c r="CC292" s="93"/>
      <c r="CD292" s="93"/>
      <c r="CE292" s="93"/>
      <c r="CF292" s="93"/>
      <c r="CG292" s="93"/>
      <c r="CH292" s="93"/>
      <c r="CI292" s="93"/>
      <c r="CJ292" s="93"/>
      <c r="CK292" s="93"/>
      <c r="CL292" s="93"/>
      <c r="CM292" s="93"/>
      <c r="CN292" s="93"/>
      <c r="CO292" s="93"/>
      <c r="CP292" s="93"/>
      <c r="CQ292" s="93"/>
      <c r="CR292" s="93"/>
      <c r="CS292" s="93"/>
      <c r="CT292" s="93"/>
      <c r="CU292" s="93"/>
      <c r="CV292" s="93"/>
      <c r="CW292" s="93"/>
      <c r="CX292" s="93"/>
      <c r="CY292" s="93"/>
      <c r="CZ292" s="93"/>
      <c r="DA292" s="93"/>
      <c r="DB292" s="93"/>
      <c r="DC292" s="93"/>
      <c r="DD292" s="93"/>
      <c r="DE292" s="93"/>
      <c r="DF292" s="93"/>
      <c r="DG292" s="93"/>
      <c r="DH292" s="93"/>
      <c r="DI292" s="93"/>
      <c r="DJ292" s="93"/>
      <c r="DK292" s="93"/>
      <c r="DL292" s="93"/>
      <c r="DM292" s="93"/>
      <c r="DN292" s="93"/>
      <c r="DO292" s="93"/>
      <c r="DP292" s="93"/>
      <c r="DQ292" s="93"/>
      <c r="DR292" s="93"/>
      <c r="DS292" s="93"/>
      <c r="DT292" s="93"/>
      <c r="DU292" s="93"/>
      <c r="DV292" s="93"/>
      <c r="DW292" s="93"/>
      <c r="DX292" s="93"/>
      <c r="DY292" s="93"/>
      <c r="DZ292" s="93"/>
      <c r="EA292" s="93"/>
      <c r="EB292" s="93"/>
      <c r="EC292" s="93"/>
      <c r="ED292" s="93"/>
      <c r="EE292" s="93"/>
      <c r="EF292" s="93"/>
      <c r="EG292" s="93"/>
      <c r="EH292" s="93"/>
      <c r="EI292" s="93"/>
      <c r="EJ292" s="93"/>
      <c r="EK292" s="93"/>
      <c r="EL292" s="93"/>
      <c r="EM292" s="93"/>
      <c r="EN292" s="93"/>
      <c r="EO292" s="93"/>
      <c r="EP292" s="93"/>
      <c r="EQ292" s="93"/>
      <c r="ER292" s="93"/>
      <c r="ES292" s="93"/>
      <c r="ET292" s="93"/>
      <c r="EU292" s="93"/>
      <c r="EV292" s="93"/>
      <c r="EW292" s="93"/>
      <c r="EX292" s="93"/>
      <c r="EY292" s="93"/>
      <c r="EZ292" s="93"/>
      <c r="FA292" s="93"/>
      <c r="FB292" s="93"/>
      <c r="FC292" s="93"/>
      <c r="FD292" s="93"/>
      <c r="FE292" s="93"/>
      <c r="FF292" s="93"/>
      <c r="FG292" s="93"/>
      <c r="FH292" s="93"/>
      <c r="FI292" s="93"/>
      <c r="FJ292" s="93"/>
      <c r="FK292" s="93"/>
      <c r="FL292" s="93"/>
      <c r="FM292" s="93"/>
      <c r="FN292" s="93"/>
      <c r="FO292" s="93"/>
      <c r="FP292" s="93"/>
      <c r="FQ292" s="93"/>
      <c r="FR292" s="93"/>
      <c r="FS292" s="93"/>
      <c r="FT292" s="93"/>
      <c r="FU292" s="93"/>
      <c r="FV292" s="93"/>
      <c r="FW292" s="93"/>
      <c r="FX292" s="93"/>
      <c r="FY292" s="93"/>
      <c r="FZ292" s="93"/>
      <c r="GA292" s="93"/>
      <c r="GB292" s="93"/>
      <c r="GC292" s="93"/>
      <c r="GD292" s="93"/>
      <c r="GE292" s="93"/>
      <c r="GF292" s="93"/>
      <c r="GG292" s="93"/>
      <c r="GH292" s="93"/>
      <c r="GI292" s="93"/>
      <c r="GJ292" s="93"/>
      <c r="GK292" s="93"/>
      <c r="GL292" s="93"/>
      <c r="GM292" s="93"/>
      <c r="GN292" s="93"/>
      <c r="GO292" s="93"/>
      <c r="GP292" s="93"/>
      <c r="GQ292" s="93"/>
      <c r="GR292" s="93"/>
      <c r="GS292" s="93"/>
      <c r="GT292" s="93"/>
      <c r="GU292" s="93"/>
      <c r="GV292" s="93"/>
      <c r="GW292" s="93"/>
      <c r="GX292" s="93"/>
      <c r="GY292" s="93"/>
      <c r="GZ292" s="93"/>
      <c r="HA292" s="93"/>
      <c r="HB292" s="93"/>
      <c r="HC292" s="93"/>
      <c r="HD292" s="93"/>
      <c r="HE292" s="93"/>
      <c r="HF292" s="93"/>
      <c r="HG292" s="93"/>
      <c r="HH292" s="93"/>
      <c r="HI292" s="93"/>
      <c r="HJ292" s="93"/>
      <c r="HK292" s="93"/>
      <c r="HL292" s="93"/>
      <c r="HM292" s="93"/>
      <c r="HN292" s="93"/>
      <c r="HO292" s="93"/>
      <c r="HP292" s="93"/>
      <c r="HQ292" s="93"/>
      <c r="HR292" s="93"/>
      <c r="HS292" s="93"/>
      <c r="HT292" s="93"/>
      <c r="HU292" s="93"/>
      <c r="HV292" s="93"/>
      <c r="HW292" s="93"/>
      <c r="HX292" s="93"/>
      <c r="HY292" s="93"/>
      <c r="HZ292" s="93"/>
      <c r="IA292" s="93"/>
      <c r="IB292" s="93"/>
      <c r="IC292" s="93"/>
      <c r="ID292" s="93"/>
      <c r="IE292" s="93"/>
      <c r="IF292" s="93"/>
      <c r="IG292" s="93"/>
      <c r="IH292" s="93"/>
      <c r="II292" s="93"/>
      <c r="IJ292" s="93"/>
      <c r="IK292" s="93"/>
      <c r="IL292" s="93"/>
      <c r="IM292" s="93"/>
      <c r="IN292" s="93"/>
      <c r="IO292" s="93"/>
      <c r="IP292" s="93"/>
      <c r="IQ292" s="93"/>
      <c r="IR292" s="93"/>
      <c r="IS292" s="93"/>
      <c r="IT292" s="93"/>
      <c r="IU292" s="93"/>
      <c r="IV292" s="93"/>
      <c r="IW292" s="93"/>
      <c r="IX292" s="93"/>
      <c r="IY292" s="93"/>
      <c r="IZ292" s="93"/>
    </row>
    <row r="293" spans="1:260" s="95" customFormat="1">
      <c r="A293" s="93"/>
      <c r="B293" s="183"/>
      <c r="C293" s="183"/>
      <c r="D293" s="183"/>
      <c r="E293" s="158"/>
      <c r="F293" s="158"/>
      <c r="G293" s="158"/>
      <c r="H293" s="158"/>
      <c r="I293" s="158"/>
      <c r="J293" s="158"/>
      <c r="K293" s="158"/>
      <c r="L293" s="158"/>
      <c r="M293" s="158"/>
      <c r="N293" s="158"/>
      <c r="O293" s="158"/>
      <c r="P293" s="228"/>
      <c r="Q293" s="158"/>
      <c r="R293" s="158"/>
      <c r="S293" s="207"/>
      <c r="T293" s="207"/>
      <c r="U293" s="207"/>
      <c r="V293" s="207"/>
      <c r="W293" s="207"/>
      <c r="X293" s="207"/>
      <c r="Y293" s="207"/>
      <c r="Z293" s="207"/>
      <c r="AA293" s="207"/>
      <c r="AB293" s="207"/>
      <c r="AC293" s="207"/>
      <c r="AD293" s="207"/>
      <c r="AE293" s="207"/>
      <c r="AF293" s="207"/>
      <c r="AG293" s="207"/>
      <c r="AH293" s="207"/>
      <c r="AI293" s="207"/>
      <c r="AJ293" s="207"/>
      <c r="AK293" s="207"/>
      <c r="AL293" s="207"/>
      <c r="AM293" s="94"/>
      <c r="AN293" s="94"/>
      <c r="AO293" s="94"/>
      <c r="AP293" s="94"/>
      <c r="AQ293" s="94"/>
      <c r="AR293" s="94"/>
      <c r="AS293" s="94"/>
      <c r="AT293" s="94"/>
      <c r="AU293" s="94"/>
      <c r="AV293" s="94"/>
      <c r="AW293" s="94"/>
      <c r="AX293" s="94"/>
      <c r="AY293" s="94"/>
      <c r="AZ293" s="93"/>
      <c r="BA293" s="93"/>
      <c r="BB293" s="93"/>
      <c r="BC293" s="93"/>
      <c r="BD293" s="93"/>
      <c r="BE293" s="93"/>
      <c r="BF293" s="93"/>
      <c r="BG293" s="93"/>
      <c r="BH293" s="93"/>
      <c r="BI293" s="93"/>
      <c r="BJ293" s="93"/>
      <c r="BK293" s="93"/>
      <c r="BL293" s="93"/>
      <c r="BM293" s="93"/>
      <c r="BN293" s="93"/>
      <c r="BO293" s="93"/>
      <c r="BP293" s="93"/>
      <c r="BQ293" s="93"/>
      <c r="BR293" s="93"/>
      <c r="BS293" s="93"/>
      <c r="BT293" s="93"/>
      <c r="BU293" s="93"/>
      <c r="BV293" s="93"/>
      <c r="BW293" s="93"/>
      <c r="BX293" s="93"/>
      <c r="BY293" s="93"/>
      <c r="BZ293" s="93"/>
      <c r="CA293" s="93"/>
      <c r="CB293" s="93"/>
      <c r="CC293" s="93"/>
      <c r="CD293" s="93"/>
      <c r="CE293" s="93"/>
      <c r="CF293" s="93"/>
      <c r="CG293" s="93"/>
      <c r="CH293" s="93"/>
      <c r="CI293" s="93"/>
      <c r="CJ293" s="93"/>
      <c r="CK293" s="93"/>
      <c r="CL293" s="93"/>
      <c r="CM293" s="93"/>
      <c r="CN293" s="93"/>
      <c r="CO293" s="93"/>
      <c r="CP293" s="93"/>
      <c r="CQ293" s="93"/>
      <c r="CR293" s="93"/>
      <c r="CS293" s="93"/>
      <c r="CT293" s="93"/>
      <c r="CU293" s="93"/>
      <c r="CV293" s="93"/>
      <c r="CW293" s="93"/>
      <c r="CX293" s="93"/>
      <c r="CY293" s="93"/>
      <c r="CZ293" s="93"/>
      <c r="DA293" s="93"/>
      <c r="DB293" s="93"/>
      <c r="DC293" s="93"/>
      <c r="DD293" s="93"/>
      <c r="DE293" s="93"/>
      <c r="DF293" s="93"/>
      <c r="DG293" s="93"/>
      <c r="DH293" s="93"/>
      <c r="DI293" s="93"/>
      <c r="DJ293" s="93"/>
      <c r="DK293" s="93"/>
      <c r="DL293" s="93"/>
      <c r="DM293" s="93"/>
      <c r="DN293" s="93"/>
      <c r="DO293" s="93"/>
      <c r="DP293" s="93"/>
      <c r="DQ293" s="93"/>
      <c r="DR293" s="93"/>
      <c r="DS293" s="93"/>
      <c r="DT293" s="93"/>
      <c r="DU293" s="93"/>
      <c r="DV293" s="93"/>
      <c r="DW293" s="93"/>
      <c r="DX293" s="93"/>
      <c r="DY293" s="93"/>
      <c r="DZ293" s="93"/>
      <c r="EA293" s="93"/>
      <c r="EB293" s="93"/>
      <c r="EC293" s="93"/>
      <c r="ED293" s="93"/>
      <c r="EE293" s="93"/>
      <c r="EF293" s="93"/>
      <c r="EG293" s="93"/>
      <c r="EH293" s="93"/>
      <c r="EI293" s="93"/>
      <c r="EJ293" s="93"/>
      <c r="EK293" s="93"/>
      <c r="EL293" s="93"/>
      <c r="EM293" s="93"/>
      <c r="EN293" s="93"/>
      <c r="EO293" s="93"/>
      <c r="EP293" s="93"/>
      <c r="EQ293" s="93"/>
      <c r="ER293" s="93"/>
      <c r="ES293" s="93"/>
      <c r="ET293" s="93"/>
      <c r="EU293" s="93"/>
      <c r="EV293" s="93"/>
      <c r="EW293" s="93"/>
      <c r="EX293" s="93"/>
      <c r="EY293" s="93"/>
      <c r="EZ293" s="93"/>
      <c r="FA293" s="93"/>
      <c r="FB293" s="93"/>
      <c r="FC293" s="93"/>
      <c r="FD293" s="93"/>
      <c r="FE293" s="93"/>
      <c r="FF293" s="93"/>
      <c r="FG293" s="93"/>
      <c r="FH293" s="93"/>
      <c r="FI293" s="93"/>
      <c r="FJ293" s="93"/>
      <c r="FK293" s="93"/>
      <c r="FL293" s="93"/>
      <c r="FM293" s="93"/>
      <c r="FN293" s="93"/>
      <c r="FO293" s="93"/>
      <c r="FP293" s="93"/>
      <c r="FQ293" s="93"/>
      <c r="FR293" s="93"/>
      <c r="FS293" s="93"/>
      <c r="FT293" s="93"/>
      <c r="FU293" s="93"/>
      <c r="FV293" s="93"/>
      <c r="FW293" s="93"/>
      <c r="FX293" s="93"/>
      <c r="FY293" s="93"/>
      <c r="FZ293" s="93"/>
      <c r="GA293" s="93"/>
      <c r="GB293" s="93"/>
      <c r="GC293" s="93"/>
      <c r="GD293" s="93"/>
      <c r="GE293" s="93"/>
      <c r="GF293" s="93"/>
      <c r="GG293" s="93"/>
      <c r="GH293" s="93"/>
      <c r="GI293" s="93"/>
      <c r="GJ293" s="93"/>
      <c r="GK293" s="93"/>
      <c r="GL293" s="93"/>
      <c r="GM293" s="93"/>
      <c r="GN293" s="93"/>
      <c r="GO293" s="93"/>
      <c r="GP293" s="93"/>
      <c r="GQ293" s="93"/>
      <c r="GR293" s="93"/>
      <c r="GS293" s="93"/>
      <c r="GT293" s="93"/>
      <c r="GU293" s="93"/>
      <c r="GV293" s="93"/>
      <c r="GW293" s="93"/>
      <c r="GX293" s="93"/>
      <c r="GY293" s="93"/>
      <c r="GZ293" s="93"/>
      <c r="HA293" s="93"/>
      <c r="HB293" s="93"/>
      <c r="HC293" s="93"/>
      <c r="HD293" s="93"/>
      <c r="HE293" s="93"/>
      <c r="HF293" s="93"/>
      <c r="HG293" s="93"/>
      <c r="HH293" s="93"/>
      <c r="HI293" s="93"/>
      <c r="HJ293" s="93"/>
      <c r="HK293" s="93"/>
      <c r="HL293" s="93"/>
      <c r="HM293" s="93"/>
      <c r="HN293" s="93"/>
      <c r="HO293" s="93"/>
      <c r="HP293" s="93"/>
      <c r="HQ293" s="93"/>
      <c r="HR293" s="93"/>
      <c r="HS293" s="93"/>
      <c r="HT293" s="93"/>
      <c r="HU293" s="93"/>
      <c r="HV293" s="93"/>
      <c r="HW293" s="93"/>
      <c r="HX293" s="93"/>
      <c r="HY293" s="93"/>
      <c r="HZ293" s="93"/>
      <c r="IA293" s="93"/>
      <c r="IB293" s="93"/>
      <c r="IC293" s="93"/>
      <c r="ID293" s="93"/>
      <c r="IE293" s="93"/>
      <c r="IF293" s="93"/>
      <c r="IG293" s="93"/>
      <c r="IH293" s="93"/>
      <c r="II293" s="93"/>
      <c r="IJ293" s="93"/>
      <c r="IK293" s="93"/>
      <c r="IL293" s="93"/>
      <c r="IM293" s="93"/>
      <c r="IN293" s="93"/>
      <c r="IO293" s="93"/>
      <c r="IP293" s="93"/>
      <c r="IQ293" s="93"/>
      <c r="IR293" s="93"/>
      <c r="IS293" s="93"/>
      <c r="IT293" s="93"/>
      <c r="IU293" s="93"/>
      <c r="IV293" s="93"/>
      <c r="IW293" s="93"/>
      <c r="IX293" s="93"/>
      <c r="IY293" s="93"/>
      <c r="IZ293" s="93"/>
    </row>
    <row r="294" spans="1:260" s="95" customFormat="1">
      <c r="A294" s="93"/>
      <c r="B294" s="183"/>
      <c r="C294" s="183"/>
      <c r="D294" s="183"/>
      <c r="E294" s="158"/>
      <c r="F294" s="158"/>
      <c r="G294" s="158"/>
      <c r="H294" s="158"/>
      <c r="I294" s="158"/>
      <c r="J294" s="158"/>
      <c r="K294" s="158"/>
      <c r="L294" s="158"/>
      <c r="M294" s="158"/>
      <c r="N294" s="158"/>
      <c r="O294" s="158"/>
      <c r="P294" s="228"/>
      <c r="Q294" s="158"/>
      <c r="R294" s="158"/>
      <c r="S294" s="207"/>
      <c r="T294" s="207"/>
      <c r="U294" s="207"/>
      <c r="V294" s="207"/>
      <c r="W294" s="207"/>
      <c r="X294" s="207"/>
      <c r="Y294" s="207"/>
      <c r="Z294" s="207"/>
      <c r="AA294" s="207"/>
      <c r="AB294" s="207"/>
      <c r="AC294" s="207"/>
      <c r="AD294" s="207"/>
      <c r="AE294" s="207"/>
      <c r="AF294" s="207"/>
      <c r="AG294" s="207"/>
      <c r="AH294" s="207"/>
      <c r="AI294" s="207"/>
      <c r="AJ294" s="207"/>
      <c r="AK294" s="207"/>
      <c r="AL294" s="207"/>
      <c r="AM294" s="94"/>
      <c r="AN294" s="94"/>
      <c r="AO294" s="94"/>
      <c r="AP294" s="94"/>
      <c r="AQ294" s="94"/>
      <c r="AR294" s="94"/>
      <c r="AS294" s="94"/>
      <c r="AT294" s="94"/>
      <c r="AU294" s="94"/>
      <c r="AV294" s="94"/>
      <c r="AW294" s="94"/>
      <c r="AX294" s="94"/>
      <c r="AY294" s="94"/>
      <c r="AZ294" s="93"/>
      <c r="BA294" s="93"/>
      <c r="BB294" s="93"/>
      <c r="BC294" s="93"/>
      <c r="BD294" s="93"/>
      <c r="BE294" s="93"/>
      <c r="BF294" s="93"/>
      <c r="BG294" s="93"/>
      <c r="BH294" s="93"/>
      <c r="BI294" s="93"/>
      <c r="BJ294" s="93"/>
      <c r="BK294" s="93"/>
      <c r="BL294" s="93"/>
      <c r="BM294" s="93"/>
      <c r="BN294" s="93"/>
      <c r="BO294" s="93"/>
      <c r="BP294" s="93"/>
      <c r="BQ294" s="93"/>
      <c r="BR294" s="93"/>
      <c r="BS294" s="93"/>
      <c r="BT294" s="93"/>
      <c r="BU294" s="93"/>
      <c r="BV294" s="93"/>
      <c r="BW294" s="93"/>
      <c r="BX294" s="93"/>
      <c r="BY294" s="93"/>
      <c r="BZ294" s="93"/>
      <c r="CA294" s="93"/>
      <c r="CB294" s="93"/>
      <c r="CC294" s="93"/>
      <c r="CD294" s="93"/>
      <c r="CE294" s="93"/>
      <c r="CF294" s="93"/>
      <c r="CG294" s="93"/>
      <c r="CH294" s="93"/>
      <c r="CI294" s="93"/>
      <c r="CJ294" s="93"/>
      <c r="CK294" s="93"/>
      <c r="CL294" s="93"/>
      <c r="CM294" s="93"/>
      <c r="CN294" s="93"/>
      <c r="CO294" s="93"/>
      <c r="CP294" s="93"/>
      <c r="CQ294" s="93"/>
      <c r="CR294" s="93"/>
      <c r="CS294" s="93"/>
      <c r="CT294" s="93"/>
      <c r="CU294" s="93"/>
      <c r="CV294" s="93"/>
      <c r="CW294" s="93"/>
      <c r="CX294" s="93"/>
      <c r="CY294" s="93"/>
      <c r="CZ294" s="93"/>
      <c r="DA294" s="93"/>
      <c r="DB294" s="93"/>
      <c r="DC294" s="93"/>
      <c r="DD294" s="93"/>
      <c r="DE294" s="93"/>
      <c r="DF294" s="93"/>
      <c r="DG294" s="93"/>
      <c r="DH294" s="93"/>
      <c r="DI294" s="93"/>
      <c r="DJ294" s="93"/>
      <c r="DK294" s="93"/>
      <c r="DL294" s="93"/>
      <c r="DM294" s="93"/>
      <c r="DN294" s="93"/>
      <c r="DO294" s="93"/>
      <c r="DP294" s="93"/>
      <c r="DQ294" s="93"/>
      <c r="DR294" s="93"/>
      <c r="DS294" s="93"/>
      <c r="DT294" s="93"/>
      <c r="DU294" s="93"/>
      <c r="DV294" s="93"/>
      <c r="DW294" s="93"/>
      <c r="DX294" s="93"/>
      <c r="DY294" s="93"/>
      <c r="DZ294" s="93"/>
      <c r="EA294" s="93"/>
      <c r="EB294" s="93"/>
      <c r="EC294" s="93"/>
      <c r="ED294" s="93"/>
      <c r="EE294" s="93"/>
      <c r="EF294" s="93"/>
      <c r="EG294" s="93"/>
      <c r="EH294" s="93"/>
      <c r="EI294" s="93"/>
      <c r="EJ294" s="93"/>
      <c r="EK294" s="93"/>
      <c r="EL294" s="93"/>
      <c r="EM294" s="93"/>
      <c r="EN294" s="93"/>
      <c r="EO294" s="93"/>
      <c r="EP294" s="93"/>
      <c r="EQ294" s="93"/>
      <c r="ER294" s="93"/>
      <c r="ES294" s="93"/>
      <c r="ET294" s="93"/>
      <c r="EU294" s="93"/>
      <c r="EV294" s="93"/>
      <c r="EW294" s="93"/>
      <c r="EX294" s="93"/>
      <c r="EY294" s="93"/>
      <c r="EZ294" s="93"/>
      <c r="FA294" s="93"/>
      <c r="FB294" s="93"/>
      <c r="FC294" s="93"/>
      <c r="FD294" s="93"/>
      <c r="FE294" s="93"/>
      <c r="FF294" s="93"/>
      <c r="FG294" s="93"/>
      <c r="FH294" s="93"/>
      <c r="FI294" s="93"/>
      <c r="FJ294" s="93"/>
      <c r="FK294" s="93"/>
      <c r="FL294" s="93"/>
      <c r="FM294" s="93"/>
      <c r="FN294" s="93"/>
      <c r="FO294" s="93"/>
      <c r="FP294" s="93"/>
      <c r="FQ294" s="93"/>
      <c r="FR294" s="93"/>
      <c r="FS294" s="93"/>
      <c r="FT294" s="93"/>
      <c r="FU294" s="93"/>
      <c r="FV294" s="93"/>
      <c r="FW294" s="93"/>
      <c r="FX294" s="93"/>
      <c r="FY294" s="93"/>
      <c r="FZ294" s="93"/>
      <c r="GA294" s="93"/>
      <c r="GB294" s="93"/>
      <c r="GC294" s="93"/>
      <c r="GD294" s="93"/>
      <c r="GE294" s="93"/>
      <c r="GF294" s="93"/>
      <c r="GG294" s="93"/>
      <c r="GH294" s="93"/>
      <c r="GI294" s="93"/>
      <c r="GJ294" s="93"/>
      <c r="GK294" s="93"/>
      <c r="GL294" s="93"/>
      <c r="GM294" s="93"/>
      <c r="GN294" s="93"/>
      <c r="GO294" s="93"/>
      <c r="GP294" s="93"/>
      <c r="GQ294" s="93"/>
      <c r="GR294" s="93"/>
      <c r="GS294" s="93"/>
      <c r="GT294" s="93"/>
      <c r="GU294" s="93"/>
      <c r="GV294" s="93"/>
      <c r="GW294" s="93"/>
      <c r="GX294" s="93"/>
      <c r="GY294" s="93"/>
      <c r="GZ294" s="93"/>
      <c r="HA294" s="93"/>
      <c r="HB294" s="93"/>
      <c r="HC294" s="93"/>
      <c r="HD294" s="93"/>
      <c r="HE294" s="93"/>
      <c r="HF294" s="93"/>
      <c r="HG294" s="93"/>
      <c r="HH294" s="93"/>
      <c r="HI294" s="93"/>
      <c r="HJ294" s="93"/>
      <c r="HK294" s="93"/>
      <c r="HL294" s="93"/>
      <c r="HM294" s="93"/>
      <c r="HN294" s="93"/>
      <c r="HO294" s="93"/>
      <c r="HP294" s="93"/>
      <c r="HQ294" s="93"/>
      <c r="HR294" s="93"/>
      <c r="HS294" s="93"/>
      <c r="HT294" s="93"/>
      <c r="HU294" s="93"/>
      <c r="HV294" s="93"/>
      <c r="HW294" s="93"/>
      <c r="HX294" s="93"/>
      <c r="HY294" s="93"/>
      <c r="HZ294" s="93"/>
      <c r="IA294" s="93"/>
      <c r="IB294" s="93"/>
      <c r="IC294" s="93"/>
      <c r="ID294" s="93"/>
      <c r="IE294" s="93"/>
      <c r="IF294" s="93"/>
      <c r="IG294" s="93"/>
      <c r="IH294" s="93"/>
      <c r="II294" s="93"/>
      <c r="IJ294" s="93"/>
      <c r="IK294" s="93"/>
      <c r="IL294" s="93"/>
      <c r="IM294" s="93"/>
      <c r="IN294" s="93"/>
      <c r="IO294" s="93"/>
      <c r="IP294" s="93"/>
      <c r="IQ294" s="93"/>
      <c r="IR294" s="93"/>
      <c r="IS294" s="93"/>
      <c r="IT294" s="93"/>
      <c r="IU294" s="93"/>
      <c r="IV294" s="93"/>
      <c r="IW294" s="93"/>
      <c r="IX294" s="93"/>
      <c r="IY294" s="93"/>
      <c r="IZ294" s="93"/>
    </row>
    <row r="295" spans="1:260" s="95" customFormat="1">
      <c r="A295" s="93"/>
      <c r="B295" s="183"/>
      <c r="C295" s="183"/>
      <c r="D295" s="183"/>
      <c r="E295" s="158"/>
      <c r="F295" s="158"/>
      <c r="G295" s="158"/>
      <c r="H295" s="158"/>
      <c r="I295" s="158"/>
      <c r="J295" s="158"/>
      <c r="K295" s="158"/>
      <c r="L295" s="158"/>
      <c r="M295" s="158"/>
      <c r="N295" s="158"/>
      <c r="O295" s="158"/>
      <c r="P295" s="228"/>
      <c r="Q295" s="158"/>
      <c r="R295" s="158"/>
      <c r="S295" s="207"/>
      <c r="T295" s="207"/>
      <c r="U295" s="207"/>
      <c r="V295" s="207"/>
      <c r="W295" s="207"/>
      <c r="X295" s="207"/>
      <c r="Y295" s="207"/>
      <c r="Z295" s="207"/>
      <c r="AA295" s="207"/>
      <c r="AB295" s="207"/>
      <c r="AC295" s="207"/>
      <c r="AD295" s="207"/>
      <c r="AE295" s="207"/>
      <c r="AF295" s="207"/>
      <c r="AG295" s="207"/>
      <c r="AH295" s="207"/>
      <c r="AI295" s="207"/>
      <c r="AJ295" s="207"/>
      <c r="AK295" s="207"/>
      <c r="AL295" s="207"/>
      <c r="AM295" s="94"/>
      <c r="AN295" s="94"/>
      <c r="AO295" s="94"/>
      <c r="AP295" s="94"/>
      <c r="AQ295" s="94"/>
      <c r="AR295" s="94"/>
      <c r="AS295" s="94"/>
      <c r="AT295" s="94"/>
      <c r="AU295" s="94"/>
      <c r="AV295" s="94"/>
      <c r="AW295" s="94"/>
      <c r="AX295" s="94"/>
      <c r="AY295" s="94"/>
      <c r="AZ295" s="93"/>
      <c r="BA295" s="93"/>
      <c r="BB295" s="93"/>
      <c r="BC295" s="93"/>
      <c r="BD295" s="93"/>
      <c r="BE295" s="93"/>
      <c r="BF295" s="93"/>
      <c r="BG295" s="93"/>
      <c r="BH295" s="93"/>
      <c r="BI295" s="93"/>
      <c r="BJ295" s="93"/>
      <c r="BK295" s="93"/>
      <c r="BL295" s="93"/>
      <c r="BM295" s="93"/>
      <c r="BN295" s="93"/>
      <c r="BO295" s="93"/>
      <c r="BP295" s="93"/>
      <c r="BQ295" s="93"/>
      <c r="BR295" s="93"/>
      <c r="BS295" s="93"/>
      <c r="BT295" s="93"/>
      <c r="BU295" s="93"/>
      <c r="BV295" s="93"/>
      <c r="BW295" s="93"/>
      <c r="BX295" s="93"/>
      <c r="BY295" s="93"/>
      <c r="BZ295" s="93"/>
      <c r="CA295" s="93"/>
      <c r="CB295" s="93"/>
      <c r="CC295" s="93"/>
      <c r="CD295" s="93"/>
      <c r="CE295" s="93"/>
      <c r="CF295" s="93"/>
      <c r="CG295" s="93"/>
      <c r="CH295" s="93"/>
      <c r="CI295" s="93"/>
      <c r="CJ295" s="93"/>
      <c r="CK295" s="93"/>
      <c r="CL295" s="93"/>
      <c r="CM295" s="93"/>
      <c r="CN295" s="93"/>
      <c r="CO295" s="93"/>
      <c r="CP295" s="93"/>
      <c r="CQ295" s="93"/>
      <c r="CR295" s="93"/>
      <c r="CS295" s="93"/>
      <c r="CT295" s="93"/>
      <c r="CU295" s="93"/>
      <c r="CV295" s="93"/>
      <c r="CW295" s="93"/>
      <c r="CX295" s="93"/>
      <c r="CY295" s="93"/>
      <c r="CZ295" s="93"/>
      <c r="DA295" s="93"/>
      <c r="DB295" s="93"/>
      <c r="DC295" s="93"/>
      <c r="DD295" s="93"/>
      <c r="DE295" s="93"/>
      <c r="DF295" s="93"/>
      <c r="DG295" s="93"/>
      <c r="DH295" s="93"/>
      <c r="DI295" s="93"/>
      <c r="DJ295" s="93"/>
      <c r="DK295" s="93"/>
      <c r="DL295" s="93"/>
      <c r="DM295" s="93"/>
      <c r="DN295" s="93"/>
      <c r="DO295" s="93"/>
      <c r="DP295" s="93"/>
      <c r="DQ295" s="93"/>
      <c r="DR295" s="93"/>
      <c r="DS295" s="93"/>
      <c r="DT295" s="93"/>
      <c r="DU295" s="93"/>
      <c r="DV295" s="93"/>
      <c r="DW295" s="93"/>
      <c r="DX295" s="93"/>
      <c r="DY295" s="93"/>
      <c r="DZ295" s="93"/>
      <c r="EA295" s="93"/>
      <c r="EB295" s="93"/>
      <c r="EC295" s="93"/>
      <c r="ED295" s="93"/>
      <c r="EE295" s="93"/>
      <c r="EF295" s="93"/>
      <c r="EG295" s="93"/>
      <c r="EH295" s="93"/>
      <c r="EI295" s="93"/>
      <c r="EJ295" s="93"/>
      <c r="EK295" s="93"/>
      <c r="EL295" s="93"/>
      <c r="EM295" s="93"/>
      <c r="EN295" s="93"/>
      <c r="EO295" s="93"/>
      <c r="EP295" s="93"/>
      <c r="EQ295" s="93"/>
      <c r="ER295" s="93"/>
      <c r="ES295" s="93"/>
      <c r="ET295" s="93"/>
      <c r="EU295" s="93"/>
      <c r="EV295" s="93"/>
      <c r="EW295" s="93"/>
      <c r="EX295" s="93"/>
      <c r="EY295" s="93"/>
      <c r="EZ295" s="93"/>
      <c r="FA295" s="93"/>
      <c r="FB295" s="93"/>
      <c r="FC295" s="93"/>
      <c r="FD295" s="93"/>
      <c r="FE295" s="93"/>
      <c r="FF295" s="93"/>
      <c r="FG295" s="93"/>
      <c r="FH295" s="93"/>
      <c r="FI295" s="93"/>
      <c r="FJ295" s="93"/>
      <c r="FK295" s="93"/>
      <c r="FL295" s="93"/>
      <c r="FM295" s="93"/>
      <c r="FN295" s="93"/>
      <c r="FO295" s="93"/>
      <c r="FP295" s="93"/>
      <c r="FQ295" s="93"/>
      <c r="FR295" s="93"/>
      <c r="FS295" s="93"/>
      <c r="FT295" s="93"/>
      <c r="FU295" s="93"/>
      <c r="FV295" s="93"/>
      <c r="FW295" s="93"/>
      <c r="FX295" s="93"/>
      <c r="FY295" s="93"/>
      <c r="FZ295" s="93"/>
      <c r="GA295" s="93"/>
      <c r="GB295" s="93"/>
      <c r="GC295" s="93"/>
      <c r="GD295" s="93"/>
      <c r="GE295" s="93"/>
      <c r="GF295" s="93"/>
      <c r="GG295" s="93"/>
      <c r="GH295" s="93"/>
      <c r="GI295" s="93"/>
      <c r="GJ295" s="93"/>
      <c r="GK295" s="93"/>
      <c r="GL295" s="93"/>
      <c r="GM295" s="93"/>
      <c r="GN295" s="93"/>
      <c r="GO295" s="93"/>
      <c r="GP295" s="93"/>
      <c r="GQ295" s="93"/>
      <c r="GR295" s="93"/>
      <c r="GS295" s="93"/>
      <c r="GT295" s="93"/>
      <c r="GU295" s="93"/>
      <c r="GV295" s="93"/>
      <c r="GW295" s="93"/>
      <c r="GX295" s="93"/>
      <c r="GY295" s="93"/>
      <c r="GZ295" s="93"/>
      <c r="HA295" s="93"/>
      <c r="HB295" s="93"/>
      <c r="HC295" s="93"/>
      <c r="HD295" s="93"/>
      <c r="HE295" s="93"/>
      <c r="HF295" s="93"/>
      <c r="HG295" s="93"/>
      <c r="HH295" s="93"/>
      <c r="HI295" s="93"/>
      <c r="HJ295" s="93"/>
      <c r="HK295" s="93"/>
      <c r="HL295" s="93"/>
      <c r="HM295" s="93"/>
      <c r="HN295" s="93"/>
      <c r="HO295" s="93"/>
      <c r="HP295" s="93"/>
      <c r="HQ295" s="93"/>
      <c r="HR295" s="93"/>
      <c r="HS295" s="93"/>
      <c r="HT295" s="93"/>
      <c r="HU295" s="93"/>
      <c r="HV295" s="93"/>
      <c r="HW295" s="93"/>
      <c r="HX295" s="93"/>
      <c r="HY295" s="93"/>
      <c r="HZ295" s="93"/>
      <c r="IA295" s="93"/>
      <c r="IB295" s="93"/>
      <c r="IC295" s="93"/>
      <c r="ID295" s="93"/>
      <c r="IE295" s="93"/>
      <c r="IF295" s="93"/>
      <c r="IG295" s="93"/>
      <c r="IH295" s="93"/>
      <c r="II295" s="93"/>
      <c r="IJ295" s="93"/>
      <c r="IK295" s="93"/>
      <c r="IL295" s="93"/>
      <c r="IM295" s="93"/>
      <c r="IN295" s="93"/>
      <c r="IO295" s="93"/>
      <c r="IP295" s="93"/>
      <c r="IQ295" s="93"/>
      <c r="IR295" s="93"/>
      <c r="IS295" s="93"/>
      <c r="IT295" s="93"/>
      <c r="IU295" s="93"/>
      <c r="IV295" s="93"/>
      <c r="IW295" s="93"/>
      <c r="IX295" s="93"/>
      <c r="IY295" s="93"/>
      <c r="IZ295" s="93"/>
    </row>
    <row r="296" spans="1:260" s="95" customFormat="1">
      <c r="A296" s="93"/>
      <c r="B296" s="183"/>
      <c r="C296" s="183"/>
      <c r="D296" s="183"/>
      <c r="E296" s="158"/>
      <c r="F296" s="158"/>
      <c r="G296" s="158"/>
      <c r="H296" s="158"/>
      <c r="I296" s="158"/>
      <c r="J296" s="158"/>
      <c r="K296" s="158"/>
      <c r="L296" s="158"/>
      <c r="M296" s="158"/>
      <c r="N296" s="158"/>
      <c r="O296" s="158"/>
      <c r="P296" s="228"/>
      <c r="Q296" s="158"/>
      <c r="R296" s="158"/>
      <c r="S296" s="207"/>
      <c r="T296" s="207"/>
      <c r="U296" s="207"/>
      <c r="V296" s="207"/>
      <c r="W296" s="207"/>
      <c r="X296" s="207"/>
      <c r="Y296" s="207"/>
      <c r="Z296" s="207"/>
      <c r="AA296" s="207"/>
      <c r="AB296" s="207"/>
      <c r="AC296" s="207"/>
      <c r="AD296" s="207"/>
      <c r="AE296" s="207"/>
      <c r="AF296" s="207"/>
      <c r="AG296" s="207"/>
      <c r="AH296" s="207"/>
      <c r="AI296" s="207"/>
      <c r="AJ296" s="207"/>
      <c r="AK296" s="207"/>
      <c r="AL296" s="207"/>
      <c r="AM296" s="94"/>
      <c r="AN296" s="94"/>
      <c r="AO296" s="94"/>
      <c r="AP296" s="94"/>
      <c r="AQ296" s="94"/>
      <c r="AR296" s="94"/>
      <c r="AS296" s="94"/>
      <c r="AT296" s="94"/>
      <c r="AU296" s="94"/>
      <c r="AV296" s="94"/>
      <c r="AW296" s="94"/>
      <c r="AX296" s="94"/>
      <c r="AY296" s="94"/>
      <c r="AZ296" s="93"/>
      <c r="BA296" s="93"/>
      <c r="BB296" s="93"/>
      <c r="BC296" s="93"/>
      <c r="BD296" s="93"/>
      <c r="BE296" s="93"/>
      <c r="BF296" s="93"/>
      <c r="BG296" s="93"/>
      <c r="BH296" s="93"/>
      <c r="BI296" s="93"/>
      <c r="BJ296" s="93"/>
      <c r="BK296" s="93"/>
      <c r="BL296" s="93"/>
      <c r="BM296" s="93"/>
      <c r="BN296" s="93"/>
      <c r="BO296" s="93"/>
      <c r="BP296" s="93"/>
      <c r="BQ296" s="93"/>
      <c r="BR296" s="93"/>
      <c r="BS296" s="93"/>
      <c r="BT296" s="93"/>
      <c r="BU296" s="93"/>
      <c r="BV296" s="93"/>
      <c r="BW296" s="93"/>
      <c r="BX296" s="93"/>
      <c r="BY296" s="93"/>
      <c r="BZ296" s="93"/>
      <c r="CA296" s="93"/>
      <c r="CB296" s="93"/>
      <c r="CC296" s="93"/>
      <c r="CD296" s="93"/>
      <c r="CE296" s="93"/>
      <c r="CF296" s="93"/>
      <c r="CG296" s="93"/>
      <c r="CH296" s="93"/>
      <c r="CI296" s="93"/>
      <c r="CJ296" s="93"/>
      <c r="CK296" s="93"/>
      <c r="CL296" s="93"/>
      <c r="CM296" s="93"/>
      <c r="CN296" s="93"/>
      <c r="CO296" s="93"/>
      <c r="CP296" s="93"/>
      <c r="CQ296" s="93"/>
      <c r="CR296" s="93"/>
      <c r="CS296" s="93"/>
      <c r="CT296" s="93"/>
      <c r="CU296" s="93"/>
      <c r="CV296" s="93"/>
      <c r="CW296" s="93"/>
      <c r="CX296" s="93"/>
      <c r="CY296" s="93"/>
      <c r="CZ296" s="93"/>
      <c r="DA296" s="93"/>
      <c r="DB296" s="93"/>
      <c r="DC296" s="93"/>
      <c r="DD296" s="93"/>
      <c r="DE296" s="93"/>
      <c r="DF296" s="93"/>
      <c r="DG296" s="93"/>
      <c r="DH296" s="93"/>
      <c r="DI296" s="93"/>
      <c r="DJ296" s="93"/>
      <c r="DK296" s="93"/>
      <c r="DL296" s="93"/>
      <c r="DM296" s="93"/>
      <c r="DN296" s="93"/>
      <c r="DO296" s="93"/>
      <c r="DP296" s="93"/>
      <c r="DQ296" s="93"/>
      <c r="DR296" s="93"/>
      <c r="DS296" s="93"/>
      <c r="DT296" s="93"/>
      <c r="DU296" s="93"/>
      <c r="DV296" s="93"/>
      <c r="DW296" s="93"/>
      <c r="DX296" s="93"/>
      <c r="DY296" s="93"/>
      <c r="DZ296" s="93"/>
      <c r="EA296" s="93"/>
      <c r="EB296" s="93"/>
      <c r="EC296" s="93"/>
      <c r="ED296" s="93"/>
      <c r="EE296" s="93"/>
      <c r="EF296" s="93"/>
      <c r="EG296" s="93"/>
      <c r="EH296" s="93"/>
      <c r="EI296" s="93"/>
      <c r="EJ296" s="93"/>
      <c r="EK296" s="93"/>
      <c r="EL296" s="93"/>
      <c r="EM296" s="93"/>
      <c r="EN296" s="93"/>
      <c r="EO296" s="93"/>
      <c r="EP296" s="93"/>
      <c r="EQ296" s="93"/>
      <c r="ER296" s="93"/>
      <c r="ES296" s="93"/>
      <c r="ET296" s="93"/>
      <c r="EU296" s="93"/>
      <c r="EV296" s="93"/>
      <c r="EW296" s="93"/>
      <c r="EX296" s="93"/>
      <c r="EY296" s="93"/>
      <c r="EZ296" s="93"/>
      <c r="FA296" s="93"/>
      <c r="FB296" s="93"/>
      <c r="FC296" s="93"/>
      <c r="FD296" s="93"/>
      <c r="FE296" s="93"/>
      <c r="FF296" s="93"/>
      <c r="FG296" s="93"/>
      <c r="FH296" s="93"/>
      <c r="FI296" s="93"/>
      <c r="FJ296" s="93"/>
      <c r="FK296" s="93"/>
      <c r="FL296" s="93"/>
      <c r="FM296" s="93"/>
      <c r="FN296" s="93"/>
      <c r="FO296" s="93"/>
      <c r="FP296" s="93"/>
      <c r="FQ296" s="93"/>
      <c r="FR296" s="93"/>
      <c r="FS296" s="93"/>
      <c r="FT296" s="93"/>
      <c r="FU296" s="93"/>
      <c r="FV296" s="93"/>
      <c r="FW296" s="93"/>
      <c r="FX296" s="93"/>
      <c r="FY296" s="93"/>
      <c r="FZ296" s="93"/>
      <c r="GA296" s="93"/>
      <c r="GB296" s="93"/>
      <c r="GC296" s="93"/>
      <c r="GD296" s="93"/>
      <c r="GE296" s="93"/>
      <c r="GF296" s="93"/>
      <c r="GG296" s="93"/>
      <c r="GH296" s="93"/>
      <c r="GI296" s="93"/>
      <c r="GJ296" s="93"/>
      <c r="GK296" s="93"/>
      <c r="GL296" s="93"/>
      <c r="GM296" s="93"/>
      <c r="GN296" s="93"/>
      <c r="GO296" s="93"/>
      <c r="GP296" s="93"/>
      <c r="GQ296" s="93"/>
      <c r="GR296" s="93"/>
      <c r="GS296" s="93"/>
      <c r="GT296" s="93"/>
      <c r="GU296" s="93"/>
      <c r="GV296" s="93"/>
      <c r="GW296" s="93"/>
      <c r="GX296" s="93"/>
      <c r="GY296" s="93"/>
      <c r="GZ296" s="93"/>
      <c r="HA296" s="93"/>
      <c r="HB296" s="93"/>
      <c r="HC296" s="93"/>
      <c r="HD296" s="93"/>
      <c r="HE296" s="93"/>
      <c r="HF296" s="93"/>
      <c r="HG296" s="93"/>
      <c r="HH296" s="93"/>
      <c r="HI296" s="93"/>
      <c r="HJ296" s="93"/>
      <c r="HK296" s="93"/>
      <c r="HL296" s="93"/>
      <c r="HM296" s="93"/>
      <c r="HN296" s="93"/>
      <c r="HO296" s="93"/>
      <c r="HP296" s="93"/>
      <c r="HQ296" s="93"/>
      <c r="HR296" s="93"/>
      <c r="HS296" s="93"/>
      <c r="HT296" s="93"/>
      <c r="HU296" s="93"/>
      <c r="HV296" s="93"/>
      <c r="HW296" s="93"/>
      <c r="HX296" s="93"/>
      <c r="HY296" s="93"/>
      <c r="HZ296" s="93"/>
      <c r="IA296" s="93"/>
      <c r="IB296" s="93"/>
      <c r="IC296" s="93"/>
      <c r="ID296" s="93"/>
      <c r="IE296" s="93"/>
      <c r="IF296" s="93"/>
      <c r="IG296" s="93"/>
      <c r="IH296" s="93"/>
      <c r="II296" s="93"/>
      <c r="IJ296" s="93"/>
      <c r="IK296" s="93"/>
      <c r="IL296" s="93"/>
      <c r="IM296" s="93"/>
      <c r="IN296" s="93"/>
      <c r="IO296" s="93"/>
      <c r="IP296" s="93"/>
      <c r="IQ296" s="93"/>
      <c r="IR296" s="93"/>
      <c r="IS296" s="93"/>
      <c r="IT296" s="93"/>
      <c r="IU296" s="93"/>
      <c r="IV296" s="93"/>
      <c r="IW296" s="93"/>
      <c r="IX296" s="93"/>
      <c r="IY296" s="93"/>
      <c r="IZ296" s="93"/>
    </row>
    <row r="297" spans="1:260" s="95" customFormat="1">
      <c r="A297" s="93"/>
      <c r="B297" s="183"/>
      <c r="C297" s="183"/>
      <c r="D297" s="183"/>
      <c r="E297" s="158"/>
      <c r="F297" s="158"/>
      <c r="G297" s="158"/>
      <c r="H297" s="158"/>
      <c r="I297" s="158"/>
      <c r="J297" s="158"/>
      <c r="K297" s="158"/>
      <c r="L297" s="158"/>
      <c r="M297" s="158"/>
      <c r="N297" s="158"/>
      <c r="O297" s="158"/>
      <c r="P297" s="228"/>
      <c r="Q297" s="158"/>
      <c r="R297" s="158"/>
      <c r="S297" s="207"/>
      <c r="T297" s="207"/>
      <c r="U297" s="207"/>
      <c r="V297" s="207"/>
      <c r="W297" s="207"/>
      <c r="X297" s="207"/>
      <c r="Y297" s="207"/>
      <c r="Z297" s="207"/>
      <c r="AA297" s="207"/>
      <c r="AB297" s="207"/>
      <c r="AC297" s="207"/>
      <c r="AD297" s="207"/>
      <c r="AE297" s="207"/>
      <c r="AF297" s="207"/>
      <c r="AG297" s="207"/>
      <c r="AH297" s="207"/>
      <c r="AI297" s="207"/>
      <c r="AJ297" s="207"/>
      <c r="AK297" s="207"/>
      <c r="AL297" s="207"/>
      <c r="AM297" s="94"/>
      <c r="AN297" s="94"/>
      <c r="AO297" s="94"/>
      <c r="AP297" s="94"/>
      <c r="AQ297" s="94"/>
      <c r="AR297" s="94"/>
      <c r="AS297" s="94"/>
      <c r="AT297" s="94"/>
      <c r="AU297" s="94"/>
      <c r="AV297" s="94"/>
      <c r="AW297" s="94"/>
      <c r="AX297" s="94"/>
      <c r="AY297" s="94"/>
      <c r="AZ297" s="93"/>
      <c r="BA297" s="93"/>
      <c r="BB297" s="93"/>
      <c r="BC297" s="93"/>
      <c r="BD297" s="93"/>
      <c r="BE297" s="93"/>
      <c r="BF297" s="93"/>
      <c r="BG297" s="93"/>
      <c r="BH297" s="93"/>
      <c r="BI297" s="93"/>
      <c r="BJ297" s="93"/>
      <c r="BK297" s="93"/>
      <c r="BL297" s="93"/>
      <c r="BM297" s="93"/>
      <c r="BN297" s="93"/>
      <c r="BO297" s="93"/>
      <c r="BP297" s="93"/>
      <c r="BQ297" s="93"/>
      <c r="BR297" s="93"/>
      <c r="BS297" s="93"/>
      <c r="BT297" s="93"/>
      <c r="BU297" s="93"/>
      <c r="BV297" s="93"/>
      <c r="BW297" s="93"/>
      <c r="BX297" s="93"/>
      <c r="BY297" s="93"/>
      <c r="BZ297" s="93"/>
      <c r="CA297" s="93"/>
      <c r="CB297" s="93"/>
      <c r="CC297" s="93"/>
      <c r="CD297" s="93"/>
      <c r="CE297" s="93"/>
      <c r="CF297" s="93"/>
      <c r="CG297" s="93"/>
      <c r="CH297" s="93"/>
      <c r="CI297" s="93"/>
      <c r="CJ297" s="93"/>
      <c r="CK297" s="93"/>
      <c r="CL297" s="93"/>
      <c r="CM297" s="93"/>
      <c r="CN297" s="93"/>
      <c r="CO297" s="93"/>
      <c r="CP297" s="93"/>
      <c r="CQ297" s="93"/>
      <c r="CR297" s="93"/>
      <c r="CS297" s="93"/>
      <c r="CT297" s="93"/>
      <c r="CU297" s="93"/>
      <c r="CV297" s="93"/>
      <c r="CW297" s="93"/>
      <c r="CX297" s="93"/>
      <c r="CY297" s="93"/>
      <c r="CZ297" s="93"/>
      <c r="DA297" s="93"/>
      <c r="DB297" s="93"/>
      <c r="DC297" s="93"/>
      <c r="DD297" s="93"/>
      <c r="DE297" s="93"/>
      <c r="DF297" s="93"/>
      <c r="DG297" s="93"/>
      <c r="DH297" s="93"/>
      <c r="DI297" s="93"/>
      <c r="DJ297" s="93"/>
      <c r="DK297" s="93"/>
      <c r="DL297" s="93"/>
      <c r="DM297" s="93"/>
      <c r="DN297" s="93"/>
      <c r="DO297" s="93"/>
      <c r="DP297" s="93"/>
      <c r="DQ297" s="93"/>
      <c r="DR297" s="93"/>
      <c r="DS297" s="93"/>
      <c r="DT297" s="93"/>
      <c r="DU297" s="93"/>
      <c r="DV297" s="93"/>
      <c r="DW297" s="93"/>
      <c r="DX297" s="93"/>
      <c r="DY297" s="93"/>
      <c r="DZ297" s="93"/>
      <c r="EA297" s="93"/>
      <c r="EB297" s="93"/>
      <c r="EC297" s="93"/>
      <c r="ED297" s="93"/>
      <c r="EE297" s="93"/>
      <c r="EF297" s="93"/>
      <c r="EG297" s="93"/>
      <c r="EH297" s="93"/>
      <c r="EI297" s="93"/>
      <c r="EJ297" s="93"/>
      <c r="EK297" s="93"/>
      <c r="EL297" s="93"/>
      <c r="EM297" s="93"/>
      <c r="EN297" s="93"/>
      <c r="EO297" s="93"/>
      <c r="EP297" s="93"/>
      <c r="EQ297" s="93"/>
      <c r="ER297" s="93"/>
      <c r="ES297" s="93"/>
      <c r="ET297" s="93"/>
      <c r="EU297" s="93"/>
      <c r="EV297" s="93"/>
      <c r="EW297" s="93"/>
      <c r="EX297" s="93"/>
      <c r="EY297" s="93"/>
      <c r="EZ297" s="93"/>
      <c r="FA297" s="93"/>
      <c r="FB297" s="93"/>
      <c r="FC297" s="93"/>
      <c r="FD297" s="93"/>
      <c r="FE297" s="93"/>
      <c r="FF297" s="93"/>
      <c r="FG297" s="93"/>
      <c r="FH297" s="93"/>
      <c r="FI297" s="93"/>
      <c r="FJ297" s="93"/>
      <c r="FK297" s="93"/>
      <c r="FL297" s="93"/>
      <c r="FM297" s="93"/>
      <c r="FN297" s="93"/>
      <c r="FO297" s="93"/>
      <c r="FP297" s="93"/>
      <c r="FQ297" s="93"/>
      <c r="FR297" s="93"/>
      <c r="FS297" s="93"/>
      <c r="FT297" s="93"/>
      <c r="FU297" s="93"/>
      <c r="FV297" s="93"/>
      <c r="FW297" s="93"/>
      <c r="FX297" s="93"/>
      <c r="FY297" s="93"/>
      <c r="FZ297" s="93"/>
      <c r="GA297" s="93"/>
      <c r="GB297" s="93"/>
      <c r="GC297" s="93"/>
      <c r="GD297" s="93"/>
      <c r="GE297" s="93"/>
      <c r="GF297" s="93"/>
      <c r="GG297" s="93"/>
      <c r="GH297" s="93"/>
      <c r="GI297" s="93"/>
      <c r="GJ297" s="93"/>
      <c r="GK297" s="93"/>
      <c r="GL297" s="93"/>
      <c r="GM297" s="93"/>
      <c r="GN297" s="93"/>
      <c r="GO297" s="93"/>
      <c r="GP297" s="93"/>
      <c r="GQ297" s="93"/>
      <c r="GR297" s="93"/>
      <c r="GS297" s="93"/>
      <c r="GT297" s="93"/>
      <c r="GU297" s="93"/>
      <c r="GV297" s="93"/>
      <c r="GW297" s="93"/>
      <c r="GX297" s="93"/>
      <c r="GY297" s="93"/>
      <c r="GZ297" s="93"/>
      <c r="HA297" s="93"/>
      <c r="HB297" s="93"/>
      <c r="HC297" s="93"/>
      <c r="HD297" s="93"/>
      <c r="HE297" s="93"/>
      <c r="HF297" s="93"/>
      <c r="HG297" s="93"/>
      <c r="HH297" s="93"/>
      <c r="HI297" s="93"/>
      <c r="HJ297" s="93"/>
      <c r="HK297" s="93"/>
      <c r="HL297" s="93"/>
      <c r="HM297" s="93"/>
      <c r="HN297" s="93"/>
      <c r="HO297" s="93"/>
      <c r="HP297" s="93"/>
      <c r="HQ297" s="93"/>
      <c r="HR297" s="93"/>
      <c r="HS297" s="93"/>
      <c r="HT297" s="93"/>
      <c r="HU297" s="93"/>
      <c r="HV297" s="93"/>
      <c r="HW297" s="93"/>
      <c r="HX297" s="93"/>
      <c r="HY297" s="93"/>
      <c r="HZ297" s="93"/>
      <c r="IA297" s="93"/>
      <c r="IB297" s="93"/>
      <c r="IC297" s="93"/>
      <c r="ID297" s="93"/>
      <c r="IE297" s="93"/>
      <c r="IF297" s="93"/>
      <c r="IG297" s="93"/>
      <c r="IH297" s="93"/>
      <c r="II297" s="93"/>
      <c r="IJ297" s="93"/>
      <c r="IK297" s="93"/>
      <c r="IL297" s="93"/>
      <c r="IM297" s="93"/>
      <c r="IN297" s="93"/>
      <c r="IO297" s="93"/>
      <c r="IP297" s="93"/>
      <c r="IQ297" s="93"/>
      <c r="IR297" s="93"/>
      <c r="IS297" s="93"/>
      <c r="IT297" s="93"/>
      <c r="IU297" s="93"/>
      <c r="IV297" s="93"/>
      <c r="IW297" s="93"/>
      <c r="IX297" s="93"/>
      <c r="IY297" s="93"/>
      <c r="IZ297" s="93"/>
    </row>
    <row r="298" spans="1:260" s="95" customFormat="1">
      <c r="A298" s="93"/>
      <c r="B298" s="183"/>
      <c r="C298" s="183"/>
      <c r="D298" s="183"/>
      <c r="E298" s="158"/>
      <c r="F298" s="158"/>
      <c r="G298" s="158"/>
      <c r="H298" s="158"/>
      <c r="I298" s="158"/>
      <c r="J298" s="158"/>
      <c r="K298" s="158"/>
      <c r="L298" s="158"/>
      <c r="M298" s="158"/>
      <c r="N298" s="158"/>
      <c r="O298" s="158"/>
      <c r="P298" s="228"/>
      <c r="Q298" s="158"/>
      <c r="R298" s="158"/>
      <c r="S298" s="207"/>
      <c r="T298" s="207"/>
      <c r="U298" s="207"/>
      <c r="V298" s="207"/>
      <c r="W298" s="207"/>
      <c r="X298" s="207"/>
      <c r="Y298" s="207"/>
      <c r="Z298" s="207"/>
      <c r="AA298" s="207"/>
      <c r="AB298" s="207"/>
      <c r="AC298" s="207"/>
      <c r="AD298" s="207"/>
      <c r="AE298" s="207"/>
      <c r="AF298" s="207"/>
      <c r="AG298" s="207"/>
      <c r="AH298" s="207"/>
      <c r="AI298" s="207"/>
      <c r="AJ298" s="207"/>
      <c r="AK298" s="207"/>
      <c r="AL298" s="207"/>
      <c r="AM298" s="94"/>
      <c r="AN298" s="94"/>
      <c r="AO298" s="94"/>
      <c r="AP298" s="94"/>
      <c r="AQ298" s="94"/>
      <c r="AR298" s="94"/>
      <c r="AS298" s="94"/>
      <c r="AT298" s="94"/>
      <c r="AU298" s="94"/>
      <c r="AV298" s="94"/>
      <c r="AW298" s="94"/>
      <c r="AX298" s="94"/>
      <c r="AY298" s="94"/>
      <c r="AZ298" s="93"/>
      <c r="BA298" s="93"/>
      <c r="BB298" s="93"/>
      <c r="BC298" s="93"/>
      <c r="BD298" s="93"/>
      <c r="BE298" s="93"/>
      <c r="BF298" s="93"/>
      <c r="BG298" s="93"/>
      <c r="BH298" s="93"/>
      <c r="BI298" s="93"/>
      <c r="BJ298" s="93"/>
      <c r="BK298" s="93"/>
      <c r="BL298" s="93"/>
      <c r="BM298" s="93"/>
      <c r="BN298" s="93"/>
      <c r="BO298" s="93"/>
      <c r="BP298" s="93"/>
      <c r="BQ298" s="93"/>
      <c r="BR298" s="93"/>
      <c r="BS298" s="93"/>
      <c r="BT298" s="93"/>
      <c r="BU298" s="93"/>
      <c r="BV298" s="93"/>
      <c r="BW298" s="93"/>
      <c r="BX298" s="93"/>
      <c r="BY298" s="93"/>
      <c r="BZ298" s="93"/>
      <c r="CA298" s="93"/>
      <c r="CB298" s="93"/>
      <c r="CC298" s="93"/>
      <c r="CD298" s="93"/>
      <c r="CE298" s="93"/>
      <c r="CF298" s="93"/>
      <c r="CG298" s="93"/>
      <c r="CH298" s="93"/>
      <c r="CI298" s="93"/>
      <c r="CJ298" s="93"/>
      <c r="CK298" s="93"/>
      <c r="CL298" s="93"/>
      <c r="CM298" s="93"/>
      <c r="CN298" s="93"/>
      <c r="CO298" s="93"/>
      <c r="CP298" s="93"/>
      <c r="CQ298" s="93"/>
      <c r="CR298" s="93"/>
      <c r="CS298" s="93"/>
      <c r="CT298" s="93"/>
      <c r="CU298" s="93"/>
      <c r="CV298" s="93"/>
      <c r="CW298" s="93"/>
      <c r="CX298" s="93"/>
      <c r="CY298" s="93"/>
      <c r="CZ298" s="93"/>
      <c r="DA298" s="93"/>
      <c r="DB298" s="93"/>
      <c r="DC298" s="93"/>
      <c r="DD298" s="93"/>
      <c r="DE298" s="93"/>
      <c r="DF298" s="93"/>
      <c r="DG298" s="93"/>
      <c r="DH298" s="93"/>
      <c r="DI298" s="93"/>
      <c r="DJ298" s="93"/>
      <c r="DK298" s="93"/>
      <c r="DL298" s="93"/>
      <c r="DM298" s="93"/>
      <c r="DN298" s="93"/>
      <c r="DO298" s="93"/>
      <c r="DP298" s="93"/>
      <c r="DQ298" s="93"/>
      <c r="DR298" s="93"/>
      <c r="DS298" s="93"/>
      <c r="DT298" s="93"/>
      <c r="DU298" s="93"/>
      <c r="DV298" s="93"/>
      <c r="DW298" s="93"/>
      <c r="DX298" s="93"/>
      <c r="DY298" s="93"/>
      <c r="DZ298" s="93"/>
      <c r="EA298" s="93"/>
      <c r="EB298" s="93"/>
      <c r="EC298" s="93"/>
      <c r="ED298" s="93"/>
      <c r="EE298" s="93"/>
      <c r="EF298" s="93"/>
      <c r="EG298" s="93"/>
      <c r="EH298" s="93"/>
      <c r="EI298" s="93"/>
      <c r="EJ298" s="93"/>
      <c r="EK298" s="93"/>
      <c r="EL298" s="93"/>
      <c r="EM298" s="93"/>
      <c r="EN298" s="93"/>
      <c r="EO298" s="93"/>
      <c r="EP298" s="93"/>
      <c r="EQ298" s="93"/>
      <c r="ER298" s="93"/>
      <c r="ES298" s="93"/>
      <c r="ET298" s="93"/>
      <c r="EU298" s="93"/>
      <c r="EV298" s="93"/>
      <c r="EW298" s="93"/>
      <c r="EX298" s="93"/>
      <c r="EY298" s="93"/>
      <c r="EZ298" s="93"/>
      <c r="FA298" s="93"/>
      <c r="FB298" s="93"/>
      <c r="FC298" s="93"/>
      <c r="FD298" s="93"/>
      <c r="FE298" s="93"/>
      <c r="FF298" s="93"/>
      <c r="FG298" s="93"/>
      <c r="FH298" s="93"/>
      <c r="FI298" s="93"/>
      <c r="FJ298" s="93"/>
      <c r="FK298" s="93"/>
      <c r="FL298" s="93"/>
      <c r="FM298" s="93"/>
      <c r="FN298" s="93"/>
      <c r="FO298" s="93"/>
      <c r="FP298" s="93"/>
      <c r="FQ298" s="93"/>
      <c r="FR298" s="93"/>
      <c r="FS298" s="93"/>
      <c r="FT298" s="93"/>
      <c r="FU298" s="93"/>
      <c r="FV298" s="93"/>
      <c r="FW298" s="93"/>
      <c r="FX298" s="93"/>
      <c r="FY298" s="93"/>
      <c r="FZ298" s="93"/>
      <c r="GA298" s="93"/>
      <c r="GB298" s="93"/>
      <c r="GC298" s="93"/>
      <c r="GD298" s="93"/>
      <c r="GE298" s="93"/>
      <c r="GF298" s="93"/>
      <c r="GG298" s="93"/>
      <c r="GH298" s="93"/>
      <c r="GI298" s="93"/>
      <c r="GJ298" s="93"/>
      <c r="GK298" s="93"/>
      <c r="GL298" s="93"/>
      <c r="GM298" s="93"/>
      <c r="GN298" s="93"/>
      <c r="GO298" s="93"/>
      <c r="GP298" s="93"/>
      <c r="GQ298" s="93"/>
      <c r="GR298" s="93"/>
      <c r="GS298" s="93"/>
      <c r="GT298" s="93"/>
      <c r="GU298" s="93"/>
      <c r="GV298" s="93"/>
      <c r="GW298" s="93"/>
      <c r="GX298" s="93"/>
      <c r="GY298" s="93"/>
      <c r="GZ298" s="93"/>
      <c r="HA298" s="93"/>
      <c r="HB298" s="93"/>
      <c r="HC298" s="93"/>
      <c r="HD298" s="93"/>
      <c r="HE298" s="93"/>
      <c r="HF298" s="93"/>
      <c r="HG298" s="93"/>
      <c r="HH298" s="93"/>
      <c r="HI298" s="93"/>
      <c r="HJ298" s="93"/>
      <c r="HK298" s="93"/>
      <c r="HL298" s="93"/>
      <c r="HM298" s="93"/>
      <c r="HN298" s="93"/>
      <c r="HO298" s="93"/>
      <c r="HP298" s="93"/>
      <c r="HQ298" s="93"/>
      <c r="HR298" s="93"/>
      <c r="HS298" s="93"/>
      <c r="HT298" s="93"/>
      <c r="HU298" s="93"/>
      <c r="HV298" s="93"/>
      <c r="HW298" s="93"/>
      <c r="HX298" s="93"/>
      <c r="HY298" s="93"/>
      <c r="HZ298" s="93"/>
      <c r="IA298" s="93"/>
      <c r="IB298" s="93"/>
      <c r="IC298" s="93"/>
      <c r="ID298" s="93"/>
      <c r="IE298" s="93"/>
      <c r="IF298" s="93"/>
      <c r="IG298" s="93"/>
      <c r="IH298" s="93"/>
      <c r="II298" s="93"/>
      <c r="IJ298" s="93"/>
      <c r="IK298" s="93"/>
      <c r="IL298" s="93"/>
      <c r="IM298" s="93"/>
      <c r="IN298" s="93"/>
      <c r="IO298" s="93"/>
      <c r="IP298" s="93"/>
      <c r="IQ298" s="93"/>
      <c r="IR298" s="93"/>
      <c r="IS298" s="93"/>
      <c r="IT298" s="93"/>
      <c r="IU298" s="93"/>
      <c r="IV298" s="93"/>
      <c r="IW298" s="93"/>
      <c r="IX298" s="93"/>
      <c r="IY298" s="93"/>
      <c r="IZ298" s="93"/>
    </row>
    <row r="299" spans="1:260" s="95" customFormat="1">
      <c r="A299" s="93"/>
      <c r="B299" s="183"/>
      <c r="C299" s="183"/>
      <c r="D299" s="183"/>
      <c r="E299" s="158"/>
      <c r="F299" s="158"/>
      <c r="G299" s="158"/>
      <c r="H299" s="158"/>
      <c r="I299" s="158"/>
      <c r="J299" s="158"/>
      <c r="K299" s="158"/>
      <c r="L299" s="158"/>
      <c r="M299" s="158"/>
      <c r="N299" s="158"/>
      <c r="O299" s="158"/>
      <c r="P299" s="228"/>
      <c r="Q299" s="158"/>
      <c r="R299" s="158"/>
      <c r="S299" s="207"/>
      <c r="T299" s="207"/>
      <c r="U299" s="207"/>
      <c r="V299" s="207"/>
      <c r="W299" s="207"/>
      <c r="X299" s="207"/>
      <c r="Y299" s="207"/>
      <c r="Z299" s="207"/>
      <c r="AA299" s="207"/>
      <c r="AB299" s="207"/>
      <c r="AC299" s="207"/>
      <c r="AD299" s="207"/>
      <c r="AE299" s="207"/>
      <c r="AF299" s="207"/>
      <c r="AG299" s="207"/>
      <c r="AH299" s="207"/>
      <c r="AI299" s="207"/>
      <c r="AJ299" s="207"/>
      <c r="AK299" s="207"/>
      <c r="AL299" s="207"/>
      <c r="AM299" s="94"/>
      <c r="AN299" s="94"/>
      <c r="AO299" s="94"/>
      <c r="AP299" s="94"/>
      <c r="AQ299" s="94"/>
      <c r="AR299" s="94"/>
      <c r="AS299" s="94"/>
      <c r="AT299" s="94"/>
      <c r="AU299" s="94"/>
      <c r="AV299" s="94"/>
      <c r="AW299" s="94"/>
      <c r="AX299" s="94"/>
      <c r="AY299" s="94"/>
      <c r="AZ299" s="93"/>
      <c r="BA299" s="93"/>
      <c r="BB299" s="93"/>
      <c r="BC299" s="93"/>
      <c r="BD299" s="93"/>
      <c r="BE299" s="93"/>
      <c r="BF299" s="93"/>
      <c r="BG299" s="93"/>
      <c r="BH299" s="93"/>
      <c r="BI299" s="93"/>
      <c r="BJ299" s="93"/>
      <c r="BK299" s="93"/>
      <c r="BL299" s="93"/>
      <c r="BM299" s="93"/>
      <c r="BN299" s="93"/>
      <c r="BO299" s="93"/>
      <c r="BP299" s="93"/>
      <c r="BQ299" s="93"/>
      <c r="BR299" s="93"/>
      <c r="BS299" s="93"/>
      <c r="BT299" s="93"/>
      <c r="BU299" s="93"/>
      <c r="BV299" s="93"/>
      <c r="BW299" s="93"/>
      <c r="BX299" s="93"/>
      <c r="BY299" s="93"/>
      <c r="BZ299" s="93"/>
      <c r="CA299" s="93"/>
      <c r="CB299" s="93"/>
      <c r="CC299" s="93"/>
      <c r="CD299" s="93"/>
      <c r="CE299" s="93"/>
      <c r="CF299" s="93"/>
      <c r="CG299" s="93"/>
      <c r="CH299" s="93"/>
      <c r="CI299" s="93"/>
      <c r="CJ299" s="93"/>
      <c r="CK299" s="93"/>
      <c r="CL299" s="93"/>
      <c r="CM299" s="93"/>
      <c r="CN299" s="93"/>
      <c r="CO299" s="93"/>
      <c r="CP299" s="93"/>
      <c r="CQ299" s="93"/>
      <c r="CR299" s="93"/>
      <c r="CS299" s="93"/>
      <c r="CT299" s="93"/>
      <c r="CU299" s="93"/>
      <c r="CV299" s="93"/>
      <c r="CW299" s="93"/>
      <c r="CX299" s="93"/>
      <c r="CY299" s="93"/>
      <c r="CZ299" s="93"/>
      <c r="DA299" s="93"/>
      <c r="DB299" s="93"/>
      <c r="DC299" s="93"/>
      <c r="DD299" s="93"/>
      <c r="DE299" s="93"/>
      <c r="DF299" s="93"/>
      <c r="DG299" s="93"/>
      <c r="DH299" s="93"/>
      <c r="DI299" s="93"/>
      <c r="DJ299" s="93"/>
      <c r="DK299" s="93"/>
      <c r="DL299" s="93"/>
      <c r="DM299" s="93"/>
      <c r="DN299" s="93"/>
      <c r="DO299" s="93"/>
      <c r="DP299" s="93"/>
      <c r="DQ299" s="93"/>
      <c r="DR299" s="93"/>
      <c r="DS299" s="93"/>
      <c r="DT299" s="93"/>
      <c r="DU299" s="93"/>
      <c r="DV299" s="93"/>
      <c r="DW299" s="93"/>
      <c r="DX299" s="93"/>
      <c r="DY299" s="93"/>
      <c r="DZ299" s="93"/>
      <c r="EA299" s="93"/>
      <c r="EB299" s="93"/>
      <c r="EC299" s="93"/>
      <c r="ED299" s="93"/>
      <c r="EE299" s="93"/>
      <c r="EF299" s="93"/>
      <c r="EG299" s="93"/>
      <c r="EH299" s="93"/>
      <c r="EI299" s="93"/>
      <c r="EJ299" s="93"/>
      <c r="EK299" s="93"/>
      <c r="EL299" s="93"/>
      <c r="EM299" s="93"/>
      <c r="EN299" s="93"/>
      <c r="EO299" s="93"/>
      <c r="EP299" s="93"/>
      <c r="EQ299" s="93"/>
      <c r="ER299" s="93"/>
      <c r="ES299" s="93"/>
      <c r="ET299" s="93"/>
      <c r="EU299" s="93"/>
      <c r="EV299" s="93"/>
      <c r="EW299" s="93"/>
      <c r="EX299" s="93"/>
      <c r="EY299" s="93"/>
      <c r="EZ299" s="93"/>
      <c r="FA299" s="93"/>
      <c r="FB299" s="93"/>
      <c r="FC299" s="93"/>
      <c r="FD299" s="93"/>
      <c r="FE299" s="93"/>
      <c r="FF299" s="93"/>
      <c r="FG299" s="93"/>
      <c r="FH299" s="93"/>
      <c r="FI299" s="93"/>
      <c r="FJ299" s="93"/>
      <c r="FK299" s="93"/>
      <c r="FL299" s="93"/>
      <c r="FM299" s="93"/>
      <c r="FN299" s="93"/>
      <c r="FO299" s="93"/>
      <c r="FP299" s="93"/>
      <c r="FQ299" s="93"/>
      <c r="FR299" s="93"/>
      <c r="FS299" s="93"/>
      <c r="FT299" s="93"/>
      <c r="FU299" s="93"/>
      <c r="FV299" s="93"/>
      <c r="FW299" s="93"/>
      <c r="FX299" s="93"/>
      <c r="FY299" s="93"/>
      <c r="FZ299" s="93"/>
      <c r="GA299" s="93"/>
      <c r="GB299" s="93"/>
      <c r="GC299" s="93"/>
      <c r="GD299" s="93"/>
      <c r="GE299" s="93"/>
      <c r="GF299" s="93"/>
      <c r="GG299" s="93"/>
      <c r="GH299" s="93"/>
      <c r="GI299" s="93"/>
      <c r="GJ299" s="93"/>
      <c r="GK299" s="93"/>
      <c r="GL299" s="93"/>
      <c r="GM299" s="93"/>
      <c r="GN299" s="93"/>
      <c r="GO299" s="93"/>
      <c r="GP299" s="93"/>
      <c r="GQ299" s="93"/>
      <c r="GR299" s="93"/>
      <c r="GS299" s="93"/>
      <c r="GT299" s="93"/>
      <c r="GU299" s="93"/>
      <c r="GV299" s="93"/>
      <c r="GW299" s="93"/>
      <c r="GX299" s="93"/>
      <c r="GY299" s="93"/>
      <c r="GZ299" s="93"/>
      <c r="HA299" s="93"/>
      <c r="HB299" s="93"/>
      <c r="HC299" s="93"/>
      <c r="HD299" s="93"/>
      <c r="HE299" s="93"/>
      <c r="HF299" s="93"/>
      <c r="HG299" s="93"/>
      <c r="HH299" s="93"/>
      <c r="HI299" s="93"/>
      <c r="HJ299" s="93"/>
      <c r="HK299" s="93"/>
      <c r="HL299" s="93"/>
      <c r="HM299" s="93"/>
      <c r="HN299" s="93"/>
      <c r="HO299" s="93"/>
      <c r="HP299" s="93"/>
      <c r="HQ299" s="93"/>
      <c r="HR299" s="93"/>
      <c r="HS299" s="93"/>
      <c r="HT299" s="93"/>
      <c r="HU299" s="93"/>
      <c r="HV299" s="93"/>
      <c r="HW299" s="93"/>
      <c r="HX299" s="93"/>
      <c r="HY299" s="93"/>
      <c r="HZ299" s="93"/>
      <c r="IA299" s="93"/>
      <c r="IB299" s="93"/>
      <c r="IC299" s="93"/>
      <c r="ID299" s="93"/>
      <c r="IE299" s="93"/>
      <c r="IF299" s="93"/>
      <c r="IG299" s="93"/>
      <c r="IH299" s="93"/>
      <c r="II299" s="93"/>
      <c r="IJ299" s="93"/>
      <c r="IK299" s="93"/>
      <c r="IL299" s="93"/>
      <c r="IM299" s="93"/>
      <c r="IN299" s="93"/>
      <c r="IO299" s="93"/>
      <c r="IP299" s="93"/>
      <c r="IQ299" s="93"/>
      <c r="IR299" s="93"/>
      <c r="IS299" s="93"/>
      <c r="IT299" s="93"/>
      <c r="IU299" s="93"/>
      <c r="IV299" s="93"/>
      <c r="IW299" s="93"/>
      <c r="IX299" s="93"/>
      <c r="IY299" s="93"/>
      <c r="IZ299" s="93"/>
    </row>
    <row r="300" spans="1:260" s="95" customFormat="1">
      <c r="A300" s="93"/>
      <c r="B300" s="183"/>
      <c r="C300" s="183"/>
      <c r="D300" s="183"/>
      <c r="E300" s="158"/>
      <c r="F300" s="158"/>
      <c r="G300" s="158"/>
      <c r="H300" s="158"/>
      <c r="I300" s="158"/>
      <c r="J300" s="158"/>
      <c r="K300" s="158"/>
      <c r="L300" s="158"/>
      <c r="M300" s="158"/>
      <c r="N300" s="158"/>
      <c r="O300" s="158"/>
      <c r="P300" s="228"/>
      <c r="Q300" s="158"/>
      <c r="R300" s="158"/>
      <c r="S300" s="207"/>
      <c r="T300" s="207"/>
      <c r="U300" s="207"/>
      <c r="V300" s="207"/>
      <c r="W300" s="207"/>
      <c r="X300" s="207"/>
      <c r="Y300" s="207"/>
      <c r="Z300" s="207"/>
      <c r="AA300" s="207"/>
      <c r="AB300" s="207"/>
      <c r="AC300" s="207"/>
      <c r="AD300" s="207"/>
      <c r="AE300" s="207"/>
      <c r="AF300" s="207"/>
      <c r="AG300" s="207"/>
      <c r="AH300" s="207"/>
      <c r="AI300" s="207"/>
      <c r="AJ300" s="207"/>
      <c r="AK300" s="207"/>
      <c r="AL300" s="207"/>
      <c r="AM300" s="94"/>
      <c r="AN300" s="94"/>
      <c r="AO300" s="94"/>
      <c r="AP300" s="94"/>
      <c r="AQ300" s="94"/>
      <c r="AR300" s="94"/>
      <c r="AS300" s="94"/>
      <c r="AT300" s="94"/>
      <c r="AU300" s="94"/>
      <c r="AV300" s="94"/>
      <c r="AW300" s="94"/>
      <c r="AX300" s="94"/>
      <c r="AY300" s="94"/>
      <c r="AZ300" s="93"/>
      <c r="BA300" s="93"/>
      <c r="BB300" s="93"/>
      <c r="BC300" s="93"/>
      <c r="BD300" s="93"/>
      <c r="BE300" s="93"/>
      <c r="BF300" s="93"/>
      <c r="BG300" s="93"/>
      <c r="BH300" s="93"/>
      <c r="BI300" s="93"/>
      <c r="BJ300" s="93"/>
      <c r="BK300" s="93"/>
      <c r="BL300" s="93"/>
      <c r="BM300" s="93"/>
      <c r="BN300" s="93"/>
      <c r="BO300" s="93"/>
      <c r="BP300" s="93"/>
      <c r="BQ300" s="93"/>
      <c r="BR300" s="93"/>
      <c r="BS300" s="93"/>
      <c r="BT300" s="93"/>
      <c r="BU300" s="93"/>
      <c r="BV300" s="93"/>
      <c r="BW300" s="93"/>
      <c r="BX300" s="93"/>
      <c r="BY300" s="93"/>
      <c r="BZ300" s="93"/>
      <c r="CA300" s="93"/>
      <c r="CB300" s="93"/>
      <c r="CC300" s="93"/>
      <c r="CD300" s="93"/>
      <c r="CE300" s="93"/>
      <c r="CF300" s="93"/>
      <c r="CG300" s="93"/>
      <c r="CH300" s="93"/>
      <c r="CI300" s="93"/>
      <c r="CJ300" s="93"/>
      <c r="CK300" s="93"/>
      <c r="CL300" s="93"/>
      <c r="CM300" s="93"/>
      <c r="CN300" s="93"/>
      <c r="CO300" s="93"/>
      <c r="CP300" s="93"/>
      <c r="CQ300" s="93"/>
      <c r="CR300" s="93"/>
      <c r="CS300" s="93"/>
      <c r="CT300" s="93"/>
      <c r="CU300" s="93"/>
      <c r="CV300" s="93"/>
      <c r="CW300" s="93"/>
      <c r="CX300" s="93"/>
      <c r="CY300" s="93"/>
      <c r="CZ300" s="93"/>
      <c r="DA300" s="93"/>
      <c r="DB300" s="93"/>
      <c r="DC300" s="93"/>
      <c r="DD300" s="93"/>
      <c r="DE300" s="93"/>
      <c r="DF300" s="93"/>
      <c r="DG300" s="93"/>
      <c r="DH300" s="93"/>
      <c r="DI300" s="93"/>
      <c r="DJ300" s="93"/>
      <c r="DK300" s="93"/>
      <c r="DL300" s="93"/>
      <c r="DM300" s="93"/>
      <c r="DN300" s="93"/>
      <c r="DO300" s="93"/>
      <c r="DP300" s="93"/>
      <c r="DQ300" s="93"/>
      <c r="DR300" s="93"/>
      <c r="DS300" s="93"/>
      <c r="DT300" s="93"/>
      <c r="DU300" s="93"/>
      <c r="DV300" s="93"/>
      <c r="DW300" s="93"/>
      <c r="DX300" s="93"/>
      <c r="DY300" s="93"/>
      <c r="DZ300" s="93"/>
      <c r="EA300" s="93"/>
      <c r="EB300" s="93"/>
      <c r="EC300" s="93"/>
      <c r="ED300" s="93"/>
      <c r="EE300" s="93"/>
      <c r="EF300" s="93"/>
      <c r="EG300" s="93"/>
      <c r="EH300" s="93"/>
      <c r="EI300" s="93"/>
      <c r="EJ300" s="93"/>
      <c r="EK300" s="93"/>
      <c r="EL300" s="93"/>
      <c r="EM300" s="93"/>
      <c r="EN300" s="93"/>
      <c r="EO300" s="93"/>
      <c r="EP300" s="93"/>
      <c r="EQ300" s="93"/>
      <c r="ER300" s="93"/>
      <c r="ES300" s="93"/>
      <c r="ET300" s="93"/>
      <c r="EU300" s="93"/>
      <c r="EV300" s="93"/>
      <c r="EW300" s="93"/>
      <c r="EX300" s="93"/>
      <c r="EY300" s="93"/>
      <c r="EZ300" s="93"/>
      <c r="FA300" s="93"/>
      <c r="FB300" s="93"/>
      <c r="FC300" s="93"/>
      <c r="FD300" s="93"/>
      <c r="FE300" s="93"/>
      <c r="FF300" s="93"/>
      <c r="FG300" s="93"/>
      <c r="FH300" s="93"/>
      <c r="FI300" s="93"/>
      <c r="FJ300" s="93"/>
      <c r="FK300" s="93"/>
      <c r="FL300" s="93"/>
      <c r="FM300" s="93"/>
      <c r="FN300" s="93"/>
      <c r="FO300" s="93"/>
      <c r="FP300" s="93"/>
      <c r="FQ300" s="93"/>
      <c r="FR300" s="93"/>
      <c r="FS300" s="93"/>
      <c r="FT300" s="93"/>
      <c r="FU300" s="93"/>
      <c r="FV300" s="93"/>
      <c r="FW300" s="93"/>
      <c r="FX300" s="93"/>
      <c r="FY300" s="93"/>
      <c r="FZ300" s="93"/>
      <c r="GA300" s="93"/>
      <c r="GB300" s="93"/>
      <c r="GC300" s="93"/>
      <c r="GD300" s="93"/>
      <c r="GE300" s="93"/>
      <c r="GF300" s="93"/>
      <c r="GG300" s="93"/>
      <c r="GH300" s="93"/>
      <c r="GI300" s="93"/>
      <c r="GJ300" s="93"/>
      <c r="GK300" s="93"/>
      <c r="GL300" s="93"/>
      <c r="GM300" s="93"/>
      <c r="GN300" s="93"/>
      <c r="GO300" s="93"/>
      <c r="GP300" s="93"/>
      <c r="GQ300" s="93"/>
      <c r="GR300" s="93"/>
      <c r="GS300" s="93"/>
      <c r="GT300" s="93"/>
      <c r="GU300" s="93"/>
      <c r="GV300" s="93"/>
      <c r="GW300" s="93"/>
      <c r="GX300" s="93"/>
      <c r="GY300" s="93"/>
      <c r="GZ300" s="93"/>
      <c r="HA300" s="93"/>
      <c r="HB300" s="93"/>
      <c r="HC300" s="93"/>
      <c r="HD300" s="93"/>
      <c r="HE300" s="93"/>
      <c r="HF300" s="93"/>
      <c r="HG300" s="93"/>
      <c r="HH300" s="93"/>
      <c r="HI300" s="93"/>
      <c r="HJ300" s="93"/>
      <c r="HK300" s="93"/>
      <c r="HL300" s="93"/>
      <c r="HM300" s="93"/>
      <c r="HN300" s="93"/>
      <c r="HO300" s="93"/>
      <c r="HP300" s="93"/>
      <c r="HQ300" s="93"/>
      <c r="HR300" s="93"/>
      <c r="HS300" s="93"/>
      <c r="HT300" s="93"/>
      <c r="HU300" s="93"/>
      <c r="HV300" s="93"/>
      <c r="HW300" s="93"/>
      <c r="HX300" s="93"/>
      <c r="HY300" s="93"/>
      <c r="HZ300" s="93"/>
      <c r="IA300" s="93"/>
      <c r="IB300" s="93"/>
      <c r="IC300" s="93"/>
      <c r="ID300" s="93"/>
      <c r="IE300" s="93"/>
      <c r="IF300" s="93"/>
      <c r="IG300" s="93"/>
      <c r="IH300" s="93"/>
      <c r="II300" s="93"/>
      <c r="IJ300" s="93"/>
      <c r="IK300" s="93"/>
      <c r="IL300" s="93"/>
      <c r="IM300" s="93"/>
      <c r="IN300" s="93"/>
      <c r="IO300" s="93"/>
      <c r="IP300" s="93"/>
      <c r="IQ300" s="93"/>
      <c r="IR300" s="93"/>
      <c r="IS300" s="93"/>
      <c r="IT300" s="93"/>
      <c r="IU300" s="93"/>
      <c r="IV300" s="93"/>
      <c r="IW300" s="93"/>
      <c r="IX300" s="93"/>
      <c r="IY300" s="93"/>
      <c r="IZ300" s="93"/>
    </row>
    <row r="301" spans="1:260" s="95" customFormat="1">
      <c r="A301" s="93"/>
      <c r="B301" s="183"/>
      <c r="C301" s="183"/>
      <c r="D301" s="183"/>
      <c r="E301" s="158"/>
      <c r="F301" s="158"/>
      <c r="G301" s="158"/>
      <c r="H301" s="158"/>
      <c r="I301" s="158"/>
      <c r="J301" s="158"/>
      <c r="K301" s="158"/>
      <c r="L301" s="158"/>
      <c r="M301" s="158"/>
      <c r="N301" s="158"/>
      <c r="O301" s="158"/>
      <c r="P301" s="228"/>
      <c r="Q301" s="158"/>
      <c r="R301" s="158"/>
      <c r="S301" s="207"/>
      <c r="T301" s="207"/>
      <c r="U301" s="207"/>
      <c r="V301" s="207"/>
      <c r="W301" s="207"/>
      <c r="X301" s="207"/>
      <c r="Y301" s="207"/>
      <c r="Z301" s="207"/>
      <c r="AA301" s="207"/>
      <c r="AB301" s="207"/>
      <c r="AC301" s="207"/>
      <c r="AD301" s="207"/>
      <c r="AE301" s="207"/>
      <c r="AF301" s="207"/>
      <c r="AG301" s="207"/>
      <c r="AH301" s="207"/>
      <c r="AI301" s="207"/>
      <c r="AJ301" s="207"/>
      <c r="AK301" s="207"/>
      <c r="AL301" s="207"/>
      <c r="AM301" s="94"/>
      <c r="AN301" s="94"/>
      <c r="AO301" s="94"/>
      <c r="AP301" s="94"/>
      <c r="AQ301" s="94"/>
      <c r="AR301" s="94"/>
      <c r="AS301" s="94"/>
      <c r="AT301" s="94"/>
      <c r="AU301" s="94"/>
      <c r="AV301" s="94"/>
      <c r="AW301" s="94"/>
      <c r="AX301" s="94"/>
      <c r="AY301" s="94"/>
      <c r="AZ301" s="93"/>
      <c r="BA301" s="93"/>
      <c r="BB301" s="93"/>
      <c r="BC301" s="93"/>
      <c r="BD301" s="93"/>
      <c r="BE301" s="93"/>
      <c r="BF301" s="93"/>
      <c r="BG301" s="93"/>
      <c r="BH301" s="93"/>
      <c r="BI301" s="93"/>
      <c r="BJ301" s="93"/>
      <c r="BK301" s="93"/>
      <c r="BL301" s="93"/>
      <c r="BM301" s="93"/>
      <c r="BN301" s="93"/>
      <c r="BO301" s="93"/>
      <c r="BP301" s="93"/>
      <c r="BQ301" s="93"/>
      <c r="BR301" s="93"/>
      <c r="BS301" s="93"/>
      <c r="BT301" s="93"/>
      <c r="BU301" s="93"/>
      <c r="BV301" s="93"/>
      <c r="BW301" s="93"/>
      <c r="BX301" s="93"/>
      <c r="BY301" s="93"/>
      <c r="BZ301" s="93"/>
      <c r="CA301" s="93"/>
      <c r="CB301" s="93"/>
      <c r="CC301" s="93"/>
      <c r="CD301" s="93"/>
      <c r="CE301" s="93"/>
      <c r="CF301" s="93"/>
      <c r="CG301" s="93"/>
      <c r="CH301" s="93"/>
      <c r="CI301" s="93"/>
      <c r="CJ301" s="93"/>
      <c r="CK301" s="93"/>
      <c r="CL301" s="93"/>
      <c r="CM301" s="93"/>
      <c r="CN301" s="93"/>
      <c r="CO301" s="93"/>
      <c r="CP301" s="93"/>
      <c r="CQ301" s="93"/>
      <c r="CR301" s="93"/>
      <c r="CS301" s="93"/>
      <c r="CT301" s="93"/>
      <c r="CU301" s="93"/>
      <c r="CV301" s="93"/>
      <c r="CW301" s="93"/>
      <c r="CX301" s="93"/>
      <c r="CY301" s="93"/>
      <c r="CZ301" s="93"/>
      <c r="DA301" s="93"/>
      <c r="DB301" s="93"/>
      <c r="DC301" s="93"/>
      <c r="DD301" s="93"/>
      <c r="DE301" s="93"/>
      <c r="DF301" s="93"/>
      <c r="DG301" s="93"/>
      <c r="DH301" s="93"/>
      <c r="DI301" s="93"/>
      <c r="DJ301" s="93"/>
      <c r="DK301" s="93"/>
      <c r="DL301" s="93"/>
      <c r="DM301" s="93"/>
      <c r="DN301" s="93"/>
      <c r="DO301" s="93"/>
      <c r="DP301" s="93"/>
      <c r="DQ301" s="93"/>
      <c r="DR301" s="93"/>
      <c r="DS301" s="93"/>
      <c r="DT301" s="93"/>
      <c r="DU301" s="93"/>
      <c r="DV301" s="93"/>
      <c r="DW301" s="93"/>
      <c r="DX301" s="93"/>
      <c r="DY301" s="93"/>
      <c r="DZ301" s="93"/>
      <c r="EA301" s="93"/>
      <c r="EB301" s="93"/>
      <c r="EC301" s="93"/>
      <c r="ED301" s="93"/>
      <c r="EE301" s="93"/>
      <c r="EF301" s="93"/>
      <c r="EG301" s="93"/>
      <c r="EH301" s="93"/>
      <c r="EI301" s="93"/>
      <c r="EJ301" s="93"/>
      <c r="EK301" s="93"/>
      <c r="EL301" s="93"/>
      <c r="EM301" s="93"/>
      <c r="EN301" s="93"/>
      <c r="EO301" s="93"/>
      <c r="EP301" s="93"/>
      <c r="EQ301" s="93"/>
      <c r="ER301" s="93"/>
      <c r="ES301" s="93"/>
      <c r="ET301" s="93"/>
      <c r="EU301" s="93"/>
      <c r="EV301" s="93"/>
      <c r="EW301" s="93"/>
      <c r="EX301" s="93"/>
      <c r="EY301" s="93"/>
      <c r="EZ301" s="93"/>
      <c r="FA301" s="93"/>
      <c r="FB301" s="93"/>
      <c r="FC301" s="93"/>
      <c r="FD301" s="93"/>
      <c r="FE301" s="93"/>
      <c r="FF301" s="93"/>
      <c r="FG301" s="93"/>
      <c r="FH301" s="93"/>
      <c r="FI301" s="93"/>
      <c r="FJ301" s="93"/>
      <c r="FK301" s="93"/>
      <c r="FL301" s="93"/>
      <c r="FM301" s="93"/>
      <c r="FN301" s="93"/>
      <c r="FO301" s="93"/>
      <c r="FP301" s="93"/>
      <c r="FQ301" s="93"/>
      <c r="FR301" s="93"/>
      <c r="FS301" s="93"/>
      <c r="FT301" s="93"/>
      <c r="FU301" s="93"/>
      <c r="FV301" s="93"/>
      <c r="FW301" s="93"/>
      <c r="FX301" s="93"/>
      <c r="FY301" s="93"/>
      <c r="FZ301" s="93"/>
      <c r="GA301" s="93"/>
      <c r="GB301" s="93"/>
      <c r="GC301" s="93"/>
      <c r="GD301" s="93"/>
      <c r="GE301" s="93"/>
      <c r="GF301" s="93"/>
      <c r="GG301" s="93"/>
      <c r="GH301" s="93"/>
      <c r="GI301" s="93"/>
      <c r="GJ301" s="93"/>
      <c r="GK301" s="93"/>
      <c r="GL301" s="93"/>
      <c r="GM301" s="93"/>
      <c r="GN301" s="93"/>
      <c r="GO301" s="93"/>
      <c r="GP301" s="93"/>
      <c r="GQ301" s="93"/>
      <c r="GR301" s="93"/>
      <c r="GS301" s="93"/>
      <c r="GT301" s="93"/>
      <c r="GU301" s="93"/>
      <c r="GV301" s="93"/>
      <c r="GW301" s="93"/>
      <c r="GX301" s="93"/>
      <c r="GY301" s="93"/>
      <c r="GZ301" s="93"/>
      <c r="HA301" s="93"/>
      <c r="HB301" s="93"/>
      <c r="HC301" s="93"/>
      <c r="HD301" s="93"/>
      <c r="HE301" s="93"/>
      <c r="HF301" s="93"/>
      <c r="HG301" s="93"/>
      <c r="HH301" s="93"/>
      <c r="HI301" s="93"/>
      <c r="HJ301" s="93"/>
      <c r="HK301" s="93"/>
      <c r="HL301" s="93"/>
      <c r="HM301" s="93"/>
      <c r="HN301" s="93"/>
      <c r="HO301" s="93"/>
      <c r="HP301" s="93"/>
      <c r="HQ301" s="93"/>
      <c r="HR301" s="93"/>
      <c r="HS301" s="93"/>
      <c r="HT301" s="93"/>
      <c r="HU301" s="93"/>
      <c r="HV301" s="93"/>
      <c r="HW301" s="93"/>
      <c r="HX301" s="93"/>
      <c r="HY301" s="93"/>
      <c r="HZ301" s="93"/>
      <c r="IA301" s="93"/>
      <c r="IB301" s="93"/>
      <c r="IC301" s="93"/>
      <c r="ID301" s="93"/>
      <c r="IE301" s="93"/>
      <c r="IF301" s="93"/>
      <c r="IG301" s="93"/>
      <c r="IH301" s="93"/>
      <c r="II301" s="93"/>
      <c r="IJ301" s="93"/>
      <c r="IK301" s="93"/>
      <c r="IL301" s="93"/>
      <c r="IM301" s="93"/>
      <c r="IN301" s="93"/>
      <c r="IO301" s="93"/>
      <c r="IP301" s="93"/>
      <c r="IQ301" s="93"/>
      <c r="IR301" s="93"/>
      <c r="IS301" s="93"/>
      <c r="IT301" s="93"/>
      <c r="IU301" s="93"/>
      <c r="IV301" s="93"/>
      <c r="IW301" s="93"/>
      <c r="IX301" s="93"/>
      <c r="IY301" s="93"/>
      <c r="IZ301" s="93"/>
    </row>
    <row r="302" spans="1:260" s="95" customFormat="1">
      <c r="A302" s="93"/>
      <c r="B302" s="183"/>
      <c r="C302" s="183"/>
      <c r="D302" s="183"/>
      <c r="E302" s="158"/>
      <c r="F302" s="158"/>
      <c r="G302" s="158"/>
      <c r="H302" s="158"/>
      <c r="I302" s="158"/>
      <c r="J302" s="158"/>
      <c r="K302" s="158"/>
      <c r="L302" s="158"/>
      <c r="M302" s="158"/>
      <c r="N302" s="158"/>
      <c r="O302" s="158"/>
      <c r="P302" s="228"/>
      <c r="Q302" s="158"/>
      <c r="R302" s="158"/>
      <c r="S302" s="207"/>
      <c r="T302" s="207"/>
      <c r="U302" s="207"/>
      <c r="V302" s="207"/>
      <c r="W302" s="207"/>
      <c r="X302" s="207"/>
      <c r="Y302" s="207"/>
      <c r="Z302" s="207"/>
      <c r="AA302" s="207"/>
      <c r="AB302" s="207"/>
      <c r="AC302" s="207"/>
      <c r="AD302" s="207"/>
      <c r="AE302" s="207"/>
      <c r="AF302" s="207"/>
      <c r="AG302" s="207"/>
      <c r="AH302" s="207"/>
      <c r="AI302" s="207"/>
      <c r="AJ302" s="207"/>
      <c r="AK302" s="207"/>
      <c r="AL302" s="207"/>
      <c r="AM302" s="94"/>
      <c r="AN302" s="94"/>
      <c r="AO302" s="94"/>
      <c r="AP302" s="94"/>
      <c r="AQ302" s="94"/>
      <c r="AR302" s="94"/>
      <c r="AS302" s="94"/>
      <c r="AT302" s="94"/>
      <c r="AU302" s="94"/>
      <c r="AV302" s="94"/>
      <c r="AW302" s="94"/>
      <c r="AX302" s="94"/>
      <c r="AY302" s="94"/>
      <c r="AZ302" s="93"/>
      <c r="BA302" s="93"/>
      <c r="BB302" s="93"/>
      <c r="BC302" s="93"/>
      <c r="BD302" s="93"/>
      <c r="BE302" s="93"/>
      <c r="BF302" s="93"/>
      <c r="BG302" s="93"/>
      <c r="BH302" s="93"/>
      <c r="BI302" s="93"/>
      <c r="BJ302" s="93"/>
      <c r="BK302" s="93"/>
      <c r="BL302" s="93"/>
      <c r="BM302" s="93"/>
      <c r="BN302" s="93"/>
      <c r="BO302" s="93"/>
      <c r="BP302" s="93"/>
      <c r="BQ302" s="93"/>
      <c r="BR302" s="93"/>
      <c r="BS302" s="93"/>
      <c r="BT302" s="93"/>
      <c r="BU302" s="93"/>
      <c r="BV302" s="93"/>
      <c r="BW302" s="93"/>
      <c r="BX302" s="93"/>
      <c r="BY302" s="93"/>
      <c r="BZ302" s="93"/>
      <c r="CA302" s="93"/>
      <c r="CB302" s="93"/>
      <c r="CC302" s="93"/>
      <c r="CD302" s="93"/>
      <c r="CE302" s="93"/>
      <c r="CF302" s="93"/>
      <c r="CG302" s="93"/>
      <c r="CH302" s="93"/>
      <c r="CI302" s="93"/>
      <c r="CJ302" s="93"/>
      <c r="CK302" s="93"/>
      <c r="CL302" s="93"/>
      <c r="CM302" s="93"/>
      <c r="CN302" s="93"/>
      <c r="CO302" s="93"/>
      <c r="CP302" s="93"/>
      <c r="CQ302" s="93"/>
      <c r="CR302" s="93"/>
      <c r="CS302" s="93"/>
      <c r="CT302" s="93"/>
      <c r="CU302" s="93"/>
      <c r="CV302" s="93"/>
      <c r="CW302" s="93"/>
      <c r="CX302" s="93"/>
      <c r="CY302" s="93"/>
      <c r="CZ302" s="93"/>
      <c r="DA302" s="93"/>
      <c r="DB302" s="93"/>
      <c r="DC302" s="93"/>
      <c r="DD302" s="93"/>
      <c r="DE302" s="93"/>
      <c r="DF302" s="93"/>
      <c r="DG302" s="93"/>
      <c r="DH302" s="93"/>
      <c r="DI302" s="93"/>
      <c r="DJ302" s="93"/>
      <c r="DK302" s="93"/>
      <c r="DL302" s="93"/>
      <c r="DM302" s="93"/>
      <c r="DN302" s="93"/>
      <c r="DO302" s="93"/>
      <c r="DP302" s="93"/>
      <c r="DQ302" s="93"/>
      <c r="DR302" s="93"/>
      <c r="DS302" s="93"/>
      <c r="DT302" s="93"/>
      <c r="DU302" s="93"/>
      <c r="DV302" s="93"/>
      <c r="DW302" s="93"/>
      <c r="DX302" s="93"/>
      <c r="DY302" s="93"/>
      <c r="DZ302" s="93"/>
      <c r="EA302" s="93"/>
      <c r="EB302" s="93"/>
      <c r="EC302" s="93"/>
      <c r="ED302" s="93"/>
      <c r="EE302" s="93"/>
      <c r="EF302" s="93"/>
      <c r="EG302" s="93"/>
      <c r="EH302" s="93"/>
      <c r="EI302" s="93"/>
      <c r="EJ302" s="93"/>
      <c r="EK302" s="93"/>
      <c r="EL302" s="93"/>
      <c r="EM302" s="93"/>
      <c r="EN302" s="93"/>
      <c r="EO302" s="93"/>
      <c r="EP302" s="93"/>
      <c r="EQ302" s="93"/>
      <c r="ER302" s="93"/>
      <c r="ES302" s="93"/>
      <c r="ET302" s="93"/>
      <c r="EU302" s="93"/>
      <c r="EV302" s="93"/>
      <c r="EW302" s="93"/>
      <c r="EX302" s="93"/>
      <c r="EY302" s="93"/>
      <c r="EZ302" s="93"/>
      <c r="FA302" s="93"/>
      <c r="FB302" s="93"/>
      <c r="FC302" s="93"/>
      <c r="FD302" s="93"/>
      <c r="FE302" s="93"/>
      <c r="FF302" s="93"/>
      <c r="FG302" s="93"/>
      <c r="FH302" s="93"/>
      <c r="FI302" s="93"/>
      <c r="FJ302" s="93"/>
      <c r="FK302" s="93"/>
      <c r="FL302" s="93"/>
      <c r="FM302" s="93"/>
      <c r="FN302" s="93"/>
      <c r="FO302" s="93"/>
      <c r="FP302" s="93"/>
      <c r="FQ302" s="93"/>
      <c r="FR302" s="93"/>
      <c r="FS302" s="93"/>
      <c r="FT302" s="93"/>
      <c r="FU302" s="93"/>
      <c r="FV302" s="93"/>
      <c r="FW302" s="93"/>
      <c r="FX302" s="93"/>
      <c r="FY302" s="93"/>
      <c r="FZ302" s="93"/>
      <c r="GA302" s="93"/>
      <c r="GB302" s="93"/>
      <c r="GC302" s="93"/>
      <c r="GD302" s="93"/>
      <c r="GE302" s="93"/>
      <c r="GF302" s="93"/>
      <c r="GG302" s="93"/>
      <c r="GH302" s="93"/>
      <c r="GI302" s="93"/>
      <c r="GJ302" s="93"/>
      <c r="GK302" s="93"/>
      <c r="GL302" s="93"/>
      <c r="GM302" s="93"/>
      <c r="GN302" s="93"/>
      <c r="GO302" s="93"/>
      <c r="GP302" s="93"/>
      <c r="GQ302" s="93"/>
      <c r="GR302" s="93"/>
      <c r="GS302" s="93"/>
      <c r="GT302" s="93"/>
      <c r="GU302" s="93"/>
      <c r="GV302" s="93"/>
      <c r="GW302" s="93"/>
      <c r="GX302" s="93"/>
      <c r="GY302" s="93"/>
      <c r="GZ302" s="93"/>
      <c r="HA302" s="93"/>
      <c r="HB302" s="93"/>
      <c r="HC302" s="93"/>
      <c r="HD302" s="93"/>
      <c r="HE302" s="93"/>
      <c r="HF302" s="93"/>
      <c r="HG302" s="93"/>
      <c r="HH302" s="93"/>
      <c r="HI302" s="93"/>
      <c r="HJ302" s="93"/>
      <c r="HK302" s="93"/>
      <c r="HL302" s="93"/>
      <c r="HM302" s="93"/>
      <c r="HN302" s="93"/>
      <c r="HO302" s="93"/>
      <c r="HP302" s="93"/>
      <c r="HQ302" s="93"/>
      <c r="HR302" s="93"/>
      <c r="HS302" s="93"/>
      <c r="HT302" s="93"/>
      <c r="HU302" s="93"/>
      <c r="HV302" s="93"/>
      <c r="HW302" s="93"/>
      <c r="HX302" s="93"/>
      <c r="HY302" s="93"/>
      <c r="HZ302" s="93"/>
      <c r="IA302" s="93"/>
      <c r="IB302" s="93"/>
      <c r="IC302" s="93"/>
      <c r="ID302" s="93"/>
      <c r="IE302" s="93"/>
      <c r="IF302" s="93"/>
      <c r="IG302" s="93"/>
      <c r="IH302" s="93"/>
      <c r="II302" s="93"/>
      <c r="IJ302" s="93"/>
      <c r="IK302" s="93"/>
      <c r="IL302" s="93"/>
      <c r="IM302" s="93"/>
      <c r="IN302" s="93"/>
      <c r="IO302" s="93"/>
      <c r="IP302" s="93"/>
      <c r="IQ302" s="93"/>
      <c r="IR302" s="93"/>
      <c r="IS302" s="93"/>
      <c r="IT302" s="93"/>
      <c r="IU302" s="93"/>
      <c r="IV302" s="93"/>
      <c r="IW302" s="93"/>
      <c r="IX302" s="93"/>
      <c r="IY302" s="93"/>
      <c r="IZ302" s="93"/>
    </row>
    <row r="303" spans="1:260" s="95" customFormat="1" ht="15" customHeight="1">
      <c r="A303" s="93"/>
      <c r="B303" s="183"/>
      <c r="C303" s="183"/>
      <c r="D303" s="183"/>
      <c r="E303" s="158"/>
      <c r="F303" s="158"/>
      <c r="G303" s="824"/>
      <c r="H303" s="824"/>
      <c r="I303" s="824"/>
      <c r="J303" s="824"/>
      <c r="K303" s="824"/>
      <c r="L303" s="824"/>
      <c r="M303" s="824"/>
      <c r="N303" s="824"/>
      <c r="O303" s="824"/>
      <c r="P303" s="824"/>
      <c r="Q303" s="158"/>
      <c r="R303" s="158"/>
      <c r="S303" s="207"/>
      <c r="T303" s="207"/>
      <c r="U303" s="207"/>
      <c r="V303" s="207"/>
      <c r="W303" s="207"/>
      <c r="X303" s="207"/>
      <c r="Y303" s="207"/>
      <c r="Z303" s="207"/>
      <c r="AA303" s="207"/>
      <c r="AB303" s="207"/>
      <c r="AC303" s="207"/>
      <c r="AD303" s="207"/>
      <c r="AE303" s="207"/>
      <c r="AF303" s="207"/>
      <c r="AG303" s="207"/>
      <c r="AH303" s="207"/>
      <c r="AI303" s="207"/>
      <c r="AJ303" s="207"/>
      <c r="AK303" s="207"/>
      <c r="AL303" s="207"/>
      <c r="AM303" s="94"/>
      <c r="AN303" s="94"/>
      <c r="AO303" s="94"/>
      <c r="AP303" s="94"/>
      <c r="AQ303" s="94"/>
      <c r="AR303" s="94"/>
      <c r="AS303" s="94"/>
      <c r="AT303" s="94"/>
      <c r="AU303" s="94"/>
      <c r="AV303" s="94"/>
      <c r="AW303" s="94"/>
      <c r="AX303" s="94"/>
      <c r="AY303" s="94"/>
      <c r="AZ303" s="93"/>
      <c r="BA303" s="93"/>
      <c r="BB303" s="93"/>
      <c r="BC303" s="93"/>
      <c r="BD303" s="93"/>
      <c r="BE303" s="93"/>
      <c r="BF303" s="93"/>
      <c r="BG303" s="93"/>
      <c r="BH303" s="93"/>
      <c r="BI303" s="93"/>
      <c r="BJ303" s="93"/>
      <c r="BK303" s="93"/>
      <c r="BL303" s="93"/>
      <c r="BM303" s="93"/>
      <c r="BN303" s="93"/>
      <c r="BO303" s="93"/>
      <c r="BP303" s="93"/>
      <c r="BQ303" s="93"/>
      <c r="BR303" s="93"/>
      <c r="BS303" s="93"/>
      <c r="BT303" s="93"/>
      <c r="BU303" s="93"/>
      <c r="BV303" s="93"/>
      <c r="BW303" s="93"/>
      <c r="BX303" s="93"/>
      <c r="BY303" s="93"/>
      <c r="BZ303" s="93"/>
      <c r="CA303" s="93"/>
      <c r="CB303" s="93"/>
      <c r="CC303" s="93"/>
      <c r="CD303" s="93"/>
      <c r="CE303" s="93"/>
      <c r="CF303" s="93"/>
      <c r="CG303" s="93"/>
      <c r="CH303" s="93"/>
      <c r="CI303" s="93"/>
      <c r="CJ303" s="93"/>
      <c r="CK303" s="93"/>
      <c r="CL303" s="93"/>
      <c r="CM303" s="93"/>
      <c r="CN303" s="93"/>
      <c r="CO303" s="93"/>
      <c r="CP303" s="93"/>
      <c r="CQ303" s="93"/>
      <c r="CR303" s="93"/>
      <c r="CS303" s="93"/>
      <c r="CT303" s="93"/>
      <c r="CU303" s="93"/>
      <c r="CV303" s="93"/>
      <c r="CW303" s="93"/>
      <c r="CX303" s="93"/>
      <c r="CY303" s="93"/>
      <c r="CZ303" s="93"/>
      <c r="DA303" s="93"/>
      <c r="DB303" s="93"/>
      <c r="DC303" s="93"/>
      <c r="DD303" s="93"/>
      <c r="DE303" s="93"/>
      <c r="DF303" s="93"/>
      <c r="DG303" s="93"/>
      <c r="DH303" s="93"/>
      <c r="DI303" s="93"/>
      <c r="DJ303" s="93"/>
      <c r="DK303" s="93"/>
      <c r="DL303" s="93"/>
      <c r="DM303" s="93"/>
      <c r="DN303" s="93"/>
      <c r="DO303" s="93"/>
      <c r="DP303" s="93"/>
      <c r="DQ303" s="93"/>
      <c r="DR303" s="93"/>
      <c r="DS303" s="93"/>
      <c r="DT303" s="93"/>
      <c r="DU303" s="93"/>
      <c r="DV303" s="93"/>
      <c r="DW303" s="93"/>
      <c r="DX303" s="93"/>
      <c r="DY303" s="93"/>
      <c r="DZ303" s="93"/>
      <c r="EA303" s="93"/>
      <c r="EB303" s="93"/>
      <c r="EC303" s="93"/>
      <c r="ED303" s="93"/>
      <c r="EE303" s="93"/>
      <c r="EF303" s="93"/>
      <c r="EG303" s="93"/>
      <c r="EH303" s="93"/>
      <c r="EI303" s="93"/>
      <c r="EJ303" s="93"/>
      <c r="EK303" s="93"/>
      <c r="EL303" s="93"/>
      <c r="EM303" s="93"/>
      <c r="EN303" s="93"/>
      <c r="EO303" s="93"/>
      <c r="EP303" s="93"/>
      <c r="EQ303" s="93"/>
      <c r="ER303" s="93"/>
      <c r="ES303" s="93"/>
      <c r="ET303" s="93"/>
      <c r="EU303" s="93"/>
      <c r="EV303" s="93"/>
      <c r="EW303" s="93"/>
      <c r="EX303" s="93"/>
      <c r="EY303" s="93"/>
      <c r="EZ303" s="93"/>
      <c r="FA303" s="93"/>
      <c r="FB303" s="93"/>
      <c r="FC303" s="93"/>
      <c r="FD303" s="93"/>
      <c r="FE303" s="93"/>
      <c r="FF303" s="93"/>
      <c r="FG303" s="93"/>
      <c r="FH303" s="93"/>
      <c r="FI303" s="93"/>
      <c r="FJ303" s="93"/>
      <c r="FK303" s="93"/>
      <c r="FL303" s="93"/>
      <c r="FM303" s="93"/>
      <c r="FN303" s="93"/>
      <c r="FO303" s="93"/>
      <c r="FP303" s="93"/>
      <c r="FQ303" s="93"/>
      <c r="FR303" s="93"/>
      <c r="FS303" s="93"/>
      <c r="FT303" s="93"/>
      <c r="FU303" s="93"/>
      <c r="FV303" s="93"/>
      <c r="FW303" s="93"/>
      <c r="FX303" s="93"/>
      <c r="FY303" s="93"/>
      <c r="FZ303" s="93"/>
      <c r="GA303" s="93"/>
      <c r="GB303" s="93"/>
      <c r="GC303" s="93"/>
      <c r="GD303" s="93"/>
      <c r="GE303" s="93"/>
      <c r="GF303" s="93"/>
      <c r="GG303" s="93"/>
      <c r="GH303" s="93"/>
      <c r="GI303" s="93"/>
      <c r="GJ303" s="93"/>
      <c r="GK303" s="93"/>
      <c r="GL303" s="93"/>
      <c r="GM303" s="93"/>
      <c r="GN303" s="93"/>
      <c r="GO303" s="93"/>
      <c r="GP303" s="93"/>
      <c r="GQ303" s="93"/>
      <c r="GR303" s="93"/>
      <c r="GS303" s="93"/>
      <c r="GT303" s="93"/>
      <c r="GU303" s="93"/>
      <c r="GV303" s="93"/>
      <c r="GW303" s="93"/>
      <c r="GX303" s="93"/>
      <c r="GY303" s="93"/>
      <c r="GZ303" s="93"/>
      <c r="HA303" s="93"/>
      <c r="HB303" s="93"/>
      <c r="HC303" s="93"/>
      <c r="HD303" s="93"/>
      <c r="HE303" s="93"/>
      <c r="HF303" s="93"/>
      <c r="HG303" s="93"/>
      <c r="HH303" s="93"/>
      <c r="HI303" s="93"/>
      <c r="HJ303" s="93"/>
      <c r="HK303" s="93"/>
      <c r="HL303" s="93"/>
      <c r="HM303" s="93"/>
      <c r="HN303" s="93"/>
      <c r="HO303" s="93"/>
      <c r="HP303" s="93"/>
      <c r="HQ303" s="93"/>
      <c r="HR303" s="93"/>
      <c r="HS303" s="93"/>
      <c r="HT303" s="93"/>
      <c r="HU303" s="93"/>
      <c r="HV303" s="93"/>
      <c r="HW303" s="93"/>
      <c r="HX303" s="93"/>
      <c r="HY303" s="93"/>
      <c r="HZ303" s="93"/>
      <c r="IA303" s="93"/>
      <c r="IB303" s="93"/>
      <c r="IC303" s="93"/>
      <c r="ID303" s="93"/>
      <c r="IE303" s="93"/>
      <c r="IF303" s="93"/>
      <c r="IG303" s="93"/>
      <c r="IH303" s="93"/>
      <c r="II303" s="93"/>
      <c r="IJ303" s="93"/>
      <c r="IK303" s="93"/>
      <c r="IL303" s="93"/>
      <c r="IM303" s="93"/>
      <c r="IN303" s="93"/>
      <c r="IO303" s="93"/>
      <c r="IP303" s="93"/>
      <c r="IQ303" s="93"/>
      <c r="IR303" s="93"/>
      <c r="IS303" s="93"/>
      <c r="IT303" s="93"/>
      <c r="IU303" s="93"/>
      <c r="IV303" s="93"/>
      <c r="IW303" s="93"/>
      <c r="IX303" s="93"/>
      <c r="IY303" s="93"/>
      <c r="IZ303" s="93"/>
    </row>
    <row r="304" spans="1:260" s="95" customFormat="1" ht="15" customHeight="1">
      <c r="A304" s="93"/>
      <c r="B304" s="183"/>
      <c r="C304" s="183"/>
      <c r="D304" s="183"/>
      <c r="E304" s="158"/>
      <c r="F304" s="158"/>
      <c r="G304" s="824"/>
      <c r="H304" s="824"/>
      <c r="I304" s="824"/>
      <c r="J304" s="824"/>
      <c r="K304" s="824"/>
      <c r="L304" s="824"/>
      <c r="M304" s="824"/>
      <c r="N304" s="824"/>
      <c r="O304" s="824"/>
      <c r="P304" s="824"/>
      <c r="Q304" s="158"/>
      <c r="R304" s="158"/>
      <c r="S304" s="207"/>
      <c r="T304" s="207"/>
      <c r="U304" s="207"/>
      <c r="V304" s="207"/>
      <c r="W304" s="207"/>
      <c r="X304" s="207"/>
      <c r="Y304" s="207"/>
      <c r="Z304" s="207"/>
      <c r="AA304" s="207"/>
      <c r="AB304" s="207"/>
      <c r="AC304" s="207"/>
      <c r="AD304" s="207"/>
      <c r="AE304" s="207"/>
      <c r="AF304" s="207"/>
      <c r="AG304" s="207"/>
      <c r="AH304" s="207"/>
      <c r="AI304" s="207"/>
      <c r="AJ304" s="207"/>
      <c r="AK304" s="207"/>
      <c r="AL304" s="207"/>
      <c r="AM304" s="94"/>
      <c r="AN304" s="94"/>
      <c r="AO304" s="94"/>
      <c r="AP304" s="94"/>
      <c r="AQ304" s="94"/>
      <c r="AR304" s="94"/>
      <c r="AS304" s="94"/>
      <c r="AT304" s="94"/>
      <c r="AU304" s="94"/>
      <c r="AV304" s="94"/>
      <c r="AW304" s="94"/>
      <c r="AX304" s="94"/>
      <c r="AY304" s="94"/>
      <c r="AZ304" s="93"/>
      <c r="BA304" s="93"/>
      <c r="BB304" s="93"/>
      <c r="BC304" s="93"/>
      <c r="BD304" s="93"/>
      <c r="BE304" s="93"/>
      <c r="BF304" s="93"/>
      <c r="BG304" s="93"/>
      <c r="BH304" s="93"/>
      <c r="BI304" s="93"/>
      <c r="BJ304" s="93"/>
      <c r="BK304" s="93"/>
      <c r="BL304" s="93"/>
      <c r="BM304" s="93"/>
      <c r="BN304" s="93"/>
      <c r="BO304" s="93"/>
      <c r="BP304" s="93"/>
      <c r="BQ304" s="93"/>
      <c r="BR304" s="93"/>
      <c r="BS304" s="93"/>
      <c r="BT304" s="93"/>
      <c r="BU304" s="93"/>
      <c r="BV304" s="93"/>
      <c r="BW304" s="93"/>
      <c r="BX304" s="93"/>
      <c r="BY304" s="93"/>
      <c r="BZ304" s="93"/>
      <c r="CA304" s="93"/>
      <c r="CB304" s="93"/>
      <c r="CC304" s="93"/>
      <c r="CD304" s="93"/>
      <c r="CE304" s="93"/>
      <c r="CF304" s="93"/>
      <c r="CG304" s="93"/>
      <c r="CH304" s="93"/>
      <c r="CI304" s="93"/>
      <c r="CJ304" s="93"/>
      <c r="CK304" s="93"/>
      <c r="CL304" s="93"/>
      <c r="CM304" s="93"/>
      <c r="CN304" s="93"/>
      <c r="CO304" s="93"/>
      <c r="CP304" s="93"/>
      <c r="CQ304" s="93"/>
      <c r="CR304" s="93"/>
      <c r="CS304" s="93"/>
      <c r="CT304" s="93"/>
      <c r="CU304" s="93"/>
      <c r="CV304" s="93"/>
      <c r="CW304" s="93"/>
      <c r="CX304" s="93"/>
      <c r="CY304" s="93"/>
      <c r="CZ304" s="93"/>
      <c r="DA304" s="93"/>
      <c r="DB304" s="93"/>
      <c r="DC304" s="93"/>
      <c r="DD304" s="93"/>
      <c r="DE304" s="93"/>
      <c r="DF304" s="93"/>
      <c r="DG304" s="93"/>
      <c r="DH304" s="93"/>
      <c r="DI304" s="93"/>
      <c r="DJ304" s="93"/>
      <c r="DK304" s="93"/>
      <c r="DL304" s="93"/>
      <c r="DM304" s="93"/>
      <c r="DN304" s="93"/>
      <c r="DO304" s="93"/>
      <c r="DP304" s="93"/>
      <c r="DQ304" s="93"/>
      <c r="DR304" s="93"/>
      <c r="DS304" s="93"/>
      <c r="DT304" s="93"/>
      <c r="DU304" s="93"/>
      <c r="DV304" s="93"/>
      <c r="DW304" s="93"/>
      <c r="DX304" s="93"/>
      <c r="DY304" s="93"/>
      <c r="DZ304" s="93"/>
      <c r="EA304" s="93"/>
      <c r="EB304" s="93"/>
      <c r="EC304" s="93"/>
      <c r="ED304" s="93"/>
      <c r="EE304" s="93"/>
      <c r="EF304" s="93"/>
      <c r="EG304" s="93"/>
      <c r="EH304" s="93"/>
      <c r="EI304" s="93"/>
      <c r="EJ304" s="93"/>
      <c r="EK304" s="93"/>
      <c r="EL304" s="93"/>
      <c r="EM304" s="93"/>
      <c r="EN304" s="93"/>
      <c r="EO304" s="93"/>
      <c r="EP304" s="93"/>
      <c r="EQ304" s="93"/>
      <c r="ER304" s="93"/>
      <c r="ES304" s="93"/>
      <c r="ET304" s="93"/>
      <c r="EU304" s="93"/>
      <c r="EV304" s="93"/>
      <c r="EW304" s="93"/>
      <c r="EX304" s="93"/>
      <c r="EY304" s="93"/>
      <c r="EZ304" s="93"/>
      <c r="FA304" s="93"/>
      <c r="FB304" s="93"/>
      <c r="FC304" s="93"/>
      <c r="FD304" s="93"/>
      <c r="FE304" s="93"/>
      <c r="FF304" s="93"/>
      <c r="FG304" s="93"/>
      <c r="FH304" s="93"/>
      <c r="FI304" s="93"/>
      <c r="FJ304" s="93"/>
      <c r="FK304" s="93"/>
      <c r="FL304" s="93"/>
      <c r="FM304" s="93"/>
      <c r="FN304" s="93"/>
      <c r="FO304" s="93"/>
      <c r="FP304" s="93"/>
      <c r="FQ304" s="93"/>
      <c r="FR304" s="93"/>
      <c r="FS304" s="93"/>
      <c r="FT304" s="93"/>
      <c r="FU304" s="93"/>
      <c r="FV304" s="93"/>
      <c r="FW304" s="93"/>
      <c r="FX304" s="93"/>
      <c r="FY304" s="93"/>
      <c r="FZ304" s="93"/>
      <c r="GA304" s="93"/>
      <c r="GB304" s="93"/>
      <c r="GC304" s="93"/>
      <c r="GD304" s="93"/>
      <c r="GE304" s="93"/>
      <c r="GF304" s="93"/>
      <c r="GG304" s="93"/>
      <c r="GH304" s="93"/>
      <c r="GI304" s="93"/>
      <c r="GJ304" s="93"/>
      <c r="GK304" s="93"/>
      <c r="GL304" s="93"/>
      <c r="GM304" s="93"/>
      <c r="GN304" s="93"/>
      <c r="GO304" s="93"/>
      <c r="GP304" s="93"/>
      <c r="GQ304" s="93"/>
      <c r="GR304" s="93"/>
      <c r="GS304" s="93"/>
      <c r="GT304" s="93"/>
      <c r="GU304" s="93"/>
      <c r="GV304" s="93"/>
      <c r="GW304" s="93"/>
      <c r="GX304" s="93"/>
      <c r="GY304" s="93"/>
      <c r="GZ304" s="93"/>
      <c r="HA304" s="93"/>
      <c r="HB304" s="93"/>
      <c r="HC304" s="93"/>
      <c r="HD304" s="93"/>
      <c r="HE304" s="93"/>
      <c r="HF304" s="93"/>
      <c r="HG304" s="93"/>
      <c r="HH304" s="93"/>
      <c r="HI304" s="93"/>
      <c r="HJ304" s="93"/>
      <c r="HK304" s="93"/>
      <c r="HL304" s="93"/>
      <c r="HM304" s="93"/>
      <c r="HN304" s="93"/>
      <c r="HO304" s="93"/>
      <c r="HP304" s="93"/>
      <c r="HQ304" s="93"/>
      <c r="HR304" s="93"/>
      <c r="HS304" s="93"/>
      <c r="HT304" s="93"/>
      <c r="HU304" s="93"/>
      <c r="HV304" s="93"/>
      <c r="HW304" s="93"/>
      <c r="HX304" s="93"/>
      <c r="HY304" s="93"/>
      <c r="HZ304" s="93"/>
      <c r="IA304" s="93"/>
      <c r="IB304" s="93"/>
      <c r="IC304" s="93"/>
      <c r="ID304" s="93"/>
      <c r="IE304" s="93"/>
      <c r="IF304" s="93"/>
      <c r="IG304" s="93"/>
      <c r="IH304" s="93"/>
      <c r="II304" s="93"/>
      <c r="IJ304" s="93"/>
      <c r="IK304" s="93"/>
      <c r="IL304" s="93"/>
      <c r="IM304" s="93"/>
      <c r="IN304" s="93"/>
      <c r="IO304" s="93"/>
      <c r="IP304" s="93"/>
      <c r="IQ304" s="93"/>
      <c r="IR304" s="93"/>
      <c r="IS304" s="93"/>
      <c r="IT304" s="93"/>
      <c r="IU304" s="93"/>
      <c r="IV304" s="93"/>
      <c r="IW304" s="93"/>
      <c r="IX304" s="93"/>
      <c r="IY304" s="93"/>
      <c r="IZ304" s="93"/>
    </row>
    <row r="305" spans="1:260" s="95" customFormat="1" ht="15" customHeight="1">
      <c r="A305" s="93"/>
      <c r="B305" s="183"/>
      <c r="C305" s="183"/>
      <c r="D305" s="183"/>
      <c r="E305" s="158"/>
      <c r="F305" s="158"/>
      <c r="G305" s="824"/>
      <c r="H305" s="824"/>
      <c r="I305" s="824"/>
      <c r="J305" s="824"/>
      <c r="K305" s="824"/>
      <c r="L305" s="824"/>
      <c r="M305" s="824"/>
      <c r="N305" s="824"/>
      <c r="O305" s="824"/>
      <c r="P305" s="824"/>
      <c r="Q305" s="158"/>
      <c r="R305" s="158"/>
      <c r="S305" s="207"/>
      <c r="T305" s="207"/>
      <c r="U305" s="207"/>
      <c r="V305" s="207"/>
      <c r="W305" s="207"/>
      <c r="X305" s="207"/>
      <c r="Y305" s="207"/>
      <c r="Z305" s="207"/>
      <c r="AA305" s="207"/>
      <c r="AB305" s="207"/>
      <c r="AC305" s="207"/>
      <c r="AD305" s="207"/>
      <c r="AE305" s="207"/>
      <c r="AF305" s="207"/>
      <c r="AG305" s="207"/>
      <c r="AH305" s="207"/>
      <c r="AI305" s="207"/>
      <c r="AJ305" s="207"/>
      <c r="AK305" s="207"/>
      <c r="AL305" s="207"/>
      <c r="AM305" s="94"/>
      <c r="AN305" s="94"/>
      <c r="AO305" s="94"/>
      <c r="AP305" s="94"/>
      <c r="AQ305" s="94"/>
      <c r="AR305" s="94"/>
      <c r="AS305" s="94"/>
      <c r="AT305" s="94"/>
      <c r="AU305" s="94"/>
      <c r="AV305" s="94"/>
      <c r="AW305" s="94"/>
      <c r="AX305" s="94"/>
      <c r="AY305" s="94"/>
      <c r="AZ305" s="93"/>
      <c r="BA305" s="93"/>
      <c r="BB305" s="93"/>
      <c r="BC305" s="93"/>
      <c r="BD305" s="93"/>
      <c r="BE305" s="93"/>
      <c r="BF305" s="93"/>
      <c r="BG305" s="93"/>
      <c r="BH305" s="93"/>
      <c r="BI305" s="93"/>
      <c r="BJ305" s="93"/>
      <c r="BK305" s="93"/>
      <c r="BL305" s="93"/>
      <c r="BM305" s="93"/>
      <c r="BN305" s="93"/>
      <c r="BO305" s="93"/>
      <c r="BP305" s="93"/>
      <c r="BQ305" s="93"/>
      <c r="BR305" s="93"/>
      <c r="BS305" s="93"/>
      <c r="BT305" s="93"/>
      <c r="BU305" s="93"/>
      <c r="BV305" s="93"/>
      <c r="BW305" s="93"/>
      <c r="BX305" s="93"/>
      <c r="BY305" s="93"/>
      <c r="BZ305" s="93"/>
      <c r="CA305" s="93"/>
      <c r="CB305" s="93"/>
      <c r="CC305" s="93"/>
      <c r="CD305" s="93"/>
      <c r="CE305" s="93"/>
      <c r="CF305" s="93"/>
      <c r="CG305" s="93"/>
      <c r="CH305" s="93"/>
      <c r="CI305" s="93"/>
      <c r="CJ305" s="93"/>
      <c r="CK305" s="93"/>
      <c r="CL305" s="93"/>
      <c r="CM305" s="93"/>
      <c r="CN305" s="93"/>
      <c r="CO305" s="93"/>
      <c r="CP305" s="93"/>
      <c r="CQ305" s="93"/>
      <c r="CR305" s="93"/>
      <c r="CS305" s="93"/>
      <c r="CT305" s="93"/>
      <c r="CU305" s="93"/>
      <c r="CV305" s="93"/>
      <c r="CW305" s="93"/>
      <c r="CX305" s="93"/>
      <c r="CY305" s="93"/>
      <c r="CZ305" s="93"/>
      <c r="DA305" s="93"/>
      <c r="DB305" s="93"/>
      <c r="DC305" s="93"/>
      <c r="DD305" s="93"/>
      <c r="DE305" s="93"/>
      <c r="DF305" s="93"/>
      <c r="DG305" s="93"/>
      <c r="DH305" s="93"/>
      <c r="DI305" s="93"/>
      <c r="DJ305" s="93"/>
      <c r="DK305" s="93"/>
      <c r="DL305" s="93"/>
      <c r="DM305" s="93"/>
      <c r="DN305" s="93"/>
      <c r="DO305" s="93"/>
      <c r="DP305" s="93"/>
      <c r="DQ305" s="93"/>
      <c r="DR305" s="93"/>
      <c r="DS305" s="93"/>
      <c r="DT305" s="93"/>
      <c r="DU305" s="93"/>
      <c r="DV305" s="93"/>
      <c r="DW305" s="93"/>
      <c r="DX305" s="93"/>
      <c r="DY305" s="93"/>
      <c r="DZ305" s="93"/>
      <c r="EA305" s="93"/>
      <c r="EB305" s="93"/>
      <c r="EC305" s="93"/>
      <c r="ED305" s="93"/>
      <c r="EE305" s="93"/>
      <c r="EF305" s="93"/>
      <c r="EG305" s="93"/>
      <c r="EH305" s="93"/>
      <c r="EI305" s="93"/>
      <c r="EJ305" s="93"/>
      <c r="EK305" s="93"/>
      <c r="EL305" s="93"/>
      <c r="EM305" s="93"/>
      <c r="EN305" s="93"/>
      <c r="EO305" s="93"/>
      <c r="EP305" s="93"/>
      <c r="EQ305" s="93"/>
      <c r="ER305" s="93"/>
      <c r="ES305" s="93"/>
      <c r="ET305" s="93"/>
      <c r="EU305" s="93"/>
      <c r="EV305" s="93"/>
      <c r="EW305" s="93"/>
      <c r="EX305" s="93"/>
      <c r="EY305" s="93"/>
      <c r="EZ305" s="93"/>
      <c r="FA305" s="93"/>
      <c r="FB305" s="93"/>
      <c r="FC305" s="93"/>
      <c r="FD305" s="93"/>
      <c r="FE305" s="93"/>
      <c r="FF305" s="93"/>
      <c r="FG305" s="93"/>
      <c r="FH305" s="93"/>
      <c r="FI305" s="93"/>
      <c r="FJ305" s="93"/>
      <c r="FK305" s="93"/>
      <c r="FL305" s="93"/>
      <c r="FM305" s="93"/>
      <c r="FN305" s="93"/>
      <c r="FO305" s="93"/>
      <c r="FP305" s="93"/>
      <c r="FQ305" s="93"/>
      <c r="FR305" s="93"/>
      <c r="FS305" s="93"/>
      <c r="FT305" s="93"/>
      <c r="FU305" s="93"/>
      <c r="FV305" s="93"/>
      <c r="FW305" s="93"/>
      <c r="FX305" s="93"/>
      <c r="FY305" s="93"/>
      <c r="FZ305" s="93"/>
      <c r="GA305" s="93"/>
      <c r="GB305" s="93"/>
      <c r="GC305" s="93"/>
      <c r="GD305" s="93"/>
      <c r="GE305" s="93"/>
      <c r="GF305" s="93"/>
      <c r="GG305" s="93"/>
      <c r="GH305" s="93"/>
      <c r="GI305" s="93"/>
      <c r="GJ305" s="93"/>
      <c r="GK305" s="93"/>
      <c r="GL305" s="93"/>
      <c r="GM305" s="93"/>
      <c r="GN305" s="93"/>
      <c r="GO305" s="93"/>
      <c r="GP305" s="93"/>
      <c r="GQ305" s="93"/>
      <c r="GR305" s="93"/>
      <c r="GS305" s="93"/>
      <c r="GT305" s="93"/>
      <c r="GU305" s="93"/>
      <c r="GV305" s="93"/>
      <c r="GW305" s="93"/>
      <c r="GX305" s="93"/>
      <c r="GY305" s="93"/>
      <c r="GZ305" s="93"/>
      <c r="HA305" s="93"/>
      <c r="HB305" s="93"/>
      <c r="HC305" s="93"/>
      <c r="HD305" s="93"/>
      <c r="HE305" s="93"/>
      <c r="HF305" s="93"/>
      <c r="HG305" s="93"/>
      <c r="HH305" s="93"/>
      <c r="HI305" s="93"/>
      <c r="HJ305" s="93"/>
      <c r="HK305" s="93"/>
      <c r="HL305" s="93"/>
      <c r="HM305" s="93"/>
      <c r="HN305" s="93"/>
      <c r="HO305" s="93"/>
      <c r="HP305" s="93"/>
      <c r="HQ305" s="93"/>
      <c r="HR305" s="93"/>
      <c r="HS305" s="93"/>
      <c r="HT305" s="93"/>
      <c r="HU305" s="93"/>
      <c r="HV305" s="93"/>
      <c r="HW305" s="93"/>
      <c r="HX305" s="93"/>
      <c r="HY305" s="93"/>
      <c r="HZ305" s="93"/>
      <c r="IA305" s="93"/>
      <c r="IB305" s="93"/>
      <c r="IC305" s="93"/>
      <c r="ID305" s="93"/>
      <c r="IE305" s="93"/>
      <c r="IF305" s="93"/>
      <c r="IG305" s="93"/>
      <c r="IH305" s="93"/>
      <c r="II305" s="93"/>
      <c r="IJ305" s="93"/>
      <c r="IK305" s="93"/>
      <c r="IL305" s="93"/>
      <c r="IM305" s="93"/>
      <c r="IN305" s="93"/>
      <c r="IO305" s="93"/>
      <c r="IP305" s="93"/>
      <c r="IQ305" s="93"/>
      <c r="IR305" s="93"/>
      <c r="IS305" s="93"/>
      <c r="IT305" s="93"/>
      <c r="IU305" s="93"/>
      <c r="IV305" s="93"/>
      <c r="IW305" s="93"/>
      <c r="IX305" s="93"/>
      <c r="IY305" s="93"/>
      <c r="IZ305" s="93"/>
    </row>
    <row r="306" spans="1:260" s="95" customFormat="1" ht="15" customHeight="1">
      <c r="A306" s="93"/>
      <c r="B306" s="183"/>
      <c r="C306" s="183"/>
      <c r="D306" s="183"/>
      <c r="E306" s="158"/>
      <c r="F306" s="158"/>
      <c r="G306" s="824"/>
      <c r="H306" s="824"/>
      <c r="I306" s="824"/>
      <c r="J306" s="824"/>
      <c r="K306" s="824"/>
      <c r="L306" s="824"/>
      <c r="M306" s="824"/>
      <c r="N306" s="824"/>
      <c r="O306" s="824"/>
      <c r="P306" s="824"/>
      <c r="Q306" s="158"/>
      <c r="R306" s="158"/>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94"/>
      <c r="AN306" s="94"/>
      <c r="AO306" s="94"/>
      <c r="AP306" s="94"/>
      <c r="AQ306" s="94"/>
      <c r="AR306" s="94"/>
      <c r="AS306" s="94"/>
      <c r="AT306" s="94"/>
      <c r="AU306" s="94"/>
      <c r="AV306" s="94"/>
      <c r="AW306" s="94"/>
      <c r="AX306" s="94"/>
      <c r="AY306" s="94"/>
      <c r="AZ306" s="93"/>
      <c r="BA306" s="93"/>
      <c r="BB306" s="93"/>
      <c r="BC306" s="93"/>
      <c r="BD306" s="93"/>
      <c r="BE306" s="93"/>
      <c r="BF306" s="93"/>
      <c r="BG306" s="93"/>
      <c r="BH306" s="93"/>
      <c r="BI306" s="93"/>
      <c r="BJ306" s="93"/>
      <c r="BK306" s="93"/>
      <c r="BL306" s="93"/>
      <c r="BM306" s="93"/>
      <c r="BN306" s="93"/>
      <c r="BO306" s="93"/>
      <c r="BP306" s="93"/>
      <c r="BQ306" s="93"/>
      <c r="BR306" s="93"/>
      <c r="BS306" s="93"/>
      <c r="BT306" s="93"/>
      <c r="BU306" s="93"/>
      <c r="BV306" s="93"/>
      <c r="BW306" s="93"/>
      <c r="BX306" s="93"/>
      <c r="BY306" s="93"/>
      <c r="BZ306" s="93"/>
      <c r="CA306" s="93"/>
      <c r="CB306" s="93"/>
      <c r="CC306" s="93"/>
      <c r="CD306" s="93"/>
      <c r="CE306" s="93"/>
      <c r="CF306" s="93"/>
      <c r="CG306" s="93"/>
      <c r="CH306" s="93"/>
      <c r="CI306" s="93"/>
      <c r="CJ306" s="93"/>
      <c r="CK306" s="93"/>
      <c r="CL306" s="93"/>
      <c r="CM306" s="93"/>
      <c r="CN306" s="93"/>
      <c r="CO306" s="93"/>
      <c r="CP306" s="93"/>
      <c r="CQ306" s="93"/>
      <c r="CR306" s="93"/>
      <c r="CS306" s="93"/>
      <c r="CT306" s="93"/>
      <c r="CU306" s="93"/>
      <c r="CV306" s="93"/>
      <c r="CW306" s="93"/>
      <c r="CX306" s="93"/>
      <c r="CY306" s="93"/>
      <c r="CZ306" s="93"/>
      <c r="DA306" s="93"/>
      <c r="DB306" s="93"/>
      <c r="DC306" s="93"/>
      <c r="DD306" s="93"/>
      <c r="DE306" s="93"/>
      <c r="DF306" s="93"/>
      <c r="DG306" s="93"/>
      <c r="DH306" s="93"/>
      <c r="DI306" s="93"/>
      <c r="DJ306" s="93"/>
      <c r="DK306" s="93"/>
      <c r="DL306" s="93"/>
      <c r="DM306" s="93"/>
      <c r="DN306" s="93"/>
      <c r="DO306" s="93"/>
      <c r="DP306" s="93"/>
      <c r="DQ306" s="93"/>
      <c r="DR306" s="93"/>
      <c r="DS306" s="93"/>
      <c r="DT306" s="93"/>
      <c r="DU306" s="93"/>
      <c r="DV306" s="93"/>
      <c r="DW306" s="93"/>
      <c r="DX306" s="93"/>
      <c r="DY306" s="93"/>
      <c r="DZ306" s="93"/>
      <c r="EA306" s="93"/>
      <c r="EB306" s="93"/>
      <c r="EC306" s="93"/>
      <c r="ED306" s="93"/>
      <c r="EE306" s="93"/>
      <c r="EF306" s="93"/>
      <c r="EG306" s="93"/>
      <c r="EH306" s="93"/>
      <c r="EI306" s="93"/>
      <c r="EJ306" s="93"/>
      <c r="EK306" s="93"/>
      <c r="EL306" s="93"/>
      <c r="EM306" s="93"/>
      <c r="EN306" s="93"/>
      <c r="EO306" s="93"/>
      <c r="EP306" s="93"/>
      <c r="EQ306" s="93"/>
      <c r="ER306" s="93"/>
      <c r="ES306" s="93"/>
      <c r="ET306" s="93"/>
      <c r="EU306" s="93"/>
      <c r="EV306" s="93"/>
      <c r="EW306" s="93"/>
      <c r="EX306" s="93"/>
      <c r="EY306" s="93"/>
      <c r="EZ306" s="93"/>
      <c r="FA306" s="93"/>
      <c r="FB306" s="93"/>
      <c r="FC306" s="93"/>
      <c r="FD306" s="93"/>
      <c r="FE306" s="93"/>
      <c r="FF306" s="93"/>
      <c r="FG306" s="93"/>
      <c r="FH306" s="93"/>
      <c r="FI306" s="93"/>
      <c r="FJ306" s="93"/>
      <c r="FK306" s="93"/>
      <c r="FL306" s="93"/>
      <c r="FM306" s="93"/>
      <c r="FN306" s="93"/>
      <c r="FO306" s="93"/>
      <c r="FP306" s="93"/>
      <c r="FQ306" s="93"/>
      <c r="FR306" s="93"/>
      <c r="FS306" s="93"/>
      <c r="FT306" s="93"/>
      <c r="FU306" s="93"/>
      <c r="FV306" s="93"/>
      <c r="FW306" s="93"/>
      <c r="FX306" s="93"/>
      <c r="FY306" s="93"/>
      <c r="FZ306" s="93"/>
      <c r="GA306" s="93"/>
      <c r="GB306" s="93"/>
      <c r="GC306" s="93"/>
      <c r="GD306" s="93"/>
      <c r="GE306" s="93"/>
      <c r="GF306" s="93"/>
      <c r="GG306" s="93"/>
      <c r="GH306" s="93"/>
      <c r="GI306" s="93"/>
      <c r="GJ306" s="93"/>
      <c r="GK306" s="93"/>
      <c r="GL306" s="93"/>
      <c r="GM306" s="93"/>
      <c r="GN306" s="93"/>
      <c r="GO306" s="93"/>
      <c r="GP306" s="93"/>
      <c r="GQ306" s="93"/>
      <c r="GR306" s="93"/>
      <c r="GS306" s="93"/>
      <c r="GT306" s="93"/>
      <c r="GU306" s="93"/>
      <c r="GV306" s="93"/>
      <c r="GW306" s="93"/>
      <c r="GX306" s="93"/>
      <c r="GY306" s="93"/>
      <c r="GZ306" s="93"/>
      <c r="HA306" s="93"/>
      <c r="HB306" s="93"/>
      <c r="HC306" s="93"/>
      <c r="HD306" s="93"/>
      <c r="HE306" s="93"/>
      <c r="HF306" s="93"/>
      <c r="HG306" s="93"/>
      <c r="HH306" s="93"/>
      <c r="HI306" s="93"/>
      <c r="HJ306" s="93"/>
      <c r="HK306" s="93"/>
      <c r="HL306" s="93"/>
      <c r="HM306" s="93"/>
      <c r="HN306" s="93"/>
      <c r="HO306" s="93"/>
      <c r="HP306" s="93"/>
      <c r="HQ306" s="93"/>
      <c r="HR306" s="93"/>
      <c r="HS306" s="93"/>
      <c r="HT306" s="93"/>
      <c r="HU306" s="93"/>
      <c r="HV306" s="93"/>
      <c r="HW306" s="93"/>
      <c r="HX306" s="93"/>
      <c r="HY306" s="93"/>
      <c r="HZ306" s="93"/>
      <c r="IA306" s="93"/>
      <c r="IB306" s="93"/>
      <c r="IC306" s="93"/>
      <c r="ID306" s="93"/>
      <c r="IE306" s="93"/>
      <c r="IF306" s="93"/>
      <c r="IG306" s="93"/>
      <c r="IH306" s="93"/>
      <c r="II306" s="93"/>
      <c r="IJ306" s="93"/>
      <c r="IK306" s="93"/>
      <c r="IL306" s="93"/>
      <c r="IM306" s="93"/>
      <c r="IN306" s="93"/>
      <c r="IO306" s="93"/>
      <c r="IP306" s="93"/>
      <c r="IQ306" s="93"/>
      <c r="IR306" s="93"/>
      <c r="IS306" s="93"/>
      <c r="IT306" s="93"/>
      <c r="IU306" s="93"/>
      <c r="IV306" s="93"/>
      <c r="IW306" s="93"/>
      <c r="IX306" s="93"/>
      <c r="IY306" s="93"/>
      <c r="IZ306" s="93"/>
    </row>
    <row r="307" spans="1:260" s="95" customFormat="1" ht="15" customHeight="1">
      <c r="A307" s="93"/>
      <c r="B307" s="183"/>
      <c r="C307" s="183"/>
      <c r="D307" s="183"/>
      <c r="E307" s="158"/>
      <c r="F307" s="158"/>
      <c r="G307" s="824"/>
      <c r="H307" s="824"/>
      <c r="I307" s="824"/>
      <c r="J307" s="824"/>
      <c r="K307" s="824"/>
      <c r="L307" s="824"/>
      <c r="M307" s="824"/>
      <c r="N307" s="824"/>
      <c r="O307" s="824"/>
      <c r="P307" s="824"/>
      <c r="Q307" s="158"/>
      <c r="R307" s="158"/>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94"/>
      <c r="AN307" s="94"/>
      <c r="AO307" s="94"/>
      <c r="AP307" s="94"/>
      <c r="AQ307" s="94"/>
      <c r="AR307" s="94"/>
      <c r="AS307" s="94"/>
      <c r="AT307" s="94"/>
      <c r="AU307" s="94"/>
      <c r="AV307" s="94"/>
      <c r="AW307" s="94"/>
      <c r="AX307" s="94"/>
      <c r="AY307" s="94"/>
      <c r="AZ307" s="93"/>
      <c r="BA307" s="93"/>
      <c r="BB307" s="93"/>
      <c r="BC307" s="93"/>
      <c r="BD307" s="93"/>
      <c r="BE307" s="93"/>
      <c r="BF307" s="93"/>
      <c r="BG307" s="93"/>
      <c r="BH307" s="93"/>
      <c r="BI307" s="93"/>
      <c r="BJ307" s="93"/>
      <c r="BK307" s="93"/>
      <c r="BL307" s="93"/>
      <c r="BM307" s="93"/>
      <c r="BN307" s="93"/>
      <c r="BO307" s="93"/>
      <c r="BP307" s="93"/>
      <c r="BQ307" s="93"/>
      <c r="BR307" s="93"/>
      <c r="BS307" s="93"/>
      <c r="BT307" s="93"/>
      <c r="BU307" s="93"/>
      <c r="BV307" s="93"/>
      <c r="BW307" s="93"/>
      <c r="BX307" s="93"/>
      <c r="BY307" s="93"/>
      <c r="BZ307" s="93"/>
      <c r="CA307" s="93"/>
      <c r="CB307" s="93"/>
      <c r="CC307" s="93"/>
      <c r="CD307" s="93"/>
      <c r="CE307" s="93"/>
      <c r="CF307" s="93"/>
      <c r="CG307" s="93"/>
      <c r="CH307" s="93"/>
      <c r="CI307" s="93"/>
      <c r="CJ307" s="93"/>
      <c r="CK307" s="93"/>
      <c r="CL307" s="93"/>
      <c r="CM307" s="93"/>
      <c r="CN307" s="93"/>
      <c r="CO307" s="93"/>
      <c r="CP307" s="93"/>
      <c r="CQ307" s="93"/>
      <c r="CR307" s="93"/>
      <c r="CS307" s="93"/>
      <c r="CT307" s="93"/>
      <c r="CU307" s="93"/>
      <c r="CV307" s="93"/>
      <c r="CW307" s="93"/>
      <c r="CX307" s="93"/>
      <c r="CY307" s="93"/>
      <c r="CZ307" s="93"/>
      <c r="DA307" s="93"/>
      <c r="DB307" s="93"/>
      <c r="DC307" s="93"/>
      <c r="DD307" s="93"/>
      <c r="DE307" s="93"/>
      <c r="DF307" s="93"/>
      <c r="DG307" s="93"/>
      <c r="DH307" s="93"/>
      <c r="DI307" s="93"/>
      <c r="DJ307" s="93"/>
      <c r="DK307" s="93"/>
      <c r="DL307" s="93"/>
      <c r="DM307" s="93"/>
      <c r="DN307" s="93"/>
      <c r="DO307" s="93"/>
      <c r="DP307" s="93"/>
      <c r="DQ307" s="93"/>
      <c r="DR307" s="93"/>
      <c r="DS307" s="93"/>
      <c r="DT307" s="93"/>
      <c r="DU307" s="93"/>
      <c r="DV307" s="93"/>
      <c r="DW307" s="93"/>
      <c r="DX307" s="93"/>
      <c r="DY307" s="93"/>
      <c r="DZ307" s="93"/>
      <c r="EA307" s="93"/>
      <c r="EB307" s="93"/>
      <c r="EC307" s="93"/>
      <c r="ED307" s="93"/>
      <c r="EE307" s="93"/>
      <c r="EF307" s="93"/>
      <c r="EG307" s="93"/>
      <c r="EH307" s="93"/>
      <c r="EI307" s="93"/>
      <c r="EJ307" s="93"/>
      <c r="EK307" s="93"/>
      <c r="EL307" s="93"/>
      <c r="EM307" s="93"/>
      <c r="EN307" s="93"/>
      <c r="EO307" s="93"/>
      <c r="EP307" s="93"/>
      <c r="EQ307" s="93"/>
      <c r="ER307" s="93"/>
      <c r="ES307" s="93"/>
      <c r="ET307" s="93"/>
      <c r="EU307" s="93"/>
      <c r="EV307" s="93"/>
      <c r="EW307" s="93"/>
      <c r="EX307" s="93"/>
      <c r="EY307" s="93"/>
      <c r="EZ307" s="93"/>
      <c r="FA307" s="93"/>
      <c r="FB307" s="93"/>
      <c r="FC307" s="93"/>
      <c r="FD307" s="93"/>
      <c r="FE307" s="93"/>
      <c r="FF307" s="93"/>
      <c r="FG307" s="93"/>
      <c r="FH307" s="93"/>
      <c r="FI307" s="93"/>
      <c r="FJ307" s="93"/>
      <c r="FK307" s="93"/>
      <c r="FL307" s="93"/>
      <c r="FM307" s="93"/>
      <c r="FN307" s="93"/>
      <c r="FO307" s="93"/>
      <c r="FP307" s="93"/>
      <c r="FQ307" s="93"/>
      <c r="FR307" s="93"/>
      <c r="FS307" s="93"/>
      <c r="FT307" s="93"/>
      <c r="FU307" s="93"/>
      <c r="FV307" s="93"/>
      <c r="FW307" s="93"/>
      <c r="FX307" s="93"/>
      <c r="FY307" s="93"/>
      <c r="FZ307" s="93"/>
      <c r="GA307" s="93"/>
      <c r="GB307" s="93"/>
      <c r="GC307" s="93"/>
      <c r="GD307" s="93"/>
      <c r="GE307" s="93"/>
      <c r="GF307" s="93"/>
      <c r="GG307" s="93"/>
      <c r="GH307" s="93"/>
      <c r="GI307" s="93"/>
      <c r="GJ307" s="93"/>
      <c r="GK307" s="93"/>
      <c r="GL307" s="93"/>
      <c r="GM307" s="93"/>
      <c r="GN307" s="93"/>
      <c r="GO307" s="93"/>
      <c r="GP307" s="93"/>
      <c r="GQ307" s="93"/>
      <c r="GR307" s="93"/>
      <c r="GS307" s="93"/>
      <c r="GT307" s="93"/>
      <c r="GU307" s="93"/>
      <c r="GV307" s="93"/>
      <c r="GW307" s="93"/>
      <c r="GX307" s="93"/>
      <c r="GY307" s="93"/>
      <c r="GZ307" s="93"/>
      <c r="HA307" s="93"/>
      <c r="HB307" s="93"/>
      <c r="HC307" s="93"/>
      <c r="HD307" s="93"/>
      <c r="HE307" s="93"/>
      <c r="HF307" s="93"/>
      <c r="HG307" s="93"/>
      <c r="HH307" s="93"/>
      <c r="HI307" s="93"/>
      <c r="HJ307" s="93"/>
      <c r="HK307" s="93"/>
      <c r="HL307" s="93"/>
      <c r="HM307" s="93"/>
      <c r="HN307" s="93"/>
      <c r="HO307" s="93"/>
      <c r="HP307" s="93"/>
      <c r="HQ307" s="93"/>
      <c r="HR307" s="93"/>
      <c r="HS307" s="93"/>
      <c r="HT307" s="93"/>
      <c r="HU307" s="93"/>
      <c r="HV307" s="93"/>
      <c r="HW307" s="93"/>
      <c r="HX307" s="93"/>
      <c r="HY307" s="93"/>
      <c r="HZ307" s="93"/>
      <c r="IA307" s="93"/>
      <c r="IB307" s="93"/>
      <c r="IC307" s="93"/>
      <c r="ID307" s="93"/>
      <c r="IE307" s="93"/>
      <c r="IF307" s="93"/>
      <c r="IG307" s="93"/>
      <c r="IH307" s="93"/>
      <c r="II307" s="93"/>
      <c r="IJ307" s="93"/>
      <c r="IK307" s="93"/>
      <c r="IL307" s="93"/>
      <c r="IM307" s="93"/>
      <c r="IN307" s="93"/>
      <c r="IO307" s="93"/>
      <c r="IP307" s="93"/>
      <c r="IQ307" s="93"/>
      <c r="IR307" s="93"/>
      <c r="IS307" s="93"/>
      <c r="IT307" s="93"/>
      <c r="IU307" s="93"/>
      <c r="IV307" s="93"/>
      <c r="IW307" s="93"/>
      <c r="IX307" s="93"/>
      <c r="IY307" s="93"/>
      <c r="IZ307" s="93"/>
    </row>
    <row r="308" spans="1:260" s="95" customFormat="1" ht="15" customHeight="1">
      <c r="A308" s="93"/>
      <c r="B308" s="183"/>
      <c r="C308" s="183"/>
      <c r="D308" s="183"/>
      <c r="E308" s="158"/>
      <c r="F308" s="158"/>
      <c r="G308" s="824"/>
      <c r="H308" s="824"/>
      <c r="I308" s="824"/>
      <c r="J308" s="824"/>
      <c r="K308" s="824"/>
      <c r="L308" s="824"/>
      <c r="M308" s="824"/>
      <c r="N308" s="824"/>
      <c r="O308" s="824"/>
      <c r="P308" s="824"/>
      <c r="Q308" s="158"/>
      <c r="R308" s="158"/>
      <c r="S308" s="207"/>
      <c r="T308" s="207"/>
      <c r="U308" s="207"/>
      <c r="V308" s="207"/>
      <c r="W308" s="207"/>
      <c r="X308" s="207"/>
      <c r="Y308" s="207"/>
      <c r="Z308" s="207"/>
      <c r="AA308" s="207"/>
      <c r="AB308" s="207"/>
      <c r="AC308" s="207"/>
      <c r="AD308" s="207"/>
      <c r="AE308" s="207"/>
      <c r="AF308" s="207"/>
      <c r="AG308" s="207"/>
      <c r="AH308" s="207"/>
      <c r="AI308" s="207"/>
      <c r="AJ308" s="207"/>
      <c r="AK308" s="207"/>
      <c r="AL308" s="207"/>
      <c r="AM308" s="94"/>
      <c r="AN308" s="94"/>
      <c r="AO308" s="94"/>
      <c r="AP308" s="94"/>
      <c r="AQ308" s="94"/>
      <c r="AR308" s="94"/>
      <c r="AS308" s="94"/>
      <c r="AT308" s="94"/>
      <c r="AU308" s="94"/>
      <c r="AV308" s="94"/>
      <c r="AW308" s="94"/>
      <c r="AX308" s="94"/>
      <c r="AY308" s="94"/>
      <c r="AZ308" s="93"/>
      <c r="BA308" s="93"/>
      <c r="BB308" s="93"/>
      <c r="BC308" s="93"/>
      <c r="BD308" s="93"/>
      <c r="BE308" s="93"/>
      <c r="BF308" s="93"/>
      <c r="BG308" s="93"/>
      <c r="BH308" s="93"/>
      <c r="BI308" s="93"/>
      <c r="BJ308" s="93"/>
      <c r="BK308" s="93"/>
      <c r="BL308" s="93"/>
      <c r="BM308" s="93"/>
      <c r="BN308" s="93"/>
      <c r="BO308" s="93"/>
      <c r="BP308" s="93"/>
      <c r="BQ308" s="93"/>
      <c r="BR308" s="93"/>
      <c r="BS308" s="93"/>
      <c r="BT308" s="93"/>
      <c r="BU308" s="93"/>
      <c r="BV308" s="93"/>
      <c r="BW308" s="93"/>
      <c r="BX308" s="93"/>
      <c r="BY308" s="93"/>
      <c r="BZ308" s="93"/>
      <c r="CA308" s="93"/>
      <c r="CB308" s="93"/>
      <c r="CC308" s="93"/>
      <c r="CD308" s="93"/>
      <c r="CE308" s="93"/>
      <c r="CF308" s="93"/>
      <c r="CG308" s="93"/>
      <c r="CH308" s="93"/>
      <c r="CI308" s="93"/>
      <c r="CJ308" s="93"/>
      <c r="CK308" s="93"/>
      <c r="CL308" s="93"/>
      <c r="CM308" s="93"/>
      <c r="CN308" s="93"/>
      <c r="CO308" s="93"/>
      <c r="CP308" s="93"/>
      <c r="CQ308" s="93"/>
      <c r="CR308" s="93"/>
      <c r="CS308" s="93"/>
      <c r="CT308" s="93"/>
      <c r="CU308" s="93"/>
      <c r="CV308" s="93"/>
      <c r="CW308" s="93"/>
      <c r="CX308" s="93"/>
      <c r="CY308" s="93"/>
      <c r="CZ308" s="93"/>
      <c r="DA308" s="93"/>
      <c r="DB308" s="93"/>
      <c r="DC308" s="93"/>
      <c r="DD308" s="93"/>
      <c r="DE308" s="93"/>
      <c r="DF308" s="93"/>
      <c r="DG308" s="93"/>
      <c r="DH308" s="93"/>
      <c r="DI308" s="93"/>
      <c r="DJ308" s="93"/>
      <c r="DK308" s="93"/>
      <c r="DL308" s="93"/>
      <c r="DM308" s="93"/>
      <c r="DN308" s="93"/>
      <c r="DO308" s="93"/>
      <c r="DP308" s="93"/>
      <c r="DQ308" s="93"/>
      <c r="DR308" s="93"/>
      <c r="DS308" s="93"/>
      <c r="DT308" s="93"/>
      <c r="DU308" s="93"/>
      <c r="DV308" s="93"/>
      <c r="DW308" s="93"/>
      <c r="DX308" s="93"/>
      <c r="DY308" s="93"/>
      <c r="DZ308" s="93"/>
      <c r="EA308" s="93"/>
      <c r="EB308" s="93"/>
      <c r="EC308" s="93"/>
      <c r="ED308" s="93"/>
      <c r="EE308" s="93"/>
      <c r="EF308" s="93"/>
      <c r="EG308" s="93"/>
      <c r="EH308" s="93"/>
      <c r="EI308" s="93"/>
      <c r="EJ308" s="93"/>
      <c r="EK308" s="93"/>
      <c r="EL308" s="93"/>
      <c r="EM308" s="93"/>
      <c r="EN308" s="93"/>
      <c r="EO308" s="93"/>
      <c r="EP308" s="93"/>
      <c r="EQ308" s="93"/>
      <c r="ER308" s="93"/>
      <c r="ES308" s="93"/>
      <c r="ET308" s="93"/>
      <c r="EU308" s="93"/>
      <c r="EV308" s="93"/>
      <c r="EW308" s="93"/>
      <c r="EX308" s="93"/>
      <c r="EY308" s="93"/>
      <c r="EZ308" s="93"/>
      <c r="FA308" s="93"/>
      <c r="FB308" s="93"/>
      <c r="FC308" s="93"/>
      <c r="FD308" s="93"/>
      <c r="FE308" s="93"/>
      <c r="FF308" s="93"/>
      <c r="FG308" s="93"/>
      <c r="FH308" s="93"/>
      <c r="FI308" s="93"/>
      <c r="FJ308" s="93"/>
      <c r="FK308" s="93"/>
      <c r="FL308" s="93"/>
      <c r="FM308" s="93"/>
      <c r="FN308" s="93"/>
      <c r="FO308" s="93"/>
      <c r="FP308" s="93"/>
      <c r="FQ308" s="93"/>
      <c r="FR308" s="93"/>
      <c r="FS308" s="93"/>
      <c r="FT308" s="93"/>
      <c r="FU308" s="93"/>
      <c r="FV308" s="93"/>
      <c r="FW308" s="93"/>
      <c r="FX308" s="93"/>
      <c r="FY308" s="93"/>
      <c r="FZ308" s="93"/>
      <c r="GA308" s="93"/>
      <c r="GB308" s="93"/>
      <c r="GC308" s="93"/>
      <c r="GD308" s="93"/>
      <c r="GE308" s="93"/>
      <c r="GF308" s="93"/>
      <c r="GG308" s="93"/>
      <c r="GH308" s="93"/>
      <c r="GI308" s="93"/>
      <c r="GJ308" s="93"/>
      <c r="GK308" s="93"/>
      <c r="GL308" s="93"/>
      <c r="GM308" s="93"/>
      <c r="GN308" s="93"/>
      <c r="GO308" s="93"/>
      <c r="GP308" s="93"/>
      <c r="GQ308" s="93"/>
      <c r="GR308" s="93"/>
      <c r="GS308" s="93"/>
      <c r="GT308" s="93"/>
      <c r="GU308" s="93"/>
      <c r="GV308" s="93"/>
      <c r="GW308" s="93"/>
      <c r="GX308" s="93"/>
      <c r="GY308" s="93"/>
      <c r="GZ308" s="93"/>
      <c r="HA308" s="93"/>
      <c r="HB308" s="93"/>
      <c r="HC308" s="93"/>
      <c r="HD308" s="93"/>
      <c r="HE308" s="93"/>
      <c r="HF308" s="93"/>
      <c r="HG308" s="93"/>
      <c r="HH308" s="93"/>
      <c r="HI308" s="93"/>
      <c r="HJ308" s="93"/>
      <c r="HK308" s="93"/>
      <c r="HL308" s="93"/>
      <c r="HM308" s="93"/>
      <c r="HN308" s="93"/>
      <c r="HO308" s="93"/>
      <c r="HP308" s="93"/>
      <c r="HQ308" s="93"/>
      <c r="HR308" s="93"/>
      <c r="HS308" s="93"/>
      <c r="HT308" s="93"/>
      <c r="HU308" s="93"/>
      <c r="HV308" s="93"/>
      <c r="HW308" s="93"/>
      <c r="HX308" s="93"/>
      <c r="HY308" s="93"/>
      <c r="HZ308" s="93"/>
      <c r="IA308" s="93"/>
      <c r="IB308" s="93"/>
      <c r="IC308" s="93"/>
      <c r="ID308" s="93"/>
      <c r="IE308" s="93"/>
      <c r="IF308" s="93"/>
      <c r="IG308" s="93"/>
      <c r="IH308" s="93"/>
      <c r="II308" s="93"/>
      <c r="IJ308" s="93"/>
      <c r="IK308" s="93"/>
      <c r="IL308" s="93"/>
      <c r="IM308" s="93"/>
      <c r="IN308" s="93"/>
      <c r="IO308" s="93"/>
      <c r="IP308" s="93"/>
      <c r="IQ308" s="93"/>
      <c r="IR308" s="93"/>
      <c r="IS308" s="93"/>
      <c r="IT308" s="93"/>
      <c r="IU308" s="93"/>
      <c r="IV308" s="93"/>
      <c r="IW308" s="93"/>
      <c r="IX308" s="93"/>
      <c r="IY308" s="93"/>
      <c r="IZ308" s="93"/>
    </row>
    <row r="309" spans="1:260" s="95" customFormat="1" ht="15" customHeight="1">
      <c r="A309" s="93"/>
      <c r="B309" s="183"/>
      <c r="C309" s="183"/>
      <c r="D309" s="183"/>
      <c r="E309" s="158"/>
      <c r="F309" s="158"/>
      <c r="G309" s="824"/>
      <c r="H309" s="824"/>
      <c r="I309" s="824"/>
      <c r="J309" s="824"/>
      <c r="K309" s="824"/>
      <c r="L309" s="824"/>
      <c r="M309" s="824"/>
      <c r="N309" s="824"/>
      <c r="O309" s="824"/>
      <c r="P309" s="824"/>
      <c r="Q309" s="158"/>
      <c r="R309" s="158"/>
      <c r="S309" s="207"/>
      <c r="T309" s="207"/>
      <c r="U309" s="207"/>
      <c r="V309" s="207"/>
      <c r="W309" s="207"/>
      <c r="X309" s="207"/>
      <c r="Y309" s="207"/>
      <c r="Z309" s="207"/>
      <c r="AA309" s="207"/>
      <c r="AB309" s="207"/>
      <c r="AC309" s="207"/>
      <c r="AD309" s="207"/>
      <c r="AE309" s="207"/>
      <c r="AF309" s="207"/>
      <c r="AG309" s="207"/>
      <c r="AH309" s="207"/>
      <c r="AI309" s="207"/>
      <c r="AJ309" s="207"/>
      <c r="AK309" s="207"/>
      <c r="AL309" s="207"/>
      <c r="AM309" s="94"/>
      <c r="AN309" s="94"/>
      <c r="AO309" s="94"/>
      <c r="AP309" s="94"/>
      <c r="AQ309" s="94"/>
      <c r="AR309" s="94"/>
      <c r="AS309" s="94"/>
      <c r="AT309" s="94"/>
      <c r="AU309" s="94"/>
      <c r="AV309" s="94"/>
      <c r="AW309" s="94"/>
      <c r="AX309" s="94"/>
      <c r="AY309" s="94"/>
      <c r="AZ309" s="93"/>
      <c r="BA309" s="93"/>
      <c r="BB309" s="93"/>
      <c r="BC309" s="93"/>
      <c r="BD309" s="93"/>
      <c r="BE309" s="93"/>
      <c r="BF309" s="93"/>
      <c r="BG309" s="93"/>
      <c r="BH309" s="93"/>
      <c r="BI309" s="93"/>
      <c r="BJ309" s="93"/>
      <c r="BK309" s="93"/>
      <c r="BL309" s="93"/>
      <c r="BM309" s="93"/>
      <c r="BN309" s="93"/>
      <c r="BO309" s="93"/>
      <c r="BP309" s="93"/>
      <c r="BQ309" s="93"/>
      <c r="BR309" s="93"/>
      <c r="BS309" s="93"/>
      <c r="BT309" s="93"/>
      <c r="BU309" s="93"/>
      <c r="BV309" s="93"/>
      <c r="BW309" s="93"/>
      <c r="BX309" s="93"/>
      <c r="BY309" s="93"/>
      <c r="BZ309" s="93"/>
      <c r="CA309" s="93"/>
      <c r="CB309" s="93"/>
      <c r="CC309" s="93"/>
      <c r="CD309" s="93"/>
      <c r="CE309" s="93"/>
      <c r="CF309" s="93"/>
      <c r="CG309" s="93"/>
      <c r="CH309" s="93"/>
      <c r="CI309" s="93"/>
      <c r="CJ309" s="93"/>
      <c r="CK309" s="93"/>
      <c r="CL309" s="93"/>
      <c r="CM309" s="93"/>
      <c r="CN309" s="93"/>
      <c r="CO309" s="93"/>
      <c r="CP309" s="93"/>
      <c r="CQ309" s="93"/>
      <c r="CR309" s="93"/>
      <c r="CS309" s="93"/>
      <c r="CT309" s="93"/>
      <c r="CU309" s="93"/>
      <c r="CV309" s="93"/>
      <c r="CW309" s="93"/>
      <c r="CX309" s="93"/>
      <c r="CY309" s="93"/>
      <c r="CZ309" s="93"/>
      <c r="DA309" s="93"/>
      <c r="DB309" s="93"/>
      <c r="DC309" s="93"/>
      <c r="DD309" s="93"/>
      <c r="DE309" s="93"/>
      <c r="DF309" s="93"/>
      <c r="DG309" s="93"/>
      <c r="DH309" s="93"/>
      <c r="DI309" s="93"/>
      <c r="DJ309" s="93"/>
      <c r="DK309" s="93"/>
      <c r="DL309" s="93"/>
      <c r="DM309" s="93"/>
      <c r="DN309" s="93"/>
      <c r="DO309" s="93"/>
      <c r="DP309" s="93"/>
      <c r="DQ309" s="93"/>
      <c r="DR309" s="93"/>
      <c r="DS309" s="93"/>
      <c r="DT309" s="93"/>
      <c r="DU309" s="93"/>
      <c r="DV309" s="93"/>
      <c r="DW309" s="93"/>
      <c r="DX309" s="93"/>
      <c r="DY309" s="93"/>
      <c r="DZ309" s="93"/>
      <c r="EA309" s="93"/>
      <c r="EB309" s="93"/>
      <c r="EC309" s="93"/>
      <c r="ED309" s="93"/>
      <c r="EE309" s="93"/>
      <c r="EF309" s="93"/>
      <c r="EG309" s="93"/>
      <c r="EH309" s="93"/>
      <c r="EI309" s="93"/>
      <c r="EJ309" s="93"/>
      <c r="EK309" s="93"/>
      <c r="EL309" s="93"/>
      <c r="EM309" s="93"/>
      <c r="EN309" s="93"/>
      <c r="EO309" s="93"/>
      <c r="EP309" s="93"/>
      <c r="EQ309" s="93"/>
      <c r="ER309" s="93"/>
      <c r="ES309" s="93"/>
      <c r="ET309" s="93"/>
      <c r="EU309" s="93"/>
      <c r="EV309" s="93"/>
      <c r="EW309" s="93"/>
      <c r="EX309" s="93"/>
      <c r="EY309" s="93"/>
      <c r="EZ309" s="93"/>
      <c r="FA309" s="93"/>
      <c r="FB309" s="93"/>
      <c r="FC309" s="93"/>
      <c r="FD309" s="93"/>
      <c r="FE309" s="93"/>
      <c r="FF309" s="93"/>
      <c r="FG309" s="93"/>
      <c r="FH309" s="93"/>
      <c r="FI309" s="93"/>
      <c r="FJ309" s="93"/>
      <c r="FK309" s="93"/>
      <c r="FL309" s="93"/>
      <c r="FM309" s="93"/>
      <c r="FN309" s="93"/>
      <c r="FO309" s="93"/>
      <c r="FP309" s="93"/>
      <c r="FQ309" s="93"/>
      <c r="FR309" s="93"/>
      <c r="FS309" s="93"/>
      <c r="FT309" s="93"/>
      <c r="FU309" s="93"/>
      <c r="FV309" s="93"/>
      <c r="FW309" s="93"/>
      <c r="FX309" s="93"/>
      <c r="FY309" s="93"/>
      <c r="FZ309" s="93"/>
      <c r="GA309" s="93"/>
      <c r="GB309" s="93"/>
      <c r="GC309" s="93"/>
      <c r="GD309" s="93"/>
      <c r="GE309" s="93"/>
      <c r="GF309" s="93"/>
      <c r="GG309" s="93"/>
      <c r="GH309" s="93"/>
      <c r="GI309" s="93"/>
      <c r="GJ309" s="93"/>
      <c r="GK309" s="93"/>
      <c r="GL309" s="93"/>
      <c r="GM309" s="93"/>
      <c r="GN309" s="93"/>
      <c r="GO309" s="93"/>
      <c r="GP309" s="93"/>
      <c r="GQ309" s="93"/>
      <c r="GR309" s="93"/>
      <c r="GS309" s="93"/>
      <c r="GT309" s="93"/>
      <c r="GU309" s="93"/>
      <c r="GV309" s="93"/>
      <c r="GW309" s="93"/>
      <c r="GX309" s="93"/>
      <c r="GY309" s="93"/>
      <c r="GZ309" s="93"/>
      <c r="HA309" s="93"/>
      <c r="HB309" s="93"/>
      <c r="HC309" s="93"/>
      <c r="HD309" s="93"/>
      <c r="HE309" s="93"/>
      <c r="HF309" s="93"/>
      <c r="HG309" s="93"/>
      <c r="HH309" s="93"/>
      <c r="HI309" s="93"/>
      <c r="HJ309" s="93"/>
      <c r="HK309" s="93"/>
      <c r="HL309" s="93"/>
      <c r="HM309" s="93"/>
      <c r="HN309" s="93"/>
      <c r="HO309" s="93"/>
      <c r="HP309" s="93"/>
      <c r="HQ309" s="93"/>
      <c r="HR309" s="93"/>
      <c r="HS309" s="93"/>
      <c r="HT309" s="93"/>
      <c r="HU309" s="93"/>
      <c r="HV309" s="93"/>
      <c r="HW309" s="93"/>
      <c r="HX309" s="93"/>
      <c r="HY309" s="93"/>
      <c r="HZ309" s="93"/>
      <c r="IA309" s="93"/>
      <c r="IB309" s="93"/>
      <c r="IC309" s="93"/>
      <c r="ID309" s="93"/>
      <c r="IE309" s="93"/>
      <c r="IF309" s="93"/>
      <c r="IG309" s="93"/>
      <c r="IH309" s="93"/>
      <c r="II309" s="93"/>
      <c r="IJ309" s="93"/>
      <c r="IK309" s="93"/>
      <c r="IL309" s="93"/>
      <c r="IM309" s="93"/>
      <c r="IN309" s="93"/>
      <c r="IO309" s="93"/>
      <c r="IP309" s="93"/>
      <c r="IQ309" s="93"/>
      <c r="IR309" s="93"/>
      <c r="IS309" s="93"/>
      <c r="IT309" s="93"/>
      <c r="IU309" s="93"/>
      <c r="IV309" s="93"/>
      <c r="IW309" s="93"/>
      <c r="IX309" s="93"/>
      <c r="IY309" s="93"/>
      <c r="IZ309" s="93"/>
    </row>
    <row r="310" spans="1:260" s="95" customFormat="1" ht="15" customHeight="1">
      <c r="A310" s="93"/>
      <c r="B310" s="183"/>
      <c r="C310" s="183"/>
      <c r="D310" s="183"/>
      <c r="E310" s="158"/>
      <c r="F310" s="158"/>
      <c r="G310" s="824"/>
      <c r="H310" s="824"/>
      <c r="I310" s="824"/>
      <c r="J310" s="824"/>
      <c r="K310" s="824"/>
      <c r="L310" s="824"/>
      <c r="M310" s="824"/>
      <c r="N310" s="824"/>
      <c r="O310" s="824"/>
      <c r="P310" s="824"/>
      <c r="Q310" s="158"/>
      <c r="R310" s="158"/>
      <c r="S310" s="207"/>
      <c r="T310" s="207"/>
      <c r="U310" s="207"/>
      <c r="V310" s="207"/>
      <c r="W310" s="207"/>
      <c r="X310" s="207"/>
      <c r="Y310" s="207"/>
      <c r="Z310" s="207"/>
      <c r="AA310" s="207"/>
      <c r="AB310" s="207"/>
      <c r="AC310" s="207"/>
      <c r="AD310" s="207"/>
      <c r="AE310" s="207"/>
      <c r="AF310" s="207"/>
      <c r="AG310" s="207"/>
      <c r="AH310" s="207"/>
      <c r="AI310" s="207"/>
      <c r="AJ310" s="207"/>
      <c r="AK310" s="207"/>
      <c r="AL310" s="207"/>
      <c r="AM310" s="94"/>
      <c r="AN310" s="94"/>
      <c r="AO310" s="94"/>
      <c r="AP310" s="94"/>
      <c r="AQ310" s="94"/>
      <c r="AR310" s="94"/>
      <c r="AS310" s="94"/>
      <c r="AT310" s="94"/>
      <c r="AU310" s="94"/>
      <c r="AV310" s="94"/>
      <c r="AW310" s="94"/>
      <c r="AX310" s="94"/>
      <c r="AY310" s="94"/>
      <c r="AZ310" s="93"/>
      <c r="BA310" s="93"/>
      <c r="BB310" s="93"/>
      <c r="BC310" s="93"/>
      <c r="BD310" s="93"/>
      <c r="BE310" s="93"/>
      <c r="BF310" s="93"/>
      <c r="BG310" s="93"/>
      <c r="BH310" s="93"/>
      <c r="BI310" s="93"/>
      <c r="BJ310" s="93"/>
      <c r="BK310" s="93"/>
      <c r="BL310" s="93"/>
      <c r="BM310" s="93"/>
      <c r="BN310" s="93"/>
      <c r="BO310" s="93"/>
      <c r="BP310" s="93"/>
      <c r="BQ310" s="93"/>
      <c r="BR310" s="93"/>
      <c r="BS310" s="93"/>
      <c r="BT310" s="93"/>
      <c r="BU310" s="93"/>
      <c r="BV310" s="93"/>
      <c r="BW310" s="93"/>
      <c r="BX310" s="93"/>
      <c r="BY310" s="93"/>
      <c r="BZ310" s="93"/>
      <c r="CA310" s="93"/>
      <c r="CB310" s="93"/>
      <c r="CC310" s="93"/>
      <c r="CD310" s="93"/>
      <c r="CE310" s="93"/>
      <c r="CF310" s="93"/>
      <c r="CG310" s="93"/>
      <c r="CH310" s="93"/>
      <c r="CI310" s="93"/>
      <c r="CJ310" s="93"/>
      <c r="CK310" s="93"/>
      <c r="CL310" s="93"/>
      <c r="CM310" s="93"/>
      <c r="CN310" s="93"/>
      <c r="CO310" s="93"/>
      <c r="CP310" s="93"/>
      <c r="CQ310" s="93"/>
      <c r="CR310" s="93"/>
      <c r="CS310" s="93"/>
      <c r="CT310" s="93"/>
      <c r="CU310" s="93"/>
      <c r="CV310" s="93"/>
      <c r="CW310" s="93"/>
      <c r="CX310" s="93"/>
      <c r="CY310" s="93"/>
      <c r="CZ310" s="93"/>
      <c r="DA310" s="93"/>
      <c r="DB310" s="93"/>
      <c r="DC310" s="93"/>
      <c r="DD310" s="93"/>
      <c r="DE310" s="93"/>
      <c r="DF310" s="93"/>
      <c r="DG310" s="93"/>
      <c r="DH310" s="93"/>
      <c r="DI310" s="93"/>
      <c r="DJ310" s="93"/>
      <c r="DK310" s="93"/>
      <c r="DL310" s="93"/>
      <c r="DM310" s="93"/>
      <c r="DN310" s="93"/>
      <c r="DO310" s="93"/>
      <c r="DP310" s="93"/>
      <c r="DQ310" s="93"/>
      <c r="DR310" s="93"/>
      <c r="DS310" s="93"/>
      <c r="DT310" s="93"/>
      <c r="DU310" s="93"/>
      <c r="DV310" s="93"/>
      <c r="DW310" s="93"/>
      <c r="DX310" s="93"/>
      <c r="DY310" s="93"/>
      <c r="DZ310" s="93"/>
      <c r="EA310" s="93"/>
      <c r="EB310" s="93"/>
      <c r="EC310" s="93"/>
      <c r="ED310" s="93"/>
      <c r="EE310" s="93"/>
      <c r="EF310" s="93"/>
      <c r="EG310" s="93"/>
      <c r="EH310" s="93"/>
      <c r="EI310" s="93"/>
      <c r="EJ310" s="93"/>
      <c r="EK310" s="93"/>
      <c r="EL310" s="93"/>
      <c r="EM310" s="93"/>
      <c r="EN310" s="93"/>
      <c r="EO310" s="93"/>
      <c r="EP310" s="93"/>
      <c r="EQ310" s="93"/>
      <c r="ER310" s="93"/>
      <c r="ES310" s="93"/>
      <c r="ET310" s="93"/>
      <c r="EU310" s="93"/>
      <c r="EV310" s="93"/>
      <c r="EW310" s="93"/>
      <c r="EX310" s="93"/>
      <c r="EY310" s="93"/>
      <c r="EZ310" s="93"/>
      <c r="FA310" s="93"/>
      <c r="FB310" s="93"/>
      <c r="FC310" s="93"/>
      <c r="FD310" s="93"/>
      <c r="FE310" s="93"/>
      <c r="FF310" s="93"/>
      <c r="FG310" s="93"/>
      <c r="FH310" s="93"/>
      <c r="FI310" s="93"/>
      <c r="FJ310" s="93"/>
      <c r="FK310" s="93"/>
      <c r="FL310" s="93"/>
      <c r="FM310" s="93"/>
      <c r="FN310" s="93"/>
      <c r="FO310" s="93"/>
      <c r="FP310" s="93"/>
      <c r="FQ310" s="93"/>
      <c r="FR310" s="93"/>
      <c r="FS310" s="93"/>
      <c r="FT310" s="93"/>
      <c r="FU310" s="93"/>
      <c r="FV310" s="93"/>
      <c r="FW310" s="93"/>
      <c r="FX310" s="93"/>
      <c r="FY310" s="93"/>
      <c r="FZ310" s="93"/>
      <c r="GA310" s="93"/>
      <c r="GB310" s="93"/>
      <c r="GC310" s="93"/>
      <c r="GD310" s="93"/>
      <c r="GE310" s="93"/>
      <c r="GF310" s="93"/>
      <c r="GG310" s="93"/>
      <c r="GH310" s="93"/>
      <c r="GI310" s="93"/>
      <c r="GJ310" s="93"/>
      <c r="GK310" s="93"/>
      <c r="GL310" s="93"/>
      <c r="GM310" s="93"/>
      <c r="GN310" s="93"/>
      <c r="GO310" s="93"/>
      <c r="GP310" s="93"/>
      <c r="GQ310" s="93"/>
      <c r="GR310" s="93"/>
      <c r="GS310" s="93"/>
      <c r="GT310" s="93"/>
      <c r="GU310" s="93"/>
      <c r="GV310" s="93"/>
      <c r="GW310" s="93"/>
      <c r="GX310" s="93"/>
      <c r="GY310" s="93"/>
      <c r="GZ310" s="93"/>
      <c r="HA310" s="93"/>
      <c r="HB310" s="93"/>
      <c r="HC310" s="93"/>
      <c r="HD310" s="93"/>
      <c r="HE310" s="93"/>
      <c r="HF310" s="93"/>
      <c r="HG310" s="93"/>
      <c r="HH310" s="93"/>
      <c r="HI310" s="93"/>
      <c r="HJ310" s="93"/>
      <c r="HK310" s="93"/>
      <c r="HL310" s="93"/>
      <c r="HM310" s="93"/>
      <c r="HN310" s="93"/>
      <c r="HO310" s="93"/>
      <c r="HP310" s="93"/>
      <c r="HQ310" s="93"/>
      <c r="HR310" s="93"/>
      <c r="HS310" s="93"/>
      <c r="HT310" s="93"/>
      <c r="HU310" s="93"/>
      <c r="HV310" s="93"/>
      <c r="HW310" s="93"/>
      <c r="HX310" s="93"/>
      <c r="HY310" s="93"/>
      <c r="HZ310" s="93"/>
      <c r="IA310" s="93"/>
      <c r="IB310" s="93"/>
      <c r="IC310" s="93"/>
      <c r="ID310" s="93"/>
      <c r="IE310" s="93"/>
      <c r="IF310" s="93"/>
      <c r="IG310" s="93"/>
      <c r="IH310" s="93"/>
      <c r="II310" s="93"/>
      <c r="IJ310" s="93"/>
      <c r="IK310" s="93"/>
      <c r="IL310" s="93"/>
      <c r="IM310" s="93"/>
      <c r="IN310" s="93"/>
      <c r="IO310" s="93"/>
      <c r="IP310" s="93"/>
      <c r="IQ310" s="93"/>
      <c r="IR310" s="93"/>
      <c r="IS310" s="93"/>
      <c r="IT310" s="93"/>
      <c r="IU310" s="93"/>
      <c r="IV310" s="93"/>
      <c r="IW310" s="93"/>
      <c r="IX310" s="93"/>
      <c r="IY310" s="93"/>
      <c r="IZ310" s="93"/>
    </row>
    <row r="311" spans="1:260" s="95" customFormat="1" ht="15" customHeight="1">
      <c r="A311" s="93"/>
      <c r="B311" s="183"/>
      <c r="C311" s="183"/>
      <c r="D311" s="183"/>
      <c r="E311" s="158"/>
      <c r="F311" s="158"/>
      <c r="G311" s="824"/>
      <c r="H311" s="824"/>
      <c r="I311" s="824"/>
      <c r="J311" s="824"/>
      <c r="K311" s="824"/>
      <c r="L311" s="824"/>
      <c r="M311" s="824"/>
      <c r="N311" s="824"/>
      <c r="O311" s="824"/>
      <c r="P311" s="824"/>
      <c r="Q311" s="158"/>
      <c r="R311" s="158"/>
      <c r="S311" s="207"/>
      <c r="T311" s="207"/>
      <c r="U311" s="207"/>
      <c r="V311" s="207"/>
      <c r="W311" s="207"/>
      <c r="X311" s="207"/>
      <c r="Y311" s="207"/>
      <c r="Z311" s="207"/>
      <c r="AA311" s="207"/>
      <c r="AB311" s="207"/>
      <c r="AC311" s="207"/>
      <c r="AD311" s="207"/>
      <c r="AE311" s="207"/>
      <c r="AF311" s="207"/>
      <c r="AG311" s="207"/>
      <c r="AH311" s="207"/>
      <c r="AI311" s="207"/>
      <c r="AJ311" s="207"/>
      <c r="AK311" s="207"/>
      <c r="AL311" s="207"/>
      <c r="AM311" s="94"/>
      <c r="AN311" s="94"/>
      <c r="AO311" s="94"/>
      <c r="AP311" s="94"/>
      <c r="AQ311" s="94"/>
      <c r="AR311" s="94"/>
      <c r="AS311" s="94"/>
      <c r="AT311" s="94"/>
      <c r="AU311" s="94"/>
      <c r="AV311" s="94"/>
      <c r="AW311" s="94"/>
      <c r="AX311" s="94"/>
      <c r="AY311" s="94"/>
      <c r="AZ311" s="93"/>
      <c r="BA311" s="93"/>
      <c r="BB311" s="93"/>
      <c r="BC311" s="93"/>
      <c r="BD311" s="93"/>
      <c r="BE311" s="93"/>
      <c r="BF311" s="93"/>
      <c r="BG311" s="93"/>
      <c r="BH311" s="93"/>
      <c r="BI311" s="93"/>
      <c r="BJ311" s="93"/>
      <c r="BK311" s="93"/>
      <c r="BL311" s="93"/>
      <c r="BM311" s="93"/>
      <c r="BN311" s="93"/>
      <c r="BO311" s="93"/>
      <c r="BP311" s="93"/>
      <c r="BQ311" s="93"/>
      <c r="BR311" s="93"/>
      <c r="BS311" s="93"/>
      <c r="BT311" s="93"/>
      <c r="BU311" s="93"/>
      <c r="BV311" s="93"/>
      <c r="BW311" s="93"/>
      <c r="BX311" s="93"/>
      <c r="BY311" s="93"/>
      <c r="BZ311" s="93"/>
      <c r="CA311" s="93"/>
      <c r="CB311" s="93"/>
      <c r="CC311" s="93"/>
      <c r="CD311" s="93"/>
      <c r="CE311" s="93"/>
      <c r="CF311" s="93"/>
      <c r="CG311" s="93"/>
      <c r="CH311" s="93"/>
      <c r="CI311" s="93"/>
      <c r="CJ311" s="93"/>
      <c r="CK311" s="93"/>
      <c r="CL311" s="93"/>
      <c r="CM311" s="93"/>
      <c r="CN311" s="93"/>
      <c r="CO311" s="93"/>
      <c r="CP311" s="93"/>
      <c r="CQ311" s="93"/>
      <c r="CR311" s="93"/>
      <c r="CS311" s="93"/>
      <c r="CT311" s="93"/>
      <c r="CU311" s="93"/>
      <c r="CV311" s="93"/>
      <c r="CW311" s="93"/>
      <c r="CX311" s="93"/>
      <c r="CY311" s="93"/>
      <c r="CZ311" s="93"/>
      <c r="DA311" s="93"/>
      <c r="DB311" s="93"/>
      <c r="DC311" s="93"/>
      <c r="DD311" s="93"/>
      <c r="DE311" s="93"/>
      <c r="DF311" s="93"/>
      <c r="DG311" s="93"/>
      <c r="DH311" s="93"/>
      <c r="DI311" s="93"/>
      <c r="DJ311" s="93"/>
      <c r="DK311" s="93"/>
      <c r="DL311" s="93"/>
      <c r="DM311" s="93"/>
      <c r="DN311" s="93"/>
      <c r="DO311" s="93"/>
      <c r="DP311" s="93"/>
      <c r="DQ311" s="93"/>
      <c r="DR311" s="93"/>
      <c r="DS311" s="93"/>
      <c r="DT311" s="93"/>
      <c r="DU311" s="93"/>
      <c r="DV311" s="93"/>
      <c r="DW311" s="93"/>
      <c r="DX311" s="93"/>
      <c r="DY311" s="93"/>
      <c r="DZ311" s="93"/>
      <c r="EA311" s="93"/>
      <c r="EB311" s="93"/>
      <c r="EC311" s="93"/>
      <c r="ED311" s="93"/>
      <c r="EE311" s="93"/>
      <c r="EF311" s="93"/>
      <c r="EG311" s="93"/>
      <c r="EH311" s="93"/>
      <c r="EI311" s="93"/>
      <c r="EJ311" s="93"/>
      <c r="EK311" s="93"/>
      <c r="EL311" s="93"/>
      <c r="EM311" s="93"/>
      <c r="EN311" s="93"/>
      <c r="EO311" s="93"/>
      <c r="EP311" s="93"/>
      <c r="EQ311" s="93"/>
      <c r="ER311" s="93"/>
      <c r="ES311" s="93"/>
      <c r="ET311" s="93"/>
      <c r="EU311" s="93"/>
      <c r="EV311" s="93"/>
      <c r="EW311" s="93"/>
      <c r="EX311" s="93"/>
      <c r="EY311" s="93"/>
      <c r="EZ311" s="93"/>
      <c r="FA311" s="93"/>
      <c r="FB311" s="93"/>
      <c r="FC311" s="93"/>
      <c r="FD311" s="93"/>
      <c r="FE311" s="93"/>
      <c r="FF311" s="93"/>
      <c r="FG311" s="93"/>
      <c r="FH311" s="93"/>
      <c r="FI311" s="93"/>
      <c r="FJ311" s="93"/>
      <c r="FK311" s="93"/>
      <c r="FL311" s="93"/>
      <c r="FM311" s="93"/>
      <c r="FN311" s="93"/>
      <c r="FO311" s="93"/>
      <c r="FP311" s="93"/>
      <c r="FQ311" s="93"/>
      <c r="FR311" s="93"/>
      <c r="FS311" s="93"/>
      <c r="FT311" s="93"/>
      <c r="FU311" s="93"/>
      <c r="FV311" s="93"/>
      <c r="FW311" s="93"/>
      <c r="FX311" s="93"/>
      <c r="FY311" s="93"/>
      <c r="FZ311" s="93"/>
      <c r="GA311" s="93"/>
      <c r="GB311" s="93"/>
      <c r="GC311" s="93"/>
      <c r="GD311" s="93"/>
      <c r="GE311" s="93"/>
      <c r="GF311" s="93"/>
      <c r="GG311" s="93"/>
      <c r="GH311" s="93"/>
      <c r="GI311" s="93"/>
      <c r="GJ311" s="93"/>
      <c r="GK311" s="93"/>
      <c r="GL311" s="93"/>
      <c r="GM311" s="93"/>
      <c r="GN311" s="93"/>
      <c r="GO311" s="93"/>
      <c r="GP311" s="93"/>
      <c r="GQ311" s="93"/>
      <c r="GR311" s="93"/>
      <c r="GS311" s="93"/>
      <c r="GT311" s="93"/>
      <c r="GU311" s="93"/>
      <c r="GV311" s="93"/>
      <c r="GW311" s="93"/>
      <c r="GX311" s="93"/>
      <c r="GY311" s="93"/>
      <c r="GZ311" s="93"/>
      <c r="HA311" s="93"/>
      <c r="HB311" s="93"/>
      <c r="HC311" s="93"/>
      <c r="HD311" s="93"/>
      <c r="HE311" s="93"/>
      <c r="HF311" s="93"/>
      <c r="HG311" s="93"/>
      <c r="HH311" s="93"/>
      <c r="HI311" s="93"/>
      <c r="HJ311" s="93"/>
      <c r="HK311" s="93"/>
      <c r="HL311" s="93"/>
      <c r="HM311" s="93"/>
      <c r="HN311" s="93"/>
      <c r="HO311" s="93"/>
      <c r="HP311" s="93"/>
      <c r="HQ311" s="93"/>
      <c r="HR311" s="93"/>
      <c r="HS311" s="93"/>
      <c r="HT311" s="93"/>
      <c r="HU311" s="93"/>
      <c r="HV311" s="93"/>
      <c r="HW311" s="93"/>
      <c r="HX311" s="93"/>
      <c r="HY311" s="93"/>
      <c r="HZ311" s="93"/>
      <c r="IA311" s="93"/>
      <c r="IB311" s="93"/>
      <c r="IC311" s="93"/>
      <c r="ID311" s="93"/>
      <c r="IE311" s="93"/>
      <c r="IF311" s="93"/>
      <c r="IG311" s="93"/>
      <c r="IH311" s="93"/>
      <c r="II311" s="93"/>
      <c r="IJ311" s="93"/>
      <c r="IK311" s="93"/>
      <c r="IL311" s="93"/>
      <c r="IM311" s="93"/>
      <c r="IN311" s="93"/>
      <c r="IO311" s="93"/>
      <c r="IP311" s="93"/>
      <c r="IQ311" s="93"/>
      <c r="IR311" s="93"/>
      <c r="IS311" s="93"/>
      <c r="IT311" s="93"/>
      <c r="IU311" s="93"/>
      <c r="IV311" s="93"/>
      <c r="IW311" s="93"/>
      <c r="IX311" s="93"/>
      <c r="IY311" s="93"/>
      <c r="IZ311" s="93"/>
    </row>
    <row r="312" spans="1:260" s="95" customFormat="1" ht="15" customHeight="1">
      <c r="A312" s="93"/>
      <c r="B312" s="183"/>
      <c r="C312" s="183"/>
      <c r="D312" s="183"/>
      <c r="E312" s="158"/>
      <c r="F312" s="158"/>
      <c r="G312" s="824"/>
      <c r="H312" s="824"/>
      <c r="I312" s="824"/>
      <c r="J312" s="824"/>
      <c r="K312" s="824"/>
      <c r="L312" s="824"/>
      <c r="M312" s="824"/>
      <c r="N312" s="824"/>
      <c r="O312" s="824"/>
      <c r="P312" s="824"/>
      <c r="Q312" s="158"/>
      <c r="R312" s="158"/>
      <c r="S312" s="207"/>
      <c r="T312" s="207"/>
      <c r="U312" s="207"/>
      <c r="V312" s="207"/>
      <c r="W312" s="207"/>
      <c r="X312" s="207"/>
      <c r="Y312" s="207"/>
      <c r="Z312" s="207"/>
      <c r="AA312" s="207"/>
      <c r="AB312" s="207"/>
      <c r="AC312" s="207"/>
      <c r="AD312" s="207"/>
      <c r="AE312" s="207"/>
      <c r="AF312" s="207"/>
      <c r="AG312" s="207"/>
      <c r="AH312" s="207"/>
      <c r="AI312" s="207"/>
      <c r="AJ312" s="207"/>
      <c r="AK312" s="207"/>
      <c r="AL312" s="207"/>
      <c r="AM312" s="94"/>
      <c r="AN312" s="94"/>
      <c r="AO312" s="94"/>
      <c r="AP312" s="94"/>
      <c r="AQ312" s="94"/>
      <c r="AR312" s="94"/>
      <c r="AS312" s="94"/>
      <c r="AT312" s="94"/>
      <c r="AU312" s="94"/>
      <c r="AV312" s="94"/>
      <c r="AW312" s="94"/>
      <c r="AX312" s="94"/>
      <c r="AY312" s="94"/>
      <c r="AZ312" s="93"/>
      <c r="BA312" s="93"/>
      <c r="BB312" s="93"/>
      <c r="BC312" s="93"/>
      <c r="BD312" s="93"/>
      <c r="BE312" s="93"/>
      <c r="BF312" s="93"/>
      <c r="BG312" s="93"/>
      <c r="BH312" s="93"/>
      <c r="BI312" s="93"/>
      <c r="BJ312" s="93"/>
      <c r="BK312" s="93"/>
      <c r="BL312" s="93"/>
      <c r="BM312" s="93"/>
      <c r="BN312" s="93"/>
      <c r="BO312" s="93"/>
      <c r="BP312" s="93"/>
      <c r="BQ312" s="93"/>
      <c r="BR312" s="93"/>
      <c r="BS312" s="93"/>
      <c r="BT312" s="93"/>
      <c r="BU312" s="93"/>
      <c r="BV312" s="93"/>
      <c r="BW312" s="93"/>
      <c r="BX312" s="93"/>
      <c r="BY312" s="93"/>
      <c r="BZ312" s="93"/>
      <c r="CA312" s="93"/>
      <c r="CB312" s="93"/>
      <c r="CC312" s="93"/>
      <c r="CD312" s="93"/>
      <c r="CE312" s="93"/>
      <c r="CF312" s="93"/>
      <c r="CG312" s="93"/>
      <c r="CH312" s="93"/>
      <c r="CI312" s="93"/>
      <c r="CJ312" s="93"/>
      <c r="CK312" s="93"/>
      <c r="CL312" s="93"/>
      <c r="CM312" s="93"/>
      <c r="CN312" s="93"/>
      <c r="CO312" s="93"/>
      <c r="CP312" s="93"/>
      <c r="CQ312" s="93"/>
      <c r="CR312" s="93"/>
      <c r="CS312" s="93"/>
      <c r="CT312" s="93"/>
      <c r="CU312" s="93"/>
      <c r="CV312" s="93"/>
      <c r="CW312" s="93"/>
      <c r="CX312" s="93"/>
      <c r="CY312" s="93"/>
      <c r="CZ312" s="93"/>
      <c r="DA312" s="93"/>
      <c r="DB312" s="93"/>
      <c r="DC312" s="93"/>
      <c r="DD312" s="93"/>
      <c r="DE312" s="93"/>
      <c r="DF312" s="93"/>
      <c r="DG312" s="93"/>
      <c r="DH312" s="93"/>
      <c r="DI312" s="93"/>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3"/>
      <c r="FG312" s="93"/>
      <c r="FH312" s="93"/>
      <c r="FI312" s="93"/>
      <c r="FJ312" s="93"/>
      <c r="FK312" s="93"/>
      <c r="FL312" s="93"/>
      <c r="FM312" s="93"/>
      <c r="FN312" s="93"/>
      <c r="FO312" s="93"/>
      <c r="FP312" s="93"/>
      <c r="FQ312" s="93"/>
      <c r="FR312" s="93"/>
      <c r="FS312" s="93"/>
      <c r="FT312" s="93"/>
      <c r="FU312" s="93"/>
      <c r="FV312" s="93"/>
      <c r="FW312" s="93"/>
      <c r="FX312" s="93"/>
      <c r="FY312" s="93"/>
      <c r="FZ312" s="93"/>
      <c r="GA312" s="93"/>
      <c r="GB312" s="93"/>
      <c r="GC312" s="93"/>
      <c r="GD312" s="93"/>
      <c r="GE312" s="93"/>
      <c r="GF312" s="93"/>
      <c r="GG312" s="93"/>
      <c r="GH312" s="93"/>
      <c r="GI312" s="93"/>
      <c r="GJ312" s="93"/>
      <c r="GK312" s="93"/>
      <c r="GL312" s="93"/>
      <c r="GM312" s="93"/>
      <c r="GN312" s="93"/>
      <c r="GO312" s="93"/>
      <c r="GP312" s="93"/>
      <c r="GQ312" s="93"/>
      <c r="GR312" s="93"/>
      <c r="GS312" s="93"/>
      <c r="GT312" s="93"/>
      <c r="GU312" s="93"/>
      <c r="GV312" s="93"/>
      <c r="GW312" s="93"/>
      <c r="GX312" s="93"/>
      <c r="GY312" s="93"/>
      <c r="GZ312" s="93"/>
      <c r="HA312" s="93"/>
      <c r="HB312" s="93"/>
      <c r="HC312" s="93"/>
      <c r="HD312" s="93"/>
      <c r="HE312" s="93"/>
      <c r="HF312" s="93"/>
      <c r="HG312" s="93"/>
      <c r="HH312" s="93"/>
      <c r="HI312" s="93"/>
      <c r="HJ312" s="93"/>
      <c r="HK312" s="93"/>
      <c r="HL312" s="93"/>
      <c r="HM312" s="93"/>
      <c r="HN312" s="93"/>
      <c r="HO312" s="93"/>
      <c r="HP312" s="93"/>
      <c r="HQ312" s="93"/>
      <c r="HR312" s="93"/>
      <c r="HS312" s="93"/>
      <c r="HT312" s="93"/>
      <c r="HU312" s="93"/>
      <c r="HV312" s="93"/>
      <c r="HW312" s="93"/>
      <c r="HX312" s="93"/>
      <c r="HY312" s="93"/>
      <c r="HZ312" s="93"/>
      <c r="IA312" s="93"/>
      <c r="IB312" s="93"/>
      <c r="IC312" s="93"/>
      <c r="ID312" s="93"/>
      <c r="IE312" s="93"/>
      <c r="IF312" s="93"/>
      <c r="IG312" s="93"/>
      <c r="IH312" s="93"/>
      <c r="II312" s="93"/>
      <c r="IJ312" s="93"/>
      <c r="IK312" s="93"/>
      <c r="IL312" s="93"/>
      <c r="IM312" s="93"/>
      <c r="IN312" s="93"/>
      <c r="IO312" s="93"/>
      <c r="IP312" s="93"/>
      <c r="IQ312" s="93"/>
      <c r="IR312" s="93"/>
      <c r="IS312" s="93"/>
      <c r="IT312" s="93"/>
      <c r="IU312" s="93"/>
      <c r="IV312" s="93"/>
      <c r="IW312" s="93"/>
      <c r="IX312" s="93"/>
      <c r="IY312" s="93"/>
      <c r="IZ312" s="93"/>
    </row>
    <row r="313" spans="1:260" s="95" customFormat="1" ht="15" customHeight="1">
      <c r="A313" s="93"/>
      <c r="B313" s="183"/>
      <c r="C313" s="183"/>
      <c r="D313" s="183"/>
      <c r="E313" s="158"/>
      <c r="F313" s="158"/>
      <c r="G313" s="824"/>
      <c r="H313" s="824"/>
      <c r="I313" s="824"/>
      <c r="J313" s="824"/>
      <c r="K313" s="824"/>
      <c r="L313" s="824"/>
      <c r="M313" s="824"/>
      <c r="N313" s="824"/>
      <c r="O313" s="824"/>
      <c r="P313" s="824"/>
      <c r="Q313" s="158"/>
      <c r="R313" s="158"/>
      <c r="S313" s="207"/>
      <c r="T313" s="207"/>
      <c r="U313" s="207"/>
      <c r="V313" s="207"/>
      <c r="W313" s="207"/>
      <c r="X313" s="207"/>
      <c r="Y313" s="207"/>
      <c r="Z313" s="207"/>
      <c r="AA313" s="207"/>
      <c r="AB313" s="207"/>
      <c r="AC313" s="207"/>
      <c r="AD313" s="207"/>
      <c r="AE313" s="207"/>
      <c r="AF313" s="207"/>
      <c r="AG313" s="207"/>
      <c r="AH313" s="207"/>
      <c r="AI313" s="207"/>
      <c r="AJ313" s="207"/>
      <c r="AK313" s="207"/>
      <c r="AL313" s="207"/>
      <c r="AM313" s="94"/>
      <c r="AN313" s="94"/>
      <c r="AO313" s="94"/>
      <c r="AP313" s="94"/>
      <c r="AQ313" s="94"/>
      <c r="AR313" s="94"/>
      <c r="AS313" s="94"/>
      <c r="AT313" s="94"/>
      <c r="AU313" s="94"/>
      <c r="AV313" s="94"/>
      <c r="AW313" s="94"/>
      <c r="AX313" s="94"/>
      <c r="AY313" s="94"/>
      <c r="AZ313" s="93"/>
      <c r="BA313" s="93"/>
      <c r="BB313" s="93"/>
      <c r="BC313" s="93"/>
      <c r="BD313" s="93"/>
      <c r="BE313" s="93"/>
      <c r="BF313" s="93"/>
      <c r="BG313" s="93"/>
      <c r="BH313" s="93"/>
      <c r="BI313" s="93"/>
      <c r="BJ313" s="93"/>
      <c r="BK313" s="93"/>
      <c r="BL313" s="93"/>
      <c r="BM313" s="93"/>
      <c r="BN313" s="93"/>
      <c r="BO313" s="93"/>
      <c r="BP313" s="93"/>
      <c r="BQ313" s="93"/>
      <c r="BR313" s="93"/>
      <c r="BS313" s="93"/>
      <c r="BT313" s="93"/>
      <c r="BU313" s="93"/>
      <c r="BV313" s="93"/>
      <c r="BW313" s="93"/>
      <c r="BX313" s="93"/>
      <c r="BY313" s="93"/>
      <c r="BZ313" s="93"/>
      <c r="CA313" s="93"/>
      <c r="CB313" s="93"/>
      <c r="CC313" s="93"/>
      <c r="CD313" s="93"/>
      <c r="CE313" s="93"/>
      <c r="CF313" s="93"/>
      <c r="CG313" s="93"/>
      <c r="CH313" s="93"/>
      <c r="CI313" s="93"/>
      <c r="CJ313" s="93"/>
      <c r="CK313" s="93"/>
      <c r="CL313" s="93"/>
      <c r="CM313" s="93"/>
      <c r="CN313" s="93"/>
      <c r="CO313" s="93"/>
      <c r="CP313" s="93"/>
      <c r="CQ313" s="93"/>
      <c r="CR313" s="93"/>
      <c r="CS313" s="93"/>
      <c r="CT313" s="93"/>
      <c r="CU313" s="93"/>
      <c r="CV313" s="93"/>
      <c r="CW313" s="93"/>
      <c r="CX313" s="93"/>
      <c r="CY313" s="93"/>
      <c r="CZ313" s="93"/>
      <c r="DA313" s="93"/>
      <c r="DB313" s="93"/>
      <c r="DC313" s="93"/>
      <c r="DD313" s="93"/>
      <c r="DE313" s="93"/>
      <c r="DF313" s="93"/>
      <c r="DG313" s="93"/>
      <c r="DH313" s="93"/>
      <c r="DI313" s="93"/>
      <c r="DJ313" s="93"/>
      <c r="DK313" s="93"/>
      <c r="DL313" s="93"/>
      <c r="DM313" s="93"/>
      <c r="DN313" s="93"/>
      <c r="DO313" s="93"/>
      <c r="DP313" s="93"/>
      <c r="DQ313" s="93"/>
      <c r="DR313" s="93"/>
      <c r="DS313" s="93"/>
      <c r="DT313" s="93"/>
      <c r="DU313" s="93"/>
      <c r="DV313" s="93"/>
      <c r="DW313" s="93"/>
      <c r="DX313" s="93"/>
      <c r="DY313" s="93"/>
      <c r="DZ313" s="93"/>
      <c r="EA313" s="93"/>
      <c r="EB313" s="93"/>
      <c r="EC313" s="93"/>
      <c r="ED313" s="93"/>
      <c r="EE313" s="93"/>
      <c r="EF313" s="93"/>
      <c r="EG313" s="93"/>
      <c r="EH313" s="93"/>
      <c r="EI313" s="93"/>
      <c r="EJ313" s="93"/>
      <c r="EK313" s="93"/>
      <c r="EL313" s="93"/>
      <c r="EM313" s="93"/>
      <c r="EN313" s="93"/>
      <c r="EO313" s="93"/>
      <c r="EP313" s="93"/>
      <c r="EQ313" s="93"/>
      <c r="ER313" s="93"/>
      <c r="ES313" s="93"/>
      <c r="ET313" s="93"/>
      <c r="EU313" s="93"/>
      <c r="EV313" s="93"/>
      <c r="EW313" s="93"/>
      <c r="EX313" s="93"/>
      <c r="EY313" s="93"/>
      <c r="EZ313" s="93"/>
      <c r="FA313" s="93"/>
      <c r="FB313" s="93"/>
      <c r="FC313" s="93"/>
      <c r="FD313" s="93"/>
      <c r="FE313" s="93"/>
      <c r="FF313" s="93"/>
      <c r="FG313" s="93"/>
      <c r="FH313" s="93"/>
      <c r="FI313" s="93"/>
      <c r="FJ313" s="93"/>
      <c r="FK313" s="93"/>
      <c r="FL313" s="93"/>
      <c r="FM313" s="93"/>
      <c r="FN313" s="93"/>
      <c r="FO313" s="93"/>
      <c r="FP313" s="93"/>
      <c r="FQ313" s="93"/>
      <c r="FR313" s="93"/>
      <c r="FS313" s="93"/>
      <c r="FT313" s="93"/>
      <c r="FU313" s="93"/>
      <c r="FV313" s="93"/>
      <c r="FW313" s="93"/>
      <c r="FX313" s="93"/>
      <c r="FY313" s="93"/>
      <c r="FZ313" s="93"/>
      <c r="GA313" s="93"/>
      <c r="GB313" s="93"/>
      <c r="GC313" s="93"/>
      <c r="GD313" s="93"/>
      <c r="GE313" s="93"/>
      <c r="GF313" s="93"/>
      <c r="GG313" s="93"/>
      <c r="GH313" s="93"/>
      <c r="GI313" s="93"/>
      <c r="GJ313" s="93"/>
      <c r="GK313" s="93"/>
      <c r="GL313" s="93"/>
      <c r="GM313" s="93"/>
      <c r="GN313" s="93"/>
      <c r="GO313" s="93"/>
      <c r="GP313" s="93"/>
      <c r="GQ313" s="93"/>
      <c r="GR313" s="93"/>
      <c r="GS313" s="93"/>
      <c r="GT313" s="93"/>
      <c r="GU313" s="93"/>
      <c r="GV313" s="93"/>
      <c r="GW313" s="93"/>
      <c r="GX313" s="93"/>
      <c r="GY313" s="93"/>
      <c r="GZ313" s="93"/>
      <c r="HA313" s="93"/>
      <c r="HB313" s="93"/>
      <c r="HC313" s="93"/>
      <c r="HD313" s="93"/>
      <c r="HE313" s="93"/>
      <c r="HF313" s="93"/>
      <c r="HG313" s="93"/>
      <c r="HH313" s="93"/>
      <c r="HI313" s="93"/>
      <c r="HJ313" s="93"/>
      <c r="HK313" s="93"/>
      <c r="HL313" s="93"/>
      <c r="HM313" s="93"/>
      <c r="HN313" s="93"/>
      <c r="HO313" s="93"/>
      <c r="HP313" s="93"/>
      <c r="HQ313" s="93"/>
      <c r="HR313" s="93"/>
      <c r="HS313" s="93"/>
      <c r="HT313" s="93"/>
      <c r="HU313" s="93"/>
      <c r="HV313" s="93"/>
      <c r="HW313" s="93"/>
      <c r="HX313" s="93"/>
      <c r="HY313" s="93"/>
      <c r="HZ313" s="93"/>
      <c r="IA313" s="93"/>
      <c r="IB313" s="93"/>
      <c r="IC313" s="93"/>
      <c r="ID313" s="93"/>
      <c r="IE313" s="93"/>
      <c r="IF313" s="93"/>
      <c r="IG313" s="93"/>
      <c r="IH313" s="93"/>
      <c r="II313" s="93"/>
      <c r="IJ313" s="93"/>
      <c r="IK313" s="93"/>
      <c r="IL313" s="93"/>
      <c r="IM313" s="93"/>
      <c r="IN313" s="93"/>
      <c r="IO313" s="93"/>
      <c r="IP313" s="93"/>
      <c r="IQ313" s="93"/>
      <c r="IR313" s="93"/>
      <c r="IS313" s="93"/>
      <c r="IT313" s="93"/>
      <c r="IU313" s="93"/>
      <c r="IV313" s="93"/>
      <c r="IW313" s="93"/>
      <c r="IX313" s="93"/>
      <c r="IY313" s="93"/>
      <c r="IZ313" s="93"/>
    </row>
    <row r="314" spans="1:260" s="95" customFormat="1" ht="15" customHeight="1">
      <c r="A314" s="93"/>
      <c r="B314" s="183"/>
      <c r="C314" s="183"/>
      <c r="D314" s="183"/>
      <c r="E314" s="158"/>
      <c r="F314" s="158"/>
      <c r="G314" s="824"/>
      <c r="H314" s="824"/>
      <c r="I314" s="824"/>
      <c r="J314" s="824"/>
      <c r="K314" s="824"/>
      <c r="L314" s="824"/>
      <c r="M314" s="824"/>
      <c r="N314" s="824"/>
      <c r="O314" s="824"/>
      <c r="P314" s="824"/>
      <c r="Q314" s="158"/>
      <c r="R314" s="158"/>
      <c r="S314" s="207"/>
      <c r="T314" s="207"/>
      <c r="U314" s="207"/>
      <c r="V314" s="207"/>
      <c r="W314" s="207"/>
      <c r="X314" s="207"/>
      <c r="Y314" s="207"/>
      <c r="Z314" s="207"/>
      <c r="AA314" s="207"/>
      <c r="AB314" s="207"/>
      <c r="AC314" s="207"/>
      <c r="AD314" s="207"/>
      <c r="AE314" s="207"/>
      <c r="AF314" s="207"/>
      <c r="AG314" s="207"/>
      <c r="AH314" s="207"/>
      <c r="AI314" s="207"/>
      <c r="AJ314" s="207"/>
      <c r="AK314" s="207"/>
      <c r="AL314" s="207"/>
      <c r="AM314" s="94"/>
      <c r="AN314" s="94"/>
      <c r="AO314" s="94"/>
      <c r="AP314" s="94"/>
      <c r="AQ314" s="94"/>
      <c r="AR314" s="94"/>
      <c r="AS314" s="94"/>
      <c r="AT314" s="94"/>
      <c r="AU314" s="94"/>
      <c r="AV314" s="94"/>
      <c r="AW314" s="94"/>
      <c r="AX314" s="94"/>
      <c r="AY314" s="94"/>
      <c r="AZ314" s="93"/>
      <c r="BA314" s="93"/>
      <c r="BB314" s="93"/>
      <c r="BC314" s="93"/>
      <c r="BD314" s="93"/>
      <c r="BE314" s="93"/>
      <c r="BF314" s="93"/>
      <c r="BG314" s="93"/>
      <c r="BH314" s="93"/>
      <c r="BI314" s="93"/>
      <c r="BJ314" s="93"/>
      <c r="BK314" s="93"/>
      <c r="BL314" s="93"/>
      <c r="BM314" s="93"/>
      <c r="BN314" s="93"/>
      <c r="BO314" s="93"/>
      <c r="BP314" s="93"/>
      <c r="BQ314" s="93"/>
      <c r="BR314" s="93"/>
      <c r="BS314" s="93"/>
      <c r="BT314" s="93"/>
      <c r="BU314" s="93"/>
      <c r="BV314" s="93"/>
      <c r="BW314" s="93"/>
      <c r="BX314" s="93"/>
      <c r="BY314" s="93"/>
      <c r="BZ314" s="93"/>
      <c r="CA314" s="93"/>
      <c r="CB314" s="93"/>
      <c r="CC314" s="93"/>
      <c r="CD314" s="93"/>
      <c r="CE314" s="93"/>
      <c r="CF314" s="93"/>
      <c r="CG314" s="93"/>
      <c r="CH314" s="93"/>
      <c r="CI314" s="93"/>
      <c r="CJ314" s="93"/>
      <c r="CK314" s="93"/>
      <c r="CL314" s="93"/>
      <c r="CM314" s="93"/>
      <c r="CN314" s="93"/>
      <c r="CO314" s="93"/>
      <c r="CP314" s="93"/>
      <c r="CQ314" s="93"/>
      <c r="CR314" s="93"/>
      <c r="CS314" s="93"/>
      <c r="CT314" s="93"/>
      <c r="CU314" s="93"/>
      <c r="CV314" s="93"/>
      <c r="CW314" s="93"/>
      <c r="CX314" s="93"/>
      <c r="CY314" s="93"/>
      <c r="CZ314" s="93"/>
      <c r="DA314" s="93"/>
      <c r="DB314" s="93"/>
      <c r="DC314" s="93"/>
      <c r="DD314" s="93"/>
      <c r="DE314" s="93"/>
      <c r="DF314" s="93"/>
      <c r="DG314" s="93"/>
      <c r="DH314" s="93"/>
      <c r="DI314" s="93"/>
      <c r="DJ314" s="93"/>
      <c r="DK314" s="93"/>
      <c r="DL314" s="93"/>
      <c r="DM314" s="93"/>
      <c r="DN314" s="93"/>
      <c r="DO314" s="93"/>
      <c r="DP314" s="93"/>
      <c r="DQ314" s="93"/>
      <c r="DR314" s="93"/>
      <c r="DS314" s="93"/>
      <c r="DT314" s="93"/>
      <c r="DU314" s="93"/>
      <c r="DV314" s="93"/>
      <c r="DW314" s="93"/>
      <c r="DX314" s="93"/>
      <c r="DY314" s="93"/>
      <c r="DZ314" s="93"/>
      <c r="EA314" s="93"/>
      <c r="EB314" s="93"/>
      <c r="EC314" s="93"/>
      <c r="ED314" s="93"/>
      <c r="EE314" s="93"/>
      <c r="EF314" s="93"/>
      <c r="EG314" s="93"/>
      <c r="EH314" s="93"/>
      <c r="EI314" s="93"/>
      <c r="EJ314" s="93"/>
      <c r="EK314" s="93"/>
      <c r="EL314" s="93"/>
      <c r="EM314" s="93"/>
      <c r="EN314" s="93"/>
      <c r="EO314" s="93"/>
      <c r="EP314" s="93"/>
      <c r="EQ314" s="93"/>
      <c r="ER314" s="93"/>
      <c r="ES314" s="93"/>
      <c r="ET314" s="93"/>
      <c r="EU314" s="93"/>
      <c r="EV314" s="93"/>
      <c r="EW314" s="93"/>
      <c r="EX314" s="93"/>
      <c r="EY314" s="93"/>
      <c r="EZ314" s="93"/>
      <c r="FA314" s="93"/>
      <c r="FB314" s="93"/>
      <c r="FC314" s="93"/>
      <c r="FD314" s="93"/>
      <c r="FE314" s="93"/>
      <c r="FF314" s="93"/>
      <c r="FG314" s="93"/>
      <c r="FH314" s="93"/>
      <c r="FI314" s="93"/>
      <c r="FJ314" s="93"/>
      <c r="FK314" s="93"/>
      <c r="FL314" s="93"/>
      <c r="FM314" s="93"/>
      <c r="FN314" s="93"/>
      <c r="FO314" s="93"/>
      <c r="FP314" s="93"/>
      <c r="FQ314" s="93"/>
      <c r="FR314" s="93"/>
      <c r="FS314" s="93"/>
      <c r="FT314" s="93"/>
      <c r="FU314" s="93"/>
      <c r="FV314" s="93"/>
      <c r="FW314" s="93"/>
      <c r="FX314" s="93"/>
      <c r="FY314" s="93"/>
      <c r="FZ314" s="93"/>
      <c r="GA314" s="93"/>
      <c r="GB314" s="93"/>
      <c r="GC314" s="93"/>
      <c r="GD314" s="93"/>
      <c r="GE314" s="93"/>
      <c r="GF314" s="93"/>
      <c r="GG314" s="93"/>
      <c r="GH314" s="93"/>
      <c r="GI314" s="93"/>
      <c r="GJ314" s="93"/>
      <c r="GK314" s="93"/>
      <c r="GL314" s="93"/>
      <c r="GM314" s="93"/>
      <c r="GN314" s="93"/>
      <c r="GO314" s="93"/>
      <c r="GP314" s="93"/>
      <c r="GQ314" s="93"/>
      <c r="GR314" s="93"/>
      <c r="GS314" s="93"/>
      <c r="GT314" s="93"/>
      <c r="GU314" s="93"/>
      <c r="GV314" s="93"/>
      <c r="GW314" s="93"/>
      <c r="GX314" s="93"/>
      <c r="GY314" s="93"/>
      <c r="GZ314" s="93"/>
      <c r="HA314" s="93"/>
      <c r="HB314" s="93"/>
      <c r="HC314" s="93"/>
      <c r="HD314" s="93"/>
      <c r="HE314" s="93"/>
      <c r="HF314" s="93"/>
      <c r="HG314" s="93"/>
      <c r="HH314" s="93"/>
      <c r="HI314" s="93"/>
      <c r="HJ314" s="93"/>
      <c r="HK314" s="93"/>
      <c r="HL314" s="93"/>
      <c r="HM314" s="93"/>
      <c r="HN314" s="93"/>
      <c r="HO314" s="93"/>
      <c r="HP314" s="93"/>
      <c r="HQ314" s="93"/>
      <c r="HR314" s="93"/>
      <c r="HS314" s="93"/>
      <c r="HT314" s="93"/>
      <c r="HU314" s="93"/>
      <c r="HV314" s="93"/>
      <c r="HW314" s="93"/>
      <c r="HX314" s="93"/>
      <c r="HY314" s="93"/>
      <c r="HZ314" s="93"/>
      <c r="IA314" s="93"/>
      <c r="IB314" s="93"/>
      <c r="IC314" s="93"/>
      <c r="ID314" s="93"/>
      <c r="IE314" s="93"/>
      <c r="IF314" s="93"/>
      <c r="IG314" s="93"/>
      <c r="IH314" s="93"/>
      <c r="II314" s="93"/>
      <c r="IJ314" s="93"/>
      <c r="IK314" s="93"/>
      <c r="IL314" s="93"/>
      <c r="IM314" s="93"/>
      <c r="IN314" s="93"/>
      <c r="IO314" s="93"/>
      <c r="IP314" s="93"/>
      <c r="IQ314" s="93"/>
      <c r="IR314" s="93"/>
      <c r="IS314" s="93"/>
      <c r="IT314" s="93"/>
      <c r="IU314" s="93"/>
      <c r="IV314" s="93"/>
      <c r="IW314" s="93"/>
      <c r="IX314" s="93"/>
      <c r="IY314" s="93"/>
      <c r="IZ314" s="93"/>
    </row>
    <row r="315" spans="1:260" s="95" customFormat="1" ht="15" customHeight="1">
      <c r="A315" s="93"/>
      <c r="B315" s="183"/>
      <c r="C315" s="183"/>
      <c r="D315" s="183"/>
      <c r="E315" s="158"/>
      <c r="F315" s="158"/>
      <c r="G315" s="824"/>
      <c r="H315" s="824"/>
      <c r="I315" s="824"/>
      <c r="J315" s="824"/>
      <c r="K315" s="824"/>
      <c r="L315" s="824"/>
      <c r="M315" s="824"/>
      <c r="N315" s="824"/>
      <c r="O315" s="824"/>
      <c r="P315" s="824"/>
      <c r="Q315" s="158"/>
      <c r="R315" s="158"/>
      <c r="S315" s="207"/>
      <c r="T315" s="207"/>
      <c r="U315" s="207"/>
      <c r="V315" s="207"/>
      <c r="W315" s="207"/>
      <c r="X315" s="207"/>
      <c r="Y315" s="207"/>
      <c r="Z315" s="207"/>
      <c r="AA315" s="207"/>
      <c r="AB315" s="207"/>
      <c r="AC315" s="207"/>
      <c r="AD315" s="207"/>
      <c r="AE315" s="207"/>
      <c r="AF315" s="207"/>
      <c r="AG315" s="207"/>
      <c r="AH315" s="207"/>
      <c r="AI315" s="207"/>
      <c r="AJ315" s="207"/>
      <c r="AK315" s="207"/>
      <c r="AL315" s="207"/>
      <c r="AM315" s="94"/>
      <c r="AN315" s="94"/>
      <c r="AO315" s="94"/>
      <c r="AP315" s="94"/>
      <c r="AQ315" s="94"/>
      <c r="AR315" s="94"/>
      <c r="AS315" s="94"/>
      <c r="AT315" s="94"/>
      <c r="AU315" s="94"/>
      <c r="AV315" s="94"/>
      <c r="AW315" s="94"/>
      <c r="AX315" s="94"/>
      <c r="AY315" s="94"/>
      <c r="AZ315" s="93"/>
      <c r="BA315" s="93"/>
      <c r="BB315" s="93"/>
      <c r="BC315" s="93"/>
      <c r="BD315" s="93"/>
      <c r="BE315" s="93"/>
      <c r="BF315" s="93"/>
      <c r="BG315" s="93"/>
      <c r="BH315" s="93"/>
      <c r="BI315" s="93"/>
      <c r="BJ315" s="93"/>
      <c r="BK315" s="93"/>
      <c r="BL315" s="93"/>
      <c r="BM315" s="93"/>
      <c r="BN315" s="93"/>
      <c r="BO315" s="93"/>
      <c r="BP315" s="93"/>
      <c r="BQ315" s="93"/>
      <c r="BR315" s="93"/>
      <c r="BS315" s="93"/>
      <c r="BT315" s="93"/>
      <c r="BU315" s="93"/>
      <c r="BV315" s="93"/>
      <c r="BW315" s="93"/>
      <c r="BX315" s="93"/>
      <c r="BY315" s="93"/>
      <c r="BZ315" s="93"/>
      <c r="CA315" s="93"/>
      <c r="CB315" s="93"/>
      <c r="CC315" s="93"/>
      <c r="CD315" s="93"/>
      <c r="CE315" s="93"/>
      <c r="CF315" s="93"/>
      <c r="CG315" s="93"/>
      <c r="CH315" s="93"/>
      <c r="CI315" s="93"/>
      <c r="CJ315" s="93"/>
      <c r="CK315" s="93"/>
      <c r="CL315" s="93"/>
      <c r="CM315" s="93"/>
      <c r="CN315" s="93"/>
      <c r="CO315" s="93"/>
      <c r="CP315" s="93"/>
      <c r="CQ315" s="93"/>
      <c r="CR315" s="93"/>
      <c r="CS315" s="93"/>
      <c r="CT315" s="93"/>
      <c r="CU315" s="93"/>
      <c r="CV315" s="93"/>
      <c r="CW315" s="93"/>
      <c r="CX315" s="93"/>
      <c r="CY315" s="93"/>
      <c r="CZ315" s="93"/>
      <c r="DA315" s="93"/>
      <c r="DB315" s="93"/>
      <c r="DC315" s="93"/>
      <c r="DD315" s="93"/>
      <c r="DE315" s="93"/>
      <c r="DF315" s="93"/>
      <c r="DG315" s="93"/>
      <c r="DH315" s="93"/>
      <c r="DI315" s="93"/>
      <c r="DJ315" s="93"/>
      <c r="DK315" s="93"/>
      <c r="DL315" s="93"/>
      <c r="DM315" s="93"/>
      <c r="DN315" s="93"/>
      <c r="DO315" s="93"/>
      <c r="DP315" s="93"/>
      <c r="DQ315" s="93"/>
      <c r="DR315" s="93"/>
      <c r="DS315" s="93"/>
      <c r="DT315" s="93"/>
      <c r="DU315" s="93"/>
      <c r="DV315" s="93"/>
      <c r="DW315" s="93"/>
      <c r="DX315" s="93"/>
      <c r="DY315" s="93"/>
      <c r="DZ315" s="93"/>
      <c r="EA315" s="93"/>
      <c r="EB315" s="93"/>
      <c r="EC315" s="93"/>
      <c r="ED315" s="93"/>
      <c r="EE315" s="93"/>
      <c r="EF315" s="93"/>
      <c r="EG315" s="93"/>
      <c r="EH315" s="93"/>
      <c r="EI315" s="93"/>
      <c r="EJ315" s="93"/>
      <c r="EK315" s="93"/>
      <c r="EL315" s="93"/>
      <c r="EM315" s="93"/>
      <c r="EN315" s="93"/>
      <c r="EO315" s="93"/>
      <c r="EP315" s="93"/>
      <c r="EQ315" s="93"/>
      <c r="ER315" s="93"/>
      <c r="ES315" s="93"/>
      <c r="ET315" s="93"/>
      <c r="EU315" s="93"/>
      <c r="EV315" s="93"/>
      <c r="EW315" s="93"/>
      <c r="EX315" s="93"/>
      <c r="EY315" s="93"/>
      <c r="EZ315" s="93"/>
      <c r="FA315" s="93"/>
      <c r="FB315" s="93"/>
      <c r="FC315" s="93"/>
      <c r="FD315" s="93"/>
      <c r="FE315" s="93"/>
      <c r="FF315" s="93"/>
      <c r="FG315" s="93"/>
      <c r="FH315" s="93"/>
      <c r="FI315" s="93"/>
      <c r="FJ315" s="93"/>
      <c r="FK315" s="93"/>
      <c r="FL315" s="93"/>
      <c r="FM315" s="93"/>
      <c r="FN315" s="93"/>
      <c r="FO315" s="93"/>
      <c r="FP315" s="93"/>
      <c r="FQ315" s="93"/>
      <c r="FR315" s="93"/>
      <c r="FS315" s="93"/>
      <c r="FT315" s="93"/>
      <c r="FU315" s="93"/>
      <c r="FV315" s="93"/>
      <c r="FW315" s="93"/>
      <c r="FX315" s="93"/>
      <c r="FY315" s="93"/>
      <c r="FZ315" s="93"/>
      <c r="GA315" s="93"/>
      <c r="GB315" s="93"/>
      <c r="GC315" s="93"/>
      <c r="GD315" s="93"/>
      <c r="GE315" s="93"/>
      <c r="GF315" s="93"/>
      <c r="GG315" s="93"/>
      <c r="GH315" s="93"/>
      <c r="GI315" s="93"/>
      <c r="GJ315" s="93"/>
      <c r="GK315" s="93"/>
      <c r="GL315" s="93"/>
      <c r="GM315" s="93"/>
      <c r="GN315" s="93"/>
      <c r="GO315" s="93"/>
      <c r="GP315" s="93"/>
      <c r="GQ315" s="93"/>
      <c r="GR315" s="93"/>
      <c r="GS315" s="93"/>
      <c r="GT315" s="93"/>
      <c r="GU315" s="93"/>
      <c r="GV315" s="93"/>
      <c r="GW315" s="93"/>
      <c r="GX315" s="93"/>
      <c r="GY315" s="93"/>
      <c r="GZ315" s="93"/>
      <c r="HA315" s="93"/>
      <c r="HB315" s="93"/>
      <c r="HC315" s="93"/>
      <c r="HD315" s="93"/>
      <c r="HE315" s="93"/>
      <c r="HF315" s="93"/>
      <c r="HG315" s="93"/>
      <c r="HH315" s="93"/>
      <c r="HI315" s="93"/>
      <c r="HJ315" s="93"/>
      <c r="HK315" s="93"/>
      <c r="HL315" s="93"/>
      <c r="HM315" s="93"/>
      <c r="HN315" s="93"/>
      <c r="HO315" s="93"/>
      <c r="HP315" s="93"/>
      <c r="HQ315" s="93"/>
      <c r="HR315" s="93"/>
      <c r="HS315" s="93"/>
      <c r="HT315" s="93"/>
      <c r="HU315" s="93"/>
      <c r="HV315" s="93"/>
      <c r="HW315" s="93"/>
      <c r="HX315" s="93"/>
      <c r="HY315" s="93"/>
      <c r="HZ315" s="93"/>
      <c r="IA315" s="93"/>
      <c r="IB315" s="93"/>
      <c r="IC315" s="93"/>
      <c r="ID315" s="93"/>
      <c r="IE315" s="93"/>
      <c r="IF315" s="93"/>
      <c r="IG315" s="93"/>
      <c r="IH315" s="93"/>
      <c r="II315" s="93"/>
      <c r="IJ315" s="93"/>
      <c r="IK315" s="93"/>
      <c r="IL315" s="93"/>
      <c r="IM315" s="93"/>
      <c r="IN315" s="93"/>
      <c r="IO315" s="93"/>
      <c r="IP315" s="93"/>
      <c r="IQ315" s="93"/>
      <c r="IR315" s="93"/>
      <c r="IS315" s="93"/>
      <c r="IT315" s="93"/>
      <c r="IU315" s="93"/>
      <c r="IV315" s="93"/>
      <c r="IW315" s="93"/>
      <c r="IX315" s="93"/>
      <c r="IY315" s="93"/>
      <c r="IZ315" s="93"/>
    </row>
    <row r="316" spans="1:260" s="95" customFormat="1" ht="15" customHeight="1">
      <c r="A316" s="93"/>
      <c r="B316" s="183"/>
      <c r="C316" s="183"/>
      <c r="D316" s="183"/>
      <c r="E316" s="158"/>
      <c r="F316" s="158"/>
      <c r="G316" s="824"/>
      <c r="H316" s="824"/>
      <c r="I316" s="824"/>
      <c r="J316" s="824"/>
      <c r="K316" s="824"/>
      <c r="L316" s="824"/>
      <c r="M316" s="824"/>
      <c r="N316" s="824"/>
      <c r="O316" s="824"/>
      <c r="P316" s="824"/>
      <c r="Q316" s="158"/>
      <c r="R316" s="158"/>
      <c r="S316" s="207"/>
      <c r="T316" s="207"/>
      <c r="U316" s="207"/>
      <c r="V316" s="207"/>
      <c r="W316" s="207"/>
      <c r="X316" s="207"/>
      <c r="Y316" s="207"/>
      <c r="Z316" s="207"/>
      <c r="AA316" s="207"/>
      <c r="AB316" s="207"/>
      <c r="AC316" s="207"/>
      <c r="AD316" s="207"/>
      <c r="AE316" s="207"/>
      <c r="AF316" s="207"/>
      <c r="AG316" s="207"/>
      <c r="AH316" s="207"/>
      <c r="AI316" s="207"/>
      <c r="AJ316" s="207"/>
      <c r="AK316" s="207"/>
      <c r="AL316" s="207"/>
      <c r="AM316" s="94"/>
      <c r="AN316" s="94"/>
      <c r="AO316" s="94"/>
      <c r="AP316" s="94"/>
      <c r="AQ316" s="94"/>
      <c r="AR316" s="94"/>
      <c r="AS316" s="94"/>
      <c r="AT316" s="94"/>
      <c r="AU316" s="94"/>
      <c r="AV316" s="94"/>
      <c r="AW316" s="94"/>
      <c r="AX316" s="94"/>
      <c r="AY316" s="94"/>
      <c r="AZ316" s="93"/>
      <c r="BA316" s="93"/>
      <c r="BB316" s="93"/>
      <c r="BC316" s="93"/>
      <c r="BD316" s="93"/>
      <c r="BE316" s="93"/>
      <c r="BF316" s="93"/>
      <c r="BG316" s="93"/>
      <c r="BH316" s="93"/>
      <c r="BI316" s="93"/>
      <c r="BJ316" s="93"/>
      <c r="BK316" s="93"/>
      <c r="BL316" s="93"/>
      <c r="BM316" s="93"/>
      <c r="BN316" s="93"/>
      <c r="BO316" s="93"/>
      <c r="BP316" s="93"/>
      <c r="BQ316" s="93"/>
      <c r="BR316" s="93"/>
      <c r="BS316" s="93"/>
      <c r="BT316" s="93"/>
      <c r="BU316" s="93"/>
      <c r="BV316" s="93"/>
      <c r="BW316" s="93"/>
      <c r="BX316" s="93"/>
      <c r="BY316" s="93"/>
      <c r="BZ316" s="93"/>
      <c r="CA316" s="93"/>
      <c r="CB316" s="93"/>
      <c r="CC316" s="93"/>
      <c r="CD316" s="93"/>
      <c r="CE316" s="93"/>
      <c r="CF316" s="93"/>
      <c r="CG316" s="93"/>
      <c r="CH316" s="93"/>
      <c r="CI316" s="93"/>
      <c r="CJ316" s="93"/>
      <c r="CK316" s="93"/>
      <c r="CL316" s="93"/>
      <c r="CM316" s="93"/>
      <c r="CN316" s="93"/>
      <c r="CO316" s="93"/>
      <c r="CP316" s="93"/>
      <c r="CQ316" s="93"/>
      <c r="CR316" s="93"/>
      <c r="CS316" s="93"/>
      <c r="CT316" s="93"/>
      <c r="CU316" s="93"/>
      <c r="CV316" s="93"/>
      <c r="CW316" s="93"/>
      <c r="CX316" s="93"/>
      <c r="CY316" s="93"/>
      <c r="CZ316" s="93"/>
      <c r="DA316" s="93"/>
      <c r="DB316" s="93"/>
      <c r="DC316" s="93"/>
      <c r="DD316" s="93"/>
      <c r="DE316" s="93"/>
      <c r="DF316" s="93"/>
      <c r="DG316" s="93"/>
      <c r="DH316" s="93"/>
      <c r="DI316" s="93"/>
      <c r="DJ316" s="93"/>
      <c r="DK316" s="93"/>
      <c r="DL316" s="93"/>
      <c r="DM316" s="93"/>
      <c r="DN316" s="93"/>
      <c r="DO316" s="93"/>
      <c r="DP316" s="93"/>
      <c r="DQ316" s="93"/>
      <c r="DR316" s="93"/>
      <c r="DS316" s="93"/>
      <c r="DT316" s="93"/>
      <c r="DU316" s="93"/>
      <c r="DV316" s="93"/>
      <c r="DW316" s="93"/>
      <c r="DX316" s="93"/>
      <c r="DY316" s="93"/>
      <c r="DZ316" s="93"/>
      <c r="EA316" s="93"/>
      <c r="EB316" s="93"/>
      <c r="EC316" s="93"/>
      <c r="ED316" s="93"/>
      <c r="EE316" s="93"/>
      <c r="EF316" s="93"/>
      <c r="EG316" s="93"/>
      <c r="EH316" s="93"/>
      <c r="EI316" s="93"/>
      <c r="EJ316" s="93"/>
      <c r="EK316" s="93"/>
      <c r="EL316" s="93"/>
      <c r="EM316" s="93"/>
      <c r="EN316" s="93"/>
      <c r="EO316" s="93"/>
      <c r="EP316" s="93"/>
      <c r="EQ316" s="93"/>
      <c r="ER316" s="93"/>
      <c r="ES316" s="93"/>
      <c r="ET316" s="93"/>
      <c r="EU316" s="93"/>
      <c r="EV316" s="93"/>
      <c r="EW316" s="93"/>
      <c r="EX316" s="93"/>
      <c r="EY316" s="93"/>
      <c r="EZ316" s="93"/>
      <c r="FA316" s="93"/>
      <c r="FB316" s="93"/>
      <c r="FC316" s="93"/>
      <c r="FD316" s="93"/>
      <c r="FE316" s="93"/>
      <c r="FF316" s="93"/>
      <c r="FG316" s="93"/>
      <c r="FH316" s="93"/>
      <c r="FI316" s="93"/>
      <c r="FJ316" s="93"/>
      <c r="FK316" s="93"/>
      <c r="FL316" s="93"/>
      <c r="FM316" s="93"/>
      <c r="FN316" s="93"/>
      <c r="FO316" s="93"/>
      <c r="FP316" s="93"/>
      <c r="FQ316" s="93"/>
      <c r="FR316" s="93"/>
      <c r="FS316" s="93"/>
      <c r="FT316" s="93"/>
      <c r="FU316" s="93"/>
      <c r="FV316" s="93"/>
      <c r="FW316" s="93"/>
      <c r="FX316" s="93"/>
      <c r="FY316" s="93"/>
      <c r="FZ316" s="93"/>
      <c r="GA316" s="93"/>
      <c r="GB316" s="93"/>
      <c r="GC316" s="93"/>
      <c r="GD316" s="93"/>
      <c r="GE316" s="93"/>
      <c r="GF316" s="93"/>
      <c r="GG316" s="93"/>
      <c r="GH316" s="93"/>
      <c r="GI316" s="93"/>
      <c r="GJ316" s="93"/>
      <c r="GK316" s="93"/>
      <c r="GL316" s="93"/>
      <c r="GM316" s="93"/>
      <c r="GN316" s="93"/>
      <c r="GO316" s="93"/>
      <c r="GP316" s="93"/>
      <c r="GQ316" s="93"/>
      <c r="GR316" s="93"/>
      <c r="GS316" s="93"/>
      <c r="GT316" s="93"/>
      <c r="GU316" s="93"/>
      <c r="GV316" s="93"/>
      <c r="GW316" s="93"/>
      <c r="GX316" s="93"/>
      <c r="GY316" s="93"/>
      <c r="GZ316" s="93"/>
      <c r="HA316" s="93"/>
      <c r="HB316" s="93"/>
      <c r="HC316" s="93"/>
      <c r="HD316" s="93"/>
      <c r="HE316" s="93"/>
      <c r="HF316" s="93"/>
      <c r="HG316" s="93"/>
      <c r="HH316" s="93"/>
      <c r="HI316" s="93"/>
      <c r="HJ316" s="93"/>
      <c r="HK316" s="93"/>
      <c r="HL316" s="93"/>
      <c r="HM316" s="93"/>
      <c r="HN316" s="93"/>
      <c r="HO316" s="93"/>
      <c r="HP316" s="93"/>
      <c r="HQ316" s="93"/>
      <c r="HR316" s="93"/>
      <c r="HS316" s="93"/>
      <c r="HT316" s="93"/>
      <c r="HU316" s="93"/>
      <c r="HV316" s="93"/>
      <c r="HW316" s="93"/>
      <c r="HX316" s="93"/>
      <c r="HY316" s="93"/>
      <c r="HZ316" s="93"/>
      <c r="IA316" s="93"/>
      <c r="IB316" s="93"/>
      <c r="IC316" s="93"/>
      <c r="ID316" s="93"/>
      <c r="IE316" s="93"/>
      <c r="IF316" s="93"/>
      <c r="IG316" s="93"/>
      <c r="IH316" s="93"/>
      <c r="II316" s="93"/>
      <c r="IJ316" s="93"/>
      <c r="IK316" s="93"/>
      <c r="IL316" s="93"/>
      <c r="IM316" s="93"/>
      <c r="IN316" s="93"/>
      <c r="IO316" s="93"/>
      <c r="IP316" s="93"/>
      <c r="IQ316" s="93"/>
      <c r="IR316" s="93"/>
      <c r="IS316" s="93"/>
      <c r="IT316" s="93"/>
      <c r="IU316" s="93"/>
      <c r="IV316" s="93"/>
      <c r="IW316" s="93"/>
      <c r="IX316" s="93"/>
      <c r="IY316" s="93"/>
      <c r="IZ316" s="93"/>
    </row>
    <row r="317" spans="1:260" s="95" customFormat="1" ht="15" customHeight="1">
      <c r="A317" s="93"/>
      <c r="B317" s="183"/>
      <c r="C317" s="183"/>
      <c r="D317" s="183"/>
      <c r="E317" s="158"/>
      <c r="F317" s="158"/>
      <c r="G317" s="824"/>
      <c r="H317" s="824"/>
      <c r="I317" s="824"/>
      <c r="J317" s="824"/>
      <c r="K317" s="824"/>
      <c r="L317" s="824"/>
      <c r="M317" s="824"/>
      <c r="N317" s="824"/>
      <c r="O317" s="824"/>
      <c r="P317" s="824"/>
      <c r="Q317" s="158"/>
      <c r="R317" s="158"/>
      <c r="S317" s="207"/>
      <c r="T317" s="207"/>
      <c r="U317" s="207"/>
      <c r="V317" s="207"/>
      <c r="W317" s="207"/>
      <c r="X317" s="207"/>
      <c r="Y317" s="207"/>
      <c r="Z317" s="207"/>
      <c r="AA317" s="207"/>
      <c r="AB317" s="207"/>
      <c r="AC317" s="207"/>
      <c r="AD317" s="207"/>
      <c r="AE317" s="207"/>
      <c r="AF317" s="207"/>
      <c r="AG317" s="207"/>
      <c r="AH317" s="207"/>
      <c r="AI317" s="207"/>
      <c r="AJ317" s="207"/>
      <c r="AK317" s="207"/>
      <c r="AL317" s="207"/>
      <c r="AM317" s="94"/>
      <c r="AN317" s="94"/>
      <c r="AO317" s="94"/>
      <c r="AP317" s="94"/>
      <c r="AQ317" s="94"/>
      <c r="AR317" s="94"/>
      <c r="AS317" s="94"/>
      <c r="AT317" s="94"/>
      <c r="AU317" s="94"/>
      <c r="AV317" s="94"/>
      <c r="AW317" s="94"/>
      <c r="AX317" s="94"/>
      <c r="AY317" s="94"/>
      <c r="AZ317" s="93"/>
      <c r="BA317" s="93"/>
      <c r="BB317" s="93"/>
      <c r="BC317" s="93"/>
      <c r="BD317" s="93"/>
      <c r="BE317" s="93"/>
      <c r="BF317" s="93"/>
      <c r="BG317" s="93"/>
      <c r="BH317" s="93"/>
      <c r="BI317" s="93"/>
      <c r="BJ317" s="93"/>
      <c r="BK317" s="93"/>
      <c r="BL317" s="93"/>
      <c r="BM317" s="93"/>
      <c r="BN317" s="93"/>
      <c r="BO317" s="93"/>
      <c r="BP317" s="93"/>
      <c r="BQ317" s="93"/>
      <c r="BR317" s="93"/>
      <c r="BS317" s="93"/>
      <c r="BT317" s="93"/>
      <c r="BU317" s="93"/>
      <c r="BV317" s="93"/>
      <c r="BW317" s="93"/>
      <c r="BX317" s="93"/>
      <c r="BY317" s="93"/>
      <c r="BZ317" s="93"/>
      <c r="CA317" s="93"/>
      <c r="CB317" s="93"/>
      <c r="CC317" s="93"/>
      <c r="CD317" s="93"/>
      <c r="CE317" s="93"/>
      <c r="CF317" s="93"/>
      <c r="CG317" s="93"/>
      <c r="CH317" s="93"/>
      <c r="CI317" s="93"/>
      <c r="CJ317" s="93"/>
      <c r="CK317" s="93"/>
      <c r="CL317" s="93"/>
      <c r="CM317" s="93"/>
      <c r="CN317" s="93"/>
      <c r="CO317" s="93"/>
      <c r="CP317" s="93"/>
      <c r="CQ317" s="93"/>
      <c r="CR317" s="93"/>
      <c r="CS317" s="93"/>
      <c r="CT317" s="93"/>
      <c r="CU317" s="93"/>
      <c r="CV317" s="93"/>
      <c r="CW317" s="93"/>
      <c r="CX317" s="93"/>
      <c r="CY317" s="93"/>
      <c r="CZ317" s="93"/>
      <c r="DA317" s="93"/>
      <c r="DB317" s="93"/>
      <c r="DC317" s="93"/>
      <c r="DD317" s="93"/>
      <c r="DE317" s="93"/>
      <c r="DF317" s="93"/>
      <c r="DG317" s="93"/>
      <c r="DH317" s="93"/>
      <c r="DI317" s="93"/>
      <c r="DJ317" s="93"/>
      <c r="DK317" s="93"/>
      <c r="DL317" s="93"/>
      <c r="DM317" s="93"/>
      <c r="DN317" s="93"/>
      <c r="DO317" s="93"/>
      <c r="DP317" s="93"/>
      <c r="DQ317" s="93"/>
      <c r="DR317" s="93"/>
      <c r="DS317" s="93"/>
      <c r="DT317" s="93"/>
      <c r="DU317" s="93"/>
      <c r="DV317" s="93"/>
      <c r="DW317" s="93"/>
      <c r="DX317" s="93"/>
      <c r="DY317" s="93"/>
      <c r="DZ317" s="93"/>
      <c r="EA317" s="93"/>
      <c r="EB317" s="93"/>
      <c r="EC317" s="93"/>
      <c r="ED317" s="93"/>
      <c r="EE317" s="93"/>
      <c r="EF317" s="93"/>
      <c r="EG317" s="93"/>
      <c r="EH317" s="93"/>
      <c r="EI317" s="93"/>
      <c r="EJ317" s="93"/>
      <c r="EK317" s="93"/>
      <c r="EL317" s="93"/>
      <c r="EM317" s="93"/>
      <c r="EN317" s="93"/>
      <c r="EO317" s="93"/>
      <c r="EP317" s="93"/>
      <c r="EQ317" s="93"/>
      <c r="ER317" s="93"/>
      <c r="ES317" s="93"/>
      <c r="ET317" s="93"/>
      <c r="EU317" s="93"/>
      <c r="EV317" s="93"/>
      <c r="EW317" s="93"/>
      <c r="EX317" s="93"/>
      <c r="EY317" s="93"/>
      <c r="EZ317" s="93"/>
      <c r="FA317" s="93"/>
      <c r="FB317" s="93"/>
      <c r="FC317" s="93"/>
      <c r="FD317" s="93"/>
      <c r="FE317" s="93"/>
      <c r="FF317" s="93"/>
      <c r="FG317" s="93"/>
      <c r="FH317" s="93"/>
      <c r="FI317" s="93"/>
      <c r="FJ317" s="93"/>
      <c r="FK317" s="93"/>
      <c r="FL317" s="93"/>
      <c r="FM317" s="93"/>
      <c r="FN317" s="93"/>
      <c r="FO317" s="93"/>
      <c r="FP317" s="93"/>
      <c r="FQ317" s="93"/>
      <c r="FR317" s="93"/>
      <c r="FS317" s="93"/>
      <c r="FT317" s="93"/>
      <c r="FU317" s="93"/>
      <c r="FV317" s="93"/>
      <c r="FW317" s="93"/>
      <c r="FX317" s="93"/>
      <c r="FY317" s="93"/>
      <c r="FZ317" s="93"/>
      <c r="GA317" s="93"/>
      <c r="GB317" s="93"/>
      <c r="GC317" s="93"/>
      <c r="GD317" s="93"/>
      <c r="GE317" s="93"/>
      <c r="GF317" s="93"/>
      <c r="GG317" s="93"/>
      <c r="GH317" s="93"/>
      <c r="GI317" s="93"/>
      <c r="GJ317" s="93"/>
      <c r="GK317" s="93"/>
      <c r="GL317" s="93"/>
      <c r="GM317" s="93"/>
      <c r="GN317" s="93"/>
      <c r="GO317" s="93"/>
      <c r="GP317" s="93"/>
      <c r="GQ317" s="93"/>
      <c r="GR317" s="93"/>
      <c r="GS317" s="93"/>
      <c r="GT317" s="93"/>
      <c r="GU317" s="93"/>
      <c r="GV317" s="93"/>
      <c r="GW317" s="93"/>
      <c r="GX317" s="93"/>
      <c r="GY317" s="93"/>
      <c r="GZ317" s="93"/>
      <c r="HA317" s="93"/>
      <c r="HB317" s="93"/>
      <c r="HC317" s="93"/>
      <c r="HD317" s="93"/>
      <c r="HE317" s="93"/>
      <c r="HF317" s="93"/>
      <c r="HG317" s="93"/>
      <c r="HH317" s="93"/>
      <c r="HI317" s="93"/>
      <c r="HJ317" s="93"/>
      <c r="HK317" s="93"/>
      <c r="HL317" s="93"/>
      <c r="HM317" s="93"/>
      <c r="HN317" s="93"/>
      <c r="HO317" s="93"/>
      <c r="HP317" s="93"/>
      <c r="HQ317" s="93"/>
      <c r="HR317" s="93"/>
      <c r="HS317" s="93"/>
      <c r="HT317" s="93"/>
      <c r="HU317" s="93"/>
      <c r="HV317" s="93"/>
      <c r="HW317" s="93"/>
      <c r="HX317" s="93"/>
      <c r="HY317" s="93"/>
      <c r="HZ317" s="93"/>
      <c r="IA317" s="93"/>
      <c r="IB317" s="93"/>
      <c r="IC317" s="93"/>
      <c r="ID317" s="93"/>
      <c r="IE317" s="93"/>
      <c r="IF317" s="93"/>
      <c r="IG317" s="93"/>
      <c r="IH317" s="93"/>
      <c r="II317" s="93"/>
      <c r="IJ317" s="93"/>
      <c r="IK317" s="93"/>
      <c r="IL317" s="93"/>
      <c r="IM317" s="93"/>
      <c r="IN317" s="93"/>
      <c r="IO317" s="93"/>
      <c r="IP317" s="93"/>
      <c r="IQ317" s="93"/>
      <c r="IR317" s="93"/>
      <c r="IS317" s="93"/>
      <c r="IT317" s="93"/>
      <c r="IU317" s="93"/>
      <c r="IV317" s="93"/>
      <c r="IW317" s="93"/>
      <c r="IX317" s="93"/>
      <c r="IY317" s="93"/>
      <c r="IZ317" s="93"/>
    </row>
    <row r="318" spans="1:260" s="95" customFormat="1" ht="15" customHeight="1">
      <c r="A318" s="93"/>
      <c r="B318" s="183"/>
      <c r="C318" s="183"/>
      <c r="D318" s="183"/>
      <c r="E318" s="158"/>
      <c r="F318" s="158"/>
      <c r="G318" s="824"/>
      <c r="H318" s="824"/>
      <c r="I318" s="824"/>
      <c r="J318" s="824"/>
      <c r="K318" s="824"/>
      <c r="L318" s="824"/>
      <c r="M318" s="824"/>
      <c r="N318" s="824"/>
      <c r="O318" s="824"/>
      <c r="P318" s="824"/>
      <c r="Q318" s="158"/>
      <c r="R318" s="158"/>
      <c r="S318" s="207"/>
      <c r="T318" s="207"/>
      <c r="U318" s="207"/>
      <c r="V318" s="207"/>
      <c r="W318" s="207"/>
      <c r="X318" s="207"/>
      <c r="Y318" s="207"/>
      <c r="Z318" s="207"/>
      <c r="AA318" s="207"/>
      <c r="AB318" s="207"/>
      <c r="AC318" s="207"/>
      <c r="AD318" s="207"/>
      <c r="AE318" s="207"/>
      <c r="AF318" s="207"/>
      <c r="AG318" s="207"/>
      <c r="AH318" s="207"/>
      <c r="AI318" s="207"/>
      <c r="AJ318" s="207"/>
      <c r="AK318" s="207"/>
      <c r="AL318" s="207"/>
      <c r="AM318" s="94"/>
      <c r="AN318" s="94"/>
      <c r="AO318" s="94"/>
      <c r="AP318" s="94"/>
      <c r="AQ318" s="94"/>
      <c r="AR318" s="94"/>
      <c r="AS318" s="94"/>
      <c r="AT318" s="94"/>
      <c r="AU318" s="94"/>
      <c r="AV318" s="94"/>
      <c r="AW318" s="94"/>
      <c r="AX318" s="94"/>
      <c r="AY318" s="94"/>
      <c r="AZ318" s="93"/>
      <c r="BA318" s="93"/>
      <c r="BB318" s="93"/>
      <c r="BC318" s="93"/>
      <c r="BD318" s="93"/>
      <c r="BE318" s="93"/>
      <c r="BF318" s="93"/>
      <c r="BG318" s="93"/>
      <c r="BH318" s="93"/>
      <c r="BI318" s="93"/>
      <c r="BJ318" s="93"/>
      <c r="BK318" s="93"/>
      <c r="BL318" s="93"/>
      <c r="BM318" s="93"/>
      <c r="BN318" s="93"/>
      <c r="BO318" s="93"/>
      <c r="BP318" s="93"/>
      <c r="BQ318" s="93"/>
      <c r="BR318" s="93"/>
      <c r="BS318" s="93"/>
      <c r="BT318" s="93"/>
      <c r="BU318" s="93"/>
      <c r="BV318" s="93"/>
      <c r="BW318" s="93"/>
      <c r="BX318" s="93"/>
      <c r="BY318" s="93"/>
      <c r="BZ318" s="93"/>
      <c r="CA318" s="93"/>
      <c r="CB318" s="93"/>
      <c r="CC318" s="93"/>
      <c r="CD318" s="93"/>
      <c r="CE318" s="93"/>
      <c r="CF318" s="93"/>
      <c r="CG318" s="93"/>
      <c r="CH318" s="93"/>
      <c r="CI318" s="93"/>
      <c r="CJ318" s="93"/>
      <c r="CK318" s="93"/>
      <c r="CL318" s="93"/>
      <c r="CM318" s="93"/>
      <c r="CN318" s="93"/>
      <c r="CO318" s="93"/>
      <c r="CP318" s="93"/>
      <c r="CQ318" s="93"/>
      <c r="CR318" s="93"/>
      <c r="CS318" s="93"/>
      <c r="CT318" s="93"/>
      <c r="CU318" s="93"/>
      <c r="CV318" s="93"/>
      <c r="CW318" s="93"/>
      <c r="CX318" s="93"/>
      <c r="CY318" s="93"/>
      <c r="CZ318" s="93"/>
      <c r="DA318" s="93"/>
      <c r="DB318" s="93"/>
      <c r="DC318" s="93"/>
      <c r="DD318" s="93"/>
      <c r="DE318" s="93"/>
      <c r="DF318" s="93"/>
      <c r="DG318" s="93"/>
      <c r="DH318" s="93"/>
      <c r="DI318" s="93"/>
      <c r="DJ318" s="93"/>
      <c r="DK318" s="93"/>
      <c r="DL318" s="93"/>
      <c r="DM318" s="93"/>
      <c r="DN318" s="93"/>
      <c r="DO318" s="93"/>
      <c r="DP318" s="93"/>
      <c r="DQ318" s="93"/>
      <c r="DR318" s="93"/>
      <c r="DS318" s="93"/>
      <c r="DT318" s="93"/>
      <c r="DU318" s="93"/>
      <c r="DV318" s="93"/>
      <c r="DW318" s="93"/>
      <c r="DX318" s="93"/>
      <c r="DY318" s="93"/>
      <c r="DZ318" s="93"/>
      <c r="EA318" s="93"/>
      <c r="EB318" s="93"/>
      <c r="EC318" s="93"/>
      <c r="ED318" s="93"/>
      <c r="EE318" s="93"/>
      <c r="EF318" s="93"/>
      <c r="EG318" s="93"/>
      <c r="EH318" s="93"/>
      <c r="EI318" s="93"/>
      <c r="EJ318" s="93"/>
      <c r="EK318" s="93"/>
      <c r="EL318" s="93"/>
      <c r="EM318" s="93"/>
      <c r="EN318" s="93"/>
      <c r="EO318" s="93"/>
      <c r="EP318" s="93"/>
      <c r="EQ318" s="93"/>
      <c r="ER318" s="93"/>
      <c r="ES318" s="93"/>
      <c r="ET318" s="93"/>
      <c r="EU318" s="93"/>
      <c r="EV318" s="93"/>
      <c r="EW318" s="93"/>
      <c r="EX318" s="93"/>
      <c r="EY318" s="93"/>
      <c r="EZ318" s="93"/>
      <c r="FA318" s="93"/>
      <c r="FB318" s="93"/>
      <c r="FC318" s="93"/>
      <c r="FD318" s="93"/>
      <c r="FE318" s="93"/>
      <c r="FF318" s="93"/>
      <c r="FG318" s="93"/>
      <c r="FH318" s="93"/>
      <c r="FI318" s="93"/>
      <c r="FJ318" s="93"/>
      <c r="FK318" s="93"/>
      <c r="FL318" s="93"/>
      <c r="FM318" s="93"/>
      <c r="FN318" s="93"/>
      <c r="FO318" s="93"/>
      <c r="FP318" s="93"/>
      <c r="FQ318" s="93"/>
      <c r="FR318" s="93"/>
      <c r="FS318" s="93"/>
      <c r="FT318" s="93"/>
      <c r="FU318" s="93"/>
      <c r="FV318" s="93"/>
      <c r="FW318" s="93"/>
      <c r="FX318" s="93"/>
      <c r="FY318" s="93"/>
      <c r="FZ318" s="93"/>
      <c r="GA318" s="93"/>
      <c r="GB318" s="93"/>
      <c r="GC318" s="93"/>
      <c r="GD318" s="93"/>
      <c r="GE318" s="93"/>
      <c r="GF318" s="93"/>
      <c r="GG318" s="93"/>
      <c r="GH318" s="93"/>
      <c r="GI318" s="93"/>
      <c r="GJ318" s="93"/>
      <c r="GK318" s="93"/>
      <c r="GL318" s="93"/>
      <c r="GM318" s="93"/>
      <c r="GN318" s="93"/>
      <c r="GO318" s="93"/>
      <c r="GP318" s="93"/>
      <c r="GQ318" s="93"/>
      <c r="GR318" s="93"/>
      <c r="GS318" s="93"/>
      <c r="GT318" s="93"/>
      <c r="GU318" s="93"/>
      <c r="GV318" s="93"/>
      <c r="GW318" s="93"/>
      <c r="GX318" s="93"/>
      <c r="GY318" s="93"/>
      <c r="GZ318" s="93"/>
      <c r="HA318" s="93"/>
      <c r="HB318" s="93"/>
      <c r="HC318" s="93"/>
      <c r="HD318" s="93"/>
      <c r="HE318" s="93"/>
      <c r="HF318" s="93"/>
      <c r="HG318" s="93"/>
      <c r="HH318" s="93"/>
      <c r="HI318" s="93"/>
      <c r="HJ318" s="93"/>
      <c r="HK318" s="93"/>
      <c r="HL318" s="93"/>
      <c r="HM318" s="93"/>
      <c r="HN318" s="93"/>
      <c r="HO318" s="93"/>
      <c r="HP318" s="93"/>
      <c r="HQ318" s="93"/>
      <c r="HR318" s="93"/>
      <c r="HS318" s="93"/>
      <c r="HT318" s="93"/>
      <c r="HU318" s="93"/>
      <c r="HV318" s="93"/>
      <c r="HW318" s="93"/>
      <c r="HX318" s="93"/>
      <c r="HY318" s="93"/>
      <c r="HZ318" s="93"/>
      <c r="IA318" s="93"/>
      <c r="IB318" s="93"/>
      <c r="IC318" s="93"/>
      <c r="ID318" s="93"/>
      <c r="IE318" s="93"/>
      <c r="IF318" s="93"/>
      <c r="IG318" s="93"/>
      <c r="IH318" s="93"/>
      <c r="II318" s="93"/>
      <c r="IJ318" s="93"/>
      <c r="IK318" s="93"/>
      <c r="IL318" s="93"/>
      <c r="IM318" s="93"/>
      <c r="IN318" s="93"/>
      <c r="IO318" s="93"/>
      <c r="IP318" s="93"/>
      <c r="IQ318" s="93"/>
      <c r="IR318" s="93"/>
      <c r="IS318" s="93"/>
      <c r="IT318" s="93"/>
      <c r="IU318" s="93"/>
      <c r="IV318" s="93"/>
      <c r="IW318" s="93"/>
      <c r="IX318" s="93"/>
      <c r="IY318" s="93"/>
      <c r="IZ318" s="93"/>
    </row>
    <row r="319" spans="1:260" s="95" customFormat="1" ht="15" customHeight="1">
      <c r="A319" s="93"/>
      <c r="B319" s="183"/>
      <c r="C319" s="183"/>
      <c r="D319" s="183"/>
      <c r="E319" s="158"/>
      <c r="F319" s="158"/>
      <c r="G319" s="824"/>
      <c r="H319" s="824"/>
      <c r="I319" s="824"/>
      <c r="J319" s="824"/>
      <c r="K319" s="824"/>
      <c r="L319" s="824"/>
      <c r="M319" s="824"/>
      <c r="N319" s="824"/>
      <c r="O319" s="824"/>
      <c r="P319" s="824"/>
      <c r="Q319" s="158"/>
      <c r="R319" s="158"/>
      <c r="S319" s="207"/>
      <c r="T319" s="207"/>
      <c r="U319" s="207"/>
      <c r="V319" s="207"/>
      <c r="W319" s="207"/>
      <c r="X319" s="207"/>
      <c r="Y319" s="207"/>
      <c r="Z319" s="207"/>
      <c r="AA319" s="207"/>
      <c r="AB319" s="207"/>
      <c r="AC319" s="207"/>
      <c r="AD319" s="207"/>
      <c r="AE319" s="207"/>
      <c r="AF319" s="207"/>
      <c r="AG319" s="207"/>
      <c r="AH319" s="207"/>
      <c r="AI319" s="207"/>
      <c r="AJ319" s="207"/>
      <c r="AK319" s="207"/>
      <c r="AL319" s="207"/>
      <c r="AM319" s="94"/>
      <c r="AN319" s="94"/>
      <c r="AO319" s="94"/>
      <c r="AP319" s="94"/>
      <c r="AQ319" s="94"/>
      <c r="AR319" s="94"/>
      <c r="AS319" s="94"/>
      <c r="AT319" s="94"/>
      <c r="AU319" s="94"/>
      <c r="AV319" s="94"/>
      <c r="AW319" s="94"/>
      <c r="AX319" s="94"/>
      <c r="AY319" s="94"/>
      <c r="AZ319" s="93"/>
      <c r="BA319" s="93"/>
      <c r="BB319" s="93"/>
      <c r="BC319" s="93"/>
      <c r="BD319" s="93"/>
      <c r="BE319" s="93"/>
      <c r="BF319" s="93"/>
      <c r="BG319" s="93"/>
      <c r="BH319" s="93"/>
      <c r="BI319" s="93"/>
      <c r="BJ319" s="93"/>
      <c r="BK319" s="93"/>
      <c r="BL319" s="93"/>
      <c r="BM319" s="93"/>
      <c r="BN319" s="93"/>
      <c r="BO319" s="93"/>
      <c r="BP319" s="93"/>
      <c r="BQ319" s="93"/>
      <c r="BR319" s="93"/>
      <c r="BS319" s="93"/>
      <c r="BT319" s="93"/>
      <c r="BU319" s="93"/>
      <c r="BV319" s="93"/>
      <c r="BW319" s="93"/>
      <c r="BX319" s="93"/>
      <c r="BY319" s="93"/>
      <c r="BZ319" s="93"/>
      <c r="CA319" s="93"/>
      <c r="CB319" s="93"/>
      <c r="CC319" s="93"/>
      <c r="CD319" s="93"/>
      <c r="CE319" s="93"/>
      <c r="CF319" s="93"/>
      <c r="CG319" s="93"/>
      <c r="CH319" s="93"/>
      <c r="CI319" s="93"/>
      <c r="CJ319" s="93"/>
      <c r="CK319" s="93"/>
      <c r="CL319" s="93"/>
      <c r="CM319" s="93"/>
      <c r="CN319" s="93"/>
      <c r="CO319" s="93"/>
      <c r="CP319" s="93"/>
      <c r="CQ319" s="93"/>
      <c r="CR319" s="93"/>
      <c r="CS319" s="93"/>
      <c r="CT319" s="93"/>
      <c r="CU319" s="93"/>
      <c r="CV319" s="93"/>
      <c r="CW319" s="93"/>
      <c r="CX319" s="93"/>
      <c r="CY319" s="93"/>
      <c r="CZ319" s="93"/>
      <c r="DA319" s="93"/>
      <c r="DB319" s="93"/>
      <c r="DC319" s="93"/>
      <c r="DD319" s="93"/>
      <c r="DE319" s="93"/>
      <c r="DF319" s="93"/>
      <c r="DG319" s="93"/>
      <c r="DH319" s="93"/>
      <c r="DI319" s="93"/>
      <c r="DJ319" s="93"/>
      <c r="DK319" s="93"/>
      <c r="DL319" s="93"/>
      <c r="DM319" s="93"/>
      <c r="DN319" s="93"/>
      <c r="DO319" s="93"/>
      <c r="DP319" s="93"/>
      <c r="DQ319" s="93"/>
      <c r="DR319" s="93"/>
      <c r="DS319" s="93"/>
      <c r="DT319" s="93"/>
      <c r="DU319" s="93"/>
      <c r="DV319" s="93"/>
      <c r="DW319" s="93"/>
      <c r="DX319" s="93"/>
      <c r="DY319" s="93"/>
      <c r="DZ319" s="93"/>
      <c r="EA319" s="93"/>
      <c r="EB319" s="93"/>
      <c r="EC319" s="93"/>
      <c r="ED319" s="93"/>
      <c r="EE319" s="93"/>
      <c r="EF319" s="93"/>
      <c r="EG319" s="93"/>
      <c r="EH319" s="93"/>
      <c r="EI319" s="93"/>
      <c r="EJ319" s="93"/>
      <c r="EK319" s="93"/>
      <c r="EL319" s="93"/>
      <c r="EM319" s="93"/>
      <c r="EN319" s="93"/>
      <c r="EO319" s="93"/>
      <c r="EP319" s="93"/>
      <c r="EQ319" s="93"/>
      <c r="ER319" s="93"/>
      <c r="ES319" s="93"/>
      <c r="ET319" s="93"/>
      <c r="EU319" s="93"/>
      <c r="EV319" s="93"/>
      <c r="EW319" s="93"/>
      <c r="EX319" s="93"/>
      <c r="EY319" s="93"/>
      <c r="EZ319" s="93"/>
      <c r="FA319" s="93"/>
      <c r="FB319" s="93"/>
      <c r="FC319" s="93"/>
      <c r="FD319" s="93"/>
      <c r="FE319" s="93"/>
      <c r="FF319" s="93"/>
      <c r="FG319" s="93"/>
      <c r="FH319" s="93"/>
      <c r="FI319" s="93"/>
      <c r="FJ319" s="93"/>
      <c r="FK319" s="93"/>
      <c r="FL319" s="93"/>
      <c r="FM319" s="93"/>
      <c r="FN319" s="93"/>
      <c r="FO319" s="93"/>
      <c r="FP319" s="93"/>
      <c r="FQ319" s="93"/>
      <c r="FR319" s="93"/>
      <c r="FS319" s="93"/>
      <c r="FT319" s="93"/>
      <c r="FU319" s="93"/>
      <c r="FV319" s="93"/>
      <c r="FW319" s="93"/>
      <c r="FX319" s="93"/>
      <c r="FY319" s="93"/>
      <c r="FZ319" s="93"/>
      <c r="GA319" s="93"/>
      <c r="GB319" s="93"/>
      <c r="GC319" s="93"/>
      <c r="GD319" s="93"/>
      <c r="GE319" s="93"/>
      <c r="GF319" s="93"/>
      <c r="GG319" s="93"/>
      <c r="GH319" s="93"/>
      <c r="GI319" s="93"/>
      <c r="GJ319" s="93"/>
      <c r="GK319" s="93"/>
      <c r="GL319" s="93"/>
      <c r="GM319" s="93"/>
      <c r="GN319" s="93"/>
      <c r="GO319" s="93"/>
      <c r="GP319" s="93"/>
      <c r="GQ319" s="93"/>
      <c r="GR319" s="93"/>
      <c r="GS319" s="93"/>
      <c r="GT319" s="93"/>
      <c r="GU319" s="93"/>
      <c r="GV319" s="93"/>
      <c r="GW319" s="93"/>
      <c r="GX319" s="93"/>
      <c r="GY319" s="93"/>
      <c r="GZ319" s="93"/>
      <c r="HA319" s="93"/>
      <c r="HB319" s="93"/>
      <c r="HC319" s="93"/>
      <c r="HD319" s="93"/>
      <c r="HE319" s="93"/>
      <c r="HF319" s="93"/>
      <c r="HG319" s="93"/>
      <c r="HH319" s="93"/>
      <c r="HI319" s="93"/>
      <c r="HJ319" s="93"/>
      <c r="HK319" s="93"/>
      <c r="HL319" s="93"/>
      <c r="HM319" s="93"/>
      <c r="HN319" s="93"/>
      <c r="HO319" s="93"/>
      <c r="HP319" s="93"/>
      <c r="HQ319" s="93"/>
      <c r="HR319" s="93"/>
      <c r="HS319" s="93"/>
      <c r="HT319" s="93"/>
      <c r="HU319" s="93"/>
      <c r="HV319" s="93"/>
      <c r="HW319" s="93"/>
      <c r="HX319" s="93"/>
      <c r="HY319" s="93"/>
      <c r="HZ319" s="93"/>
      <c r="IA319" s="93"/>
      <c r="IB319" s="93"/>
      <c r="IC319" s="93"/>
      <c r="ID319" s="93"/>
      <c r="IE319" s="93"/>
      <c r="IF319" s="93"/>
      <c r="IG319" s="93"/>
      <c r="IH319" s="93"/>
      <c r="II319" s="93"/>
      <c r="IJ319" s="93"/>
      <c r="IK319" s="93"/>
      <c r="IL319" s="93"/>
      <c r="IM319" s="93"/>
      <c r="IN319" s="93"/>
      <c r="IO319" s="93"/>
      <c r="IP319" s="93"/>
      <c r="IQ319" s="93"/>
      <c r="IR319" s="93"/>
      <c r="IS319" s="93"/>
      <c r="IT319" s="93"/>
      <c r="IU319" s="93"/>
      <c r="IV319" s="93"/>
      <c r="IW319" s="93"/>
      <c r="IX319" s="93"/>
      <c r="IY319" s="93"/>
      <c r="IZ319" s="93"/>
    </row>
    <row r="320" spans="1:260" s="95" customFormat="1" ht="15.75" customHeight="1">
      <c r="A320" s="93"/>
      <c r="B320" s="183"/>
      <c r="C320" s="183"/>
      <c r="D320" s="183"/>
      <c r="E320" s="158"/>
      <c r="F320" s="158"/>
      <c r="G320" s="824"/>
      <c r="H320" s="824"/>
      <c r="I320" s="824"/>
      <c r="J320" s="824"/>
      <c r="K320" s="824"/>
      <c r="L320" s="824"/>
      <c r="M320" s="824"/>
      <c r="N320" s="824"/>
      <c r="O320" s="824"/>
      <c r="P320" s="824"/>
      <c r="Q320" s="158"/>
      <c r="R320" s="158"/>
      <c r="S320" s="207"/>
      <c r="T320" s="207"/>
      <c r="U320" s="207"/>
      <c r="V320" s="207"/>
      <c r="W320" s="207"/>
      <c r="X320" s="207"/>
      <c r="Y320" s="207"/>
      <c r="Z320" s="207"/>
      <c r="AA320" s="207"/>
      <c r="AB320" s="207"/>
      <c r="AC320" s="207"/>
      <c r="AD320" s="207"/>
      <c r="AE320" s="207"/>
      <c r="AF320" s="207"/>
      <c r="AG320" s="207"/>
      <c r="AH320" s="207"/>
      <c r="AI320" s="207"/>
      <c r="AJ320" s="207"/>
      <c r="AK320" s="207"/>
      <c r="AL320" s="207"/>
      <c r="AM320" s="94"/>
      <c r="AN320" s="94"/>
      <c r="AO320" s="94"/>
      <c r="AP320" s="94"/>
      <c r="AQ320" s="94"/>
      <c r="AR320" s="94"/>
      <c r="AS320" s="94"/>
      <c r="AT320" s="94"/>
      <c r="AU320" s="94"/>
      <c r="AV320" s="94"/>
      <c r="AW320" s="94"/>
      <c r="AX320" s="94"/>
      <c r="AY320" s="94"/>
      <c r="AZ320" s="93"/>
      <c r="BA320" s="93"/>
      <c r="BB320" s="93"/>
      <c r="BC320" s="93"/>
      <c r="BD320" s="93"/>
      <c r="BE320" s="93"/>
      <c r="BF320" s="93"/>
      <c r="BG320" s="93"/>
      <c r="BH320" s="93"/>
      <c r="BI320" s="93"/>
      <c r="BJ320" s="93"/>
      <c r="BK320" s="93"/>
      <c r="BL320" s="93"/>
      <c r="BM320" s="93"/>
      <c r="BN320" s="93"/>
      <c r="BO320" s="93"/>
      <c r="BP320" s="93"/>
      <c r="BQ320" s="93"/>
      <c r="BR320" s="93"/>
      <c r="BS320" s="93"/>
      <c r="BT320" s="93"/>
      <c r="BU320" s="93"/>
      <c r="BV320" s="93"/>
      <c r="BW320" s="93"/>
      <c r="BX320" s="93"/>
      <c r="BY320" s="93"/>
      <c r="BZ320" s="93"/>
      <c r="CA320" s="93"/>
      <c r="CB320" s="93"/>
      <c r="CC320" s="93"/>
      <c r="CD320" s="93"/>
      <c r="CE320" s="93"/>
      <c r="CF320" s="93"/>
      <c r="CG320" s="93"/>
      <c r="CH320" s="93"/>
      <c r="CI320" s="93"/>
      <c r="CJ320" s="93"/>
      <c r="CK320" s="93"/>
      <c r="CL320" s="93"/>
      <c r="CM320" s="93"/>
      <c r="CN320" s="93"/>
      <c r="CO320" s="93"/>
      <c r="CP320" s="93"/>
      <c r="CQ320" s="93"/>
      <c r="CR320" s="93"/>
      <c r="CS320" s="93"/>
      <c r="CT320" s="93"/>
      <c r="CU320" s="93"/>
      <c r="CV320" s="93"/>
      <c r="CW320" s="93"/>
      <c r="CX320" s="93"/>
      <c r="CY320" s="93"/>
      <c r="CZ320" s="93"/>
      <c r="DA320" s="93"/>
      <c r="DB320" s="93"/>
      <c r="DC320" s="93"/>
      <c r="DD320" s="93"/>
      <c r="DE320" s="93"/>
      <c r="DF320" s="93"/>
      <c r="DG320" s="93"/>
      <c r="DH320" s="93"/>
      <c r="DI320" s="93"/>
      <c r="DJ320" s="93"/>
      <c r="DK320" s="93"/>
      <c r="DL320" s="93"/>
      <c r="DM320" s="93"/>
      <c r="DN320" s="93"/>
      <c r="DO320" s="93"/>
      <c r="DP320" s="93"/>
      <c r="DQ320" s="93"/>
      <c r="DR320" s="93"/>
      <c r="DS320" s="93"/>
      <c r="DT320" s="93"/>
      <c r="DU320" s="93"/>
      <c r="DV320" s="93"/>
      <c r="DW320" s="93"/>
      <c r="DX320" s="93"/>
      <c r="DY320" s="93"/>
      <c r="DZ320" s="93"/>
      <c r="EA320" s="93"/>
      <c r="EB320" s="93"/>
      <c r="EC320" s="93"/>
      <c r="ED320" s="93"/>
      <c r="EE320" s="93"/>
      <c r="EF320" s="93"/>
      <c r="EG320" s="93"/>
      <c r="EH320" s="93"/>
      <c r="EI320" s="93"/>
      <c r="EJ320" s="93"/>
      <c r="EK320" s="93"/>
      <c r="EL320" s="93"/>
      <c r="EM320" s="93"/>
      <c r="EN320" s="93"/>
      <c r="EO320" s="93"/>
      <c r="EP320" s="93"/>
      <c r="EQ320" s="93"/>
      <c r="ER320" s="93"/>
      <c r="ES320" s="93"/>
      <c r="ET320" s="93"/>
      <c r="EU320" s="93"/>
      <c r="EV320" s="93"/>
      <c r="EW320" s="93"/>
      <c r="EX320" s="93"/>
      <c r="EY320" s="93"/>
      <c r="EZ320" s="93"/>
      <c r="FA320" s="93"/>
      <c r="FB320" s="93"/>
      <c r="FC320" s="93"/>
      <c r="FD320" s="93"/>
      <c r="FE320" s="93"/>
      <c r="FF320" s="93"/>
      <c r="FG320" s="93"/>
      <c r="FH320" s="93"/>
      <c r="FI320" s="93"/>
      <c r="FJ320" s="93"/>
      <c r="FK320" s="93"/>
      <c r="FL320" s="93"/>
      <c r="FM320" s="93"/>
      <c r="FN320" s="93"/>
      <c r="FO320" s="93"/>
      <c r="FP320" s="93"/>
      <c r="FQ320" s="93"/>
      <c r="FR320" s="93"/>
      <c r="FS320" s="93"/>
      <c r="FT320" s="93"/>
      <c r="FU320" s="93"/>
      <c r="FV320" s="93"/>
      <c r="FW320" s="93"/>
      <c r="FX320" s="93"/>
      <c r="FY320" s="93"/>
      <c r="FZ320" s="93"/>
      <c r="GA320" s="93"/>
      <c r="GB320" s="93"/>
      <c r="GC320" s="93"/>
      <c r="GD320" s="93"/>
      <c r="GE320" s="93"/>
      <c r="GF320" s="93"/>
      <c r="GG320" s="93"/>
      <c r="GH320" s="93"/>
      <c r="GI320" s="93"/>
      <c r="GJ320" s="93"/>
      <c r="GK320" s="93"/>
      <c r="GL320" s="93"/>
      <c r="GM320" s="93"/>
      <c r="GN320" s="93"/>
      <c r="GO320" s="93"/>
      <c r="GP320" s="93"/>
      <c r="GQ320" s="93"/>
      <c r="GR320" s="93"/>
      <c r="GS320" s="93"/>
      <c r="GT320" s="93"/>
      <c r="GU320" s="93"/>
      <c r="GV320" s="93"/>
      <c r="GW320" s="93"/>
      <c r="GX320" s="93"/>
      <c r="GY320" s="93"/>
      <c r="GZ320" s="93"/>
      <c r="HA320" s="93"/>
      <c r="HB320" s="93"/>
      <c r="HC320" s="93"/>
      <c r="HD320" s="93"/>
      <c r="HE320" s="93"/>
      <c r="HF320" s="93"/>
      <c r="HG320" s="93"/>
      <c r="HH320" s="93"/>
      <c r="HI320" s="93"/>
      <c r="HJ320" s="93"/>
      <c r="HK320" s="93"/>
      <c r="HL320" s="93"/>
      <c r="HM320" s="93"/>
      <c r="HN320" s="93"/>
      <c r="HO320" s="93"/>
      <c r="HP320" s="93"/>
      <c r="HQ320" s="93"/>
      <c r="HR320" s="93"/>
      <c r="HS320" s="93"/>
      <c r="HT320" s="93"/>
      <c r="HU320" s="93"/>
      <c r="HV320" s="93"/>
      <c r="HW320" s="93"/>
      <c r="HX320" s="93"/>
      <c r="HY320" s="93"/>
      <c r="HZ320" s="93"/>
      <c r="IA320" s="93"/>
      <c r="IB320" s="93"/>
      <c r="IC320" s="93"/>
      <c r="ID320" s="93"/>
      <c r="IE320" s="93"/>
      <c r="IF320" s="93"/>
      <c r="IG320" s="93"/>
      <c r="IH320" s="93"/>
      <c r="II320" s="93"/>
      <c r="IJ320" s="93"/>
      <c r="IK320" s="93"/>
      <c r="IL320" s="93"/>
      <c r="IM320" s="93"/>
      <c r="IN320" s="93"/>
      <c r="IO320" s="93"/>
      <c r="IP320" s="93"/>
      <c r="IQ320" s="93"/>
      <c r="IR320" s="93"/>
      <c r="IS320" s="93"/>
      <c r="IT320" s="93"/>
      <c r="IU320" s="93"/>
      <c r="IV320" s="93"/>
      <c r="IW320" s="93"/>
      <c r="IX320" s="93"/>
      <c r="IY320" s="93"/>
      <c r="IZ320" s="93"/>
    </row>
    <row r="321" spans="1:260" s="95" customFormat="1">
      <c r="A321" s="93"/>
      <c r="B321" s="183"/>
      <c r="C321" s="183"/>
      <c r="D321" s="183"/>
      <c r="E321" s="158"/>
      <c r="F321" s="158"/>
      <c r="G321" s="158"/>
      <c r="H321" s="158"/>
      <c r="I321" s="158"/>
      <c r="J321" s="158"/>
      <c r="K321" s="158"/>
      <c r="L321" s="158"/>
      <c r="M321" s="158"/>
      <c r="N321" s="158"/>
      <c r="O321" s="158"/>
      <c r="P321" s="228"/>
      <c r="Q321" s="158"/>
      <c r="R321" s="158"/>
      <c r="S321" s="207"/>
      <c r="T321" s="207"/>
      <c r="U321" s="207"/>
      <c r="V321" s="207"/>
      <c r="W321" s="207"/>
      <c r="X321" s="207"/>
      <c r="Y321" s="207"/>
      <c r="Z321" s="207"/>
      <c r="AA321" s="207"/>
      <c r="AB321" s="207"/>
      <c r="AC321" s="207"/>
      <c r="AD321" s="207"/>
      <c r="AE321" s="207"/>
      <c r="AF321" s="207"/>
      <c r="AG321" s="207"/>
      <c r="AH321" s="207"/>
      <c r="AI321" s="207"/>
      <c r="AJ321" s="207"/>
      <c r="AK321" s="207"/>
      <c r="AL321" s="207"/>
      <c r="AM321" s="94"/>
      <c r="AN321" s="94"/>
      <c r="AO321" s="94"/>
      <c r="AP321" s="94"/>
      <c r="AQ321" s="94"/>
      <c r="AR321" s="94"/>
      <c r="AS321" s="94"/>
      <c r="AT321" s="94"/>
      <c r="AU321" s="94"/>
      <c r="AV321" s="94"/>
      <c r="AW321" s="94"/>
      <c r="AX321" s="94"/>
      <c r="AY321" s="94"/>
      <c r="AZ321" s="93"/>
      <c r="BA321" s="93"/>
      <c r="BB321" s="93"/>
      <c r="BC321" s="93"/>
      <c r="BD321" s="93"/>
      <c r="BE321" s="93"/>
      <c r="BF321" s="93"/>
      <c r="BG321" s="93"/>
      <c r="BH321" s="93"/>
      <c r="BI321" s="93"/>
      <c r="BJ321" s="93"/>
      <c r="BK321" s="93"/>
      <c r="BL321" s="93"/>
      <c r="BM321" s="93"/>
      <c r="BN321" s="93"/>
      <c r="BO321" s="93"/>
      <c r="BP321" s="93"/>
      <c r="BQ321" s="93"/>
      <c r="BR321" s="93"/>
      <c r="BS321" s="93"/>
      <c r="BT321" s="93"/>
      <c r="BU321" s="93"/>
      <c r="BV321" s="93"/>
      <c r="BW321" s="93"/>
      <c r="BX321" s="93"/>
      <c r="BY321" s="93"/>
      <c r="BZ321" s="93"/>
      <c r="CA321" s="93"/>
      <c r="CB321" s="93"/>
      <c r="CC321" s="93"/>
      <c r="CD321" s="93"/>
      <c r="CE321" s="93"/>
      <c r="CF321" s="93"/>
      <c r="CG321" s="93"/>
      <c r="CH321" s="93"/>
      <c r="CI321" s="93"/>
      <c r="CJ321" s="93"/>
      <c r="CK321" s="93"/>
      <c r="CL321" s="93"/>
      <c r="CM321" s="93"/>
      <c r="CN321" s="93"/>
      <c r="CO321" s="93"/>
      <c r="CP321" s="93"/>
      <c r="CQ321" s="93"/>
      <c r="CR321" s="93"/>
      <c r="CS321" s="93"/>
      <c r="CT321" s="93"/>
      <c r="CU321" s="93"/>
      <c r="CV321" s="93"/>
      <c r="CW321" s="93"/>
      <c r="CX321" s="93"/>
      <c r="CY321" s="93"/>
      <c r="CZ321" s="93"/>
      <c r="DA321" s="93"/>
      <c r="DB321" s="93"/>
      <c r="DC321" s="93"/>
      <c r="DD321" s="93"/>
      <c r="DE321" s="93"/>
      <c r="DF321" s="93"/>
      <c r="DG321" s="93"/>
      <c r="DH321" s="93"/>
      <c r="DI321" s="93"/>
      <c r="DJ321" s="93"/>
      <c r="DK321" s="93"/>
      <c r="DL321" s="93"/>
      <c r="DM321" s="93"/>
      <c r="DN321" s="93"/>
      <c r="DO321" s="93"/>
      <c r="DP321" s="93"/>
      <c r="DQ321" s="93"/>
      <c r="DR321" s="93"/>
      <c r="DS321" s="93"/>
      <c r="DT321" s="93"/>
      <c r="DU321" s="93"/>
      <c r="DV321" s="93"/>
      <c r="DW321" s="93"/>
      <c r="DX321" s="93"/>
      <c r="DY321" s="93"/>
      <c r="DZ321" s="93"/>
      <c r="EA321" s="93"/>
      <c r="EB321" s="93"/>
      <c r="EC321" s="93"/>
      <c r="ED321" s="93"/>
      <c r="EE321" s="93"/>
      <c r="EF321" s="93"/>
      <c r="EG321" s="93"/>
      <c r="EH321" s="93"/>
      <c r="EI321" s="93"/>
      <c r="EJ321" s="93"/>
      <c r="EK321" s="93"/>
      <c r="EL321" s="93"/>
      <c r="EM321" s="93"/>
      <c r="EN321" s="93"/>
      <c r="EO321" s="93"/>
      <c r="EP321" s="93"/>
      <c r="EQ321" s="93"/>
      <c r="ER321" s="93"/>
      <c r="ES321" s="93"/>
      <c r="ET321" s="93"/>
      <c r="EU321" s="93"/>
      <c r="EV321" s="93"/>
      <c r="EW321" s="93"/>
      <c r="EX321" s="93"/>
      <c r="EY321" s="93"/>
      <c r="EZ321" s="93"/>
      <c r="FA321" s="93"/>
      <c r="FB321" s="93"/>
      <c r="FC321" s="93"/>
      <c r="FD321" s="93"/>
      <c r="FE321" s="93"/>
      <c r="FF321" s="93"/>
      <c r="FG321" s="93"/>
      <c r="FH321" s="93"/>
      <c r="FI321" s="93"/>
      <c r="FJ321" s="93"/>
      <c r="FK321" s="93"/>
      <c r="FL321" s="93"/>
      <c r="FM321" s="93"/>
      <c r="FN321" s="93"/>
      <c r="FO321" s="93"/>
      <c r="FP321" s="93"/>
      <c r="FQ321" s="93"/>
      <c r="FR321" s="93"/>
      <c r="FS321" s="93"/>
      <c r="FT321" s="93"/>
      <c r="FU321" s="93"/>
      <c r="FV321" s="93"/>
      <c r="FW321" s="93"/>
      <c r="FX321" s="93"/>
      <c r="FY321" s="93"/>
      <c r="FZ321" s="93"/>
      <c r="GA321" s="93"/>
      <c r="GB321" s="93"/>
      <c r="GC321" s="93"/>
      <c r="GD321" s="93"/>
      <c r="GE321" s="93"/>
      <c r="GF321" s="93"/>
      <c r="GG321" s="93"/>
      <c r="GH321" s="93"/>
      <c r="GI321" s="93"/>
      <c r="GJ321" s="93"/>
      <c r="GK321" s="93"/>
      <c r="GL321" s="93"/>
      <c r="GM321" s="93"/>
      <c r="GN321" s="93"/>
      <c r="GO321" s="93"/>
      <c r="GP321" s="93"/>
      <c r="GQ321" s="93"/>
      <c r="GR321" s="93"/>
      <c r="GS321" s="93"/>
      <c r="GT321" s="93"/>
      <c r="GU321" s="93"/>
      <c r="GV321" s="93"/>
      <c r="GW321" s="93"/>
      <c r="GX321" s="93"/>
      <c r="GY321" s="93"/>
      <c r="GZ321" s="93"/>
      <c r="HA321" s="93"/>
      <c r="HB321" s="93"/>
      <c r="HC321" s="93"/>
      <c r="HD321" s="93"/>
      <c r="HE321" s="93"/>
      <c r="HF321" s="93"/>
      <c r="HG321" s="93"/>
      <c r="HH321" s="93"/>
      <c r="HI321" s="93"/>
      <c r="HJ321" s="93"/>
      <c r="HK321" s="93"/>
      <c r="HL321" s="93"/>
      <c r="HM321" s="93"/>
      <c r="HN321" s="93"/>
      <c r="HO321" s="93"/>
      <c r="HP321" s="93"/>
      <c r="HQ321" s="93"/>
      <c r="HR321" s="93"/>
      <c r="HS321" s="93"/>
      <c r="HT321" s="93"/>
      <c r="HU321" s="93"/>
      <c r="HV321" s="93"/>
      <c r="HW321" s="93"/>
      <c r="HX321" s="93"/>
      <c r="HY321" s="93"/>
      <c r="HZ321" s="93"/>
      <c r="IA321" s="93"/>
      <c r="IB321" s="93"/>
      <c r="IC321" s="93"/>
      <c r="ID321" s="93"/>
      <c r="IE321" s="93"/>
      <c r="IF321" s="93"/>
      <c r="IG321" s="93"/>
      <c r="IH321" s="93"/>
      <c r="II321" s="93"/>
      <c r="IJ321" s="93"/>
      <c r="IK321" s="93"/>
      <c r="IL321" s="93"/>
      <c r="IM321" s="93"/>
      <c r="IN321" s="93"/>
      <c r="IO321" s="93"/>
      <c r="IP321" s="93"/>
      <c r="IQ321" s="93"/>
      <c r="IR321" s="93"/>
      <c r="IS321" s="93"/>
      <c r="IT321" s="93"/>
      <c r="IU321" s="93"/>
      <c r="IV321" s="93"/>
      <c r="IW321" s="93"/>
      <c r="IX321" s="93"/>
      <c r="IY321" s="93"/>
      <c r="IZ321" s="93"/>
    </row>
    <row r="322" spans="1:260" s="95" customFormat="1">
      <c r="A322" s="93"/>
      <c r="B322" s="183"/>
      <c r="C322" s="183"/>
      <c r="D322" s="183"/>
      <c r="E322" s="158"/>
      <c r="F322" s="158"/>
      <c r="G322" s="158"/>
      <c r="H322" s="158"/>
      <c r="I322" s="158"/>
      <c r="J322" s="158"/>
      <c r="K322" s="158"/>
      <c r="L322" s="158"/>
      <c r="M322" s="158"/>
      <c r="N322" s="158"/>
      <c r="O322" s="158"/>
      <c r="P322" s="228"/>
      <c r="Q322" s="158"/>
      <c r="R322" s="158"/>
      <c r="S322" s="207"/>
      <c r="T322" s="207"/>
      <c r="U322" s="207"/>
      <c r="V322" s="207"/>
      <c r="W322" s="207"/>
      <c r="X322" s="207"/>
      <c r="Y322" s="207"/>
      <c r="Z322" s="207"/>
      <c r="AA322" s="207"/>
      <c r="AB322" s="207"/>
      <c r="AC322" s="207"/>
      <c r="AD322" s="207"/>
      <c r="AE322" s="207"/>
      <c r="AF322" s="207"/>
      <c r="AG322" s="207"/>
      <c r="AH322" s="207"/>
      <c r="AI322" s="207"/>
      <c r="AJ322" s="207"/>
      <c r="AK322" s="207"/>
      <c r="AL322" s="207"/>
      <c r="AM322" s="94"/>
      <c r="AN322" s="94"/>
      <c r="AO322" s="94"/>
      <c r="AP322" s="94"/>
      <c r="AQ322" s="94"/>
      <c r="AR322" s="94"/>
      <c r="AS322" s="94"/>
      <c r="AT322" s="94"/>
      <c r="AU322" s="94"/>
      <c r="AV322" s="94"/>
      <c r="AW322" s="94"/>
      <c r="AX322" s="94"/>
      <c r="AY322" s="94"/>
      <c r="AZ322" s="93"/>
      <c r="BA322" s="93"/>
      <c r="BB322" s="93"/>
      <c r="BC322" s="93"/>
      <c r="BD322" s="93"/>
      <c r="BE322" s="93"/>
      <c r="BF322" s="93"/>
      <c r="BG322" s="93"/>
      <c r="BH322" s="93"/>
      <c r="BI322" s="93"/>
      <c r="BJ322" s="93"/>
      <c r="BK322" s="93"/>
      <c r="BL322" s="93"/>
      <c r="BM322" s="93"/>
      <c r="BN322" s="93"/>
      <c r="BO322" s="93"/>
      <c r="BP322" s="93"/>
      <c r="BQ322" s="93"/>
      <c r="BR322" s="93"/>
      <c r="BS322" s="93"/>
      <c r="BT322" s="93"/>
      <c r="BU322" s="93"/>
      <c r="BV322" s="93"/>
      <c r="BW322" s="93"/>
      <c r="BX322" s="93"/>
      <c r="BY322" s="93"/>
      <c r="BZ322" s="93"/>
      <c r="CA322" s="93"/>
      <c r="CB322" s="93"/>
      <c r="CC322" s="93"/>
      <c r="CD322" s="93"/>
      <c r="CE322" s="93"/>
      <c r="CF322" s="93"/>
      <c r="CG322" s="93"/>
      <c r="CH322" s="93"/>
      <c r="CI322" s="93"/>
      <c r="CJ322" s="93"/>
      <c r="CK322" s="93"/>
      <c r="CL322" s="93"/>
      <c r="CM322" s="93"/>
      <c r="CN322" s="93"/>
      <c r="CO322" s="93"/>
      <c r="CP322" s="93"/>
      <c r="CQ322" s="93"/>
      <c r="CR322" s="93"/>
      <c r="CS322" s="93"/>
      <c r="CT322" s="93"/>
      <c r="CU322" s="93"/>
      <c r="CV322" s="93"/>
      <c r="CW322" s="93"/>
      <c r="CX322" s="93"/>
      <c r="CY322" s="93"/>
      <c r="CZ322" s="93"/>
      <c r="DA322" s="93"/>
      <c r="DB322" s="93"/>
      <c r="DC322" s="93"/>
      <c r="DD322" s="93"/>
      <c r="DE322" s="93"/>
      <c r="DF322" s="93"/>
      <c r="DG322" s="93"/>
      <c r="DH322" s="93"/>
      <c r="DI322" s="93"/>
      <c r="DJ322" s="93"/>
      <c r="DK322" s="93"/>
      <c r="DL322" s="93"/>
      <c r="DM322" s="93"/>
      <c r="DN322" s="93"/>
      <c r="DO322" s="93"/>
      <c r="DP322" s="93"/>
      <c r="DQ322" s="93"/>
      <c r="DR322" s="93"/>
      <c r="DS322" s="93"/>
      <c r="DT322" s="93"/>
      <c r="DU322" s="93"/>
      <c r="DV322" s="93"/>
      <c r="DW322" s="93"/>
      <c r="DX322" s="93"/>
      <c r="DY322" s="93"/>
      <c r="DZ322" s="93"/>
      <c r="EA322" s="93"/>
      <c r="EB322" s="93"/>
      <c r="EC322" s="93"/>
      <c r="ED322" s="93"/>
      <c r="EE322" s="93"/>
      <c r="EF322" s="93"/>
      <c r="EG322" s="93"/>
      <c r="EH322" s="93"/>
      <c r="EI322" s="93"/>
      <c r="EJ322" s="93"/>
      <c r="EK322" s="93"/>
      <c r="EL322" s="93"/>
      <c r="EM322" s="93"/>
      <c r="EN322" s="93"/>
      <c r="EO322" s="93"/>
      <c r="EP322" s="93"/>
      <c r="EQ322" s="93"/>
      <c r="ER322" s="93"/>
      <c r="ES322" s="93"/>
      <c r="ET322" s="93"/>
      <c r="EU322" s="93"/>
      <c r="EV322" s="93"/>
      <c r="EW322" s="93"/>
      <c r="EX322" s="93"/>
      <c r="EY322" s="93"/>
      <c r="EZ322" s="93"/>
      <c r="FA322" s="93"/>
      <c r="FB322" s="93"/>
      <c r="FC322" s="93"/>
      <c r="FD322" s="93"/>
      <c r="FE322" s="93"/>
      <c r="FF322" s="93"/>
      <c r="FG322" s="93"/>
      <c r="FH322" s="93"/>
      <c r="FI322" s="93"/>
      <c r="FJ322" s="93"/>
      <c r="FK322" s="93"/>
      <c r="FL322" s="93"/>
      <c r="FM322" s="93"/>
      <c r="FN322" s="93"/>
      <c r="FO322" s="93"/>
      <c r="FP322" s="93"/>
      <c r="FQ322" s="93"/>
      <c r="FR322" s="93"/>
      <c r="FS322" s="93"/>
      <c r="FT322" s="93"/>
      <c r="FU322" s="93"/>
      <c r="FV322" s="93"/>
      <c r="FW322" s="93"/>
      <c r="FX322" s="93"/>
      <c r="FY322" s="93"/>
      <c r="FZ322" s="93"/>
      <c r="GA322" s="93"/>
      <c r="GB322" s="93"/>
      <c r="GC322" s="93"/>
      <c r="GD322" s="93"/>
      <c r="GE322" s="93"/>
      <c r="GF322" s="93"/>
      <c r="GG322" s="93"/>
      <c r="GH322" s="93"/>
      <c r="GI322" s="93"/>
      <c r="GJ322" s="93"/>
      <c r="GK322" s="93"/>
      <c r="GL322" s="93"/>
      <c r="GM322" s="93"/>
      <c r="GN322" s="93"/>
      <c r="GO322" s="93"/>
      <c r="GP322" s="93"/>
      <c r="GQ322" s="93"/>
      <c r="GR322" s="93"/>
      <c r="GS322" s="93"/>
      <c r="GT322" s="93"/>
      <c r="GU322" s="93"/>
      <c r="GV322" s="93"/>
      <c r="GW322" s="93"/>
      <c r="GX322" s="93"/>
      <c r="GY322" s="93"/>
      <c r="GZ322" s="93"/>
      <c r="HA322" s="93"/>
      <c r="HB322" s="93"/>
      <c r="HC322" s="93"/>
      <c r="HD322" s="93"/>
      <c r="HE322" s="93"/>
      <c r="HF322" s="93"/>
      <c r="HG322" s="93"/>
      <c r="HH322" s="93"/>
      <c r="HI322" s="93"/>
      <c r="HJ322" s="93"/>
      <c r="HK322" s="93"/>
      <c r="HL322" s="93"/>
      <c r="HM322" s="93"/>
      <c r="HN322" s="93"/>
      <c r="HO322" s="93"/>
      <c r="HP322" s="93"/>
      <c r="HQ322" s="93"/>
      <c r="HR322" s="93"/>
      <c r="HS322" s="93"/>
      <c r="HT322" s="93"/>
      <c r="HU322" s="93"/>
      <c r="HV322" s="93"/>
      <c r="HW322" s="93"/>
      <c r="HX322" s="93"/>
      <c r="HY322" s="93"/>
      <c r="HZ322" s="93"/>
      <c r="IA322" s="93"/>
      <c r="IB322" s="93"/>
      <c r="IC322" s="93"/>
      <c r="ID322" s="93"/>
      <c r="IE322" s="93"/>
      <c r="IF322" s="93"/>
      <c r="IG322" s="93"/>
      <c r="IH322" s="93"/>
      <c r="II322" s="93"/>
      <c r="IJ322" s="93"/>
      <c r="IK322" s="93"/>
      <c r="IL322" s="93"/>
      <c r="IM322" s="93"/>
      <c r="IN322" s="93"/>
      <c r="IO322" s="93"/>
      <c r="IP322" s="93"/>
      <c r="IQ322" s="93"/>
      <c r="IR322" s="93"/>
      <c r="IS322" s="93"/>
      <c r="IT322" s="93"/>
      <c r="IU322" s="93"/>
      <c r="IV322" s="93"/>
      <c r="IW322" s="93"/>
      <c r="IX322" s="93"/>
      <c r="IY322" s="93"/>
      <c r="IZ322" s="93"/>
    </row>
    <row r="323" spans="1:260" s="95" customFormat="1">
      <c r="A323" s="93"/>
      <c r="B323" s="183"/>
      <c r="C323" s="183"/>
      <c r="D323" s="183"/>
      <c r="E323" s="158"/>
      <c r="F323" s="158"/>
      <c r="G323" s="158"/>
      <c r="H323" s="158"/>
      <c r="I323" s="158"/>
      <c r="J323" s="158"/>
      <c r="K323" s="158"/>
      <c r="L323" s="158"/>
      <c r="M323" s="158"/>
      <c r="N323" s="158"/>
      <c r="O323" s="158"/>
      <c r="P323" s="228"/>
      <c r="Q323" s="158"/>
      <c r="R323" s="158"/>
      <c r="S323" s="207"/>
      <c r="T323" s="207"/>
      <c r="U323" s="207"/>
      <c r="V323" s="207"/>
      <c r="W323" s="207"/>
      <c r="X323" s="207"/>
      <c r="Y323" s="207"/>
      <c r="Z323" s="207"/>
      <c r="AA323" s="207"/>
      <c r="AB323" s="207"/>
      <c r="AC323" s="207"/>
      <c r="AD323" s="207"/>
      <c r="AE323" s="207"/>
      <c r="AF323" s="207"/>
      <c r="AG323" s="207"/>
      <c r="AH323" s="207"/>
      <c r="AI323" s="207"/>
      <c r="AJ323" s="207"/>
      <c r="AK323" s="207"/>
      <c r="AL323" s="207"/>
      <c r="AM323" s="94"/>
      <c r="AN323" s="94"/>
      <c r="AO323" s="94"/>
      <c r="AP323" s="94"/>
      <c r="AQ323" s="94"/>
      <c r="AR323" s="94"/>
      <c r="AS323" s="94"/>
      <c r="AT323" s="94"/>
      <c r="AU323" s="94"/>
      <c r="AV323" s="94"/>
      <c r="AW323" s="94"/>
      <c r="AX323" s="94"/>
      <c r="AY323" s="94"/>
      <c r="AZ323" s="93"/>
      <c r="BA323" s="93"/>
      <c r="BB323" s="93"/>
      <c r="BC323" s="93"/>
      <c r="BD323" s="93"/>
      <c r="BE323" s="93"/>
      <c r="BF323" s="93"/>
      <c r="BG323" s="93"/>
      <c r="BH323" s="93"/>
      <c r="BI323" s="93"/>
      <c r="BJ323" s="93"/>
      <c r="BK323" s="93"/>
      <c r="BL323" s="93"/>
      <c r="BM323" s="93"/>
      <c r="BN323" s="93"/>
      <c r="BO323" s="93"/>
      <c r="BP323" s="93"/>
      <c r="BQ323" s="93"/>
      <c r="BR323" s="93"/>
      <c r="BS323" s="93"/>
      <c r="BT323" s="93"/>
      <c r="BU323" s="93"/>
      <c r="BV323" s="93"/>
      <c r="BW323" s="93"/>
      <c r="BX323" s="93"/>
      <c r="BY323" s="93"/>
      <c r="BZ323" s="93"/>
      <c r="CA323" s="93"/>
      <c r="CB323" s="93"/>
      <c r="CC323" s="93"/>
      <c r="CD323" s="93"/>
      <c r="CE323" s="93"/>
      <c r="CF323" s="93"/>
      <c r="CG323" s="93"/>
      <c r="CH323" s="93"/>
      <c r="CI323" s="93"/>
      <c r="CJ323" s="93"/>
      <c r="CK323" s="93"/>
      <c r="CL323" s="93"/>
      <c r="CM323" s="93"/>
      <c r="CN323" s="93"/>
      <c r="CO323" s="93"/>
      <c r="CP323" s="93"/>
      <c r="CQ323" s="93"/>
      <c r="CR323" s="93"/>
      <c r="CS323" s="93"/>
      <c r="CT323" s="93"/>
      <c r="CU323" s="93"/>
      <c r="CV323" s="93"/>
      <c r="CW323" s="93"/>
      <c r="CX323" s="93"/>
      <c r="CY323" s="93"/>
      <c r="CZ323" s="93"/>
      <c r="DA323" s="93"/>
      <c r="DB323" s="93"/>
      <c r="DC323" s="93"/>
      <c r="DD323" s="93"/>
      <c r="DE323" s="93"/>
      <c r="DF323" s="93"/>
      <c r="DG323" s="93"/>
      <c r="DH323" s="93"/>
      <c r="DI323" s="93"/>
      <c r="DJ323" s="93"/>
      <c r="DK323" s="93"/>
      <c r="DL323" s="93"/>
      <c r="DM323" s="93"/>
      <c r="DN323" s="93"/>
      <c r="DO323" s="93"/>
      <c r="DP323" s="93"/>
      <c r="DQ323" s="93"/>
      <c r="DR323" s="93"/>
      <c r="DS323" s="93"/>
      <c r="DT323" s="93"/>
      <c r="DU323" s="93"/>
      <c r="DV323" s="93"/>
      <c r="DW323" s="93"/>
      <c r="DX323" s="93"/>
      <c r="DY323" s="93"/>
      <c r="DZ323" s="93"/>
      <c r="EA323" s="93"/>
      <c r="EB323" s="93"/>
      <c r="EC323" s="93"/>
      <c r="ED323" s="93"/>
      <c r="EE323" s="93"/>
      <c r="EF323" s="93"/>
      <c r="EG323" s="93"/>
      <c r="EH323" s="93"/>
      <c r="EI323" s="93"/>
      <c r="EJ323" s="93"/>
      <c r="EK323" s="93"/>
      <c r="EL323" s="93"/>
      <c r="EM323" s="93"/>
      <c r="EN323" s="93"/>
      <c r="EO323" s="93"/>
      <c r="EP323" s="93"/>
      <c r="EQ323" s="93"/>
      <c r="ER323" s="93"/>
      <c r="ES323" s="93"/>
      <c r="ET323" s="93"/>
      <c r="EU323" s="93"/>
      <c r="EV323" s="93"/>
      <c r="EW323" s="93"/>
      <c r="EX323" s="93"/>
      <c r="EY323" s="93"/>
      <c r="EZ323" s="93"/>
      <c r="FA323" s="93"/>
      <c r="FB323" s="93"/>
      <c r="FC323" s="93"/>
      <c r="FD323" s="93"/>
      <c r="FE323" s="93"/>
      <c r="FF323" s="93"/>
      <c r="FG323" s="93"/>
      <c r="FH323" s="93"/>
      <c r="FI323" s="93"/>
      <c r="FJ323" s="93"/>
      <c r="FK323" s="93"/>
      <c r="FL323" s="93"/>
      <c r="FM323" s="93"/>
      <c r="FN323" s="93"/>
      <c r="FO323" s="93"/>
      <c r="FP323" s="93"/>
      <c r="FQ323" s="93"/>
      <c r="FR323" s="93"/>
      <c r="FS323" s="93"/>
      <c r="FT323" s="93"/>
      <c r="FU323" s="93"/>
      <c r="FV323" s="93"/>
      <c r="FW323" s="93"/>
      <c r="FX323" s="93"/>
      <c r="FY323" s="93"/>
      <c r="FZ323" s="93"/>
      <c r="GA323" s="93"/>
      <c r="GB323" s="93"/>
      <c r="GC323" s="93"/>
      <c r="GD323" s="93"/>
      <c r="GE323" s="93"/>
      <c r="GF323" s="93"/>
      <c r="GG323" s="93"/>
      <c r="GH323" s="93"/>
      <c r="GI323" s="93"/>
      <c r="GJ323" s="93"/>
      <c r="GK323" s="93"/>
      <c r="GL323" s="93"/>
      <c r="GM323" s="93"/>
      <c r="GN323" s="93"/>
      <c r="GO323" s="93"/>
      <c r="GP323" s="93"/>
      <c r="GQ323" s="93"/>
      <c r="GR323" s="93"/>
      <c r="GS323" s="93"/>
      <c r="GT323" s="93"/>
      <c r="GU323" s="93"/>
      <c r="GV323" s="93"/>
      <c r="GW323" s="93"/>
      <c r="GX323" s="93"/>
      <c r="GY323" s="93"/>
      <c r="GZ323" s="93"/>
      <c r="HA323" s="93"/>
      <c r="HB323" s="93"/>
      <c r="HC323" s="93"/>
      <c r="HD323" s="93"/>
      <c r="HE323" s="93"/>
      <c r="HF323" s="93"/>
      <c r="HG323" s="93"/>
      <c r="HH323" s="93"/>
      <c r="HI323" s="93"/>
      <c r="HJ323" s="93"/>
      <c r="HK323" s="93"/>
      <c r="HL323" s="93"/>
      <c r="HM323" s="93"/>
      <c r="HN323" s="93"/>
      <c r="HO323" s="93"/>
      <c r="HP323" s="93"/>
      <c r="HQ323" s="93"/>
      <c r="HR323" s="93"/>
      <c r="HS323" s="93"/>
      <c r="HT323" s="93"/>
      <c r="HU323" s="93"/>
      <c r="HV323" s="93"/>
      <c r="HW323" s="93"/>
      <c r="HX323" s="93"/>
      <c r="HY323" s="93"/>
      <c r="HZ323" s="93"/>
      <c r="IA323" s="93"/>
      <c r="IB323" s="93"/>
      <c r="IC323" s="93"/>
      <c r="ID323" s="93"/>
      <c r="IE323" s="93"/>
      <c r="IF323" s="93"/>
      <c r="IG323" s="93"/>
      <c r="IH323" s="93"/>
      <c r="II323" s="93"/>
      <c r="IJ323" s="93"/>
      <c r="IK323" s="93"/>
      <c r="IL323" s="93"/>
      <c r="IM323" s="93"/>
      <c r="IN323" s="93"/>
      <c r="IO323" s="93"/>
      <c r="IP323" s="93"/>
      <c r="IQ323" s="93"/>
      <c r="IR323" s="93"/>
      <c r="IS323" s="93"/>
      <c r="IT323" s="93"/>
      <c r="IU323" s="93"/>
      <c r="IV323" s="93"/>
      <c r="IW323" s="93"/>
      <c r="IX323" s="93"/>
      <c r="IY323" s="93"/>
      <c r="IZ323" s="93"/>
    </row>
    <row r="324" spans="1:260" s="95" customFormat="1">
      <c r="A324" s="93"/>
      <c r="B324" s="183"/>
      <c r="C324" s="183"/>
      <c r="D324" s="183"/>
      <c r="E324" s="158"/>
      <c r="F324" s="158"/>
      <c r="G324" s="158"/>
      <c r="H324" s="158"/>
      <c r="I324" s="158"/>
      <c r="J324" s="158"/>
      <c r="K324" s="158"/>
      <c r="L324" s="158"/>
      <c r="M324" s="158"/>
      <c r="N324" s="158"/>
      <c r="O324" s="158"/>
      <c r="P324" s="228"/>
      <c r="Q324" s="158"/>
      <c r="R324" s="158"/>
      <c r="S324" s="207"/>
      <c r="T324" s="207"/>
      <c r="U324" s="207"/>
      <c r="V324" s="207"/>
      <c r="W324" s="207"/>
      <c r="X324" s="207"/>
      <c r="Y324" s="207"/>
      <c r="Z324" s="207"/>
      <c r="AA324" s="207"/>
      <c r="AB324" s="207"/>
      <c r="AC324" s="207"/>
      <c r="AD324" s="207"/>
      <c r="AE324" s="207"/>
      <c r="AF324" s="207"/>
      <c r="AG324" s="207"/>
      <c r="AH324" s="207"/>
      <c r="AI324" s="207"/>
      <c r="AJ324" s="207"/>
      <c r="AK324" s="207"/>
      <c r="AL324" s="207"/>
      <c r="AM324" s="94"/>
      <c r="AN324" s="94"/>
      <c r="AO324" s="94"/>
      <c r="AP324" s="94"/>
      <c r="AQ324" s="94"/>
      <c r="AR324" s="94"/>
      <c r="AS324" s="94"/>
      <c r="AT324" s="94"/>
      <c r="AU324" s="94"/>
      <c r="AV324" s="94"/>
      <c r="AW324" s="94"/>
      <c r="AX324" s="94"/>
      <c r="AY324" s="94"/>
      <c r="AZ324" s="93"/>
      <c r="BA324" s="93"/>
      <c r="BB324" s="93"/>
      <c r="BC324" s="93"/>
      <c r="BD324" s="93"/>
      <c r="BE324" s="93"/>
      <c r="BF324" s="93"/>
      <c r="BG324" s="93"/>
      <c r="BH324" s="93"/>
      <c r="BI324" s="93"/>
      <c r="BJ324" s="93"/>
      <c r="BK324" s="93"/>
      <c r="BL324" s="93"/>
      <c r="BM324" s="93"/>
      <c r="BN324" s="93"/>
      <c r="BO324" s="93"/>
      <c r="BP324" s="93"/>
      <c r="BQ324" s="93"/>
      <c r="BR324" s="93"/>
      <c r="BS324" s="93"/>
      <c r="BT324" s="93"/>
      <c r="BU324" s="93"/>
      <c r="BV324" s="93"/>
      <c r="BW324" s="93"/>
      <c r="BX324" s="93"/>
      <c r="BY324" s="93"/>
      <c r="BZ324" s="93"/>
      <c r="CA324" s="93"/>
      <c r="CB324" s="93"/>
      <c r="CC324" s="93"/>
      <c r="CD324" s="93"/>
      <c r="CE324" s="93"/>
      <c r="CF324" s="93"/>
      <c r="CG324" s="93"/>
      <c r="CH324" s="93"/>
      <c r="CI324" s="93"/>
      <c r="CJ324" s="93"/>
      <c r="CK324" s="93"/>
      <c r="CL324" s="93"/>
      <c r="CM324" s="93"/>
      <c r="CN324" s="93"/>
      <c r="CO324" s="93"/>
      <c r="CP324" s="93"/>
      <c r="CQ324" s="93"/>
      <c r="CR324" s="93"/>
      <c r="CS324" s="93"/>
      <c r="CT324" s="93"/>
      <c r="CU324" s="93"/>
      <c r="CV324" s="93"/>
      <c r="CW324" s="93"/>
      <c r="CX324" s="93"/>
      <c r="CY324" s="93"/>
      <c r="CZ324" s="93"/>
      <c r="DA324" s="93"/>
      <c r="DB324" s="93"/>
      <c r="DC324" s="93"/>
      <c r="DD324" s="93"/>
      <c r="DE324" s="93"/>
      <c r="DF324" s="93"/>
      <c r="DG324" s="93"/>
      <c r="DH324" s="93"/>
      <c r="DI324" s="93"/>
      <c r="DJ324" s="93"/>
      <c r="DK324" s="93"/>
      <c r="DL324" s="93"/>
      <c r="DM324" s="93"/>
      <c r="DN324" s="93"/>
      <c r="DO324" s="93"/>
      <c r="DP324" s="93"/>
      <c r="DQ324" s="93"/>
      <c r="DR324" s="93"/>
      <c r="DS324" s="93"/>
      <c r="DT324" s="93"/>
      <c r="DU324" s="93"/>
      <c r="DV324" s="93"/>
      <c r="DW324" s="93"/>
      <c r="DX324" s="93"/>
      <c r="DY324" s="93"/>
      <c r="DZ324" s="93"/>
      <c r="EA324" s="93"/>
      <c r="EB324" s="93"/>
      <c r="EC324" s="93"/>
      <c r="ED324" s="93"/>
      <c r="EE324" s="93"/>
      <c r="EF324" s="93"/>
      <c r="EG324" s="93"/>
      <c r="EH324" s="93"/>
      <c r="EI324" s="93"/>
      <c r="EJ324" s="93"/>
      <c r="EK324" s="93"/>
      <c r="EL324" s="93"/>
      <c r="EM324" s="93"/>
      <c r="EN324" s="93"/>
      <c r="EO324" s="93"/>
      <c r="EP324" s="93"/>
      <c r="EQ324" s="93"/>
      <c r="ER324" s="93"/>
      <c r="ES324" s="93"/>
      <c r="ET324" s="93"/>
      <c r="EU324" s="93"/>
      <c r="EV324" s="93"/>
      <c r="EW324" s="93"/>
      <c r="EX324" s="93"/>
      <c r="EY324" s="93"/>
      <c r="EZ324" s="93"/>
      <c r="FA324" s="93"/>
      <c r="FB324" s="93"/>
      <c r="FC324" s="93"/>
      <c r="FD324" s="93"/>
      <c r="FE324" s="93"/>
      <c r="FF324" s="93"/>
      <c r="FG324" s="93"/>
      <c r="FH324" s="93"/>
      <c r="FI324" s="93"/>
      <c r="FJ324" s="93"/>
      <c r="FK324" s="93"/>
      <c r="FL324" s="93"/>
      <c r="FM324" s="93"/>
      <c r="FN324" s="93"/>
      <c r="FO324" s="93"/>
      <c r="FP324" s="93"/>
      <c r="FQ324" s="93"/>
      <c r="FR324" s="93"/>
      <c r="FS324" s="93"/>
      <c r="FT324" s="93"/>
      <c r="FU324" s="93"/>
      <c r="FV324" s="93"/>
      <c r="FW324" s="93"/>
      <c r="FX324" s="93"/>
      <c r="FY324" s="93"/>
      <c r="FZ324" s="93"/>
      <c r="GA324" s="93"/>
      <c r="GB324" s="93"/>
      <c r="GC324" s="93"/>
      <c r="GD324" s="93"/>
      <c r="GE324" s="93"/>
      <c r="GF324" s="93"/>
      <c r="GG324" s="93"/>
      <c r="GH324" s="93"/>
      <c r="GI324" s="93"/>
      <c r="GJ324" s="93"/>
      <c r="GK324" s="93"/>
      <c r="GL324" s="93"/>
      <c r="GM324" s="93"/>
      <c r="GN324" s="93"/>
      <c r="GO324" s="93"/>
      <c r="GP324" s="93"/>
      <c r="GQ324" s="93"/>
      <c r="GR324" s="93"/>
      <c r="GS324" s="93"/>
      <c r="GT324" s="93"/>
      <c r="GU324" s="93"/>
      <c r="GV324" s="93"/>
      <c r="GW324" s="93"/>
      <c r="GX324" s="93"/>
      <c r="GY324" s="93"/>
      <c r="GZ324" s="93"/>
      <c r="HA324" s="93"/>
      <c r="HB324" s="93"/>
      <c r="HC324" s="93"/>
      <c r="HD324" s="93"/>
      <c r="HE324" s="93"/>
      <c r="HF324" s="93"/>
      <c r="HG324" s="93"/>
      <c r="HH324" s="93"/>
      <c r="HI324" s="93"/>
      <c r="HJ324" s="93"/>
      <c r="HK324" s="93"/>
      <c r="HL324" s="93"/>
      <c r="HM324" s="93"/>
      <c r="HN324" s="93"/>
      <c r="HO324" s="93"/>
      <c r="HP324" s="93"/>
      <c r="HQ324" s="93"/>
      <c r="HR324" s="93"/>
      <c r="HS324" s="93"/>
      <c r="HT324" s="93"/>
      <c r="HU324" s="93"/>
      <c r="HV324" s="93"/>
      <c r="HW324" s="93"/>
      <c r="HX324" s="93"/>
      <c r="HY324" s="93"/>
      <c r="HZ324" s="93"/>
      <c r="IA324" s="93"/>
      <c r="IB324" s="93"/>
      <c r="IC324" s="93"/>
      <c r="ID324" s="93"/>
      <c r="IE324" s="93"/>
      <c r="IF324" s="93"/>
      <c r="IG324" s="93"/>
      <c r="IH324" s="93"/>
      <c r="II324" s="93"/>
      <c r="IJ324" s="93"/>
      <c r="IK324" s="93"/>
      <c r="IL324" s="93"/>
      <c r="IM324" s="93"/>
      <c r="IN324" s="93"/>
      <c r="IO324" s="93"/>
      <c r="IP324" s="93"/>
      <c r="IQ324" s="93"/>
      <c r="IR324" s="93"/>
      <c r="IS324" s="93"/>
      <c r="IT324" s="93"/>
      <c r="IU324" s="93"/>
      <c r="IV324" s="93"/>
      <c r="IW324" s="93"/>
      <c r="IX324" s="93"/>
      <c r="IY324" s="93"/>
      <c r="IZ324" s="93"/>
    </row>
    <row r="325" spans="1:260" s="95" customFormat="1">
      <c r="A325" s="93"/>
      <c r="B325" s="183"/>
      <c r="C325" s="183"/>
      <c r="D325" s="183"/>
      <c r="E325" s="158"/>
      <c r="F325" s="158"/>
      <c r="G325" s="158"/>
      <c r="H325" s="158"/>
      <c r="I325" s="158"/>
      <c r="J325" s="158"/>
      <c r="K325" s="158"/>
      <c r="L325" s="158"/>
      <c r="M325" s="158"/>
      <c r="N325" s="158"/>
      <c r="O325" s="158"/>
      <c r="P325" s="228"/>
      <c r="Q325" s="158"/>
      <c r="R325" s="158"/>
      <c r="S325" s="207"/>
      <c r="T325" s="207"/>
      <c r="U325" s="207"/>
      <c r="V325" s="207"/>
      <c r="W325" s="207"/>
      <c r="X325" s="207"/>
      <c r="Y325" s="207"/>
      <c r="Z325" s="207"/>
      <c r="AA325" s="207"/>
      <c r="AB325" s="207"/>
      <c r="AC325" s="207"/>
      <c r="AD325" s="207"/>
      <c r="AE325" s="207"/>
      <c r="AF325" s="207"/>
      <c r="AG325" s="207"/>
      <c r="AH325" s="207"/>
      <c r="AI325" s="207"/>
      <c r="AJ325" s="207"/>
      <c r="AK325" s="207"/>
      <c r="AL325" s="207"/>
      <c r="AM325" s="94"/>
      <c r="AN325" s="94"/>
      <c r="AO325" s="94"/>
      <c r="AP325" s="94"/>
      <c r="AQ325" s="94"/>
      <c r="AR325" s="94"/>
      <c r="AS325" s="94"/>
      <c r="AT325" s="94"/>
      <c r="AU325" s="94"/>
      <c r="AV325" s="94"/>
      <c r="AW325" s="94"/>
      <c r="AX325" s="94"/>
      <c r="AY325" s="94"/>
      <c r="AZ325" s="93"/>
      <c r="BA325" s="93"/>
      <c r="BB325" s="93"/>
      <c r="BC325" s="93"/>
      <c r="BD325" s="93"/>
      <c r="BE325" s="93"/>
      <c r="BF325" s="93"/>
      <c r="BG325" s="93"/>
      <c r="BH325" s="93"/>
      <c r="BI325" s="93"/>
      <c r="BJ325" s="93"/>
      <c r="BK325" s="93"/>
      <c r="BL325" s="93"/>
      <c r="BM325" s="93"/>
      <c r="BN325" s="93"/>
      <c r="BO325" s="93"/>
      <c r="BP325" s="93"/>
      <c r="BQ325" s="93"/>
      <c r="BR325" s="93"/>
      <c r="BS325" s="93"/>
      <c r="BT325" s="93"/>
      <c r="BU325" s="93"/>
      <c r="BV325" s="93"/>
      <c r="BW325" s="93"/>
      <c r="BX325" s="93"/>
      <c r="BY325" s="93"/>
      <c r="BZ325" s="93"/>
      <c r="CA325" s="93"/>
      <c r="CB325" s="93"/>
      <c r="CC325" s="93"/>
      <c r="CD325" s="93"/>
      <c r="CE325" s="93"/>
      <c r="CF325" s="93"/>
      <c r="CG325" s="93"/>
      <c r="CH325" s="93"/>
      <c r="CI325" s="93"/>
      <c r="CJ325" s="93"/>
      <c r="CK325" s="93"/>
      <c r="CL325" s="93"/>
      <c r="CM325" s="93"/>
      <c r="CN325" s="93"/>
      <c r="CO325" s="93"/>
      <c r="CP325" s="93"/>
      <c r="CQ325" s="93"/>
      <c r="CR325" s="93"/>
      <c r="CS325" s="93"/>
      <c r="CT325" s="93"/>
      <c r="CU325" s="93"/>
      <c r="CV325" s="93"/>
      <c r="CW325" s="93"/>
      <c r="CX325" s="93"/>
      <c r="CY325" s="93"/>
      <c r="CZ325" s="93"/>
      <c r="DA325" s="93"/>
      <c r="DB325" s="93"/>
      <c r="DC325" s="93"/>
      <c r="DD325" s="93"/>
      <c r="DE325" s="93"/>
      <c r="DF325" s="93"/>
      <c r="DG325" s="93"/>
      <c r="DH325" s="93"/>
      <c r="DI325" s="93"/>
      <c r="DJ325" s="93"/>
      <c r="DK325" s="93"/>
      <c r="DL325" s="93"/>
      <c r="DM325" s="93"/>
      <c r="DN325" s="93"/>
      <c r="DO325" s="93"/>
      <c r="DP325" s="93"/>
      <c r="DQ325" s="93"/>
      <c r="DR325" s="93"/>
      <c r="DS325" s="93"/>
      <c r="DT325" s="93"/>
      <c r="DU325" s="93"/>
      <c r="DV325" s="93"/>
      <c r="DW325" s="93"/>
      <c r="DX325" s="93"/>
      <c r="DY325" s="93"/>
      <c r="DZ325" s="93"/>
      <c r="EA325" s="93"/>
      <c r="EB325" s="93"/>
      <c r="EC325" s="93"/>
      <c r="ED325" s="93"/>
      <c r="EE325" s="93"/>
      <c r="EF325" s="93"/>
      <c r="EG325" s="93"/>
      <c r="EH325" s="93"/>
      <c r="EI325" s="93"/>
      <c r="EJ325" s="93"/>
      <c r="EK325" s="93"/>
      <c r="EL325" s="93"/>
      <c r="EM325" s="93"/>
      <c r="EN325" s="93"/>
      <c r="EO325" s="93"/>
      <c r="EP325" s="93"/>
      <c r="EQ325" s="93"/>
      <c r="ER325" s="93"/>
      <c r="ES325" s="93"/>
      <c r="ET325" s="93"/>
      <c r="EU325" s="93"/>
      <c r="EV325" s="93"/>
      <c r="EW325" s="93"/>
      <c r="EX325" s="93"/>
      <c r="EY325" s="93"/>
      <c r="EZ325" s="93"/>
      <c r="FA325" s="93"/>
      <c r="FB325" s="93"/>
      <c r="FC325" s="93"/>
      <c r="FD325" s="93"/>
      <c r="FE325" s="93"/>
      <c r="FF325" s="93"/>
      <c r="FG325" s="93"/>
      <c r="FH325" s="93"/>
      <c r="FI325" s="93"/>
      <c r="FJ325" s="93"/>
      <c r="FK325" s="93"/>
      <c r="FL325" s="93"/>
      <c r="FM325" s="93"/>
      <c r="FN325" s="93"/>
      <c r="FO325" s="93"/>
      <c r="FP325" s="93"/>
      <c r="FQ325" s="93"/>
      <c r="FR325" s="93"/>
      <c r="FS325" s="93"/>
      <c r="FT325" s="93"/>
      <c r="FU325" s="93"/>
      <c r="FV325" s="93"/>
      <c r="FW325" s="93"/>
      <c r="FX325" s="93"/>
      <c r="FY325" s="93"/>
      <c r="FZ325" s="93"/>
      <c r="GA325" s="93"/>
      <c r="GB325" s="93"/>
      <c r="GC325" s="93"/>
      <c r="GD325" s="93"/>
      <c r="GE325" s="93"/>
      <c r="GF325" s="93"/>
      <c r="GG325" s="93"/>
      <c r="GH325" s="93"/>
      <c r="GI325" s="93"/>
      <c r="GJ325" s="93"/>
      <c r="GK325" s="93"/>
      <c r="GL325" s="93"/>
      <c r="GM325" s="93"/>
      <c r="GN325" s="93"/>
      <c r="GO325" s="93"/>
      <c r="GP325" s="93"/>
      <c r="GQ325" s="93"/>
      <c r="GR325" s="93"/>
      <c r="GS325" s="93"/>
      <c r="GT325" s="93"/>
      <c r="GU325" s="93"/>
      <c r="GV325" s="93"/>
      <c r="GW325" s="93"/>
      <c r="GX325" s="93"/>
      <c r="GY325" s="93"/>
      <c r="GZ325" s="93"/>
      <c r="HA325" s="93"/>
      <c r="HB325" s="93"/>
      <c r="HC325" s="93"/>
      <c r="HD325" s="93"/>
      <c r="HE325" s="93"/>
      <c r="HF325" s="93"/>
      <c r="HG325" s="93"/>
      <c r="HH325" s="93"/>
      <c r="HI325" s="93"/>
      <c r="HJ325" s="93"/>
      <c r="HK325" s="93"/>
      <c r="HL325" s="93"/>
      <c r="HM325" s="93"/>
      <c r="HN325" s="93"/>
      <c r="HO325" s="93"/>
      <c r="HP325" s="93"/>
      <c r="HQ325" s="93"/>
      <c r="HR325" s="93"/>
      <c r="HS325" s="93"/>
      <c r="HT325" s="93"/>
      <c r="HU325" s="93"/>
      <c r="HV325" s="93"/>
      <c r="HW325" s="93"/>
      <c r="HX325" s="93"/>
      <c r="HY325" s="93"/>
      <c r="HZ325" s="93"/>
      <c r="IA325" s="93"/>
      <c r="IB325" s="93"/>
      <c r="IC325" s="93"/>
      <c r="ID325" s="93"/>
      <c r="IE325" s="93"/>
      <c r="IF325" s="93"/>
      <c r="IG325" s="93"/>
      <c r="IH325" s="93"/>
      <c r="II325" s="93"/>
      <c r="IJ325" s="93"/>
      <c r="IK325" s="93"/>
      <c r="IL325" s="93"/>
      <c r="IM325" s="93"/>
      <c r="IN325" s="93"/>
      <c r="IO325" s="93"/>
      <c r="IP325" s="93"/>
      <c r="IQ325" s="93"/>
      <c r="IR325" s="93"/>
      <c r="IS325" s="93"/>
      <c r="IT325" s="93"/>
      <c r="IU325" s="93"/>
      <c r="IV325" s="93"/>
      <c r="IW325" s="93"/>
      <c r="IX325" s="93"/>
      <c r="IY325" s="93"/>
      <c r="IZ325" s="93"/>
    </row>
    <row r="326" spans="1:260" s="95" customFormat="1">
      <c r="A326" s="93"/>
      <c r="B326" s="183"/>
      <c r="C326" s="183"/>
      <c r="D326" s="183"/>
      <c r="E326" s="158"/>
      <c r="F326" s="158"/>
      <c r="G326" s="158"/>
      <c r="H326" s="158"/>
      <c r="I326" s="158"/>
      <c r="J326" s="158"/>
      <c r="K326" s="158"/>
      <c r="L326" s="158"/>
      <c r="M326" s="158"/>
      <c r="N326" s="158"/>
      <c r="O326" s="158"/>
      <c r="P326" s="228"/>
      <c r="Q326" s="158"/>
      <c r="R326" s="158"/>
      <c r="S326" s="207"/>
      <c r="T326" s="207"/>
      <c r="U326" s="207"/>
      <c r="V326" s="207"/>
      <c r="W326" s="207"/>
      <c r="X326" s="207"/>
      <c r="Y326" s="207"/>
      <c r="Z326" s="207"/>
      <c r="AA326" s="207"/>
      <c r="AB326" s="207"/>
      <c r="AC326" s="207"/>
      <c r="AD326" s="207"/>
      <c r="AE326" s="207"/>
      <c r="AF326" s="207"/>
      <c r="AG326" s="207"/>
      <c r="AH326" s="207"/>
      <c r="AI326" s="207"/>
      <c r="AJ326" s="207"/>
      <c r="AK326" s="207"/>
      <c r="AL326" s="207"/>
      <c r="AM326" s="94"/>
      <c r="AN326" s="94"/>
      <c r="AO326" s="94"/>
      <c r="AP326" s="94"/>
      <c r="AQ326" s="94"/>
      <c r="AR326" s="94"/>
      <c r="AS326" s="94"/>
      <c r="AT326" s="94"/>
      <c r="AU326" s="94"/>
      <c r="AV326" s="94"/>
      <c r="AW326" s="94"/>
      <c r="AX326" s="94"/>
      <c r="AY326" s="94"/>
      <c r="AZ326" s="93"/>
      <c r="BA326" s="93"/>
      <c r="BB326" s="93"/>
      <c r="BC326" s="93"/>
      <c r="BD326" s="93"/>
      <c r="BE326" s="93"/>
      <c r="BF326" s="93"/>
      <c r="BG326" s="93"/>
      <c r="BH326" s="93"/>
      <c r="BI326" s="93"/>
      <c r="BJ326" s="93"/>
      <c r="BK326" s="93"/>
      <c r="BL326" s="93"/>
      <c r="BM326" s="93"/>
      <c r="BN326" s="93"/>
      <c r="BO326" s="93"/>
      <c r="BP326" s="93"/>
      <c r="BQ326" s="93"/>
      <c r="BR326" s="93"/>
      <c r="BS326" s="93"/>
      <c r="BT326" s="93"/>
      <c r="BU326" s="93"/>
      <c r="BV326" s="93"/>
      <c r="BW326" s="93"/>
      <c r="BX326" s="93"/>
      <c r="BY326" s="93"/>
      <c r="BZ326" s="93"/>
      <c r="CA326" s="93"/>
      <c r="CB326" s="93"/>
      <c r="CC326" s="93"/>
      <c r="CD326" s="93"/>
      <c r="CE326" s="93"/>
      <c r="CF326" s="93"/>
      <c r="CG326" s="93"/>
      <c r="CH326" s="93"/>
      <c r="CI326" s="93"/>
      <c r="CJ326" s="93"/>
      <c r="CK326" s="93"/>
      <c r="CL326" s="93"/>
      <c r="CM326" s="93"/>
      <c r="CN326" s="93"/>
      <c r="CO326" s="93"/>
      <c r="CP326" s="93"/>
      <c r="CQ326" s="93"/>
      <c r="CR326" s="93"/>
      <c r="CS326" s="93"/>
      <c r="CT326" s="93"/>
      <c r="CU326" s="93"/>
      <c r="CV326" s="93"/>
      <c r="CW326" s="93"/>
      <c r="CX326" s="93"/>
      <c r="CY326" s="93"/>
      <c r="CZ326" s="93"/>
      <c r="DA326" s="93"/>
      <c r="DB326" s="93"/>
      <c r="DC326" s="93"/>
      <c r="DD326" s="93"/>
      <c r="DE326" s="93"/>
      <c r="DF326" s="93"/>
      <c r="DG326" s="93"/>
      <c r="DH326" s="93"/>
      <c r="DI326" s="93"/>
      <c r="DJ326" s="93"/>
      <c r="DK326" s="93"/>
      <c r="DL326" s="93"/>
      <c r="DM326" s="93"/>
      <c r="DN326" s="93"/>
      <c r="DO326" s="93"/>
      <c r="DP326" s="93"/>
      <c r="DQ326" s="93"/>
      <c r="DR326" s="93"/>
      <c r="DS326" s="93"/>
      <c r="DT326" s="93"/>
      <c r="DU326" s="93"/>
      <c r="DV326" s="93"/>
      <c r="DW326" s="93"/>
      <c r="DX326" s="93"/>
      <c r="DY326" s="93"/>
      <c r="DZ326" s="93"/>
      <c r="EA326" s="93"/>
      <c r="EB326" s="93"/>
      <c r="EC326" s="93"/>
      <c r="ED326" s="93"/>
      <c r="EE326" s="93"/>
      <c r="EF326" s="93"/>
      <c r="EG326" s="93"/>
      <c r="EH326" s="93"/>
      <c r="EI326" s="93"/>
      <c r="EJ326" s="93"/>
      <c r="EK326" s="93"/>
      <c r="EL326" s="93"/>
      <c r="EM326" s="93"/>
      <c r="EN326" s="93"/>
      <c r="EO326" s="93"/>
      <c r="EP326" s="93"/>
      <c r="EQ326" s="93"/>
      <c r="ER326" s="93"/>
      <c r="ES326" s="93"/>
      <c r="ET326" s="93"/>
      <c r="EU326" s="93"/>
      <c r="EV326" s="93"/>
      <c r="EW326" s="93"/>
      <c r="EX326" s="93"/>
      <c r="EY326" s="93"/>
      <c r="EZ326" s="93"/>
      <c r="FA326" s="93"/>
      <c r="FB326" s="93"/>
      <c r="FC326" s="93"/>
      <c r="FD326" s="93"/>
      <c r="FE326" s="93"/>
      <c r="FF326" s="93"/>
      <c r="FG326" s="93"/>
      <c r="FH326" s="93"/>
      <c r="FI326" s="93"/>
      <c r="FJ326" s="93"/>
      <c r="FK326" s="93"/>
      <c r="FL326" s="93"/>
      <c r="FM326" s="93"/>
      <c r="FN326" s="93"/>
      <c r="FO326" s="93"/>
      <c r="FP326" s="93"/>
      <c r="FQ326" s="93"/>
      <c r="FR326" s="93"/>
      <c r="FS326" s="93"/>
      <c r="FT326" s="93"/>
      <c r="FU326" s="93"/>
      <c r="FV326" s="93"/>
      <c r="FW326" s="93"/>
      <c r="FX326" s="93"/>
      <c r="FY326" s="93"/>
      <c r="FZ326" s="93"/>
      <c r="GA326" s="93"/>
      <c r="GB326" s="93"/>
      <c r="GC326" s="93"/>
      <c r="GD326" s="93"/>
      <c r="GE326" s="93"/>
      <c r="GF326" s="93"/>
      <c r="GG326" s="93"/>
      <c r="GH326" s="93"/>
      <c r="GI326" s="93"/>
      <c r="GJ326" s="93"/>
      <c r="GK326" s="93"/>
      <c r="GL326" s="93"/>
      <c r="GM326" s="93"/>
      <c r="GN326" s="93"/>
      <c r="GO326" s="93"/>
      <c r="GP326" s="93"/>
      <c r="GQ326" s="93"/>
      <c r="GR326" s="93"/>
      <c r="GS326" s="93"/>
      <c r="GT326" s="93"/>
      <c r="GU326" s="93"/>
      <c r="GV326" s="93"/>
      <c r="GW326" s="93"/>
      <c r="GX326" s="93"/>
      <c r="GY326" s="93"/>
      <c r="GZ326" s="93"/>
      <c r="HA326" s="93"/>
      <c r="HB326" s="93"/>
      <c r="HC326" s="93"/>
      <c r="HD326" s="93"/>
      <c r="HE326" s="93"/>
      <c r="HF326" s="93"/>
      <c r="HG326" s="93"/>
      <c r="HH326" s="93"/>
      <c r="HI326" s="93"/>
      <c r="HJ326" s="93"/>
      <c r="HK326" s="93"/>
      <c r="HL326" s="93"/>
      <c r="HM326" s="93"/>
      <c r="HN326" s="93"/>
      <c r="HO326" s="93"/>
      <c r="HP326" s="93"/>
      <c r="HQ326" s="93"/>
      <c r="HR326" s="93"/>
      <c r="HS326" s="93"/>
      <c r="HT326" s="93"/>
      <c r="HU326" s="93"/>
      <c r="HV326" s="93"/>
      <c r="HW326" s="93"/>
      <c r="HX326" s="93"/>
      <c r="HY326" s="93"/>
      <c r="HZ326" s="93"/>
      <c r="IA326" s="93"/>
      <c r="IB326" s="93"/>
      <c r="IC326" s="93"/>
      <c r="ID326" s="93"/>
      <c r="IE326" s="93"/>
      <c r="IF326" s="93"/>
      <c r="IG326" s="93"/>
      <c r="IH326" s="93"/>
      <c r="II326" s="93"/>
      <c r="IJ326" s="93"/>
      <c r="IK326" s="93"/>
      <c r="IL326" s="93"/>
      <c r="IM326" s="93"/>
      <c r="IN326" s="93"/>
      <c r="IO326" s="93"/>
      <c r="IP326" s="93"/>
      <c r="IQ326" s="93"/>
      <c r="IR326" s="93"/>
      <c r="IS326" s="93"/>
      <c r="IT326" s="93"/>
      <c r="IU326" s="93"/>
      <c r="IV326" s="93"/>
      <c r="IW326" s="93"/>
      <c r="IX326" s="93"/>
      <c r="IY326" s="93"/>
      <c r="IZ326" s="93"/>
    </row>
    <row r="327" spans="1:260" s="95" customFormat="1">
      <c r="A327" s="93"/>
      <c r="B327" s="183"/>
      <c r="C327" s="183"/>
      <c r="D327" s="183"/>
      <c r="E327" s="158"/>
      <c r="F327" s="158"/>
      <c r="G327" s="158"/>
      <c r="H327" s="158"/>
      <c r="I327" s="158"/>
      <c r="J327" s="158"/>
      <c r="K327" s="158"/>
      <c r="L327" s="158"/>
      <c r="M327" s="158"/>
      <c r="N327" s="158"/>
      <c r="O327" s="158"/>
      <c r="P327" s="228"/>
      <c r="Q327" s="158"/>
      <c r="R327" s="158"/>
      <c r="S327" s="207"/>
      <c r="T327" s="207"/>
      <c r="U327" s="207"/>
      <c r="V327" s="207"/>
      <c r="W327" s="207"/>
      <c r="X327" s="207"/>
      <c r="Y327" s="207"/>
      <c r="Z327" s="207"/>
      <c r="AA327" s="207"/>
      <c r="AB327" s="207"/>
      <c r="AC327" s="207"/>
      <c r="AD327" s="207"/>
      <c r="AE327" s="207"/>
      <c r="AF327" s="207"/>
      <c r="AG327" s="207"/>
      <c r="AH327" s="207"/>
      <c r="AI327" s="207"/>
      <c r="AJ327" s="207"/>
      <c r="AK327" s="207"/>
      <c r="AL327" s="207"/>
      <c r="AM327" s="94"/>
      <c r="AN327" s="94"/>
      <c r="AO327" s="94"/>
      <c r="AP327" s="94"/>
      <c r="AQ327" s="94"/>
      <c r="AR327" s="94"/>
      <c r="AS327" s="94"/>
      <c r="AT327" s="94"/>
      <c r="AU327" s="94"/>
      <c r="AV327" s="94"/>
      <c r="AW327" s="94"/>
      <c r="AX327" s="94"/>
      <c r="AY327" s="94"/>
      <c r="AZ327" s="93"/>
      <c r="BA327" s="93"/>
      <c r="BB327" s="93"/>
      <c r="BC327" s="93"/>
      <c r="BD327" s="93"/>
      <c r="BE327" s="93"/>
      <c r="BF327" s="93"/>
      <c r="BG327" s="93"/>
      <c r="BH327" s="93"/>
      <c r="BI327" s="93"/>
      <c r="BJ327" s="93"/>
      <c r="BK327" s="93"/>
      <c r="BL327" s="93"/>
      <c r="BM327" s="93"/>
      <c r="BN327" s="93"/>
      <c r="BO327" s="93"/>
      <c r="BP327" s="93"/>
      <c r="BQ327" s="93"/>
      <c r="BR327" s="93"/>
      <c r="BS327" s="93"/>
      <c r="BT327" s="93"/>
      <c r="BU327" s="93"/>
      <c r="BV327" s="93"/>
      <c r="BW327" s="93"/>
      <c r="BX327" s="93"/>
      <c r="BY327" s="93"/>
      <c r="BZ327" s="93"/>
      <c r="CA327" s="93"/>
      <c r="CB327" s="93"/>
      <c r="CC327" s="93"/>
      <c r="CD327" s="93"/>
      <c r="CE327" s="93"/>
      <c r="CF327" s="93"/>
      <c r="CG327" s="93"/>
      <c r="CH327" s="93"/>
      <c r="CI327" s="93"/>
      <c r="CJ327" s="93"/>
      <c r="CK327" s="93"/>
      <c r="CL327" s="93"/>
      <c r="CM327" s="93"/>
      <c r="CN327" s="93"/>
      <c r="CO327" s="93"/>
      <c r="CP327" s="93"/>
      <c r="CQ327" s="93"/>
      <c r="CR327" s="93"/>
      <c r="CS327" s="93"/>
      <c r="CT327" s="93"/>
      <c r="CU327" s="93"/>
      <c r="CV327" s="93"/>
      <c r="CW327" s="93"/>
      <c r="CX327" s="93"/>
      <c r="CY327" s="93"/>
      <c r="CZ327" s="93"/>
      <c r="DA327" s="93"/>
      <c r="DB327" s="93"/>
      <c r="DC327" s="93"/>
      <c r="DD327" s="93"/>
      <c r="DE327" s="93"/>
      <c r="DF327" s="93"/>
      <c r="DG327" s="93"/>
      <c r="DH327" s="93"/>
      <c r="DI327" s="93"/>
      <c r="DJ327" s="93"/>
      <c r="DK327" s="93"/>
      <c r="DL327" s="93"/>
      <c r="DM327" s="93"/>
      <c r="DN327" s="93"/>
      <c r="DO327" s="93"/>
      <c r="DP327" s="93"/>
      <c r="DQ327" s="93"/>
      <c r="DR327" s="93"/>
      <c r="DS327" s="93"/>
      <c r="DT327" s="93"/>
      <c r="DU327" s="93"/>
      <c r="DV327" s="93"/>
      <c r="DW327" s="93"/>
      <c r="DX327" s="93"/>
      <c r="DY327" s="93"/>
      <c r="DZ327" s="93"/>
      <c r="EA327" s="93"/>
      <c r="EB327" s="93"/>
      <c r="EC327" s="93"/>
      <c r="ED327" s="93"/>
      <c r="EE327" s="93"/>
      <c r="EF327" s="93"/>
      <c r="EG327" s="93"/>
      <c r="EH327" s="93"/>
      <c r="EI327" s="93"/>
      <c r="EJ327" s="93"/>
      <c r="EK327" s="93"/>
      <c r="EL327" s="93"/>
      <c r="EM327" s="93"/>
      <c r="EN327" s="93"/>
      <c r="EO327" s="93"/>
      <c r="EP327" s="93"/>
      <c r="EQ327" s="93"/>
      <c r="ER327" s="93"/>
      <c r="ES327" s="93"/>
      <c r="ET327" s="93"/>
      <c r="EU327" s="93"/>
      <c r="EV327" s="93"/>
      <c r="EW327" s="93"/>
      <c r="EX327" s="93"/>
      <c r="EY327" s="93"/>
      <c r="EZ327" s="93"/>
      <c r="FA327" s="93"/>
      <c r="FB327" s="93"/>
      <c r="FC327" s="93"/>
      <c r="FD327" s="93"/>
      <c r="FE327" s="93"/>
      <c r="FF327" s="93"/>
      <c r="FG327" s="93"/>
      <c r="FH327" s="93"/>
      <c r="FI327" s="93"/>
      <c r="FJ327" s="93"/>
      <c r="FK327" s="93"/>
      <c r="FL327" s="93"/>
      <c r="FM327" s="93"/>
      <c r="FN327" s="93"/>
      <c r="FO327" s="93"/>
      <c r="FP327" s="93"/>
      <c r="FQ327" s="93"/>
      <c r="FR327" s="93"/>
      <c r="FS327" s="93"/>
      <c r="FT327" s="93"/>
      <c r="FU327" s="93"/>
      <c r="FV327" s="93"/>
      <c r="FW327" s="93"/>
      <c r="FX327" s="93"/>
      <c r="FY327" s="93"/>
      <c r="FZ327" s="93"/>
      <c r="GA327" s="93"/>
      <c r="GB327" s="93"/>
      <c r="GC327" s="93"/>
      <c r="GD327" s="93"/>
      <c r="GE327" s="93"/>
      <c r="GF327" s="93"/>
      <c r="GG327" s="93"/>
      <c r="GH327" s="93"/>
      <c r="GI327" s="93"/>
      <c r="GJ327" s="93"/>
      <c r="GK327" s="93"/>
      <c r="GL327" s="93"/>
      <c r="GM327" s="93"/>
      <c r="GN327" s="93"/>
      <c r="GO327" s="93"/>
      <c r="GP327" s="93"/>
      <c r="GQ327" s="93"/>
      <c r="GR327" s="93"/>
      <c r="GS327" s="93"/>
      <c r="GT327" s="93"/>
      <c r="GU327" s="93"/>
      <c r="GV327" s="93"/>
      <c r="GW327" s="93"/>
      <c r="GX327" s="93"/>
      <c r="GY327" s="93"/>
      <c r="GZ327" s="93"/>
      <c r="HA327" s="93"/>
      <c r="HB327" s="93"/>
      <c r="HC327" s="93"/>
      <c r="HD327" s="93"/>
      <c r="HE327" s="93"/>
      <c r="HF327" s="93"/>
      <c r="HG327" s="93"/>
      <c r="HH327" s="93"/>
      <c r="HI327" s="93"/>
      <c r="HJ327" s="93"/>
      <c r="HK327" s="93"/>
      <c r="HL327" s="93"/>
      <c r="HM327" s="93"/>
      <c r="HN327" s="93"/>
      <c r="HO327" s="93"/>
      <c r="HP327" s="93"/>
      <c r="HQ327" s="93"/>
      <c r="HR327" s="93"/>
      <c r="HS327" s="93"/>
      <c r="HT327" s="93"/>
      <c r="HU327" s="93"/>
      <c r="HV327" s="93"/>
      <c r="HW327" s="93"/>
      <c r="HX327" s="93"/>
      <c r="HY327" s="93"/>
      <c r="HZ327" s="93"/>
      <c r="IA327" s="93"/>
      <c r="IB327" s="93"/>
      <c r="IC327" s="93"/>
      <c r="ID327" s="93"/>
      <c r="IE327" s="93"/>
      <c r="IF327" s="93"/>
      <c r="IG327" s="93"/>
      <c r="IH327" s="93"/>
      <c r="II327" s="93"/>
      <c r="IJ327" s="93"/>
      <c r="IK327" s="93"/>
      <c r="IL327" s="93"/>
      <c r="IM327" s="93"/>
      <c r="IN327" s="93"/>
      <c r="IO327" s="93"/>
      <c r="IP327" s="93"/>
      <c r="IQ327" s="93"/>
      <c r="IR327" s="93"/>
      <c r="IS327" s="93"/>
      <c r="IT327" s="93"/>
      <c r="IU327" s="93"/>
      <c r="IV327" s="93"/>
      <c r="IW327" s="93"/>
      <c r="IX327" s="93"/>
      <c r="IY327" s="93"/>
      <c r="IZ327" s="93"/>
    </row>
    <row r="328" spans="1:260" s="95" customFormat="1">
      <c r="A328" s="93"/>
      <c r="B328" s="183"/>
      <c r="C328" s="183"/>
      <c r="D328" s="183"/>
      <c r="E328" s="158"/>
      <c r="F328" s="158"/>
      <c r="G328" s="158"/>
      <c r="H328" s="158"/>
      <c r="I328" s="158"/>
      <c r="J328" s="158"/>
      <c r="K328" s="158"/>
      <c r="L328" s="158"/>
      <c r="M328" s="158"/>
      <c r="N328" s="158"/>
      <c r="O328" s="158"/>
      <c r="P328" s="228"/>
      <c r="Q328" s="158"/>
      <c r="R328" s="158"/>
      <c r="S328" s="207"/>
      <c r="T328" s="207"/>
      <c r="U328" s="207"/>
      <c r="V328" s="207"/>
      <c r="W328" s="207"/>
      <c r="X328" s="207"/>
      <c r="Y328" s="207"/>
      <c r="Z328" s="207"/>
      <c r="AA328" s="207"/>
      <c r="AB328" s="207"/>
      <c r="AC328" s="207"/>
      <c r="AD328" s="207"/>
      <c r="AE328" s="207"/>
      <c r="AF328" s="207"/>
      <c r="AG328" s="207"/>
      <c r="AH328" s="207"/>
      <c r="AI328" s="207"/>
      <c r="AJ328" s="207"/>
      <c r="AK328" s="207"/>
      <c r="AL328" s="207"/>
      <c r="AM328" s="94"/>
      <c r="AN328" s="94"/>
      <c r="AO328" s="94"/>
      <c r="AP328" s="94"/>
      <c r="AQ328" s="94"/>
      <c r="AR328" s="94"/>
      <c r="AS328" s="94"/>
      <c r="AT328" s="94"/>
      <c r="AU328" s="94"/>
      <c r="AV328" s="94"/>
      <c r="AW328" s="94"/>
      <c r="AX328" s="94"/>
      <c r="AY328" s="94"/>
      <c r="AZ328" s="93"/>
      <c r="BA328" s="93"/>
      <c r="BB328" s="93"/>
      <c r="BC328" s="93"/>
      <c r="BD328" s="93"/>
      <c r="BE328" s="93"/>
      <c r="BF328" s="93"/>
      <c r="BG328" s="93"/>
      <c r="BH328" s="93"/>
      <c r="BI328" s="93"/>
      <c r="BJ328" s="93"/>
      <c r="BK328" s="93"/>
      <c r="BL328" s="93"/>
      <c r="BM328" s="93"/>
      <c r="BN328" s="93"/>
      <c r="BO328" s="93"/>
      <c r="BP328" s="93"/>
      <c r="BQ328" s="93"/>
      <c r="BR328" s="93"/>
      <c r="BS328" s="93"/>
      <c r="BT328" s="93"/>
      <c r="BU328" s="93"/>
      <c r="BV328" s="93"/>
      <c r="BW328" s="93"/>
      <c r="BX328" s="93"/>
      <c r="BY328" s="93"/>
      <c r="BZ328" s="93"/>
      <c r="CA328" s="93"/>
      <c r="CB328" s="93"/>
      <c r="CC328" s="93"/>
      <c r="CD328" s="93"/>
      <c r="CE328" s="93"/>
      <c r="CF328" s="93"/>
      <c r="CG328" s="93"/>
      <c r="CH328" s="93"/>
      <c r="CI328" s="93"/>
      <c r="CJ328" s="93"/>
      <c r="CK328" s="93"/>
      <c r="CL328" s="93"/>
      <c r="CM328" s="93"/>
      <c r="CN328" s="93"/>
      <c r="CO328" s="93"/>
      <c r="CP328" s="93"/>
      <c r="CQ328" s="93"/>
      <c r="CR328" s="93"/>
      <c r="CS328" s="93"/>
      <c r="CT328" s="93"/>
      <c r="CU328" s="93"/>
      <c r="CV328" s="93"/>
      <c r="CW328" s="93"/>
      <c r="CX328" s="93"/>
      <c r="CY328" s="93"/>
      <c r="CZ328" s="93"/>
      <c r="DA328" s="93"/>
      <c r="DB328" s="93"/>
      <c r="DC328" s="93"/>
      <c r="DD328" s="93"/>
      <c r="DE328" s="93"/>
      <c r="DF328" s="93"/>
      <c r="DG328" s="93"/>
      <c r="DH328" s="93"/>
      <c r="DI328" s="93"/>
      <c r="DJ328" s="93"/>
      <c r="DK328" s="93"/>
      <c r="DL328" s="93"/>
      <c r="DM328" s="93"/>
      <c r="DN328" s="93"/>
      <c r="DO328" s="93"/>
      <c r="DP328" s="93"/>
      <c r="DQ328" s="93"/>
      <c r="DR328" s="93"/>
      <c r="DS328" s="93"/>
      <c r="DT328" s="93"/>
      <c r="DU328" s="93"/>
      <c r="DV328" s="93"/>
      <c r="DW328" s="93"/>
      <c r="DX328" s="93"/>
      <c r="DY328" s="93"/>
      <c r="DZ328" s="93"/>
      <c r="EA328" s="93"/>
      <c r="EB328" s="93"/>
      <c r="EC328" s="93"/>
      <c r="ED328" s="93"/>
      <c r="EE328" s="93"/>
      <c r="EF328" s="93"/>
      <c r="EG328" s="93"/>
      <c r="EH328" s="93"/>
      <c r="EI328" s="93"/>
      <c r="EJ328" s="93"/>
      <c r="EK328" s="93"/>
      <c r="EL328" s="93"/>
      <c r="EM328" s="93"/>
      <c r="EN328" s="93"/>
      <c r="EO328" s="93"/>
      <c r="EP328" s="93"/>
      <c r="EQ328" s="93"/>
      <c r="ER328" s="93"/>
      <c r="ES328" s="93"/>
      <c r="ET328" s="93"/>
      <c r="EU328" s="93"/>
      <c r="EV328" s="93"/>
      <c r="EW328" s="93"/>
      <c r="EX328" s="93"/>
      <c r="EY328" s="93"/>
      <c r="EZ328" s="93"/>
      <c r="FA328" s="93"/>
      <c r="FB328" s="93"/>
      <c r="FC328" s="93"/>
      <c r="FD328" s="93"/>
      <c r="FE328" s="93"/>
      <c r="FF328" s="93"/>
      <c r="FG328" s="93"/>
      <c r="FH328" s="93"/>
      <c r="FI328" s="93"/>
      <c r="FJ328" s="93"/>
      <c r="FK328" s="93"/>
      <c r="FL328" s="93"/>
      <c r="FM328" s="93"/>
      <c r="FN328" s="93"/>
      <c r="FO328" s="93"/>
      <c r="FP328" s="93"/>
      <c r="FQ328" s="93"/>
      <c r="FR328" s="93"/>
      <c r="FS328" s="93"/>
      <c r="FT328" s="93"/>
      <c r="FU328" s="93"/>
      <c r="FV328" s="93"/>
      <c r="FW328" s="93"/>
      <c r="FX328" s="93"/>
      <c r="FY328" s="93"/>
      <c r="FZ328" s="93"/>
      <c r="GA328" s="93"/>
      <c r="GB328" s="93"/>
      <c r="GC328" s="93"/>
      <c r="GD328" s="93"/>
      <c r="GE328" s="93"/>
      <c r="GF328" s="93"/>
      <c r="GG328" s="93"/>
      <c r="GH328" s="93"/>
      <c r="GI328" s="93"/>
      <c r="GJ328" s="93"/>
      <c r="GK328" s="93"/>
      <c r="GL328" s="93"/>
      <c r="GM328" s="93"/>
      <c r="GN328" s="93"/>
      <c r="GO328" s="93"/>
      <c r="GP328" s="93"/>
      <c r="GQ328" s="93"/>
      <c r="GR328" s="93"/>
      <c r="GS328" s="93"/>
      <c r="GT328" s="93"/>
      <c r="GU328" s="93"/>
      <c r="GV328" s="93"/>
      <c r="GW328" s="93"/>
      <c r="GX328" s="93"/>
      <c r="GY328" s="93"/>
      <c r="GZ328" s="93"/>
      <c r="HA328" s="93"/>
      <c r="HB328" s="93"/>
      <c r="HC328" s="93"/>
      <c r="HD328" s="93"/>
      <c r="HE328" s="93"/>
      <c r="HF328" s="93"/>
      <c r="HG328" s="93"/>
      <c r="HH328" s="93"/>
      <c r="HI328" s="93"/>
      <c r="HJ328" s="93"/>
      <c r="HK328" s="93"/>
      <c r="HL328" s="93"/>
      <c r="HM328" s="93"/>
      <c r="HN328" s="93"/>
      <c r="HO328" s="93"/>
      <c r="HP328" s="93"/>
      <c r="HQ328" s="93"/>
      <c r="HR328" s="93"/>
      <c r="HS328" s="93"/>
      <c r="HT328" s="93"/>
      <c r="HU328" s="93"/>
      <c r="HV328" s="93"/>
      <c r="HW328" s="93"/>
      <c r="HX328" s="93"/>
      <c r="HY328" s="93"/>
      <c r="HZ328" s="93"/>
      <c r="IA328" s="93"/>
      <c r="IB328" s="93"/>
      <c r="IC328" s="93"/>
      <c r="ID328" s="93"/>
      <c r="IE328" s="93"/>
      <c r="IF328" s="93"/>
      <c r="IG328" s="93"/>
      <c r="IH328" s="93"/>
      <c r="II328" s="93"/>
      <c r="IJ328" s="93"/>
      <c r="IK328" s="93"/>
      <c r="IL328" s="93"/>
      <c r="IM328" s="93"/>
      <c r="IN328" s="93"/>
      <c r="IO328" s="93"/>
      <c r="IP328" s="93"/>
      <c r="IQ328" s="93"/>
      <c r="IR328" s="93"/>
      <c r="IS328" s="93"/>
      <c r="IT328" s="93"/>
      <c r="IU328" s="93"/>
      <c r="IV328" s="93"/>
      <c r="IW328" s="93"/>
      <c r="IX328" s="93"/>
      <c r="IY328" s="93"/>
      <c r="IZ328" s="93"/>
    </row>
    <row r="329" spans="1:260" s="95" customFormat="1">
      <c r="A329" s="93"/>
      <c r="B329" s="183"/>
      <c r="C329" s="183"/>
      <c r="D329" s="183"/>
      <c r="E329" s="158"/>
      <c r="F329" s="158"/>
      <c r="G329" s="158"/>
      <c r="H329" s="158"/>
      <c r="I329" s="158"/>
      <c r="J329" s="158"/>
      <c r="K329" s="158"/>
      <c r="L329" s="158"/>
      <c r="M329" s="158"/>
      <c r="N329" s="158"/>
      <c r="O329" s="158"/>
      <c r="P329" s="228"/>
      <c r="Q329" s="158"/>
      <c r="R329" s="158"/>
      <c r="S329" s="207"/>
      <c r="T329" s="207"/>
      <c r="U329" s="207"/>
      <c r="V329" s="207"/>
      <c r="W329" s="207"/>
      <c r="X329" s="207"/>
      <c r="Y329" s="207"/>
      <c r="Z329" s="207"/>
      <c r="AA329" s="207"/>
      <c r="AB329" s="207"/>
      <c r="AC329" s="207"/>
      <c r="AD329" s="207"/>
      <c r="AE329" s="207"/>
      <c r="AF329" s="207"/>
      <c r="AG329" s="207"/>
      <c r="AH329" s="207"/>
      <c r="AI329" s="207"/>
      <c r="AJ329" s="207"/>
      <c r="AK329" s="207"/>
      <c r="AL329" s="207"/>
      <c r="AM329" s="94"/>
      <c r="AN329" s="94"/>
      <c r="AO329" s="94"/>
      <c r="AP329" s="94"/>
      <c r="AQ329" s="94"/>
      <c r="AR329" s="94"/>
      <c r="AS329" s="94"/>
      <c r="AT329" s="94"/>
      <c r="AU329" s="94"/>
      <c r="AV329" s="94"/>
      <c r="AW329" s="94"/>
      <c r="AX329" s="94"/>
      <c r="AY329" s="94"/>
      <c r="AZ329" s="93"/>
      <c r="BA329" s="93"/>
      <c r="BB329" s="93"/>
      <c r="BC329" s="93"/>
      <c r="BD329" s="93"/>
      <c r="BE329" s="93"/>
      <c r="BF329" s="93"/>
      <c r="BG329" s="93"/>
      <c r="BH329" s="93"/>
      <c r="BI329" s="93"/>
      <c r="BJ329" s="93"/>
      <c r="BK329" s="93"/>
      <c r="BL329" s="93"/>
      <c r="BM329" s="93"/>
      <c r="BN329" s="93"/>
      <c r="BO329" s="93"/>
      <c r="BP329" s="93"/>
      <c r="BQ329" s="93"/>
      <c r="BR329" s="93"/>
      <c r="BS329" s="93"/>
      <c r="BT329" s="93"/>
      <c r="BU329" s="93"/>
      <c r="BV329" s="93"/>
      <c r="BW329" s="93"/>
      <c r="BX329" s="93"/>
      <c r="BY329" s="93"/>
      <c r="BZ329" s="93"/>
      <c r="CA329" s="93"/>
      <c r="CB329" s="93"/>
      <c r="CC329" s="93"/>
      <c r="CD329" s="93"/>
      <c r="CE329" s="93"/>
      <c r="CF329" s="93"/>
      <c r="CG329" s="93"/>
      <c r="CH329" s="93"/>
      <c r="CI329" s="93"/>
      <c r="CJ329" s="93"/>
      <c r="CK329" s="93"/>
      <c r="CL329" s="93"/>
      <c r="CM329" s="93"/>
      <c r="CN329" s="93"/>
      <c r="CO329" s="93"/>
      <c r="CP329" s="93"/>
      <c r="CQ329" s="93"/>
      <c r="CR329" s="93"/>
      <c r="CS329" s="93"/>
      <c r="CT329" s="93"/>
      <c r="CU329" s="93"/>
      <c r="CV329" s="93"/>
      <c r="CW329" s="93"/>
      <c r="CX329" s="93"/>
      <c r="CY329" s="93"/>
      <c r="CZ329" s="93"/>
      <c r="DA329" s="93"/>
      <c r="DB329" s="93"/>
      <c r="DC329" s="93"/>
      <c r="DD329" s="93"/>
      <c r="DE329" s="93"/>
      <c r="DF329" s="93"/>
      <c r="DG329" s="93"/>
      <c r="DH329" s="93"/>
      <c r="DI329" s="93"/>
      <c r="DJ329" s="93"/>
      <c r="DK329" s="93"/>
      <c r="DL329" s="93"/>
      <c r="DM329" s="93"/>
      <c r="DN329" s="93"/>
      <c r="DO329" s="93"/>
      <c r="DP329" s="93"/>
      <c r="DQ329" s="93"/>
      <c r="DR329" s="93"/>
      <c r="DS329" s="93"/>
      <c r="DT329" s="93"/>
      <c r="DU329" s="93"/>
      <c r="DV329" s="93"/>
      <c r="DW329" s="93"/>
      <c r="DX329" s="93"/>
      <c r="DY329" s="93"/>
      <c r="DZ329" s="93"/>
      <c r="EA329" s="93"/>
      <c r="EB329" s="93"/>
      <c r="EC329" s="93"/>
      <c r="ED329" s="93"/>
      <c r="EE329" s="93"/>
      <c r="EF329" s="93"/>
      <c r="EG329" s="93"/>
      <c r="EH329" s="93"/>
      <c r="EI329" s="93"/>
      <c r="EJ329" s="93"/>
      <c r="EK329" s="93"/>
      <c r="EL329" s="93"/>
      <c r="EM329" s="93"/>
      <c r="EN329" s="93"/>
      <c r="EO329" s="93"/>
      <c r="EP329" s="93"/>
      <c r="EQ329" s="93"/>
      <c r="ER329" s="93"/>
      <c r="ES329" s="93"/>
      <c r="ET329" s="93"/>
      <c r="EU329" s="93"/>
      <c r="EV329" s="93"/>
      <c r="EW329" s="93"/>
      <c r="EX329" s="93"/>
      <c r="EY329" s="93"/>
      <c r="EZ329" s="93"/>
      <c r="FA329" s="93"/>
      <c r="FB329" s="93"/>
      <c r="FC329" s="93"/>
      <c r="FD329" s="93"/>
      <c r="FE329" s="93"/>
      <c r="FF329" s="93"/>
      <c r="FG329" s="93"/>
      <c r="FH329" s="93"/>
      <c r="FI329" s="93"/>
      <c r="FJ329" s="93"/>
      <c r="FK329" s="93"/>
      <c r="FL329" s="93"/>
      <c r="FM329" s="93"/>
      <c r="FN329" s="93"/>
      <c r="FO329" s="93"/>
      <c r="FP329" s="93"/>
      <c r="FQ329" s="93"/>
      <c r="FR329" s="93"/>
      <c r="FS329" s="93"/>
      <c r="FT329" s="93"/>
      <c r="FU329" s="93"/>
      <c r="FV329" s="93"/>
      <c r="FW329" s="93"/>
      <c r="FX329" s="93"/>
      <c r="FY329" s="93"/>
      <c r="FZ329" s="93"/>
      <c r="GA329" s="93"/>
      <c r="GB329" s="93"/>
      <c r="GC329" s="93"/>
      <c r="GD329" s="93"/>
      <c r="GE329" s="93"/>
      <c r="GF329" s="93"/>
      <c r="GG329" s="93"/>
      <c r="GH329" s="93"/>
      <c r="GI329" s="93"/>
      <c r="GJ329" s="93"/>
      <c r="GK329" s="93"/>
      <c r="GL329" s="93"/>
      <c r="GM329" s="93"/>
      <c r="GN329" s="93"/>
      <c r="GO329" s="93"/>
      <c r="GP329" s="93"/>
      <c r="GQ329" s="93"/>
      <c r="GR329" s="93"/>
      <c r="GS329" s="93"/>
      <c r="GT329" s="93"/>
      <c r="GU329" s="93"/>
      <c r="GV329" s="93"/>
      <c r="GW329" s="93"/>
      <c r="GX329" s="93"/>
      <c r="GY329" s="93"/>
      <c r="GZ329" s="93"/>
      <c r="HA329" s="93"/>
      <c r="HB329" s="93"/>
      <c r="HC329" s="93"/>
      <c r="HD329" s="93"/>
      <c r="HE329" s="93"/>
      <c r="HF329" s="93"/>
      <c r="HG329" s="93"/>
      <c r="HH329" s="93"/>
      <c r="HI329" s="93"/>
      <c r="HJ329" s="93"/>
      <c r="HK329" s="93"/>
      <c r="HL329" s="93"/>
      <c r="HM329" s="93"/>
      <c r="HN329" s="93"/>
      <c r="HO329" s="93"/>
      <c r="HP329" s="93"/>
      <c r="HQ329" s="93"/>
      <c r="HR329" s="93"/>
      <c r="HS329" s="93"/>
      <c r="HT329" s="93"/>
      <c r="HU329" s="93"/>
      <c r="HV329" s="93"/>
      <c r="HW329" s="93"/>
      <c r="HX329" s="93"/>
      <c r="HY329" s="93"/>
      <c r="HZ329" s="93"/>
      <c r="IA329" s="93"/>
      <c r="IB329" s="93"/>
      <c r="IC329" s="93"/>
      <c r="ID329" s="93"/>
      <c r="IE329" s="93"/>
      <c r="IF329" s="93"/>
      <c r="IG329" s="93"/>
      <c r="IH329" s="93"/>
      <c r="II329" s="93"/>
      <c r="IJ329" s="93"/>
      <c r="IK329" s="93"/>
      <c r="IL329" s="93"/>
      <c r="IM329" s="93"/>
      <c r="IN329" s="93"/>
      <c r="IO329" s="93"/>
      <c r="IP329" s="93"/>
      <c r="IQ329" s="93"/>
      <c r="IR329" s="93"/>
      <c r="IS329" s="93"/>
      <c r="IT329" s="93"/>
      <c r="IU329" s="93"/>
      <c r="IV329" s="93"/>
      <c r="IW329" s="93"/>
      <c r="IX329" s="93"/>
      <c r="IY329" s="93"/>
      <c r="IZ329" s="93"/>
    </row>
    <row r="330" spans="1:260" s="95" customFormat="1">
      <c r="A330" s="93"/>
      <c r="B330" s="183"/>
      <c r="C330" s="183"/>
      <c r="D330" s="183"/>
      <c r="E330" s="158"/>
      <c r="F330" s="158"/>
      <c r="G330" s="158"/>
      <c r="H330" s="158"/>
      <c r="I330" s="158"/>
      <c r="J330" s="158"/>
      <c r="K330" s="158"/>
      <c r="L330" s="158"/>
      <c r="M330" s="158"/>
      <c r="N330" s="158"/>
      <c r="O330" s="158"/>
      <c r="P330" s="228"/>
      <c r="Q330" s="158"/>
      <c r="R330" s="158"/>
      <c r="S330" s="207"/>
      <c r="T330" s="207"/>
      <c r="U330" s="207"/>
      <c r="V330" s="207"/>
      <c r="W330" s="207"/>
      <c r="X330" s="207"/>
      <c r="Y330" s="207"/>
      <c r="Z330" s="207"/>
      <c r="AA330" s="207"/>
      <c r="AB330" s="207"/>
      <c r="AC330" s="207"/>
      <c r="AD330" s="207"/>
      <c r="AE330" s="207"/>
      <c r="AF330" s="207"/>
      <c r="AG330" s="207"/>
      <c r="AH330" s="207"/>
      <c r="AI330" s="207"/>
      <c r="AJ330" s="207"/>
      <c r="AK330" s="207"/>
      <c r="AL330" s="207"/>
      <c r="AM330" s="94"/>
      <c r="AN330" s="94"/>
      <c r="AO330" s="94"/>
      <c r="AP330" s="94"/>
      <c r="AQ330" s="94"/>
      <c r="AR330" s="94"/>
      <c r="AS330" s="94"/>
      <c r="AT330" s="94"/>
      <c r="AU330" s="94"/>
      <c r="AV330" s="94"/>
      <c r="AW330" s="94"/>
      <c r="AX330" s="94"/>
      <c r="AY330" s="94"/>
      <c r="AZ330" s="93"/>
      <c r="BA330" s="93"/>
      <c r="BB330" s="93"/>
      <c r="BC330" s="93"/>
      <c r="BD330" s="93"/>
      <c r="BE330" s="93"/>
      <c r="BF330" s="93"/>
      <c r="BG330" s="93"/>
      <c r="BH330" s="93"/>
      <c r="BI330" s="93"/>
      <c r="BJ330" s="93"/>
      <c r="BK330" s="93"/>
      <c r="BL330" s="93"/>
      <c r="BM330" s="93"/>
      <c r="BN330" s="93"/>
      <c r="BO330" s="93"/>
      <c r="BP330" s="93"/>
      <c r="BQ330" s="93"/>
      <c r="BR330" s="93"/>
      <c r="BS330" s="93"/>
      <c r="BT330" s="93"/>
      <c r="BU330" s="93"/>
      <c r="BV330" s="93"/>
      <c r="BW330" s="93"/>
      <c r="BX330" s="93"/>
      <c r="BY330" s="93"/>
      <c r="BZ330" s="93"/>
      <c r="CA330" s="93"/>
      <c r="CB330" s="93"/>
      <c r="CC330" s="93"/>
      <c r="CD330" s="93"/>
      <c r="CE330" s="93"/>
      <c r="CF330" s="93"/>
      <c r="CG330" s="93"/>
      <c r="CH330" s="93"/>
      <c r="CI330" s="93"/>
      <c r="CJ330" s="93"/>
      <c r="CK330" s="93"/>
      <c r="CL330" s="93"/>
      <c r="CM330" s="93"/>
      <c r="CN330" s="93"/>
      <c r="CO330" s="93"/>
      <c r="CP330" s="93"/>
      <c r="CQ330" s="93"/>
      <c r="CR330" s="93"/>
      <c r="CS330" s="93"/>
      <c r="CT330" s="93"/>
      <c r="CU330" s="93"/>
      <c r="CV330" s="93"/>
      <c r="CW330" s="93"/>
      <c r="CX330" s="93"/>
      <c r="CY330" s="93"/>
      <c r="CZ330" s="93"/>
      <c r="DA330" s="93"/>
      <c r="DB330" s="93"/>
      <c r="DC330" s="93"/>
      <c r="DD330" s="93"/>
      <c r="DE330" s="93"/>
      <c r="DF330" s="93"/>
      <c r="DG330" s="93"/>
      <c r="DH330" s="93"/>
      <c r="DI330" s="93"/>
      <c r="DJ330" s="93"/>
      <c r="DK330" s="93"/>
      <c r="DL330" s="93"/>
      <c r="DM330" s="93"/>
      <c r="DN330" s="93"/>
      <c r="DO330" s="93"/>
      <c r="DP330" s="93"/>
      <c r="DQ330" s="93"/>
      <c r="DR330" s="93"/>
      <c r="DS330" s="93"/>
      <c r="DT330" s="93"/>
      <c r="DU330" s="93"/>
      <c r="DV330" s="93"/>
      <c r="DW330" s="93"/>
      <c r="DX330" s="93"/>
      <c r="DY330" s="93"/>
      <c r="DZ330" s="93"/>
      <c r="EA330" s="93"/>
      <c r="EB330" s="93"/>
      <c r="EC330" s="93"/>
      <c r="ED330" s="93"/>
      <c r="EE330" s="93"/>
      <c r="EF330" s="93"/>
      <c r="EG330" s="93"/>
      <c r="EH330" s="93"/>
      <c r="EI330" s="93"/>
      <c r="EJ330" s="93"/>
      <c r="EK330" s="93"/>
      <c r="EL330" s="93"/>
      <c r="EM330" s="93"/>
      <c r="EN330" s="93"/>
      <c r="EO330" s="93"/>
      <c r="EP330" s="93"/>
      <c r="EQ330" s="93"/>
      <c r="ER330" s="93"/>
      <c r="ES330" s="93"/>
      <c r="ET330" s="93"/>
      <c r="EU330" s="93"/>
      <c r="EV330" s="93"/>
      <c r="EW330" s="93"/>
      <c r="EX330" s="93"/>
      <c r="EY330" s="93"/>
      <c r="EZ330" s="93"/>
      <c r="FA330" s="93"/>
      <c r="FB330" s="93"/>
      <c r="FC330" s="93"/>
      <c r="FD330" s="93"/>
      <c r="FE330" s="93"/>
      <c r="FF330" s="93"/>
      <c r="FG330" s="93"/>
      <c r="FH330" s="93"/>
      <c r="FI330" s="93"/>
      <c r="FJ330" s="93"/>
      <c r="FK330" s="93"/>
      <c r="FL330" s="93"/>
      <c r="FM330" s="93"/>
      <c r="FN330" s="93"/>
      <c r="FO330" s="93"/>
      <c r="FP330" s="93"/>
      <c r="FQ330" s="93"/>
      <c r="FR330" s="93"/>
      <c r="FS330" s="93"/>
      <c r="FT330" s="93"/>
      <c r="FU330" s="93"/>
      <c r="FV330" s="93"/>
      <c r="FW330" s="93"/>
      <c r="FX330" s="93"/>
      <c r="FY330" s="93"/>
      <c r="FZ330" s="93"/>
      <c r="GA330" s="93"/>
      <c r="GB330" s="93"/>
      <c r="GC330" s="93"/>
      <c r="GD330" s="93"/>
      <c r="GE330" s="93"/>
      <c r="GF330" s="93"/>
      <c r="GG330" s="93"/>
      <c r="GH330" s="93"/>
      <c r="GI330" s="93"/>
      <c r="GJ330" s="93"/>
      <c r="GK330" s="93"/>
      <c r="GL330" s="93"/>
      <c r="GM330" s="93"/>
      <c r="GN330" s="93"/>
      <c r="GO330" s="93"/>
      <c r="GP330" s="93"/>
      <c r="GQ330" s="93"/>
      <c r="GR330" s="93"/>
      <c r="GS330" s="93"/>
      <c r="GT330" s="93"/>
      <c r="GU330" s="93"/>
      <c r="GV330" s="93"/>
      <c r="GW330" s="93"/>
      <c r="GX330" s="93"/>
      <c r="GY330" s="93"/>
      <c r="GZ330" s="93"/>
      <c r="HA330" s="93"/>
      <c r="HB330" s="93"/>
      <c r="HC330" s="93"/>
      <c r="HD330" s="93"/>
      <c r="HE330" s="93"/>
      <c r="HF330" s="93"/>
      <c r="HG330" s="93"/>
      <c r="HH330" s="93"/>
      <c r="HI330" s="93"/>
      <c r="HJ330" s="93"/>
      <c r="HK330" s="93"/>
      <c r="HL330" s="93"/>
      <c r="HM330" s="93"/>
      <c r="HN330" s="93"/>
      <c r="HO330" s="93"/>
      <c r="HP330" s="93"/>
      <c r="HQ330" s="93"/>
      <c r="HR330" s="93"/>
      <c r="HS330" s="93"/>
      <c r="HT330" s="93"/>
      <c r="HU330" s="93"/>
      <c r="HV330" s="93"/>
      <c r="HW330" s="93"/>
      <c r="HX330" s="93"/>
      <c r="HY330" s="93"/>
      <c r="HZ330" s="93"/>
      <c r="IA330" s="93"/>
      <c r="IB330" s="93"/>
      <c r="IC330" s="93"/>
      <c r="ID330" s="93"/>
      <c r="IE330" s="93"/>
      <c r="IF330" s="93"/>
      <c r="IG330" s="93"/>
      <c r="IH330" s="93"/>
      <c r="II330" s="93"/>
      <c r="IJ330" s="93"/>
      <c r="IK330" s="93"/>
      <c r="IL330" s="93"/>
      <c r="IM330" s="93"/>
      <c r="IN330" s="93"/>
      <c r="IO330" s="93"/>
      <c r="IP330" s="93"/>
      <c r="IQ330" s="93"/>
      <c r="IR330" s="93"/>
      <c r="IS330" s="93"/>
      <c r="IT330" s="93"/>
      <c r="IU330" s="93"/>
      <c r="IV330" s="93"/>
      <c r="IW330" s="93"/>
      <c r="IX330" s="93"/>
      <c r="IY330" s="93"/>
      <c r="IZ330" s="93"/>
    </row>
    <row r="331" spans="1:260" s="95" customFormat="1">
      <c r="A331" s="93"/>
      <c r="B331" s="183"/>
      <c r="C331" s="183"/>
      <c r="D331" s="183"/>
      <c r="E331" s="158"/>
      <c r="F331" s="158"/>
      <c r="G331" s="158"/>
      <c r="H331" s="158"/>
      <c r="I331" s="158"/>
      <c r="J331" s="158"/>
      <c r="K331" s="158"/>
      <c r="L331" s="158"/>
      <c r="M331" s="158"/>
      <c r="N331" s="158"/>
      <c r="O331" s="158"/>
      <c r="P331" s="228"/>
      <c r="Q331" s="158"/>
      <c r="R331" s="158"/>
      <c r="S331" s="207"/>
      <c r="T331" s="207"/>
      <c r="U331" s="207"/>
      <c r="V331" s="207"/>
      <c r="W331" s="207"/>
      <c r="X331" s="207"/>
      <c r="Y331" s="207"/>
      <c r="Z331" s="207"/>
      <c r="AA331" s="207"/>
      <c r="AB331" s="207"/>
      <c r="AC331" s="207"/>
      <c r="AD331" s="207"/>
      <c r="AE331" s="207"/>
      <c r="AF331" s="207"/>
      <c r="AG331" s="207"/>
      <c r="AH331" s="207"/>
      <c r="AI331" s="207"/>
      <c r="AJ331" s="207"/>
      <c r="AK331" s="207"/>
      <c r="AL331" s="207"/>
      <c r="AM331" s="94"/>
      <c r="AN331" s="94"/>
      <c r="AO331" s="94"/>
      <c r="AP331" s="94"/>
      <c r="AQ331" s="94"/>
      <c r="AR331" s="94"/>
      <c r="AS331" s="94"/>
      <c r="AT331" s="94"/>
      <c r="AU331" s="94"/>
      <c r="AV331" s="94"/>
      <c r="AW331" s="94"/>
      <c r="AX331" s="94"/>
      <c r="AY331" s="94"/>
      <c r="AZ331" s="93"/>
      <c r="BA331" s="93"/>
      <c r="BB331" s="93"/>
      <c r="BC331" s="93"/>
      <c r="BD331" s="93"/>
      <c r="BE331" s="93"/>
      <c r="BF331" s="93"/>
      <c r="BG331" s="93"/>
      <c r="BH331" s="93"/>
      <c r="BI331" s="93"/>
      <c r="BJ331" s="93"/>
      <c r="BK331" s="93"/>
      <c r="BL331" s="93"/>
      <c r="BM331" s="93"/>
      <c r="BN331" s="93"/>
      <c r="BO331" s="93"/>
      <c r="BP331" s="93"/>
      <c r="BQ331" s="93"/>
      <c r="BR331" s="93"/>
      <c r="BS331" s="93"/>
      <c r="BT331" s="93"/>
      <c r="BU331" s="93"/>
      <c r="BV331" s="93"/>
      <c r="BW331" s="93"/>
      <c r="BX331" s="93"/>
      <c r="BY331" s="93"/>
      <c r="BZ331" s="93"/>
      <c r="CA331" s="93"/>
      <c r="CB331" s="93"/>
      <c r="CC331" s="93"/>
      <c r="CD331" s="93"/>
      <c r="CE331" s="93"/>
      <c r="CF331" s="93"/>
      <c r="CG331" s="93"/>
      <c r="CH331" s="93"/>
      <c r="CI331" s="93"/>
      <c r="CJ331" s="93"/>
      <c r="CK331" s="93"/>
      <c r="CL331" s="93"/>
      <c r="CM331" s="93"/>
      <c r="CN331" s="93"/>
      <c r="CO331" s="93"/>
      <c r="CP331" s="93"/>
      <c r="CQ331" s="93"/>
      <c r="CR331" s="93"/>
      <c r="CS331" s="93"/>
      <c r="CT331" s="93"/>
      <c r="CU331" s="93"/>
      <c r="CV331" s="93"/>
      <c r="CW331" s="93"/>
      <c r="CX331" s="93"/>
      <c r="CY331" s="93"/>
      <c r="CZ331" s="93"/>
      <c r="DA331" s="93"/>
      <c r="DB331" s="93"/>
      <c r="DC331" s="93"/>
      <c r="DD331" s="93"/>
      <c r="DE331" s="93"/>
      <c r="DF331" s="93"/>
      <c r="DG331" s="93"/>
      <c r="DH331" s="93"/>
      <c r="DI331" s="93"/>
      <c r="DJ331" s="93"/>
      <c r="DK331" s="93"/>
      <c r="DL331" s="93"/>
      <c r="DM331" s="93"/>
      <c r="DN331" s="93"/>
      <c r="DO331" s="93"/>
      <c r="DP331" s="93"/>
      <c r="DQ331" s="93"/>
      <c r="DR331" s="93"/>
      <c r="DS331" s="93"/>
      <c r="DT331" s="93"/>
      <c r="DU331" s="93"/>
      <c r="DV331" s="93"/>
      <c r="DW331" s="93"/>
      <c r="DX331" s="93"/>
      <c r="DY331" s="93"/>
      <c r="DZ331" s="93"/>
      <c r="EA331" s="93"/>
      <c r="EB331" s="93"/>
      <c r="EC331" s="93"/>
      <c r="ED331" s="93"/>
      <c r="EE331" s="93"/>
      <c r="EF331" s="93"/>
      <c r="EG331" s="93"/>
      <c r="EH331" s="93"/>
      <c r="EI331" s="93"/>
      <c r="EJ331" s="93"/>
      <c r="EK331" s="93"/>
      <c r="EL331" s="93"/>
      <c r="EM331" s="93"/>
      <c r="EN331" s="93"/>
      <c r="EO331" s="93"/>
      <c r="EP331" s="93"/>
      <c r="EQ331" s="93"/>
      <c r="ER331" s="93"/>
      <c r="ES331" s="93"/>
      <c r="ET331" s="93"/>
      <c r="EU331" s="93"/>
      <c r="EV331" s="93"/>
      <c r="EW331" s="93"/>
      <c r="EX331" s="93"/>
      <c r="EY331" s="93"/>
      <c r="EZ331" s="93"/>
      <c r="FA331" s="93"/>
      <c r="FB331" s="93"/>
      <c r="FC331" s="93"/>
      <c r="FD331" s="93"/>
      <c r="FE331" s="93"/>
      <c r="FF331" s="93"/>
      <c r="FG331" s="93"/>
      <c r="FH331" s="93"/>
      <c r="FI331" s="93"/>
      <c r="FJ331" s="93"/>
      <c r="FK331" s="93"/>
      <c r="FL331" s="93"/>
      <c r="FM331" s="93"/>
      <c r="FN331" s="93"/>
      <c r="FO331" s="93"/>
      <c r="FP331" s="93"/>
      <c r="FQ331" s="93"/>
      <c r="FR331" s="93"/>
      <c r="FS331" s="93"/>
      <c r="FT331" s="93"/>
      <c r="FU331" s="93"/>
      <c r="FV331" s="93"/>
      <c r="FW331" s="93"/>
      <c r="FX331" s="93"/>
      <c r="FY331" s="93"/>
      <c r="FZ331" s="93"/>
      <c r="GA331" s="93"/>
      <c r="GB331" s="93"/>
      <c r="GC331" s="93"/>
      <c r="GD331" s="93"/>
      <c r="GE331" s="93"/>
      <c r="GF331" s="93"/>
      <c r="GG331" s="93"/>
      <c r="GH331" s="93"/>
      <c r="GI331" s="93"/>
      <c r="GJ331" s="93"/>
      <c r="GK331" s="93"/>
      <c r="GL331" s="93"/>
      <c r="GM331" s="93"/>
      <c r="GN331" s="93"/>
      <c r="GO331" s="93"/>
      <c r="GP331" s="93"/>
      <c r="GQ331" s="93"/>
      <c r="GR331" s="93"/>
      <c r="GS331" s="93"/>
      <c r="GT331" s="93"/>
      <c r="GU331" s="93"/>
      <c r="GV331" s="93"/>
      <c r="GW331" s="93"/>
      <c r="GX331" s="93"/>
      <c r="GY331" s="93"/>
      <c r="GZ331" s="93"/>
      <c r="HA331" s="93"/>
      <c r="HB331" s="93"/>
      <c r="HC331" s="93"/>
      <c r="HD331" s="93"/>
      <c r="HE331" s="93"/>
      <c r="HF331" s="93"/>
      <c r="HG331" s="93"/>
      <c r="HH331" s="93"/>
      <c r="HI331" s="93"/>
      <c r="HJ331" s="93"/>
      <c r="HK331" s="93"/>
      <c r="HL331" s="93"/>
      <c r="HM331" s="93"/>
      <c r="HN331" s="93"/>
      <c r="HO331" s="93"/>
      <c r="HP331" s="93"/>
      <c r="HQ331" s="93"/>
      <c r="HR331" s="93"/>
      <c r="HS331" s="93"/>
      <c r="HT331" s="93"/>
      <c r="HU331" s="93"/>
      <c r="HV331" s="93"/>
      <c r="HW331" s="93"/>
      <c r="HX331" s="93"/>
      <c r="HY331" s="93"/>
      <c r="HZ331" s="93"/>
      <c r="IA331" s="93"/>
      <c r="IB331" s="93"/>
      <c r="IC331" s="93"/>
      <c r="ID331" s="93"/>
      <c r="IE331" s="93"/>
      <c r="IF331" s="93"/>
      <c r="IG331" s="93"/>
      <c r="IH331" s="93"/>
      <c r="II331" s="93"/>
      <c r="IJ331" s="93"/>
      <c r="IK331" s="93"/>
      <c r="IL331" s="93"/>
      <c r="IM331" s="93"/>
      <c r="IN331" s="93"/>
      <c r="IO331" s="93"/>
      <c r="IP331" s="93"/>
      <c r="IQ331" s="93"/>
      <c r="IR331" s="93"/>
      <c r="IS331" s="93"/>
      <c r="IT331" s="93"/>
      <c r="IU331" s="93"/>
      <c r="IV331" s="93"/>
      <c r="IW331" s="93"/>
      <c r="IX331" s="93"/>
      <c r="IY331" s="93"/>
      <c r="IZ331" s="93"/>
    </row>
    <row r="332" spans="1:260" s="95" customFormat="1">
      <c r="A332" s="93"/>
      <c r="B332" s="183"/>
      <c r="C332" s="183"/>
      <c r="D332" s="183"/>
      <c r="E332" s="158"/>
      <c r="F332" s="158"/>
      <c r="G332" s="158"/>
      <c r="H332" s="158"/>
      <c r="I332" s="158"/>
      <c r="J332" s="158"/>
      <c r="K332" s="158"/>
      <c r="L332" s="158"/>
      <c r="M332" s="158"/>
      <c r="N332" s="158"/>
      <c r="O332" s="158"/>
      <c r="P332" s="228"/>
      <c r="Q332" s="158"/>
      <c r="R332" s="158"/>
      <c r="S332" s="207"/>
      <c r="T332" s="207"/>
      <c r="U332" s="207"/>
      <c r="V332" s="207"/>
      <c r="W332" s="207"/>
      <c r="X332" s="207"/>
      <c r="Y332" s="207"/>
      <c r="Z332" s="207"/>
      <c r="AA332" s="207"/>
      <c r="AB332" s="207"/>
      <c r="AC332" s="207"/>
      <c r="AD332" s="207"/>
      <c r="AE332" s="207"/>
      <c r="AF332" s="207"/>
      <c r="AG332" s="207"/>
      <c r="AH332" s="207"/>
      <c r="AI332" s="207"/>
      <c r="AJ332" s="207"/>
      <c r="AK332" s="207"/>
      <c r="AL332" s="207"/>
      <c r="AM332" s="94"/>
      <c r="AN332" s="94"/>
      <c r="AO332" s="94"/>
      <c r="AP332" s="94"/>
      <c r="AQ332" s="94"/>
      <c r="AR332" s="94"/>
      <c r="AS332" s="94"/>
      <c r="AT332" s="94"/>
      <c r="AU332" s="94"/>
      <c r="AV332" s="94"/>
      <c r="AW332" s="94"/>
      <c r="AX332" s="94"/>
      <c r="AY332" s="94"/>
      <c r="AZ332" s="93"/>
      <c r="BA332" s="93"/>
      <c r="BB332" s="93"/>
      <c r="BC332" s="93"/>
      <c r="BD332" s="93"/>
      <c r="BE332" s="93"/>
      <c r="BF332" s="93"/>
      <c r="BG332" s="93"/>
      <c r="BH332" s="93"/>
      <c r="BI332" s="93"/>
      <c r="BJ332" s="93"/>
      <c r="BK332" s="93"/>
      <c r="BL332" s="93"/>
      <c r="BM332" s="93"/>
      <c r="BN332" s="93"/>
      <c r="BO332" s="93"/>
      <c r="BP332" s="93"/>
      <c r="BQ332" s="93"/>
      <c r="BR332" s="93"/>
      <c r="BS332" s="93"/>
      <c r="BT332" s="93"/>
      <c r="BU332" s="93"/>
      <c r="BV332" s="93"/>
      <c r="BW332" s="93"/>
      <c r="BX332" s="93"/>
      <c r="BY332" s="93"/>
      <c r="BZ332" s="93"/>
      <c r="CA332" s="93"/>
      <c r="CB332" s="93"/>
      <c r="CC332" s="93"/>
      <c r="CD332" s="93"/>
      <c r="CE332" s="93"/>
      <c r="CF332" s="93"/>
      <c r="CG332" s="93"/>
      <c r="CH332" s="93"/>
      <c r="CI332" s="93"/>
      <c r="CJ332" s="93"/>
      <c r="CK332" s="93"/>
      <c r="CL332" s="93"/>
      <c r="CM332" s="93"/>
      <c r="CN332" s="93"/>
      <c r="CO332" s="93"/>
      <c r="CP332" s="93"/>
      <c r="CQ332" s="93"/>
      <c r="CR332" s="93"/>
      <c r="CS332" s="93"/>
      <c r="CT332" s="93"/>
      <c r="CU332" s="93"/>
      <c r="CV332" s="93"/>
      <c r="CW332" s="93"/>
      <c r="CX332" s="93"/>
      <c r="CY332" s="93"/>
      <c r="CZ332" s="93"/>
      <c r="DA332" s="93"/>
      <c r="DB332" s="93"/>
      <c r="DC332" s="93"/>
      <c r="DD332" s="93"/>
      <c r="DE332" s="93"/>
      <c r="DF332" s="93"/>
      <c r="DG332" s="93"/>
      <c r="DH332" s="93"/>
      <c r="DI332" s="93"/>
      <c r="DJ332" s="93"/>
      <c r="DK332" s="93"/>
      <c r="DL332" s="93"/>
      <c r="DM332" s="93"/>
      <c r="DN332" s="93"/>
      <c r="DO332" s="93"/>
      <c r="DP332" s="93"/>
      <c r="DQ332" s="93"/>
      <c r="DR332" s="93"/>
      <c r="DS332" s="93"/>
      <c r="DT332" s="93"/>
      <c r="DU332" s="93"/>
      <c r="DV332" s="93"/>
      <c r="DW332" s="93"/>
      <c r="DX332" s="93"/>
      <c r="DY332" s="93"/>
      <c r="DZ332" s="93"/>
      <c r="EA332" s="93"/>
      <c r="EB332" s="93"/>
      <c r="EC332" s="93"/>
      <c r="ED332" s="93"/>
      <c r="EE332" s="93"/>
      <c r="EF332" s="93"/>
      <c r="EG332" s="93"/>
      <c r="EH332" s="93"/>
      <c r="EI332" s="93"/>
      <c r="EJ332" s="93"/>
      <c r="EK332" s="93"/>
      <c r="EL332" s="93"/>
      <c r="EM332" s="93"/>
      <c r="EN332" s="93"/>
      <c r="EO332" s="93"/>
      <c r="EP332" s="93"/>
      <c r="EQ332" s="93"/>
      <c r="ER332" s="93"/>
      <c r="ES332" s="93"/>
      <c r="ET332" s="93"/>
      <c r="EU332" s="93"/>
      <c r="EV332" s="93"/>
      <c r="EW332" s="93"/>
      <c r="EX332" s="93"/>
      <c r="EY332" s="93"/>
      <c r="EZ332" s="93"/>
      <c r="FA332" s="93"/>
      <c r="FB332" s="93"/>
      <c r="FC332" s="93"/>
      <c r="FD332" s="93"/>
      <c r="FE332" s="93"/>
      <c r="FF332" s="93"/>
      <c r="FG332" s="93"/>
      <c r="FH332" s="93"/>
      <c r="FI332" s="93"/>
      <c r="FJ332" s="93"/>
      <c r="FK332" s="93"/>
      <c r="FL332" s="93"/>
      <c r="FM332" s="93"/>
      <c r="FN332" s="93"/>
      <c r="FO332" s="93"/>
      <c r="FP332" s="93"/>
      <c r="FQ332" s="93"/>
      <c r="FR332" s="93"/>
      <c r="FS332" s="93"/>
      <c r="FT332" s="93"/>
      <c r="FU332" s="93"/>
      <c r="FV332" s="93"/>
      <c r="FW332" s="93"/>
      <c r="FX332" s="93"/>
      <c r="FY332" s="93"/>
      <c r="FZ332" s="93"/>
      <c r="GA332" s="93"/>
      <c r="GB332" s="93"/>
      <c r="GC332" s="93"/>
      <c r="GD332" s="93"/>
      <c r="GE332" s="93"/>
      <c r="GF332" s="93"/>
      <c r="GG332" s="93"/>
      <c r="GH332" s="93"/>
      <c r="GI332" s="93"/>
      <c r="GJ332" s="93"/>
      <c r="GK332" s="93"/>
      <c r="GL332" s="93"/>
      <c r="GM332" s="93"/>
      <c r="GN332" s="93"/>
      <c r="GO332" s="93"/>
      <c r="GP332" s="93"/>
      <c r="GQ332" s="93"/>
      <c r="GR332" s="93"/>
      <c r="GS332" s="93"/>
      <c r="GT332" s="93"/>
      <c r="GU332" s="93"/>
      <c r="GV332" s="93"/>
      <c r="GW332" s="93"/>
      <c r="GX332" s="93"/>
      <c r="GY332" s="93"/>
      <c r="GZ332" s="93"/>
      <c r="HA332" s="93"/>
      <c r="HB332" s="93"/>
      <c r="HC332" s="93"/>
      <c r="HD332" s="93"/>
      <c r="HE332" s="93"/>
      <c r="HF332" s="93"/>
      <c r="HG332" s="93"/>
      <c r="HH332" s="93"/>
      <c r="HI332" s="93"/>
      <c r="HJ332" s="93"/>
      <c r="HK332" s="93"/>
      <c r="HL332" s="93"/>
      <c r="HM332" s="93"/>
      <c r="HN332" s="93"/>
      <c r="HO332" s="93"/>
      <c r="HP332" s="93"/>
      <c r="HQ332" s="93"/>
      <c r="HR332" s="93"/>
      <c r="HS332" s="93"/>
      <c r="HT332" s="93"/>
      <c r="HU332" s="93"/>
      <c r="HV332" s="93"/>
      <c r="HW332" s="93"/>
      <c r="HX332" s="93"/>
      <c r="HY332" s="93"/>
      <c r="HZ332" s="93"/>
      <c r="IA332" s="93"/>
      <c r="IB332" s="93"/>
      <c r="IC332" s="93"/>
      <c r="ID332" s="93"/>
      <c r="IE332" s="93"/>
      <c r="IF332" s="93"/>
      <c r="IG332" s="93"/>
      <c r="IH332" s="93"/>
      <c r="II332" s="93"/>
      <c r="IJ332" s="93"/>
      <c r="IK332" s="93"/>
      <c r="IL332" s="93"/>
      <c r="IM332" s="93"/>
      <c r="IN332" s="93"/>
      <c r="IO332" s="93"/>
      <c r="IP332" s="93"/>
      <c r="IQ332" s="93"/>
      <c r="IR332" s="93"/>
      <c r="IS332" s="93"/>
      <c r="IT332" s="93"/>
      <c r="IU332" s="93"/>
      <c r="IV332" s="93"/>
      <c r="IW332" s="93"/>
      <c r="IX332" s="93"/>
      <c r="IY332" s="93"/>
      <c r="IZ332" s="93"/>
    </row>
    <row r="333" spans="1:260" s="95" customFormat="1">
      <c r="A333" s="93"/>
      <c r="B333" s="183"/>
      <c r="C333" s="183"/>
      <c r="D333" s="183"/>
      <c r="E333" s="158"/>
      <c r="F333" s="158"/>
      <c r="G333" s="158"/>
      <c r="H333" s="158"/>
      <c r="I333" s="158"/>
      <c r="J333" s="158"/>
      <c r="K333" s="158"/>
      <c r="L333" s="158"/>
      <c r="M333" s="158"/>
      <c r="N333" s="158"/>
      <c r="O333" s="158"/>
      <c r="P333" s="228"/>
      <c r="Q333" s="158"/>
      <c r="R333" s="158"/>
      <c r="S333" s="207"/>
      <c r="T333" s="207"/>
      <c r="U333" s="207"/>
      <c r="V333" s="207"/>
      <c r="W333" s="207"/>
      <c r="X333" s="207"/>
      <c r="Y333" s="207"/>
      <c r="Z333" s="207"/>
      <c r="AA333" s="207"/>
      <c r="AB333" s="207"/>
      <c r="AC333" s="207"/>
      <c r="AD333" s="207"/>
      <c r="AE333" s="207"/>
      <c r="AF333" s="207"/>
      <c r="AG333" s="207"/>
      <c r="AH333" s="207"/>
      <c r="AI333" s="207"/>
      <c r="AJ333" s="207"/>
      <c r="AK333" s="207"/>
      <c r="AL333" s="207"/>
      <c r="AM333" s="94"/>
      <c r="AN333" s="94"/>
      <c r="AO333" s="94"/>
      <c r="AP333" s="94"/>
      <c r="AQ333" s="94"/>
      <c r="AR333" s="94"/>
      <c r="AS333" s="94"/>
      <c r="AT333" s="94"/>
      <c r="AU333" s="94"/>
      <c r="AV333" s="94"/>
      <c r="AW333" s="94"/>
      <c r="AX333" s="94"/>
      <c r="AY333" s="94"/>
      <c r="AZ333" s="93"/>
      <c r="BA333" s="93"/>
      <c r="BB333" s="93"/>
      <c r="BC333" s="93"/>
      <c r="BD333" s="93"/>
      <c r="BE333" s="93"/>
      <c r="BF333" s="93"/>
      <c r="BG333" s="93"/>
      <c r="BH333" s="93"/>
      <c r="BI333" s="93"/>
      <c r="BJ333" s="93"/>
      <c r="BK333" s="93"/>
      <c r="BL333" s="93"/>
      <c r="BM333" s="93"/>
      <c r="BN333" s="93"/>
      <c r="BO333" s="93"/>
      <c r="BP333" s="93"/>
      <c r="BQ333" s="93"/>
      <c r="BR333" s="93"/>
      <c r="BS333" s="93"/>
      <c r="BT333" s="93"/>
      <c r="BU333" s="93"/>
      <c r="BV333" s="93"/>
      <c r="BW333" s="93"/>
      <c r="BX333" s="93"/>
      <c r="BY333" s="93"/>
      <c r="BZ333" s="93"/>
      <c r="CA333" s="93"/>
      <c r="CB333" s="93"/>
      <c r="CC333" s="93"/>
      <c r="CD333" s="93"/>
      <c r="CE333" s="93"/>
      <c r="CF333" s="93"/>
      <c r="CG333" s="93"/>
      <c r="CH333" s="93"/>
      <c r="CI333" s="93"/>
      <c r="CJ333" s="93"/>
      <c r="CK333" s="93"/>
      <c r="CL333" s="93"/>
      <c r="CM333" s="93"/>
      <c r="CN333" s="93"/>
      <c r="CO333" s="93"/>
      <c r="CP333" s="93"/>
      <c r="CQ333" s="93"/>
      <c r="CR333" s="93"/>
      <c r="CS333" s="93"/>
      <c r="CT333" s="93"/>
      <c r="CU333" s="93"/>
      <c r="CV333" s="93"/>
      <c r="CW333" s="93"/>
      <c r="CX333" s="93"/>
      <c r="CY333" s="93"/>
      <c r="CZ333" s="93"/>
      <c r="DA333" s="93"/>
      <c r="DB333" s="93"/>
      <c r="DC333" s="93"/>
      <c r="DD333" s="93"/>
      <c r="DE333" s="93"/>
      <c r="DF333" s="93"/>
      <c r="DG333" s="93"/>
      <c r="DH333" s="93"/>
      <c r="DI333" s="93"/>
      <c r="DJ333" s="93"/>
      <c r="DK333" s="93"/>
      <c r="DL333" s="93"/>
      <c r="DM333" s="93"/>
      <c r="DN333" s="93"/>
      <c r="DO333" s="93"/>
      <c r="DP333" s="93"/>
      <c r="DQ333" s="93"/>
      <c r="DR333" s="93"/>
      <c r="DS333" s="93"/>
      <c r="DT333" s="93"/>
      <c r="DU333" s="93"/>
      <c r="DV333" s="93"/>
      <c r="DW333" s="93"/>
      <c r="DX333" s="93"/>
      <c r="DY333" s="93"/>
      <c r="DZ333" s="93"/>
      <c r="EA333" s="93"/>
      <c r="EB333" s="93"/>
      <c r="EC333" s="93"/>
      <c r="ED333" s="93"/>
      <c r="EE333" s="93"/>
      <c r="EF333" s="93"/>
      <c r="EG333" s="93"/>
      <c r="EH333" s="93"/>
      <c r="EI333" s="93"/>
      <c r="EJ333" s="93"/>
      <c r="EK333" s="93"/>
      <c r="EL333" s="93"/>
      <c r="EM333" s="93"/>
      <c r="EN333" s="93"/>
      <c r="EO333" s="93"/>
      <c r="EP333" s="93"/>
      <c r="EQ333" s="93"/>
      <c r="ER333" s="93"/>
      <c r="ES333" s="93"/>
      <c r="ET333" s="93"/>
      <c r="EU333" s="93"/>
      <c r="EV333" s="93"/>
      <c r="EW333" s="93"/>
      <c r="EX333" s="93"/>
      <c r="EY333" s="93"/>
      <c r="EZ333" s="93"/>
      <c r="FA333" s="93"/>
      <c r="FB333" s="93"/>
      <c r="FC333" s="93"/>
      <c r="FD333" s="93"/>
      <c r="FE333" s="93"/>
      <c r="FF333" s="93"/>
      <c r="FG333" s="93"/>
      <c r="FH333" s="93"/>
      <c r="FI333" s="93"/>
      <c r="FJ333" s="93"/>
      <c r="FK333" s="93"/>
      <c r="FL333" s="93"/>
      <c r="FM333" s="93"/>
      <c r="FN333" s="93"/>
      <c r="FO333" s="93"/>
      <c r="FP333" s="93"/>
      <c r="FQ333" s="93"/>
      <c r="FR333" s="93"/>
      <c r="FS333" s="93"/>
      <c r="FT333" s="93"/>
      <c r="FU333" s="93"/>
      <c r="FV333" s="93"/>
      <c r="FW333" s="93"/>
      <c r="FX333" s="93"/>
      <c r="FY333" s="93"/>
      <c r="FZ333" s="93"/>
      <c r="GA333" s="93"/>
      <c r="GB333" s="93"/>
      <c r="GC333" s="93"/>
      <c r="GD333" s="93"/>
      <c r="GE333" s="93"/>
      <c r="GF333" s="93"/>
      <c r="GG333" s="93"/>
      <c r="GH333" s="93"/>
      <c r="GI333" s="93"/>
      <c r="GJ333" s="93"/>
      <c r="GK333" s="93"/>
      <c r="GL333" s="93"/>
      <c r="GM333" s="93"/>
      <c r="GN333" s="93"/>
      <c r="GO333" s="93"/>
      <c r="GP333" s="93"/>
      <c r="GQ333" s="93"/>
      <c r="GR333" s="93"/>
      <c r="GS333" s="93"/>
      <c r="GT333" s="93"/>
      <c r="GU333" s="93"/>
      <c r="GV333" s="93"/>
      <c r="GW333" s="93"/>
      <c r="GX333" s="93"/>
      <c r="GY333" s="93"/>
      <c r="GZ333" s="93"/>
      <c r="HA333" s="93"/>
      <c r="HB333" s="93"/>
      <c r="HC333" s="93"/>
      <c r="HD333" s="93"/>
      <c r="HE333" s="93"/>
      <c r="HF333" s="93"/>
      <c r="HG333" s="93"/>
      <c r="HH333" s="93"/>
      <c r="HI333" s="93"/>
      <c r="HJ333" s="93"/>
      <c r="HK333" s="93"/>
      <c r="HL333" s="93"/>
      <c r="HM333" s="93"/>
      <c r="HN333" s="93"/>
      <c r="HO333" s="93"/>
      <c r="HP333" s="93"/>
      <c r="HQ333" s="93"/>
      <c r="HR333" s="93"/>
      <c r="HS333" s="93"/>
      <c r="HT333" s="93"/>
      <c r="HU333" s="93"/>
      <c r="HV333" s="93"/>
      <c r="HW333" s="93"/>
      <c r="HX333" s="93"/>
      <c r="HY333" s="93"/>
      <c r="HZ333" s="93"/>
      <c r="IA333" s="93"/>
      <c r="IB333" s="93"/>
      <c r="IC333" s="93"/>
      <c r="ID333" s="93"/>
      <c r="IE333" s="93"/>
      <c r="IF333" s="93"/>
      <c r="IG333" s="93"/>
      <c r="IH333" s="93"/>
      <c r="II333" s="93"/>
      <c r="IJ333" s="93"/>
      <c r="IK333" s="93"/>
      <c r="IL333" s="93"/>
      <c r="IM333" s="93"/>
      <c r="IN333" s="93"/>
      <c r="IO333" s="93"/>
      <c r="IP333" s="93"/>
      <c r="IQ333" s="93"/>
      <c r="IR333" s="93"/>
      <c r="IS333" s="93"/>
      <c r="IT333" s="93"/>
      <c r="IU333" s="93"/>
      <c r="IV333" s="93"/>
      <c r="IW333" s="93"/>
      <c r="IX333" s="93"/>
      <c r="IY333" s="93"/>
      <c r="IZ333" s="93"/>
    </row>
    <row r="334" spans="1:260" s="95" customFormat="1">
      <c r="A334" s="93"/>
      <c r="B334" s="183"/>
      <c r="C334" s="183"/>
      <c r="D334" s="183"/>
      <c r="E334" s="158"/>
      <c r="F334" s="158"/>
      <c r="G334" s="158"/>
      <c r="H334" s="158"/>
      <c r="I334" s="158"/>
      <c r="J334" s="158"/>
      <c r="K334" s="158"/>
      <c r="L334" s="158"/>
      <c r="M334" s="158"/>
      <c r="N334" s="158"/>
      <c r="O334" s="158"/>
      <c r="P334" s="228"/>
      <c r="Q334" s="158"/>
      <c r="R334" s="158"/>
      <c r="S334" s="207"/>
      <c r="T334" s="207"/>
      <c r="U334" s="207"/>
      <c r="V334" s="207"/>
      <c r="W334" s="207"/>
      <c r="X334" s="207"/>
      <c r="Y334" s="207"/>
      <c r="Z334" s="207"/>
      <c r="AA334" s="207"/>
      <c r="AB334" s="207"/>
      <c r="AC334" s="207"/>
      <c r="AD334" s="207"/>
      <c r="AE334" s="207"/>
      <c r="AF334" s="207"/>
      <c r="AG334" s="207"/>
      <c r="AH334" s="207"/>
      <c r="AI334" s="207"/>
      <c r="AJ334" s="207"/>
      <c r="AK334" s="207"/>
      <c r="AL334" s="207"/>
      <c r="AM334" s="94"/>
      <c r="AN334" s="94"/>
      <c r="AO334" s="94"/>
      <c r="AP334" s="94"/>
      <c r="AQ334" s="94"/>
      <c r="AR334" s="94"/>
      <c r="AS334" s="94"/>
      <c r="AT334" s="94"/>
      <c r="AU334" s="94"/>
      <c r="AV334" s="94"/>
      <c r="AW334" s="94"/>
      <c r="AX334" s="94"/>
      <c r="AY334" s="94"/>
      <c r="AZ334" s="93"/>
      <c r="BA334" s="93"/>
      <c r="BB334" s="93"/>
      <c r="BC334" s="93"/>
      <c r="BD334" s="93"/>
      <c r="BE334" s="93"/>
      <c r="BF334" s="93"/>
      <c r="BG334" s="93"/>
      <c r="BH334" s="93"/>
      <c r="BI334" s="93"/>
      <c r="BJ334" s="93"/>
      <c r="BK334" s="93"/>
      <c r="BL334" s="93"/>
      <c r="BM334" s="93"/>
      <c r="BN334" s="93"/>
      <c r="BO334" s="93"/>
      <c r="BP334" s="93"/>
      <c r="BQ334" s="93"/>
      <c r="BR334" s="93"/>
      <c r="BS334" s="93"/>
      <c r="BT334" s="93"/>
      <c r="BU334" s="93"/>
      <c r="BV334" s="93"/>
      <c r="BW334" s="93"/>
      <c r="BX334" s="93"/>
      <c r="BY334" s="93"/>
      <c r="BZ334" s="93"/>
      <c r="CA334" s="93"/>
      <c r="CB334" s="93"/>
      <c r="CC334" s="93"/>
      <c r="CD334" s="93"/>
      <c r="CE334" s="93"/>
      <c r="CF334" s="93"/>
      <c r="CG334" s="93"/>
      <c r="CH334" s="93"/>
      <c r="CI334" s="93"/>
      <c r="CJ334" s="93"/>
      <c r="CK334" s="93"/>
      <c r="CL334" s="93"/>
      <c r="CM334" s="93"/>
      <c r="CN334" s="93"/>
      <c r="CO334" s="93"/>
      <c r="CP334" s="93"/>
      <c r="CQ334" s="93"/>
      <c r="CR334" s="93"/>
      <c r="CS334" s="93"/>
      <c r="CT334" s="93"/>
      <c r="CU334" s="93"/>
      <c r="CV334" s="93"/>
      <c r="CW334" s="93"/>
      <c r="CX334" s="93"/>
      <c r="CY334" s="93"/>
      <c r="CZ334" s="93"/>
      <c r="DA334" s="93"/>
      <c r="DB334" s="93"/>
      <c r="DC334" s="93"/>
      <c r="DD334" s="93"/>
      <c r="DE334" s="93"/>
      <c r="DF334" s="93"/>
      <c r="DG334" s="93"/>
      <c r="DH334" s="93"/>
      <c r="DI334" s="93"/>
      <c r="DJ334" s="93"/>
      <c r="DK334" s="93"/>
      <c r="DL334" s="93"/>
      <c r="DM334" s="93"/>
      <c r="DN334" s="93"/>
      <c r="DO334" s="93"/>
      <c r="DP334" s="93"/>
      <c r="DQ334" s="93"/>
      <c r="DR334" s="93"/>
      <c r="DS334" s="93"/>
      <c r="DT334" s="93"/>
      <c r="DU334" s="93"/>
      <c r="DV334" s="93"/>
      <c r="DW334" s="93"/>
      <c r="DX334" s="93"/>
      <c r="DY334" s="93"/>
      <c r="DZ334" s="93"/>
      <c r="EA334" s="93"/>
      <c r="EB334" s="93"/>
      <c r="EC334" s="93"/>
      <c r="ED334" s="93"/>
      <c r="EE334" s="93"/>
      <c r="EF334" s="93"/>
      <c r="EG334" s="93"/>
      <c r="EH334" s="93"/>
      <c r="EI334" s="93"/>
      <c r="EJ334" s="93"/>
      <c r="EK334" s="93"/>
      <c r="EL334" s="93"/>
      <c r="EM334" s="93"/>
      <c r="EN334" s="93"/>
      <c r="EO334" s="93"/>
      <c r="EP334" s="93"/>
      <c r="EQ334" s="93"/>
      <c r="ER334" s="93"/>
      <c r="ES334" s="93"/>
      <c r="ET334" s="93"/>
      <c r="EU334" s="93"/>
      <c r="EV334" s="93"/>
      <c r="EW334" s="93"/>
      <c r="EX334" s="93"/>
      <c r="EY334" s="93"/>
      <c r="EZ334" s="93"/>
      <c r="FA334" s="93"/>
      <c r="FB334" s="93"/>
      <c r="FC334" s="93"/>
      <c r="FD334" s="93"/>
      <c r="FE334" s="93"/>
      <c r="FF334" s="93"/>
      <c r="FG334" s="93"/>
      <c r="FH334" s="93"/>
      <c r="FI334" s="93"/>
      <c r="FJ334" s="93"/>
      <c r="FK334" s="93"/>
      <c r="FL334" s="93"/>
      <c r="FM334" s="93"/>
      <c r="FN334" s="93"/>
      <c r="FO334" s="93"/>
      <c r="FP334" s="93"/>
      <c r="FQ334" s="93"/>
      <c r="FR334" s="93"/>
      <c r="FS334" s="93"/>
      <c r="FT334" s="93"/>
      <c r="FU334" s="93"/>
      <c r="FV334" s="93"/>
      <c r="FW334" s="93"/>
      <c r="FX334" s="93"/>
      <c r="FY334" s="93"/>
      <c r="FZ334" s="93"/>
      <c r="GA334" s="93"/>
      <c r="GB334" s="93"/>
      <c r="GC334" s="93"/>
      <c r="GD334" s="93"/>
      <c r="GE334" s="93"/>
      <c r="GF334" s="93"/>
      <c r="GG334" s="93"/>
      <c r="GH334" s="93"/>
      <c r="GI334" s="93"/>
      <c r="GJ334" s="93"/>
      <c r="GK334" s="93"/>
      <c r="GL334" s="93"/>
      <c r="GM334" s="93"/>
      <c r="GN334" s="93"/>
      <c r="GO334" s="93"/>
      <c r="GP334" s="93"/>
      <c r="GQ334" s="93"/>
      <c r="GR334" s="93"/>
      <c r="GS334" s="93"/>
      <c r="GT334" s="93"/>
      <c r="GU334" s="93"/>
      <c r="GV334" s="93"/>
      <c r="GW334" s="93"/>
      <c r="GX334" s="93"/>
      <c r="GY334" s="93"/>
      <c r="GZ334" s="93"/>
      <c r="HA334" s="93"/>
      <c r="HB334" s="93"/>
      <c r="HC334" s="93"/>
      <c r="HD334" s="93"/>
      <c r="HE334" s="93"/>
      <c r="HF334" s="93"/>
      <c r="HG334" s="93"/>
      <c r="HH334" s="93"/>
      <c r="HI334" s="93"/>
      <c r="HJ334" s="93"/>
      <c r="HK334" s="93"/>
      <c r="HL334" s="93"/>
      <c r="HM334" s="93"/>
      <c r="HN334" s="93"/>
      <c r="HO334" s="93"/>
      <c r="HP334" s="93"/>
      <c r="HQ334" s="93"/>
      <c r="HR334" s="93"/>
      <c r="HS334" s="93"/>
      <c r="HT334" s="93"/>
      <c r="HU334" s="93"/>
      <c r="HV334" s="93"/>
      <c r="HW334" s="93"/>
      <c r="HX334" s="93"/>
      <c r="HY334" s="93"/>
      <c r="HZ334" s="93"/>
      <c r="IA334" s="93"/>
      <c r="IB334" s="93"/>
      <c r="IC334" s="93"/>
      <c r="ID334" s="93"/>
      <c r="IE334" s="93"/>
      <c r="IF334" s="93"/>
      <c r="IG334" s="93"/>
      <c r="IH334" s="93"/>
      <c r="II334" s="93"/>
      <c r="IJ334" s="93"/>
      <c r="IK334" s="93"/>
      <c r="IL334" s="93"/>
      <c r="IM334" s="93"/>
      <c r="IN334" s="93"/>
      <c r="IO334" s="93"/>
      <c r="IP334" s="93"/>
      <c r="IQ334" s="93"/>
      <c r="IR334" s="93"/>
      <c r="IS334" s="93"/>
      <c r="IT334" s="93"/>
      <c r="IU334" s="93"/>
      <c r="IV334" s="93"/>
      <c r="IW334" s="93"/>
      <c r="IX334" s="93"/>
      <c r="IY334" s="93"/>
      <c r="IZ334" s="93"/>
    </row>
    <row r="335" spans="1:260" s="95" customFormat="1">
      <c r="A335" s="93"/>
      <c r="B335" s="183"/>
      <c r="C335" s="183"/>
      <c r="D335" s="183"/>
      <c r="E335" s="158"/>
      <c r="F335" s="158"/>
      <c r="G335" s="158"/>
      <c r="H335" s="158"/>
      <c r="I335" s="158"/>
      <c r="J335" s="158"/>
      <c r="K335" s="158"/>
      <c r="L335" s="158"/>
      <c r="M335" s="158"/>
      <c r="N335" s="158"/>
      <c r="O335" s="158"/>
      <c r="P335" s="228"/>
      <c r="Q335" s="158"/>
      <c r="R335" s="158"/>
      <c r="S335" s="207"/>
      <c r="T335" s="207"/>
      <c r="U335" s="207"/>
      <c r="V335" s="207"/>
      <c r="W335" s="207"/>
      <c r="X335" s="207"/>
      <c r="Y335" s="207"/>
      <c r="Z335" s="207"/>
      <c r="AA335" s="207"/>
      <c r="AB335" s="207"/>
      <c r="AC335" s="207"/>
      <c r="AD335" s="207"/>
      <c r="AE335" s="207"/>
      <c r="AF335" s="207"/>
      <c r="AG335" s="207"/>
      <c r="AH335" s="207"/>
      <c r="AI335" s="207"/>
      <c r="AJ335" s="207"/>
      <c r="AK335" s="207"/>
      <c r="AL335" s="207"/>
      <c r="AM335" s="94"/>
      <c r="AN335" s="94"/>
      <c r="AO335" s="94"/>
      <c r="AP335" s="94"/>
      <c r="AQ335" s="94"/>
      <c r="AR335" s="94"/>
      <c r="AS335" s="94"/>
      <c r="AT335" s="94"/>
      <c r="AU335" s="94"/>
      <c r="AV335" s="94"/>
      <c r="AW335" s="94"/>
      <c r="AX335" s="94"/>
      <c r="AY335" s="94"/>
      <c r="AZ335" s="93"/>
      <c r="BA335" s="93"/>
      <c r="BB335" s="93"/>
      <c r="BC335" s="93"/>
      <c r="BD335" s="93"/>
      <c r="BE335" s="93"/>
      <c r="BF335" s="93"/>
      <c r="BG335" s="93"/>
      <c r="BH335" s="93"/>
      <c r="BI335" s="93"/>
      <c r="BJ335" s="93"/>
      <c r="BK335" s="93"/>
      <c r="BL335" s="93"/>
      <c r="BM335" s="93"/>
      <c r="BN335" s="93"/>
      <c r="BO335" s="93"/>
      <c r="BP335" s="93"/>
      <c r="BQ335" s="93"/>
      <c r="BR335" s="93"/>
      <c r="BS335" s="93"/>
      <c r="BT335" s="93"/>
      <c r="BU335" s="93"/>
      <c r="BV335" s="93"/>
      <c r="BW335" s="93"/>
      <c r="BX335" s="93"/>
      <c r="BY335" s="93"/>
      <c r="BZ335" s="93"/>
      <c r="CA335" s="93"/>
      <c r="CB335" s="93"/>
      <c r="CC335" s="93"/>
      <c r="CD335" s="93"/>
      <c r="CE335" s="93"/>
      <c r="CF335" s="93"/>
      <c r="CG335" s="93"/>
      <c r="CH335" s="93"/>
      <c r="CI335" s="93"/>
      <c r="CJ335" s="93"/>
      <c r="CK335" s="93"/>
      <c r="CL335" s="93"/>
      <c r="CM335" s="93"/>
      <c r="CN335" s="93"/>
      <c r="CO335" s="93"/>
      <c r="CP335" s="93"/>
      <c r="CQ335" s="93"/>
      <c r="CR335" s="93"/>
      <c r="CS335" s="93"/>
      <c r="CT335" s="93"/>
      <c r="CU335" s="93"/>
      <c r="CV335" s="93"/>
      <c r="CW335" s="93"/>
      <c r="CX335" s="93"/>
      <c r="CY335" s="93"/>
      <c r="CZ335" s="93"/>
      <c r="DA335" s="93"/>
      <c r="DB335" s="93"/>
      <c r="DC335" s="93"/>
      <c r="DD335" s="93"/>
      <c r="DE335" s="93"/>
      <c r="DF335" s="93"/>
      <c r="DG335" s="93"/>
      <c r="DH335" s="93"/>
      <c r="DI335" s="93"/>
      <c r="DJ335" s="93"/>
      <c r="DK335" s="93"/>
      <c r="DL335" s="93"/>
      <c r="DM335" s="93"/>
      <c r="DN335" s="93"/>
      <c r="DO335" s="93"/>
      <c r="DP335" s="93"/>
      <c r="DQ335" s="93"/>
      <c r="DR335" s="93"/>
      <c r="DS335" s="93"/>
      <c r="DT335" s="93"/>
      <c r="DU335" s="93"/>
      <c r="DV335" s="93"/>
      <c r="DW335" s="93"/>
      <c r="DX335" s="93"/>
      <c r="DY335" s="93"/>
      <c r="DZ335" s="93"/>
      <c r="EA335" s="93"/>
      <c r="EB335" s="93"/>
      <c r="EC335" s="93"/>
      <c r="ED335" s="93"/>
      <c r="EE335" s="93"/>
      <c r="EF335" s="93"/>
      <c r="EG335" s="93"/>
      <c r="EH335" s="93"/>
      <c r="EI335" s="93"/>
      <c r="EJ335" s="93"/>
      <c r="EK335" s="93"/>
      <c r="EL335" s="93"/>
      <c r="EM335" s="93"/>
      <c r="EN335" s="93"/>
      <c r="EO335" s="93"/>
      <c r="EP335" s="93"/>
      <c r="EQ335" s="93"/>
      <c r="ER335" s="93"/>
      <c r="ES335" s="93"/>
      <c r="ET335" s="93"/>
      <c r="EU335" s="93"/>
      <c r="EV335" s="93"/>
      <c r="EW335" s="93"/>
      <c r="EX335" s="93"/>
      <c r="EY335" s="93"/>
      <c r="EZ335" s="93"/>
      <c r="FA335" s="93"/>
      <c r="FB335" s="93"/>
      <c r="FC335" s="93"/>
      <c r="FD335" s="93"/>
      <c r="FE335" s="93"/>
      <c r="FF335" s="93"/>
      <c r="FG335" s="93"/>
      <c r="FH335" s="93"/>
      <c r="FI335" s="93"/>
      <c r="FJ335" s="93"/>
      <c r="FK335" s="93"/>
      <c r="FL335" s="93"/>
      <c r="FM335" s="93"/>
      <c r="FN335" s="93"/>
      <c r="FO335" s="93"/>
      <c r="FP335" s="93"/>
      <c r="FQ335" s="93"/>
      <c r="FR335" s="93"/>
      <c r="FS335" s="93"/>
      <c r="FT335" s="93"/>
      <c r="FU335" s="93"/>
      <c r="FV335" s="93"/>
      <c r="FW335" s="93"/>
      <c r="FX335" s="93"/>
      <c r="FY335" s="93"/>
      <c r="FZ335" s="93"/>
      <c r="GA335" s="93"/>
      <c r="GB335" s="93"/>
      <c r="GC335" s="93"/>
      <c r="GD335" s="93"/>
      <c r="GE335" s="93"/>
      <c r="GF335" s="93"/>
      <c r="GG335" s="93"/>
      <c r="GH335" s="93"/>
      <c r="GI335" s="93"/>
      <c r="GJ335" s="93"/>
      <c r="GK335" s="93"/>
      <c r="GL335" s="93"/>
      <c r="GM335" s="93"/>
      <c r="GN335" s="93"/>
      <c r="GO335" s="93"/>
      <c r="GP335" s="93"/>
      <c r="GQ335" s="93"/>
      <c r="GR335" s="93"/>
      <c r="GS335" s="93"/>
      <c r="GT335" s="93"/>
      <c r="GU335" s="93"/>
      <c r="GV335" s="93"/>
      <c r="GW335" s="93"/>
      <c r="GX335" s="93"/>
      <c r="GY335" s="93"/>
      <c r="GZ335" s="93"/>
      <c r="HA335" s="93"/>
      <c r="HB335" s="93"/>
      <c r="HC335" s="93"/>
      <c r="HD335" s="93"/>
      <c r="HE335" s="93"/>
      <c r="HF335" s="93"/>
      <c r="HG335" s="93"/>
      <c r="HH335" s="93"/>
      <c r="HI335" s="93"/>
      <c r="HJ335" s="93"/>
      <c r="HK335" s="93"/>
      <c r="HL335" s="93"/>
      <c r="HM335" s="93"/>
      <c r="HN335" s="93"/>
      <c r="HO335" s="93"/>
      <c r="HP335" s="93"/>
      <c r="HQ335" s="93"/>
      <c r="HR335" s="93"/>
      <c r="HS335" s="93"/>
      <c r="HT335" s="93"/>
      <c r="HU335" s="93"/>
      <c r="HV335" s="93"/>
      <c r="HW335" s="93"/>
      <c r="HX335" s="93"/>
      <c r="HY335" s="93"/>
      <c r="HZ335" s="93"/>
      <c r="IA335" s="93"/>
      <c r="IB335" s="93"/>
      <c r="IC335" s="93"/>
      <c r="ID335" s="93"/>
      <c r="IE335" s="93"/>
      <c r="IF335" s="93"/>
      <c r="IG335" s="93"/>
      <c r="IH335" s="93"/>
      <c r="II335" s="93"/>
      <c r="IJ335" s="93"/>
      <c r="IK335" s="93"/>
      <c r="IL335" s="93"/>
      <c r="IM335" s="93"/>
      <c r="IN335" s="93"/>
      <c r="IO335" s="93"/>
      <c r="IP335" s="93"/>
      <c r="IQ335" s="93"/>
      <c r="IR335" s="93"/>
      <c r="IS335" s="93"/>
      <c r="IT335" s="93"/>
      <c r="IU335" s="93"/>
      <c r="IV335" s="93"/>
      <c r="IW335" s="93"/>
      <c r="IX335" s="93"/>
      <c r="IY335" s="93"/>
      <c r="IZ335" s="93"/>
    </row>
    <row r="336" spans="1:260" s="95" customFormat="1">
      <c r="A336" s="93"/>
      <c r="B336" s="183"/>
      <c r="C336" s="183"/>
      <c r="D336" s="183"/>
      <c r="E336" s="158"/>
      <c r="F336" s="158"/>
      <c r="G336" s="158"/>
      <c r="H336" s="158"/>
      <c r="I336" s="158"/>
      <c r="J336" s="158"/>
      <c r="K336" s="158"/>
      <c r="L336" s="158"/>
      <c r="M336" s="158"/>
      <c r="N336" s="158"/>
      <c r="O336" s="158"/>
      <c r="P336" s="228"/>
      <c r="Q336" s="158"/>
      <c r="R336" s="158"/>
      <c r="S336" s="207"/>
      <c r="T336" s="207"/>
      <c r="U336" s="207"/>
      <c r="V336" s="207"/>
      <c r="W336" s="207"/>
      <c r="X336" s="207"/>
      <c r="Y336" s="207"/>
      <c r="Z336" s="207"/>
      <c r="AA336" s="207"/>
      <c r="AB336" s="207"/>
      <c r="AC336" s="207"/>
      <c r="AD336" s="207"/>
      <c r="AE336" s="207"/>
      <c r="AF336" s="207"/>
      <c r="AG336" s="207"/>
      <c r="AH336" s="207"/>
      <c r="AI336" s="207"/>
      <c r="AJ336" s="207"/>
      <c r="AK336" s="207"/>
      <c r="AL336" s="207"/>
      <c r="AM336" s="94"/>
      <c r="AN336" s="94"/>
      <c r="AO336" s="94"/>
      <c r="AP336" s="94"/>
      <c r="AQ336" s="94"/>
      <c r="AR336" s="94"/>
      <c r="AS336" s="94"/>
      <c r="AT336" s="94"/>
      <c r="AU336" s="94"/>
      <c r="AV336" s="94"/>
      <c r="AW336" s="94"/>
      <c r="AX336" s="94"/>
      <c r="AY336" s="94"/>
      <c r="AZ336" s="93"/>
      <c r="BA336" s="93"/>
      <c r="BB336" s="93"/>
      <c r="BC336" s="93"/>
      <c r="BD336" s="93"/>
      <c r="BE336" s="93"/>
      <c r="BF336" s="93"/>
      <c r="BG336" s="93"/>
      <c r="BH336" s="93"/>
      <c r="BI336" s="93"/>
      <c r="BJ336" s="93"/>
      <c r="BK336" s="93"/>
      <c r="BL336" s="93"/>
      <c r="BM336" s="93"/>
      <c r="BN336" s="93"/>
      <c r="BO336" s="93"/>
      <c r="BP336" s="93"/>
      <c r="BQ336" s="93"/>
      <c r="BR336" s="93"/>
      <c r="BS336" s="93"/>
      <c r="BT336" s="93"/>
      <c r="BU336" s="93"/>
      <c r="BV336" s="93"/>
      <c r="BW336" s="93"/>
      <c r="BX336" s="93"/>
      <c r="BY336" s="93"/>
      <c r="BZ336" s="93"/>
      <c r="CA336" s="93"/>
      <c r="CB336" s="93"/>
      <c r="CC336" s="93"/>
      <c r="CD336" s="93"/>
      <c r="CE336" s="93"/>
      <c r="CF336" s="93"/>
      <c r="CG336" s="93"/>
      <c r="CH336" s="93"/>
      <c r="CI336" s="93"/>
      <c r="CJ336" s="93"/>
      <c r="CK336" s="93"/>
      <c r="CL336" s="93"/>
      <c r="CM336" s="93"/>
      <c r="CN336" s="93"/>
      <c r="CO336" s="93"/>
      <c r="CP336" s="93"/>
      <c r="CQ336" s="93"/>
      <c r="CR336" s="93"/>
      <c r="CS336" s="93"/>
      <c r="CT336" s="93"/>
      <c r="CU336" s="93"/>
      <c r="CV336" s="93"/>
      <c r="CW336" s="93"/>
      <c r="CX336" s="93"/>
      <c r="CY336" s="93"/>
      <c r="CZ336" s="93"/>
      <c r="DA336" s="93"/>
      <c r="DB336" s="93"/>
      <c r="DC336" s="93"/>
      <c r="DD336" s="93"/>
      <c r="DE336" s="93"/>
      <c r="DF336" s="93"/>
      <c r="DG336" s="93"/>
      <c r="DH336" s="93"/>
      <c r="DI336" s="93"/>
      <c r="DJ336" s="93"/>
      <c r="DK336" s="93"/>
      <c r="DL336" s="93"/>
      <c r="DM336" s="93"/>
      <c r="DN336" s="93"/>
      <c r="DO336" s="93"/>
      <c r="DP336" s="93"/>
      <c r="DQ336" s="93"/>
      <c r="DR336" s="93"/>
      <c r="DS336" s="93"/>
      <c r="DT336" s="93"/>
      <c r="DU336" s="93"/>
      <c r="DV336" s="93"/>
      <c r="DW336" s="93"/>
      <c r="DX336" s="93"/>
      <c r="DY336" s="93"/>
      <c r="DZ336" s="93"/>
      <c r="EA336" s="93"/>
      <c r="EB336" s="93"/>
      <c r="EC336" s="93"/>
      <c r="ED336" s="93"/>
      <c r="EE336" s="93"/>
      <c r="EF336" s="93"/>
      <c r="EG336" s="93"/>
      <c r="EH336" s="93"/>
      <c r="EI336" s="93"/>
      <c r="EJ336" s="93"/>
      <c r="EK336" s="93"/>
      <c r="EL336" s="93"/>
      <c r="EM336" s="93"/>
      <c r="EN336" s="93"/>
      <c r="EO336" s="93"/>
      <c r="EP336" s="93"/>
      <c r="EQ336" s="93"/>
      <c r="ER336" s="93"/>
      <c r="ES336" s="93"/>
      <c r="ET336" s="93"/>
      <c r="EU336" s="93"/>
      <c r="EV336" s="93"/>
      <c r="EW336" s="93"/>
      <c r="EX336" s="93"/>
      <c r="EY336" s="93"/>
      <c r="EZ336" s="93"/>
      <c r="FA336" s="93"/>
      <c r="FB336" s="93"/>
      <c r="FC336" s="93"/>
      <c r="FD336" s="93"/>
      <c r="FE336" s="93"/>
      <c r="FF336" s="93"/>
      <c r="FG336" s="93"/>
      <c r="FH336" s="93"/>
      <c r="FI336" s="93"/>
      <c r="FJ336" s="93"/>
      <c r="FK336" s="93"/>
      <c r="FL336" s="93"/>
      <c r="FM336" s="93"/>
      <c r="FN336" s="93"/>
      <c r="FO336" s="93"/>
      <c r="FP336" s="93"/>
      <c r="FQ336" s="93"/>
      <c r="FR336" s="93"/>
      <c r="FS336" s="93"/>
      <c r="FT336" s="93"/>
      <c r="FU336" s="93"/>
      <c r="FV336" s="93"/>
      <c r="FW336" s="93"/>
      <c r="FX336" s="93"/>
      <c r="FY336" s="93"/>
      <c r="FZ336" s="93"/>
      <c r="GA336" s="93"/>
      <c r="GB336" s="93"/>
      <c r="GC336" s="93"/>
      <c r="GD336" s="93"/>
      <c r="GE336" s="93"/>
      <c r="GF336" s="93"/>
      <c r="GG336" s="93"/>
      <c r="GH336" s="93"/>
      <c r="GI336" s="93"/>
      <c r="GJ336" s="93"/>
      <c r="GK336" s="93"/>
      <c r="GL336" s="93"/>
      <c r="GM336" s="93"/>
      <c r="GN336" s="93"/>
      <c r="GO336" s="93"/>
      <c r="GP336" s="93"/>
      <c r="GQ336" s="93"/>
      <c r="GR336" s="93"/>
      <c r="GS336" s="93"/>
      <c r="GT336" s="93"/>
      <c r="GU336" s="93"/>
      <c r="GV336" s="93"/>
      <c r="GW336" s="93"/>
      <c r="GX336" s="93"/>
      <c r="GY336" s="93"/>
      <c r="GZ336" s="93"/>
      <c r="HA336" s="93"/>
      <c r="HB336" s="93"/>
      <c r="HC336" s="93"/>
      <c r="HD336" s="93"/>
      <c r="HE336" s="93"/>
      <c r="HF336" s="93"/>
      <c r="HG336" s="93"/>
      <c r="HH336" s="93"/>
      <c r="HI336" s="93"/>
      <c r="HJ336" s="93"/>
      <c r="HK336" s="93"/>
      <c r="HL336" s="93"/>
      <c r="HM336" s="93"/>
      <c r="HN336" s="93"/>
      <c r="HO336" s="93"/>
      <c r="HP336" s="93"/>
      <c r="HQ336" s="93"/>
      <c r="HR336" s="93"/>
      <c r="HS336" s="93"/>
      <c r="HT336" s="93"/>
      <c r="HU336" s="93"/>
      <c r="HV336" s="93"/>
      <c r="HW336" s="93"/>
      <c r="HX336" s="93"/>
      <c r="HY336" s="93"/>
      <c r="HZ336" s="93"/>
      <c r="IA336" s="93"/>
      <c r="IB336" s="93"/>
      <c r="IC336" s="93"/>
      <c r="ID336" s="93"/>
      <c r="IE336" s="93"/>
      <c r="IF336" s="93"/>
      <c r="IG336" s="93"/>
      <c r="IH336" s="93"/>
      <c r="II336" s="93"/>
      <c r="IJ336" s="93"/>
      <c r="IK336" s="93"/>
      <c r="IL336" s="93"/>
      <c r="IM336" s="93"/>
      <c r="IN336" s="93"/>
      <c r="IO336" s="93"/>
      <c r="IP336" s="93"/>
      <c r="IQ336" s="93"/>
      <c r="IR336" s="93"/>
      <c r="IS336" s="93"/>
      <c r="IT336" s="93"/>
      <c r="IU336" s="93"/>
      <c r="IV336" s="93"/>
      <c r="IW336" s="93"/>
      <c r="IX336" s="93"/>
      <c r="IY336" s="93"/>
      <c r="IZ336" s="93"/>
    </row>
    <row r="337" spans="1:260" s="95" customFormat="1">
      <c r="A337" s="93"/>
      <c r="B337" s="183"/>
      <c r="C337" s="183"/>
      <c r="D337" s="183"/>
      <c r="E337" s="158"/>
      <c r="F337" s="158"/>
      <c r="G337" s="158"/>
      <c r="H337" s="158"/>
      <c r="I337" s="158"/>
      <c r="J337" s="158"/>
      <c r="K337" s="158"/>
      <c r="L337" s="158"/>
      <c r="M337" s="158"/>
      <c r="N337" s="158"/>
      <c r="O337" s="158"/>
      <c r="P337" s="228"/>
      <c r="Q337" s="158"/>
      <c r="R337" s="158"/>
      <c r="S337" s="207"/>
      <c r="T337" s="207"/>
      <c r="U337" s="207"/>
      <c r="V337" s="207"/>
      <c r="W337" s="207"/>
      <c r="X337" s="207"/>
      <c r="Y337" s="207"/>
      <c r="Z337" s="207"/>
      <c r="AA337" s="207"/>
      <c r="AB337" s="207"/>
      <c r="AC337" s="207"/>
      <c r="AD337" s="207"/>
      <c r="AE337" s="207"/>
      <c r="AF337" s="207"/>
      <c r="AG337" s="207"/>
      <c r="AH337" s="207"/>
      <c r="AI337" s="207"/>
      <c r="AJ337" s="207"/>
      <c r="AK337" s="207"/>
      <c r="AL337" s="207"/>
      <c r="AM337" s="94"/>
      <c r="AN337" s="94"/>
      <c r="AO337" s="94"/>
      <c r="AP337" s="94"/>
      <c r="AQ337" s="94"/>
      <c r="AR337" s="94"/>
      <c r="AS337" s="94"/>
      <c r="AT337" s="94"/>
      <c r="AU337" s="94"/>
      <c r="AV337" s="94"/>
      <c r="AW337" s="94"/>
      <c r="AX337" s="94"/>
      <c r="AY337" s="94"/>
      <c r="AZ337" s="93"/>
      <c r="BA337" s="93"/>
      <c r="BB337" s="93"/>
      <c r="BC337" s="93"/>
      <c r="BD337" s="93"/>
      <c r="BE337" s="93"/>
      <c r="BF337" s="93"/>
      <c r="BG337" s="93"/>
      <c r="BH337" s="93"/>
      <c r="BI337" s="93"/>
      <c r="BJ337" s="93"/>
      <c r="BK337" s="93"/>
      <c r="BL337" s="93"/>
      <c r="BM337" s="93"/>
      <c r="BN337" s="93"/>
      <c r="BO337" s="93"/>
      <c r="BP337" s="93"/>
      <c r="BQ337" s="93"/>
      <c r="BR337" s="93"/>
      <c r="BS337" s="93"/>
      <c r="BT337" s="93"/>
      <c r="BU337" s="93"/>
      <c r="BV337" s="93"/>
      <c r="BW337" s="93"/>
      <c r="BX337" s="93"/>
      <c r="BY337" s="93"/>
      <c r="BZ337" s="93"/>
      <c r="CA337" s="93"/>
      <c r="CB337" s="93"/>
      <c r="CC337" s="93"/>
      <c r="CD337" s="93"/>
      <c r="CE337" s="93"/>
      <c r="CF337" s="93"/>
      <c r="CG337" s="93"/>
      <c r="CH337" s="93"/>
      <c r="CI337" s="93"/>
      <c r="CJ337" s="93"/>
      <c r="CK337" s="93"/>
      <c r="CL337" s="93"/>
      <c r="CM337" s="93"/>
      <c r="CN337" s="93"/>
      <c r="CO337" s="93"/>
      <c r="CP337" s="93"/>
      <c r="CQ337" s="93"/>
      <c r="CR337" s="93"/>
      <c r="CS337" s="93"/>
      <c r="CT337" s="93"/>
      <c r="CU337" s="93"/>
      <c r="CV337" s="93"/>
      <c r="CW337" s="93"/>
      <c r="CX337" s="93"/>
      <c r="CY337" s="93"/>
      <c r="CZ337" s="93"/>
      <c r="DA337" s="93"/>
      <c r="DB337" s="93"/>
      <c r="DC337" s="93"/>
      <c r="DD337" s="93"/>
      <c r="DE337" s="93"/>
      <c r="DF337" s="93"/>
      <c r="DG337" s="93"/>
      <c r="DH337" s="93"/>
      <c r="DI337" s="93"/>
      <c r="DJ337" s="93"/>
      <c r="DK337" s="93"/>
      <c r="DL337" s="93"/>
      <c r="DM337" s="93"/>
      <c r="DN337" s="93"/>
      <c r="DO337" s="93"/>
      <c r="DP337" s="93"/>
      <c r="DQ337" s="93"/>
      <c r="DR337" s="93"/>
      <c r="DS337" s="93"/>
      <c r="DT337" s="93"/>
      <c r="DU337" s="93"/>
      <c r="DV337" s="93"/>
      <c r="DW337" s="93"/>
      <c r="DX337" s="93"/>
      <c r="DY337" s="93"/>
      <c r="DZ337" s="93"/>
      <c r="EA337" s="93"/>
      <c r="EB337" s="93"/>
      <c r="EC337" s="93"/>
      <c r="ED337" s="93"/>
      <c r="EE337" s="93"/>
      <c r="EF337" s="93"/>
      <c r="EG337" s="93"/>
      <c r="EH337" s="93"/>
      <c r="EI337" s="93"/>
      <c r="EJ337" s="93"/>
      <c r="EK337" s="93"/>
      <c r="EL337" s="93"/>
      <c r="EM337" s="93"/>
      <c r="EN337" s="93"/>
      <c r="EO337" s="93"/>
      <c r="EP337" s="93"/>
      <c r="EQ337" s="93"/>
      <c r="ER337" s="93"/>
      <c r="ES337" s="93"/>
      <c r="ET337" s="93"/>
      <c r="EU337" s="93"/>
      <c r="EV337" s="93"/>
      <c r="EW337" s="93"/>
      <c r="EX337" s="93"/>
      <c r="EY337" s="93"/>
      <c r="EZ337" s="93"/>
      <c r="FA337" s="93"/>
      <c r="FB337" s="93"/>
      <c r="FC337" s="93"/>
      <c r="FD337" s="93"/>
      <c r="FE337" s="93"/>
      <c r="FF337" s="93"/>
      <c r="FG337" s="93"/>
      <c r="FH337" s="93"/>
      <c r="FI337" s="93"/>
      <c r="FJ337" s="93"/>
      <c r="FK337" s="93"/>
      <c r="FL337" s="93"/>
      <c r="FM337" s="93"/>
      <c r="FN337" s="93"/>
      <c r="FO337" s="93"/>
      <c r="FP337" s="93"/>
      <c r="FQ337" s="93"/>
      <c r="FR337" s="93"/>
      <c r="FS337" s="93"/>
      <c r="FT337" s="93"/>
      <c r="FU337" s="93"/>
      <c r="FV337" s="93"/>
      <c r="FW337" s="93"/>
      <c r="FX337" s="93"/>
      <c r="FY337" s="93"/>
      <c r="FZ337" s="93"/>
      <c r="GA337" s="93"/>
      <c r="GB337" s="93"/>
      <c r="GC337" s="93"/>
      <c r="GD337" s="93"/>
      <c r="GE337" s="93"/>
      <c r="GF337" s="93"/>
      <c r="GG337" s="93"/>
      <c r="GH337" s="93"/>
      <c r="GI337" s="93"/>
      <c r="GJ337" s="93"/>
      <c r="GK337" s="93"/>
      <c r="GL337" s="93"/>
      <c r="GM337" s="93"/>
      <c r="GN337" s="93"/>
      <c r="GO337" s="93"/>
      <c r="GP337" s="93"/>
      <c r="GQ337" s="93"/>
      <c r="GR337" s="93"/>
      <c r="GS337" s="93"/>
      <c r="GT337" s="93"/>
      <c r="GU337" s="93"/>
      <c r="GV337" s="93"/>
      <c r="GW337" s="93"/>
      <c r="GX337" s="93"/>
      <c r="GY337" s="93"/>
      <c r="GZ337" s="93"/>
      <c r="HA337" s="93"/>
      <c r="HB337" s="93"/>
      <c r="HC337" s="93"/>
      <c r="HD337" s="93"/>
      <c r="HE337" s="93"/>
      <c r="HF337" s="93"/>
      <c r="HG337" s="93"/>
      <c r="HH337" s="93"/>
      <c r="HI337" s="93"/>
      <c r="HJ337" s="93"/>
      <c r="HK337" s="93"/>
      <c r="HL337" s="93"/>
      <c r="HM337" s="93"/>
      <c r="HN337" s="93"/>
      <c r="HO337" s="93"/>
      <c r="HP337" s="93"/>
      <c r="HQ337" s="93"/>
      <c r="HR337" s="93"/>
      <c r="HS337" s="93"/>
      <c r="HT337" s="93"/>
      <c r="HU337" s="93"/>
      <c r="HV337" s="93"/>
      <c r="HW337" s="93"/>
      <c r="HX337" s="93"/>
      <c r="HY337" s="93"/>
      <c r="HZ337" s="93"/>
      <c r="IA337" s="93"/>
      <c r="IB337" s="93"/>
      <c r="IC337" s="93"/>
      <c r="ID337" s="93"/>
      <c r="IE337" s="93"/>
      <c r="IF337" s="93"/>
      <c r="IG337" s="93"/>
      <c r="IH337" s="93"/>
      <c r="II337" s="93"/>
      <c r="IJ337" s="93"/>
      <c r="IK337" s="93"/>
      <c r="IL337" s="93"/>
      <c r="IM337" s="93"/>
      <c r="IN337" s="93"/>
      <c r="IO337" s="93"/>
      <c r="IP337" s="93"/>
      <c r="IQ337" s="93"/>
      <c r="IR337" s="93"/>
      <c r="IS337" s="93"/>
      <c r="IT337" s="93"/>
      <c r="IU337" s="93"/>
      <c r="IV337" s="93"/>
      <c r="IW337" s="93"/>
      <c r="IX337" s="93"/>
      <c r="IY337" s="93"/>
      <c r="IZ337" s="93"/>
    </row>
    <row r="338" spans="1:260" s="95" customFormat="1">
      <c r="A338" s="93"/>
      <c r="B338" s="183"/>
      <c r="C338" s="183"/>
      <c r="D338" s="183"/>
      <c r="E338" s="158"/>
      <c r="F338" s="158"/>
      <c r="G338" s="158"/>
      <c r="H338" s="158"/>
      <c r="I338" s="158"/>
      <c r="J338" s="158"/>
      <c r="K338" s="158"/>
      <c r="L338" s="158"/>
      <c r="M338" s="158"/>
      <c r="N338" s="158"/>
      <c r="O338" s="158"/>
      <c r="P338" s="228"/>
      <c r="Q338" s="158"/>
      <c r="R338" s="158"/>
      <c r="S338" s="207"/>
      <c r="T338" s="207"/>
      <c r="U338" s="207"/>
      <c r="V338" s="207"/>
      <c r="W338" s="207"/>
      <c r="X338" s="207"/>
      <c r="Y338" s="207"/>
      <c r="Z338" s="207"/>
      <c r="AA338" s="207"/>
      <c r="AB338" s="207"/>
      <c r="AC338" s="207"/>
      <c r="AD338" s="207"/>
      <c r="AE338" s="207"/>
      <c r="AF338" s="207"/>
      <c r="AG338" s="207"/>
      <c r="AH338" s="207"/>
      <c r="AI338" s="207"/>
      <c r="AJ338" s="207"/>
      <c r="AK338" s="207"/>
      <c r="AL338" s="207"/>
      <c r="AM338" s="94"/>
      <c r="AN338" s="94"/>
      <c r="AO338" s="94"/>
      <c r="AP338" s="94"/>
      <c r="AQ338" s="94"/>
      <c r="AR338" s="94"/>
      <c r="AS338" s="94"/>
      <c r="AT338" s="94"/>
      <c r="AU338" s="94"/>
      <c r="AV338" s="94"/>
      <c r="AW338" s="94"/>
      <c r="AX338" s="94"/>
      <c r="AY338" s="94"/>
      <c r="AZ338" s="93"/>
      <c r="BA338" s="93"/>
      <c r="BB338" s="93"/>
      <c r="BC338" s="93"/>
      <c r="BD338" s="93"/>
      <c r="BE338" s="93"/>
      <c r="BF338" s="93"/>
      <c r="BG338" s="93"/>
      <c r="BH338" s="93"/>
      <c r="BI338" s="93"/>
      <c r="BJ338" s="93"/>
      <c r="BK338" s="93"/>
      <c r="BL338" s="93"/>
      <c r="BM338" s="93"/>
      <c r="BN338" s="93"/>
      <c r="BO338" s="93"/>
      <c r="BP338" s="93"/>
      <c r="BQ338" s="93"/>
      <c r="BR338" s="93"/>
      <c r="BS338" s="93"/>
      <c r="BT338" s="93"/>
      <c r="BU338" s="93"/>
      <c r="BV338" s="93"/>
      <c r="BW338" s="93"/>
      <c r="BX338" s="93"/>
      <c r="BY338" s="93"/>
      <c r="BZ338" s="93"/>
      <c r="CA338" s="93"/>
      <c r="CB338" s="93"/>
      <c r="CC338" s="93"/>
      <c r="CD338" s="93"/>
      <c r="CE338" s="93"/>
      <c r="CF338" s="93"/>
      <c r="CG338" s="93"/>
      <c r="CH338" s="93"/>
      <c r="CI338" s="93"/>
      <c r="CJ338" s="93"/>
      <c r="CK338" s="93"/>
      <c r="CL338" s="93"/>
      <c r="CM338" s="93"/>
      <c r="CN338" s="93"/>
      <c r="CO338" s="93"/>
      <c r="CP338" s="93"/>
      <c r="CQ338" s="93"/>
      <c r="CR338" s="93"/>
      <c r="CS338" s="93"/>
      <c r="CT338" s="93"/>
      <c r="CU338" s="93"/>
      <c r="CV338" s="93"/>
      <c r="CW338" s="93"/>
      <c r="CX338" s="93"/>
      <c r="CY338" s="93"/>
      <c r="CZ338" s="93"/>
      <c r="DA338" s="93"/>
      <c r="DB338" s="93"/>
      <c r="DC338" s="93"/>
      <c r="DD338" s="93"/>
      <c r="DE338" s="93"/>
      <c r="DF338" s="93"/>
      <c r="DG338" s="93"/>
      <c r="DH338" s="93"/>
      <c r="DI338" s="93"/>
      <c r="DJ338" s="93"/>
      <c r="DK338" s="93"/>
      <c r="DL338" s="93"/>
      <c r="DM338" s="93"/>
      <c r="DN338" s="93"/>
      <c r="DO338" s="93"/>
      <c r="DP338" s="93"/>
      <c r="DQ338" s="93"/>
      <c r="DR338" s="93"/>
      <c r="DS338" s="93"/>
      <c r="DT338" s="93"/>
      <c r="DU338" s="93"/>
      <c r="DV338" s="93"/>
      <c r="DW338" s="93"/>
      <c r="DX338" s="93"/>
      <c r="DY338" s="93"/>
      <c r="DZ338" s="93"/>
      <c r="EA338" s="93"/>
      <c r="EB338" s="93"/>
      <c r="EC338" s="93"/>
      <c r="ED338" s="93"/>
      <c r="EE338" s="93"/>
      <c r="EF338" s="93"/>
      <c r="EG338" s="93"/>
      <c r="EH338" s="93"/>
      <c r="EI338" s="93"/>
      <c r="EJ338" s="93"/>
      <c r="EK338" s="93"/>
      <c r="EL338" s="93"/>
      <c r="EM338" s="93"/>
      <c r="EN338" s="93"/>
      <c r="EO338" s="93"/>
      <c r="EP338" s="93"/>
      <c r="EQ338" s="93"/>
      <c r="ER338" s="93"/>
      <c r="ES338" s="93"/>
      <c r="ET338" s="93"/>
      <c r="EU338" s="93"/>
      <c r="EV338" s="93"/>
      <c r="EW338" s="93"/>
      <c r="EX338" s="93"/>
      <c r="EY338" s="93"/>
      <c r="EZ338" s="93"/>
      <c r="FA338" s="93"/>
      <c r="FB338" s="93"/>
      <c r="FC338" s="93"/>
      <c r="FD338" s="93"/>
      <c r="FE338" s="93"/>
      <c r="FF338" s="93"/>
      <c r="FG338" s="93"/>
      <c r="FH338" s="93"/>
      <c r="FI338" s="93"/>
      <c r="FJ338" s="93"/>
      <c r="FK338" s="93"/>
      <c r="FL338" s="93"/>
      <c r="FM338" s="93"/>
      <c r="FN338" s="93"/>
      <c r="FO338" s="93"/>
      <c r="FP338" s="93"/>
      <c r="FQ338" s="93"/>
      <c r="FR338" s="93"/>
      <c r="FS338" s="93"/>
      <c r="FT338" s="93"/>
      <c r="FU338" s="93"/>
      <c r="FV338" s="93"/>
      <c r="FW338" s="93"/>
      <c r="FX338" s="93"/>
      <c r="FY338" s="93"/>
      <c r="FZ338" s="93"/>
      <c r="GA338" s="93"/>
      <c r="GB338" s="93"/>
      <c r="GC338" s="93"/>
      <c r="GD338" s="93"/>
      <c r="GE338" s="93"/>
      <c r="GF338" s="93"/>
      <c r="GG338" s="93"/>
      <c r="GH338" s="93"/>
      <c r="GI338" s="93"/>
      <c r="GJ338" s="93"/>
      <c r="GK338" s="93"/>
      <c r="GL338" s="93"/>
      <c r="GM338" s="93"/>
      <c r="GN338" s="93"/>
      <c r="GO338" s="93"/>
      <c r="GP338" s="93"/>
      <c r="GQ338" s="93"/>
      <c r="GR338" s="93"/>
      <c r="GS338" s="93"/>
      <c r="GT338" s="93"/>
      <c r="GU338" s="93"/>
      <c r="GV338" s="93"/>
      <c r="GW338" s="93"/>
      <c r="GX338" s="93"/>
      <c r="GY338" s="93"/>
      <c r="GZ338" s="93"/>
      <c r="HA338" s="93"/>
      <c r="HB338" s="93"/>
      <c r="HC338" s="93"/>
      <c r="HD338" s="93"/>
      <c r="HE338" s="93"/>
      <c r="HF338" s="93"/>
      <c r="HG338" s="93"/>
      <c r="HH338" s="93"/>
      <c r="HI338" s="93"/>
      <c r="HJ338" s="93"/>
      <c r="HK338" s="93"/>
      <c r="HL338" s="93"/>
      <c r="HM338" s="93"/>
      <c r="HN338" s="93"/>
      <c r="HO338" s="93"/>
      <c r="HP338" s="93"/>
      <c r="HQ338" s="93"/>
      <c r="HR338" s="93"/>
      <c r="HS338" s="93"/>
      <c r="HT338" s="93"/>
      <c r="HU338" s="93"/>
      <c r="HV338" s="93"/>
      <c r="HW338" s="93"/>
      <c r="HX338" s="93"/>
      <c r="HY338" s="93"/>
      <c r="HZ338" s="93"/>
      <c r="IA338" s="93"/>
      <c r="IB338" s="93"/>
      <c r="IC338" s="93"/>
      <c r="ID338" s="93"/>
      <c r="IE338" s="93"/>
      <c r="IF338" s="93"/>
      <c r="IG338" s="93"/>
      <c r="IH338" s="93"/>
      <c r="II338" s="93"/>
      <c r="IJ338" s="93"/>
      <c r="IK338" s="93"/>
      <c r="IL338" s="93"/>
      <c r="IM338" s="93"/>
      <c r="IN338" s="93"/>
      <c r="IO338" s="93"/>
      <c r="IP338" s="93"/>
      <c r="IQ338" s="93"/>
      <c r="IR338" s="93"/>
      <c r="IS338" s="93"/>
      <c r="IT338" s="93"/>
      <c r="IU338" s="93"/>
      <c r="IV338" s="93"/>
      <c r="IW338" s="93"/>
      <c r="IX338" s="93"/>
      <c r="IY338" s="93"/>
      <c r="IZ338" s="93"/>
    </row>
    <row r="339" spans="1:260" s="95" customFormat="1">
      <c r="A339" s="93"/>
      <c r="B339" s="183"/>
      <c r="C339" s="183"/>
      <c r="D339" s="183"/>
      <c r="E339" s="158"/>
      <c r="F339" s="158"/>
      <c r="G339" s="158"/>
      <c r="H339" s="158"/>
      <c r="I339" s="158"/>
      <c r="J339" s="158"/>
      <c r="K339" s="158"/>
      <c r="L339" s="158"/>
      <c r="M339" s="158"/>
      <c r="N339" s="158"/>
      <c r="O339" s="158"/>
      <c r="P339" s="228"/>
      <c r="Q339" s="158"/>
      <c r="R339" s="158"/>
      <c r="S339" s="207"/>
      <c r="T339" s="207"/>
      <c r="U339" s="207"/>
      <c r="V339" s="207"/>
      <c r="W339" s="207"/>
      <c r="X339" s="207"/>
      <c r="Y339" s="207"/>
      <c r="Z339" s="207"/>
      <c r="AA339" s="207"/>
      <c r="AB339" s="207"/>
      <c r="AC339" s="207"/>
      <c r="AD339" s="207"/>
      <c r="AE339" s="207"/>
      <c r="AF339" s="207"/>
      <c r="AG339" s="207"/>
      <c r="AH339" s="207"/>
      <c r="AI339" s="207"/>
      <c r="AJ339" s="207"/>
      <c r="AK339" s="207"/>
      <c r="AL339" s="207"/>
      <c r="AM339" s="94"/>
      <c r="AN339" s="94"/>
      <c r="AO339" s="94"/>
      <c r="AP339" s="94"/>
      <c r="AQ339" s="94"/>
      <c r="AR339" s="94"/>
      <c r="AS339" s="94"/>
      <c r="AT339" s="94"/>
      <c r="AU339" s="94"/>
      <c r="AV339" s="94"/>
      <c r="AW339" s="94"/>
      <c r="AX339" s="94"/>
      <c r="AY339" s="94"/>
      <c r="AZ339" s="93"/>
      <c r="BA339" s="93"/>
      <c r="BB339" s="93"/>
      <c r="BC339" s="93"/>
      <c r="BD339" s="93"/>
      <c r="BE339" s="93"/>
      <c r="BF339" s="93"/>
      <c r="BG339" s="93"/>
      <c r="BH339" s="93"/>
      <c r="BI339" s="93"/>
      <c r="BJ339" s="93"/>
      <c r="BK339" s="93"/>
      <c r="BL339" s="93"/>
      <c r="BM339" s="93"/>
      <c r="BN339" s="93"/>
      <c r="BO339" s="93"/>
      <c r="BP339" s="93"/>
      <c r="BQ339" s="93"/>
      <c r="BR339" s="93"/>
      <c r="BS339" s="93"/>
      <c r="BT339" s="93"/>
      <c r="BU339" s="93"/>
      <c r="BV339" s="93"/>
      <c r="BW339" s="93"/>
      <c r="BX339" s="93"/>
      <c r="BY339" s="93"/>
      <c r="BZ339" s="93"/>
      <c r="CA339" s="93"/>
      <c r="CB339" s="93"/>
      <c r="CC339" s="93"/>
      <c r="CD339" s="93"/>
      <c r="CE339" s="93"/>
      <c r="CF339" s="93"/>
      <c r="CG339" s="93"/>
      <c r="CH339" s="93"/>
      <c r="CI339" s="93"/>
      <c r="CJ339" s="93"/>
      <c r="CK339" s="93"/>
      <c r="CL339" s="93"/>
      <c r="CM339" s="93"/>
      <c r="CN339" s="93"/>
      <c r="CO339" s="93"/>
      <c r="CP339" s="93"/>
      <c r="CQ339" s="93"/>
      <c r="CR339" s="93"/>
      <c r="CS339" s="93"/>
      <c r="CT339" s="93"/>
      <c r="CU339" s="93"/>
      <c r="CV339" s="93"/>
      <c r="CW339" s="93"/>
      <c r="CX339" s="93"/>
      <c r="CY339" s="93"/>
      <c r="CZ339" s="93"/>
      <c r="DA339" s="93"/>
      <c r="DB339" s="93"/>
      <c r="DC339" s="93"/>
      <c r="DD339" s="93"/>
      <c r="DE339" s="93"/>
      <c r="DF339" s="93"/>
      <c r="DG339" s="93"/>
      <c r="DH339" s="93"/>
      <c r="DI339" s="93"/>
      <c r="DJ339" s="93"/>
      <c r="DK339" s="93"/>
      <c r="DL339" s="93"/>
      <c r="DM339" s="93"/>
      <c r="DN339" s="93"/>
      <c r="DO339" s="93"/>
      <c r="DP339" s="93"/>
      <c r="DQ339" s="93"/>
      <c r="DR339" s="93"/>
      <c r="DS339" s="93"/>
      <c r="DT339" s="93"/>
      <c r="DU339" s="93"/>
      <c r="DV339" s="93"/>
      <c r="DW339" s="93"/>
      <c r="DX339" s="93"/>
      <c r="DY339" s="93"/>
      <c r="DZ339" s="93"/>
      <c r="EA339" s="93"/>
      <c r="EB339" s="93"/>
      <c r="EC339" s="93"/>
      <c r="ED339" s="93"/>
      <c r="EE339" s="93"/>
      <c r="EF339" s="93"/>
      <c r="EG339" s="93"/>
      <c r="EH339" s="93"/>
      <c r="EI339" s="93"/>
      <c r="EJ339" s="93"/>
      <c r="EK339" s="93"/>
      <c r="EL339" s="93"/>
      <c r="EM339" s="93"/>
      <c r="EN339" s="93"/>
      <c r="EO339" s="93"/>
      <c r="EP339" s="93"/>
      <c r="EQ339" s="93"/>
      <c r="ER339" s="93"/>
      <c r="ES339" s="93"/>
      <c r="ET339" s="93"/>
      <c r="EU339" s="93"/>
      <c r="EV339" s="93"/>
      <c r="EW339" s="93"/>
      <c r="EX339" s="93"/>
      <c r="EY339" s="93"/>
      <c r="EZ339" s="93"/>
      <c r="FA339" s="93"/>
      <c r="FB339" s="93"/>
      <c r="FC339" s="93"/>
      <c r="FD339" s="93"/>
      <c r="FE339" s="93"/>
      <c r="FF339" s="93"/>
      <c r="FG339" s="93"/>
      <c r="FH339" s="93"/>
      <c r="FI339" s="93"/>
      <c r="FJ339" s="93"/>
      <c r="FK339" s="93"/>
      <c r="FL339" s="93"/>
      <c r="FM339" s="93"/>
      <c r="FN339" s="93"/>
      <c r="FO339" s="93"/>
      <c r="FP339" s="93"/>
      <c r="FQ339" s="93"/>
      <c r="FR339" s="93"/>
      <c r="FS339" s="93"/>
      <c r="FT339" s="93"/>
      <c r="FU339" s="93"/>
      <c r="FV339" s="93"/>
      <c r="FW339" s="93"/>
      <c r="FX339" s="93"/>
      <c r="FY339" s="93"/>
      <c r="FZ339" s="93"/>
      <c r="GA339" s="93"/>
      <c r="GB339" s="93"/>
      <c r="GC339" s="93"/>
      <c r="GD339" s="93"/>
      <c r="GE339" s="93"/>
      <c r="GF339" s="93"/>
      <c r="GG339" s="93"/>
      <c r="GH339" s="93"/>
      <c r="GI339" s="93"/>
      <c r="GJ339" s="93"/>
      <c r="GK339" s="93"/>
      <c r="GL339" s="93"/>
      <c r="GM339" s="93"/>
      <c r="GN339" s="93"/>
      <c r="GO339" s="93"/>
      <c r="GP339" s="93"/>
      <c r="GQ339" s="93"/>
      <c r="GR339" s="93"/>
      <c r="GS339" s="93"/>
      <c r="GT339" s="93"/>
      <c r="GU339" s="93"/>
      <c r="GV339" s="93"/>
      <c r="GW339" s="93"/>
      <c r="GX339" s="93"/>
      <c r="GY339" s="93"/>
      <c r="GZ339" s="93"/>
      <c r="HA339" s="93"/>
      <c r="HB339" s="93"/>
      <c r="HC339" s="93"/>
      <c r="HD339" s="93"/>
      <c r="HE339" s="93"/>
      <c r="HF339" s="93"/>
      <c r="HG339" s="93"/>
      <c r="HH339" s="93"/>
      <c r="HI339" s="93"/>
      <c r="HJ339" s="93"/>
      <c r="HK339" s="93"/>
      <c r="HL339" s="93"/>
      <c r="HM339" s="93"/>
      <c r="HN339" s="93"/>
      <c r="HO339" s="93"/>
      <c r="HP339" s="93"/>
      <c r="HQ339" s="93"/>
      <c r="HR339" s="93"/>
      <c r="HS339" s="93"/>
      <c r="HT339" s="93"/>
      <c r="HU339" s="93"/>
      <c r="HV339" s="93"/>
      <c r="HW339" s="93"/>
      <c r="HX339" s="93"/>
      <c r="HY339" s="93"/>
      <c r="HZ339" s="93"/>
      <c r="IA339" s="93"/>
      <c r="IB339" s="93"/>
      <c r="IC339" s="93"/>
      <c r="ID339" s="93"/>
      <c r="IE339" s="93"/>
      <c r="IF339" s="93"/>
      <c r="IG339" s="93"/>
      <c r="IH339" s="93"/>
      <c r="II339" s="93"/>
      <c r="IJ339" s="93"/>
      <c r="IK339" s="93"/>
      <c r="IL339" s="93"/>
      <c r="IM339" s="93"/>
      <c r="IN339" s="93"/>
      <c r="IO339" s="93"/>
      <c r="IP339" s="93"/>
      <c r="IQ339" s="93"/>
      <c r="IR339" s="93"/>
      <c r="IS339" s="93"/>
      <c r="IT339" s="93"/>
      <c r="IU339" s="93"/>
      <c r="IV339" s="93"/>
      <c r="IW339" s="93"/>
      <c r="IX339" s="93"/>
      <c r="IY339" s="93"/>
      <c r="IZ339" s="93"/>
    </row>
    <row r="340" spans="1:260" s="95" customFormat="1">
      <c r="A340" s="93"/>
      <c r="B340" s="183"/>
      <c r="C340" s="183"/>
      <c r="D340" s="183"/>
      <c r="E340" s="158"/>
      <c r="F340" s="158"/>
      <c r="G340" s="158"/>
      <c r="H340" s="158"/>
      <c r="I340" s="158"/>
      <c r="J340" s="158"/>
      <c r="K340" s="158"/>
      <c r="L340" s="158"/>
      <c r="M340" s="158"/>
      <c r="N340" s="158"/>
      <c r="O340" s="158"/>
      <c r="P340" s="228"/>
      <c r="Q340" s="158"/>
      <c r="R340" s="158"/>
      <c r="S340" s="207"/>
      <c r="T340" s="207"/>
      <c r="U340" s="207"/>
      <c r="V340" s="207"/>
      <c r="W340" s="207"/>
      <c r="X340" s="207"/>
      <c r="Y340" s="207"/>
      <c r="Z340" s="207"/>
      <c r="AA340" s="207"/>
      <c r="AB340" s="207"/>
      <c r="AC340" s="207"/>
      <c r="AD340" s="207"/>
      <c r="AE340" s="207"/>
      <c r="AF340" s="207"/>
      <c r="AG340" s="207"/>
      <c r="AH340" s="207"/>
      <c r="AI340" s="207"/>
      <c r="AJ340" s="207"/>
      <c r="AK340" s="207"/>
      <c r="AL340" s="207"/>
      <c r="AM340" s="94"/>
      <c r="AN340" s="94"/>
      <c r="AO340" s="94"/>
      <c r="AP340" s="94"/>
      <c r="AQ340" s="94"/>
      <c r="AR340" s="94"/>
      <c r="AS340" s="94"/>
      <c r="AT340" s="94"/>
      <c r="AU340" s="94"/>
      <c r="AV340" s="94"/>
      <c r="AW340" s="94"/>
      <c r="AX340" s="94"/>
      <c r="AY340" s="94"/>
      <c r="AZ340" s="93"/>
      <c r="BA340" s="93"/>
      <c r="BB340" s="93"/>
      <c r="BC340" s="93"/>
      <c r="BD340" s="93"/>
      <c r="BE340" s="93"/>
      <c r="BF340" s="93"/>
      <c r="BG340" s="93"/>
      <c r="BH340" s="93"/>
      <c r="BI340" s="93"/>
      <c r="BJ340" s="93"/>
      <c r="BK340" s="93"/>
      <c r="BL340" s="93"/>
      <c r="BM340" s="93"/>
      <c r="BN340" s="93"/>
      <c r="BO340" s="93"/>
      <c r="BP340" s="93"/>
      <c r="BQ340" s="93"/>
      <c r="BR340" s="93"/>
      <c r="BS340" s="93"/>
      <c r="BT340" s="93"/>
      <c r="BU340" s="93"/>
      <c r="BV340" s="93"/>
      <c r="BW340" s="93"/>
      <c r="BX340" s="93"/>
      <c r="BY340" s="93"/>
      <c r="BZ340" s="93"/>
      <c r="CA340" s="93"/>
      <c r="CB340" s="93"/>
      <c r="CC340" s="93"/>
      <c r="CD340" s="93"/>
      <c r="CE340" s="93"/>
      <c r="CF340" s="93"/>
      <c r="CG340" s="93"/>
      <c r="CH340" s="93"/>
      <c r="CI340" s="93"/>
      <c r="CJ340" s="93"/>
      <c r="CK340" s="93"/>
      <c r="CL340" s="93"/>
      <c r="CM340" s="93"/>
      <c r="CN340" s="93"/>
      <c r="CO340" s="93"/>
      <c r="CP340" s="93"/>
      <c r="CQ340" s="93"/>
      <c r="CR340" s="93"/>
      <c r="CS340" s="93"/>
      <c r="CT340" s="93"/>
      <c r="CU340" s="93"/>
      <c r="CV340" s="93"/>
      <c r="CW340" s="93"/>
      <c r="CX340" s="93"/>
      <c r="CY340" s="93"/>
      <c r="CZ340" s="93"/>
      <c r="DA340" s="93"/>
      <c r="DB340" s="93"/>
      <c r="DC340" s="93"/>
      <c r="DD340" s="93"/>
      <c r="DE340" s="93"/>
      <c r="DF340" s="93"/>
      <c r="DG340" s="93"/>
      <c r="DH340" s="93"/>
      <c r="DI340" s="93"/>
      <c r="DJ340" s="93"/>
      <c r="DK340" s="93"/>
      <c r="DL340" s="93"/>
      <c r="DM340" s="93"/>
      <c r="DN340" s="93"/>
      <c r="DO340" s="93"/>
      <c r="DP340" s="93"/>
      <c r="DQ340" s="93"/>
      <c r="DR340" s="93"/>
      <c r="DS340" s="93"/>
      <c r="DT340" s="93"/>
      <c r="DU340" s="93"/>
      <c r="DV340" s="93"/>
      <c r="DW340" s="93"/>
      <c r="DX340" s="93"/>
      <c r="DY340" s="93"/>
      <c r="DZ340" s="93"/>
      <c r="EA340" s="93"/>
      <c r="EB340" s="93"/>
      <c r="EC340" s="93"/>
      <c r="ED340" s="93"/>
      <c r="EE340" s="93"/>
      <c r="EF340" s="93"/>
      <c r="EG340" s="93"/>
      <c r="EH340" s="93"/>
      <c r="EI340" s="93"/>
      <c r="EJ340" s="93"/>
      <c r="EK340" s="93"/>
      <c r="EL340" s="93"/>
      <c r="EM340" s="93"/>
      <c r="EN340" s="93"/>
      <c r="EO340" s="93"/>
      <c r="EP340" s="93"/>
      <c r="EQ340" s="93"/>
      <c r="ER340" s="93"/>
      <c r="ES340" s="93"/>
      <c r="ET340" s="93"/>
      <c r="EU340" s="93"/>
      <c r="EV340" s="93"/>
      <c r="EW340" s="93"/>
      <c r="EX340" s="93"/>
      <c r="EY340" s="93"/>
      <c r="EZ340" s="93"/>
      <c r="FA340" s="93"/>
      <c r="FB340" s="93"/>
      <c r="FC340" s="93"/>
      <c r="FD340" s="93"/>
      <c r="FE340" s="93"/>
      <c r="FF340" s="93"/>
      <c r="FG340" s="93"/>
      <c r="FH340" s="93"/>
      <c r="FI340" s="93"/>
      <c r="FJ340" s="93"/>
      <c r="FK340" s="93"/>
      <c r="FL340" s="93"/>
      <c r="FM340" s="93"/>
      <c r="FN340" s="93"/>
      <c r="FO340" s="93"/>
      <c r="FP340" s="93"/>
      <c r="FQ340" s="93"/>
      <c r="FR340" s="93"/>
      <c r="FS340" s="93"/>
      <c r="FT340" s="93"/>
      <c r="FU340" s="93"/>
      <c r="FV340" s="93"/>
      <c r="FW340" s="93"/>
      <c r="FX340" s="93"/>
      <c r="FY340" s="93"/>
      <c r="FZ340" s="93"/>
      <c r="GA340" s="93"/>
      <c r="GB340" s="93"/>
      <c r="GC340" s="93"/>
      <c r="GD340" s="93"/>
      <c r="GE340" s="93"/>
      <c r="GF340" s="93"/>
      <c r="GG340" s="93"/>
      <c r="GH340" s="93"/>
      <c r="GI340" s="93"/>
      <c r="GJ340" s="93"/>
      <c r="GK340" s="93"/>
      <c r="GL340" s="93"/>
      <c r="GM340" s="93"/>
      <c r="GN340" s="93"/>
      <c r="GO340" s="93"/>
      <c r="GP340" s="93"/>
      <c r="GQ340" s="93"/>
      <c r="GR340" s="93"/>
      <c r="GS340" s="93"/>
      <c r="GT340" s="93"/>
      <c r="GU340" s="93"/>
      <c r="GV340" s="93"/>
      <c r="GW340" s="93"/>
      <c r="GX340" s="93"/>
      <c r="GY340" s="93"/>
      <c r="GZ340" s="93"/>
      <c r="HA340" s="93"/>
      <c r="HB340" s="93"/>
      <c r="HC340" s="93"/>
      <c r="HD340" s="93"/>
      <c r="HE340" s="93"/>
      <c r="HF340" s="93"/>
      <c r="HG340" s="93"/>
      <c r="HH340" s="93"/>
      <c r="HI340" s="93"/>
      <c r="HJ340" s="93"/>
      <c r="HK340" s="93"/>
      <c r="HL340" s="93"/>
      <c r="HM340" s="93"/>
      <c r="HN340" s="93"/>
      <c r="HO340" s="93"/>
      <c r="HP340" s="93"/>
      <c r="HQ340" s="93"/>
      <c r="HR340" s="93"/>
      <c r="HS340" s="93"/>
      <c r="HT340" s="93"/>
      <c r="HU340" s="93"/>
      <c r="HV340" s="93"/>
      <c r="HW340" s="93"/>
      <c r="HX340" s="93"/>
      <c r="HY340" s="93"/>
      <c r="HZ340" s="93"/>
      <c r="IA340" s="93"/>
      <c r="IB340" s="93"/>
      <c r="IC340" s="93"/>
      <c r="ID340" s="93"/>
      <c r="IE340" s="93"/>
      <c r="IF340" s="93"/>
      <c r="IG340" s="93"/>
      <c r="IH340" s="93"/>
      <c r="II340" s="93"/>
      <c r="IJ340" s="93"/>
      <c r="IK340" s="93"/>
      <c r="IL340" s="93"/>
      <c r="IM340" s="93"/>
      <c r="IN340" s="93"/>
      <c r="IO340" s="93"/>
      <c r="IP340" s="93"/>
      <c r="IQ340" s="93"/>
      <c r="IR340" s="93"/>
      <c r="IS340" s="93"/>
      <c r="IT340" s="93"/>
      <c r="IU340" s="93"/>
      <c r="IV340" s="93"/>
      <c r="IW340" s="93"/>
      <c r="IX340" s="93"/>
      <c r="IY340" s="93"/>
      <c r="IZ340" s="93"/>
    </row>
    <row r="341" spans="1:260" s="95" customFormat="1">
      <c r="A341" s="93"/>
      <c r="B341" s="183"/>
      <c r="C341" s="183"/>
      <c r="D341" s="183"/>
      <c r="E341" s="158"/>
      <c r="F341" s="158"/>
      <c r="G341" s="158"/>
      <c r="H341" s="158"/>
      <c r="I341" s="158"/>
      <c r="J341" s="158"/>
      <c r="K341" s="158"/>
      <c r="L341" s="158"/>
      <c r="M341" s="158"/>
      <c r="N341" s="158"/>
      <c r="O341" s="158"/>
      <c r="P341" s="228"/>
      <c r="Q341" s="158"/>
      <c r="R341" s="158"/>
      <c r="S341" s="207"/>
      <c r="T341" s="207"/>
      <c r="U341" s="207"/>
      <c r="V341" s="207"/>
      <c r="W341" s="207"/>
      <c r="X341" s="207"/>
      <c r="Y341" s="207"/>
      <c r="Z341" s="207"/>
      <c r="AA341" s="207"/>
      <c r="AB341" s="207"/>
      <c r="AC341" s="207"/>
      <c r="AD341" s="207"/>
      <c r="AE341" s="207"/>
      <c r="AF341" s="207"/>
      <c r="AG341" s="207"/>
      <c r="AH341" s="207"/>
      <c r="AI341" s="207"/>
      <c r="AJ341" s="207"/>
      <c r="AK341" s="207"/>
      <c r="AL341" s="207"/>
      <c r="AM341" s="94"/>
      <c r="AN341" s="94"/>
      <c r="AO341" s="94"/>
      <c r="AP341" s="94"/>
      <c r="AQ341" s="94"/>
      <c r="AR341" s="94"/>
      <c r="AS341" s="94"/>
      <c r="AT341" s="94"/>
      <c r="AU341" s="94"/>
      <c r="AV341" s="94"/>
      <c r="AW341" s="94"/>
      <c r="AX341" s="94"/>
      <c r="AY341" s="94"/>
      <c r="AZ341" s="93"/>
      <c r="BA341" s="93"/>
      <c r="BB341" s="93"/>
      <c r="BC341" s="93"/>
      <c r="BD341" s="93"/>
      <c r="BE341" s="93"/>
      <c r="BF341" s="93"/>
      <c r="BG341" s="93"/>
      <c r="BH341" s="93"/>
      <c r="BI341" s="93"/>
      <c r="BJ341" s="93"/>
      <c r="BK341" s="93"/>
      <c r="BL341" s="93"/>
      <c r="BM341" s="93"/>
      <c r="BN341" s="93"/>
      <c r="BO341" s="93"/>
      <c r="BP341" s="93"/>
      <c r="BQ341" s="93"/>
      <c r="BR341" s="93"/>
      <c r="BS341" s="93"/>
      <c r="BT341" s="93"/>
      <c r="BU341" s="93"/>
      <c r="BV341" s="93"/>
      <c r="BW341" s="93"/>
      <c r="BX341" s="93"/>
      <c r="BY341" s="93"/>
      <c r="BZ341" s="93"/>
      <c r="CA341" s="93"/>
      <c r="CB341" s="93"/>
      <c r="CC341" s="93"/>
      <c r="CD341" s="93"/>
      <c r="CE341" s="93"/>
      <c r="CF341" s="93"/>
      <c r="CG341" s="93"/>
      <c r="CH341" s="93"/>
      <c r="CI341" s="93"/>
      <c r="CJ341" s="93"/>
      <c r="CK341" s="93"/>
      <c r="CL341" s="93"/>
      <c r="CM341" s="93"/>
      <c r="CN341" s="93"/>
      <c r="CO341" s="93"/>
      <c r="CP341" s="93"/>
      <c r="CQ341" s="93"/>
      <c r="CR341" s="93"/>
      <c r="CS341" s="93"/>
      <c r="CT341" s="93"/>
      <c r="CU341" s="93"/>
      <c r="CV341" s="93"/>
      <c r="CW341" s="93"/>
      <c r="CX341" s="93"/>
      <c r="CY341" s="93"/>
      <c r="CZ341" s="93"/>
      <c r="DA341" s="93"/>
      <c r="DB341" s="93"/>
      <c r="DC341" s="93"/>
      <c r="DD341" s="93"/>
      <c r="DE341" s="93"/>
      <c r="DF341" s="93"/>
      <c r="DG341" s="93"/>
      <c r="DH341" s="93"/>
      <c r="DI341" s="93"/>
      <c r="DJ341" s="93"/>
      <c r="DK341" s="93"/>
      <c r="DL341" s="93"/>
      <c r="DM341" s="93"/>
      <c r="DN341" s="93"/>
      <c r="DO341" s="93"/>
      <c r="DP341" s="93"/>
      <c r="DQ341" s="93"/>
      <c r="DR341" s="93"/>
      <c r="DS341" s="93"/>
      <c r="DT341" s="93"/>
      <c r="DU341" s="93"/>
      <c r="DV341" s="93"/>
      <c r="DW341" s="93"/>
      <c r="DX341" s="93"/>
      <c r="DY341" s="93"/>
      <c r="DZ341" s="93"/>
      <c r="EA341" s="93"/>
      <c r="EB341" s="93"/>
      <c r="EC341" s="93"/>
      <c r="ED341" s="93"/>
      <c r="EE341" s="93"/>
      <c r="EF341" s="93"/>
      <c r="EG341" s="93"/>
      <c r="EH341" s="93"/>
      <c r="EI341" s="93"/>
      <c r="EJ341" s="93"/>
      <c r="EK341" s="93"/>
      <c r="EL341" s="93"/>
      <c r="EM341" s="93"/>
      <c r="EN341" s="93"/>
      <c r="EO341" s="93"/>
      <c r="EP341" s="93"/>
      <c r="EQ341" s="93"/>
      <c r="ER341" s="93"/>
      <c r="ES341" s="93"/>
      <c r="ET341" s="93"/>
      <c r="EU341" s="93"/>
      <c r="EV341" s="93"/>
      <c r="EW341" s="93"/>
      <c r="EX341" s="93"/>
      <c r="EY341" s="93"/>
      <c r="EZ341" s="93"/>
      <c r="FA341" s="93"/>
      <c r="FB341" s="93"/>
      <c r="FC341" s="93"/>
      <c r="FD341" s="93"/>
      <c r="FE341" s="93"/>
      <c r="FF341" s="93"/>
      <c r="FG341" s="93"/>
      <c r="FH341" s="93"/>
      <c r="FI341" s="93"/>
      <c r="FJ341" s="93"/>
      <c r="FK341" s="93"/>
      <c r="FL341" s="93"/>
      <c r="FM341" s="93"/>
      <c r="FN341" s="93"/>
      <c r="FO341" s="93"/>
      <c r="FP341" s="93"/>
      <c r="FQ341" s="93"/>
      <c r="FR341" s="93"/>
      <c r="FS341" s="93"/>
      <c r="FT341" s="93"/>
      <c r="FU341" s="93"/>
      <c r="FV341" s="93"/>
      <c r="FW341" s="93"/>
      <c r="FX341" s="93"/>
      <c r="FY341" s="93"/>
      <c r="FZ341" s="93"/>
      <c r="GA341" s="93"/>
      <c r="GB341" s="93"/>
      <c r="GC341" s="93"/>
      <c r="GD341" s="93"/>
      <c r="GE341" s="93"/>
      <c r="GF341" s="93"/>
      <c r="GG341" s="93"/>
      <c r="GH341" s="93"/>
      <c r="GI341" s="93"/>
      <c r="GJ341" s="93"/>
      <c r="GK341" s="93"/>
      <c r="GL341" s="93"/>
      <c r="GM341" s="93"/>
      <c r="GN341" s="93"/>
      <c r="GO341" s="93"/>
      <c r="GP341" s="93"/>
      <c r="GQ341" s="93"/>
      <c r="GR341" s="93"/>
      <c r="GS341" s="93"/>
      <c r="GT341" s="93"/>
      <c r="GU341" s="93"/>
      <c r="GV341" s="93"/>
      <c r="GW341" s="93"/>
      <c r="GX341" s="93"/>
      <c r="GY341" s="93"/>
      <c r="GZ341" s="93"/>
      <c r="HA341" s="93"/>
      <c r="HB341" s="93"/>
      <c r="HC341" s="93"/>
      <c r="HD341" s="93"/>
      <c r="HE341" s="93"/>
      <c r="HF341" s="93"/>
      <c r="HG341" s="93"/>
      <c r="HH341" s="93"/>
      <c r="HI341" s="93"/>
      <c r="HJ341" s="93"/>
      <c r="HK341" s="93"/>
      <c r="HL341" s="93"/>
      <c r="HM341" s="93"/>
      <c r="HN341" s="93"/>
      <c r="HO341" s="93"/>
      <c r="HP341" s="93"/>
      <c r="HQ341" s="93"/>
      <c r="HR341" s="93"/>
      <c r="HS341" s="93"/>
      <c r="HT341" s="93"/>
      <c r="HU341" s="93"/>
      <c r="HV341" s="93"/>
      <c r="HW341" s="93"/>
      <c r="HX341" s="93"/>
      <c r="HY341" s="93"/>
      <c r="HZ341" s="93"/>
      <c r="IA341" s="93"/>
      <c r="IB341" s="93"/>
      <c r="IC341" s="93"/>
      <c r="ID341" s="93"/>
      <c r="IE341" s="93"/>
      <c r="IF341" s="93"/>
      <c r="IG341" s="93"/>
      <c r="IH341" s="93"/>
      <c r="II341" s="93"/>
      <c r="IJ341" s="93"/>
      <c r="IK341" s="93"/>
      <c r="IL341" s="93"/>
      <c r="IM341" s="93"/>
      <c r="IN341" s="93"/>
      <c r="IO341" s="93"/>
      <c r="IP341" s="93"/>
      <c r="IQ341" s="93"/>
      <c r="IR341" s="93"/>
      <c r="IS341" s="93"/>
      <c r="IT341" s="93"/>
      <c r="IU341" s="93"/>
      <c r="IV341" s="93"/>
      <c r="IW341" s="93"/>
      <c r="IX341" s="93"/>
      <c r="IY341" s="93"/>
      <c r="IZ341" s="93"/>
    </row>
    <row r="342" spans="1:260" s="95" customFormat="1">
      <c r="A342" s="93"/>
      <c r="B342" s="183"/>
      <c r="C342" s="183"/>
      <c r="D342" s="183"/>
      <c r="E342" s="158"/>
      <c r="F342" s="158"/>
      <c r="G342" s="158"/>
      <c r="H342" s="158"/>
      <c r="I342" s="158"/>
      <c r="J342" s="158"/>
      <c r="K342" s="158"/>
      <c r="L342" s="158"/>
      <c r="M342" s="158"/>
      <c r="N342" s="158"/>
      <c r="O342" s="158"/>
      <c r="P342" s="228"/>
      <c r="Q342" s="158"/>
      <c r="R342" s="158"/>
      <c r="S342" s="207"/>
      <c r="T342" s="207"/>
      <c r="U342" s="207"/>
      <c r="V342" s="207"/>
      <c r="W342" s="207"/>
      <c r="X342" s="207"/>
      <c r="Y342" s="207"/>
      <c r="Z342" s="207"/>
      <c r="AA342" s="207"/>
      <c r="AB342" s="207"/>
      <c r="AC342" s="207"/>
      <c r="AD342" s="207"/>
      <c r="AE342" s="207"/>
      <c r="AF342" s="207"/>
      <c r="AG342" s="207"/>
      <c r="AH342" s="207"/>
      <c r="AI342" s="207"/>
      <c r="AJ342" s="207"/>
      <c r="AK342" s="207"/>
      <c r="AL342" s="207"/>
      <c r="AM342" s="94"/>
      <c r="AN342" s="94"/>
      <c r="AO342" s="94"/>
      <c r="AP342" s="94"/>
      <c r="AQ342" s="94"/>
      <c r="AR342" s="94"/>
      <c r="AS342" s="94"/>
      <c r="AT342" s="94"/>
      <c r="AU342" s="94"/>
      <c r="AV342" s="94"/>
      <c r="AW342" s="94"/>
      <c r="AX342" s="94"/>
      <c r="AY342" s="94"/>
      <c r="AZ342" s="93"/>
      <c r="BA342" s="93"/>
      <c r="BB342" s="93"/>
      <c r="BC342" s="93"/>
      <c r="BD342" s="93"/>
      <c r="BE342" s="93"/>
      <c r="BF342" s="93"/>
      <c r="BG342" s="93"/>
      <c r="BH342" s="93"/>
      <c r="BI342" s="93"/>
      <c r="BJ342" s="93"/>
      <c r="BK342" s="93"/>
      <c r="BL342" s="93"/>
      <c r="BM342" s="93"/>
      <c r="BN342" s="93"/>
      <c r="BO342" s="93"/>
      <c r="BP342" s="93"/>
      <c r="BQ342" s="93"/>
      <c r="BR342" s="93"/>
      <c r="BS342" s="93"/>
      <c r="BT342" s="93"/>
      <c r="BU342" s="93"/>
      <c r="BV342" s="93"/>
      <c r="BW342" s="93"/>
      <c r="BX342" s="93"/>
      <c r="BY342" s="93"/>
      <c r="BZ342" s="93"/>
      <c r="CA342" s="93"/>
      <c r="CB342" s="93"/>
      <c r="CC342" s="93"/>
      <c r="CD342" s="93"/>
      <c r="CE342" s="93"/>
      <c r="CF342" s="93"/>
      <c r="CG342" s="93"/>
      <c r="CH342" s="93"/>
      <c r="CI342" s="93"/>
      <c r="CJ342" s="93"/>
      <c r="CK342" s="93"/>
      <c r="CL342" s="93"/>
      <c r="CM342" s="93"/>
      <c r="CN342" s="93"/>
      <c r="CO342" s="93"/>
      <c r="CP342" s="93"/>
      <c r="CQ342" s="93"/>
      <c r="CR342" s="93"/>
      <c r="CS342" s="93"/>
      <c r="CT342" s="93"/>
      <c r="CU342" s="93"/>
      <c r="CV342" s="93"/>
      <c r="CW342" s="93"/>
      <c r="CX342" s="93"/>
      <c r="CY342" s="93"/>
      <c r="CZ342" s="93"/>
      <c r="DA342" s="93"/>
      <c r="DB342" s="93"/>
      <c r="DC342" s="93"/>
      <c r="DD342" s="93"/>
      <c r="DE342" s="93"/>
      <c r="DF342" s="93"/>
      <c r="DG342" s="93"/>
      <c r="DH342" s="93"/>
      <c r="DI342" s="93"/>
      <c r="DJ342" s="93"/>
      <c r="DK342" s="93"/>
      <c r="DL342" s="93"/>
      <c r="DM342" s="93"/>
      <c r="DN342" s="93"/>
      <c r="DO342" s="93"/>
      <c r="DP342" s="93"/>
      <c r="DQ342" s="93"/>
      <c r="DR342" s="93"/>
      <c r="DS342" s="93"/>
      <c r="DT342" s="93"/>
      <c r="DU342" s="93"/>
      <c r="DV342" s="93"/>
      <c r="DW342" s="93"/>
      <c r="DX342" s="93"/>
      <c r="DY342" s="93"/>
      <c r="DZ342" s="93"/>
      <c r="EA342" s="93"/>
      <c r="EB342" s="93"/>
      <c r="EC342" s="93"/>
      <c r="ED342" s="93"/>
      <c r="EE342" s="93"/>
      <c r="EF342" s="93"/>
      <c r="EG342" s="93"/>
      <c r="EH342" s="93"/>
      <c r="EI342" s="93"/>
      <c r="EJ342" s="93"/>
      <c r="EK342" s="93"/>
      <c r="EL342" s="93"/>
      <c r="EM342" s="93"/>
      <c r="EN342" s="93"/>
      <c r="EO342" s="93"/>
      <c r="EP342" s="93"/>
      <c r="EQ342" s="93"/>
      <c r="ER342" s="93"/>
      <c r="ES342" s="93"/>
      <c r="ET342" s="93"/>
      <c r="EU342" s="93"/>
      <c r="EV342" s="93"/>
      <c r="EW342" s="93"/>
      <c r="EX342" s="93"/>
      <c r="EY342" s="93"/>
      <c r="EZ342" s="93"/>
      <c r="FA342" s="93"/>
      <c r="FB342" s="93"/>
      <c r="FC342" s="93"/>
      <c r="FD342" s="93"/>
      <c r="FE342" s="93"/>
      <c r="FF342" s="93"/>
      <c r="FG342" s="93"/>
      <c r="FH342" s="93"/>
      <c r="FI342" s="93"/>
      <c r="FJ342" s="93"/>
      <c r="FK342" s="93"/>
      <c r="FL342" s="93"/>
      <c r="FM342" s="93"/>
      <c r="FN342" s="93"/>
      <c r="FO342" s="93"/>
      <c r="FP342" s="93"/>
      <c r="FQ342" s="93"/>
      <c r="FR342" s="93"/>
      <c r="FS342" s="93"/>
      <c r="FT342" s="93"/>
      <c r="FU342" s="93"/>
      <c r="FV342" s="93"/>
      <c r="FW342" s="93"/>
      <c r="FX342" s="93"/>
      <c r="FY342" s="93"/>
      <c r="FZ342" s="93"/>
      <c r="GA342" s="93"/>
      <c r="GB342" s="93"/>
      <c r="GC342" s="93"/>
      <c r="GD342" s="93"/>
      <c r="GE342" s="93"/>
      <c r="GF342" s="93"/>
      <c r="GG342" s="93"/>
      <c r="GH342" s="93"/>
      <c r="GI342" s="93"/>
      <c r="GJ342" s="93"/>
      <c r="GK342" s="93"/>
      <c r="GL342" s="93"/>
      <c r="GM342" s="93"/>
      <c r="GN342" s="93"/>
      <c r="GO342" s="93"/>
      <c r="GP342" s="93"/>
      <c r="GQ342" s="93"/>
      <c r="GR342" s="93"/>
      <c r="GS342" s="93"/>
      <c r="GT342" s="93"/>
      <c r="GU342" s="93"/>
      <c r="GV342" s="93"/>
      <c r="GW342" s="93"/>
      <c r="GX342" s="93"/>
      <c r="GY342" s="93"/>
      <c r="GZ342" s="93"/>
      <c r="HA342" s="93"/>
      <c r="HB342" s="93"/>
      <c r="HC342" s="93"/>
      <c r="HD342" s="93"/>
      <c r="HE342" s="93"/>
      <c r="HF342" s="93"/>
      <c r="HG342" s="93"/>
      <c r="HH342" s="93"/>
      <c r="HI342" s="93"/>
      <c r="HJ342" s="93"/>
      <c r="HK342" s="93"/>
      <c r="HL342" s="93"/>
      <c r="HM342" s="93"/>
      <c r="HN342" s="93"/>
      <c r="HO342" s="93"/>
      <c r="HP342" s="93"/>
      <c r="HQ342" s="93"/>
      <c r="HR342" s="93"/>
      <c r="HS342" s="93"/>
      <c r="HT342" s="93"/>
      <c r="HU342" s="93"/>
      <c r="HV342" s="93"/>
      <c r="HW342" s="93"/>
      <c r="HX342" s="93"/>
      <c r="HY342" s="93"/>
      <c r="HZ342" s="93"/>
      <c r="IA342" s="93"/>
      <c r="IB342" s="93"/>
      <c r="IC342" s="93"/>
      <c r="ID342" s="93"/>
      <c r="IE342" s="93"/>
      <c r="IF342" s="93"/>
      <c r="IG342" s="93"/>
      <c r="IH342" s="93"/>
      <c r="II342" s="93"/>
      <c r="IJ342" s="93"/>
      <c r="IK342" s="93"/>
      <c r="IL342" s="93"/>
      <c r="IM342" s="93"/>
      <c r="IN342" s="93"/>
      <c r="IO342" s="93"/>
      <c r="IP342" s="93"/>
      <c r="IQ342" s="93"/>
      <c r="IR342" s="93"/>
      <c r="IS342" s="93"/>
      <c r="IT342" s="93"/>
      <c r="IU342" s="93"/>
      <c r="IV342" s="93"/>
      <c r="IW342" s="93"/>
      <c r="IX342" s="93"/>
      <c r="IY342" s="93"/>
      <c r="IZ342" s="93"/>
    </row>
    <row r="343" spans="1:260" s="95" customFormat="1">
      <c r="A343" s="93"/>
      <c r="B343" s="183"/>
      <c r="C343" s="183"/>
      <c r="D343" s="183"/>
      <c r="E343" s="158"/>
      <c r="F343" s="158"/>
      <c r="G343" s="158"/>
      <c r="H343" s="158"/>
      <c r="I343" s="158"/>
      <c r="J343" s="158"/>
      <c r="K343" s="158"/>
      <c r="L343" s="158"/>
      <c r="M343" s="158"/>
      <c r="N343" s="158"/>
      <c r="O343" s="158"/>
      <c r="P343" s="228"/>
      <c r="Q343" s="158"/>
      <c r="R343" s="158"/>
      <c r="S343" s="207"/>
      <c r="T343" s="207"/>
      <c r="U343" s="207"/>
      <c r="V343" s="207"/>
      <c r="W343" s="207"/>
      <c r="X343" s="207"/>
      <c r="Y343" s="207"/>
      <c r="Z343" s="207"/>
      <c r="AA343" s="207"/>
      <c r="AB343" s="207"/>
      <c r="AC343" s="207"/>
      <c r="AD343" s="207"/>
      <c r="AE343" s="207"/>
      <c r="AF343" s="207"/>
      <c r="AG343" s="207"/>
      <c r="AH343" s="207"/>
      <c r="AI343" s="207"/>
      <c r="AJ343" s="207"/>
      <c r="AK343" s="207"/>
      <c r="AL343" s="207"/>
      <c r="AM343" s="94"/>
      <c r="AN343" s="94"/>
      <c r="AO343" s="94"/>
      <c r="AP343" s="94"/>
      <c r="AQ343" s="94"/>
      <c r="AR343" s="94"/>
      <c r="AS343" s="94"/>
      <c r="AT343" s="94"/>
      <c r="AU343" s="94"/>
      <c r="AV343" s="94"/>
      <c r="AW343" s="94"/>
      <c r="AX343" s="94"/>
      <c r="AY343" s="94"/>
      <c r="AZ343" s="93"/>
      <c r="BA343" s="93"/>
      <c r="BB343" s="93"/>
      <c r="BC343" s="93"/>
      <c r="BD343" s="93"/>
      <c r="BE343" s="93"/>
      <c r="BF343" s="93"/>
      <c r="BG343" s="93"/>
      <c r="BH343" s="93"/>
      <c r="BI343" s="93"/>
      <c r="BJ343" s="93"/>
      <c r="BK343" s="93"/>
      <c r="BL343" s="93"/>
      <c r="BM343" s="93"/>
      <c r="BN343" s="93"/>
      <c r="BO343" s="93"/>
      <c r="BP343" s="93"/>
      <c r="BQ343" s="93"/>
      <c r="BR343" s="93"/>
      <c r="BS343" s="93"/>
      <c r="BT343" s="93"/>
      <c r="BU343" s="93"/>
      <c r="BV343" s="93"/>
      <c r="BW343" s="93"/>
      <c r="BX343" s="93"/>
      <c r="BY343" s="93"/>
      <c r="BZ343" s="93"/>
      <c r="CA343" s="93"/>
      <c r="CB343" s="93"/>
      <c r="CC343" s="93"/>
      <c r="CD343" s="93"/>
      <c r="CE343" s="93"/>
      <c r="CF343" s="93"/>
      <c r="CG343" s="93"/>
      <c r="CH343" s="93"/>
      <c r="CI343" s="93"/>
      <c r="CJ343" s="93"/>
      <c r="CK343" s="93"/>
      <c r="CL343" s="93"/>
      <c r="CM343" s="93"/>
      <c r="CN343" s="93"/>
      <c r="CO343" s="93"/>
      <c r="CP343" s="93"/>
      <c r="CQ343" s="93"/>
      <c r="CR343" s="93"/>
      <c r="CS343" s="93"/>
      <c r="CT343" s="93"/>
      <c r="CU343" s="93"/>
      <c r="CV343" s="93"/>
      <c r="CW343" s="93"/>
      <c r="CX343" s="93"/>
      <c r="CY343" s="93"/>
      <c r="CZ343" s="93"/>
      <c r="DA343" s="93"/>
      <c r="DB343" s="93"/>
      <c r="DC343" s="93"/>
      <c r="DD343" s="93"/>
      <c r="DE343" s="93"/>
      <c r="DF343" s="93"/>
      <c r="DG343" s="93"/>
      <c r="DH343" s="93"/>
      <c r="DI343" s="93"/>
      <c r="DJ343" s="93"/>
      <c r="DK343" s="93"/>
      <c r="DL343" s="93"/>
      <c r="DM343" s="93"/>
      <c r="DN343" s="93"/>
      <c r="DO343" s="93"/>
      <c r="DP343" s="93"/>
      <c r="DQ343" s="93"/>
      <c r="DR343" s="93"/>
      <c r="DS343" s="93"/>
      <c r="DT343" s="93"/>
      <c r="DU343" s="93"/>
      <c r="DV343" s="93"/>
      <c r="DW343" s="93"/>
      <c r="DX343" s="93"/>
      <c r="DY343" s="93"/>
      <c r="DZ343" s="93"/>
      <c r="EA343" s="93"/>
      <c r="EB343" s="93"/>
      <c r="EC343" s="93"/>
      <c r="ED343" s="93"/>
      <c r="EE343" s="93"/>
      <c r="EF343" s="93"/>
      <c r="EG343" s="93"/>
      <c r="EH343" s="93"/>
      <c r="EI343" s="93"/>
      <c r="EJ343" s="93"/>
      <c r="EK343" s="93"/>
      <c r="EL343" s="93"/>
      <c r="EM343" s="93"/>
      <c r="EN343" s="93"/>
      <c r="EO343" s="93"/>
      <c r="EP343" s="93"/>
      <c r="EQ343" s="93"/>
      <c r="ER343" s="93"/>
      <c r="ES343" s="93"/>
      <c r="ET343" s="93"/>
      <c r="EU343" s="93"/>
      <c r="EV343" s="93"/>
      <c r="EW343" s="93"/>
      <c r="EX343" s="93"/>
      <c r="EY343" s="93"/>
      <c r="EZ343" s="93"/>
      <c r="FA343" s="93"/>
      <c r="FB343" s="93"/>
      <c r="FC343" s="93"/>
      <c r="FD343" s="93"/>
      <c r="FE343" s="93"/>
      <c r="FF343" s="93"/>
      <c r="FG343" s="93"/>
      <c r="FH343" s="93"/>
      <c r="FI343" s="93"/>
      <c r="FJ343" s="93"/>
      <c r="FK343" s="93"/>
      <c r="FL343" s="93"/>
      <c r="FM343" s="93"/>
      <c r="FN343" s="93"/>
      <c r="FO343" s="93"/>
      <c r="FP343" s="93"/>
      <c r="FQ343" s="93"/>
      <c r="FR343" s="93"/>
      <c r="FS343" s="93"/>
      <c r="FT343" s="93"/>
      <c r="FU343" s="93"/>
      <c r="FV343" s="93"/>
      <c r="FW343" s="93"/>
      <c r="FX343" s="93"/>
      <c r="FY343" s="93"/>
      <c r="FZ343" s="93"/>
      <c r="GA343" s="93"/>
      <c r="GB343" s="93"/>
      <c r="GC343" s="93"/>
      <c r="GD343" s="93"/>
      <c r="GE343" s="93"/>
      <c r="GF343" s="93"/>
      <c r="GG343" s="93"/>
      <c r="GH343" s="93"/>
      <c r="GI343" s="93"/>
      <c r="GJ343" s="93"/>
      <c r="GK343" s="93"/>
      <c r="GL343" s="93"/>
      <c r="GM343" s="93"/>
      <c r="GN343" s="93"/>
      <c r="GO343" s="93"/>
      <c r="GP343" s="93"/>
      <c r="GQ343" s="93"/>
      <c r="GR343" s="93"/>
      <c r="GS343" s="93"/>
      <c r="GT343" s="93"/>
      <c r="GU343" s="93"/>
      <c r="GV343" s="93"/>
      <c r="GW343" s="93"/>
      <c r="GX343" s="93"/>
      <c r="GY343" s="93"/>
      <c r="GZ343" s="93"/>
      <c r="HA343" s="93"/>
      <c r="HB343" s="93"/>
      <c r="HC343" s="93"/>
      <c r="HD343" s="93"/>
      <c r="HE343" s="93"/>
      <c r="HF343" s="93"/>
      <c r="HG343" s="93"/>
      <c r="HH343" s="93"/>
      <c r="HI343" s="93"/>
      <c r="HJ343" s="93"/>
      <c r="HK343" s="93"/>
      <c r="HL343" s="93"/>
      <c r="HM343" s="93"/>
      <c r="HN343" s="93"/>
      <c r="HO343" s="93"/>
      <c r="HP343" s="93"/>
      <c r="HQ343" s="93"/>
      <c r="HR343" s="93"/>
      <c r="HS343" s="93"/>
      <c r="HT343" s="93"/>
      <c r="HU343" s="93"/>
      <c r="HV343" s="93"/>
      <c r="HW343" s="93"/>
      <c r="HX343" s="93"/>
      <c r="HY343" s="93"/>
      <c r="HZ343" s="93"/>
      <c r="IA343" s="93"/>
      <c r="IB343" s="93"/>
      <c r="IC343" s="93"/>
      <c r="ID343" s="93"/>
      <c r="IE343" s="93"/>
      <c r="IF343" s="93"/>
      <c r="IG343" s="93"/>
      <c r="IH343" s="93"/>
      <c r="II343" s="93"/>
      <c r="IJ343" s="93"/>
      <c r="IK343" s="93"/>
      <c r="IL343" s="93"/>
      <c r="IM343" s="93"/>
      <c r="IN343" s="93"/>
      <c r="IO343" s="93"/>
      <c r="IP343" s="93"/>
      <c r="IQ343" s="93"/>
      <c r="IR343" s="93"/>
      <c r="IS343" s="93"/>
      <c r="IT343" s="93"/>
      <c r="IU343" s="93"/>
      <c r="IV343" s="93"/>
      <c r="IW343" s="93"/>
      <c r="IX343" s="93"/>
      <c r="IY343" s="93"/>
      <c r="IZ343" s="93"/>
    </row>
    <row r="344" spans="1:260" s="95" customFormat="1">
      <c r="A344" s="93"/>
      <c r="B344" s="183"/>
      <c r="C344" s="183"/>
      <c r="D344" s="183"/>
      <c r="E344" s="158"/>
      <c r="F344" s="158"/>
      <c r="G344" s="158"/>
      <c r="H344" s="158"/>
      <c r="I344" s="158"/>
      <c r="J344" s="158"/>
      <c r="K344" s="158"/>
      <c r="L344" s="158"/>
      <c r="M344" s="158"/>
      <c r="N344" s="158"/>
      <c r="O344" s="158"/>
      <c r="P344" s="228"/>
      <c r="Q344" s="158"/>
      <c r="R344" s="158"/>
      <c r="S344" s="207"/>
      <c r="T344" s="207"/>
      <c r="U344" s="207"/>
      <c r="V344" s="207"/>
      <c r="W344" s="207"/>
      <c r="X344" s="207"/>
      <c r="Y344" s="207"/>
      <c r="Z344" s="207"/>
      <c r="AA344" s="207"/>
      <c r="AB344" s="207"/>
      <c r="AC344" s="207"/>
      <c r="AD344" s="207"/>
      <c r="AE344" s="207"/>
      <c r="AF344" s="207"/>
      <c r="AG344" s="207"/>
      <c r="AH344" s="207"/>
      <c r="AI344" s="207"/>
      <c r="AJ344" s="207"/>
      <c r="AK344" s="207"/>
      <c r="AL344" s="207"/>
      <c r="AM344" s="94"/>
      <c r="AN344" s="94"/>
      <c r="AO344" s="94"/>
      <c r="AP344" s="94"/>
      <c r="AQ344" s="94"/>
      <c r="AR344" s="94"/>
      <c r="AS344" s="94"/>
      <c r="AT344" s="94"/>
      <c r="AU344" s="94"/>
      <c r="AV344" s="94"/>
      <c r="AW344" s="94"/>
      <c r="AX344" s="94"/>
      <c r="AY344" s="94"/>
      <c r="AZ344" s="93"/>
      <c r="BA344" s="93"/>
      <c r="BB344" s="93"/>
      <c r="BC344" s="93"/>
      <c r="BD344" s="93"/>
      <c r="BE344" s="93"/>
      <c r="BF344" s="93"/>
      <c r="BG344" s="93"/>
      <c r="BH344" s="93"/>
      <c r="BI344" s="93"/>
      <c r="BJ344" s="93"/>
      <c r="BK344" s="93"/>
      <c r="BL344" s="93"/>
      <c r="BM344" s="93"/>
      <c r="BN344" s="93"/>
      <c r="BO344" s="93"/>
      <c r="BP344" s="93"/>
      <c r="BQ344" s="93"/>
      <c r="BR344" s="93"/>
      <c r="BS344" s="93"/>
      <c r="BT344" s="93"/>
      <c r="BU344" s="93"/>
      <c r="BV344" s="93"/>
      <c r="BW344" s="93"/>
      <c r="BX344" s="93"/>
      <c r="BY344" s="93"/>
      <c r="BZ344" s="93"/>
      <c r="CA344" s="93"/>
      <c r="CB344" s="93"/>
      <c r="CC344" s="93"/>
      <c r="CD344" s="93"/>
      <c r="CE344" s="93"/>
      <c r="CF344" s="93"/>
      <c r="CG344" s="93"/>
      <c r="CH344" s="93"/>
      <c r="CI344" s="93"/>
      <c r="CJ344" s="93"/>
      <c r="CK344" s="93"/>
      <c r="CL344" s="93"/>
      <c r="CM344" s="93"/>
      <c r="CN344" s="93"/>
      <c r="CO344" s="93"/>
      <c r="CP344" s="93"/>
      <c r="CQ344" s="93"/>
      <c r="CR344" s="93"/>
      <c r="CS344" s="93"/>
      <c r="CT344" s="93"/>
      <c r="CU344" s="93"/>
      <c r="CV344" s="93"/>
      <c r="CW344" s="93"/>
      <c r="CX344" s="93"/>
      <c r="CY344" s="93"/>
      <c r="CZ344" s="93"/>
      <c r="DA344" s="93"/>
      <c r="DB344" s="93"/>
      <c r="DC344" s="93"/>
      <c r="DD344" s="93"/>
      <c r="DE344" s="93"/>
      <c r="DF344" s="93"/>
      <c r="DG344" s="93"/>
      <c r="DH344" s="93"/>
      <c r="DI344" s="93"/>
      <c r="DJ344" s="93"/>
      <c r="DK344" s="93"/>
      <c r="DL344" s="93"/>
      <c r="DM344" s="93"/>
      <c r="DN344" s="93"/>
      <c r="DO344" s="93"/>
      <c r="DP344" s="93"/>
      <c r="DQ344" s="93"/>
      <c r="DR344" s="93"/>
      <c r="DS344" s="93"/>
      <c r="DT344" s="93"/>
      <c r="DU344" s="93"/>
      <c r="DV344" s="93"/>
      <c r="DW344" s="93"/>
      <c r="DX344" s="93"/>
      <c r="DY344" s="93"/>
      <c r="DZ344" s="93"/>
      <c r="EA344" s="93"/>
      <c r="EB344" s="93"/>
      <c r="EC344" s="93"/>
      <c r="ED344" s="93"/>
      <c r="EE344" s="93"/>
      <c r="EF344" s="93"/>
      <c r="EG344" s="93"/>
      <c r="EH344" s="93"/>
      <c r="EI344" s="93"/>
      <c r="EJ344" s="93"/>
      <c r="EK344" s="93"/>
      <c r="EL344" s="93"/>
      <c r="EM344" s="93"/>
      <c r="EN344" s="93"/>
      <c r="EO344" s="93"/>
      <c r="EP344" s="93"/>
      <c r="EQ344" s="93"/>
      <c r="ER344" s="93"/>
      <c r="ES344" s="93"/>
      <c r="ET344" s="93"/>
      <c r="EU344" s="93"/>
      <c r="EV344" s="93"/>
      <c r="EW344" s="93"/>
      <c r="EX344" s="93"/>
      <c r="EY344" s="93"/>
      <c r="EZ344" s="93"/>
      <c r="FA344" s="93"/>
      <c r="FB344" s="93"/>
      <c r="FC344" s="93"/>
      <c r="FD344" s="93"/>
      <c r="FE344" s="93"/>
      <c r="FF344" s="93"/>
      <c r="FG344" s="93"/>
      <c r="FH344" s="93"/>
      <c r="FI344" s="93"/>
      <c r="FJ344" s="93"/>
      <c r="FK344" s="93"/>
      <c r="FL344" s="93"/>
      <c r="FM344" s="93"/>
      <c r="FN344" s="93"/>
      <c r="FO344" s="93"/>
      <c r="FP344" s="93"/>
      <c r="FQ344" s="93"/>
      <c r="FR344" s="93"/>
      <c r="FS344" s="93"/>
      <c r="FT344" s="93"/>
      <c r="FU344" s="93"/>
      <c r="FV344" s="93"/>
      <c r="FW344" s="93"/>
      <c r="FX344" s="93"/>
      <c r="FY344" s="93"/>
      <c r="FZ344" s="93"/>
      <c r="GA344" s="93"/>
      <c r="GB344" s="93"/>
      <c r="GC344" s="93"/>
      <c r="GD344" s="93"/>
      <c r="GE344" s="93"/>
      <c r="GF344" s="93"/>
      <c r="GG344" s="93"/>
      <c r="GH344" s="93"/>
      <c r="GI344" s="93"/>
      <c r="GJ344" s="93"/>
      <c r="GK344" s="93"/>
      <c r="GL344" s="93"/>
      <c r="GM344" s="93"/>
      <c r="GN344" s="93"/>
      <c r="GO344" s="93"/>
      <c r="GP344" s="93"/>
      <c r="GQ344" s="93"/>
      <c r="GR344" s="93"/>
      <c r="GS344" s="93"/>
      <c r="GT344" s="93"/>
      <c r="GU344" s="93"/>
      <c r="GV344" s="93"/>
      <c r="GW344" s="93"/>
      <c r="GX344" s="93"/>
      <c r="GY344" s="93"/>
      <c r="GZ344" s="93"/>
      <c r="HA344" s="93"/>
      <c r="HB344" s="93"/>
      <c r="HC344" s="93"/>
      <c r="HD344" s="93"/>
      <c r="HE344" s="93"/>
      <c r="HF344" s="93"/>
      <c r="HG344" s="93"/>
      <c r="HH344" s="93"/>
      <c r="HI344" s="93"/>
      <c r="HJ344" s="93"/>
      <c r="HK344" s="93"/>
      <c r="HL344" s="93"/>
      <c r="HM344" s="93"/>
      <c r="HN344" s="93"/>
      <c r="HO344" s="93"/>
      <c r="HP344" s="93"/>
      <c r="HQ344" s="93"/>
      <c r="HR344" s="93"/>
      <c r="HS344" s="93"/>
      <c r="HT344" s="93"/>
      <c r="HU344" s="93"/>
      <c r="HV344" s="93"/>
      <c r="HW344" s="93"/>
      <c r="HX344" s="93"/>
      <c r="HY344" s="93"/>
      <c r="HZ344" s="93"/>
      <c r="IA344" s="93"/>
      <c r="IB344" s="93"/>
      <c r="IC344" s="93"/>
      <c r="ID344" s="93"/>
      <c r="IE344" s="93"/>
      <c r="IF344" s="93"/>
      <c r="IG344" s="93"/>
      <c r="IH344" s="93"/>
      <c r="II344" s="93"/>
      <c r="IJ344" s="93"/>
      <c r="IK344" s="93"/>
      <c r="IL344" s="93"/>
      <c r="IM344" s="93"/>
      <c r="IN344" s="93"/>
      <c r="IO344" s="93"/>
      <c r="IP344" s="93"/>
      <c r="IQ344" s="93"/>
      <c r="IR344" s="93"/>
      <c r="IS344" s="93"/>
      <c r="IT344" s="93"/>
      <c r="IU344" s="93"/>
      <c r="IV344" s="93"/>
      <c r="IW344" s="93"/>
      <c r="IX344" s="93"/>
      <c r="IY344" s="93"/>
      <c r="IZ344" s="93"/>
    </row>
    <row r="345" spans="1:260" s="95" customFormat="1">
      <c r="A345" s="93"/>
      <c r="B345" s="183"/>
      <c r="C345" s="183"/>
      <c r="D345" s="183"/>
      <c r="E345" s="158"/>
      <c r="F345" s="158"/>
      <c r="G345" s="158"/>
      <c r="H345" s="158"/>
      <c r="I345" s="158"/>
      <c r="J345" s="158"/>
      <c r="K345" s="158"/>
      <c r="L345" s="158"/>
      <c r="M345" s="158"/>
      <c r="N345" s="158"/>
      <c r="O345" s="158"/>
      <c r="P345" s="228"/>
      <c r="Q345" s="158"/>
      <c r="R345" s="158"/>
      <c r="S345" s="207"/>
      <c r="T345" s="207"/>
      <c r="U345" s="207"/>
      <c r="V345" s="207"/>
      <c r="W345" s="207"/>
      <c r="X345" s="207"/>
      <c r="Y345" s="207"/>
      <c r="Z345" s="207"/>
      <c r="AA345" s="207"/>
      <c r="AB345" s="207"/>
      <c r="AC345" s="207"/>
      <c r="AD345" s="207"/>
      <c r="AE345" s="207"/>
      <c r="AF345" s="207"/>
      <c r="AG345" s="207"/>
      <c r="AH345" s="207"/>
      <c r="AI345" s="207"/>
      <c r="AJ345" s="207"/>
      <c r="AK345" s="207"/>
      <c r="AL345" s="207"/>
      <c r="AM345" s="94"/>
      <c r="AN345" s="94"/>
      <c r="AO345" s="94"/>
      <c r="AP345" s="94"/>
      <c r="AQ345" s="94"/>
      <c r="AR345" s="94"/>
      <c r="AS345" s="94"/>
      <c r="AT345" s="94"/>
      <c r="AU345" s="94"/>
      <c r="AV345" s="94"/>
      <c r="AW345" s="94"/>
      <c r="AX345" s="94"/>
      <c r="AY345" s="94"/>
      <c r="AZ345" s="93"/>
      <c r="BA345" s="93"/>
      <c r="BB345" s="93"/>
      <c r="BC345" s="93"/>
      <c r="BD345" s="93"/>
      <c r="BE345" s="93"/>
      <c r="BF345" s="93"/>
      <c r="BG345" s="93"/>
      <c r="BH345" s="93"/>
      <c r="BI345" s="93"/>
      <c r="BJ345" s="93"/>
      <c r="BK345" s="93"/>
      <c r="BL345" s="93"/>
      <c r="BM345" s="93"/>
      <c r="BN345" s="93"/>
      <c r="BO345" s="93"/>
      <c r="BP345" s="93"/>
      <c r="BQ345" s="93"/>
      <c r="BR345" s="93"/>
      <c r="BS345" s="93"/>
      <c r="BT345" s="93"/>
      <c r="BU345" s="93"/>
      <c r="BV345" s="93"/>
      <c r="BW345" s="93"/>
      <c r="BX345" s="93"/>
      <c r="BY345" s="93"/>
      <c r="BZ345" s="93"/>
      <c r="CA345" s="93"/>
      <c r="CB345" s="93"/>
      <c r="CC345" s="93"/>
      <c r="CD345" s="93"/>
      <c r="CE345" s="93"/>
      <c r="CF345" s="93"/>
      <c r="CG345" s="93"/>
      <c r="CH345" s="93"/>
      <c r="CI345" s="93"/>
      <c r="CJ345" s="93"/>
      <c r="CK345" s="93"/>
      <c r="CL345" s="93"/>
      <c r="CM345" s="93"/>
      <c r="CN345" s="93"/>
      <c r="CO345" s="93"/>
      <c r="CP345" s="93"/>
      <c r="CQ345" s="93"/>
      <c r="CR345" s="93"/>
      <c r="CS345" s="93"/>
      <c r="CT345" s="93"/>
      <c r="CU345" s="93"/>
      <c r="CV345" s="93"/>
      <c r="CW345" s="93"/>
      <c r="CX345" s="93"/>
      <c r="CY345" s="93"/>
      <c r="CZ345" s="93"/>
      <c r="DA345" s="93"/>
      <c r="DB345" s="93"/>
      <c r="DC345" s="93"/>
      <c r="DD345" s="93"/>
      <c r="DE345" s="93"/>
      <c r="DF345" s="93"/>
      <c r="DG345" s="93"/>
      <c r="DH345" s="93"/>
      <c r="DI345" s="93"/>
      <c r="DJ345" s="93"/>
      <c r="DK345" s="93"/>
      <c r="DL345" s="93"/>
      <c r="DM345" s="93"/>
      <c r="DN345" s="93"/>
      <c r="DO345" s="93"/>
      <c r="DP345" s="93"/>
      <c r="DQ345" s="93"/>
      <c r="DR345" s="93"/>
      <c r="DS345" s="93"/>
      <c r="DT345" s="93"/>
      <c r="DU345" s="93"/>
      <c r="DV345" s="93"/>
      <c r="DW345" s="93"/>
      <c r="DX345" s="93"/>
      <c r="DY345" s="93"/>
      <c r="DZ345" s="93"/>
      <c r="EA345" s="93"/>
      <c r="EB345" s="93"/>
      <c r="EC345" s="93"/>
      <c r="ED345" s="93"/>
      <c r="EE345" s="93"/>
      <c r="EF345" s="93"/>
      <c r="EG345" s="93"/>
      <c r="EH345" s="93"/>
      <c r="EI345" s="93"/>
      <c r="EJ345" s="93"/>
      <c r="EK345" s="93"/>
      <c r="EL345" s="93"/>
      <c r="EM345" s="93"/>
      <c r="EN345" s="93"/>
      <c r="EO345" s="93"/>
      <c r="EP345" s="93"/>
      <c r="EQ345" s="93"/>
      <c r="ER345" s="93"/>
      <c r="ES345" s="93"/>
      <c r="ET345" s="93"/>
      <c r="EU345" s="93"/>
      <c r="EV345" s="93"/>
      <c r="EW345" s="93"/>
      <c r="EX345" s="93"/>
      <c r="EY345" s="93"/>
      <c r="EZ345" s="93"/>
      <c r="FA345" s="93"/>
      <c r="FB345" s="93"/>
      <c r="FC345" s="93"/>
      <c r="FD345" s="93"/>
      <c r="FE345" s="93"/>
      <c r="FF345" s="93"/>
      <c r="FG345" s="93"/>
      <c r="FH345" s="93"/>
      <c r="FI345" s="93"/>
      <c r="FJ345" s="93"/>
      <c r="FK345" s="93"/>
      <c r="FL345" s="93"/>
      <c r="FM345" s="93"/>
      <c r="FN345" s="93"/>
      <c r="FO345" s="93"/>
      <c r="FP345" s="93"/>
      <c r="FQ345" s="93"/>
      <c r="FR345" s="93"/>
      <c r="FS345" s="93"/>
      <c r="FT345" s="93"/>
      <c r="FU345" s="93"/>
      <c r="FV345" s="93"/>
      <c r="FW345" s="93"/>
      <c r="FX345" s="93"/>
      <c r="FY345" s="93"/>
      <c r="FZ345" s="93"/>
      <c r="GA345" s="93"/>
      <c r="GB345" s="93"/>
      <c r="GC345" s="93"/>
      <c r="GD345" s="93"/>
      <c r="GE345" s="93"/>
      <c r="GF345" s="93"/>
      <c r="GG345" s="93"/>
      <c r="GH345" s="93"/>
      <c r="GI345" s="93"/>
      <c r="GJ345" s="93"/>
      <c r="GK345" s="93"/>
      <c r="GL345" s="93"/>
      <c r="GM345" s="93"/>
      <c r="GN345" s="93"/>
      <c r="GO345" s="93"/>
      <c r="GP345" s="93"/>
      <c r="GQ345" s="93"/>
      <c r="GR345" s="93"/>
      <c r="GS345" s="93"/>
      <c r="GT345" s="93"/>
      <c r="GU345" s="93"/>
      <c r="GV345" s="93"/>
      <c r="GW345" s="93"/>
      <c r="GX345" s="93"/>
      <c r="GY345" s="93"/>
      <c r="GZ345" s="93"/>
      <c r="HA345" s="93"/>
      <c r="HB345" s="93"/>
      <c r="HC345" s="93"/>
      <c r="HD345" s="93"/>
      <c r="HE345" s="93"/>
      <c r="HF345" s="93"/>
      <c r="HG345" s="93"/>
      <c r="HH345" s="93"/>
      <c r="HI345" s="93"/>
      <c r="HJ345" s="93"/>
      <c r="HK345" s="93"/>
      <c r="HL345" s="93"/>
      <c r="HM345" s="93"/>
      <c r="HN345" s="93"/>
      <c r="HO345" s="93"/>
      <c r="HP345" s="93"/>
      <c r="HQ345" s="93"/>
      <c r="HR345" s="93"/>
      <c r="HS345" s="93"/>
      <c r="HT345" s="93"/>
      <c r="HU345" s="93"/>
      <c r="HV345" s="93"/>
      <c r="HW345" s="93"/>
      <c r="HX345" s="93"/>
      <c r="HY345" s="93"/>
      <c r="HZ345" s="93"/>
      <c r="IA345" s="93"/>
      <c r="IB345" s="93"/>
      <c r="IC345" s="93"/>
      <c r="ID345" s="93"/>
      <c r="IE345" s="93"/>
      <c r="IF345" s="93"/>
      <c r="IG345" s="93"/>
      <c r="IH345" s="93"/>
      <c r="II345" s="93"/>
      <c r="IJ345" s="93"/>
      <c r="IK345" s="93"/>
      <c r="IL345" s="93"/>
      <c r="IM345" s="93"/>
      <c r="IN345" s="93"/>
      <c r="IO345" s="93"/>
      <c r="IP345" s="93"/>
      <c r="IQ345" s="93"/>
      <c r="IR345" s="93"/>
      <c r="IS345" s="93"/>
      <c r="IT345" s="93"/>
      <c r="IU345" s="93"/>
      <c r="IV345" s="93"/>
      <c r="IW345" s="93"/>
      <c r="IX345" s="93"/>
      <c r="IY345" s="93"/>
      <c r="IZ345" s="93"/>
    </row>
    <row r="346" spans="1:260" s="95" customFormat="1">
      <c r="A346" s="93"/>
      <c r="B346" s="183"/>
      <c r="C346" s="183"/>
      <c r="D346" s="183"/>
      <c r="E346" s="158"/>
      <c r="F346" s="158"/>
      <c r="G346" s="158"/>
      <c r="H346" s="158"/>
      <c r="I346" s="158"/>
      <c r="J346" s="158"/>
      <c r="K346" s="158"/>
      <c r="L346" s="158"/>
      <c r="M346" s="158"/>
      <c r="N346" s="158"/>
      <c r="O346" s="158"/>
      <c r="P346" s="228"/>
      <c r="Q346" s="158"/>
      <c r="R346" s="158"/>
      <c r="S346" s="207"/>
      <c r="T346" s="207"/>
      <c r="U346" s="207"/>
      <c r="V346" s="207"/>
      <c r="W346" s="207"/>
      <c r="X346" s="207"/>
      <c r="Y346" s="207"/>
      <c r="Z346" s="207"/>
      <c r="AA346" s="207"/>
      <c r="AB346" s="207"/>
      <c r="AC346" s="207"/>
      <c r="AD346" s="207"/>
      <c r="AE346" s="207"/>
      <c r="AF346" s="207"/>
      <c r="AG346" s="207"/>
      <c r="AH346" s="207"/>
      <c r="AI346" s="207"/>
      <c r="AJ346" s="207"/>
      <c r="AK346" s="207"/>
      <c r="AL346" s="207"/>
      <c r="AM346" s="94"/>
      <c r="AN346" s="94"/>
      <c r="AO346" s="94"/>
      <c r="AP346" s="94"/>
      <c r="AQ346" s="94"/>
      <c r="AR346" s="94"/>
      <c r="AS346" s="94"/>
      <c r="AT346" s="94"/>
      <c r="AU346" s="94"/>
      <c r="AV346" s="94"/>
      <c r="AW346" s="94"/>
      <c r="AX346" s="94"/>
      <c r="AY346" s="94"/>
      <c r="AZ346" s="93"/>
      <c r="BA346" s="93"/>
      <c r="BB346" s="93"/>
      <c r="BC346" s="93"/>
      <c r="BD346" s="93"/>
      <c r="BE346" s="93"/>
      <c r="BF346" s="93"/>
      <c r="BG346" s="93"/>
      <c r="BH346" s="93"/>
      <c r="BI346" s="93"/>
      <c r="BJ346" s="93"/>
      <c r="BK346" s="93"/>
      <c r="BL346" s="93"/>
      <c r="BM346" s="93"/>
      <c r="BN346" s="93"/>
      <c r="BO346" s="93"/>
      <c r="BP346" s="93"/>
      <c r="BQ346" s="93"/>
      <c r="BR346" s="93"/>
      <c r="BS346" s="93"/>
      <c r="BT346" s="93"/>
      <c r="BU346" s="93"/>
      <c r="BV346" s="93"/>
      <c r="BW346" s="93"/>
      <c r="BX346" s="93"/>
      <c r="BY346" s="93"/>
      <c r="BZ346" s="93"/>
      <c r="CA346" s="93"/>
      <c r="CB346" s="93"/>
      <c r="CC346" s="93"/>
      <c r="CD346" s="93"/>
      <c r="CE346" s="93"/>
      <c r="CF346" s="93"/>
      <c r="CG346" s="93"/>
      <c r="CH346" s="93"/>
      <c r="CI346" s="93"/>
      <c r="CJ346" s="93"/>
      <c r="CK346" s="93"/>
      <c r="CL346" s="93"/>
      <c r="CM346" s="93"/>
      <c r="CN346" s="93"/>
      <c r="CO346" s="93"/>
      <c r="CP346" s="93"/>
      <c r="CQ346" s="93"/>
      <c r="CR346" s="93"/>
      <c r="CS346" s="93"/>
      <c r="CT346" s="93"/>
      <c r="CU346" s="93"/>
      <c r="CV346" s="93"/>
      <c r="CW346" s="93"/>
      <c r="CX346" s="93"/>
      <c r="CY346" s="93"/>
      <c r="CZ346" s="93"/>
      <c r="DA346" s="93"/>
      <c r="DB346" s="93"/>
      <c r="DC346" s="93"/>
      <c r="DD346" s="93"/>
      <c r="DE346" s="93"/>
      <c r="DF346" s="93"/>
      <c r="DG346" s="93"/>
      <c r="DH346" s="93"/>
      <c r="DI346" s="93"/>
      <c r="DJ346" s="93"/>
      <c r="DK346" s="93"/>
      <c r="DL346" s="93"/>
      <c r="DM346" s="93"/>
      <c r="DN346" s="93"/>
      <c r="DO346" s="93"/>
      <c r="DP346" s="93"/>
      <c r="DQ346" s="93"/>
      <c r="DR346" s="93"/>
      <c r="DS346" s="93"/>
      <c r="DT346" s="93"/>
      <c r="DU346" s="93"/>
      <c r="DV346" s="93"/>
      <c r="DW346" s="93"/>
      <c r="DX346" s="93"/>
      <c r="DY346" s="93"/>
      <c r="DZ346" s="93"/>
      <c r="EA346" s="93"/>
      <c r="EB346" s="93"/>
      <c r="EC346" s="93"/>
      <c r="ED346" s="93"/>
      <c r="EE346" s="93"/>
      <c r="EF346" s="93"/>
      <c r="EG346" s="93"/>
      <c r="EH346" s="93"/>
      <c r="EI346" s="93"/>
      <c r="EJ346" s="93"/>
      <c r="EK346" s="93"/>
      <c r="EL346" s="93"/>
      <c r="EM346" s="93"/>
      <c r="EN346" s="93"/>
      <c r="EO346" s="93"/>
      <c r="EP346" s="93"/>
      <c r="EQ346" s="93"/>
      <c r="ER346" s="93"/>
      <c r="ES346" s="93"/>
      <c r="ET346" s="93"/>
      <c r="EU346" s="93"/>
      <c r="EV346" s="93"/>
      <c r="EW346" s="93"/>
      <c r="EX346" s="93"/>
      <c r="EY346" s="93"/>
      <c r="EZ346" s="93"/>
      <c r="FA346" s="93"/>
      <c r="FB346" s="93"/>
      <c r="FC346" s="93"/>
      <c r="FD346" s="93"/>
      <c r="FE346" s="93"/>
      <c r="FF346" s="93"/>
      <c r="FG346" s="93"/>
      <c r="FH346" s="93"/>
      <c r="FI346" s="93"/>
      <c r="FJ346" s="93"/>
      <c r="FK346" s="93"/>
      <c r="FL346" s="93"/>
      <c r="FM346" s="93"/>
      <c r="FN346" s="93"/>
      <c r="FO346" s="93"/>
      <c r="FP346" s="93"/>
      <c r="FQ346" s="93"/>
      <c r="FR346" s="93"/>
      <c r="FS346" s="93"/>
      <c r="FT346" s="93"/>
      <c r="FU346" s="93"/>
      <c r="FV346" s="93"/>
      <c r="FW346" s="93"/>
      <c r="FX346" s="93"/>
      <c r="FY346" s="93"/>
      <c r="FZ346" s="93"/>
      <c r="GA346" s="93"/>
      <c r="GB346" s="93"/>
      <c r="GC346" s="93"/>
      <c r="GD346" s="93"/>
      <c r="GE346" s="93"/>
      <c r="GF346" s="93"/>
      <c r="GG346" s="93"/>
      <c r="GH346" s="93"/>
      <c r="GI346" s="93"/>
      <c r="GJ346" s="93"/>
      <c r="GK346" s="93"/>
      <c r="GL346" s="93"/>
      <c r="GM346" s="93"/>
      <c r="GN346" s="93"/>
      <c r="GO346" s="93"/>
      <c r="GP346" s="93"/>
      <c r="GQ346" s="93"/>
      <c r="GR346" s="93"/>
      <c r="GS346" s="93"/>
      <c r="GT346" s="93"/>
      <c r="GU346" s="93"/>
      <c r="GV346" s="93"/>
      <c r="GW346" s="93"/>
      <c r="GX346" s="93"/>
      <c r="GY346" s="93"/>
      <c r="GZ346" s="93"/>
      <c r="HA346" s="93"/>
      <c r="HB346" s="93"/>
      <c r="HC346" s="93"/>
      <c r="HD346" s="93"/>
      <c r="HE346" s="93"/>
      <c r="HF346" s="93"/>
      <c r="HG346" s="93"/>
      <c r="HH346" s="93"/>
      <c r="HI346" s="93"/>
      <c r="HJ346" s="93"/>
      <c r="HK346" s="93"/>
      <c r="HL346" s="93"/>
      <c r="HM346" s="93"/>
      <c r="HN346" s="93"/>
      <c r="HO346" s="93"/>
      <c r="HP346" s="93"/>
      <c r="HQ346" s="93"/>
      <c r="HR346" s="93"/>
      <c r="HS346" s="93"/>
      <c r="HT346" s="93"/>
      <c r="HU346" s="93"/>
      <c r="HV346" s="93"/>
      <c r="HW346" s="93"/>
      <c r="HX346" s="93"/>
      <c r="HY346" s="93"/>
      <c r="HZ346" s="93"/>
      <c r="IA346" s="93"/>
      <c r="IB346" s="93"/>
      <c r="IC346" s="93"/>
      <c r="ID346" s="93"/>
      <c r="IE346" s="93"/>
      <c r="IF346" s="93"/>
      <c r="IG346" s="93"/>
      <c r="IH346" s="93"/>
      <c r="II346" s="93"/>
      <c r="IJ346" s="93"/>
      <c r="IK346" s="93"/>
      <c r="IL346" s="93"/>
      <c r="IM346" s="93"/>
      <c r="IN346" s="93"/>
      <c r="IO346" s="93"/>
      <c r="IP346" s="93"/>
      <c r="IQ346" s="93"/>
      <c r="IR346" s="93"/>
      <c r="IS346" s="93"/>
      <c r="IT346" s="93"/>
      <c r="IU346" s="93"/>
      <c r="IV346" s="93"/>
      <c r="IW346" s="93"/>
      <c r="IX346" s="93"/>
      <c r="IY346" s="93"/>
      <c r="IZ346" s="93"/>
    </row>
    <row r="347" spans="1:260" s="95" customFormat="1">
      <c r="A347" s="93"/>
      <c r="B347" s="183"/>
      <c r="C347" s="183"/>
      <c r="D347" s="183"/>
      <c r="E347" s="158"/>
      <c r="F347" s="158"/>
      <c r="G347" s="158"/>
      <c r="H347" s="158"/>
      <c r="I347" s="158"/>
      <c r="J347" s="158"/>
      <c r="K347" s="158"/>
      <c r="L347" s="158"/>
      <c r="M347" s="158"/>
      <c r="N347" s="158"/>
      <c r="O347" s="158"/>
      <c r="P347" s="228"/>
      <c r="Q347" s="158"/>
      <c r="R347" s="158"/>
      <c r="S347" s="207"/>
      <c r="T347" s="207"/>
      <c r="U347" s="207"/>
      <c r="V347" s="207"/>
      <c r="W347" s="207"/>
      <c r="X347" s="207"/>
      <c r="Y347" s="207"/>
      <c r="Z347" s="207"/>
      <c r="AA347" s="207"/>
      <c r="AB347" s="207"/>
      <c r="AC347" s="207"/>
      <c r="AD347" s="207"/>
      <c r="AE347" s="207"/>
      <c r="AF347" s="207"/>
      <c r="AG347" s="207"/>
      <c r="AH347" s="207"/>
      <c r="AI347" s="207"/>
      <c r="AJ347" s="207"/>
      <c r="AK347" s="207"/>
      <c r="AL347" s="207"/>
      <c r="AM347" s="94"/>
      <c r="AN347" s="94"/>
      <c r="AO347" s="94"/>
      <c r="AP347" s="94"/>
      <c r="AQ347" s="94"/>
      <c r="AR347" s="94"/>
      <c r="AS347" s="94"/>
      <c r="AT347" s="94"/>
      <c r="AU347" s="94"/>
      <c r="AV347" s="94"/>
      <c r="AW347" s="94"/>
      <c r="AX347" s="94"/>
      <c r="AY347" s="94"/>
      <c r="AZ347" s="93"/>
      <c r="BA347" s="93"/>
      <c r="BB347" s="93"/>
      <c r="BC347" s="93"/>
      <c r="BD347" s="93"/>
      <c r="BE347" s="93"/>
      <c r="BF347" s="93"/>
      <c r="BG347" s="93"/>
      <c r="BH347" s="93"/>
      <c r="BI347" s="93"/>
      <c r="BJ347" s="93"/>
      <c r="BK347" s="93"/>
      <c r="BL347" s="93"/>
      <c r="BM347" s="93"/>
      <c r="BN347" s="93"/>
      <c r="BO347" s="93"/>
      <c r="BP347" s="93"/>
      <c r="BQ347" s="93"/>
      <c r="BR347" s="93"/>
      <c r="BS347" s="93"/>
      <c r="BT347" s="93"/>
      <c r="BU347" s="93"/>
      <c r="BV347" s="93"/>
      <c r="BW347" s="93"/>
      <c r="BX347" s="93"/>
      <c r="BY347" s="93"/>
      <c r="BZ347" s="93"/>
      <c r="CA347" s="93"/>
      <c r="CB347" s="93"/>
      <c r="CC347" s="93"/>
      <c r="CD347" s="93"/>
      <c r="CE347" s="93"/>
      <c r="CF347" s="93"/>
      <c r="CG347" s="93"/>
      <c r="CH347" s="93"/>
      <c r="CI347" s="93"/>
      <c r="CJ347" s="93"/>
      <c r="CK347" s="93"/>
      <c r="CL347" s="93"/>
      <c r="CM347" s="93"/>
      <c r="CN347" s="93"/>
      <c r="CO347" s="93"/>
      <c r="CP347" s="93"/>
      <c r="CQ347" s="93"/>
      <c r="CR347" s="93"/>
      <c r="CS347" s="93"/>
      <c r="CT347" s="93"/>
      <c r="CU347" s="93"/>
      <c r="CV347" s="93"/>
      <c r="CW347" s="93"/>
      <c r="CX347" s="93"/>
      <c r="CY347" s="93"/>
      <c r="CZ347" s="93"/>
      <c r="DA347" s="93"/>
      <c r="DB347" s="93"/>
      <c r="DC347" s="93"/>
      <c r="DD347" s="93"/>
      <c r="DE347" s="93"/>
      <c r="DF347" s="93"/>
      <c r="DG347" s="93"/>
      <c r="DH347" s="93"/>
      <c r="DI347" s="93"/>
      <c r="DJ347" s="93"/>
      <c r="DK347" s="93"/>
      <c r="DL347" s="93"/>
      <c r="DM347" s="93"/>
      <c r="DN347" s="93"/>
      <c r="DO347" s="93"/>
      <c r="DP347" s="93"/>
      <c r="DQ347" s="93"/>
      <c r="DR347" s="93"/>
      <c r="DS347" s="93"/>
      <c r="DT347" s="93"/>
      <c r="DU347" s="93"/>
      <c r="DV347" s="93"/>
      <c r="DW347" s="93"/>
      <c r="DX347" s="93"/>
      <c r="DY347" s="93"/>
      <c r="DZ347" s="93"/>
      <c r="EA347" s="93"/>
      <c r="EB347" s="93"/>
      <c r="EC347" s="93"/>
      <c r="ED347" s="93"/>
      <c r="EE347" s="93"/>
      <c r="EF347" s="93"/>
      <c r="EG347" s="93"/>
      <c r="EH347" s="93"/>
      <c r="EI347" s="93"/>
      <c r="EJ347" s="93"/>
      <c r="EK347" s="93"/>
      <c r="EL347" s="93"/>
      <c r="EM347" s="93"/>
      <c r="EN347" s="93"/>
      <c r="EO347" s="93"/>
      <c r="EP347" s="93"/>
      <c r="EQ347" s="93"/>
      <c r="ER347" s="93"/>
      <c r="ES347" s="93"/>
      <c r="ET347" s="93"/>
      <c r="EU347" s="93"/>
      <c r="EV347" s="93"/>
      <c r="EW347" s="93"/>
      <c r="EX347" s="93"/>
      <c r="EY347" s="93"/>
      <c r="EZ347" s="93"/>
      <c r="FA347" s="93"/>
      <c r="FB347" s="93"/>
      <c r="FC347" s="93"/>
      <c r="FD347" s="93"/>
      <c r="FE347" s="93"/>
      <c r="FF347" s="93"/>
      <c r="FG347" s="93"/>
      <c r="FH347" s="93"/>
      <c r="FI347" s="93"/>
      <c r="FJ347" s="93"/>
      <c r="FK347" s="93"/>
      <c r="FL347" s="93"/>
      <c r="FM347" s="93"/>
      <c r="FN347" s="93"/>
      <c r="FO347" s="93"/>
      <c r="FP347" s="93"/>
      <c r="FQ347" s="93"/>
      <c r="FR347" s="93"/>
      <c r="FS347" s="93"/>
      <c r="FT347" s="93"/>
      <c r="FU347" s="93"/>
      <c r="FV347" s="93"/>
      <c r="FW347" s="93"/>
      <c r="FX347" s="93"/>
      <c r="FY347" s="93"/>
      <c r="FZ347" s="93"/>
      <c r="GA347" s="93"/>
      <c r="GB347" s="93"/>
      <c r="GC347" s="93"/>
      <c r="GD347" s="93"/>
      <c r="GE347" s="93"/>
      <c r="GF347" s="93"/>
      <c r="GG347" s="93"/>
      <c r="GH347" s="93"/>
      <c r="GI347" s="93"/>
      <c r="GJ347" s="93"/>
      <c r="GK347" s="93"/>
      <c r="GL347" s="93"/>
      <c r="GM347" s="93"/>
      <c r="GN347" s="93"/>
      <c r="GO347" s="93"/>
      <c r="GP347" s="93"/>
      <c r="GQ347" s="93"/>
      <c r="GR347" s="93"/>
      <c r="GS347" s="93"/>
      <c r="GT347" s="93"/>
      <c r="GU347" s="93"/>
      <c r="GV347" s="93"/>
      <c r="GW347" s="93"/>
      <c r="GX347" s="93"/>
      <c r="GY347" s="93"/>
      <c r="GZ347" s="93"/>
      <c r="HA347" s="93"/>
      <c r="HB347" s="93"/>
      <c r="HC347" s="93"/>
      <c r="HD347" s="93"/>
      <c r="HE347" s="93"/>
      <c r="HF347" s="93"/>
      <c r="HG347" s="93"/>
      <c r="HH347" s="93"/>
      <c r="HI347" s="93"/>
      <c r="HJ347" s="93"/>
      <c r="HK347" s="93"/>
      <c r="HL347" s="93"/>
      <c r="HM347" s="93"/>
      <c r="HN347" s="93"/>
      <c r="HO347" s="93"/>
      <c r="HP347" s="93"/>
      <c r="HQ347" s="93"/>
      <c r="HR347" s="93"/>
      <c r="HS347" s="93"/>
      <c r="HT347" s="93"/>
      <c r="HU347" s="93"/>
      <c r="HV347" s="93"/>
      <c r="HW347" s="93"/>
      <c r="HX347" s="93"/>
      <c r="HY347" s="93"/>
      <c r="HZ347" s="93"/>
      <c r="IA347" s="93"/>
      <c r="IB347" s="93"/>
      <c r="IC347" s="93"/>
      <c r="ID347" s="93"/>
      <c r="IE347" s="93"/>
      <c r="IF347" s="93"/>
      <c r="IG347" s="93"/>
      <c r="IH347" s="93"/>
      <c r="II347" s="93"/>
      <c r="IJ347" s="93"/>
      <c r="IK347" s="93"/>
      <c r="IL347" s="93"/>
      <c r="IM347" s="93"/>
      <c r="IN347" s="93"/>
      <c r="IO347" s="93"/>
      <c r="IP347" s="93"/>
      <c r="IQ347" s="93"/>
      <c r="IR347" s="93"/>
      <c r="IS347" s="93"/>
      <c r="IT347" s="93"/>
      <c r="IU347" s="93"/>
      <c r="IV347" s="93"/>
      <c r="IW347" s="93"/>
      <c r="IX347" s="93"/>
      <c r="IY347" s="93"/>
      <c r="IZ347" s="93"/>
    </row>
    <row r="348" spans="1:260" s="95" customFormat="1">
      <c r="A348" s="93"/>
      <c r="B348" s="183"/>
      <c r="C348" s="183"/>
      <c r="D348" s="183"/>
      <c r="E348" s="158"/>
      <c r="F348" s="158"/>
      <c r="G348" s="158"/>
      <c r="H348" s="158"/>
      <c r="I348" s="158"/>
      <c r="J348" s="158"/>
      <c r="K348" s="158"/>
      <c r="L348" s="158"/>
      <c r="M348" s="158"/>
      <c r="N348" s="158"/>
      <c r="O348" s="158"/>
      <c r="P348" s="228"/>
      <c r="Q348" s="158"/>
      <c r="R348" s="158"/>
      <c r="S348" s="207"/>
      <c r="T348" s="207"/>
      <c r="U348" s="207"/>
      <c r="V348" s="207"/>
      <c r="W348" s="207"/>
      <c r="X348" s="207"/>
      <c r="Y348" s="207"/>
      <c r="Z348" s="207"/>
      <c r="AA348" s="207"/>
      <c r="AB348" s="207"/>
      <c r="AC348" s="207"/>
      <c r="AD348" s="207"/>
      <c r="AE348" s="207"/>
      <c r="AF348" s="207"/>
      <c r="AG348" s="207"/>
      <c r="AH348" s="207"/>
      <c r="AI348" s="207"/>
      <c r="AJ348" s="207"/>
      <c r="AK348" s="207"/>
      <c r="AL348" s="207"/>
      <c r="AM348" s="94"/>
      <c r="AN348" s="94"/>
      <c r="AO348" s="94"/>
      <c r="AP348" s="94"/>
      <c r="AQ348" s="94"/>
      <c r="AR348" s="94"/>
      <c r="AS348" s="94"/>
      <c r="AT348" s="94"/>
      <c r="AU348" s="94"/>
      <c r="AV348" s="94"/>
      <c r="AW348" s="94"/>
      <c r="AX348" s="94"/>
      <c r="AY348" s="94"/>
      <c r="AZ348" s="93"/>
      <c r="BA348" s="93"/>
      <c r="BB348" s="93"/>
      <c r="BC348" s="93"/>
      <c r="BD348" s="93"/>
      <c r="BE348" s="93"/>
      <c r="BF348" s="93"/>
      <c r="BG348" s="93"/>
      <c r="BH348" s="93"/>
      <c r="BI348" s="93"/>
      <c r="BJ348" s="93"/>
      <c r="BK348" s="93"/>
      <c r="BL348" s="93"/>
      <c r="BM348" s="93"/>
      <c r="BN348" s="93"/>
      <c r="BO348" s="93"/>
      <c r="BP348" s="93"/>
      <c r="BQ348" s="93"/>
      <c r="BR348" s="93"/>
      <c r="BS348" s="93"/>
      <c r="BT348" s="93"/>
      <c r="BU348" s="93"/>
      <c r="BV348" s="93"/>
      <c r="BW348" s="93"/>
      <c r="BX348" s="93"/>
      <c r="BY348" s="93"/>
      <c r="BZ348" s="93"/>
      <c r="CA348" s="93"/>
      <c r="CB348" s="93"/>
      <c r="CC348" s="93"/>
      <c r="CD348" s="93"/>
      <c r="CE348" s="93"/>
      <c r="CF348" s="93"/>
      <c r="CG348" s="93"/>
      <c r="CH348" s="93"/>
      <c r="CI348" s="93"/>
      <c r="CJ348" s="93"/>
      <c r="CK348" s="93"/>
      <c r="CL348" s="93"/>
      <c r="CM348" s="93"/>
      <c r="CN348" s="93"/>
      <c r="CO348" s="93"/>
      <c r="CP348" s="93"/>
      <c r="CQ348" s="93"/>
      <c r="CR348" s="93"/>
      <c r="CS348" s="93"/>
      <c r="CT348" s="93"/>
      <c r="CU348" s="93"/>
      <c r="CV348" s="93"/>
      <c r="CW348" s="93"/>
      <c r="CX348" s="93"/>
      <c r="CY348" s="93"/>
      <c r="CZ348" s="93"/>
      <c r="DA348" s="93"/>
      <c r="DB348" s="93"/>
      <c r="DC348" s="93"/>
      <c r="DD348" s="93"/>
      <c r="DE348" s="93"/>
      <c r="DF348" s="93"/>
      <c r="DG348" s="93"/>
      <c r="DH348" s="93"/>
      <c r="DI348" s="93"/>
      <c r="DJ348" s="93"/>
      <c r="DK348" s="93"/>
      <c r="DL348" s="93"/>
      <c r="DM348" s="93"/>
      <c r="DN348" s="93"/>
      <c r="DO348" s="93"/>
      <c r="DP348" s="93"/>
      <c r="DQ348" s="93"/>
      <c r="DR348" s="93"/>
      <c r="DS348" s="93"/>
      <c r="DT348" s="93"/>
      <c r="DU348" s="93"/>
      <c r="DV348" s="93"/>
      <c r="DW348" s="93"/>
      <c r="DX348" s="93"/>
      <c r="DY348" s="93"/>
      <c r="DZ348" s="93"/>
      <c r="EA348" s="93"/>
      <c r="EB348" s="93"/>
      <c r="EC348" s="93"/>
      <c r="ED348" s="93"/>
      <c r="EE348" s="93"/>
      <c r="EF348" s="93"/>
      <c r="EG348" s="93"/>
      <c r="EH348" s="93"/>
      <c r="EI348" s="93"/>
      <c r="EJ348" s="93"/>
      <c r="EK348" s="93"/>
      <c r="EL348" s="93"/>
      <c r="EM348" s="93"/>
      <c r="EN348" s="93"/>
      <c r="EO348" s="93"/>
      <c r="EP348" s="93"/>
      <c r="EQ348" s="93"/>
      <c r="ER348" s="93"/>
      <c r="ES348" s="93"/>
      <c r="ET348" s="93"/>
      <c r="EU348" s="93"/>
      <c r="EV348" s="93"/>
      <c r="EW348" s="93"/>
      <c r="EX348" s="93"/>
      <c r="EY348" s="93"/>
      <c r="EZ348" s="93"/>
      <c r="FA348" s="93"/>
      <c r="FB348" s="93"/>
      <c r="FC348" s="93"/>
      <c r="FD348" s="93"/>
      <c r="FE348" s="93"/>
      <c r="FF348" s="93"/>
      <c r="FG348" s="93"/>
      <c r="FH348" s="93"/>
      <c r="FI348" s="93"/>
      <c r="FJ348" s="93"/>
      <c r="FK348" s="93"/>
      <c r="FL348" s="93"/>
      <c r="FM348" s="93"/>
      <c r="FN348" s="93"/>
      <c r="FO348" s="93"/>
      <c r="FP348" s="93"/>
      <c r="FQ348" s="93"/>
      <c r="FR348" s="93"/>
      <c r="FS348" s="93"/>
      <c r="FT348" s="93"/>
      <c r="FU348" s="93"/>
      <c r="FV348" s="93"/>
      <c r="FW348" s="93"/>
      <c r="FX348" s="93"/>
      <c r="FY348" s="93"/>
      <c r="FZ348" s="93"/>
      <c r="GA348" s="93"/>
      <c r="GB348" s="93"/>
      <c r="GC348" s="93"/>
      <c r="GD348" s="93"/>
      <c r="GE348" s="93"/>
      <c r="GF348" s="93"/>
      <c r="GG348" s="93"/>
      <c r="GH348" s="93"/>
      <c r="GI348" s="93"/>
      <c r="GJ348" s="93"/>
      <c r="GK348" s="93"/>
      <c r="GL348" s="93"/>
      <c r="GM348" s="93"/>
      <c r="GN348" s="93"/>
      <c r="GO348" s="93"/>
      <c r="GP348" s="93"/>
      <c r="GQ348" s="93"/>
      <c r="GR348" s="93"/>
      <c r="GS348" s="93"/>
      <c r="GT348" s="93"/>
      <c r="GU348" s="93"/>
      <c r="GV348" s="93"/>
      <c r="GW348" s="93"/>
      <c r="GX348" s="93"/>
      <c r="GY348" s="93"/>
      <c r="GZ348" s="93"/>
      <c r="HA348" s="93"/>
      <c r="HB348" s="93"/>
      <c r="HC348" s="93"/>
      <c r="HD348" s="93"/>
      <c r="HE348" s="93"/>
      <c r="HF348" s="93"/>
      <c r="HG348" s="93"/>
      <c r="HH348" s="93"/>
      <c r="HI348" s="93"/>
      <c r="HJ348" s="93"/>
      <c r="HK348" s="93"/>
      <c r="HL348" s="93"/>
      <c r="HM348" s="93"/>
      <c r="HN348" s="93"/>
      <c r="HO348" s="93"/>
      <c r="HP348" s="93"/>
      <c r="HQ348" s="93"/>
      <c r="HR348" s="93"/>
      <c r="HS348" s="93"/>
      <c r="HT348" s="93"/>
      <c r="HU348" s="93"/>
      <c r="HV348" s="93"/>
      <c r="HW348" s="93"/>
      <c r="HX348" s="93"/>
      <c r="HY348" s="93"/>
      <c r="HZ348" s="93"/>
      <c r="IA348" s="93"/>
      <c r="IB348" s="93"/>
      <c r="IC348" s="93"/>
      <c r="ID348" s="93"/>
      <c r="IE348" s="93"/>
      <c r="IF348" s="93"/>
      <c r="IG348" s="93"/>
      <c r="IH348" s="93"/>
      <c r="II348" s="93"/>
      <c r="IJ348" s="93"/>
      <c r="IK348" s="93"/>
      <c r="IL348" s="93"/>
      <c r="IM348" s="93"/>
      <c r="IN348" s="93"/>
      <c r="IO348" s="93"/>
      <c r="IP348" s="93"/>
      <c r="IQ348" s="93"/>
      <c r="IR348" s="93"/>
      <c r="IS348" s="93"/>
      <c r="IT348" s="93"/>
      <c r="IU348" s="93"/>
      <c r="IV348" s="93"/>
      <c r="IW348" s="93"/>
      <c r="IX348" s="93"/>
      <c r="IY348" s="93"/>
      <c r="IZ348" s="93"/>
    </row>
    <row r="349" spans="1:260" s="95" customFormat="1">
      <c r="A349" s="93"/>
      <c r="B349" s="183"/>
      <c r="C349" s="183"/>
      <c r="D349" s="183"/>
      <c r="E349" s="158"/>
      <c r="F349" s="158"/>
      <c r="G349" s="158"/>
      <c r="H349" s="158"/>
      <c r="I349" s="158"/>
      <c r="J349" s="158"/>
      <c r="K349" s="158"/>
      <c r="L349" s="158"/>
      <c r="M349" s="158"/>
      <c r="N349" s="158"/>
      <c r="O349" s="158"/>
      <c r="P349" s="228"/>
      <c r="Q349" s="158"/>
      <c r="R349" s="158"/>
      <c r="S349" s="207"/>
      <c r="T349" s="207"/>
      <c r="U349" s="207"/>
      <c r="V349" s="207"/>
      <c r="W349" s="207"/>
      <c r="X349" s="207"/>
      <c r="Y349" s="207"/>
      <c r="Z349" s="207"/>
      <c r="AA349" s="207"/>
      <c r="AB349" s="207"/>
      <c r="AC349" s="207"/>
      <c r="AD349" s="207"/>
      <c r="AE349" s="207"/>
      <c r="AF349" s="207"/>
      <c r="AG349" s="207"/>
      <c r="AH349" s="207"/>
      <c r="AI349" s="207"/>
      <c r="AJ349" s="207"/>
      <c r="AK349" s="207"/>
      <c r="AL349" s="207"/>
      <c r="AM349" s="94"/>
      <c r="AN349" s="94"/>
      <c r="AO349" s="94"/>
      <c r="AP349" s="94"/>
      <c r="AQ349" s="94"/>
      <c r="AR349" s="94"/>
      <c r="AS349" s="94"/>
      <c r="AT349" s="94"/>
      <c r="AU349" s="94"/>
      <c r="AV349" s="94"/>
      <c r="AW349" s="94"/>
      <c r="AX349" s="94"/>
      <c r="AY349" s="94"/>
      <c r="AZ349" s="93"/>
      <c r="BA349" s="93"/>
      <c r="BB349" s="93"/>
      <c r="BC349" s="93"/>
      <c r="BD349" s="93"/>
      <c r="BE349" s="93"/>
      <c r="BF349" s="93"/>
      <c r="BG349" s="93"/>
      <c r="BH349" s="93"/>
      <c r="BI349" s="93"/>
      <c r="BJ349" s="93"/>
      <c r="BK349" s="93"/>
      <c r="BL349" s="93"/>
      <c r="BM349" s="93"/>
      <c r="BN349" s="93"/>
      <c r="BO349" s="93"/>
      <c r="BP349" s="93"/>
      <c r="BQ349" s="93"/>
      <c r="BR349" s="93"/>
      <c r="BS349" s="93"/>
      <c r="BT349" s="93"/>
      <c r="BU349" s="93"/>
      <c r="BV349" s="93"/>
      <c r="BW349" s="93"/>
      <c r="BX349" s="93"/>
      <c r="BY349" s="93"/>
      <c r="BZ349" s="93"/>
      <c r="CA349" s="93"/>
      <c r="CB349" s="93"/>
      <c r="CC349" s="93"/>
      <c r="CD349" s="93"/>
      <c r="CE349" s="93"/>
      <c r="CF349" s="93"/>
      <c r="CG349" s="93"/>
      <c r="CH349" s="93"/>
      <c r="CI349" s="93"/>
      <c r="CJ349" s="93"/>
      <c r="CK349" s="93"/>
      <c r="CL349" s="93"/>
      <c r="CM349" s="93"/>
      <c r="CN349" s="93"/>
      <c r="CO349" s="93"/>
      <c r="CP349" s="93"/>
      <c r="CQ349" s="93"/>
      <c r="CR349" s="93"/>
      <c r="CS349" s="93"/>
      <c r="CT349" s="93"/>
      <c r="CU349" s="93"/>
      <c r="CV349" s="93"/>
      <c r="CW349" s="93"/>
      <c r="CX349" s="93"/>
      <c r="CY349" s="93"/>
      <c r="CZ349" s="93"/>
      <c r="DA349" s="93"/>
      <c r="DB349" s="93"/>
      <c r="DC349" s="93"/>
      <c r="DD349" s="93"/>
      <c r="DE349" s="93"/>
      <c r="DF349" s="93"/>
      <c r="DG349" s="93"/>
      <c r="DH349" s="93"/>
      <c r="DI349" s="93"/>
      <c r="DJ349" s="93"/>
      <c r="DK349" s="93"/>
      <c r="DL349" s="93"/>
      <c r="DM349" s="93"/>
      <c r="DN349" s="93"/>
      <c r="DO349" s="93"/>
      <c r="DP349" s="93"/>
      <c r="DQ349" s="93"/>
      <c r="DR349" s="93"/>
      <c r="DS349" s="93"/>
      <c r="DT349" s="93"/>
      <c r="DU349" s="93"/>
      <c r="DV349" s="93"/>
      <c r="DW349" s="93"/>
      <c r="DX349" s="93"/>
      <c r="DY349" s="93"/>
      <c r="DZ349" s="93"/>
      <c r="EA349" s="93"/>
      <c r="EB349" s="93"/>
      <c r="EC349" s="93"/>
      <c r="ED349" s="93"/>
      <c r="EE349" s="93"/>
      <c r="EF349" s="93"/>
      <c r="EG349" s="93"/>
      <c r="EH349" s="93"/>
      <c r="EI349" s="93"/>
      <c r="EJ349" s="93"/>
      <c r="EK349" s="93"/>
      <c r="EL349" s="93"/>
      <c r="EM349" s="93"/>
      <c r="EN349" s="93"/>
      <c r="EO349" s="93"/>
      <c r="EP349" s="93"/>
      <c r="EQ349" s="93"/>
      <c r="ER349" s="93"/>
      <c r="ES349" s="93"/>
      <c r="ET349" s="93"/>
      <c r="EU349" s="93"/>
      <c r="EV349" s="93"/>
      <c r="EW349" s="93"/>
      <c r="EX349" s="93"/>
      <c r="EY349" s="93"/>
      <c r="EZ349" s="93"/>
      <c r="FA349" s="93"/>
      <c r="FB349" s="93"/>
      <c r="FC349" s="93"/>
      <c r="FD349" s="93"/>
      <c r="FE349" s="93"/>
      <c r="FF349" s="93"/>
      <c r="FG349" s="93"/>
      <c r="FH349" s="93"/>
      <c r="FI349" s="93"/>
      <c r="FJ349" s="93"/>
      <c r="FK349" s="93"/>
      <c r="FL349" s="93"/>
      <c r="FM349" s="93"/>
      <c r="FN349" s="93"/>
      <c r="FO349" s="93"/>
      <c r="FP349" s="93"/>
      <c r="FQ349" s="93"/>
      <c r="FR349" s="93"/>
      <c r="FS349" s="93"/>
      <c r="FT349" s="93"/>
      <c r="FU349" s="93"/>
      <c r="FV349" s="93"/>
      <c r="FW349" s="93"/>
      <c r="FX349" s="93"/>
      <c r="FY349" s="93"/>
      <c r="FZ349" s="93"/>
      <c r="GA349" s="93"/>
      <c r="GB349" s="93"/>
      <c r="GC349" s="93"/>
      <c r="GD349" s="93"/>
      <c r="GE349" s="93"/>
      <c r="GF349" s="93"/>
      <c r="GG349" s="93"/>
      <c r="GH349" s="93"/>
      <c r="GI349" s="93"/>
      <c r="GJ349" s="93"/>
      <c r="GK349" s="93"/>
      <c r="GL349" s="93"/>
      <c r="GM349" s="93"/>
      <c r="GN349" s="93"/>
      <c r="GO349" s="93"/>
      <c r="GP349" s="93"/>
      <c r="GQ349" s="93"/>
      <c r="GR349" s="93"/>
      <c r="GS349" s="93"/>
      <c r="GT349" s="93"/>
      <c r="GU349" s="93"/>
      <c r="GV349" s="93"/>
      <c r="GW349" s="93"/>
      <c r="GX349" s="93"/>
      <c r="GY349" s="93"/>
      <c r="GZ349" s="93"/>
      <c r="HA349" s="93"/>
      <c r="HB349" s="93"/>
      <c r="HC349" s="93"/>
      <c r="HD349" s="93"/>
      <c r="HE349" s="93"/>
      <c r="HF349" s="93"/>
      <c r="HG349" s="93"/>
      <c r="HH349" s="93"/>
      <c r="HI349" s="93"/>
      <c r="HJ349" s="93"/>
      <c r="HK349" s="93"/>
      <c r="HL349" s="93"/>
      <c r="HM349" s="93"/>
      <c r="HN349" s="93"/>
      <c r="HO349" s="93"/>
      <c r="HP349" s="93"/>
      <c r="HQ349" s="93"/>
      <c r="HR349" s="93"/>
      <c r="HS349" s="93"/>
      <c r="HT349" s="93"/>
      <c r="HU349" s="93"/>
      <c r="HV349" s="93"/>
      <c r="HW349" s="93"/>
      <c r="HX349" s="93"/>
      <c r="HY349" s="93"/>
      <c r="HZ349" s="93"/>
      <c r="IA349" s="93"/>
      <c r="IB349" s="93"/>
      <c r="IC349" s="93"/>
      <c r="ID349" s="93"/>
      <c r="IE349" s="93"/>
      <c r="IF349" s="93"/>
      <c r="IG349" s="93"/>
      <c r="IH349" s="93"/>
      <c r="II349" s="93"/>
      <c r="IJ349" s="93"/>
      <c r="IK349" s="93"/>
      <c r="IL349" s="93"/>
      <c r="IM349" s="93"/>
      <c r="IN349" s="93"/>
      <c r="IO349" s="93"/>
      <c r="IP349" s="93"/>
      <c r="IQ349" s="93"/>
      <c r="IR349" s="93"/>
      <c r="IS349" s="93"/>
      <c r="IT349" s="93"/>
      <c r="IU349" s="93"/>
      <c r="IV349" s="93"/>
      <c r="IW349" s="93"/>
      <c r="IX349" s="93"/>
      <c r="IY349" s="93"/>
      <c r="IZ349" s="93"/>
    </row>
    <row r="350" spans="1:260" s="95" customFormat="1">
      <c r="A350" s="93"/>
      <c r="B350" s="183"/>
      <c r="C350" s="183"/>
      <c r="D350" s="183"/>
      <c r="E350" s="158"/>
      <c r="F350" s="158"/>
      <c r="G350" s="158"/>
      <c r="H350" s="158"/>
      <c r="I350" s="158"/>
      <c r="J350" s="158"/>
      <c r="K350" s="158"/>
      <c r="L350" s="158"/>
      <c r="M350" s="158"/>
      <c r="N350" s="158"/>
      <c r="O350" s="158"/>
      <c r="P350" s="228"/>
      <c r="Q350" s="158"/>
      <c r="R350" s="158"/>
      <c r="S350" s="207"/>
      <c r="T350" s="207"/>
      <c r="U350" s="207"/>
      <c r="V350" s="207"/>
      <c r="W350" s="207"/>
      <c r="X350" s="207"/>
      <c r="Y350" s="207"/>
      <c r="Z350" s="207"/>
      <c r="AA350" s="207"/>
      <c r="AB350" s="207"/>
      <c r="AC350" s="207"/>
      <c r="AD350" s="207"/>
      <c r="AE350" s="207"/>
      <c r="AF350" s="207"/>
      <c r="AG350" s="207"/>
      <c r="AH350" s="207"/>
      <c r="AI350" s="207"/>
      <c r="AJ350" s="207"/>
      <c r="AK350" s="207"/>
      <c r="AL350" s="207"/>
      <c r="AM350" s="94"/>
      <c r="AN350" s="94"/>
      <c r="AO350" s="94"/>
      <c r="AP350" s="94"/>
      <c r="AQ350" s="94"/>
      <c r="AR350" s="94"/>
      <c r="AS350" s="94"/>
      <c r="AT350" s="94"/>
      <c r="AU350" s="94"/>
      <c r="AV350" s="94"/>
      <c r="AW350" s="94"/>
      <c r="AX350" s="94"/>
      <c r="AY350" s="94"/>
      <c r="AZ350" s="93"/>
      <c r="BA350" s="93"/>
      <c r="BB350" s="93"/>
      <c r="BC350" s="93"/>
      <c r="BD350" s="93"/>
      <c r="BE350" s="93"/>
      <c r="BF350" s="93"/>
      <c r="BG350" s="93"/>
      <c r="BH350" s="93"/>
      <c r="BI350" s="93"/>
      <c r="BJ350" s="93"/>
      <c r="BK350" s="93"/>
      <c r="BL350" s="93"/>
      <c r="BM350" s="93"/>
      <c r="BN350" s="93"/>
      <c r="BO350" s="93"/>
      <c r="BP350" s="93"/>
      <c r="BQ350" s="93"/>
      <c r="BR350" s="93"/>
      <c r="BS350" s="93"/>
      <c r="BT350" s="93"/>
      <c r="BU350" s="93"/>
      <c r="BV350" s="93"/>
      <c r="BW350" s="93"/>
      <c r="BX350" s="93"/>
      <c r="BY350" s="93"/>
      <c r="BZ350" s="93"/>
      <c r="CA350" s="93"/>
      <c r="CB350" s="93"/>
      <c r="CC350" s="93"/>
      <c r="CD350" s="93"/>
      <c r="CE350" s="93"/>
      <c r="CF350" s="93"/>
      <c r="CG350" s="93"/>
      <c r="CH350" s="93"/>
      <c r="CI350" s="93"/>
      <c r="CJ350" s="93"/>
      <c r="CK350" s="93"/>
      <c r="CL350" s="93"/>
      <c r="CM350" s="93"/>
      <c r="CN350" s="93"/>
      <c r="CO350" s="93"/>
      <c r="CP350" s="93"/>
      <c r="CQ350" s="93"/>
      <c r="CR350" s="93"/>
      <c r="CS350" s="93"/>
      <c r="CT350" s="93"/>
      <c r="CU350" s="93"/>
      <c r="CV350" s="93"/>
      <c r="CW350" s="93"/>
      <c r="CX350" s="93"/>
      <c r="CY350" s="93"/>
      <c r="CZ350" s="93"/>
      <c r="DA350" s="93"/>
      <c r="DB350" s="93"/>
      <c r="DC350" s="93"/>
      <c r="DD350" s="93"/>
      <c r="DE350" s="93"/>
      <c r="DF350" s="93"/>
      <c r="DG350" s="93"/>
      <c r="DH350" s="93"/>
      <c r="DI350" s="93"/>
      <c r="DJ350" s="93"/>
      <c r="DK350" s="93"/>
      <c r="DL350" s="93"/>
      <c r="DM350" s="93"/>
      <c r="DN350" s="93"/>
      <c r="DO350" s="93"/>
      <c r="DP350" s="93"/>
      <c r="DQ350" s="93"/>
      <c r="DR350" s="93"/>
      <c r="DS350" s="93"/>
      <c r="DT350" s="93"/>
      <c r="DU350" s="93"/>
      <c r="DV350" s="93"/>
      <c r="DW350" s="93"/>
      <c r="DX350" s="93"/>
      <c r="DY350" s="93"/>
      <c r="DZ350" s="93"/>
      <c r="EA350" s="93"/>
      <c r="EB350" s="93"/>
      <c r="EC350" s="93"/>
      <c r="ED350" s="93"/>
      <c r="EE350" s="93"/>
      <c r="EF350" s="93"/>
      <c r="EG350" s="93"/>
      <c r="EH350" s="93"/>
      <c r="EI350" s="93"/>
      <c r="EJ350" s="93"/>
      <c r="EK350" s="93"/>
      <c r="EL350" s="93"/>
      <c r="EM350" s="93"/>
      <c r="EN350" s="93"/>
      <c r="EO350" s="93"/>
      <c r="EP350" s="93"/>
      <c r="EQ350" s="93"/>
      <c r="ER350" s="93"/>
      <c r="ES350" s="93"/>
      <c r="ET350" s="93"/>
      <c r="EU350" s="93"/>
      <c r="EV350" s="93"/>
      <c r="EW350" s="93"/>
      <c r="EX350" s="93"/>
      <c r="EY350" s="93"/>
      <c r="EZ350" s="93"/>
      <c r="FA350" s="93"/>
      <c r="FB350" s="93"/>
      <c r="FC350" s="93"/>
      <c r="FD350" s="93"/>
      <c r="FE350" s="93"/>
      <c r="FF350" s="93"/>
      <c r="FG350" s="93"/>
      <c r="FH350" s="93"/>
      <c r="FI350" s="93"/>
      <c r="FJ350" s="93"/>
      <c r="FK350" s="93"/>
      <c r="FL350" s="93"/>
      <c r="FM350" s="93"/>
      <c r="FN350" s="93"/>
      <c r="FO350" s="93"/>
      <c r="FP350" s="93"/>
      <c r="FQ350" s="93"/>
      <c r="FR350" s="93"/>
      <c r="FS350" s="93"/>
      <c r="FT350" s="93"/>
      <c r="FU350" s="93"/>
      <c r="FV350" s="93"/>
      <c r="FW350" s="93"/>
      <c r="FX350" s="93"/>
      <c r="FY350" s="93"/>
      <c r="FZ350" s="93"/>
      <c r="GA350" s="93"/>
      <c r="GB350" s="93"/>
      <c r="GC350" s="93"/>
      <c r="GD350" s="93"/>
      <c r="GE350" s="93"/>
      <c r="GF350" s="93"/>
      <c r="GG350" s="93"/>
      <c r="GH350" s="93"/>
      <c r="GI350" s="93"/>
      <c r="GJ350" s="93"/>
      <c r="GK350" s="93"/>
      <c r="GL350" s="93"/>
      <c r="GM350" s="93"/>
      <c r="GN350" s="93"/>
      <c r="GO350" s="93"/>
      <c r="GP350" s="93"/>
      <c r="GQ350" s="93"/>
      <c r="GR350" s="93"/>
      <c r="GS350" s="93"/>
      <c r="GT350" s="93"/>
      <c r="GU350" s="93"/>
      <c r="GV350" s="93"/>
      <c r="GW350" s="93"/>
      <c r="GX350" s="93"/>
      <c r="GY350" s="93"/>
      <c r="GZ350" s="93"/>
      <c r="HA350" s="93"/>
      <c r="HB350" s="93"/>
      <c r="HC350" s="93"/>
      <c r="HD350" s="93"/>
      <c r="HE350" s="93"/>
      <c r="HF350" s="93"/>
      <c r="HG350" s="93"/>
      <c r="HH350" s="93"/>
      <c r="HI350" s="93"/>
      <c r="HJ350" s="93"/>
      <c r="HK350" s="93"/>
      <c r="HL350" s="93"/>
      <c r="HM350" s="93"/>
      <c r="HN350" s="93"/>
      <c r="HO350" s="93"/>
      <c r="HP350" s="93"/>
      <c r="HQ350" s="93"/>
      <c r="HR350" s="93"/>
      <c r="HS350" s="93"/>
      <c r="HT350" s="93"/>
      <c r="HU350" s="93"/>
      <c r="HV350" s="93"/>
      <c r="HW350" s="93"/>
      <c r="HX350" s="93"/>
      <c r="HY350" s="93"/>
      <c r="HZ350" s="93"/>
      <c r="IA350" s="93"/>
      <c r="IB350" s="93"/>
      <c r="IC350" s="93"/>
      <c r="ID350" s="93"/>
      <c r="IE350" s="93"/>
      <c r="IF350" s="93"/>
      <c r="IG350" s="93"/>
      <c r="IH350" s="93"/>
      <c r="II350" s="93"/>
      <c r="IJ350" s="93"/>
      <c r="IK350" s="93"/>
      <c r="IL350" s="93"/>
      <c r="IM350" s="93"/>
      <c r="IN350" s="93"/>
      <c r="IO350" s="93"/>
      <c r="IP350" s="93"/>
      <c r="IQ350" s="93"/>
      <c r="IR350" s="93"/>
      <c r="IS350" s="93"/>
      <c r="IT350" s="93"/>
      <c r="IU350" s="93"/>
      <c r="IV350" s="93"/>
      <c r="IW350" s="93"/>
      <c r="IX350" s="93"/>
      <c r="IY350" s="93"/>
      <c r="IZ350" s="93"/>
    </row>
    <row r="351" spans="1:260" s="95" customFormat="1">
      <c r="A351" s="93"/>
      <c r="B351" s="183"/>
      <c r="C351" s="183"/>
      <c r="D351" s="183"/>
      <c r="E351" s="158"/>
      <c r="F351" s="158"/>
      <c r="G351" s="158"/>
      <c r="H351" s="158"/>
      <c r="I351" s="158"/>
      <c r="J351" s="158"/>
      <c r="K351" s="158"/>
      <c r="L351" s="158"/>
      <c r="M351" s="158"/>
      <c r="N351" s="158"/>
      <c r="O351" s="158"/>
      <c r="P351" s="228"/>
      <c r="Q351" s="158"/>
      <c r="R351" s="158"/>
      <c r="S351" s="207"/>
      <c r="T351" s="207"/>
      <c r="U351" s="207"/>
      <c r="V351" s="207"/>
      <c r="W351" s="207"/>
      <c r="X351" s="207"/>
      <c r="Y351" s="207"/>
      <c r="Z351" s="207"/>
      <c r="AA351" s="207"/>
      <c r="AB351" s="207"/>
      <c r="AC351" s="207"/>
      <c r="AD351" s="207"/>
      <c r="AE351" s="207"/>
      <c r="AF351" s="207"/>
      <c r="AG351" s="207"/>
      <c r="AH351" s="207"/>
      <c r="AI351" s="207"/>
      <c r="AJ351" s="207"/>
      <c r="AK351" s="207"/>
      <c r="AL351" s="207"/>
      <c r="AM351" s="94"/>
      <c r="AN351" s="94"/>
      <c r="AO351" s="94"/>
      <c r="AP351" s="94"/>
      <c r="AQ351" s="94"/>
      <c r="AR351" s="94"/>
      <c r="AS351" s="94"/>
      <c r="AT351" s="94"/>
      <c r="AU351" s="94"/>
      <c r="AV351" s="94"/>
      <c r="AW351" s="94"/>
      <c r="AX351" s="94"/>
      <c r="AY351" s="94"/>
      <c r="AZ351" s="93"/>
      <c r="BA351" s="93"/>
      <c r="BB351" s="93"/>
      <c r="BC351" s="93"/>
      <c r="BD351" s="93"/>
      <c r="BE351" s="93"/>
      <c r="BF351" s="93"/>
      <c r="BG351" s="93"/>
      <c r="BH351" s="93"/>
      <c r="BI351" s="93"/>
      <c r="BJ351" s="93"/>
      <c r="BK351" s="93"/>
      <c r="BL351" s="93"/>
      <c r="BM351" s="93"/>
      <c r="BN351" s="93"/>
      <c r="BO351" s="93"/>
      <c r="BP351" s="93"/>
      <c r="BQ351" s="93"/>
      <c r="BR351" s="93"/>
      <c r="BS351" s="93"/>
      <c r="BT351" s="93"/>
      <c r="BU351" s="93"/>
      <c r="BV351" s="93"/>
      <c r="BW351" s="93"/>
      <c r="BX351" s="93"/>
      <c r="BY351" s="93"/>
      <c r="BZ351" s="93"/>
      <c r="CA351" s="93"/>
      <c r="CB351" s="93"/>
      <c r="CC351" s="93"/>
      <c r="CD351" s="93"/>
      <c r="CE351" s="93"/>
      <c r="CF351" s="93"/>
      <c r="CG351" s="93"/>
      <c r="CH351" s="93"/>
      <c r="CI351" s="93"/>
      <c r="CJ351" s="93"/>
      <c r="CK351" s="93"/>
      <c r="CL351" s="93"/>
      <c r="CM351" s="93"/>
      <c r="CN351" s="93"/>
      <c r="CO351" s="93"/>
      <c r="CP351" s="93"/>
      <c r="CQ351" s="93"/>
      <c r="CR351" s="93"/>
      <c r="CS351" s="93"/>
      <c r="CT351" s="93"/>
      <c r="CU351" s="93"/>
      <c r="CV351" s="93"/>
      <c r="CW351" s="93"/>
      <c r="CX351" s="93"/>
      <c r="CY351" s="93"/>
      <c r="CZ351" s="93"/>
      <c r="DA351" s="93"/>
      <c r="DB351" s="93"/>
      <c r="DC351" s="93"/>
      <c r="DD351" s="93"/>
      <c r="DE351" s="93"/>
      <c r="DF351" s="93"/>
      <c r="DG351" s="93"/>
      <c r="DH351" s="93"/>
      <c r="DI351" s="93"/>
      <c r="DJ351" s="93"/>
      <c r="DK351" s="93"/>
      <c r="DL351" s="93"/>
      <c r="DM351" s="93"/>
      <c r="DN351" s="93"/>
      <c r="DO351" s="93"/>
      <c r="DP351" s="93"/>
      <c r="DQ351" s="93"/>
      <c r="DR351" s="93"/>
      <c r="DS351" s="93"/>
      <c r="DT351" s="93"/>
      <c r="DU351" s="93"/>
      <c r="DV351" s="93"/>
      <c r="DW351" s="93"/>
      <c r="DX351" s="93"/>
      <c r="DY351" s="93"/>
      <c r="DZ351" s="93"/>
      <c r="EA351" s="93"/>
      <c r="EB351" s="93"/>
      <c r="EC351" s="93"/>
      <c r="ED351" s="93"/>
      <c r="EE351" s="93"/>
      <c r="EF351" s="93"/>
      <c r="EG351" s="93"/>
      <c r="EH351" s="93"/>
      <c r="EI351" s="93"/>
      <c r="EJ351" s="93"/>
      <c r="EK351" s="93"/>
      <c r="EL351" s="93"/>
      <c r="EM351" s="93"/>
      <c r="EN351" s="93"/>
      <c r="EO351" s="93"/>
      <c r="EP351" s="93"/>
      <c r="EQ351" s="93"/>
      <c r="ER351" s="93"/>
      <c r="ES351" s="93"/>
      <c r="ET351" s="93"/>
      <c r="EU351" s="93"/>
      <c r="EV351" s="93"/>
      <c r="EW351" s="93"/>
      <c r="EX351" s="93"/>
      <c r="EY351" s="93"/>
      <c r="EZ351" s="93"/>
      <c r="FA351" s="93"/>
      <c r="FB351" s="93"/>
      <c r="FC351" s="93"/>
      <c r="FD351" s="93"/>
      <c r="FE351" s="93"/>
      <c r="FF351" s="93"/>
      <c r="FG351" s="93"/>
      <c r="FH351" s="93"/>
      <c r="FI351" s="93"/>
      <c r="FJ351" s="93"/>
      <c r="FK351" s="93"/>
      <c r="FL351" s="93"/>
      <c r="FM351" s="93"/>
      <c r="FN351" s="93"/>
      <c r="FO351" s="93"/>
      <c r="FP351" s="93"/>
      <c r="FQ351" s="93"/>
      <c r="FR351" s="93"/>
      <c r="FS351" s="93"/>
      <c r="FT351" s="93"/>
      <c r="FU351" s="93"/>
      <c r="FV351" s="93"/>
      <c r="FW351" s="93"/>
      <c r="FX351" s="93"/>
      <c r="FY351" s="93"/>
      <c r="FZ351" s="93"/>
      <c r="GA351" s="93"/>
      <c r="GB351" s="93"/>
      <c r="GC351" s="93"/>
      <c r="GD351" s="93"/>
      <c r="GE351" s="93"/>
      <c r="GF351" s="93"/>
      <c r="GG351" s="93"/>
      <c r="GH351" s="93"/>
      <c r="GI351" s="93"/>
      <c r="GJ351" s="93"/>
      <c r="GK351" s="93"/>
      <c r="GL351" s="93"/>
      <c r="GM351" s="93"/>
      <c r="GN351" s="93"/>
      <c r="GO351" s="93"/>
      <c r="GP351" s="93"/>
      <c r="GQ351" s="93"/>
      <c r="GR351" s="93"/>
      <c r="GS351" s="93"/>
      <c r="GT351" s="93"/>
      <c r="GU351" s="93"/>
      <c r="GV351" s="93"/>
      <c r="GW351" s="93"/>
      <c r="GX351" s="93"/>
      <c r="GY351" s="93"/>
      <c r="GZ351" s="93"/>
      <c r="HA351" s="93"/>
      <c r="HB351" s="93"/>
      <c r="HC351" s="93"/>
      <c r="HD351" s="93"/>
      <c r="HE351" s="93"/>
      <c r="HF351" s="93"/>
      <c r="HG351" s="93"/>
      <c r="HH351" s="93"/>
      <c r="HI351" s="93"/>
      <c r="HJ351" s="93"/>
      <c r="HK351" s="93"/>
      <c r="HL351" s="93"/>
      <c r="HM351" s="93"/>
      <c r="HN351" s="93"/>
      <c r="HO351" s="93"/>
      <c r="HP351" s="93"/>
      <c r="HQ351" s="93"/>
      <c r="HR351" s="93"/>
      <c r="HS351" s="93"/>
      <c r="HT351" s="93"/>
      <c r="HU351" s="93"/>
      <c r="HV351" s="93"/>
      <c r="HW351" s="93"/>
      <c r="HX351" s="93"/>
      <c r="HY351" s="93"/>
      <c r="HZ351" s="93"/>
      <c r="IA351" s="93"/>
      <c r="IB351" s="93"/>
      <c r="IC351" s="93"/>
      <c r="ID351" s="93"/>
      <c r="IE351" s="93"/>
      <c r="IF351" s="93"/>
      <c r="IG351" s="93"/>
      <c r="IH351" s="93"/>
      <c r="II351" s="93"/>
      <c r="IJ351" s="93"/>
      <c r="IK351" s="93"/>
      <c r="IL351" s="93"/>
      <c r="IM351" s="93"/>
      <c r="IN351" s="93"/>
      <c r="IO351" s="93"/>
      <c r="IP351" s="93"/>
      <c r="IQ351" s="93"/>
      <c r="IR351" s="93"/>
      <c r="IS351" s="93"/>
      <c r="IT351" s="93"/>
      <c r="IU351" s="93"/>
      <c r="IV351" s="93"/>
      <c r="IW351" s="93"/>
      <c r="IX351" s="93"/>
      <c r="IY351" s="93"/>
      <c r="IZ351" s="93"/>
    </row>
    <row r="352" spans="1:260" s="95" customFormat="1">
      <c r="A352" s="93"/>
      <c r="B352" s="183"/>
      <c r="C352" s="183"/>
      <c r="D352" s="183"/>
      <c r="E352" s="158"/>
      <c r="F352" s="158"/>
      <c r="G352" s="158"/>
      <c r="H352" s="158"/>
      <c r="I352" s="158"/>
      <c r="J352" s="158"/>
      <c r="K352" s="158"/>
      <c r="L352" s="158"/>
      <c r="M352" s="158"/>
      <c r="N352" s="158"/>
      <c r="O352" s="158"/>
      <c r="P352" s="228"/>
      <c r="Q352" s="158"/>
      <c r="R352" s="158"/>
      <c r="S352" s="207"/>
      <c r="T352" s="207"/>
      <c r="U352" s="207"/>
      <c r="V352" s="207"/>
      <c r="W352" s="207"/>
      <c r="X352" s="207"/>
      <c r="Y352" s="207"/>
      <c r="Z352" s="207"/>
      <c r="AA352" s="207"/>
      <c r="AB352" s="207"/>
      <c r="AC352" s="207"/>
      <c r="AD352" s="207"/>
      <c r="AE352" s="207"/>
      <c r="AF352" s="207"/>
      <c r="AG352" s="207"/>
      <c r="AH352" s="207"/>
      <c r="AI352" s="207"/>
      <c r="AJ352" s="207"/>
      <c r="AK352" s="207"/>
      <c r="AL352" s="207"/>
      <c r="AM352" s="94"/>
      <c r="AN352" s="94"/>
      <c r="AO352" s="94"/>
      <c r="AP352" s="94"/>
      <c r="AQ352" s="94"/>
      <c r="AR352" s="94"/>
      <c r="AS352" s="94"/>
      <c r="AT352" s="94"/>
      <c r="AU352" s="94"/>
      <c r="AV352" s="94"/>
      <c r="AW352" s="94"/>
      <c r="AX352" s="94"/>
      <c r="AY352" s="94"/>
      <c r="AZ352" s="93"/>
      <c r="BA352" s="93"/>
      <c r="BB352" s="93"/>
      <c r="BC352" s="93"/>
      <c r="BD352" s="93"/>
      <c r="BE352" s="93"/>
      <c r="BF352" s="93"/>
      <c r="BG352" s="93"/>
      <c r="BH352" s="93"/>
      <c r="BI352" s="93"/>
      <c r="BJ352" s="93"/>
      <c r="BK352" s="93"/>
      <c r="BL352" s="93"/>
      <c r="BM352" s="93"/>
      <c r="BN352" s="93"/>
      <c r="BO352" s="93"/>
      <c r="BP352" s="93"/>
      <c r="BQ352" s="93"/>
      <c r="BR352" s="93"/>
      <c r="BS352" s="93"/>
      <c r="BT352" s="93"/>
      <c r="BU352" s="93"/>
      <c r="BV352" s="93"/>
      <c r="BW352" s="93"/>
      <c r="BX352" s="93"/>
      <c r="BY352" s="93"/>
      <c r="BZ352" s="93"/>
      <c r="CA352" s="93"/>
      <c r="CB352" s="93"/>
      <c r="CC352" s="93"/>
      <c r="CD352" s="93"/>
      <c r="CE352" s="93"/>
      <c r="CF352" s="93"/>
      <c r="CG352" s="93"/>
      <c r="CH352" s="93"/>
      <c r="CI352" s="93"/>
      <c r="CJ352" s="93"/>
      <c r="CK352" s="93"/>
      <c r="CL352" s="93"/>
      <c r="CM352" s="93"/>
      <c r="CN352" s="93"/>
      <c r="CO352" s="93"/>
      <c r="CP352" s="93"/>
      <c r="CQ352" s="93"/>
      <c r="CR352" s="93"/>
      <c r="CS352" s="93"/>
      <c r="CT352" s="93"/>
      <c r="CU352" s="93"/>
      <c r="CV352" s="93"/>
      <c r="CW352" s="93"/>
      <c r="CX352" s="93"/>
      <c r="CY352" s="93"/>
      <c r="CZ352" s="93"/>
      <c r="DA352" s="93"/>
      <c r="DB352" s="93"/>
      <c r="DC352" s="93"/>
      <c r="DD352" s="93"/>
      <c r="DE352" s="93"/>
      <c r="DF352" s="93"/>
      <c r="DG352" s="93"/>
      <c r="DH352" s="93"/>
      <c r="DI352" s="93"/>
      <c r="DJ352" s="93"/>
      <c r="DK352" s="93"/>
      <c r="DL352" s="93"/>
      <c r="DM352" s="93"/>
      <c r="DN352" s="93"/>
      <c r="DO352" s="93"/>
      <c r="DP352" s="93"/>
      <c r="DQ352" s="93"/>
      <c r="DR352" s="93"/>
      <c r="DS352" s="93"/>
      <c r="DT352" s="93"/>
      <c r="DU352" s="93"/>
      <c r="DV352" s="93"/>
      <c r="DW352" s="93"/>
      <c r="DX352" s="93"/>
      <c r="DY352" s="93"/>
      <c r="DZ352" s="93"/>
      <c r="EA352" s="93"/>
      <c r="EB352" s="93"/>
      <c r="EC352" s="93"/>
      <c r="ED352" s="93"/>
      <c r="EE352" s="93"/>
      <c r="EF352" s="93"/>
      <c r="EG352" s="93"/>
      <c r="EH352" s="93"/>
      <c r="EI352" s="93"/>
      <c r="EJ352" s="93"/>
      <c r="EK352" s="93"/>
      <c r="EL352" s="93"/>
      <c r="EM352" s="93"/>
      <c r="EN352" s="93"/>
      <c r="EO352" s="93"/>
      <c r="EP352" s="93"/>
      <c r="EQ352" s="93"/>
      <c r="ER352" s="93"/>
      <c r="ES352" s="93"/>
      <c r="ET352" s="93"/>
      <c r="EU352" s="93"/>
      <c r="EV352" s="93"/>
      <c r="EW352" s="93"/>
      <c r="EX352" s="93"/>
      <c r="EY352" s="93"/>
      <c r="EZ352" s="93"/>
      <c r="FA352" s="93"/>
      <c r="FB352" s="93"/>
      <c r="FC352" s="93"/>
      <c r="FD352" s="93"/>
      <c r="FE352" s="93"/>
      <c r="FF352" s="93"/>
      <c r="FG352" s="93"/>
      <c r="FH352" s="93"/>
      <c r="FI352" s="93"/>
      <c r="FJ352" s="93"/>
      <c r="FK352" s="93"/>
      <c r="FL352" s="93"/>
      <c r="FM352" s="93"/>
      <c r="FN352" s="93"/>
      <c r="FO352" s="93"/>
      <c r="FP352" s="93"/>
      <c r="FQ352" s="93"/>
      <c r="FR352" s="93"/>
      <c r="FS352" s="93"/>
      <c r="FT352" s="93"/>
      <c r="FU352" s="93"/>
      <c r="FV352" s="93"/>
      <c r="FW352" s="93"/>
      <c r="FX352" s="93"/>
      <c r="FY352" s="93"/>
      <c r="FZ352" s="93"/>
      <c r="GA352" s="93"/>
      <c r="GB352" s="93"/>
      <c r="GC352" s="93"/>
      <c r="GD352" s="93"/>
      <c r="GE352" s="93"/>
      <c r="GF352" s="93"/>
      <c r="GG352" s="93"/>
      <c r="GH352" s="93"/>
      <c r="GI352" s="93"/>
      <c r="GJ352" s="93"/>
      <c r="GK352" s="93"/>
      <c r="GL352" s="93"/>
      <c r="GM352" s="93"/>
      <c r="GN352" s="93"/>
      <c r="GO352" s="93"/>
      <c r="GP352" s="93"/>
      <c r="GQ352" s="93"/>
      <c r="GR352" s="93"/>
      <c r="GS352" s="93"/>
      <c r="GT352" s="93"/>
      <c r="GU352" s="93"/>
      <c r="GV352" s="93"/>
      <c r="GW352" s="93"/>
      <c r="GX352" s="93"/>
      <c r="GY352" s="93"/>
      <c r="GZ352" s="93"/>
      <c r="HA352" s="93"/>
      <c r="HB352" s="93"/>
      <c r="HC352" s="93"/>
      <c r="HD352" s="93"/>
      <c r="HE352" s="93"/>
      <c r="HF352" s="93"/>
      <c r="HG352" s="93"/>
      <c r="HH352" s="93"/>
      <c r="HI352" s="93"/>
      <c r="HJ352" s="93"/>
      <c r="HK352" s="93"/>
      <c r="HL352" s="93"/>
      <c r="HM352" s="93"/>
      <c r="HN352" s="93"/>
      <c r="HO352" s="93"/>
      <c r="HP352" s="93"/>
      <c r="HQ352" s="93"/>
      <c r="HR352" s="93"/>
      <c r="HS352" s="93"/>
      <c r="HT352" s="93"/>
      <c r="HU352" s="93"/>
      <c r="HV352" s="93"/>
      <c r="HW352" s="93"/>
      <c r="HX352" s="93"/>
      <c r="HY352" s="93"/>
      <c r="HZ352" s="93"/>
      <c r="IA352" s="93"/>
      <c r="IB352" s="93"/>
      <c r="IC352" s="93"/>
      <c r="ID352" s="93"/>
      <c r="IE352" s="93"/>
      <c r="IF352" s="93"/>
      <c r="IG352" s="93"/>
      <c r="IH352" s="93"/>
      <c r="II352" s="93"/>
      <c r="IJ352" s="93"/>
      <c r="IK352" s="93"/>
      <c r="IL352" s="93"/>
      <c r="IM352" s="93"/>
      <c r="IN352" s="93"/>
      <c r="IO352" s="93"/>
      <c r="IP352" s="93"/>
      <c r="IQ352" s="93"/>
      <c r="IR352" s="93"/>
      <c r="IS352" s="93"/>
      <c r="IT352" s="93"/>
      <c r="IU352" s="93"/>
      <c r="IV352" s="93"/>
      <c r="IW352" s="93"/>
      <c r="IX352" s="93"/>
      <c r="IY352" s="93"/>
      <c r="IZ352" s="93"/>
    </row>
    <row r="353" spans="1:260" s="95" customFormat="1">
      <c r="A353" s="93"/>
      <c r="B353" s="183"/>
      <c r="C353" s="183"/>
      <c r="D353" s="183"/>
      <c r="E353" s="158"/>
      <c r="F353" s="158"/>
      <c r="G353" s="158"/>
      <c r="H353" s="158"/>
      <c r="I353" s="158"/>
      <c r="J353" s="158"/>
      <c r="K353" s="158"/>
      <c r="L353" s="158"/>
      <c r="M353" s="158"/>
      <c r="N353" s="158"/>
      <c r="O353" s="158"/>
      <c r="P353" s="228"/>
      <c r="Q353" s="158"/>
      <c r="R353" s="158"/>
      <c r="S353" s="207"/>
      <c r="T353" s="207"/>
      <c r="U353" s="207"/>
      <c r="V353" s="207"/>
      <c r="W353" s="207"/>
      <c r="X353" s="207"/>
      <c r="Y353" s="207"/>
      <c r="Z353" s="207"/>
      <c r="AA353" s="207"/>
      <c r="AB353" s="207"/>
      <c r="AC353" s="207"/>
      <c r="AD353" s="207"/>
      <c r="AE353" s="207"/>
      <c r="AF353" s="207"/>
      <c r="AG353" s="207"/>
      <c r="AH353" s="207"/>
      <c r="AI353" s="207"/>
      <c r="AJ353" s="207"/>
      <c r="AK353" s="207"/>
      <c r="AL353" s="207"/>
      <c r="AM353" s="94"/>
      <c r="AN353" s="94"/>
      <c r="AO353" s="94"/>
      <c r="AP353" s="94"/>
      <c r="AQ353" s="94"/>
      <c r="AR353" s="94"/>
      <c r="AS353" s="94"/>
      <c r="AT353" s="94"/>
      <c r="AU353" s="94"/>
      <c r="AV353" s="94"/>
      <c r="AW353" s="94"/>
      <c r="AX353" s="94"/>
      <c r="AY353" s="94"/>
      <c r="AZ353" s="93"/>
      <c r="BA353" s="93"/>
      <c r="BB353" s="93"/>
      <c r="BC353" s="93"/>
      <c r="BD353" s="93"/>
      <c r="BE353" s="93"/>
      <c r="BF353" s="93"/>
      <c r="BG353" s="93"/>
      <c r="BH353" s="93"/>
      <c r="BI353" s="93"/>
      <c r="BJ353" s="93"/>
      <c r="BK353" s="93"/>
      <c r="BL353" s="93"/>
      <c r="BM353" s="93"/>
      <c r="BN353" s="93"/>
      <c r="BO353" s="93"/>
      <c r="BP353" s="93"/>
      <c r="BQ353" s="93"/>
      <c r="BR353" s="93"/>
      <c r="BS353" s="93"/>
      <c r="BT353" s="93"/>
      <c r="BU353" s="93"/>
      <c r="BV353" s="93"/>
      <c r="BW353" s="93"/>
      <c r="BX353" s="93"/>
      <c r="BY353" s="93"/>
      <c r="BZ353" s="93"/>
      <c r="CA353" s="93"/>
      <c r="CB353" s="93"/>
      <c r="CC353" s="93"/>
      <c r="CD353" s="93"/>
      <c r="CE353" s="93"/>
      <c r="CF353" s="93"/>
      <c r="CG353" s="93"/>
      <c r="CH353" s="93"/>
      <c r="CI353" s="93"/>
      <c r="CJ353" s="93"/>
      <c r="CK353" s="93"/>
      <c r="CL353" s="93"/>
      <c r="CM353" s="93"/>
      <c r="CN353" s="93"/>
      <c r="CO353" s="93"/>
      <c r="CP353" s="93"/>
      <c r="CQ353" s="93"/>
      <c r="CR353" s="93"/>
      <c r="CS353" s="93"/>
      <c r="CT353" s="93"/>
      <c r="CU353" s="93"/>
      <c r="CV353" s="93"/>
      <c r="CW353" s="93"/>
      <c r="CX353" s="93"/>
      <c r="CY353" s="93"/>
      <c r="CZ353" s="93"/>
      <c r="DA353" s="93"/>
      <c r="DB353" s="93"/>
      <c r="DC353" s="93"/>
      <c r="DD353" s="93"/>
      <c r="DE353" s="93"/>
      <c r="DF353" s="93"/>
      <c r="DG353" s="93"/>
      <c r="DH353" s="93"/>
      <c r="DI353" s="93"/>
      <c r="DJ353" s="93"/>
      <c r="DK353" s="93"/>
      <c r="DL353" s="93"/>
      <c r="DM353" s="93"/>
      <c r="DN353" s="93"/>
      <c r="DO353" s="93"/>
      <c r="DP353" s="93"/>
      <c r="DQ353" s="93"/>
      <c r="DR353" s="93"/>
      <c r="DS353" s="93"/>
      <c r="DT353" s="93"/>
      <c r="DU353" s="93"/>
      <c r="DV353" s="93"/>
      <c r="DW353" s="93"/>
      <c r="DX353" s="93"/>
      <c r="DY353" s="93"/>
      <c r="DZ353" s="93"/>
      <c r="EA353" s="93"/>
      <c r="EB353" s="93"/>
      <c r="EC353" s="93"/>
      <c r="ED353" s="93"/>
      <c r="EE353" s="93"/>
      <c r="EF353" s="93"/>
      <c r="EG353" s="93"/>
      <c r="EH353" s="93"/>
      <c r="EI353" s="93"/>
      <c r="EJ353" s="93"/>
      <c r="EK353" s="93"/>
      <c r="EL353" s="93"/>
      <c r="EM353" s="93"/>
      <c r="EN353" s="93"/>
      <c r="EO353" s="93"/>
      <c r="EP353" s="93"/>
      <c r="EQ353" s="93"/>
      <c r="ER353" s="93"/>
      <c r="ES353" s="93"/>
      <c r="ET353" s="93"/>
      <c r="EU353" s="93"/>
      <c r="EV353" s="93"/>
      <c r="EW353" s="93"/>
      <c r="EX353" s="93"/>
      <c r="EY353" s="93"/>
      <c r="EZ353" s="93"/>
      <c r="FA353" s="93"/>
      <c r="FB353" s="93"/>
      <c r="FC353" s="93"/>
      <c r="FD353" s="93"/>
      <c r="FE353" s="93"/>
      <c r="FF353" s="93"/>
      <c r="FG353" s="93"/>
      <c r="FH353" s="93"/>
      <c r="FI353" s="93"/>
      <c r="FJ353" s="93"/>
      <c r="FK353" s="93"/>
      <c r="FL353" s="93"/>
      <c r="FM353" s="93"/>
      <c r="FN353" s="93"/>
      <c r="FO353" s="93"/>
      <c r="FP353" s="93"/>
      <c r="FQ353" s="93"/>
      <c r="FR353" s="93"/>
      <c r="FS353" s="93"/>
      <c r="FT353" s="93"/>
      <c r="FU353" s="93"/>
      <c r="FV353" s="93"/>
      <c r="FW353" s="93"/>
      <c r="FX353" s="93"/>
      <c r="FY353" s="93"/>
      <c r="FZ353" s="93"/>
      <c r="GA353" s="93"/>
      <c r="GB353" s="93"/>
      <c r="GC353" s="93"/>
      <c r="GD353" s="93"/>
      <c r="GE353" s="93"/>
      <c r="GF353" s="93"/>
      <c r="GG353" s="93"/>
      <c r="GH353" s="93"/>
      <c r="GI353" s="93"/>
      <c r="GJ353" s="93"/>
      <c r="GK353" s="93"/>
      <c r="GL353" s="93"/>
      <c r="GM353" s="93"/>
      <c r="GN353" s="93"/>
      <c r="GO353" s="93"/>
      <c r="GP353" s="93"/>
      <c r="GQ353" s="93"/>
      <c r="GR353" s="93"/>
      <c r="GS353" s="93"/>
      <c r="GT353" s="93"/>
      <c r="GU353" s="93"/>
      <c r="GV353" s="93"/>
      <c r="GW353" s="93"/>
      <c r="GX353" s="93"/>
      <c r="GY353" s="93"/>
      <c r="GZ353" s="93"/>
      <c r="HA353" s="93"/>
      <c r="HB353" s="93"/>
      <c r="HC353" s="93"/>
      <c r="HD353" s="93"/>
      <c r="HE353" s="93"/>
      <c r="HF353" s="93"/>
      <c r="HG353" s="93"/>
      <c r="HH353" s="93"/>
      <c r="HI353" s="93"/>
      <c r="HJ353" s="93"/>
      <c r="HK353" s="93"/>
      <c r="HL353" s="93"/>
      <c r="HM353" s="93"/>
      <c r="HN353" s="93"/>
      <c r="HO353" s="93"/>
      <c r="HP353" s="93"/>
      <c r="HQ353" s="93"/>
      <c r="HR353" s="93"/>
      <c r="HS353" s="93"/>
      <c r="HT353" s="93"/>
      <c r="HU353" s="93"/>
      <c r="HV353" s="93"/>
      <c r="HW353" s="93"/>
      <c r="HX353" s="93"/>
      <c r="HY353" s="93"/>
      <c r="HZ353" s="93"/>
      <c r="IA353" s="93"/>
      <c r="IB353" s="93"/>
      <c r="IC353" s="93"/>
      <c r="ID353" s="93"/>
      <c r="IE353" s="93"/>
      <c r="IF353" s="93"/>
      <c r="IG353" s="93"/>
      <c r="IH353" s="93"/>
      <c r="II353" s="93"/>
      <c r="IJ353" s="93"/>
      <c r="IK353" s="93"/>
      <c r="IL353" s="93"/>
      <c r="IM353" s="93"/>
      <c r="IN353" s="93"/>
      <c r="IO353" s="93"/>
      <c r="IP353" s="93"/>
      <c r="IQ353" s="93"/>
      <c r="IR353" s="93"/>
      <c r="IS353" s="93"/>
      <c r="IT353" s="93"/>
      <c r="IU353" s="93"/>
      <c r="IV353" s="93"/>
      <c r="IW353" s="93"/>
      <c r="IX353" s="93"/>
      <c r="IY353" s="93"/>
      <c r="IZ353" s="93"/>
    </row>
    <row r="354" spans="1:260" s="95" customFormat="1">
      <c r="A354" s="93"/>
      <c r="B354" s="183"/>
      <c r="C354" s="183"/>
      <c r="D354" s="183"/>
      <c r="E354" s="158"/>
      <c r="F354" s="158"/>
      <c r="G354" s="158"/>
      <c r="H354" s="158"/>
      <c r="I354" s="158"/>
      <c r="J354" s="158"/>
      <c r="K354" s="158"/>
      <c r="L354" s="158"/>
      <c r="M354" s="158"/>
      <c r="N354" s="158"/>
      <c r="O354" s="158"/>
      <c r="P354" s="228"/>
      <c r="Q354" s="158"/>
      <c r="R354" s="158"/>
      <c r="S354" s="207"/>
      <c r="T354" s="207"/>
      <c r="U354" s="207"/>
      <c r="V354" s="207"/>
      <c r="W354" s="207"/>
      <c r="X354" s="207"/>
      <c r="Y354" s="207"/>
      <c r="Z354" s="207"/>
      <c r="AA354" s="207"/>
      <c r="AB354" s="207"/>
      <c r="AC354" s="207"/>
      <c r="AD354" s="207"/>
      <c r="AE354" s="207"/>
      <c r="AF354" s="207"/>
      <c r="AG354" s="207"/>
      <c r="AH354" s="207"/>
      <c r="AI354" s="207"/>
      <c r="AJ354" s="207"/>
      <c r="AK354" s="207"/>
      <c r="AL354" s="207"/>
      <c r="AM354" s="94"/>
      <c r="AN354" s="94"/>
      <c r="AO354" s="94"/>
      <c r="AP354" s="94"/>
      <c r="AQ354" s="94"/>
      <c r="AR354" s="94"/>
      <c r="AS354" s="94"/>
      <c r="AT354" s="94"/>
      <c r="AU354" s="94"/>
      <c r="AV354" s="94"/>
      <c r="AW354" s="94"/>
      <c r="AX354" s="94"/>
      <c r="AY354" s="94"/>
      <c r="AZ354" s="93"/>
      <c r="BA354" s="93"/>
      <c r="BB354" s="93"/>
      <c r="BC354" s="93"/>
      <c r="BD354" s="93"/>
      <c r="BE354" s="93"/>
      <c r="BF354" s="93"/>
      <c r="BG354" s="93"/>
      <c r="BH354" s="93"/>
      <c r="BI354" s="93"/>
      <c r="BJ354" s="93"/>
      <c r="BK354" s="93"/>
      <c r="BL354" s="93"/>
      <c r="BM354" s="93"/>
      <c r="BN354" s="93"/>
      <c r="BO354" s="93"/>
      <c r="BP354" s="93"/>
      <c r="BQ354" s="93"/>
      <c r="BR354" s="93"/>
      <c r="BS354" s="93"/>
      <c r="BT354" s="93"/>
      <c r="BU354" s="93"/>
      <c r="BV354" s="93"/>
      <c r="BW354" s="93"/>
      <c r="BX354" s="93"/>
      <c r="BY354" s="93"/>
      <c r="BZ354" s="93"/>
      <c r="CA354" s="93"/>
      <c r="CB354" s="93"/>
      <c r="CC354" s="93"/>
      <c r="CD354" s="93"/>
      <c r="CE354" s="93"/>
      <c r="CF354" s="93"/>
      <c r="CG354" s="93"/>
      <c r="CH354" s="93"/>
      <c r="CI354" s="93"/>
      <c r="CJ354" s="93"/>
      <c r="CK354" s="93"/>
      <c r="CL354" s="93"/>
      <c r="CM354" s="93"/>
      <c r="CN354" s="93"/>
      <c r="CO354" s="93"/>
      <c r="CP354" s="93"/>
      <c r="CQ354" s="93"/>
      <c r="CR354" s="93"/>
      <c r="CS354" s="93"/>
      <c r="CT354" s="93"/>
      <c r="CU354" s="93"/>
      <c r="CV354" s="93"/>
      <c r="CW354" s="93"/>
      <c r="CX354" s="93"/>
      <c r="CY354" s="93"/>
      <c r="CZ354" s="93"/>
      <c r="DA354" s="93"/>
      <c r="DB354" s="93"/>
      <c r="DC354" s="93"/>
      <c r="DD354" s="93"/>
      <c r="DE354" s="93"/>
      <c r="DF354" s="93"/>
      <c r="DG354" s="93"/>
      <c r="DH354" s="93"/>
      <c r="DI354" s="93"/>
      <c r="DJ354" s="93"/>
      <c r="DK354" s="93"/>
      <c r="DL354" s="93"/>
      <c r="DM354" s="93"/>
      <c r="DN354" s="93"/>
      <c r="DO354" s="93"/>
      <c r="DP354" s="93"/>
      <c r="DQ354" s="93"/>
      <c r="DR354" s="93"/>
      <c r="DS354" s="93"/>
      <c r="DT354" s="93"/>
      <c r="DU354" s="93"/>
      <c r="DV354" s="93"/>
      <c r="DW354" s="93"/>
      <c r="DX354" s="93"/>
      <c r="DY354" s="93"/>
      <c r="DZ354" s="93"/>
      <c r="EA354" s="93"/>
      <c r="EB354" s="93"/>
      <c r="EC354" s="93"/>
      <c r="ED354" s="93"/>
      <c r="EE354" s="93"/>
      <c r="EF354" s="93"/>
      <c r="EG354" s="93"/>
      <c r="EH354" s="93"/>
      <c r="EI354" s="93"/>
      <c r="EJ354" s="93"/>
      <c r="EK354" s="93"/>
      <c r="EL354" s="93"/>
      <c r="EM354" s="93"/>
      <c r="EN354" s="93"/>
      <c r="EO354" s="93"/>
      <c r="EP354" s="93"/>
      <c r="EQ354" s="93"/>
      <c r="ER354" s="93"/>
      <c r="ES354" s="93"/>
      <c r="ET354" s="93"/>
      <c r="EU354" s="93"/>
      <c r="EV354" s="93"/>
      <c r="EW354" s="93"/>
      <c r="EX354" s="93"/>
      <c r="EY354" s="93"/>
      <c r="EZ354" s="93"/>
      <c r="FA354" s="93"/>
      <c r="FB354" s="93"/>
      <c r="FC354" s="93"/>
      <c r="FD354" s="93"/>
      <c r="FE354" s="93"/>
      <c r="FF354" s="93"/>
      <c r="FG354" s="93"/>
      <c r="FH354" s="93"/>
      <c r="FI354" s="93"/>
      <c r="FJ354" s="93"/>
      <c r="FK354" s="93"/>
      <c r="FL354" s="93"/>
      <c r="FM354" s="93"/>
      <c r="FN354" s="93"/>
      <c r="FO354" s="93"/>
      <c r="FP354" s="93"/>
      <c r="FQ354" s="93"/>
      <c r="FR354" s="93"/>
      <c r="FS354" s="93"/>
      <c r="FT354" s="93"/>
      <c r="FU354" s="93"/>
      <c r="FV354" s="93"/>
      <c r="FW354" s="93"/>
      <c r="FX354" s="93"/>
      <c r="FY354" s="93"/>
      <c r="FZ354" s="93"/>
      <c r="GA354" s="93"/>
      <c r="GB354" s="93"/>
      <c r="GC354" s="93"/>
      <c r="GD354" s="93"/>
      <c r="GE354" s="93"/>
      <c r="GF354" s="93"/>
      <c r="GG354" s="93"/>
      <c r="GH354" s="93"/>
      <c r="GI354" s="93"/>
      <c r="GJ354" s="93"/>
      <c r="GK354" s="93"/>
      <c r="GL354" s="93"/>
      <c r="GM354" s="93"/>
      <c r="GN354" s="93"/>
      <c r="GO354" s="93"/>
      <c r="GP354" s="93"/>
      <c r="GQ354" s="93"/>
      <c r="GR354" s="93"/>
      <c r="GS354" s="93"/>
      <c r="GT354" s="93"/>
      <c r="GU354" s="93"/>
      <c r="GV354" s="93"/>
      <c r="GW354" s="93"/>
      <c r="GX354" s="93"/>
      <c r="GY354" s="93"/>
      <c r="GZ354" s="93"/>
      <c r="HA354" s="93"/>
      <c r="HB354" s="93"/>
      <c r="HC354" s="93"/>
      <c r="HD354" s="93"/>
      <c r="HE354" s="93"/>
      <c r="HF354" s="93"/>
      <c r="HG354" s="93"/>
      <c r="HH354" s="93"/>
      <c r="HI354" s="93"/>
      <c r="HJ354" s="93"/>
      <c r="HK354" s="93"/>
      <c r="HL354" s="93"/>
      <c r="HM354" s="93"/>
      <c r="HN354" s="93"/>
      <c r="HO354" s="93"/>
      <c r="HP354" s="93"/>
      <c r="HQ354" s="93"/>
      <c r="HR354" s="93"/>
      <c r="HS354" s="93"/>
      <c r="HT354" s="93"/>
      <c r="HU354" s="93"/>
      <c r="HV354" s="93"/>
      <c r="HW354" s="93"/>
      <c r="HX354" s="93"/>
      <c r="HY354" s="93"/>
      <c r="HZ354" s="93"/>
      <c r="IA354" s="93"/>
      <c r="IB354" s="93"/>
      <c r="IC354" s="93"/>
      <c r="ID354" s="93"/>
      <c r="IE354" s="93"/>
      <c r="IF354" s="93"/>
      <c r="IG354" s="93"/>
      <c r="IH354" s="93"/>
      <c r="II354" s="93"/>
      <c r="IJ354" s="93"/>
      <c r="IK354" s="93"/>
      <c r="IL354" s="93"/>
      <c r="IM354" s="93"/>
      <c r="IN354" s="93"/>
      <c r="IO354" s="93"/>
      <c r="IP354" s="93"/>
      <c r="IQ354" s="93"/>
      <c r="IR354" s="93"/>
      <c r="IS354" s="93"/>
      <c r="IT354" s="93"/>
      <c r="IU354" s="93"/>
      <c r="IV354" s="93"/>
      <c r="IW354" s="93"/>
      <c r="IX354" s="93"/>
      <c r="IY354" s="93"/>
      <c r="IZ354" s="93"/>
    </row>
    <row r="355" spans="1:260" s="95" customFormat="1">
      <c r="A355" s="93"/>
      <c r="B355" s="183"/>
      <c r="C355" s="183"/>
      <c r="D355" s="183"/>
      <c r="E355" s="158"/>
      <c r="F355" s="158"/>
      <c r="G355" s="158"/>
      <c r="H355" s="158"/>
      <c r="I355" s="158"/>
      <c r="J355" s="158"/>
      <c r="K355" s="158"/>
      <c r="L355" s="158"/>
      <c r="M355" s="158"/>
      <c r="N355" s="158"/>
      <c r="O355" s="158"/>
      <c r="P355" s="228"/>
      <c r="Q355" s="158"/>
      <c r="R355" s="158"/>
      <c r="S355" s="207"/>
      <c r="T355" s="207"/>
      <c r="U355" s="207"/>
      <c r="V355" s="207"/>
      <c r="W355" s="207"/>
      <c r="X355" s="207"/>
      <c r="Y355" s="207"/>
      <c r="Z355" s="207"/>
      <c r="AA355" s="207"/>
      <c r="AB355" s="207"/>
      <c r="AC355" s="207"/>
      <c r="AD355" s="207"/>
      <c r="AE355" s="207"/>
      <c r="AF355" s="207"/>
      <c r="AG355" s="207"/>
      <c r="AH355" s="207"/>
      <c r="AI355" s="207"/>
      <c r="AJ355" s="207"/>
      <c r="AK355" s="207"/>
      <c r="AL355" s="207"/>
      <c r="AM355" s="94"/>
      <c r="AN355" s="94"/>
      <c r="AO355" s="94"/>
      <c r="AP355" s="94"/>
      <c r="AQ355" s="94"/>
      <c r="AR355" s="94"/>
      <c r="AS355" s="94"/>
      <c r="AT355" s="94"/>
      <c r="AU355" s="94"/>
      <c r="AV355" s="94"/>
      <c r="AW355" s="94"/>
      <c r="AX355" s="94"/>
      <c r="AY355" s="94"/>
      <c r="AZ355" s="93"/>
      <c r="BA355" s="93"/>
      <c r="BB355" s="93"/>
      <c r="BC355" s="93"/>
      <c r="BD355" s="93"/>
      <c r="BE355" s="93"/>
      <c r="BF355" s="93"/>
      <c r="BG355" s="93"/>
      <c r="BH355" s="93"/>
      <c r="BI355" s="93"/>
      <c r="BJ355" s="93"/>
      <c r="BK355" s="93"/>
      <c r="BL355" s="93"/>
      <c r="BM355" s="93"/>
      <c r="BN355" s="93"/>
      <c r="BO355" s="93"/>
      <c r="BP355" s="93"/>
      <c r="BQ355" s="93"/>
      <c r="BR355" s="93"/>
      <c r="BS355" s="93"/>
      <c r="BT355" s="93"/>
      <c r="BU355" s="93"/>
      <c r="BV355" s="93"/>
      <c r="BW355" s="93"/>
      <c r="BX355" s="93"/>
      <c r="BY355" s="93"/>
      <c r="BZ355" s="93"/>
      <c r="CA355" s="93"/>
      <c r="CB355" s="93"/>
      <c r="CC355" s="93"/>
      <c r="CD355" s="93"/>
      <c r="CE355" s="93"/>
      <c r="CF355" s="93"/>
      <c r="CG355" s="93"/>
      <c r="CH355" s="93"/>
      <c r="CI355" s="93"/>
      <c r="CJ355" s="93"/>
      <c r="CK355" s="93"/>
      <c r="CL355" s="93"/>
      <c r="CM355" s="93"/>
      <c r="CN355" s="93"/>
      <c r="CO355" s="93"/>
      <c r="CP355" s="93"/>
      <c r="CQ355" s="93"/>
      <c r="CR355" s="93"/>
      <c r="CS355" s="93"/>
      <c r="CT355" s="93"/>
      <c r="CU355" s="93"/>
      <c r="CV355" s="93"/>
      <c r="CW355" s="93"/>
      <c r="CX355" s="93"/>
      <c r="CY355" s="93"/>
      <c r="CZ355" s="93"/>
      <c r="DA355" s="93"/>
      <c r="DB355" s="93"/>
      <c r="DC355" s="93"/>
      <c r="DD355" s="93"/>
      <c r="DE355" s="93"/>
      <c r="DF355" s="93"/>
      <c r="DG355" s="93"/>
      <c r="DH355" s="93"/>
      <c r="DI355" s="93"/>
      <c r="DJ355" s="93"/>
      <c r="DK355" s="93"/>
      <c r="DL355" s="93"/>
      <c r="DM355" s="93"/>
      <c r="DN355" s="93"/>
      <c r="DO355" s="93"/>
      <c r="DP355" s="93"/>
      <c r="DQ355" s="93"/>
      <c r="DR355" s="93"/>
      <c r="DS355" s="93"/>
      <c r="DT355" s="93"/>
      <c r="DU355" s="93"/>
      <c r="DV355" s="93"/>
      <c r="DW355" s="93"/>
      <c r="DX355" s="93"/>
      <c r="DY355" s="93"/>
      <c r="DZ355" s="93"/>
      <c r="EA355" s="93"/>
      <c r="EB355" s="93"/>
      <c r="EC355" s="93"/>
      <c r="ED355" s="93"/>
      <c r="EE355" s="93"/>
      <c r="EF355" s="93"/>
      <c r="EG355" s="93"/>
      <c r="EH355" s="93"/>
      <c r="EI355" s="93"/>
      <c r="EJ355" s="93"/>
      <c r="EK355" s="93"/>
      <c r="EL355" s="93"/>
      <c r="EM355" s="93"/>
      <c r="EN355" s="93"/>
      <c r="EO355" s="93"/>
      <c r="EP355" s="93"/>
      <c r="EQ355" s="93"/>
      <c r="ER355" s="93"/>
      <c r="ES355" s="93"/>
      <c r="ET355" s="93"/>
      <c r="EU355" s="93"/>
      <c r="EV355" s="93"/>
      <c r="EW355" s="93"/>
      <c r="EX355" s="93"/>
      <c r="EY355" s="93"/>
      <c r="EZ355" s="93"/>
      <c r="FA355" s="93"/>
      <c r="FB355" s="93"/>
      <c r="FC355" s="93"/>
      <c r="FD355" s="93"/>
      <c r="FE355" s="93"/>
      <c r="FF355" s="93"/>
      <c r="FG355" s="93"/>
      <c r="FH355" s="93"/>
      <c r="FI355" s="93"/>
      <c r="FJ355" s="93"/>
      <c r="FK355" s="93"/>
      <c r="FL355" s="93"/>
      <c r="FM355" s="93"/>
      <c r="FN355" s="93"/>
      <c r="FO355" s="93"/>
      <c r="FP355" s="93"/>
      <c r="FQ355" s="93"/>
      <c r="FR355" s="93"/>
      <c r="FS355" s="93"/>
      <c r="FT355" s="93"/>
      <c r="FU355" s="93"/>
      <c r="FV355" s="93"/>
      <c r="FW355" s="93"/>
      <c r="FX355" s="93"/>
      <c r="FY355" s="93"/>
      <c r="FZ355" s="93"/>
      <c r="GA355" s="93"/>
      <c r="GB355" s="93"/>
      <c r="GC355" s="93"/>
      <c r="GD355" s="93"/>
      <c r="GE355" s="93"/>
      <c r="GF355" s="93"/>
      <c r="GG355" s="93"/>
      <c r="GH355" s="93"/>
      <c r="GI355" s="93"/>
      <c r="GJ355" s="93"/>
      <c r="GK355" s="93"/>
      <c r="GL355" s="93"/>
      <c r="GM355" s="93"/>
      <c r="GN355" s="93"/>
      <c r="GO355" s="93"/>
      <c r="GP355" s="93"/>
      <c r="GQ355" s="93"/>
      <c r="GR355" s="93"/>
      <c r="GS355" s="93"/>
      <c r="GT355" s="93"/>
      <c r="GU355" s="93"/>
      <c r="GV355" s="93"/>
      <c r="GW355" s="93"/>
      <c r="GX355" s="93"/>
      <c r="GY355" s="93"/>
      <c r="GZ355" s="93"/>
      <c r="HA355" s="93"/>
      <c r="HB355" s="93"/>
      <c r="HC355" s="93"/>
      <c r="HD355" s="93"/>
      <c r="HE355" s="93"/>
      <c r="HF355" s="93"/>
      <c r="HG355" s="93"/>
      <c r="HH355" s="93"/>
      <c r="HI355" s="93"/>
      <c r="HJ355" s="93"/>
      <c r="HK355" s="93"/>
      <c r="HL355" s="93"/>
      <c r="HM355" s="93"/>
      <c r="HN355" s="93"/>
      <c r="HO355" s="93"/>
      <c r="HP355" s="93"/>
      <c r="HQ355" s="93"/>
      <c r="HR355" s="93"/>
      <c r="HS355" s="93"/>
      <c r="HT355" s="93"/>
      <c r="HU355" s="93"/>
      <c r="HV355" s="93"/>
      <c r="HW355" s="93"/>
      <c r="HX355" s="93"/>
      <c r="HY355" s="93"/>
      <c r="HZ355" s="93"/>
      <c r="IA355" s="93"/>
      <c r="IB355" s="93"/>
      <c r="IC355" s="93"/>
      <c r="ID355" s="93"/>
      <c r="IE355" s="93"/>
      <c r="IF355" s="93"/>
      <c r="IG355" s="93"/>
      <c r="IH355" s="93"/>
      <c r="II355" s="93"/>
      <c r="IJ355" s="93"/>
      <c r="IK355" s="93"/>
      <c r="IL355" s="93"/>
      <c r="IM355" s="93"/>
      <c r="IN355" s="93"/>
      <c r="IO355" s="93"/>
      <c r="IP355" s="93"/>
      <c r="IQ355" s="93"/>
      <c r="IR355" s="93"/>
      <c r="IS355" s="93"/>
      <c r="IT355" s="93"/>
      <c r="IU355" s="93"/>
      <c r="IV355" s="93"/>
      <c r="IW355" s="93"/>
      <c r="IX355" s="93"/>
      <c r="IY355" s="93"/>
      <c r="IZ355" s="93"/>
    </row>
    <row r="356" spans="1:260" s="95" customFormat="1">
      <c r="A356" s="93"/>
      <c r="B356" s="183"/>
      <c r="C356" s="183"/>
      <c r="D356" s="183"/>
      <c r="E356" s="158"/>
      <c r="F356" s="158"/>
      <c r="G356" s="158"/>
      <c r="H356" s="158"/>
      <c r="I356" s="158"/>
      <c r="J356" s="158"/>
      <c r="K356" s="158"/>
      <c r="L356" s="158"/>
      <c r="M356" s="158"/>
      <c r="N356" s="158"/>
      <c r="O356" s="158"/>
      <c r="P356" s="228"/>
      <c r="Q356" s="158"/>
      <c r="R356" s="158"/>
      <c r="S356" s="207"/>
      <c r="T356" s="207"/>
      <c r="U356" s="207"/>
      <c r="V356" s="207"/>
      <c r="W356" s="207"/>
      <c r="X356" s="207"/>
      <c r="Y356" s="207"/>
      <c r="Z356" s="207"/>
      <c r="AA356" s="207"/>
      <c r="AB356" s="207"/>
      <c r="AC356" s="207"/>
      <c r="AD356" s="207"/>
      <c r="AE356" s="207"/>
      <c r="AF356" s="207"/>
      <c r="AG356" s="207"/>
      <c r="AH356" s="207"/>
      <c r="AI356" s="207"/>
      <c r="AJ356" s="207"/>
      <c r="AK356" s="207"/>
      <c r="AL356" s="207"/>
      <c r="AM356" s="94"/>
      <c r="AN356" s="94"/>
      <c r="AO356" s="94"/>
      <c r="AP356" s="94"/>
      <c r="AQ356" s="94"/>
      <c r="AR356" s="94"/>
      <c r="AS356" s="94"/>
      <c r="AT356" s="94"/>
      <c r="AU356" s="94"/>
      <c r="AV356" s="94"/>
      <c r="AW356" s="94"/>
      <c r="AX356" s="94"/>
      <c r="AY356" s="94"/>
      <c r="AZ356" s="93"/>
      <c r="BA356" s="93"/>
      <c r="BB356" s="93"/>
      <c r="BC356" s="93"/>
      <c r="BD356" s="93"/>
      <c r="BE356" s="93"/>
      <c r="BF356" s="93"/>
      <c r="BG356" s="93"/>
      <c r="BH356" s="93"/>
      <c r="BI356" s="93"/>
      <c r="BJ356" s="93"/>
      <c r="BK356" s="93"/>
      <c r="BL356" s="93"/>
      <c r="BM356" s="93"/>
      <c r="BN356" s="93"/>
      <c r="BO356" s="93"/>
      <c r="BP356" s="93"/>
      <c r="BQ356" s="93"/>
      <c r="BR356" s="93"/>
      <c r="BS356" s="93"/>
      <c r="BT356" s="93"/>
      <c r="BU356" s="93"/>
      <c r="BV356" s="93"/>
      <c r="BW356" s="93"/>
      <c r="BX356" s="93"/>
      <c r="BY356" s="93"/>
      <c r="BZ356" s="93"/>
      <c r="CA356" s="93"/>
      <c r="CB356" s="93"/>
      <c r="CC356" s="93"/>
      <c r="CD356" s="93"/>
      <c r="CE356" s="93"/>
      <c r="CF356" s="93"/>
      <c r="CG356" s="93"/>
      <c r="CH356" s="93"/>
      <c r="CI356" s="93"/>
      <c r="CJ356" s="93"/>
      <c r="CK356" s="93"/>
      <c r="CL356" s="93"/>
      <c r="CM356" s="93"/>
      <c r="CN356" s="93"/>
      <c r="CO356" s="93"/>
      <c r="CP356" s="93"/>
      <c r="CQ356" s="93"/>
      <c r="CR356" s="93"/>
      <c r="CS356" s="93"/>
      <c r="CT356" s="93"/>
      <c r="CU356" s="93"/>
      <c r="CV356" s="93"/>
      <c r="CW356" s="93"/>
      <c r="CX356" s="93"/>
      <c r="CY356" s="93"/>
      <c r="CZ356" s="93"/>
      <c r="DA356" s="93"/>
      <c r="DB356" s="93"/>
      <c r="DC356" s="93"/>
      <c r="DD356" s="93"/>
      <c r="DE356" s="93"/>
      <c r="DF356" s="93"/>
      <c r="DG356" s="93"/>
      <c r="DH356" s="93"/>
      <c r="DI356" s="93"/>
      <c r="DJ356" s="93"/>
      <c r="DK356" s="93"/>
      <c r="DL356" s="93"/>
      <c r="DM356" s="93"/>
      <c r="DN356" s="93"/>
      <c r="DO356" s="93"/>
      <c r="DP356" s="93"/>
      <c r="DQ356" s="93"/>
      <c r="DR356" s="93"/>
      <c r="DS356" s="93"/>
      <c r="DT356" s="93"/>
      <c r="DU356" s="93"/>
      <c r="DV356" s="93"/>
      <c r="DW356" s="93"/>
      <c r="DX356" s="93"/>
      <c r="DY356" s="93"/>
      <c r="DZ356" s="93"/>
      <c r="EA356" s="93"/>
      <c r="EB356" s="93"/>
      <c r="EC356" s="93"/>
      <c r="ED356" s="93"/>
      <c r="EE356" s="93"/>
      <c r="EF356" s="93"/>
      <c r="EG356" s="93"/>
      <c r="EH356" s="93"/>
      <c r="EI356" s="93"/>
      <c r="EJ356" s="93"/>
      <c r="EK356" s="93"/>
      <c r="EL356" s="93"/>
      <c r="EM356" s="93"/>
      <c r="EN356" s="93"/>
      <c r="EO356" s="93"/>
      <c r="EP356" s="93"/>
      <c r="EQ356" s="93"/>
      <c r="ER356" s="93"/>
      <c r="ES356" s="93"/>
      <c r="ET356" s="93"/>
      <c r="EU356" s="93"/>
      <c r="EV356" s="93"/>
      <c r="EW356" s="93"/>
      <c r="EX356" s="93"/>
      <c r="EY356" s="93"/>
      <c r="EZ356" s="93"/>
      <c r="FA356" s="93"/>
      <c r="FB356" s="93"/>
      <c r="FC356" s="93"/>
      <c r="FD356" s="93"/>
      <c r="FE356" s="93"/>
      <c r="FF356" s="93"/>
      <c r="FG356" s="93"/>
      <c r="FH356" s="93"/>
      <c r="FI356" s="93"/>
      <c r="FJ356" s="93"/>
      <c r="FK356" s="93"/>
      <c r="FL356" s="93"/>
      <c r="FM356" s="93"/>
      <c r="FN356" s="93"/>
      <c r="FO356" s="93"/>
      <c r="FP356" s="93"/>
      <c r="FQ356" s="93"/>
      <c r="FR356" s="93"/>
      <c r="FS356" s="93"/>
      <c r="FT356" s="93"/>
      <c r="FU356" s="93"/>
      <c r="FV356" s="93"/>
      <c r="FW356" s="93"/>
      <c r="FX356" s="93"/>
      <c r="FY356" s="93"/>
      <c r="FZ356" s="93"/>
      <c r="GA356" s="93"/>
      <c r="GB356" s="93"/>
      <c r="GC356" s="93"/>
      <c r="GD356" s="93"/>
      <c r="GE356" s="93"/>
      <c r="GF356" s="93"/>
      <c r="GG356" s="93"/>
      <c r="GH356" s="93"/>
      <c r="GI356" s="93"/>
      <c r="GJ356" s="93"/>
      <c r="GK356" s="93"/>
      <c r="GL356" s="93"/>
      <c r="GM356" s="93"/>
      <c r="GN356" s="93"/>
      <c r="GO356" s="93"/>
      <c r="GP356" s="93"/>
      <c r="GQ356" s="93"/>
      <c r="GR356" s="93"/>
      <c r="GS356" s="93"/>
      <c r="GT356" s="93"/>
      <c r="GU356" s="93"/>
      <c r="GV356" s="93"/>
      <c r="GW356" s="93"/>
      <c r="GX356" s="93"/>
      <c r="GY356" s="93"/>
      <c r="GZ356" s="93"/>
      <c r="HA356" s="93"/>
      <c r="HB356" s="93"/>
      <c r="HC356" s="93"/>
      <c r="HD356" s="93"/>
      <c r="HE356" s="93"/>
      <c r="HF356" s="93"/>
      <c r="HG356" s="93"/>
      <c r="HH356" s="93"/>
      <c r="HI356" s="93"/>
      <c r="HJ356" s="93"/>
      <c r="HK356" s="93"/>
      <c r="HL356" s="93"/>
      <c r="HM356" s="93"/>
      <c r="HN356" s="93"/>
      <c r="HO356" s="93"/>
      <c r="HP356" s="93"/>
      <c r="HQ356" s="93"/>
      <c r="HR356" s="93"/>
      <c r="HS356" s="93"/>
      <c r="HT356" s="93"/>
      <c r="HU356" s="93"/>
      <c r="HV356" s="93"/>
      <c r="HW356" s="93"/>
      <c r="HX356" s="93"/>
      <c r="HY356" s="93"/>
      <c r="HZ356" s="93"/>
      <c r="IA356" s="93"/>
      <c r="IB356" s="93"/>
      <c r="IC356" s="93"/>
      <c r="ID356" s="93"/>
      <c r="IE356" s="93"/>
      <c r="IF356" s="93"/>
      <c r="IG356" s="93"/>
      <c r="IH356" s="93"/>
      <c r="II356" s="93"/>
      <c r="IJ356" s="93"/>
      <c r="IK356" s="93"/>
      <c r="IL356" s="93"/>
      <c r="IM356" s="93"/>
      <c r="IN356" s="93"/>
      <c r="IO356" s="93"/>
      <c r="IP356" s="93"/>
      <c r="IQ356" s="93"/>
      <c r="IR356" s="93"/>
      <c r="IS356" s="93"/>
      <c r="IT356" s="93"/>
      <c r="IU356" s="93"/>
      <c r="IV356" s="93"/>
      <c r="IW356" s="93"/>
      <c r="IX356" s="93"/>
      <c r="IY356" s="93"/>
      <c r="IZ356" s="93"/>
    </row>
    <row r="357" spans="1:260" s="95" customFormat="1">
      <c r="A357" s="93"/>
      <c r="B357" s="183"/>
      <c r="C357" s="183"/>
      <c r="D357" s="183"/>
      <c r="E357" s="158"/>
      <c r="F357" s="158"/>
      <c r="G357" s="158"/>
      <c r="H357" s="158"/>
      <c r="I357" s="158"/>
      <c r="J357" s="158"/>
      <c r="K357" s="158"/>
      <c r="L357" s="158"/>
      <c r="M357" s="158"/>
      <c r="N357" s="158"/>
      <c r="O357" s="158"/>
      <c r="P357" s="228"/>
      <c r="Q357" s="158"/>
      <c r="R357" s="158"/>
      <c r="S357" s="207"/>
      <c r="T357" s="207"/>
      <c r="U357" s="207"/>
      <c r="V357" s="207"/>
      <c r="W357" s="207"/>
      <c r="X357" s="207"/>
      <c r="Y357" s="207"/>
      <c r="Z357" s="207"/>
      <c r="AA357" s="207"/>
      <c r="AB357" s="207"/>
      <c r="AC357" s="207"/>
      <c r="AD357" s="207"/>
      <c r="AE357" s="207"/>
      <c r="AF357" s="207"/>
      <c r="AG357" s="207"/>
      <c r="AH357" s="207"/>
      <c r="AI357" s="207"/>
      <c r="AJ357" s="207"/>
      <c r="AK357" s="207"/>
      <c r="AL357" s="207"/>
      <c r="AM357" s="94"/>
      <c r="AN357" s="94"/>
      <c r="AO357" s="94"/>
      <c r="AP357" s="94"/>
      <c r="AQ357" s="94"/>
      <c r="AR357" s="94"/>
      <c r="AS357" s="94"/>
      <c r="AT357" s="94"/>
      <c r="AU357" s="94"/>
      <c r="AV357" s="94"/>
      <c r="AW357" s="94"/>
      <c r="AX357" s="94"/>
      <c r="AY357" s="94"/>
      <c r="AZ357" s="93"/>
      <c r="BA357" s="93"/>
      <c r="BB357" s="93"/>
      <c r="BC357" s="93"/>
      <c r="BD357" s="93"/>
      <c r="BE357" s="93"/>
      <c r="BF357" s="93"/>
      <c r="BG357" s="93"/>
      <c r="BH357" s="93"/>
      <c r="BI357" s="93"/>
      <c r="BJ357" s="93"/>
      <c r="BK357" s="93"/>
      <c r="BL357" s="93"/>
      <c r="BM357" s="93"/>
      <c r="BN357" s="93"/>
      <c r="BO357" s="93"/>
      <c r="BP357" s="93"/>
      <c r="BQ357" s="93"/>
      <c r="BR357" s="93"/>
      <c r="BS357" s="93"/>
      <c r="BT357" s="93"/>
      <c r="BU357" s="93"/>
      <c r="BV357" s="93"/>
      <c r="BW357" s="93"/>
      <c r="BX357" s="93"/>
      <c r="BY357" s="93"/>
      <c r="BZ357" s="93"/>
      <c r="CA357" s="93"/>
      <c r="CB357" s="93"/>
      <c r="CC357" s="93"/>
      <c r="CD357" s="93"/>
      <c r="CE357" s="93"/>
      <c r="CF357" s="93"/>
      <c r="CG357" s="93"/>
      <c r="CH357" s="93"/>
      <c r="CI357" s="93"/>
      <c r="CJ357" s="93"/>
      <c r="CK357" s="93"/>
      <c r="CL357" s="93"/>
      <c r="CM357" s="93"/>
      <c r="CN357" s="93"/>
      <c r="CO357" s="93"/>
      <c r="CP357" s="93"/>
      <c r="CQ357" s="93"/>
      <c r="CR357" s="93"/>
      <c r="CS357" s="93"/>
      <c r="CT357" s="93"/>
      <c r="CU357" s="93"/>
      <c r="CV357" s="93"/>
      <c r="CW357" s="93"/>
      <c r="CX357" s="93"/>
      <c r="CY357" s="93"/>
      <c r="CZ357" s="93"/>
      <c r="DA357" s="93"/>
      <c r="DB357" s="93"/>
      <c r="DC357" s="93"/>
      <c r="DD357" s="93"/>
      <c r="DE357" s="93"/>
      <c r="DF357" s="93"/>
      <c r="DG357" s="93"/>
      <c r="DH357" s="93"/>
      <c r="DI357" s="93"/>
      <c r="DJ357" s="93"/>
      <c r="DK357" s="93"/>
      <c r="DL357" s="93"/>
      <c r="DM357" s="93"/>
      <c r="DN357" s="93"/>
      <c r="DO357" s="93"/>
      <c r="DP357" s="93"/>
      <c r="DQ357" s="93"/>
      <c r="DR357" s="93"/>
      <c r="DS357" s="93"/>
      <c r="DT357" s="93"/>
      <c r="DU357" s="93"/>
      <c r="DV357" s="93"/>
      <c r="DW357" s="93"/>
      <c r="DX357" s="93"/>
      <c r="DY357" s="93"/>
      <c r="DZ357" s="93"/>
      <c r="EA357" s="93"/>
      <c r="EB357" s="93"/>
      <c r="EC357" s="93"/>
      <c r="ED357" s="93"/>
      <c r="EE357" s="93"/>
      <c r="EF357" s="93"/>
      <c r="EG357" s="93"/>
      <c r="EH357" s="93"/>
      <c r="EI357" s="93"/>
      <c r="EJ357" s="93"/>
      <c r="EK357" s="93"/>
      <c r="EL357" s="93"/>
      <c r="EM357" s="93"/>
      <c r="EN357" s="93"/>
      <c r="EO357" s="93"/>
      <c r="EP357" s="93"/>
      <c r="EQ357" s="93"/>
      <c r="ER357" s="93"/>
      <c r="ES357" s="93"/>
      <c r="ET357" s="93"/>
      <c r="EU357" s="93"/>
      <c r="EV357" s="93"/>
      <c r="EW357" s="93"/>
      <c r="EX357" s="93"/>
      <c r="EY357" s="93"/>
      <c r="EZ357" s="93"/>
      <c r="FA357" s="93"/>
      <c r="FB357" s="93"/>
      <c r="FC357" s="93"/>
      <c r="FD357" s="93"/>
      <c r="FE357" s="93"/>
      <c r="FF357" s="93"/>
      <c r="FG357" s="93"/>
      <c r="FH357" s="93"/>
      <c r="FI357" s="93"/>
      <c r="FJ357" s="93"/>
      <c r="FK357" s="93"/>
      <c r="FL357" s="93"/>
      <c r="FM357" s="93"/>
      <c r="FN357" s="93"/>
      <c r="FO357" s="93"/>
      <c r="FP357" s="93"/>
      <c r="FQ357" s="93"/>
      <c r="FR357" s="93"/>
      <c r="FS357" s="93"/>
      <c r="FT357" s="93"/>
      <c r="FU357" s="93"/>
      <c r="FV357" s="93"/>
      <c r="FW357" s="93"/>
      <c r="FX357" s="93"/>
      <c r="FY357" s="93"/>
      <c r="FZ357" s="93"/>
      <c r="GA357" s="93"/>
      <c r="GB357" s="93"/>
      <c r="GC357" s="93"/>
      <c r="GD357" s="93"/>
      <c r="GE357" s="93"/>
      <c r="GF357" s="93"/>
      <c r="GG357" s="93"/>
      <c r="GH357" s="93"/>
      <c r="GI357" s="93"/>
      <c r="GJ357" s="93"/>
      <c r="GK357" s="93"/>
      <c r="GL357" s="93"/>
      <c r="GM357" s="93"/>
      <c r="GN357" s="93"/>
      <c r="GO357" s="93"/>
      <c r="GP357" s="93"/>
      <c r="GQ357" s="93"/>
      <c r="GR357" s="93"/>
      <c r="GS357" s="93"/>
      <c r="GT357" s="93"/>
      <c r="GU357" s="93"/>
      <c r="GV357" s="93"/>
      <c r="GW357" s="93"/>
      <c r="GX357" s="93"/>
      <c r="GY357" s="93"/>
      <c r="GZ357" s="93"/>
      <c r="HA357" s="93"/>
      <c r="HB357" s="93"/>
      <c r="HC357" s="93"/>
      <c r="HD357" s="93"/>
      <c r="HE357" s="93"/>
      <c r="HF357" s="93"/>
      <c r="HG357" s="93"/>
      <c r="HH357" s="93"/>
      <c r="HI357" s="93"/>
      <c r="HJ357" s="93"/>
      <c r="HK357" s="93"/>
      <c r="HL357" s="93"/>
      <c r="HM357" s="93"/>
      <c r="HN357" s="93"/>
      <c r="HO357" s="93"/>
      <c r="HP357" s="93"/>
      <c r="HQ357" s="93"/>
      <c r="HR357" s="93"/>
      <c r="HS357" s="93"/>
      <c r="HT357" s="93"/>
      <c r="HU357" s="93"/>
      <c r="HV357" s="93"/>
      <c r="HW357" s="93"/>
      <c r="HX357" s="93"/>
      <c r="HY357" s="93"/>
      <c r="HZ357" s="93"/>
      <c r="IA357" s="93"/>
      <c r="IB357" s="93"/>
      <c r="IC357" s="93"/>
      <c r="ID357" s="93"/>
      <c r="IE357" s="93"/>
      <c r="IF357" s="93"/>
      <c r="IG357" s="93"/>
      <c r="IH357" s="93"/>
      <c r="II357" s="93"/>
      <c r="IJ357" s="93"/>
      <c r="IK357" s="93"/>
      <c r="IL357" s="93"/>
      <c r="IM357" s="93"/>
      <c r="IN357" s="93"/>
      <c r="IO357" s="93"/>
      <c r="IP357" s="93"/>
      <c r="IQ357" s="93"/>
      <c r="IR357" s="93"/>
      <c r="IS357" s="93"/>
      <c r="IT357" s="93"/>
      <c r="IU357" s="93"/>
      <c r="IV357" s="93"/>
      <c r="IW357" s="93"/>
      <c r="IX357" s="93"/>
      <c r="IY357" s="93"/>
      <c r="IZ357" s="93"/>
    </row>
    <row r="358" spans="1:260" s="95" customFormat="1">
      <c r="A358" s="93"/>
      <c r="B358" s="183"/>
      <c r="C358" s="183"/>
      <c r="D358" s="183"/>
      <c r="E358" s="158"/>
      <c r="F358" s="158"/>
      <c r="G358" s="158"/>
      <c r="H358" s="158"/>
      <c r="I358" s="158"/>
      <c r="J358" s="158"/>
      <c r="K358" s="158"/>
      <c r="L358" s="158"/>
      <c r="M358" s="158"/>
      <c r="N358" s="158"/>
      <c r="O358" s="158"/>
      <c r="P358" s="228"/>
      <c r="Q358" s="158"/>
      <c r="R358" s="158"/>
      <c r="S358" s="207"/>
      <c r="T358" s="207"/>
      <c r="U358" s="207"/>
      <c r="V358" s="207"/>
      <c r="W358" s="207"/>
      <c r="X358" s="207"/>
      <c r="Y358" s="207"/>
      <c r="Z358" s="207"/>
      <c r="AA358" s="207"/>
      <c r="AB358" s="207"/>
      <c r="AC358" s="207"/>
      <c r="AD358" s="207"/>
      <c r="AE358" s="207"/>
      <c r="AF358" s="207"/>
      <c r="AG358" s="207"/>
      <c r="AH358" s="207"/>
      <c r="AI358" s="207"/>
      <c r="AJ358" s="207"/>
      <c r="AK358" s="207"/>
      <c r="AL358" s="207"/>
      <c r="AM358" s="94"/>
      <c r="AN358" s="94"/>
      <c r="AO358" s="94"/>
      <c r="AP358" s="94"/>
      <c r="AQ358" s="94"/>
      <c r="AR358" s="94"/>
      <c r="AS358" s="94"/>
      <c r="AT358" s="94"/>
      <c r="AU358" s="94"/>
      <c r="AV358" s="94"/>
      <c r="AW358" s="94"/>
      <c r="AX358" s="94"/>
      <c r="AY358" s="94"/>
      <c r="AZ358" s="93"/>
      <c r="BA358" s="93"/>
      <c r="BB358" s="93"/>
      <c r="BC358" s="93"/>
      <c r="BD358" s="93"/>
      <c r="BE358" s="93"/>
      <c r="BF358" s="93"/>
      <c r="BG358" s="93"/>
      <c r="BH358" s="93"/>
      <c r="BI358" s="93"/>
      <c r="BJ358" s="93"/>
      <c r="BK358" s="93"/>
      <c r="BL358" s="93"/>
      <c r="BM358" s="93"/>
      <c r="BN358" s="93"/>
      <c r="BO358" s="93"/>
      <c r="BP358" s="93"/>
      <c r="BQ358" s="93"/>
      <c r="BR358" s="93"/>
      <c r="BS358" s="93"/>
      <c r="BT358" s="93"/>
      <c r="BU358" s="93"/>
      <c r="BV358" s="93"/>
      <c r="BW358" s="93"/>
      <c r="BX358" s="93"/>
      <c r="BY358" s="93"/>
      <c r="BZ358" s="93"/>
      <c r="CA358" s="93"/>
      <c r="CB358" s="93"/>
      <c r="CC358" s="93"/>
      <c r="CD358" s="93"/>
      <c r="CE358" s="93"/>
      <c r="CF358" s="93"/>
      <c r="CG358" s="93"/>
      <c r="CH358" s="93"/>
      <c r="CI358" s="93"/>
      <c r="CJ358" s="93"/>
      <c r="CK358" s="93"/>
      <c r="CL358" s="93"/>
      <c r="CM358" s="93"/>
      <c r="CN358" s="93"/>
      <c r="CO358" s="93"/>
      <c r="CP358" s="93"/>
      <c r="CQ358" s="93"/>
      <c r="CR358" s="93"/>
      <c r="CS358" s="93"/>
      <c r="CT358" s="93"/>
      <c r="CU358" s="93"/>
      <c r="CV358" s="93"/>
      <c r="CW358" s="93"/>
      <c r="CX358" s="93"/>
      <c r="CY358" s="93"/>
      <c r="CZ358" s="93"/>
      <c r="DA358" s="93"/>
      <c r="DB358" s="93"/>
      <c r="DC358" s="93"/>
      <c r="DD358" s="93"/>
      <c r="DE358" s="93"/>
      <c r="DF358" s="93"/>
      <c r="DG358" s="93"/>
      <c r="DH358" s="93"/>
      <c r="DI358" s="93"/>
      <c r="DJ358" s="93"/>
      <c r="DK358" s="93"/>
      <c r="DL358" s="93"/>
      <c r="DM358" s="93"/>
      <c r="DN358" s="93"/>
      <c r="DO358" s="93"/>
      <c r="DP358" s="93"/>
      <c r="DQ358" s="93"/>
      <c r="DR358" s="93"/>
      <c r="DS358" s="93"/>
      <c r="DT358" s="93"/>
      <c r="DU358" s="93"/>
      <c r="DV358" s="93"/>
      <c r="DW358" s="93"/>
      <c r="DX358" s="93"/>
      <c r="DY358" s="93"/>
      <c r="DZ358" s="93"/>
      <c r="EA358" s="93"/>
      <c r="EB358" s="93"/>
      <c r="EC358" s="93"/>
      <c r="ED358" s="93"/>
      <c r="EE358" s="93"/>
      <c r="EF358" s="93"/>
      <c r="EG358" s="93"/>
      <c r="EH358" s="93"/>
      <c r="EI358" s="93"/>
      <c r="EJ358" s="93"/>
      <c r="EK358" s="93"/>
      <c r="EL358" s="93"/>
      <c r="EM358" s="93"/>
      <c r="EN358" s="93"/>
      <c r="EO358" s="93"/>
      <c r="EP358" s="93"/>
      <c r="EQ358" s="93"/>
      <c r="ER358" s="93"/>
      <c r="ES358" s="93"/>
      <c r="ET358" s="93"/>
      <c r="EU358" s="93"/>
      <c r="EV358" s="93"/>
      <c r="EW358" s="93"/>
      <c r="EX358" s="93"/>
      <c r="EY358" s="93"/>
      <c r="EZ358" s="93"/>
      <c r="FA358" s="93"/>
      <c r="FB358" s="93"/>
      <c r="FC358" s="93"/>
      <c r="FD358" s="93"/>
      <c r="FE358" s="93"/>
      <c r="FF358" s="93"/>
      <c r="FG358" s="93"/>
      <c r="FH358" s="93"/>
      <c r="FI358" s="93"/>
      <c r="FJ358" s="93"/>
      <c r="FK358" s="93"/>
      <c r="FL358" s="93"/>
      <c r="FM358" s="93"/>
      <c r="FN358" s="93"/>
      <c r="FO358" s="93"/>
      <c r="FP358" s="93"/>
      <c r="FQ358" s="93"/>
      <c r="FR358" s="93"/>
      <c r="FS358" s="93"/>
      <c r="FT358" s="93"/>
      <c r="FU358" s="93"/>
      <c r="FV358" s="93"/>
      <c r="FW358" s="93"/>
      <c r="FX358" s="93"/>
      <c r="FY358" s="93"/>
      <c r="FZ358" s="93"/>
      <c r="GA358" s="93"/>
      <c r="GB358" s="93"/>
      <c r="GC358" s="93"/>
      <c r="GD358" s="93"/>
      <c r="GE358" s="93"/>
      <c r="GF358" s="93"/>
      <c r="GG358" s="93"/>
      <c r="GH358" s="93"/>
      <c r="GI358" s="93"/>
      <c r="GJ358" s="93"/>
      <c r="GK358" s="93"/>
      <c r="GL358" s="93"/>
      <c r="GM358" s="93"/>
      <c r="GN358" s="93"/>
      <c r="GO358" s="93"/>
      <c r="GP358" s="93"/>
      <c r="GQ358" s="93"/>
      <c r="GR358" s="93"/>
      <c r="GS358" s="93"/>
      <c r="GT358" s="93"/>
      <c r="GU358" s="93"/>
      <c r="GV358" s="93"/>
      <c r="GW358" s="93"/>
      <c r="GX358" s="93"/>
      <c r="GY358" s="93"/>
      <c r="GZ358" s="93"/>
      <c r="HA358" s="93"/>
      <c r="HB358" s="93"/>
      <c r="HC358" s="93"/>
      <c r="HD358" s="93"/>
      <c r="HE358" s="93"/>
      <c r="HF358" s="93"/>
      <c r="HG358" s="93"/>
      <c r="HH358" s="93"/>
      <c r="HI358" s="93"/>
      <c r="HJ358" s="93"/>
      <c r="HK358" s="93"/>
      <c r="HL358" s="93"/>
      <c r="HM358" s="93"/>
      <c r="HN358" s="93"/>
      <c r="HO358" s="93"/>
      <c r="HP358" s="93"/>
      <c r="HQ358" s="93"/>
      <c r="HR358" s="93"/>
      <c r="HS358" s="93"/>
      <c r="HT358" s="93"/>
      <c r="HU358" s="93"/>
      <c r="HV358" s="93"/>
      <c r="HW358" s="93"/>
      <c r="HX358" s="93"/>
      <c r="HY358" s="93"/>
      <c r="HZ358" s="93"/>
      <c r="IA358" s="93"/>
      <c r="IB358" s="93"/>
      <c r="IC358" s="93"/>
      <c r="ID358" s="93"/>
      <c r="IE358" s="93"/>
      <c r="IF358" s="93"/>
      <c r="IG358" s="93"/>
      <c r="IH358" s="93"/>
      <c r="II358" s="93"/>
      <c r="IJ358" s="93"/>
      <c r="IK358" s="93"/>
      <c r="IL358" s="93"/>
      <c r="IM358" s="93"/>
      <c r="IN358" s="93"/>
      <c r="IO358" s="93"/>
      <c r="IP358" s="93"/>
      <c r="IQ358" s="93"/>
      <c r="IR358" s="93"/>
      <c r="IS358" s="93"/>
      <c r="IT358" s="93"/>
      <c r="IU358" s="93"/>
      <c r="IV358" s="93"/>
      <c r="IW358" s="93"/>
      <c r="IX358" s="93"/>
      <c r="IY358" s="93"/>
      <c r="IZ358" s="93"/>
    </row>
    <row r="359" spans="1:260" s="95" customFormat="1">
      <c r="A359" s="93"/>
      <c r="B359" s="183"/>
      <c r="C359" s="183"/>
      <c r="D359" s="183"/>
      <c r="E359" s="158"/>
      <c r="F359" s="158"/>
      <c r="G359" s="158"/>
      <c r="H359" s="158"/>
      <c r="I359" s="158"/>
      <c r="J359" s="158"/>
      <c r="K359" s="158"/>
      <c r="L359" s="158"/>
      <c r="M359" s="158"/>
      <c r="N359" s="158"/>
      <c r="O359" s="158"/>
      <c r="P359" s="228"/>
      <c r="Q359" s="158"/>
      <c r="R359" s="158"/>
      <c r="S359" s="207"/>
      <c r="T359" s="207"/>
      <c r="U359" s="207"/>
      <c r="V359" s="207"/>
      <c r="W359" s="207"/>
      <c r="X359" s="207"/>
      <c r="Y359" s="207"/>
      <c r="Z359" s="207"/>
      <c r="AA359" s="207"/>
      <c r="AB359" s="207"/>
      <c r="AC359" s="207"/>
      <c r="AD359" s="207"/>
      <c r="AE359" s="207"/>
      <c r="AF359" s="207"/>
      <c r="AG359" s="207"/>
      <c r="AH359" s="207"/>
      <c r="AI359" s="207"/>
      <c r="AJ359" s="207"/>
      <c r="AK359" s="207"/>
      <c r="AL359" s="207"/>
      <c r="AM359" s="94"/>
      <c r="AN359" s="94"/>
      <c r="AO359" s="94"/>
      <c r="AP359" s="94"/>
      <c r="AQ359" s="94"/>
      <c r="AR359" s="94"/>
      <c r="AS359" s="94"/>
      <c r="AT359" s="94"/>
      <c r="AU359" s="94"/>
      <c r="AV359" s="94"/>
      <c r="AW359" s="94"/>
      <c r="AX359" s="94"/>
      <c r="AY359" s="94"/>
      <c r="AZ359" s="93"/>
      <c r="BA359" s="93"/>
      <c r="BB359" s="93"/>
      <c r="BC359" s="93"/>
      <c r="BD359" s="93"/>
      <c r="BE359" s="93"/>
      <c r="BF359" s="93"/>
      <c r="BG359" s="93"/>
      <c r="BH359" s="93"/>
      <c r="BI359" s="93"/>
      <c r="BJ359" s="93"/>
      <c r="BK359" s="93"/>
      <c r="BL359" s="93"/>
      <c r="BM359" s="93"/>
      <c r="BN359" s="93"/>
      <c r="BO359" s="93"/>
      <c r="BP359" s="93"/>
      <c r="BQ359" s="93"/>
      <c r="BR359" s="93"/>
      <c r="BS359" s="93"/>
      <c r="BT359" s="93"/>
      <c r="BU359" s="93"/>
      <c r="BV359" s="93"/>
      <c r="BW359" s="93"/>
      <c r="BX359" s="93"/>
      <c r="BY359" s="93"/>
      <c r="BZ359" s="93"/>
      <c r="CA359" s="93"/>
      <c r="CB359" s="93"/>
      <c r="CC359" s="93"/>
      <c r="CD359" s="93"/>
      <c r="CE359" s="93"/>
      <c r="CF359" s="93"/>
      <c r="CG359" s="93"/>
      <c r="CH359" s="93"/>
      <c r="CI359" s="93"/>
      <c r="CJ359" s="93"/>
      <c r="CK359" s="93"/>
      <c r="CL359" s="93"/>
      <c r="CM359" s="93"/>
      <c r="CN359" s="93"/>
      <c r="CO359" s="93"/>
      <c r="CP359" s="93"/>
      <c r="CQ359" s="93"/>
      <c r="CR359" s="93"/>
      <c r="CS359" s="93"/>
      <c r="CT359" s="93"/>
      <c r="CU359" s="93"/>
      <c r="CV359" s="93"/>
      <c r="CW359" s="93"/>
      <c r="CX359" s="93"/>
      <c r="CY359" s="93"/>
      <c r="CZ359" s="93"/>
      <c r="DA359" s="93"/>
      <c r="DB359" s="93"/>
      <c r="DC359" s="93"/>
      <c r="DD359" s="93"/>
      <c r="DE359" s="93"/>
      <c r="DF359" s="93"/>
      <c r="DG359" s="93"/>
      <c r="DH359" s="93"/>
      <c r="DI359" s="93"/>
      <c r="DJ359" s="93"/>
      <c r="DK359" s="93"/>
      <c r="DL359" s="93"/>
      <c r="DM359" s="93"/>
      <c r="DN359" s="93"/>
      <c r="DO359" s="93"/>
      <c r="DP359" s="93"/>
      <c r="DQ359" s="93"/>
      <c r="DR359" s="93"/>
      <c r="DS359" s="93"/>
      <c r="DT359" s="93"/>
      <c r="DU359" s="93"/>
      <c r="DV359" s="93"/>
      <c r="DW359" s="93"/>
      <c r="DX359" s="93"/>
      <c r="DY359" s="93"/>
      <c r="DZ359" s="93"/>
      <c r="EA359" s="93"/>
      <c r="EB359" s="93"/>
      <c r="EC359" s="93"/>
      <c r="ED359" s="93"/>
      <c r="EE359" s="93"/>
      <c r="EF359" s="93"/>
      <c r="EG359" s="93"/>
      <c r="EH359" s="93"/>
      <c r="EI359" s="93"/>
      <c r="EJ359" s="93"/>
      <c r="EK359" s="93"/>
      <c r="EL359" s="93"/>
      <c r="EM359" s="93"/>
      <c r="EN359" s="93"/>
      <c r="EO359" s="93"/>
      <c r="EP359" s="93"/>
      <c r="EQ359" s="93"/>
      <c r="ER359" s="93"/>
      <c r="ES359" s="93"/>
      <c r="ET359" s="93"/>
      <c r="EU359" s="93"/>
      <c r="EV359" s="93"/>
      <c r="EW359" s="93"/>
      <c r="EX359" s="93"/>
      <c r="EY359" s="93"/>
      <c r="EZ359" s="93"/>
      <c r="FA359" s="93"/>
      <c r="FB359" s="93"/>
      <c r="FC359" s="93"/>
      <c r="FD359" s="93"/>
      <c r="FE359" s="93"/>
      <c r="FF359" s="93"/>
      <c r="FG359" s="93"/>
      <c r="FH359" s="93"/>
      <c r="FI359" s="93"/>
      <c r="FJ359" s="93"/>
      <c r="FK359" s="93"/>
      <c r="FL359" s="93"/>
      <c r="FM359" s="93"/>
      <c r="FN359" s="93"/>
      <c r="FO359" s="93"/>
      <c r="FP359" s="93"/>
      <c r="FQ359" s="93"/>
      <c r="FR359" s="93"/>
      <c r="FS359" s="93"/>
      <c r="FT359" s="93"/>
      <c r="FU359" s="93"/>
      <c r="FV359" s="93"/>
      <c r="FW359" s="93"/>
      <c r="FX359" s="93"/>
      <c r="FY359" s="93"/>
      <c r="FZ359" s="93"/>
      <c r="GA359" s="93"/>
      <c r="GB359" s="93"/>
      <c r="GC359" s="93"/>
      <c r="GD359" s="93"/>
      <c r="GE359" s="93"/>
      <c r="GF359" s="93"/>
      <c r="GG359" s="93"/>
      <c r="GH359" s="93"/>
      <c r="GI359" s="93"/>
      <c r="GJ359" s="93"/>
      <c r="GK359" s="93"/>
      <c r="GL359" s="93"/>
      <c r="GM359" s="93"/>
      <c r="GN359" s="93"/>
      <c r="GO359" s="93"/>
      <c r="GP359" s="93"/>
      <c r="GQ359" s="93"/>
      <c r="GR359" s="93"/>
      <c r="GS359" s="93"/>
      <c r="GT359" s="93"/>
      <c r="GU359" s="93"/>
      <c r="GV359" s="93"/>
      <c r="GW359" s="93"/>
      <c r="GX359" s="93"/>
      <c r="GY359" s="93"/>
      <c r="GZ359" s="93"/>
      <c r="HA359" s="93"/>
      <c r="HB359" s="93"/>
      <c r="HC359" s="93"/>
      <c r="HD359" s="93"/>
      <c r="HE359" s="93"/>
      <c r="HF359" s="93"/>
      <c r="HG359" s="93"/>
      <c r="HH359" s="93"/>
      <c r="HI359" s="93"/>
      <c r="HJ359" s="93"/>
      <c r="HK359" s="93"/>
      <c r="HL359" s="93"/>
      <c r="HM359" s="93"/>
      <c r="HN359" s="93"/>
      <c r="HO359" s="93"/>
      <c r="HP359" s="93"/>
      <c r="HQ359" s="93"/>
      <c r="HR359" s="93"/>
      <c r="HS359" s="93"/>
      <c r="HT359" s="93"/>
      <c r="HU359" s="93"/>
      <c r="HV359" s="93"/>
      <c r="HW359" s="93"/>
      <c r="HX359" s="93"/>
      <c r="HY359" s="93"/>
      <c r="HZ359" s="93"/>
      <c r="IA359" s="93"/>
      <c r="IB359" s="93"/>
      <c r="IC359" s="93"/>
      <c r="ID359" s="93"/>
      <c r="IE359" s="93"/>
      <c r="IF359" s="93"/>
      <c r="IG359" s="93"/>
      <c r="IH359" s="93"/>
      <c r="II359" s="93"/>
      <c r="IJ359" s="93"/>
      <c r="IK359" s="93"/>
      <c r="IL359" s="93"/>
      <c r="IM359" s="93"/>
      <c r="IN359" s="93"/>
      <c r="IO359" s="93"/>
      <c r="IP359" s="93"/>
      <c r="IQ359" s="93"/>
      <c r="IR359" s="93"/>
      <c r="IS359" s="93"/>
      <c r="IT359" s="93"/>
      <c r="IU359" s="93"/>
      <c r="IV359" s="93"/>
      <c r="IW359" s="93"/>
      <c r="IX359" s="93"/>
      <c r="IY359" s="93"/>
      <c r="IZ359" s="93"/>
    </row>
    <row r="360" spans="1:260" s="95" customFormat="1">
      <c r="A360" s="93"/>
      <c r="B360" s="183"/>
      <c r="C360" s="183"/>
      <c r="D360" s="183"/>
      <c r="E360" s="158"/>
      <c r="F360" s="158"/>
      <c r="G360" s="158"/>
      <c r="H360" s="158"/>
      <c r="I360" s="158"/>
      <c r="J360" s="158"/>
      <c r="K360" s="158"/>
      <c r="L360" s="158"/>
      <c r="M360" s="158"/>
      <c r="N360" s="158"/>
      <c r="O360" s="158"/>
      <c r="P360" s="228"/>
      <c r="Q360" s="158"/>
      <c r="R360" s="158"/>
      <c r="S360" s="207"/>
      <c r="T360" s="207"/>
      <c r="U360" s="207"/>
      <c r="V360" s="207"/>
      <c r="W360" s="207"/>
      <c r="X360" s="207"/>
      <c r="Y360" s="207"/>
      <c r="Z360" s="207"/>
      <c r="AA360" s="207"/>
      <c r="AB360" s="207"/>
      <c r="AC360" s="207"/>
      <c r="AD360" s="207"/>
      <c r="AE360" s="207"/>
      <c r="AF360" s="207"/>
      <c r="AG360" s="207"/>
      <c r="AH360" s="207"/>
      <c r="AI360" s="207"/>
      <c r="AJ360" s="207"/>
      <c r="AK360" s="207"/>
      <c r="AL360" s="207"/>
      <c r="AM360" s="94"/>
      <c r="AN360" s="94"/>
      <c r="AO360" s="94"/>
      <c r="AP360" s="94"/>
      <c r="AQ360" s="94"/>
      <c r="AR360" s="94"/>
      <c r="AS360" s="94"/>
      <c r="AT360" s="94"/>
      <c r="AU360" s="94"/>
      <c r="AV360" s="94"/>
      <c r="AW360" s="94"/>
      <c r="AX360" s="94"/>
      <c r="AY360" s="94"/>
      <c r="AZ360" s="93"/>
      <c r="BA360" s="93"/>
      <c r="BB360" s="93"/>
      <c r="BC360" s="93"/>
      <c r="BD360" s="93"/>
      <c r="BE360" s="93"/>
      <c r="BF360" s="93"/>
      <c r="BG360" s="93"/>
      <c r="BH360" s="93"/>
      <c r="BI360" s="93"/>
      <c r="BJ360" s="93"/>
      <c r="BK360" s="93"/>
      <c r="BL360" s="93"/>
      <c r="BM360" s="93"/>
      <c r="BN360" s="93"/>
      <c r="BO360" s="93"/>
      <c r="BP360" s="93"/>
      <c r="BQ360" s="93"/>
      <c r="BR360" s="93"/>
      <c r="BS360" s="93"/>
      <c r="BT360" s="93"/>
      <c r="BU360" s="93"/>
      <c r="BV360" s="93"/>
      <c r="BW360" s="93"/>
      <c r="BX360" s="93"/>
      <c r="BY360" s="93"/>
      <c r="BZ360" s="93"/>
      <c r="CA360" s="93"/>
      <c r="CB360" s="93"/>
      <c r="CC360" s="93"/>
      <c r="CD360" s="93"/>
      <c r="CE360" s="93"/>
      <c r="CF360" s="93"/>
      <c r="CG360" s="93"/>
      <c r="CH360" s="93"/>
      <c r="CI360" s="93"/>
      <c r="CJ360" s="93"/>
      <c r="CK360" s="93"/>
      <c r="CL360" s="93"/>
      <c r="CM360" s="93"/>
      <c r="CN360" s="93"/>
      <c r="CO360" s="93"/>
      <c r="CP360" s="93"/>
      <c r="CQ360" s="93"/>
      <c r="CR360" s="93"/>
      <c r="CS360" s="93"/>
      <c r="CT360" s="93"/>
      <c r="CU360" s="93"/>
      <c r="CV360" s="93"/>
      <c r="CW360" s="93"/>
      <c r="CX360" s="93"/>
      <c r="CY360" s="93"/>
      <c r="CZ360" s="93"/>
      <c r="DA360" s="93"/>
      <c r="DB360" s="93"/>
      <c r="DC360" s="93"/>
      <c r="DD360" s="93"/>
      <c r="DE360" s="93"/>
      <c r="DF360" s="93"/>
      <c r="DG360" s="93"/>
      <c r="DH360" s="93"/>
      <c r="DI360" s="93"/>
      <c r="DJ360" s="93"/>
      <c r="DK360" s="93"/>
      <c r="DL360" s="93"/>
      <c r="DM360" s="93"/>
      <c r="DN360" s="93"/>
      <c r="DO360" s="93"/>
      <c r="DP360" s="93"/>
      <c r="DQ360" s="93"/>
      <c r="DR360" s="93"/>
      <c r="DS360" s="93"/>
      <c r="DT360" s="93"/>
      <c r="DU360" s="93"/>
      <c r="DV360" s="93"/>
      <c r="DW360" s="93"/>
      <c r="DX360" s="93"/>
      <c r="DY360" s="93"/>
      <c r="DZ360" s="93"/>
      <c r="EA360" s="93"/>
      <c r="EB360" s="93"/>
      <c r="EC360" s="93"/>
      <c r="ED360" s="93"/>
      <c r="EE360" s="93"/>
      <c r="EF360" s="93"/>
      <c r="EG360" s="93"/>
      <c r="EH360" s="93"/>
      <c r="EI360" s="93"/>
      <c r="EJ360" s="93"/>
      <c r="EK360" s="93"/>
      <c r="EL360" s="93"/>
      <c r="EM360" s="93"/>
      <c r="EN360" s="93"/>
      <c r="EO360" s="93"/>
      <c r="EP360" s="93"/>
      <c r="EQ360" s="93"/>
      <c r="ER360" s="93"/>
      <c r="ES360" s="93"/>
      <c r="ET360" s="93"/>
      <c r="EU360" s="93"/>
      <c r="EV360" s="93"/>
      <c r="EW360" s="93"/>
      <c r="EX360" s="93"/>
      <c r="EY360" s="93"/>
      <c r="EZ360" s="93"/>
      <c r="FA360" s="93"/>
      <c r="FB360" s="93"/>
      <c r="FC360" s="93"/>
      <c r="FD360" s="93"/>
      <c r="FE360" s="93"/>
      <c r="FF360" s="93"/>
      <c r="FG360" s="93"/>
      <c r="FH360" s="93"/>
      <c r="FI360" s="93"/>
      <c r="FJ360" s="93"/>
      <c r="FK360" s="93"/>
      <c r="FL360" s="93"/>
      <c r="FM360" s="93"/>
      <c r="FN360" s="93"/>
      <c r="FO360" s="93"/>
      <c r="FP360" s="93"/>
      <c r="FQ360" s="93"/>
      <c r="FR360" s="93"/>
      <c r="FS360" s="93"/>
      <c r="FT360" s="93"/>
      <c r="FU360" s="93"/>
      <c r="FV360" s="93"/>
      <c r="FW360" s="93"/>
      <c r="FX360" s="93"/>
      <c r="FY360" s="93"/>
      <c r="FZ360" s="93"/>
      <c r="GA360" s="93"/>
      <c r="GB360" s="93"/>
      <c r="GC360" s="93"/>
      <c r="GD360" s="93"/>
      <c r="GE360" s="93"/>
      <c r="GF360" s="93"/>
      <c r="GG360" s="93"/>
      <c r="GH360" s="93"/>
      <c r="GI360" s="93"/>
      <c r="GJ360" s="93"/>
      <c r="GK360" s="93"/>
      <c r="GL360" s="93"/>
      <c r="GM360" s="93"/>
      <c r="GN360" s="93"/>
      <c r="GO360" s="93"/>
      <c r="GP360" s="93"/>
      <c r="GQ360" s="93"/>
      <c r="GR360" s="93"/>
      <c r="GS360" s="93"/>
      <c r="GT360" s="93"/>
      <c r="GU360" s="93"/>
      <c r="GV360" s="93"/>
      <c r="GW360" s="93"/>
      <c r="GX360" s="93"/>
      <c r="GY360" s="93"/>
      <c r="GZ360" s="93"/>
      <c r="HA360" s="93"/>
      <c r="HB360" s="93"/>
      <c r="HC360" s="93"/>
      <c r="HD360" s="93"/>
      <c r="HE360" s="93"/>
      <c r="HF360" s="93"/>
      <c r="HG360" s="93"/>
      <c r="HH360" s="93"/>
      <c r="HI360" s="93"/>
      <c r="HJ360" s="93"/>
      <c r="HK360" s="93"/>
      <c r="HL360" s="93"/>
      <c r="HM360" s="93"/>
      <c r="HN360" s="93"/>
      <c r="HO360" s="93"/>
      <c r="HP360" s="93"/>
      <c r="HQ360" s="93"/>
      <c r="HR360" s="93"/>
      <c r="HS360" s="93"/>
      <c r="HT360" s="93"/>
      <c r="HU360" s="93"/>
      <c r="HV360" s="93"/>
      <c r="HW360" s="93"/>
      <c r="HX360" s="93"/>
      <c r="HY360" s="93"/>
      <c r="HZ360" s="93"/>
      <c r="IA360" s="93"/>
      <c r="IB360" s="93"/>
      <c r="IC360" s="93"/>
      <c r="ID360" s="93"/>
      <c r="IE360" s="93"/>
      <c r="IF360" s="93"/>
      <c r="IG360" s="93"/>
      <c r="IH360" s="93"/>
      <c r="II360" s="93"/>
      <c r="IJ360" s="93"/>
      <c r="IK360" s="93"/>
      <c r="IL360" s="93"/>
      <c r="IM360" s="93"/>
      <c r="IN360" s="93"/>
      <c r="IO360" s="93"/>
      <c r="IP360" s="93"/>
      <c r="IQ360" s="93"/>
      <c r="IR360" s="93"/>
      <c r="IS360" s="93"/>
      <c r="IT360" s="93"/>
      <c r="IU360" s="93"/>
      <c r="IV360" s="93"/>
      <c r="IW360" s="93"/>
      <c r="IX360" s="93"/>
      <c r="IY360" s="93"/>
      <c r="IZ360" s="93"/>
    </row>
    <row r="361" spans="1:260" s="95" customFormat="1">
      <c r="A361" s="93"/>
      <c r="B361" s="183"/>
      <c r="C361" s="183"/>
      <c r="D361" s="183"/>
      <c r="E361" s="158"/>
      <c r="F361" s="158"/>
      <c r="G361" s="158"/>
      <c r="H361" s="158"/>
      <c r="I361" s="158"/>
      <c r="J361" s="158"/>
      <c r="K361" s="158"/>
      <c r="L361" s="158"/>
      <c r="M361" s="158"/>
      <c r="N361" s="158"/>
      <c r="O361" s="158"/>
      <c r="P361" s="228"/>
      <c r="Q361" s="158"/>
      <c r="R361" s="158"/>
      <c r="S361" s="207"/>
      <c r="T361" s="207"/>
      <c r="U361" s="207"/>
      <c r="V361" s="207"/>
      <c r="W361" s="207"/>
      <c r="X361" s="207"/>
      <c r="Y361" s="207"/>
      <c r="Z361" s="207"/>
      <c r="AA361" s="207"/>
      <c r="AB361" s="207"/>
      <c r="AC361" s="207"/>
      <c r="AD361" s="207"/>
      <c r="AE361" s="207"/>
      <c r="AF361" s="207"/>
      <c r="AG361" s="207"/>
      <c r="AH361" s="207"/>
      <c r="AI361" s="207"/>
      <c r="AJ361" s="207"/>
      <c r="AK361" s="207"/>
      <c r="AL361" s="207"/>
      <c r="AM361" s="94"/>
      <c r="AN361" s="94"/>
      <c r="AO361" s="94"/>
      <c r="AP361" s="94"/>
      <c r="AQ361" s="94"/>
      <c r="AR361" s="94"/>
      <c r="AS361" s="94"/>
      <c r="AT361" s="94"/>
      <c r="AU361" s="94"/>
      <c r="AV361" s="94"/>
      <c r="AW361" s="94"/>
      <c r="AX361" s="94"/>
      <c r="AY361" s="94"/>
      <c r="AZ361" s="93"/>
      <c r="BA361" s="93"/>
      <c r="BB361" s="93"/>
      <c r="BC361" s="93"/>
      <c r="BD361" s="93"/>
      <c r="BE361" s="93"/>
      <c r="BF361" s="93"/>
      <c r="BG361" s="93"/>
      <c r="BH361" s="93"/>
      <c r="BI361" s="93"/>
      <c r="BJ361" s="93"/>
      <c r="BK361" s="93"/>
      <c r="BL361" s="93"/>
      <c r="BM361" s="93"/>
      <c r="BN361" s="93"/>
      <c r="BO361" s="93"/>
      <c r="BP361" s="93"/>
      <c r="BQ361" s="93"/>
      <c r="BR361" s="93"/>
      <c r="BS361" s="93"/>
      <c r="BT361" s="93"/>
      <c r="BU361" s="93"/>
      <c r="BV361" s="93"/>
      <c r="BW361" s="93"/>
      <c r="BX361" s="93"/>
      <c r="BY361" s="93"/>
      <c r="BZ361" s="93"/>
      <c r="CA361" s="93"/>
      <c r="CB361" s="93"/>
      <c r="CC361" s="93"/>
      <c r="CD361" s="93"/>
      <c r="CE361" s="93"/>
      <c r="CF361" s="93"/>
      <c r="CG361" s="93"/>
      <c r="CH361" s="93"/>
      <c r="CI361" s="93"/>
      <c r="CJ361" s="93"/>
      <c r="CK361" s="93"/>
      <c r="CL361" s="93"/>
      <c r="CM361" s="93"/>
      <c r="CN361" s="93"/>
      <c r="CO361" s="93"/>
      <c r="CP361" s="93"/>
      <c r="CQ361" s="93"/>
      <c r="CR361" s="93"/>
      <c r="CS361" s="93"/>
      <c r="CT361" s="93"/>
      <c r="CU361" s="93"/>
      <c r="CV361" s="93"/>
      <c r="CW361" s="93"/>
      <c r="CX361" s="93"/>
      <c r="CY361" s="93"/>
      <c r="CZ361" s="93"/>
      <c r="DA361" s="93"/>
      <c r="DB361" s="93"/>
      <c r="DC361" s="93"/>
      <c r="DD361" s="93"/>
      <c r="DE361" s="93"/>
      <c r="DF361" s="93"/>
      <c r="DG361" s="93"/>
      <c r="DH361" s="93"/>
      <c r="DI361" s="93"/>
      <c r="DJ361" s="93"/>
      <c r="DK361" s="93"/>
      <c r="DL361" s="93"/>
      <c r="DM361" s="93"/>
      <c r="DN361" s="93"/>
      <c r="DO361" s="93"/>
      <c r="DP361" s="93"/>
      <c r="DQ361" s="93"/>
      <c r="DR361" s="93"/>
      <c r="DS361" s="93"/>
      <c r="DT361" s="93"/>
      <c r="DU361" s="93"/>
      <c r="DV361" s="93"/>
      <c r="DW361" s="93"/>
      <c r="DX361" s="93"/>
      <c r="DY361" s="93"/>
      <c r="DZ361" s="93"/>
      <c r="EA361" s="93"/>
      <c r="EB361" s="93"/>
      <c r="EC361" s="93"/>
      <c r="ED361" s="93"/>
      <c r="EE361" s="93"/>
      <c r="EF361" s="93"/>
      <c r="EG361" s="93"/>
      <c r="EH361" s="93"/>
      <c r="EI361" s="93"/>
      <c r="EJ361" s="93"/>
      <c r="EK361" s="93"/>
      <c r="EL361" s="93"/>
      <c r="EM361" s="93"/>
      <c r="EN361" s="93"/>
      <c r="EO361" s="93"/>
      <c r="EP361" s="93"/>
      <c r="EQ361" s="93"/>
      <c r="ER361" s="93"/>
      <c r="ES361" s="93"/>
      <c r="ET361" s="93"/>
      <c r="EU361" s="93"/>
      <c r="EV361" s="93"/>
      <c r="EW361" s="93"/>
      <c r="EX361" s="93"/>
      <c r="EY361" s="93"/>
      <c r="EZ361" s="93"/>
      <c r="FA361" s="93"/>
      <c r="FB361" s="93"/>
      <c r="FC361" s="93"/>
      <c r="FD361" s="93"/>
      <c r="FE361" s="93"/>
      <c r="FF361" s="93"/>
      <c r="FG361" s="93"/>
      <c r="FH361" s="93"/>
      <c r="FI361" s="93"/>
      <c r="FJ361" s="93"/>
      <c r="FK361" s="93"/>
      <c r="FL361" s="93"/>
      <c r="FM361" s="93"/>
      <c r="FN361" s="93"/>
      <c r="FO361" s="93"/>
      <c r="FP361" s="93"/>
      <c r="FQ361" s="93"/>
      <c r="FR361" s="93"/>
      <c r="FS361" s="93"/>
      <c r="FT361" s="93"/>
      <c r="FU361" s="93"/>
      <c r="FV361" s="93"/>
      <c r="FW361" s="93"/>
      <c r="FX361" s="93"/>
      <c r="FY361" s="93"/>
      <c r="FZ361" s="93"/>
      <c r="GA361" s="93"/>
      <c r="GB361" s="93"/>
      <c r="GC361" s="93"/>
      <c r="GD361" s="93"/>
      <c r="GE361" s="93"/>
      <c r="GF361" s="93"/>
      <c r="GG361" s="93"/>
      <c r="GH361" s="93"/>
      <c r="GI361" s="93"/>
      <c r="GJ361" s="93"/>
      <c r="GK361" s="93"/>
      <c r="GL361" s="93"/>
      <c r="GM361" s="93"/>
      <c r="GN361" s="93"/>
      <c r="GO361" s="93"/>
      <c r="GP361" s="93"/>
      <c r="GQ361" s="93"/>
      <c r="GR361" s="93"/>
      <c r="GS361" s="93"/>
      <c r="GT361" s="93"/>
      <c r="GU361" s="93"/>
      <c r="GV361" s="93"/>
      <c r="GW361" s="93"/>
      <c r="GX361" s="93"/>
      <c r="GY361" s="93"/>
      <c r="GZ361" s="93"/>
      <c r="HA361" s="93"/>
      <c r="HB361" s="93"/>
      <c r="HC361" s="93"/>
      <c r="HD361" s="93"/>
      <c r="HE361" s="93"/>
      <c r="HF361" s="93"/>
      <c r="HG361" s="93"/>
      <c r="HH361" s="93"/>
      <c r="HI361" s="93"/>
      <c r="HJ361" s="93"/>
      <c r="HK361" s="93"/>
      <c r="HL361" s="93"/>
      <c r="HM361" s="93"/>
      <c r="HN361" s="93"/>
      <c r="HO361" s="93"/>
      <c r="HP361" s="93"/>
      <c r="HQ361" s="93"/>
      <c r="HR361" s="93"/>
      <c r="HS361" s="93"/>
      <c r="HT361" s="93"/>
      <c r="HU361" s="93"/>
      <c r="HV361" s="93"/>
      <c r="HW361" s="93"/>
      <c r="HX361" s="93"/>
      <c r="HY361" s="93"/>
      <c r="HZ361" s="93"/>
      <c r="IA361" s="93"/>
      <c r="IB361" s="93"/>
      <c r="IC361" s="93"/>
      <c r="ID361" s="93"/>
      <c r="IE361" s="93"/>
      <c r="IF361" s="93"/>
      <c r="IG361" s="93"/>
      <c r="IH361" s="93"/>
      <c r="II361" s="93"/>
      <c r="IJ361" s="93"/>
      <c r="IK361" s="93"/>
      <c r="IL361" s="93"/>
      <c r="IM361" s="93"/>
      <c r="IN361" s="93"/>
      <c r="IO361" s="93"/>
      <c r="IP361" s="93"/>
      <c r="IQ361" s="93"/>
      <c r="IR361" s="93"/>
      <c r="IS361" s="93"/>
      <c r="IT361" s="93"/>
      <c r="IU361" s="93"/>
      <c r="IV361" s="93"/>
      <c r="IW361" s="93"/>
      <c r="IX361" s="93"/>
      <c r="IY361" s="93"/>
      <c r="IZ361" s="93"/>
    </row>
    <row r="362" spans="1:260" s="95" customFormat="1">
      <c r="A362" s="93"/>
      <c r="B362" s="183"/>
      <c r="C362" s="183"/>
      <c r="D362" s="183"/>
      <c r="E362" s="158"/>
      <c r="F362" s="158"/>
      <c r="G362" s="158"/>
      <c r="H362" s="158"/>
      <c r="I362" s="158"/>
      <c r="J362" s="158"/>
      <c r="K362" s="158"/>
      <c r="L362" s="158"/>
      <c r="M362" s="158"/>
      <c r="N362" s="158"/>
      <c r="O362" s="158"/>
      <c r="P362" s="228"/>
      <c r="Q362" s="158"/>
      <c r="R362" s="158"/>
      <c r="S362" s="207"/>
      <c r="T362" s="207"/>
      <c r="U362" s="207"/>
      <c r="V362" s="207"/>
      <c r="W362" s="207"/>
      <c r="X362" s="207"/>
      <c r="Y362" s="207"/>
      <c r="Z362" s="207"/>
      <c r="AA362" s="207"/>
      <c r="AB362" s="207"/>
      <c r="AC362" s="207"/>
      <c r="AD362" s="207"/>
      <c r="AE362" s="207"/>
      <c r="AF362" s="207"/>
      <c r="AG362" s="207"/>
      <c r="AH362" s="207"/>
      <c r="AI362" s="207"/>
      <c r="AJ362" s="207"/>
      <c r="AK362" s="207"/>
      <c r="AL362" s="207"/>
      <c r="AM362" s="94"/>
      <c r="AN362" s="94"/>
      <c r="AO362" s="94"/>
      <c r="AP362" s="94"/>
      <c r="AQ362" s="94"/>
      <c r="AR362" s="94"/>
      <c r="AS362" s="94"/>
      <c r="AT362" s="94"/>
      <c r="AU362" s="94"/>
      <c r="AV362" s="94"/>
      <c r="AW362" s="94"/>
      <c r="AX362" s="94"/>
      <c r="AY362" s="94"/>
      <c r="AZ362" s="93"/>
      <c r="BA362" s="93"/>
      <c r="BB362" s="93"/>
      <c r="BC362" s="93"/>
      <c r="BD362" s="93"/>
      <c r="BE362" s="93"/>
      <c r="BF362" s="93"/>
      <c r="BG362" s="93"/>
      <c r="BH362" s="93"/>
      <c r="BI362" s="93"/>
      <c r="BJ362" s="93"/>
      <c r="BK362" s="93"/>
      <c r="BL362" s="93"/>
      <c r="BM362" s="93"/>
      <c r="BN362" s="93"/>
      <c r="BO362" s="93"/>
      <c r="BP362" s="93"/>
      <c r="BQ362" s="93"/>
      <c r="BR362" s="93"/>
      <c r="BS362" s="93"/>
      <c r="BT362" s="93"/>
      <c r="BU362" s="93"/>
      <c r="BV362" s="93"/>
      <c r="BW362" s="93"/>
      <c r="BX362" s="93"/>
      <c r="BY362" s="93"/>
      <c r="BZ362" s="93"/>
      <c r="CA362" s="93"/>
      <c r="CB362" s="93"/>
      <c r="CC362" s="93"/>
      <c r="CD362" s="93"/>
      <c r="CE362" s="93"/>
      <c r="CF362" s="93"/>
      <c r="CG362" s="93"/>
      <c r="CH362" s="93"/>
      <c r="CI362" s="93"/>
      <c r="CJ362" s="93"/>
      <c r="CK362" s="93"/>
      <c r="CL362" s="93"/>
      <c r="CM362" s="93"/>
      <c r="CN362" s="93"/>
      <c r="CO362" s="93"/>
      <c r="CP362" s="93"/>
      <c r="CQ362" s="93"/>
      <c r="CR362" s="93"/>
      <c r="CS362" s="93"/>
      <c r="CT362" s="93"/>
      <c r="CU362" s="93"/>
      <c r="CV362" s="93"/>
      <c r="CW362" s="93"/>
      <c r="CX362" s="93"/>
      <c r="CY362" s="93"/>
      <c r="CZ362" s="93"/>
      <c r="DA362" s="93"/>
      <c r="DB362" s="93"/>
      <c r="DC362" s="93"/>
      <c r="DD362" s="93"/>
      <c r="DE362" s="93"/>
      <c r="DF362" s="93"/>
      <c r="DG362" s="93"/>
      <c r="DH362" s="93"/>
      <c r="DI362" s="93"/>
      <c r="DJ362" s="93"/>
      <c r="DK362" s="93"/>
      <c r="DL362" s="93"/>
      <c r="DM362" s="93"/>
      <c r="DN362" s="93"/>
      <c r="DO362" s="93"/>
      <c r="DP362" s="93"/>
      <c r="DQ362" s="93"/>
      <c r="DR362" s="93"/>
      <c r="DS362" s="93"/>
      <c r="DT362" s="93"/>
      <c r="DU362" s="93"/>
      <c r="DV362" s="93"/>
      <c r="DW362" s="93"/>
      <c r="DX362" s="93"/>
      <c r="DY362" s="93"/>
      <c r="DZ362" s="93"/>
      <c r="EA362" s="93"/>
      <c r="EB362" s="93"/>
      <c r="EC362" s="93"/>
      <c r="ED362" s="93"/>
      <c r="EE362" s="93"/>
      <c r="EF362" s="93"/>
      <c r="EG362" s="93"/>
      <c r="EH362" s="93"/>
      <c r="EI362" s="93"/>
      <c r="EJ362" s="93"/>
      <c r="EK362" s="93"/>
      <c r="EL362" s="93"/>
      <c r="EM362" s="93"/>
      <c r="EN362" s="93"/>
      <c r="EO362" s="93"/>
      <c r="EP362" s="93"/>
      <c r="EQ362" s="93"/>
      <c r="ER362" s="93"/>
      <c r="ES362" s="93"/>
      <c r="ET362" s="93"/>
      <c r="EU362" s="93"/>
      <c r="EV362" s="93"/>
      <c r="EW362" s="93"/>
      <c r="EX362" s="93"/>
      <c r="EY362" s="93"/>
      <c r="EZ362" s="93"/>
      <c r="FA362" s="93"/>
      <c r="FB362" s="93"/>
      <c r="FC362" s="93"/>
      <c r="FD362" s="93"/>
      <c r="FE362" s="93"/>
      <c r="FF362" s="93"/>
      <c r="FG362" s="93"/>
      <c r="FH362" s="93"/>
      <c r="FI362" s="93"/>
      <c r="FJ362" s="93"/>
      <c r="FK362" s="93"/>
      <c r="FL362" s="93"/>
      <c r="FM362" s="93"/>
      <c r="FN362" s="93"/>
      <c r="FO362" s="93"/>
      <c r="FP362" s="93"/>
      <c r="FQ362" s="93"/>
      <c r="FR362" s="93"/>
      <c r="FS362" s="93"/>
      <c r="FT362" s="93"/>
      <c r="FU362" s="93"/>
      <c r="FV362" s="93"/>
      <c r="FW362" s="93"/>
      <c r="FX362" s="93"/>
      <c r="FY362" s="93"/>
      <c r="FZ362" s="93"/>
      <c r="GA362" s="93"/>
      <c r="GB362" s="93"/>
      <c r="GC362" s="93"/>
      <c r="GD362" s="93"/>
      <c r="GE362" s="93"/>
      <c r="GF362" s="93"/>
      <c r="GG362" s="93"/>
      <c r="GH362" s="93"/>
      <c r="GI362" s="93"/>
      <c r="GJ362" s="93"/>
      <c r="GK362" s="93"/>
      <c r="GL362" s="93"/>
      <c r="GM362" s="93"/>
      <c r="GN362" s="93"/>
      <c r="GO362" s="93"/>
      <c r="GP362" s="93"/>
      <c r="GQ362" s="93"/>
      <c r="GR362" s="93"/>
      <c r="GS362" s="93"/>
      <c r="GT362" s="93"/>
      <c r="GU362" s="93"/>
      <c r="GV362" s="93"/>
      <c r="GW362" s="93"/>
      <c r="GX362" s="93"/>
      <c r="GY362" s="93"/>
      <c r="GZ362" s="93"/>
      <c r="HA362" s="93"/>
      <c r="HB362" s="93"/>
      <c r="HC362" s="93"/>
      <c r="HD362" s="93"/>
      <c r="HE362" s="93"/>
      <c r="HF362" s="93"/>
      <c r="HG362" s="93"/>
      <c r="HH362" s="93"/>
      <c r="HI362" s="93"/>
      <c r="HJ362" s="93"/>
      <c r="HK362" s="93"/>
      <c r="HL362" s="93"/>
      <c r="HM362" s="93"/>
      <c r="HN362" s="93"/>
      <c r="HO362" s="93"/>
      <c r="HP362" s="93"/>
      <c r="HQ362" s="93"/>
      <c r="HR362" s="93"/>
      <c r="HS362" s="93"/>
      <c r="HT362" s="93"/>
      <c r="HU362" s="93"/>
      <c r="HV362" s="93"/>
      <c r="HW362" s="93"/>
      <c r="HX362" s="93"/>
      <c r="HY362" s="93"/>
      <c r="HZ362" s="93"/>
      <c r="IA362" s="93"/>
      <c r="IB362" s="93"/>
      <c r="IC362" s="93"/>
      <c r="ID362" s="93"/>
      <c r="IE362" s="93"/>
      <c r="IF362" s="93"/>
      <c r="IG362" s="93"/>
      <c r="IH362" s="93"/>
      <c r="II362" s="93"/>
      <c r="IJ362" s="93"/>
      <c r="IK362" s="93"/>
      <c r="IL362" s="93"/>
      <c r="IM362" s="93"/>
      <c r="IN362" s="93"/>
      <c r="IO362" s="93"/>
      <c r="IP362" s="93"/>
      <c r="IQ362" s="93"/>
      <c r="IR362" s="93"/>
      <c r="IS362" s="93"/>
      <c r="IT362" s="93"/>
      <c r="IU362" s="93"/>
      <c r="IV362" s="93"/>
      <c r="IW362" s="93"/>
      <c r="IX362" s="93"/>
      <c r="IY362" s="93"/>
      <c r="IZ362" s="93"/>
    </row>
    <row r="363" spans="1:260" s="95" customFormat="1">
      <c r="A363" s="93"/>
      <c r="B363" s="183"/>
      <c r="C363" s="183"/>
      <c r="D363" s="183"/>
      <c r="E363" s="158"/>
      <c r="F363" s="158"/>
      <c r="G363" s="158"/>
      <c r="H363" s="158"/>
      <c r="I363" s="158"/>
      <c r="J363" s="158"/>
      <c r="K363" s="158"/>
      <c r="L363" s="158"/>
      <c r="M363" s="158"/>
      <c r="N363" s="158"/>
      <c r="O363" s="158"/>
      <c r="P363" s="228"/>
      <c r="Q363" s="158"/>
      <c r="R363" s="158"/>
      <c r="S363" s="207"/>
      <c r="T363" s="207"/>
      <c r="U363" s="207"/>
      <c r="V363" s="207"/>
      <c r="W363" s="207"/>
      <c r="X363" s="207"/>
      <c r="Y363" s="207"/>
      <c r="Z363" s="207"/>
      <c r="AA363" s="207"/>
      <c r="AB363" s="207"/>
      <c r="AC363" s="207"/>
      <c r="AD363" s="207"/>
      <c r="AE363" s="207"/>
      <c r="AF363" s="207"/>
      <c r="AG363" s="207"/>
      <c r="AH363" s="207"/>
      <c r="AI363" s="207"/>
      <c r="AJ363" s="207"/>
      <c r="AK363" s="207"/>
      <c r="AL363" s="207"/>
      <c r="AM363" s="94"/>
      <c r="AN363" s="94"/>
      <c r="AO363" s="94"/>
      <c r="AP363" s="94"/>
      <c r="AQ363" s="94"/>
      <c r="AR363" s="94"/>
      <c r="AS363" s="94"/>
      <c r="AT363" s="94"/>
      <c r="AU363" s="94"/>
      <c r="AV363" s="94"/>
      <c r="AW363" s="94"/>
      <c r="AX363" s="94"/>
      <c r="AY363" s="94"/>
      <c r="AZ363" s="93"/>
      <c r="BA363" s="93"/>
      <c r="BB363" s="93"/>
      <c r="BC363" s="93"/>
      <c r="BD363" s="93"/>
      <c r="BE363" s="93"/>
      <c r="BF363" s="93"/>
      <c r="BG363" s="93"/>
      <c r="BH363" s="93"/>
      <c r="BI363" s="93"/>
      <c r="BJ363" s="93"/>
      <c r="BK363" s="93"/>
      <c r="BL363" s="93"/>
      <c r="BM363" s="93"/>
      <c r="BN363" s="93"/>
      <c r="BO363" s="93"/>
      <c r="BP363" s="93"/>
      <c r="BQ363" s="93"/>
      <c r="BR363" s="93"/>
      <c r="BS363" s="93"/>
      <c r="BT363" s="93"/>
      <c r="BU363" s="93"/>
      <c r="BV363" s="93"/>
      <c r="BW363" s="93"/>
      <c r="BX363" s="93"/>
      <c r="BY363" s="93"/>
      <c r="BZ363" s="93"/>
      <c r="CA363" s="93"/>
      <c r="CB363" s="93"/>
      <c r="CC363" s="93"/>
      <c r="CD363" s="93"/>
      <c r="CE363" s="93"/>
      <c r="CF363" s="93"/>
      <c r="CG363" s="93"/>
      <c r="CH363" s="93"/>
      <c r="CI363" s="93"/>
      <c r="CJ363" s="93"/>
      <c r="CK363" s="93"/>
      <c r="CL363" s="93"/>
      <c r="CM363" s="93"/>
      <c r="CN363" s="93"/>
      <c r="CO363" s="93"/>
      <c r="CP363" s="93"/>
      <c r="CQ363" s="93"/>
      <c r="CR363" s="93"/>
      <c r="CS363" s="93"/>
      <c r="CT363" s="93"/>
      <c r="CU363" s="93"/>
      <c r="CV363" s="93"/>
      <c r="CW363" s="93"/>
      <c r="CX363" s="93"/>
      <c r="CY363" s="93"/>
      <c r="CZ363" s="93"/>
      <c r="DA363" s="93"/>
      <c r="DB363" s="93"/>
      <c r="DC363" s="93"/>
      <c r="DD363" s="93"/>
      <c r="DE363" s="93"/>
      <c r="DF363" s="93"/>
      <c r="DG363" s="93"/>
      <c r="DH363" s="93"/>
      <c r="DI363" s="93"/>
      <c r="DJ363" s="93"/>
      <c r="DK363" s="93"/>
      <c r="DL363" s="93"/>
      <c r="DM363" s="93"/>
      <c r="DN363" s="93"/>
      <c r="DO363" s="93"/>
      <c r="DP363" s="93"/>
      <c r="DQ363" s="93"/>
      <c r="DR363" s="93"/>
      <c r="DS363" s="93"/>
      <c r="DT363" s="93"/>
      <c r="DU363" s="93"/>
      <c r="DV363" s="93"/>
      <c r="DW363" s="93"/>
      <c r="DX363" s="93"/>
      <c r="DY363" s="93"/>
      <c r="DZ363" s="93"/>
      <c r="EA363" s="93"/>
      <c r="EB363" s="93"/>
      <c r="EC363" s="93"/>
      <c r="ED363" s="93"/>
      <c r="EE363" s="93"/>
      <c r="EF363" s="93"/>
      <c r="EG363" s="93"/>
      <c r="EH363" s="93"/>
      <c r="EI363" s="93"/>
      <c r="EJ363" s="93"/>
      <c r="EK363" s="93"/>
      <c r="EL363" s="93"/>
      <c r="EM363" s="93"/>
      <c r="EN363" s="93"/>
      <c r="EO363" s="93"/>
      <c r="EP363" s="93"/>
      <c r="EQ363" s="93"/>
      <c r="ER363" s="93"/>
      <c r="ES363" s="93"/>
      <c r="ET363" s="93"/>
      <c r="EU363" s="93"/>
      <c r="EV363" s="93"/>
      <c r="EW363" s="93"/>
      <c r="EX363" s="93"/>
      <c r="EY363" s="93"/>
      <c r="EZ363" s="93"/>
      <c r="FA363" s="93"/>
      <c r="FB363" s="93"/>
      <c r="FC363" s="93"/>
      <c r="FD363" s="93"/>
      <c r="FE363" s="93"/>
      <c r="FF363" s="93"/>
      <c r="FG363" s="93"/>
      <c r="FH363" s="93"/>
      <c r="FI363" s="93"/>
      <c r="FJ363" s="93"/>
      <c r="FK363" s="93"/>
      <c r="FL363" s="93"/>
      <c r="FM363" s="93"/>
      <c r="FN363" s="93"/>
      <c r="FO363" s="93"/>
      <c r="FP363" s="93"/>
      <c r="FQ363" s="93"/>
      <c r="FR363" s="93"/>
      <c r="FS363" s="93"/>
      <c r="FT363" s="93"/>
      <c r="FU363" s="93"/>
      <c r="FV363" s="93"/>
      <c r="FW363" s="93"/>
      <c r="FX363" s="93"/>
      <c r="FY363" s="93"/>
      <c r="FZ363" s="93"/>
      <c r="GA363" s="93"/>
      <c r="GB363" s="93"/>
      <c r="GC363" s="93"/>
      <c r="GD363" s="93"/>
      <c r="GE363" s="93"/>
      <c r="GF363" s="93"/>
      <c r="GG363" s="93"/>
      <c r="GH363" s="93"/>
      <c r="GI363" s="93"/>
      <c r="GJ363" s="93"/>
      <c r="GK363" s="93"/>
      <c r="GL363" s="93"/>
      <c r="GM363" s="93"/>
      <c r="GN363" s="93"/>
      <c r="GO363" s="93"/>
      <c r="GP363" s="93"/>
      <c r="GQ363" s="93"/>
      <c r="GR363" s="93"/>
      <c r="GS363" s="93"/>
      <c r="GT363" s="93"/>
      <c r="GU363" s="93"/>
      <c r="GV363" s="93"/>
      <c r="GW363" s="93"/>
      <c r="GX363" s="93"/>
      <c r="GY363" s="93"/>
      <c r="GZ363" s="93"/>
      <c r="HA363" s="93"/>
      <c r="HB363" s="93"/>
      <c r="HC363" s="93"/>
      <c r="HD363" s="93"/>
      <c r="HE363" s="93"/>
      <c r="HF363" s="93"/>
      <c r="HG363" s="93"/>
      <c r="HH363" s="93"/>
      <c r="HI363" s="93"/>
      <c r="HJ363" s="93"/>
      <c r="HK363" s="93"/>
      <c r="HL363" s="93"/>
      <c r="HM363" s="93"/>
      <c r="HN363" s="93"/>
      <c r="HO363" s="93"/>
      <c r="HP363" s="93"/>
      <c r="HQ363" s="93"/>
      <c r="HR363" s="93"/>
      <c r="HS363" s="93"/>
      <c r="HT363" s="93"/>
      <c r="HU363" s="93"/>
      <c r="HV363" s="93"/>
      <c r="HW363" s="93"/>
      <c r="HX363" s="93"/>
      <c r="HY363" s="93"/>
      <c r="HZ363" s="93"/>
      <c r="IA363" s="93"/>
      <c r="IB363" s="93"/>
      <c r="IC363" s="93"/>
      <c r="ID363" s="93"/>
      <c r="IE363" s="93"/>
      <c r="IF363" s="93"/>
      <c r="IG363" s="93"/>
      <c r="IH363" s="93"/>
      <c r="II363" s="93"/>
      <c r="IJ363" s="93"/>
      <c r="IK363" s="93"/>
      <c r="IL363" s="93"/>
      <c r="IM363" s="93"/>
      <c r="IN363" s="93"/>
      <c r="IO363" s="93"/>
      <c r="IP363" s="93"/>
      <c r="IQ363" s="93"/>
      <c r="IR363" s="93"/>
      <c r="IS363" s="93"/>
      <c r="IT363" s="93"/>
      <c r="IU363" s="93"/>
      <c r="IV363" s="93"/>
      <c r="IW363" s="93"/>
      <c r="IX363" s="93"/>
      <c r="IY363" s="93"/>
      <c r="IZ363" s="93"/>
    </row>
    <row r="364" spans="1:260" s="95" customFormat="1">
      <c r="A364" s="93"/>
      <c r="B364" s="183"/>
      <c r="C364" s="183"/>
      <c r="D364" s="183"/>
      <c r="E364" s="158"/>
      <c r="F364" s="158"/>
      <c r="G364" s="158"/>
      <c r="H364" s="158"/>
      <c r="I364" s="158"/>
      <c r="J364" s="158"/>
      <c r="K364" s="158"/>
      <c r="L364" s="158"/>
      <c r="M364" s="158"/>
      <c r="N364" s="158"/>
      <c r="O364" s="158"/>
      <c r="P364" s="228"/>
      <c r="Q364" s="158"/>
      <c r="R364" s="158"/>
      <c r="S364" s="207"/>
      <c r="T364" s="207"/>
      <c r="U364" s="207"/>
      <c r="V364" s="207"/>
      <c r="W364" s="207"/>
      <c r="X364" s="207"/>
      <c r="Y364" s="207"/>
      <c r="Z364" s="207"/>
      <c r="AA364" s="207"/>
      <c r="AB364" s="207"/>
      <c r="AC364" s="207"/>
      <c r="AD364" s="207"/>
      <c r="AE364" s="207"/>
      <c r="AF364" s="207"/>
      <c r="AG364" s="207"/>
      <c r="AH364" s="207"/>
      <c r="AI364" s="207"/>
      <c r="AJ364" s="207"/>
      <c r="AK364" s="207"/>
      <c r="AL364" s="207"/>
      <c r="AM364" s="94"/>
      <c r="AN364" s="94"/>
      <c r="AO364" s="94"/>
      <c r="AP364" s="94"/>
      <c r="AQ364" s="94"/>
      <c r="AR364" s="94"/>
      <c r="AS364" s="94"/>
      <c r="AT364" s="94"/>
      <c r="AU364" s="94"/>
      <c r="AV364" s="94"/>
      <c r="AW364" s="94"/>
      <c r="AX364" s="94"/>
      <c r="AY364" s="94"/>
      <c r="AZ364" s="93"/>
      <c r="BA364" s="93"/>
      <c r="BB364" s="93"/>
      <c r="BC364" s="93"/>
      <c r="BD364" s="93"/>
      <c r="BE364" s="93"/>
      <c r="BF364" s="93"/>
      <c r="BG364" s="93"/>
      <c r="BH364" s="93"/>
      <c r="BI364" s="93"/>
      <c r="BJ364" s="93"/>
      <c r="BK364" s="93"/>
      <c r="BL364" s="93"/>
      <c r="BM364" s="93"/>
      <c r="BN364" s="93"/>
      <c r="BO364" s="93"/>
      <c r="BP364" s="93"/>
      <c r="BQ364" s="93"/>
      <c r="BR364" s="93"/>
      <c r="BS364" s="93"/>
      <c r="BT364" s="93"/>
      <c r="BU364" s="93"/>
      <c r="BV364" s="93"/>
      <c r="BW364" s="93"/>
      <c r="BX364" s="93"/>
      <c r="BY364" s="93"/>
      <c r="BZ364" s="93"/>
      <c r="CA364" s="93"/>
      <c r="CB364" s="93"/>
      <c r="CC364" s="93"/>
      <c r="CD364" s="93"/>
      <c r="CE364" s="93"/>
      <c r="CF364" s="93"/>
      <c r="CG364" s="93"/>
      <c r="CH364" s="93"/>
      <c r="CI364" s="93"/>
      <c r="CJ364" s="93"/>
      <c r="CK364" s="93"/>
      <c r="CL364" s="93"/>
      <c r="CM364" s="93"/>
      <c r="CN364" s="93"/>
      <c r="CO364" s="93"/>
      <c r="CP364" s="93"/>
      <c r="CQ364" s="93"/>
      <c r="CR364" s="93"/>
      <c r="CS364" s="93"/>
      <c r="CT364" s="93"/>
      <c r="CU364" s="93"/>
      <c r="CV364" s="93"/>
      <c r="CW364" s="93"/>
      <c r="CX364" s="93"/>
      <c r="CY364" s="93"/>
      <c r="CZ364" s="93"/>
      <c r="DA364" s="93"/>
      <c r="DB364" s="93"/>
      <c r="DC364" s="93"/>
      <c r="DD364" s="93"/>
      <c r="DE364" s="93"/>
      <c r="DF364" s="93"/>
      <c r="DG364" s="93"/>
      <c r="DH364" s="93"/>
      <c r="DI364" s="93"/>
      <c r="DJ364" s="93"/>
      <c r="DK364" s="93"/>
      <c r="DL364" s="93"/>
      <c r="DM364" s="93"/>
      <c r="DN364" s="93"/>
      <c r="DO364" s="93"/>
      <c r="DP364" s="93"/>
      <c r="DQ364" s="93"/>
      <c r="DR364" s="93"/>
      <c r="DS364" s="93"/>
      <c r="DT364" s="93"/>
      <c r="DU364" s="93"/>
      <c r="DV364" s="93"/>
      <c r="DW364" s="93"/>
      <c r="DX364" s="93"/>
      <c r="DY364" s="93"/>
      <c r="DZ364" s="93"/>
      <c r="EA364" s="93"/>
      <c r="EB364" s="93"/>
      <c r="EC364" s="93"/>
      <c r="ED364" s="93"/>
      <c r="EE364" s="93"/>
      <c r="EF364" s="93"/>
      <c r="EG364" s="93"/>
      <c r="EH364" s="93"/>
      <c r="EI364" s="93"/>
      <c r="EJ364" s="93"/>
      <c r="EK364" s="93"/>
      <c r="EL364" s="93"/>
      <c r="EM364" s="93"/>
      <c r="EN364" s="93"/>
      <c r="EO364" s="93"/>
      <c r="EP364" s="93"/>
      <c r="EQ364" s="93"/>
      <c r="ER364" s="93"/>
      <c r="ES364" s="93"/>
      <c r="ET364" s="93"/>
      <c r="EU364" s="93"/>
      <c r="EV364" s="93"/>
      <c r="EW364" s="93"/>
      <c r="EX364" s="93"/>
      <c r="EY364" s="93"/>
      <c r="EZ364" s="93"/>
      <c r="FA364" s="93"/>
      <c r="FB364" s="93"/>
      <c r="FC364" s="93"/>
      <c r="FD364" s="93"/>
      <c r="FE364" s="93"/>
      <c r="FF364" s="93"/>
      <c r="FG364" s="93"/>
      <c r="FH364" s="93"/>
      <c r="FI364" s="93"/>
      <c r="FJ364" s="93"/>
      <c r="FK364" s="93"/>
      <c r="FL364" s="93"/>
      <c r="FM364" s="93"/>
      <c r="FN364" s="93"/>
      <c r="FO364" s="93"/>
      <c r="FP364" s="93"/>
      <c r="FQ364" s="93"/>
      <c r="FR364" s="93"/>
      <c r="FS364" s="93"/>
      <c r="FT364" s="93"/>
      <c r="FU364" s="93"/>
      <c r="FV364" s="93"/>
      <c r="FW364" s="93"/>
      <c r="FX364" s="93"/>
      <c r="FY364" s="93"/>
      <c r="FZ364" s="93"/>
      <c r="GA364" s="93"/>
      <c r="GB364" s="93"/>
      <c r="GC364" s="93"/>
      <c r="GD364" s="93"/>
      <c r="GE364" s="93"/>
      <c r="GF364" s="93"/>
      <c r="GG364" s="93"/>
      <c r="GH364" s="93"/>
      <c r="GI364" s="93"/>
      <c r="GJ364" s="93"/>
      <c r="GK364" s="93"/>
      <c r="GL364" s="93"/>
      <c r="GM364" s="93"/>
      <c r="GN364" s="93"/>
      <c r="GO364" s="93"/>
      <c r="GP364" s="93"/>
      <c r="GQ364" s="93"/>
      <c r="GR364" s="93"/>
      <c r="GS364" s="93"/>
      <c r="GT364" s="93"/>
      <c r="GU364" s="93"/>
      <c r="GV364" s="93"/>
      <c r="GW364" s="93"/>
      <c r="GX364" s="93"/>
      <c r="GY364" s="93"/>
      <c r="GZ364" s="93"/>
      <c r="HA364" s="93"/>
      <c r="HB364" s="93"/>
      <c r="HC364" s="93"/>
      <c r="HD364" s="93"/>
      <c r="HE364" s="93"/>
      <c r="HF364" s="93"/>
      <c r="HG364" s="93"/>
      <c r="HH364" s="93"/>
      <c r="HI364" s="93"/>
      <c r="HJ364" s="93"/>
      <c r="HK364" s="93"/>
      <c r="HL364" s="93"/>
      <c r="HM364" s="93"/>
      <c r="HN364" s="93"/>
      <c r="HO364" s="93"/>
      <c r="HP364" s="93"/>
      <c r="HQ364" s="93"/>
      <c r="HR364" s="93"/>
      <c r="HS364" s="93"/>
      <c r="HT364" s="93"/>
      <c r="HU364" s="93"/>
      <c r="HV364" s="93"/>
      <c r="HW364" s="93"/>
      <c r="HX364" s="93"/>
      <c r="HY364" s="93"/>
      <c r="HZ364" s="93"/>
      <c r="IA364" s="93"/>
      <c r="IB364" s="93"/>
      <c r="IC364" s="93"/>
      <c r="ID364" s="93"/>
      <c r="IE364" s="93"/>
      <c r="IF364" s="93"/>
      <c r="IG364" s="93"/>
      <c r="IH364" s="93"/>
      <c r="II364" s="93"/>
      <c r="IJ364" s="93"/>
      <c r="IK364" s="93"/>
      <c r="IL364" s="93"/>
      <c r="IM364" s="93"/>
      <c r="IN364" s="93"/>
      <c r="IO364" s="93"/>
      <c r="IP364" s="93"/>
      <c r="IQ364" s="93"/>
      <c r="IR364" s="93"/>
      <c r="IS364" s="93"/>
      <c r="IT364" s="93"/>
      <c r="IU364" s="93"/>
      <c r="IV364" s="93"/>
      <c r="IW364" s="93"/>
      <c r="IX364" s="93"/>
      <c r="IY364" s="93"/>
      <c r="IZ364" s="93"/>
    </row>
    <row r="365" spans="1:260" s="95" customFormat="1">
      <c r="A365" s="93"/>
      <c r="B365" s="183"/>
      <c r="C365" s="183"/>
      <c r="D365" s="183"/>
      <c r="E365" s="158"/>
      <c r="F365" s="158"/>
      <c r="G365" s="158"/>
      <c r="H365" s="158"/>
      <c r="I365" s="158"/>
      <c r="J365" s="158"/>
      <c r="K365" s="158"/>
      <c r="L365" s="158"/>
      <c r="M365" s="158"/>
      <c r="N365" s="158"/>
      <c r="O365" s="158"/>
      <c r="P365" s="228"/>
      <c r="Q365" s="158"/>
      <c r="R365" s="158"/>
      <c r="S365" s="207"/>
      <c r="T365" s="207"/>
      <c r="U365" s="207"/>
      <c r="V365" s="207"/>
      <c r="W365" s="207"/>
      <c r="X365" s="207"/>
      <c r="Y365" s="207"/>
      <c r="Z365" s="207"/>
      <c r="AA365" s="207"/>
      <c r="AB365" s="207"/>
      <c r="AC365" s="207"/>
      <c r="AD365" s="207"/>
      <c r="AE365" s="207"/>
      <c r="AF365" s="207"/>
      <c r="AG365" s="207"/>
      <c r="AH365" s="207"/>
      <c r="AI365" s="207"/>
      <c r="AJ365" s="207"/>
      <c r="AK365" s="207"/>
      <c r="AL365" s="207"/>
      <c r="AM365" s="94"/>
      <c r="AN365" s="94"/>
      <c r="AO365" s="94"/>
      <c r="AP365" s="94"/>
      <c r="AQ365" s="94"/>
      <c r="AR365" s="94"/>
      <c r="AS365" s="94"/>
      <c r="AT365" s="94"/>
      <c r="AU365" s="94"/>
      <c r="AV365" s="94"/>
      <c r="AW365" s="94"/>
      <c r="AX365" s="94"/>
      <c r="AY365" s="94"/>
      <c r="AZ365" s="93"/>
      <c r="BA365" s="93"/>
      <c r="BB365" s="93"/>
      <c r="BC365" s="93"/>
      <c r="BD365" s="93"/>
      <c r="BE365" s="93"/>
      <c r="BF365" s="93"/>
      <c r="BG365" s="93"/>
      <c r="BH365" s="93"/>
      <c r="BI365" s="93"/>
      <c r="BJ365" s="93"/>
      <c r="BK365" s="93"/>
      <c r="BL365" s="93"/>
      <c r="BM365" s="93"/>
      <c r="BN365" s="93"/>
      <c r="BO365" s="93"/>
      <c r="BP365" s="93"/>
      <c r="BQ365" s="93"/>
      <c r="BR365" s="93"/>
      <c r="BS365" s="93"/>
      <c r="BT365" s="93"/>
      <c r="BU365" s="93"/>
      <c r="BV365" s="93"/>
      <c r="BW365" s="93"/>
      <c r="BX365" s="93"/>
      <c r="BY365" s="93"/>
      <c r="BZ365" s="93"/>
      <c r="CA365" s="93"/>
      <c r="CB365" s="93"/>
      <c r="CC365" s="93"/>
      <c r="CD365" s="93"/>
      <c r="CE365" s="93"/>
      <c r="CF365" s="93"/>
      <c r="CG365" s="93"/>
      <c r="CH365" s="93"/>
      <c r="CI365" s="93"/>
      <c r="CJ365" s="93"/>
      <c r="CK365" s="93"/>
      <c r="CL365" s="93"/>
      <c r="CM365" s="93"/>
      <c r="CN365" s="93"/>
      <c r="CO365" s="93"/>
      <c r="CP365" s="93"/>
      <c r="CQ365" s="93"/>
      <c r="CR365" s="93"/>
      <c r="CS365" s="93"/>
      <c r="CT365" s="93"/>
      <c r="CU365" s="93"/>
      <c r="CV365" s="93"/>
      <c r="CW365" s="93"/>
      <c r="CX365" s="93"/>
      <c r="CY365" s="93"/>
      <c r="CZ365" s="93"/>
      <c r="DA365" s="93"/>
      <c r="DB365" s="93"/>
      <c r="DC365" s="93"/>
      <c r="DD365" s="93"/>
      <c r="DE365" s="93"/>
      <c r="DF365" s="93"/>
      <c r="DG365" s="93"/>
      <c r="DH365" s="93"/>
      <c r="DI365" s="93"/>
      <c r="DJ365" s="93"/>
      <c r="DK365" s="93"/>
      <c r="DL365" s="93"/>
      <c r="DM365" s="93"/>
      <c r="DN365" s="93"/>
      <c r="DO365" s="93"/>
      <c r="DP365" s="93"/>
      <c r="DQ365" s="93"/>
      <c r="DR365" s="93"/>
      <c r="DS365" s="93"/>
      <c r="DT365" s="93"/>
      <c r="DU365" s="93"/>
      <c r="DV365" s="93"/>
      <c r="DW365" s="93"/>
      <c r="DX365" s="93"/>
      <c r="DY365" s="93"/>
      <c r="DZ365" s="93"/>
      <c r="EA365" s="93"/>
      <c r="EB365" s="93"/>
      <c r="EC365" s="93"/>
      <c r="ED365" s="93"/>
      <c r="EE365" s="93"/>
      <c r="EF365" s="93"/>
      <c r="EG365" s="93"/>
      <c r="EH365" s="93"/>
      <c r="EI365" s="93"/>
      <c r="EJ365" s="93"/>
      <c r="EK365" s="93"/>
      <c r="EL365" s="93"/>
      <c r="EM365" s="93"/>
      <c r="EN365" s="93"/>
      <c r="EO365" s="93"/>
      <c r="EP365" s="93"/>
      <c r="EQ365" s="93"/>
      <c r="ER365" s="93"/>
      <c r="ES365" s="93"/>
      <c r="ET365" s="93"/>
      <c r="EU365" s="93"/>
      <c r="EV365" s="93"/>
      <c r="EW365" s="93"/>
      <c r="EX365" s="93"/>
      <c r="EY365" s="93"/>
      <c r="EZ365" s="93"/>
      <c r="FA365" s="93"/>
      <c r="FB365" s="93"/>
      <c r="FC365" s="93"/>
      <c r="FD365" s="93"/>
      <c r="FE365" s="93"/>
      <c r="FF365" s="93"/>
      <c r="FG365" s="93"/>
      <c r="FH365" s="93"/>
      <c r="FI365" s="93"/>
      <c r="FJ365" s="93"/>
      <c r="FK365" s="93"/>
      <c r="FL365" s="93"/>
      <c r="FM365" s="93"/>
      <c r="FN365" s="93"/>
      <c r="FO365" s="93"/>
      <c r="FP365" s="93"/>
      <c r="FQ365" s="93"/>
      <c r="FR365" s="93"/>
      <c r="FS365" s="93"/>
      <c r="FT365" s="93"/>
      <c r="FU365" s="93"/>
      <c r="FV365" s="93"/>
      <c r="FW365" s="93"/>
      <c r="FX365" s="93"/>
      <c r="FY365" s="93"/>
      <c r="FZ365" s="93"/>
      <c r="GA365" s="93"/>
      <c r="GB365" s="93"/>
      <c r="GC365" s="93"/>
      <c r="GD365" s="93"/>
      <c r="GE365" s="93"/>
      <c r="GF365" s="93"/>
      <c r="GG365" s="93"/>
      <c r="GH365" s="93"/>
      <c r="GI365" s="93"/>
      <c r="GJ365" s="93"/>
      <c r="GK365" s="93"/>
      <c r="GL365" s="93"/>
      <c r="GM365" s="93"/>
      <c r="GN365" s="93"/>
      <c r="GO365" s="93"/>
      <c r="GP365" s="93"/>
      <c r="GQ365" s="93"/>
      <c r="GR365" s="93"/>
      <c r="GS365" s="93"/>
      <c r="GT365" s="93"/>
      <c r="GU365" s="93"/>
      <c r="GV365" s="93"/>
      <c r="GW365" s="93"/>
      <c r="GX365" s="93"/>
      <c r="GY365" s="93"/>
      <c r="GZ365" s="93"/>
      <c r="HA365" s="93"/>
      <c r="HB365" s="93"/>
      <c r="HC365" s="93"/>
      <c r="HD365" s="93"/>
      <c r="HE365" s="93"/>
      <c r="HF365" s="93"/>
      <c r="HG365" s="93"/>
      <c r="HH365" s="93"/>
      <c r="HI365" s="93"/>
      <c r="HJ365" s="93"/>
      <c r="HK365" s="93"/>
      <c r="HL365" s="93"/>
      <c r="HM365" s="93"/>
      <c r="HN365" s="93"/>
      <c r="HO365" s="93"/>
      <c r="HP365" s="93"/>
      <c r="HQ365" s="93"/>
      <c r="HR365" s="93"/>
      <c r="HS365" s="93"/>
      <c r="HT365" s="93"/>
      <c r="HU365" s="93"/>
      <c r="HV365" s="93"/>
      <c r="HW365" s="93"/>
      <c r="HX365" s="93"/>
      <c r="HY365" s="93"/>
      <c r="HZ365" s="93"/>
      <c r="IA365" s="93"/>
      <c r="IB365" s="93"/>
      <c r="IC365" s="93"/>
      <c r="ID365" s="93"/>
      <c r="IE365" s="93"/>
      <c r="IF365" s="93"/>
      <c r="IG365" s="93"/>
      <c r="IH365" s="93"/>
      <c r="II365" s="93"/>
      <c r="IJ365" s="93"/>
      <c r="IK365" s="93"/>
      <c r="IL365" s="93"/>
      <c r="IM365" s="93"/>
      <c r="IN365" s="93"/>
      <c r="IO365" s="93"/>
      <c r="IP365" s="93"/>
      <c r="IQ365" s="93"/>
      <c r="IR365" s="93"/>
      <c r="IS365" s="93"/>
      <c r="IT365" s="93"/>
      <c r="IU365" s="93"/>
      <c r="IV365" s="93"/>
      <c r="IW365" s="93"/>
      <c r="IX365" s="93"/>
      <c r="IY365" s="93"/>
      <c r="IZ365" s="93"/>
    </row>
    <row r="366" spans="1:260" s="95" customFormat="1">
      <c r="A366" s="93"/>
      <c r="B366" s="183"/>
      <c r="C366" s="183"/>
      <c r="D366" s="183"/>
      <c r="E366" s="158"/>
      <c r="F366" s="158"/>
      <c r="G366" s="158"/>
      <c r="H366" s="158"/>
      <c r="I366" s="158"/>
      <c r="J366" s="158"/>
      <c r="K366" s="158"/>
      <c r="L366" s="158"/>
      <c r="M366" s="158"/>
      <c r="N366" s="158"/>
      <c r="O366" s="158"/>
      <c r="P366" s="228"/>
      <c r="Q366" s="158"/>
      <c r="R366" s="158"/>
      <c r="S366" s="207"/>
      <c r="T366" s="207"/>
      <c r="U366" s="207"/>
      <c r="V366" s="207"/>
      <c r="W366" s="207"/>
      <c r="X366" s="207"/>
      <c r="Y366" s="207"/>
      <c r="Z366" s="207"/>
      <c r="AA366" s="207"/>
      <c r="AB366" s="207"/>
      <c r="AC366" s="207"/>
      <c r="AD366" s="207"/>
      <c r="AE366" s="207"/>
      <c r="AF366" s="207"/>
      <c r="AG366" s="207"/>
      <c r="AH366" s="207"/>
      <c r="AI366" s="207"/>
      <c r="AJ366" s="207"/>
      <c r="AK366" s="207"/>
      <c r="AL366" s="207"/>
      <c r="AM366" s="94"/>
      <c r="AN366" s="94"/>
      <c r="AO366" s="94"/>
      <c r="AP366" s="94"/>
      <c r="AQ366" s="94"/>
      <c r="AR366" s="94"/>
      <c r="AS366" s="94"/>
      <c r="AT366" s="94"/>
      <c r="AU366" s="94"/>
      <c r="AV366" s="94"/>
      <c r="AW366" s="94"/>
      <c r="AX366" s="94"/>
      <c r="AY366" s="94"/>
      <c r="AZ366" s="93"/>
      <c r="BA366" s="93"/>
      <c r="BB366" s="93"/>
      <c r="BC366" s="93"/>
      <c r="BD366" s="93"/>
      <c r="BE366" s="93"/>
      <c r="BF366" s="93"/>
      <c r="BG366" s="93"/>
      <c r="BH366" s="93"/>
      <c r="BI366" s="93"/>
      <c r="BJ366" s="93"/>
      <c r="BK366" s="93"/>
      <c r="BL366" s="93"/>
      <c r="BM366" s="93"/>
      <c r="BN366" s="93"/>
      <c r="BO366" s="93"/>
      <c r="BP366" s="93"/>
      <c r="BQ366" s="93"/>
      <c r="BR366" s="93"/>
      <c r="BS366" s="93"/>
      <c r="BT366" s="93"/>
      <c r="BU366" s="93"/>
      <c r="BV366" s="93"/>
      <c r="BW366" s="93"/>
      <c r="BX366" s="93"/>
      <c r="BY366" s="93"/>
      <c r="BZ366" s="93"/>
      <c r="CA366" s="93"/>
      <c r="CB366" s="93"/>
      <c r="CC366" s="93"/>
      <c r="CD366" s="93"/>
      <c r="CE366" s="93"/>
      <c r="CF366" s="93"/>
      <c r="CG366" s="93"/>
      <c r="CH366" s="93"/>
      <c r="CI366" s="93"/>
      <c r="CJ366" s="93"/>
      <c r="CK366" s="93"/>
      <c r="CL366" s="93"/>
      <c r="CM366" s="93"/>
      <c r="CN366" s="93"/>
      <c r="CO366" s="93"/>
      <c r="CP366" s="93"/>
      <c r="CQ366" s="93"/>
      <c r="CR366" s="93"/>
      <c r="CS366" s="93"/>
      <c r="CT366" s="93"/>
      <c r="CU366" s="93"/>
      <c r="CV366" s="93"/>
      <c r="CW366" s="93"/>
      <c r="CX366" s="93"/>
      <c r="CY366" s="93"/>
      <c r="CZ366" s="93"/>
      <c r="DA366" s="93"/>
      <c r="DB366" s="93"/>
      <c r="DC366" s="93"/>
      <c r="DD366" s="93"/>
      <c r="DE366" s="93"/>
      <c r="DF366" s="93"/>
      <c r="DG366" s="93"/>
      <c r="DH366" s="93"/>
      <c r="DI366" s="93"/>
      <c r="DJ366" s="93"/>
      <c r="DK366" s="93"/>
      <c r="DL366" s="93"/>
      <c r="DM366" s="93"/>
      <c r="DN366" s="93"/>
      <c r="DO366" s="93"/>
      <c r="DP366" s="93"/>
      <c r="DQ366" s="93"/>
      <c r="DR366" s="93"/>
      <c r="DS366" s="93"/>
      <c r="DT366" s="93"/>
      <c r="DU366" s="93"/>
      <c r="DV366" s="93"/>
      <c r="DW366" s="93"/>
      <c r="DX366" s="93"/>
      <c r="DY366" s="93"/>
      <c r="DZ366" s="93"/>
      <c r="EA366" s="93"/>
      <c r="EB366" s="93"/>
      <c r="EC366" s="93"/>
      <c r="ED366" s="93"/>
      <c r="EE366" s="93"/>
      <c r="EF366" s="93"/>
      <c r="EG366" s="93"/>
      <c r="EH366" s="93"/>
      <c r="EI366" s="93"/>
      <c r="EJ366" s="93"/>
      <c r="EK366" s="93"/>
      <c r="EL366" s="93"/>
      <c r="EM366" s="93"/>
      <c r="EN366" s="93"/>
      <c r="EO366" s="93"/>
      <c r="EP366" s="93"/>
      <c r="EQ366" s="93"/>
      <c r="ER366" s="93"/>
      <c r="ES366" s="93"/>
      <c r="ET366" s="93"/>
      <c r="EU366" s="93"/>
      <c r="EV366" s="93"/>
      <c r="EW366" s="93"/>
      <c r="EX366" s="93"/>
      <c r="EY366" s="93"/>
      <c r="EZ366" s="93"/>
      <c r="FA366" s="93"/>
      <c r="FB366" s="93"/>
      <c r="FC366" s="93"/>
      <c r="FD366" s="93"/>
      <c r="FE366" s="93"/>
      <c r="FF366" s="93"/>
      <c r="FG366" s="93"/>
      <c r="FH366" s="93"/>
      <c r="FI366" s="93"/>
      <c r="FJ366" s="93"/>
      <c r="FK366" s="93"/>
      <c r="FL366" s="93"/>
      <c r="FM366" s="93"/>
      <c r="FN366" s="93"/>
      <c r="FO366" s="93"/>
      <c r="FP366" s="93"/>
      <c r="FQ366" s="93"/>
      <c r="FR366" s="93"/>
      <c r="FS366" s="93"/>
      <c r="FT366" s="93"/>
      <c r="FU366" s="93"/>
      <c r="FV366" s="93"/>
      <c r="FW366" s="93"/>
      <c r="FX366" s="93"/>
      <c r="FY366" s="93"/>
      <c r="FZ366" s="93"/>
      <c r="GA366" s="93"/>
      <c r="GB366" s="93"/>
      <c r="GC366" s="93"/>
      <c r="GD366" s="93"/>
      <c r="GE366" s="93"/>
      <c r="GF366" s="93"/>
      <c r="GG366" s="93"/>
      <c r="GH366" s="93"/>
      <c r="GI366" s="93"/>
      <c r="GJ366" s="93"/>
      <c r="GK366" s="93"/>
      <c r="GL366" s="93"/>
      <c r="GM366" s="93"/>
      <c r="GN366" s="93"/>
      <c r="GO366" s="93"/>
      <c r="GP366" s="93"/>
      <c r="GQ366" s="93"/>
      <c r="GR366" s="93"/>
      <c r="GS366" s="93"/>
      <c r="GT366" s="93"/>
      <c r="GU366" s="93"/>
      <c r="GV366" s="93"/>
      <c r="GW366" s="93"/>
      <c r="GX366" s="93"/>
      <c r="GY366" s="93"/>
      <c r="GZ366" s="93"/>
      <c r="HA366" s="93"/>
      <c r="HB366" s="93"/>
      <c r="HC366" s="93"/>
      <c r="HD366" s="93"/>
      <c r="HE366" s="93"/>
      <c r="HF366" s="93"/>
      <c r="HG366" s="93"/>
      <c r="HH366" s="93"/>
      <c r="HI366" s="93"/>
      <c r="HJ366" s="93"/>
      <c r="HK366" s="93"/>
      <c r="HL366" s="93"/>
      <c r="HM366" s="93"/>
      <c r="HN366" s="93"/>
      <c r="HO366" s="93"/>
      <c r="HP366" s="93"/>
      <c r="HQ366" s="93"/>
      <c r="HR366" s="93"/>
      <c r="HS366" s="93"/>
      <c r="HT366" s="93"/>
      <c r="HU366" s="93"/>
      <c r="HV366" s="93"/>
      <c r="HW366" s="93"/>
      <c r="HX366" s="93"/>
      <c r="HY366" s="93"/>
      <c r="HZ366" s="93"/>
      <c r="IA366" s="93"/>
      <c r="IB366" s="93"/>
      <c r="IC366" s="93"/>
      <c r="ID366" s="93"/>
      <c r="IE366" s="93"/>
      <c r="IF366" s="93"/>
      <c r="IG366" s="93"/>
      <c r="IH366" s="93"/>
      <c r="II366" s="93"/>
      <c r="IJ366" s="93"/>
      <c r="IK366" s="93"/>
      <c r="IL366" s="93"/>
      <c r="IM366" s="93"/>
      <c r="IN366" s="93"/>
      <c r="IO366" s="93"/>
      <c r="IP366" s="93"/>
      <c r="IQ366" s="93"/>
      <c r="IR366" s="93"/>
      <c r="IS366" s="93"/>
      <c r="IT366" s="93"/>
      <c r="IU366" s="93"/>
      <c r="IV366" s="93"/>
      <c r="IW366" s="93"/>
      <c r="IX366" s="93"/>
      <c r="IY366" s="93"/>
      <c r="IZ366" s="93"/>
    </row>
    <row r="367" spans="1:260" s="95" customFormat="1">
      <c r="A367" s="93"/>
      <c r="B367" s="183"/>
      <c r="C367" s="183"/>
      <c r="D367" s="183"/>
      <c r="E367" s="158"/>
      <c r="F367" s="158"/>
      <c r="G367" s="158"/>
      <c r="H367" s="158"/>
      <c r="I367" s="158"/>
      <c r="J367" s="158"/>
      <c r="K367" s="158"/>
      <c r="L367" s="158"/>
      <c r="M367" s="158"/>
      <c r="N367" s="158"/>
      <c r="O367" s="158"/>
      <c r="P367" s="228"/>
      <c r="Q367" s="158"/>
      <c r="R367" s="158"/>
      <c r="S367" s="207"/>
      <c r="T367" s="207"/>
      <c r="U367" s="207"/>
      <c r="V367" s="207"/>
      <c r="W367" s="207"/>
      <c r="X367" s="207"/>
      <c r="Y367" s="207"/>
      <c r="Z367" s="207"/>
      <c r="AA367" s="207"/>
      <c r="AB367" s="207"/>
      <c r="AC367" s="207"/>
      <c r="AD367" s="207"/>
      <c r="AE367" s="207"/>
      <c r="AF367" s="207"/>
      <c r="AG367" s="207"/>
      <c r="AH367" s="207"/>
      <c r="AI367" s="207"/>
      <c r="AJ367" s="207"/>
      <c r="AK367" s="207"/>
      <c r="AL367" s="207"/>
      <c r="AM367" s="94"/>
      <c r="AN367" s="94"/>
      <c r="AO367" s="94"/>
      <c r="AP367" s="94"/>
      <c r="AQ367" s="94"/>
      <c r="AR367" s="94"/>
      <c r="AS367" s="94"/>
      <c r="AT367" s="94"/>
      <c r="AU367" s="94"/>
      <c r="AV367" s="94"/>
      <c r="AW367" s="94"/>
      <c r="AX367" s="94"/>
      <c r="AY367" s="94"/>
      <c r="AZ367" s="93"/>
      <c r="BA367" s="93"/>
      <c r="BB367" s="93"/>
      <c r="BC367" s="93"/>
      <c r="BD367" s="93"/>
      <c r="BE367" s="93"/>
      <c r="BF367" s="93"/>
      <c r="BG367" s="93"/>
      <c r="BH367" s="93"/>
      <c r="BI367" s="93"/>
      <c r="BJ367" s="93"/>
      <c r="BK367" s="93"/>
      <c r="BL367" s="93"/>
      <c r="BM367" s="93"/>
      <c r="BN367" s="93"/>
      <c r="BO367" s="93"/>
      <c r="BP367" s="93"/>
      <c r="BQ367" s="93"/>
      <c r="BR367" s="93"/>
      <c r="BS367" s="93"/>
      <c r="BT367" s="93"/>
      <c r="BU367" s="93"/>
      <c r="BV367" s="93"/>
      <c r="BW367" s="93"/>
      <c r="BX367" s="93"/>
      <c r="BY367" s="93"/>
      <c r="BZ367" s="93"/>
      <c r="CA367" s="93"/>
      <c r="CB367" s="93"/>
      <c r="CC367" s="93"/>
      <c r="CD367" s="93"/>
      <c r="CE367" s="93"/>
      <c r="CF367" s="93"/>
      <c r="CG367" s="93"/>
      <c r="CH367" s="93"/>
      <c r="CI367" s="93"/>
      <c r="CJ367" s="93"/>
      <c r="CK367" s="93"/>
      <c r="CL367" s="93"/>
      <c r="CM367" s="93"/>
      <c r="CN367" s="93"/>
      <c r="CO367" s="93"/>
      <c r="CP367" s="93"/>
      <c r="CQ367" s="93"/>
      <c r="CR367" s="93"/>
      <c r="CS367" s="93"/>
      <c r="CT367" s="93"/>
      <c r="CU367" s="93"/>
      <c r="CV367" s="93"/>
      <c r="CW367" s="93"/>
      <c r="CX367" s="93"/>
      <c r="CY367" s="93"/>
      <c r="CZ367" s="93"/>
      <c r="DA367" s="93"/>
      <c r="DB367" s="93"/>
      <c r="DC367" s="93"/>
      <c r="DD367" s="93"/>
      <c r="DE367" s="93"/>
      <c r="DF367" s="93"/>
      <c r="DG367" s="93"/>
      <c r="DH367" s="93"/>
      <c r="DI367" s="93"/>
      <c r="DJ367" s="93"/>
      <c r="DK367" s="93"/>
      <c r="DL367" s="93"/>
      <c r="DM367" s="93"/>
      <c r="DN367" s="93"/>
      <c r="DO367" s="93"/>
      <c r="DP367" s="93"/>
      <c r="DQ367" s="93"/>
      <c r="DR367" s="93"/>
      <c r="DS367" s="93"/>
      <c r="DT367" s="93"/>
      <c r="DU367" s="93"/>
      <c r="DV367" s="93"/>
      <c r="DW367" s="93"/>
      <c r="DX367" s="93"/>
      <c r="DY367" s="93"/>
      <c r="DZ367" s="93"/>
      <c r="EA367" s="93"/>
      <c r="EB367" s="93"/>
      <c r="EC367" s="93"/>
      <c r="ED367" s="93"/>
      <c r="EE367" s="93"/>
      <c r="EF367" s="93"/>
      <c r="EG367" s="93"/>
      <c r="EH367" s="93"/>
      <c r="EI367" s="93"/>
      <c r="EJ367" s="93"/>
      <c r="EK367" s="93"/>
      <c r="EL367" s="93"/>
      <c r="EM367" s="93"/>
      <c r="EN367" s="93"/>
      <c r="EO367" s="93"/>
      <c r="EP367" s="93"/>
      <c r="EQ367" s="93"/>
      <c r="ER367" s="93"/>
      <c r="ES367" s="93"/>
      <c r="ET367" s="93"/>
      <c r="EU367" s="93"/>
      <c r="EV367" s="93"/>
      <c r="EW367" s="93"/>
      <c r="EX367" s="93"/>
      <c r="EY367" s="93"/>
      <c r="EZ367" s="93"/>
      <c r="FA367" s="93"/>
      <c r="FB367" s="93"/>
      <c r="FC367" s="93"/>
      <c r="FD367" s="93"/>
      <c r="FE367" s="93"/>
      <c r="FF367" s="93"/>
      <c r="FG367" s="93"/>
      <c r="FH367" s="93"/>
      <c r="FI367" s="93"/>
      <c r="FJ367" s="93"/>
      <c r="FK367" s="93"/>
      <c r="FL367" s="93"/>
      <c r="FM367" s="93"/>
      <c r="FN367" s="93"/>
      <c r="FO367" s="93"/>
      <c r="FP367" s="93"/>
      <c r="FQ367" s="93"/>
      <c r="FR367" s="93"/>
      <c r="FS367" s="93"/>
      <c r="FT367" s="93"/>
      <c r="FU367" s="93"/>
      <c r="FV367" s="93"/>
      <c r="FW367" s="93"/>
      <c r="FX367" s="93"/>
      <c r="FY367" s="93"/>
      <c r="FZ367" s="93"/>
      <c r="GA367" s="93"/>
      <c r="GB367" s="93"/>
      <c r="GC367" s="93"/>
      <c r="GD367" s="93"/>
      <c r="GE367" s="93"/>
      <c r="GF367" s="93"/>
      <c r="GG367" s="93"/>
      <c r="GH367" s="93"/>
      <c r="GI367" s="93"/>
      <c r="GJ367" s="93"/>
      <c r="GK367" s="93"/>
      <c r="GL367" s="93"/>
      <c r="GM367" s="93"/>
      <c r="GN367" s="93"/>
      <c r="GO367" s="93"/>
      <c r="GP367" s="93"/>
      <c r="GQ367" s="93"/>
      <c r="GR367" s="93"/>
      <c r="GS367" s="93"/>
      <c r="GT367" s="93"/>
      <c r="GU367" s="93"/>
      <c r="GV367" s="93"/>
      <c r="GW367" s="93"/>
      <c r="GX367" s="93"/>
      <c r="GY367" s="93"/>
      <c r="GZ367" s="93"/>
      <c r="HA367" s="93"/>
      <c r="HB367" s="93"/>
      <c r="HC367" s="93"/>
      <c r="HD367" s="93"/>
      <c r="HE367" s="93"/>
      <c r="HF367" s="93"/>
      <c r="HG367" s="93"/>
      <c r="HH367" s="93"/>
      <c r="HI367" s="93"/>
      <c r="HJ367" s="93"/>
      <c r="HK367" s="93"/>
      <c r="HL367" s="93"/>
      <c r="HM367" s="93"/>
      <c r="HN367" s="93"/>
      <c r="HO367" s="93"/>
      <c r="HP367" s="93"/>
      <c r="HQ367" s="93"/>
      <c r="HR367" s="93"/>
      <c r="HS367" s="93"/>
      <c r="HT367" s="93"/>
      <c r="HU367" s="93"/>
      <c r="HV367" s="93"/>
      <c r="HW367" s="93"/>
      <c r="HX367" s="93"/>
      <c r="HY367" s="93"/>
      <c r="HZ367" s="93"/>
      <c r="IA367" s="93"/>
      <c r="IB367" s="93"/>
      <c r="IC367" s="93"/>
      <c r="ID367" s="93"/>
      <c r="IE367" s="93"/>
      <c r="IF367" s="93"/>
      <c r="IG367" s="93"/>
      <c r="IH367" s="93"/>
      <c r="II367" s="93"/>
      <c r="IJ367" s="93"/>
      <c r="IK367" s="93"/>
      <c r="IL367" s="93"/>
      <c r="IM367" s="93"/>
      <c r="IN367" s="93"/>
      <c r="IO367" s="93"/>
      <c r="IP367" s="93"/>
      <c r="IQ367" s="93"/>
      <c r="IR367" s="93"/>
      <c r="IS367" s="93"/>
      <c r="IT367" s="93"/>
      <c r="IU367" s="93"/>
      <c r="IV367" s="93"/>
      <c r="IW367" s="93"/>
      <c r="IX367" s="93"/>
      <c r="IY367" s="93"/>
      <c r="IZ367" s="93"/>
    </row>
    <row r="368" spans="1:260" s="95" customFormat="1">
      <c r="A368" s="93"/>
      <c r="B368" s="183"/>
      <c r="C368" s="183"/>
      <c r="D368" s="183"/>
      <c r="E368" s="158"/>
      <c r="F368" s="158"/>
      <c r="G368" s="158"/>
      <c r="H368" s="158"/>
      <c r="I368" s="158"/>
      <c r="J368" s="158"/>
      <c r="K368" s="158"/>
      <c r="L368" s="158"/>
      <c r="M368" s="158"/>
      <c r="N368" s="158"/>
      <c r="O368" s="158"/>
      <c r="P368" s="228"/>
      <c r="Q368" s="158"/>
      <c r="R368" s="158"/>
      <c r="S368" s="207"/>
      <c r="T368" s="207"/>
      <c r="U368" s="207"/>
      <c r="V368" s="207"/>
      <c r="W368" s="207"/>
      <c r="X368" s="207"/>
      <c r="Y368" s="207"/>
      <c r="Z368" s="207"/>
      <c r="AA368" s="207"/>
      <c r="AB368" s="207"/>
      <c r="AC368" s="207"/>
      <c r="AD368" s="207"/>
      <c r="AE368" s="207"/>
      <c r="AF368" s="207"/>
      <c r="AG368" s="207"/>
      <c r="AH368" s="207"/>
      <c r="AI368" s="207"/>
      <c r="AJ368" s="207"/>
      <c r="AK368" s="207"/>
      <c r="AL368" s="207"/>
      <c r="AM368" s="94"/>
      <c r="AN368" s="94"/>
      <c r="AO368" s="94"/>
      <c r="AP368" s="94"/>
      <c r="AQ368" s="94"/>
      <c r="AR368" s="94"/>
      <c r="AS368" s="94"/>
      <c r="AT368" s="94"/>
      <c r="AU368" s="94"/>
      <c r="AV368" s="94"/>
      <c r="AW368" s="94"/>
      <c r="AX368" s="94"/>
      <c r="AY368" s="94"/>
      <c r="AZ368" s="93"/>
      <c r="BA368" s="93"/>
      <c r="BB368" s="93"/>
      <c r="BC368" s="93"/>
      <c r="BD368" s="93"/>
      <c r="BE368" s="93"/>
      <c r="BF368" s="93"/>
      <c r="BG368" s="93"/>
      <c r="BH368" s="93"/>
      <c r="BI368" s="93"/>
      <c r="BJ368" s="93"/>
      <c r="BK368" s="93"/>
      <c r="BL368" s="93"/>
      <c r="BM368" s="93"/>
      <c r="BN368" s="93"/>
      <c r="BO368" s="93"/>
      <c r="BP368" s="93"/>
      <c r="BQ368" s="93"/>
      <c r="BR368" s="93"/>
      <c r="BS368" s="93"/>
      <c r="BT368" s="93"/>
      <c r="BU368" s="93"/>
      <c r="BV368" s="93"/>
      <c r="BW368" s="93"/>
      <c r="BX368" s="93"/>
      <c r="BY368" s="93"/>
      <c r="BZ368" s="93"/>
      <c r="CA368" s="93"/>
      <c r="CB368" s="93"/>
      <c r="CC368" s="93"/>
      <c r="CD368" s="93"/>
      <c r="CE368" s="93"/>
      <c r="CF368" s="93"/>
      <c r="CG368" s="93"/>
      <c r="CH368" s="93"/>
      <c r="CI368" s="93"/>
      <c r="CJ368" s="93"/>
      <c r="CK368" s="93"/>
      <c r="CL368" s="93"/>
      <c r="CM368" s="93"/>
      <c r="CN368" s="93"/>
      <c r="CO368" s="93"/>
      <c r="CP368" s="93"/>
      <c r="CQ368" s="93"/>
      <c r="CR368" s="93"/>
      <c r="CS368" s="93"/>
      <c r="CT368" s="93"/>
      <c r="CU368" s="93"/>
      <c r="CV368" s="93"/>
      <c r="CW368" s="93"/>
      <c r="CX368" s="93"/>
      <c r="CY368" s="93"/>
      <c r="CZ368" s="93"/>
      <c r="DA368" s="93"/>
      <c r="DB368" s="93"/>
      <c r="DC368" s="93"/>
      <c r="DD368" s="93"/>
      <c r="DE368" s="93"/>
      <c r="DF368" s="93"/>
      <c r="DG368" s="93"/>
      <c r="DH368" s="93"/>
      <c r="DI368" s="93"/>
      <c r="DJ368" s="93"/>
      <c r="DK368" s="93"/>
      <c r="DL368" s="93"/>
      <c r="DM368" s="93"/>
      <c r="DN368" s="93"/>
      <c r="DO368" s="93"/>
      <c r="DP368" s="93"/>
      <c r="DQ368" s="93"/>
      <c r="DR368" s="93"/>
      <c r="DS368" s="93"/>
      <c r="DT368" s="93"/>
      <c r="DU368" s="93"/>
      <c r="DV368" s="93"/>
      <c r="DW368" s="93"/>
      <c r="DX368" s="93"/>
      <c r="DY368" s="93"/>
      <c r="DZ368" s="93"/>
      <c r="EA368" s="93"/>
      <c r="EB368" s="93"/>
      <c r="EC368" s="93"/>
      <c r="ED368" s="93"/>
      <c r="EE368" s="93"/>
      <c r="EF368" s="93"/>
      <c r="EG368" s="93"/>
      <c r="EH368" s="93"/>
      <c r="EI368" s="93"/>
      <c r="EJ368" s="93"/>
      <c r="EK368" s="93"/>
      <c r="EL368" s="93"/>
      <c r="EM368" s="93"/>
      <c r="EN368" s="93"/>
      <c r="EO368" s="93"/>
      <c r="EP368" s="93"/>
      <c r="EQ368" s="93"/>
      <c r="ER368" s="93"/>
      <c r="ES368" s="93"/>
      <c r="ET368" s="93"/>
      <c r="EU368" s="93"/>
      <c r="EV368" s="93"/>
      <c r="EW368" s="93"/>
      <c r="EX368" s="93"/>
      <c r="EY368" s="93"/>
      <c r="EZ368" s="93"/>
      <c r="FA368" s="93"/>
      <c r="FB368" s="93"/>
      <c r="FC368" s="93"/>
      <c r="FD368" s="93"/>
      <c r="FE368" s="93"/>
      <c r="FF368" s="93"/>
      <c r="FG368" s="93"/>
      <c r="FH368" s="93"/>
      <c r="FI368" s="93"/>
      <c r="FJ368" s="93"/>
      <c r="FK368" s="93"/>
      <c r="FL368" s="93"/>
      <c r="FM368" s="93"/>
      <c r="FN368" s="93"/>
      <c r="FO368" s="93"/>
      <c r="FP368" s="93"/>
      <c r="FQ368" s="93"/>
      <c r="FR368" s="93"/>
      <c r="FS368" s="93"/>
      <c r="FT368" s="93"/>
      <c r="FU368" s="93"/>
      <c r="FV368" s="93"/>
      <c r="FW368" s="93"/>
      <c r="FX368" s="93"/>
      <c r="FY368" s="93"/>
      <c r="FZ368" s="93"/>
      <c r="GA368" s="93"/>
      <c r="GB368" s="93"/>
      <c r="GC368" s="93"/>
      <c r="GD368" s="93"/>
      <c r="GE368" s="93"/>
      <c r="GF368" s="93"/>
      <c r="GG368" s="93"/>
      <c r="GH368" s="93"/>
      <c r="GI368" s="93"/>
      <c r="GJ368" s="93"/>
      <c r="GK368" s="93"/>
      <c r="GL368" s="93"/>
      <c r="GM368" s="93"/>
      <c r="GN368" s="93"/>
      <c r="GO368" s="93"/>
      <c r="GP368" s="93"/>
      <c r="GQ368" s="93"/>
      <c r="GR368" s="93"/>
      <c r="GS368" s="93"/>
      <c r="GT368" s="93"/>
      <c r="GU368" s="93"/>
      <c r="GV368" s="93"/>
      <c r="GW368" s="93"/>
      <c r="GX368" s="93"/>
      <c r="GY368" s="93"/>
      <c r="GZ368" s="93"/>
      <c r="HA368" s="93"/>
      <c r="HB368" s="93"/>
      <c r="HC368" s="93"/>
      <c r="HD368" s="93"/>
      <c r="HE368" s="93"/>
      <c r="HF368" s="93"/>
      <c r="HG368" s="93"/>
      <c r="HH368" s="93"/>
      <c r="HI368" s="93"/>
      <c r="HJ368" s="93"/>
      <c r="HK368" s="93"/>
      <c r="HL368" s="93"/>
      <c r="HM368" s="93"/>
      <c r="HN368" s="93"/>
      <c r="HO368" s="93"/>
      <c r="HP368" s="93"/>
      <c r="HQ368" s="93"/>
      <c r="HR368" s="93"/>
      <c r="HS368" s="93"/>
      <c r="HT368" s="93"/>
      <c r="HU368" s="93"/>
      <c r="HV368" s="93"/>
      <c r="HW368" s="93"/>
      <c r="HX368" s="93"/>
      <c r="HY368" s="93"/>
      <c r="HZ368" s="93"/>
      <c r="IA368" s="93"/>
      <c r="IB368" s="93"/>
      <c r="IC368" s="93"/>
      <c r="ID368" s="93"/>
      <c r="IE368" s="93"/>
      <c r="IF368" s="93"/>
      <c r="IG368" s="93"/>
      <c r="IH368" s="93"/>
      <c r="II368" s="93"/>
      <c r="IJ368" s="93"/>
      <c r="IK368" s="93"/>
      <c r="IL368" s="93"/>
      <c r="IM368" s="93"/>
      <c r="IN368" s="93"/>
      <c r="IO368" s="93"/>
      <c r="IP368" s="93"/>
      <c r="IQ368" s="93"/>
      <c r="IR368" s="93"/>
      <c r="IS368" s="93"/>
      <c r="IT368" s="93"/>
      <c r="IU368" s="93"/>
      <c r="IV368" s="93"/>
      <c r="IW368" s="93"/>
      <c r="IX368" s="93"/>
      <c r="IY368" s="93"/>
      <c r="IZ368" s="93"/>
    </row>
  </sheetData>
  <mergeCells count="8">
    <mergeCell ref="F143:F144"/>
    <mergeCell ref="E143:E144"/>
    <mergeCell ref="E145:E147"/>
    <mergeCell ref="M143:N143"/>
    <mergeCell ref="O143:O144"/>
    <mergeCell ref="G143:H143"/>
    <mergeCell ref="I143:J143"/>
    <mergeCell ref="K143:L143"/>
  </mergeCells>
  <pageMargins left="0.70866141732283472" right="0.70866141732283472" top="0.74803149606299213" bottom="0.74803149606299213" header="0.31496062992125984" footer="0.31496062992125984"/>
  <pageSetup paperSize="8" scale="10"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1:AG83"/>
  <sheetViews>
    <sheetView zoomScaleNormal="100" workbookViewId="0">
      <selection activeCell="A4" sqref="A4:A22"/>
    </sheetView>
  </sheetViews>
  <sheetFormatPr defaultColWidth="9.453125" defaultRowHeight="14.5"/>
  <cols>
    <col min="1" max="1" width="1.54296875" style="294" customWidth="1"/>
    <col min="2" max="2" width="8.453125" style="294" hidden="1" customWidth="1"/>
    <col min="3" max="3" width="18.54296875" style="294" hidden="1" customWidth="1"/>
    <col min="4" max="7" width="12.453125" style="294" hidden="1" customWidth="1"/>
    <col min="8" max="8" width="15.54296875" style="294" hidden="1" customWidth="1"/>
    <col min="9" max="9" width="7.453125" style="294" customWidth="1"/>
    <col min="10" max="10" width="15.54296875" style="294" customWidth="1"/>
    <col min="11" max="12" width="16.453125" style="294" customWidth="1"/>
    <col min="13" max="15" width="12.453125" style="294" customWidth="1"/>
    <col min="16" max="16" width="11.54296875" style="357" bestFit="1" customWidth="1"/>
    <col min="17" max="17" width="15" style="294" customWidth="1"/>
    <col min="18" max="18" width="30.54296875" style="294" customWidth="1"/>
    <col min="19" max="19" width="14.54296875" style="294" customWidth="1"/>
    <col min="20" max="21" width="9.453125" style="294" customWidth="1"/>
    <col min="22" max="22" width="9.453125" style="294"/>
    <col min="23" max="23" width="9.453125" style="294" customWidth="1"/>
    <col min="24" max="16384" width="9.453125" style="294"/>
  </cols>
  <sheetData>
    <row r="1" spans="2:33" s="293" customFormat="1" ht="33" customHeight="1" thickBot="1">
      <c r="B1" s="921"/>
      <c r="C1" s="922"/>
      <c r="D1" s="922"/>
      <c r="E1" s="922"/>
      <c r="F1" s="922"/>
      <c r="G1" s="922"/>
      <c r="H1" s="922"/>
      <c r="I1" s="923"/>
      <c r="J1" s="954" t="s">
        <v>2183</v>
      </c>
      <c r="K1" s="954"/>
      <c r="L1" s="954"/>
      <c r="M1" s="954"/>
      <c r="N1" s="954"/>
      <c r="O1" s="954"/>
      <c r="P1" s="954"/>
      <c r="Q1" s="954"/>
      <c r="R1" s="954"/>
      <c r="S1" s="656"/>
      <c r="T1" s="656"/>
      <c r="U1" s="656"/>
      <c r="V1" s="656"/>
      <c r="W1" s="656"/>
      <c r="X1" s="656"/>
      <c r="Y1" s="656"/>
      <c r="Z1" s="656"/>
      <c r="AA1" s="656"/>
      <c r="AB1" s="656"/>
      <c r="AC1" s="656"/>
      <c r="AD1" s="656"/>
      <c r="AE1" s="656"/>
      <c r="AF1" s="656"/>
      <c r="AG1" s="656"/>
    </row>
    <row r="2" spans="2:33" hidden="1"/>
    <row r="3" spans="2:33" ht="15" hidden="1" thickBot="1"/>
    <row r="4" spans="2:33" ht="15" hidden="1" thickBot="1">
      <c r="B4" s="959" t="s">
        <v>1826</v>
      </c>
      <c r="C4" s="295" t="s">
        <v>1827</v>
      </c>
      <c r="D4" s="296" t="s">
        <v>363</v>
      </c>
      <c r="E4" s="297" t="s">
        <v>364</v>
      </c>
      <c r="F4" s="297" t="s">
        <v>1828</v>
      </c>
      <c r="G4" s="297" t="s">
        <v>1829</v>
      </c>
      <c r="H4" s="298" t="s">
        <v>1830</v>
      </c>
      <c r="J4" s="959" t="s">
        <v>1831</v>
      </c>
      <c r="K4" s="295" t="s">
        <v>1827</v>
      </c>
      <c r="L4" s="296" t="s">
        <v>363</v>
      </c>
      <c r="M4" s="297" t="s">
        <v>364</v>
      </c>
      <c r="N4" s="297" t="s">
        <v>1828</v>
      </c>
      <c r="O4" s="297" t="s">
        <v>1829</v>
      </c>
      <c r="P4" s="298" t="s">
        <v>1830</v>
      </c>
    </row>
    <row r="5" spans="2:33" hidden="1">
      <c r="B5" s="960"/>
      <c r="C5" s="299" t="s">
        <v>2054</v>
      </c>
      <c r="D5" s="319">
        <f>SUMIF(PVA!D$13:D$29,'Prod Summary'!C5,PVA!E$13:E$30)</f>
        <v>23166</v>
      </c>
      <c r="E5" s="300">
        <f>SUMIF(Table1[SKU],'Prod Summary'!C5,PVA!G$13:G$30)</f>
        <v>93483</v>
      </c>
      <c r="F5" s="300">
        <f>SUMIF(Table1[SKU],'Prod Summary'!C5,PVA!H$13:H$30)</f>
        <v>1715</v>
      </c>
      <c r="G5" s="301">
        <f>IFERROR(F5/(E5+F5),0)</f>
        <v>1.8015084350511565E-2</v>
      </c>
      <c r="H5" s="302">
        <f>IFERROR(E5/D5,0)</f>
        <v>4.0353535353535355</v>
      </c>
      <c r="J5" s="960"/>
      <c r="K5" s="299" t="s">
        <v>2054</v>
      </c>
      <c r="L5" s="319">
        <f>SUMIF(PVA!D$33:D$97,'Prod Summary'!K5,PVA!E$33:E$97)</f>
        <v>15402</v>
      </c>
      <c r="M5" s="319">
        <f>SUMIF(Table1[SKU],'Prod Summary'!K5,PVA!G$33:G$97)</f>
        <v>82496</v>
      </c>
      <c r="N5" s="319">
        <f>SUMIF(PVA!$D$33:$D$97,'Prod Summary'!K5,PVA!H$33:H$97)+SUMIF(PVA!$D$33:$D$97,'Prod Summary'!K5,PVA!I$33:I$97)</f>
        <v>572</v>
      </c>
      <c r="O5" s="301">
        <f>IFERROR(N5/M5,0)</f>
        <v>6.93366951124903E-3</v>
      </c>
      <c r="P5" s="302">
        <f>IFERROR((M5-N5)/L5,0)</f>
        <v>5.3190494740942738</v>
      </c>
    </row>
    <row r="6" spans="2:33" hidden="1">
      <c r="B6" s="960"/>
      <c r="C6" s="303" t="s">
        <v>2055</v>
      </c>
      <c r="D6" s="319">
        <f>SUMIF(PVA!D$13:D$29,'Prod Summary'!C6,PVA!E$13:E$30)</f>
        <v>20592</v>
      </c>
      <c r="E6" s="300">
        <f>SUMIF(Table1[SKU],'Prod Summary'!C6,PVA!G$13:G$30)</f>
        <v>86420</v>
      </c>
      <c r="F6" s="300">
        <f>SUMIF(Table1[SKU],'Prod Summary'!C6,PVA!H$13:H$30)</f>
        <v>1398</v>
      </c>
      <c r="G6" s="301">
        <f t="shared" ref="G6:G15" si="0">IFERROR(F6/(E6+F6),0)</f>
        <v>1.5919287617572705E-2</v>
      </c>
      <c r="H6" s="302">
        <f t="shared" ref="H6:H15" si="1">IFERROR(E6/D6,0)</f>
        <v>4.1967754467754466</v>
      </c>
      <c r="J6" s="960"/>
      <c r="K6" s="303" t="s">
        <v>2055</v>
      </c>
      <c r="L6" s="319">
        <f>SUMIF(PVA!D$33:D$97,'Prod Summary'!K6,PVA!E$33:E$97)</f>
        <v>0</v>
      </c>
      <c r="M6" s="319">
        <f>SUMIF(PVA!D$33:D$97,'Prod Summary'!K6,PVA!G$33:G$97)</f>
        <v>62376</v>
      </c>
      <c r="N6" s="319">
        <f>SUMIF(PVA!$D$33:$D$97,'Prod Summary'!K6,PVA!H$33:H$97)+SUMIF(PVA!$D$33:$D$97,'Prod Summary'!K6,PVA!I$33:I$97)</f>
        <v>347</v>
      </c>
      <c r="O6" s="301">
        <f t="shared" ref="O6:O13" si="2">IFERROR(N6/M6,0)</f>
        <v>5.5630370655380271E-3</v>
      </c>
      <c r="P6" s="302">
        <f t="shared" ref="P6:P15" si="3">IFERROR((M6-N6)/L6,0)</f>
        <v>0</v>
      </c>
    </row>
    <row r="7" spans="2:33" hidden="1">
      <c r="B7" s="960"/>
      <c r="C7" s="303" t="s">
        <v>2056</v>
      </c>
      <c r="D7" s="319">
        <f>SUMIF(PVA!D$13:D$29,'Prod Summary'!C7,PVA!E$13:E$30)</f>
        <v>48906</v>
      </c>
      <c r="E7" s="300">
        <f>SUMIF(Table1[SKU],'Prod Summary'!C7,PVA!G$13:G$30)</f>
        <v>182597</v>
      </c>
      <c r="F7" s="300">
        <f>SUMIF(Table1[SKU],'Prod Summary'!C7,PVA!H$13:H$30)</f>
        <v>3762</v>
      </c>
      <c r="G7" s="301">
        <f t="shared" si="0"/>
        <v>2.0186843672696249E-2</v>
      </c>
      <c r="H7" s="302">
        <f t="shared" si="1"/>
        <v>3.7336318652108127</v>
      </c>
      <c r="J7" s="960"/>
      <c r="K7" s="303" t="s">
        <v>2056</v>
      </c>
      <c r="L7" s="319">
        <f>SUMIF(PVA!D$33:D$97,'Prod Summary'!K7,PVA!E$33:E$97)</f>
        <v>36304</v>
      </c>
      <c r="M7" s="319">
        <f>SUMIF(PVA!D$33:D$97,'Prod Summary'!K7,PVA!G$33:G$97)</f>
        <v>180848</v>
      </c>
      <c r="N7" s="319">
        <f>SUMIF(PVA!$D$33:$D$97,'Prod Summary'!K7,PVA!H$33:H$97)+SUMIF(PVA!$D$33:$D$97,'Prod Summary'!K7,PVA!I$33:I$97)</f>
        <v>1702</v>
      </c>
      <c r="O7" s="301">
        <f t="shared" si="2"/>
        <v>9.4112182606387682E-3</v>
      </c>
      <c r="P7" s="302">
        <f t="shared" si="3"/>
        <v>4.9346077567210225</v>
      </c>
    </row>
    <row r="8" spans="2:33" hidden="1">
      <c r="B8" s="960"/>
      <c r="C8" s="303" t="s">
        <v>2057</v>
      </c>
      <c r="D8" s="319">
        <f>SUMIF(PVA!D$13:D$29,'Prod Summary'!C8,PVA!E$13:E$30)</f>
        <v>16944</v>
      </c>
      <c r="E8" s="300">
        <f>SUMIF(Table1[SKU],'Prod Summary'!C8,PVA!G$13:G$30)</f>
        <v>60794</v>
      </c>
      <c r="F8" s="300">
        <f>SUMIF(Table1[SKU],'Prod Summary'!C8,PVA!H$13:H$30)</f>
        <v>1036</v>
      </c>
      <c r="G8" s="301">
        <f t="shared" si="0"/>
        <v>1.6755620249070031E-2</v>
      </c>
      <c r="H8" s="302">
        <f t="shared" si="1"/>
        <v>3.5879367327667611</v>
      </c>
      <c r="J8" s="960"/>
      <c r="K8" s="303" t="s">
        <v>2057</v>
      </c>
      <c r="L8" s="319">
        <f>SUMIF(PVA!D$33:D$97,'Prod Summary'!K8,PVA!E$33:E$97)</f>
        <v>6080</v>
      </c>
      <c r="M8" s="319">
        <f>SUMIF(PVA!D$33:D$97,'Prod Summary'!K8,PVA!G$33:G$97)</f>
        <v>50854</v>
      </c>
      <c r="N8" s="319">
        <f>SUMIF(PVA!$D$33:$D$97,'Prod Summary'!K8,PVA!H$33:H$97)+SUMIF(PVA!$D$33:$D$97,'Prod Summary'!K8,PVA!I$33:I$97)</f>
        <v>361</v>
      </c>
      <c r="O8" s="301">
        <f t="shared" si="2"/>
        <v>7.0987532937428714E-3</v>
      </c>
      <c r="P8" s="302">
        <f t="shared" si="3"/>
        <v>8.3047697368421058</v>
      </c>
    </row>
    <row r="9" spans="2:33" hidden="1">
      <c r="B9" s="960"/>
      <c r="C9" s="303" t="s">
        <v>2058</v>
      </c>
      <c r="D9" s="319">
        <f>SUMIF(PVA!D$13:D$29,'Prod Summary'!C9,PVA!E$13:E$30)</f>
        <v>2574</v>
      </c>
      <c r="E9" s="300">
        <f>SUMIF(Table1[SKU],'Prod Summary'!C9,PVA!G$13:G$30)</f>
        <v>45912</v>
      </c>
      <c r="F9" s="300">
        <f>SUMIF(Table1[SKU],'Prod Summary'!C9,PVA!H$13:H$30)</f>
        <v>948</v>
      </c>
      <c r="G9" s="301">
        <f t="shared" si="0"/>
        <v>2.0230473751600513E-2</v>
      </c>
      <c r="H9" s="302">
        <f t="shared" si="1"/>
        <v>17.836829836829835</v>
      </c>
      <c r="J9" s="960"/>
      <c r="K9" s="303" t="s">
        <v>2058</v>
      </c>
      <c r="L9" s="319">
        <f>SUMIF(PVA!D$33:D$97,'Prod Summary'!K9,PVA!E$33:E$97)</f>
        <v>4000</v>
      </c>
      <c r="M9" s="319">
        <f>SUMIF(PVA!D$33:D$97,'Prod Summary'!K9,PVA!G$33:G$97)</f>
        <v>40835</v>
      </c>
      <c r="N9" s="319">
        <f>SUMIF(PVA!$D$33:$D$97,'Prod Summary'!K9,PVA!H$33:H$97)+SUMIF(PVA!$D$33:$D$97,'Prod Summary'!K9,PVA!I$33:I$97)</f>
        <v>308</v>
      </c>
      <c r="O9" s="301">
        <f t="shared" si="2"/>
        <v>7.5425492837027062E-3</v>
      </c>
      <c r="P9" s="302">
        <f t="shared" si="3"/>
        <v>10.13175</v>
      </c>
    </row>
    <row r="10" spans="2:33" hidden="1">
      <c r="B10" s="960"/>
      <c r="C10" s="303" t="s">
        <v>2059</v>
      </c>
      <c r="D10" s="319">
        <f>SUMIF(PVA!D$13:D$29,'Prod Summary'!C10,PVA!E$13:E$30)</f>
        <v>0</v>
      </c>
      <c r="E10" s="300">
        <f>SUMIF(Table1[SKU],'Prod Summary'!C10,PVA!G$13:G$30)</f>
        <v>6295</v>
      </c>
      <c r="F10" s="300">
        <f>SUMIF(Table1[SKU],'Prod Summary'!C10,PVA!H$13:H$30)</f>
        <v>152</v>
      </c>
      <c r="G10" s="301">
        <f t="shared" si="0"/>
        <v>2.3576857453078953E-2</v>
      </c>
      <c r="H10" s="302">
        <f t="shared" si="1"/>
        <v>0</v>
      </c>
      <c r="J10" s="960"/>
      <c r="K10" s="303" t="s">
        <v>2059</v>
      </c>
      <c r="L10" s="319">
        <f>SUMIF(PVA!D$33:D$97,'Prod Summary'!K10,PVA!E$33:E$97)</f>
        <v>0</v>
      </c>
      <c r="M10" s="319">
        <f>SUMIF(PVA!D$33:D$97,'Prod Summary'!K10,PVA!G$33:G$97)</f>
        <v>7822</v>
      </c>
      <c r="N10" s="319">
        <f>SUMIF(PVA!$D$33:$D$97,'Prod Summary'!K10,PVA!H$33:H$97)+SUMIF(PVA!$D$33:$D$97,'Prod Summary'!K10,PVA!I$33:I$97)</f>
        <v>252</v>
      </c>
      <c r="O10" s="301">
        <f>IFERROR(N10/M10,0)</f>
        <v>3.2216824341600614E-2</v>
      </c>
      <c r="P10" s="302">
        <f>IFERROR((M10-N10)/L10,0)</f>
        <v>0</v>
      </c>
    </row>
    <row r="11" spans="2:33" hidden="1">
      <c r="B11" s="960"/>
      <c r="C11" s="303" t="s">
        <v>1633</v>
      </c>
      <c r="D11" s="319">
        <f>SUMIF(PVA!D$13:D$29,'Prod Summary'!C11,PVA!E$13:E$30)</f>
        <v>0</v>
      </c>
      <c r="E11" s="300">
        <f>SUMIF(Table1[SKU],'Prod Summary'!C11,PVA!G$13:G$30)</f>
        <v>2248</v>
      </c>
      <c r="F11" s="300">
        <f>SUMIF(Table1[SKU],'Prod Summary'!C11,PVA!H$13:H$30)</f>
        <v>82</v>
      </c>
      <c r="G11" s="301">
        <f t="shared" si="0"/>
        <v>3.51931330472103E-2</v>
      </c>
      <c r="H11" s="302">
        <f t="shared" si="1"/>
        <v>0</v>
      </c>
      <c r="J11" s="960"/>
      <c r="K11" s="303" t="s">
        <v>1633</v>
      </c>
      <c r="L11" s="319">
        <f>SUMIF(PVA!D$33:D$97,'Prod Summary'!K11,PVA!E$33:E$97)</f>
        <v>3000</v>
      </c>
      <c r="M11" s="319">
        <f>SUMIF(PVA!D$33:D$97,'Prod Summary'!K11,PVA!G$33:G$97)</f>
        <v>5915</v>
      </c>
      <c r="N11" s="319">
        <f>SUMIF(PVA!$D$33:$D$97,'Prod Summary'!K11,PVA!H$33:H$97)+SUMIF(PVA!$D$33:$D$97,'Prod Summary'!K11,PVA!I$33:I$97)</f>
        <v>76</v>
      </c>
      <c r="O11" s="301">
        <f t="shared" si="2"/>
        <v>1.2848689771766696E-2</v>
      </c>
      <c r="P11" s="302">
        <f t="shared" si="3"/>
        <v>1.9463333333333332</v>
      </c>
    </row>
    <row r="12" spans="2:33" hidden="1">
      <c r="B12" s="960"/>
      <c r="C12" s="303" t="s">
        <v>1632</v>
      </c>
      <c r="D12" s="319">
        <f>SUMIF(PVA!D$13:D$29,'Prod Summary'!C12,PVA!E$13:E$30)</f>
        <v>12012</v>
      </c>
      <c r="E12" s="300">
        <f>SUMIF(Table1[SKU],'Prod Summary'!C12,PVA!G$13:G$30)</f>
        <v>18838</v>
      </c>
      <c r="F12" s="300">
        <f>SUMIF(Table1[SKU],'Prod Summary'!C12,PVA!H$13:H$30)</f>
        <v>484</v>
      </c>
      <c r="G12" s="301">
        <f t="shared" si="0"/>
        <v>2.5049166752924127E-2</v>
      </c>
      <c r="H12" s="302">
        <f t="shared" si="1"/>
        <v>1.5682650682650683</v>
      </c>
      <c r="J12" s="960"/>
      <c r="K12" s="303" t="s">
        <v>1632</v>
      </c>
      <c r="L12" s="319">
        <f>SUMIF(PVA!D$33:D$97,'Prod Summary'!K12,PVA!E$33:E$97)</f>
        <v>10434</v>
      </c>
      <c r="M12" s="319">
        <f>SUMIF(PVA!D$33:D$97,'Prod Summary'!K12,PVA!G$33:G$97)</f>
        <v>20745</v>
      </c>
      <c r="N12" s="319">
        <f>SUMIF(PVA!$D$33:$D$97,'Prod Summary'!K12,PVA!H$33:H$97)+SUMIF(PVA!$D$33:$D$97,'Prod Summary'!K12,PVA!I$33:I$97)</f>
        <v>325</v>
      </c>
      <c r="O12" s="301">
        <f t="shared" si="2"/>
        <v>1.566642564473367E-2</v>
      </c>
      <c r="P12" s="302">
        <f t="shared" si="3"/>
        <v>1.9570634464251486</v>
      </c>
    </row>
    <row r="13" spans="2:33" hidden="1">
      <c r="B13" s="960"/>
      <c r="C13" s="303" t="s">
        <v>1635</v>
      </c>
      <c r="D13" s="319">
        <f>SUMIF(PVA!D$13:D$29,'Prod Summary'!C13,PVA!E$13:E$30)</f>
        <v>0</v>
      </c>
      <c r="E13" s="300">
        <f>SUMIF(Table1[SKU],'Prod Summary'!C13,PVA!G$13:G$30)</f>
        <v>20015</v>
      </c>
      <c r="F13" s="300">
        <f>SUMIF(Table1[SKU],'Prod Summary'!C13,PVA!H$13:H$30)</f>
        <v>492</v>
      </c>
      <c r="G13" s="301">
        <f t="shared" si="0"/>
        <v>2.3991807675427902E-2</v>
      </c>
      <c r="H13" s="302">
        <f t="shared" si="1"/>
        <v>0</v>
      </c>
      <c r="J13" s="960"/>
      <c r="K13" s="303" t="s">
        <v>1635</v>
      </c>
      <c r="L13" s="319">
        <f>SUMIF(PVA!D$33:D$97,'Prod Summary'!K13,PVA!E$33:E$97)</f>
        <v>6200</v>
      </c>
      <c r="M13" s="319">
        <f>SUMIF(PVA!D$33:D$97,'Prod Summary'!K13,PVA!G$33:G$97)</f>
        <v>26637</v>
      </c>
      <c r="N13" s="319">
        <f>SUMIF(PVA!$D$33:$D$97,'Prod Summary'!K13,PVA!H$33:H$97)+SUMIF(PVA!$D$33:$D$97,'Prod Summary'!K13,PVA!I$33:I$97)</f>
        <v>469</v>
      </c>
      <c r="O13" s="301">
        <f t="shared" si="2"/>
        <v>1.7607087885272366E-2</v>
      </c>
      <c r="P13" s="302">
        <f t="shared" si="3"/>
        <v>4.2206451612903226</v>
      </c>
    </row>
    <row r="14" spans="2:33" hidden="1">
      <c r="B14" s="960"/>
      <c r="C14" s="303" t="s">
        <v>1634</v>
      </c>
      <c r="D14" s="319">
        <f>SUMIF(PVA!D$13:D$29,'Prod Summary'!C14,PVA!E$13:E$30)</f>
        <v>5006</v>
      </c>
      <c r="E14" s="300">
        <f>SUMIF(Table1[SKU],'Prod Summary'!C14,PVA!G$13:G$30)</f>
        <v>14460</v>
      </c>
      <c r="F14" s="300">
        <f>SUMIF(Table1[SKU],'Prod Summary'!C14,PVA!H$13:H$30)</f>
        <v>367</v>
      </c>
      <c r="G14" s="301">
        <f t="shared" si="0"/>
        <v>2.4752141363728334E-2</v>
      </c>
      <c r="H14" s="302">
        <f t="shared" si="1"/>
        <v>2.8885337594886136</v>
      </c>
      <c r="J14" s="960"/>
      <c r="K14" s="303" t="s">
        <v>1634</v>
      </c>
      <c r="L14" s="319">
        <f>SUMIF(PVA!D$33:D$97,'Prod Summary'!K14,PVA!E$33:E$97)</f>
        <v>4700</v>
      </c>
      <c r="M14" s="319">
        <f>SUMIF(PVA!D$33:D$97,'Prod Summary'!K14,PVA!G$33:G$97)</f>
        <v>13813</v>
      </c>
      <c r="N14" s="319">
        <f>SUMIF(PVA!$D$33:$D$97,'Prod Summary'!K14,PVA!H$33:H$97)+SUMIF(PVA!$D$33:$D$97,'Prod Summary'!K14,PVA!I$33:I$97)</f>
        <v>207</v>
      </c>
      <c r="O14" s="301">
        <f>IFERROR(N14/M14,0)</f>
        <v>1.4985882863968725E-2</v>
      </c>
      <c r="P14" s="302">
        <f t="shared" si="3"/>
        <v>2.8948936170212765</v>
      </c>
    </row>
    <row r="15" spans="2:33" ht="15" hidden="1" thickBot="1">
      <c r="B15" s="960"/>
      <c r="C15" s="304" t="s">
        <v>1636</v>
      </c>
      <c r="D15" s="319">
        <f>SUMIF(PVA!D$13:D$29,'Prod Summary'!C15,PVA!E$13:E$30)</f>
        <v>5006</v>
      </c>
      <c r="E15" s="300">
        <f>SUMIF(Table1[SKU],'Prod Summary'!C15,PVA!G$13:G$30)</f>
        <v>23760</v>
      </c>
      <c r="F15" s="300">
        <f>SUMIF(Table1[SKU],'Prod Summary'!C15,PVA!H$13:H$30)</f>
        <v>803</v>
      </c>
      <c r="G15" s="301">
        <f t="shared" si="0"/>
        <v>3.2691446484549934E-2</v>
      </c>
      <c r="H15" s="302">
        <f t="shared" si="1"/>
        <v>4.746304434678386</v>
      </c>
      <c r="J15" s="960"/>
      <c r="K15" s="304" t="s">
        <v>1636</v>
      </c>
      <c r="L15" s="319">
        <f>SUMIF(PVA!D$33:D$97,'Prod Summary'!K15,PVA!E$33:E$97)</f>
        <v>3000</v>
      </c>
      <c r="M15" s="319">
        <f>SUMIF(PVA!D$33:D$97,'Prod Summary'!K15,PVA!G$33:G$97)</f>
        <v>12025</v>
      </c>
      <c r="N15" s="319">
        <f>SUMIF(PVA!$D$33:$D$97,'Prod Summary'!K15,PVA!H$33:H$97)+SUMIF(PVA!$D$33:$D$97,'Prod Summary'!K15,PVA!I$33:I$97)</f>
        <v>178</v>
      </c>
      <c r="O15" s="301">
        <f>IFERROR(N15/M15,0)</f>
        <v>1.4802494802494803E-2</v>
      </c>
      <c r="P15" s="302">
        <f t="shared" si="3"/>
        <v>3.9489999999999998</v>
      </c>
      <c r="Q15" s="294" t="s">
        <v>1975</v>
      </c>
    </row>
    <row r="16" spans="2:33" ht="15" hidden="1" thickBot="1">
      <c r="B16" s="961"/>
      <c r="C16" s="295" t="s">
        <v>103</v>
      </c>
      <c r="D16" s="694">
        <f>SUM(D5:D15)</f>
        <v>134206</v>
      </c>
      <c r="E16" s="695">
        <f>SUM(E5:E15)</f>
        <v>554822</v>
      </c>
      <c r="F16" s="695">
        <f>SUM(F5:F15)</f>
        <v>11239</v>
      </c>
      <c r="G16" s="696">
        <f>F16/(F16+E16)</f>
        <v>1.9854750636415511E-2</v>
      </c>
      <c r="H16" s="307">
        <f>E16/D16</f>
        <v>4.1341072679313893</v>
      </c>
      <c r="J16" s="961"/>
      <c r="K16" s="295" t="s">
        <v>103</v>
      </c>
      <c r="L16" s="305">
        <f>SUM(L5:L15)</f>
        <v>89120</v>
      </c>
      <c r="M16" s="305">
        <f>SUM(M5:M15)</f>
        <v>504366</v>
      </c>
      <c r="N16" s="305">
        <f>SUM(N5:N15)</f>
        <v>4797</v>
      </c>
      <c r="O16" s="306">
        <f>N16/(N16+M16)</f>
        <v>9.4213444417603001E-3</v>
      </c>
      <c r="P16" s="307">
        <f>M16/L16</f>
        <v>5.6594030520646319</v>
      </c>
    </row>
    <row r="17" spans="2:16" s="403" customFormat="1" ht="15" hidden="1" thickBot="1">
      <c r="E17" s="403">
        <f>E16-PVA!G31</f>
        <v>0</v>
      </c>
      <c r="M17" s="403">
        <f>M16-PVA!G98</f>
        <v>0</v>
      </c>
      <c r="P17" s="408"/>
    </row>
    <row r="18" spans="2:16" ht="15" hidden="1" thickBot="1">
      <c r="B18" s="956" t="s">
        <v>1832</v>
      </c>
      <c r="C18" s="295" t="s">
        <v>1827</v>
      </c>
      <c r="D18" s="296" t="s">
        <v>363</v>
      </c>
      <c r="E18" s="297" t="s">
        <v>364</v>
      </c>
      <c r="F18" s="297" t="s">
        <v>1828</v>
      </c>
      <c r="G18" s="297" t="s">
        <v>1829</v>
      </c>
      <c r="H18" s="298" t="s">
        <v>1830</v>
      </c>
      <c r="J18" s="956" t="s">
        <v>1833</v>
      </c>
      <c r="K18" s="295" t="s">
        <v>1827</v>
      </c>
      <c r="L18" s="296" t="s">
        <v>363</v>
      </c>
      <c r="M18" s="297" t="s">
        <v>364</v>
      </c>
      <c r="N18" s="297" t="s">
        <v>1828</v>
      </c>
      <c r="O18" s="297" t="s">
        <v>1829</v>
      </c>
      <c r="P18" s="298" t="s">
        <v>1830</v>
      </c>
    </row>
    <row r="19" spans="2:16" hidden="1">
      <c r="B19" s="957"/>
      <c r="C19" s="303" t="s">
        <v>1822</v>
      </c>
      <c r="D19" s="319">
        <f>SUMIF(PVA!D$100:D$104,'Prod Summary'!C19,PVA!E$100:E$104)</f>
        <v>113130</v>
      </c>
      <c r="E19" s="319">
        <f>SUMIF(PVA!D$100:D$104,'Prod Summary'!C19,PVA!G$100:G$104)</f>
        <v>328312</v>
      </c>
      <c r="F19" s="319">
        <f ca="1">SUMIF(PVA!D$100:D$104,'Prod Summary'!C19,PVA!H$100:H$103)+SUMIF(PVA!D$100:D$103,'Prod Summary'!C19,PVA!I$100:I$104)</f>
        <v>4749</v>
      </c>
      <c r="G19" s="301">
        <f ca="1">IFERROR(F19/(E19+F19),0)</f>
        <v>1.4258649316491574E-2</v>
      </c>
      <c r="H19" s="302">
        <f>IFERROR(E19/D19,0)</f>
        <v>2.9020772562538673</v>
      </c>
      <c r="J19" s="957"/>
      <c r="K19" s="303" t="s">
        <v>1822</v>
      </c>
      <c r="L19" s="319">
        <f>SUMIF(PVA!D$107:D$111,'Prod Summary'!K19,PVA!E$107:E$111)</f>
        <v>113000</v>
      </c>
      <c r="M19" s="319">
        <f>SUMIF(PVA!D$107:D$111,'Prod Summary'!K19,PVA!G$107:G$111)</f>
        <v>116670</v>
      </c>
      <c r="N19" s="319">
        <f>SUMIF(PVA!D$107:D$111,'Prod Summary'!K19,PVA!H$107:H$111)</f>
        <v>0</v>
      </c>
      <c r="O19" s="301">
        <f>IFERROR(N19/(M19+N19),0)</f>
        <v>0</v>
      </c>
      <c r="P19" s="302">
        <f>IFERROR(M19/L19,0)</f>
        <v>1.0324778761061948</v>
      </c>
    </row>
    <row r="20" spans="2:16" hidden="1">
      <c r="B20" s="957"/>
      <c r="C20" s="303" t="s">
        <v>1823</v>
      </c>
      <c r="D20" s="319">
        <f>SUMIF(PVA!D$100:D$104,'Prod Summary'!C20,PVA!E$100:E$104)</f>
        <v>69795</v>
      </c>
      <c r="E20" s="319">
        <f>SUMIF(PVA!D$100:D$104,'Prod Summary'!C20,PVA!G$100:G$104)</f>
        <v>237572</v>
      </c>
      <c r="F20" s="319">
        <f ca="1">SUMIF(PVA!D$100:D$104,'Prod Summary'!C20,PVA!H$100:H$103)+SUMIF(PVA!D$100:D$103,'Prod Summary'!C20,PVA!I$100:I$104)</f>
        <v>3986</v>
      </c>
      <c r="G20" s="301">
        <f ca="1">IFERROR(F20/(E20+F20),0)</f>
        <v>1.6501212959206486E-2</v>
      </c>
      <c r="H20" s="302">
        <f>IFERROR(E20/D20,0)</f>
        <v>3.4038541442796761</v>
      </c>
      <c r="J20" s="957"/>
      <c r="K20" s="303" t="s">
        <v>1823</v>
      </c>
      <c r="L20" s="319">
        <f>SUMIF(PVA!D$107:D$111,'Prod Summary'!K20,PVA!E$107:E$111)</f>
        <v>69795</v>
      </c>
      <c r="M20" s="319">
        <f>SUMIF(PVA!D$107:D$111,'Prod Summary'!K20,PVA!G$107:G$111)</f>
        <v>104782</v>
      </c>
      <c r="N20" s="319">
        <f>SUMIF(PVA!D$107:D$111,'Prod Summary'!K20,PVA!H$107:H$111)</f>
        <v>0</v>
      </c>
      <c r="O20" s="301">
        <f>IFERROR(N20/(M20+N20),0)</f>
        <v>0</v>
      </c>
      <c r="P20" s="302">
        <f>IFERROR(M20/L20,0)</f>
        <v>1.5012823268142417</v>
      </c>
    </row>
    <row r="21" spans="2:16" hidden="1">
      <c r="B21" s="957"/>
      <c r="C21" s="303" t="s">
        <v>1824</v>
      </c>
      <c r="D21" s="319">
        <f>SUMIF(PVA!D$100:D$104,'Prod Summary'!C21,PVA!E$100:E$104)</f>
        <v>73395</v>
      </c>
      <c r="E21" s="319">
        <f>SUMIF(PVA!D$100:D$104,'Prod Summary'!C21,PVA!G$100:G$104)</f>
        <v>392455</v>
      </c>
      <c r="F21" s="319">
        <f ca="1">SUMIF(PVA!D$100:D$104,'Prod Summary'!C21,PVA!H$100:H$103)+SUMIF(PVA!D$100:D$103,'Prod Summary'!C21,PVA!I$100:I$104)</f>
        <v>5026</v>
      </c>
      <c r="G21" s="301">
        <f ca="1">IFERROR(F21/(E21+F21),0)</f>
        <v>1.2644629554620221E-2</v>
      </c>
      <c r="H21" s="302">
        <f>IFERROR(E21/D21,0)</f>
        <v>5.3471626132570336</v>
      </c>
      <c r="J21" s="957"/>
      <c r="K21" s="303" t="s">
        <v>1824</v>
      </c>
      <c r="L21" s="319">
        <f>SUMIF(PVA!D$107:D$111,'Prod Summary'!K21,PVA!E$107:E$111)</f>
        <v>73000</v>
      </c>
      <c r="M21" s="319">
        <f>SUMIF(PVA!D$107:D$111,'Prod Summary'!K21,PVA!G$107:G$111)</f>
        <v>61768</v>
      </c>
      <c r="N21" s="319">
        <f>SUMIF(PVA!D$107:D$111,'Prod Summary'!K21,PVA!H$107:H$111)</f>
        <v>0</v>
      </c>
      <c r="O21" s="301">
        <f>IFERROR(N21/(M21+N21),0)</f>
        <v>0</v>
      </c>
      <c r="P21" s="302">
        <f>IFERROR(M21/L21,0)</f>
        <v>0.84613698630136991</v>
      </c>
    </row>
    <row r="22" spans="2:16" hidden="1">
      <c r="B22" s="957"/>
      <c r="C22" s="303" t="s">
        <v>1825</v>
      </c>
      <c r="D22" s="319">
        <f>SUMIF(PVA!D$100:D$104,'Prod Summary'!C22,PVA!E$100:E$104)</f>
        <v>0</v>
      </c>
      <c r="E22" s="319">
        <f>SUMIF(PVA!D$100:D$104,'Prod Summary'!C22,PVA!G$100:G$104)</f>
        <v>93330</v>
      </c>
      <c r="F22" s="319">
        <f ca="1">SUMIF(PVA!D$100:D$104,'Prod Summary'!C22,PVA!H$100:H$103)+SUMIF(PVA!D$100:D$103,'Prod Summary'!C22,PVA!I$100:I$104)</f>
        <v>1377</v>
      </c>
      <c r="G22" s="301">
        <f ca="1">IFERROR(F22/(E22+F22),0)</f>
        <v>1.4539579967689823E-2</v>
      </c>
      <c r="H22" s="302">
        <f>IFERROR(E22/D22,0)</f>
        <v>0</v>
      </c>
      <c r="J22" s="957"/>
      <c r="K22" s="303" t="s">
        <v>1825</v>
      </c>
      <c r="L22" s="319">
        <f>SUMIF(PVA!D$107:D$111,'Prod Summary'!K22,PVA!E$107:E$111)</f>
        <v>0</v>
      </c>
      <c r="M22" s="319">
        <f>SUMIF(PVA!D$107:D$111,'Prod Summary'!K22,PVA!G$107:G$111)</f>
        <v>6220</v>
      </c>
      <c r="N22" s="319">
        <f>SUMIF(PVA!D$107:D$111,'Prod Summary'!K22,PVA!H$107:H$111)</f>
        <v>0</v>
      </c>
      <c r="O22" s="301">
        <f>IFERROR(N22/(M22+N22),0)</f>
        <v>0</v>
      </c>
      <c r="P22" s="302">
        <f>IFERROR(M22/L22,0)</f>
        <v>0</v>
      </c>
    </row>
    <row r="23" spans="2:16" ht="15" hidden="1" thickBot="1">
      <c r="B23" s="957"/>
      <c r="C23" s="709" t="s">
        <v>2093</v>
      </c>
      <c r="D23" s="319">
        <f>SUMIF(PVA!D$100:D$104,'Prod Summary'!C23,PVA!E$100:E$104)</f>
        <v>33705</v>
      </c>
      <c r="E23" s="319">
        <f>SUMIF(PVA!D$100:D$104,'Prod Summary'!C23,PVA!G$100:G$104)</f>
        <v>130839</v>
      </c>
      <c r="F23" s="319">
        <f ca="1">SUMIF(PVA!D$100:D$104,'Prod Summary'!C23,PVA!H$100:H$103)+SUMIF(PVA!D$100:D$103,'Prod Summary'!C23,PVA!I$100:I$104)</f>
        <v>2360</v>
      </c>
      <c r="G23" s="301">
        <f ca="1">IFERROR(F23/(E23+F23),0)</f>
        <v>1.7717850734615126E-2</v>
      </c>
      <c r="H23" s="302">
        <f>IFERROR(E23/D23,0)</f>
        <v>3.8818869603916335</v>
      </c>
      <c r="J23" s="957"/>
      <c r="K23" s="709" t="s">
        <v>2093</v>
      </c>
      <c r="L23" s="319">
        <f>SUMIF(PVA!D$107:D$111,'Prod Summary'!K23,PVA!E$107:E$111)</f>
        <v>33700</v>
      </c>
      <c r="M23" s="319">
        <f>SUMIF(PVA!D$107:D$111,'Prod Summary'!K23,PVA!G$107:G$111)</f>
        <v>32550</v>
      </c>
      <c r="N23" s="319">
        <f>SUMIF(PVA!D$107:D$111,'Prod Summary'!K23,PVA!H$107:H$111)</f>
        <v>0</v>
      </c>
      <c r="O23" s="301">
        <f>IFERROR(N23/(M23+N23),0)</f>
        <v>0</v>
      </c>
      <c r="P23" s="302">
        <f>IFERROR(M23/L23,0)</f>
        <v>0.96587537091988129</v>
      </c>
    </row>
    <row r="24" spans="2:16" ht="15" hidden="1" thickBot="1">
      <c r="B24" s="958"/>
      <c r="C24" s="295" t="s">
        <v>103</v>
      </c>
      <c r="D24" s="694">
        <f>SUM(D19:D23)</f>
        <v>290025</v>
      </c>
      <c r="E24" s="694">
        <f>SUM(E19:E23)</f>
        <v>1182508</v>
      </c>
      <c r="F24" s="694">
        <f ca="1">SUM(F19:F23)</f>
        <v>17498</v>
      </c>
      <c r="G24" s="696">
        <f ca="1">F24/(F24+E24)</f>
        <v>1.4581593758697874E-2</v>
      </c>
      <c r="H24" s="307">
        <f>E24/D24</f>
        <v>4.0772623049737096</v>
      </c>
      <c r="J24" s="958"/>
      <c r="K24" s="295" t="s">
        <v>103</v>
      </c>
      <c r="L24" s="694">
        <f>SUM(L19:L23)</f>
        <v>289495</v>
      </c>
      <c r="M24" s="694">
        <f>SUM(M19:M23)</f>
        <v>321990</v>
      </c>
      <c r="N24" s="694">
        <f>SUM(N19:N23)</f>
        <v>0</v>
      </c>
      <c r="O24" s="696">
        <f>N24/(N24+M24)</f>
        <v>0</v>
      </c>
      <c r="P24" s="307">
        <f>M24/L24</f>
        <v>1.1122471890706229</v>
      </c>
    </row>
    <row r="25" spans="2:16" s="403" customFormat="1" hidden="1">
      <c r="E25" s="403">
        <f>E24-PVA!G105</f>
        <v>0</v>
      </c>
      <c r="M25" s="403">
        <f>M24-PVA!G112</f>
        <v>0</v>
      </c>
      <c r="P25" s="408"/>
    </row>
    <row r="26" spans="2:16" ht="16.5" hidden="1" customHeight="1" thickBot="1"/>
    <row r="27" spans="2:16" ht="15" hidden="1" thickBot="1">
      <c r="B27" s="956" t="s">
        <v>1834</v>
      </c>
      <c r="C27" s="295" t="s">
        <v>1827</v>
      </c>
      <c r="D27" s="296" t="s">
        <v>363</v>
      </c>
      <c r="E27" s="297" t="s">
        <v>364</v>
      </c>
      <c r="F27" s="297" t="s">
        <v>1828</v>
      </c>
      <c r="G27" s="297" t="s">
        <v>1829</v>
      </c>
      <c r="H27" s="298" t="s">
        <v>1830</v>
      </c>
      <c r="J27" s="962" t="s">
        <v>1835</v>
      </c>
      <c r="K27" s="295" t="s">
        <v>1827</v>
      </c>
      <c r="L27" s="296" t="s">
        <v>363</v>
      </c>
      <c r="M27" s="297" t="s">
        <v>364</v>
      </c>
      <c r="N27" s="297" t="s">
        <v>1828</v>
      </c>
      <c r="O27" s="297" t="s">
        <v>1829</v>
      </c>
      <c r="P27" s="298" t="s">
        <v>1830</v>
      </c>
    </row>
    <row r="28" spans="2:16" hidden="1">
      <c r="B28" s="957"/>
      <c r="C28" s="303" t="s">
        <v>1822</v>
      </c>
      <c r="D28" s="319">
        <f>SUMIF(PVA!D$114:D$118,'Prod Summary'!C28,PVA!E$114:E$118)</f>
        <v>113000</v>
      </c>
      <c r="E28" s="319">
        <f>SUMIF(PVA!D$114:D$118,'Prod Summary'!C28,PVA!G$114:G$118)</f>
        <v>298396</v>
      </c>
      <c r="F28" s="319">
        <f>SUMIF(PVA!D$114:D$118,'Prod Summary'!C28,PVA!H$114:H$118)</f>
        <v>0</v>
      </c>
      <c r="G28" s="301">
        <f>IFERROR(F28/(E28+F28),0)</f>
        <v>0</v>
      </c>
      <c r="H28" s="302">
        <f>IFERROR(E28/D28,0)</f>
        <v>2.6406725663716815</v>
      </c>
      <c r="J28" s="963"/>
      <c r="K28" s="303" t="s">
        <v>1822</v>
      </c>
      <c r="L28" s="319">
        <f>SUMIF(PVA!D$121:D$125,'Prod Summary'!K28,PVA!E$121:E$125)</f>
        <v>0</v>
      </c>
      <c r="M28" s="319">
        <f>SUMIF(PVA!D$121:D$125,'Prod Summary'!K28,PVA!G$121:G$125)</f>
        <v>229471</v>
      </c>
      <c r="N28" s="319">
        <f>SUMIF(PVA!D$121:D$125,'Prod Summary'!K28,PVA!H$121:H$125)</f>
        <v>13</v>
      </c>
      <c r="O28" s="301">
        <f>IFERROR(N28/(M28+N28),0)</f>
        <v>5.6648829548029495E-5</v>
      </c>
      <c r="P28" s="302">
        <f t="shared" ref="P28:P33" si="4">IFERROR(M28/L28,0)</f>
        <v>0</v>
      </c>
    </row>
    <row r="29" spans="2:16" hidden="1">
      <c r="B29" s="957"/>
      <c r="C29" s="303" t="s">
        <v>1823</v>
      </c>
      <c r="D29" s="319">
        <f>SUMIF(PVA!D$114:D$118,'Prod Summary'!C29,PVA!E$114:E$118)</f>
        <v>69264</v>
      </c>
      <c r="E29" s="319">
        <f>SUMIF(PVA!D$114:D$118,'Prod Summary'!C29,PVA!G$114:G$118)</f>
        <v>217048</v>
      </c>
      <c r="F29" s="319">
        <f>SUMIF(PVA!D$114:D$118,'Prod Summary'!C29,PVA!H$114:H$118)</f>
        <v>127</v>
      </c>
      <c r="G29" s="301">
        <f>IFERROR(F29/(E29+F29),0)</f>
        <v>5.8478185794865888E-4</v>
      </c>
      <c r="H29" s="302">
        <f>IFERROR(E29/D29,0)</f>
        <v>3.1336336336336337</v>
      </c>
      <c r="J29" s="963"/>
      <c r="K29" s="303" t="s">
        <v>1823</v>
      </c>
      <c r="L29" s="319">
        <f>SUMIF(PVA!D$121:D$125,'Prod Summary'!K29,PVA!E$121:E$125)</f>
        <v>0</v>
      </c>
      <c r="M29" s="319">
        <f>SUMIF(PVA!D$121:D$125,'Prod Summary'!K29,PVA!G$121:G$125)</f>
        <v>153356</v>
      </c>
      <c r="N29" s="319">
        <f>SUMIF(PVA!D$121:D$125,'Prod Summary'!K29,PVA!H$121:H$125)</f>
        <v>0</v>
      </c>
      <c r="O29" s="301">
        <f>IFERROR(N29/(M29+N29),0)</f>
        <v>0</v>
      </c>
      <c r="P29" s="302">
        <f t="shared" si="4"/>
        <v>0</v>
      </c>
    </row>
    <row r="30" spans="2:16" hidden="1">
      <c r="B30" s="957"/>
      <c r="C30" s="303" t="s">
        <v>1824</v>
      </c>
      <c r="D30" s="319">
        <f>SUMIF(PVA!D$114:D$118,'Prod Summary'!C30,PVA!E$114:E$118)</f>
        <v>73024</v>
      </c>
      <c r="E30" s="319">
        <f>SUMIF(PVA!D$114:D$118,'Prod Summary'!C30,PVA!G$114:G$118)</f>
        <v>372798</v>
      </c>
      <c r="F30" s="319">
        <f>SUMIF(PVA!D$114:D$118,'Prod Summary'!C30,PVA!H$114:H$118)</f>
        <v>87</v>
      </c>
      <c r="G30" s="301">
        <f>IFERROR(F30/(E30+F30),0)</f>
        <v>2.3331590168550626E-4</v>
      </c>
      <c r="H30" s="302">
        <f>IFERROR(E30/D30,0)</f>
        <v>5.1051435144609991</v>
      </c>
      <c r="J30" s="963"/>
      <c r="K30" s="303" t="s">
        <v>1824</v>
      </c>
      <c r="L30" s="319">
        <f>SUMIF(PVA!D$121:D$125,'Prod Summary'!K30,PVA!E$121:E$125)</f>
        <v>0</v>
      </c>
      <c r="M30" s="319">
        <f>SUMIF(PVA!D$121:D$125,'Prod Summary'!K30,PVA!G$121:G$125)</f>
        <v>361880</v>
      </c>
      <c r="N30" s="319">
        <f>SUMIF(PVA!D$121:D$125,'Prod Summary'!K30,PVA!H$121:H$125)</f>
        <v>18</v>
      </c>
      <c r="O30" s="301">
        <f>IFERROR(N30/(M30+N30),0)</f>
        <v>4.9737771416255406E-5</v>
      </c>
      <c r="P30" s="302">
        <f t="shared" si="4"/>
        <v>0</v>
      </c>
    </row>
    <row r="31" spans="2:16" hidden="1">
      <c r="B31" s="957"/>
      <c r="C31" s="303" t="s">
        <v>1825</v>
      </c>
      <c r="D31" s="319">
        <f>SUMIF(PVA!D$114:D$118,'Prod Summary'!C31,PVA!E$114:E$118)</f>
        <v>0</v>
      </c>
      <c r="E31" s="319">
        <f>SUMIF(PVA!D$114:D$118,'Prod Summary'!C31,PVA!G$114:G$118)</f>
        <v>66565</v>
      </c>
      <c r="F31" s="319">
        <f>SUMIF(PVA!D$114:D$118,'Prod Summary'!C31,PVA!H$114:H$118)</f>
        <v>0</v>
      </c>
      <c r="G31" s="301">
        <f>IFERROR(F31/(E31+F31),0)</f>
        <v>0</v>
      </c>
      <c r="H31" s="302">
        <v>0</v>
      </c>
      <c r="J31" s="963"/>
      <c r="K31" s="303" t="s">
        <v>1825</v>
      </c>
      <c r="L31" s="319">
        <f>SUMIF(PVA!D$121:D$125,'Prod Summary'!K31,PVA!E$121:E$125)</f>
        <v>0</v>
      </c>
      <c r="M31" s="319">
        <f>SUMIF(PVA!D$121:D$125,'Prod Summary'!K31,PVA!G$121:G$125)</f>
        <v>66557</v>
      </c>
      <c r="N31" s="319">
        <f>SUMIF(PVA!D$121:D$125,'Prod Summary'!K31,PVA!H$121:H$125)</f>
        <v>0</v>
      </c>
      <c r="O31" s="301">
        <f>IFERROR(N31/(M31+N31),0)</f>
        <v>0</v>
      </c>
      <c r="P31" s="302">
        <f t="shared" si="4"/>
        <v>0</v>
      </c>
    </row>
    <row r="32" spans="2:16" ht="15" hidden="1" thickBot="1">
      <c r="B32" s="957"/>
      <c r="C32" s="709" t="s">
        <v>2093</v>
      </c>
      <c r="D32" s="319">
        <f>SUMIF(PVA!D$114:D$118,'Prod Summary'!C32,PVA!E$114:E$118)</f>
        <v>31644</v>
      </c>
      <c r="E32" s="319">
        <f>SUMIF(PVA!D$114:D$118,'Prod Summary'!C32,PVA!G$114:G$118)</f>
        <v>129839</v>
      </c>
      <c r="F32" s="319">
        <f>SUMIF(PVA!D$114:D$118,'Prod Summary'!C32,PVA!H$114:H$118)</f>
        <v>0</v>
      </c>
      <c r="G32" s="301">
        <f>IFERROR(F32/(E32+F32),0)</f>
        <v>0</v>
      </c>
      <c r="H32" s="302">
        <v>1</v>
      </c>
      <c r="J32" s="963"/>
      <c r="K32" s="709" t="s">
        <v>2093</v>
      </c>
      <c r="L32" s="319">
        <f>SUMIF(PVA!D$121:D$125,'Prod Summary'!K32,PVA!E$121:E$125)</f>
        <v>0</v>
      </c>
      <c r="M32" s="319">
        <f>SUMIF(PVA!D$121:D$125,'Prod Summary'!K32,PVA!G$121:G$125)</f>
        <v>129839</v>
      </c>
      <c r="N32" s="319">
        <f>SUMIF(PVA!D$121:D$125,'Prod Summary'!K32,PVA!H$121:H$125)</f>
        <v>0</v>
      </c>
      <c r="O32" s="301">
        <f>IFERROR(N32/(M32+N32),0)</f>
        <v>0</v>
      </c>
      <c r="P32" s="302">
        <f t="shared" si="4"/>
        <v>0</v>
      </c>
    </row>
    <row r="33" spans="2:19" ht="19.5" hidden="1" customHeight="1" thickBot="1">
      <c r="B33" s="958"/>
      <c r="C33" s="295" t="s">
        <v>103</v>
      </c>
      <c r="D33" s="694">
        <f>SUM(D28:D32)</f>
        <v>286932</v>
      </c>
      <c r="E33" s="694">
        <f>SUM(E28:E32)</f>
        <v>1084646</v>
      </c>
      <c r="F33" s="694">
        <f>SUM(F28:F32)</f>
        <v>214</v>
      </c>
      <c r="G33" s="306">
        <f>F33/(F33+E33)</f>
        <v>1.9726047600612061E-4</v>
      </c>
      <c r="H33" s="308">
        <f>E33/D33</f>
        <v>3.7801500006970294</v>
      </c>
      <c r="J33" s="964"/>
      <c r="K33" s="295" t="s">
        <v>103</v>
      </c>
      <c r="L33" s="320">
        <f>SUM(L28:L32)</f>
        <v>0</v>
      </c>
      <c r="M33" s="320">
        <f>SUM(M28:M32)</f>
        <v>941103</v>
      </c>
      <c r="N33" s="320">
        <f>SUM(N28:N32)</f>
        <v>31</v>
      </c>
      <c r="O33" s="306">
        <f>N33/(N33+M33)</f>
        <v>3.2938986371760029E-5</v>
      </c>
      <c r="P33" s="307">
        <f t="shared" si="4"/>
        <v>0</v>
      </c>
    </row>
    <row r="34" spans="2:19" s="403" customFormat="1" ht="21.75" hidden="1" customHeight="1">
      <c r="E34" s="403">
        <f>E33-PVA!G119</f>
        <v>0</v>
      </c>
      <c r="M34" s="403">
        <f>M33-PVA!G126</f>
        <v>0</v>
      </c>
      <c r="P34" s="408"/>
    </row>
    <row r="35" spans="2:19" ht="21.75" hidden="1" customHeight="1" thickBot="1">
      <c r="B35" s="956" t="s">
        <v>1836</v>
      </c>
      <c r="C35" s="295" t="s">
        <v>1827</v>
      </c>
      <c r="D35" s="296" t="s">
        <v>363</v>
      </c>
      <c r="E35" s="297" t="s">
        <v>364</v>
      </c>
      <c r="F35" s="297" t="s">
        <v>1828</v>
      </c>
      <c r="G35" s="297" t="s">
        <v>1829</v>
      </c>
      <c r="H35" s="298" t="s">
        <v>1830</v>
      </c>
      <c r="J35" s="956" t="s">
        <v>1837</v>
      </c>
      <c r="K35" s="295" t="s">
        <v>1827</v>
      </c>
      <c r="L35" s="296" t="s">
        <v>363</v>
      </c>
      <c r="M35" s="297" t="s">
        <v>364</v>
      </c>
      <c r="N35" s="297" t="s">
        <v>1828</v>
      </c>
      <c r="O35" s="297" t="s">
        <v>1829</v>
      </c>
      <c r="P35" s="298" t="s">
        <v>1830</v>
      </c>
    </row>
    <row r="36" spans="2:19" hidden="1">
      <c r="B36" s="957"/>
      <c r="C36" s="303" t="s">
        <v>1822</v>
      </c>
      <c r="D36" s="319">
        <f>SUMIF(PVA!D$128:D$132,'Prod Summary'!C36,PVA!E$128:E$132)</f>
        <v>113000</v>
      </c>
      <c r="E36" s="319">
        <f>SUMIF(PVA!D$128:D$132,'Prod Summary'!C36,PVA!G$128:G$132)</f>
        <v>296548</v>
      </c>
      <c r="F36" s="319">
        <f>SUMIF(PVA!D$128:D$132,'Prod Summary'!C36,PVA!H$128:H$132)</f>
        <v>1686</v>
      </c>
      <c r="G36" s="301">
        <f>IFERROR(F36/(E36+F36),0)</f>
        <v>5.6532789688633761E-3</v>
      </c>
      <c r="H36" s="302">
        <f>IFERROR(E36/D36,0)</f>
        <v>2.6243185840707963</v>
      </c>
      <c r="J36" s="957"/>
      <c r="K36" s="303" t="s">
        <v>1822</v>
      </c>
      <c r="L36" s="319">
        <f>SUMIF(PVA!D$135:D$139,'Prod Summary'!K36,PVA!E$135:E$139)</f>
        <v>64684</v>
      </c>
      <c r="M36" s="319">
        <f>SUMIF(PVA!D$135:D$139,'Prod Summary'!K36,PVA!G$135:G$139)</f>
        <v>139358</v>
      </c>
      <c r="N36" s="319">
        <f>SUMIF(PVA!D$135:D$139,'Prod Summary'!K36,PVA!H$135:H$139)</f>
        <v>15</v>
      </c>
      <c r="O36" s="301">
        <f>IFERROR(N36/(M36+N36),0)</f>
        <v>1.0762486277829996E-4</v>
      </c>
      <c r="P36" s="302">
        <f>IFERROR(M36/L36,0)</f>
        <v>2.1544431389524457</v>
      </c>
    </row>
    <row r="37" spans="2:19" hidden="1">
      <c r="B37" s="957"/>
      <c r="C37" s="303" t="s">
        <v>1823</v>
      </c>
      <c r="D37" s="319">
        <f>SUMIF(PVA!D$128:D$132,'Prod Summary'!C37,PVA!E$128:E$132)</f>
        <v>69000</v>
      </c>
      <c r="E37" s="319">
        <f>SUMIF(PVA!D$128:D$132,'Prod Summary'!C37,PVA!G$128:G$132)</f>
        <v>215507</v>
      </c>
      <c r="F37" s="319">
        <f>SUMIF(PVA!D$128:D$132,'Prod Summary'!C37,PVA!H$128:H$132)</f>
        <v>1471</v>
      </c>
      <c r="G37" s="301">
        <f>IFERROR(F37/(E37+F37),0)</f>
        <v>6.7794891648001177E-3</v>
      </c>
      <c r="H37" s="302">
        <f>IFERROR(E37/D37,0)</f>
        <v>3.1232898550724637</v>
      </c>
      <c r="J37" s="957"/>
      <c r="K37" s="303" t="s">
        <v>1823</v>
      </c>
      <c r="L37" s="319">
        <f>SUMIF(PVA!D$135:D$139,'Prod Summary'!K37,PVA!E$135:E$139)</f>
        <v>48513</v>
      </c>
      <c r="M37" s="319">
        <f>SUMIF(PVA!D$135:D$139,'Prod Summary'!K37,PVA!G$135:G$139)</f>
        <v>124947</v>
      </c>
      <c r="N37" s="319">
        <f>SUMIF(PVA!D$135:D$139,'Prod Summary'!K37,PVA!H$135:H$139)</f>
        <v>113</v>
      </c>
      <c r="O37" s="301">
        <f>IFERROR(N37/(M37+N37),0)</f>
        <v>9.0356628818167282E-4</v>
      </c>
      <c r="P37" s="302">
        <f>IFERROR(M37/L37,0)</f>
        <v>2.5755364541463113</v>
      </c>
    </row>
    <row r="38" spans="2:19" hidden="1">
      <c r="B38" s="957"/>
      <c r="C38" s="303" t="s">
        <v>1824</v>
      </c>
      <c r="D38" s="319">
        <f>SUMIF(PVA!D$128:D$132,'Prod Summary'!C38,PVA!E$128:E$132)</f>
        <v>73000</v>
      </c>
      <c r="E38" s="319">
        <f>SUMIF(PVA!D$128:D$132,'Prod Summary'!C38,PVA!G$128:G$132)</f>
        <v>348377</v>
      </c>
      <c r="F38" s="319">
        <f>SUMIF(PVA!D$128:D$132,'Prod Summary'!C38,PVA!H$128:H$132)</f>
        <v>2303</v>
      </c>
      <c r="G38" s="301">
        <f>IFERROR(F38/(E38+F38),0)</f>
        <v>6.5672407893235998E-3</v>
      </c>
      <c r="H38" s="302">
        <f>IFERROR(E38/D38,0)</f>
        <v>4.7722876712328768</v>
      </c>
      <c r="J38" s="957"/>
      <c r="K38" s="303" t="s">
        <v>1824</v>
      </c>
      <c r="L38" s="319">
        <f>SUMIF(PVA!D$135:D$139,'Prod Summary'!K38,PVA!E$135:E$139)</f>
        <v>64684</v>
      </c>
      <c r="M38" s="319">
        <f>SUMIF(PVA!D$135:D$139,'Prod Summary'!K38,PVA!G$135:G$139)</f>
        <v>215496</v>
      </c>
      <c r="N38" s="319">
        <f>SUMIF(PVA!D$135:D$139,'Prod Summary'!K38,PVA!H$135:H$139)</f>
        <v>153</v>
      </c>
      <c r="O38" s="301">
        <f>IFERROR(N38/(M38+N38),0)</f>
        <v>7.0948624848712492E-4</v>
      </c>
      <c r="P38" s="302">
        <f>IFERROR(M38/L38,0)</f>
        <v>3.331519386556181</v>
      </c>
    </row>
    <row r="39" spans="2:19" hidden="1">
      <c r="B39" s="957"/>
      <c r="C39" s="303" t="s">
        <v>1825</v>
      </c>
      <c r="D39" s="319">
        <f>SUMIF(PVA!D$128:D$132,'Prod Summary'!C39,PVA!E$128:E$132)</f>
        <v>0</v>
      </c>
      <c r="E39" s="319">
        <f>SUMIF(PVA!D$128:D$132,'Prod Summary'!C39,PVA!G$128:G$132)</f>
        <v>66181</v>
      </c>
      <c r="F39" s="319">
        <f>SUMIF(PVA!D$128:D$132,'Prod Summary'!C39,PVA!H$128:H$132)</f>
        <v>376</v>
      </c>
      <c r="G39" s="301">
        <f>IFERROR(F39/(E39+F39),0)</f>
        <v>5.6492930871283259E-3</v>
      </c>
      <c r="H39" s="302">
        <f>IFERROR(E39/D39,0)</f>
        <v>0</v>
      </c>
      <c r="J39" s="957"/>
      <c r="K39" s="303" t="s">
        <v>1825</v>
      </c>
      <c r="L39" s="319">
        <f>SUMIF(PVA!D$135:D$139,'Prod Summary'!K39,PVA!E$135:E$139)</f>
        <v>0</v>
      </c>
      <c r="M39" s="319">
        <f>SUMIF(PVA!D$135:D$139,'Prod Summary'!K39,PVA!G$135:G$139)</f>
        <v>66023</v>
      </c>
      <c r="N39" s="319">
        <f>SUMIF(PVA!D$135:D$139,'Prod Summary'!K39,PVA!H$135:H$139)</f>
        <v>29</v>
      </c>
      <c r="O39" s="301">
        <f>IFERROR(N39/(M39+N39),0)</f>
        <v>4.3904802276993886E-4</v>
      </c>
      <c r="P39" s="302">
        <f>IFERROR(M39/L39,0)</f>
        <v>0</v>
      </c>
    </row>
    <row r="40" spans="2:19" ht="15" hidden="1" thickBot="1">
      <c r="B40" s="957"/>
      <c r="C40" s="709" t="s">
        <v>2093</v>
      </c>
      <c r="D40" s="319">
        <f>SUMIF(PVA!D$128:D$132,'Prod Summary'!C40,PVA!E$128:E$132)</f>
        <v>24000</v>
      </c>
      <c r="E40" s="319">
        <f>SUMIF(PVA!D$128:D$132,'Prod Summary'!C40,PVA!G$128:G$132)</f>
        <v>128634</v>
      </c>
      <c r="F40" s="319">
        <f>SUMIF(PVA!D$128:D$132,'Prod Summary'!C40,PVA!H$128:H$132)</f>
        <v>1205</v>
      </c>
      <c r="G40" s="301">
        <f>IFERROR(F40/(E40+F40),0)</f>
        <v>9.2807245896841476E-3</v>
      </c>
      <c r="H40" s="302">
        <f>IFERROR(E40/D40,0)</f>
        <v>5.35975</v>
      </c>
      <c r="J40" s="957"/>
      <c r="K40" s="709" t="s">
        <v>2093</v>
      </c>
      <c r="L40" s="319">
        <f>SUMIF(PVA!D$135:D$139,'Prod Summary'!K40,PVA!E$135:E$139)</f>
        <v>32342</v>
      </c>
      <c r="M40" s="319">
        <f>SUMIF(PVA!D$135:D$139,'Prod Summary'!K40,PVA!G$135:G$139)</f>
        <v>97992</v>
      </c>
      <c r="N40" s="319">
        <f>SUMIF(PVA!D$135:D$139,'Prod Summary'!K40,PVA!H$135:H$139)</f>
        <v>86</v>
      </c>
      <c r="O40" s="301">
        <f>IFERROR(N40/(M40+N40),0)</f>
        <v>8.768531169069516E-4</v>
      </c>
      <c r="P40" s="302">
        <f>IFERROR(M40/L40,0)</f>
        <v>3.0298682827283407</v>
      </c>
    </row>
    <row r="41" spans="2:19" ht="15" hidden="1" thickBot="1">
      <c r="B41" s="958"/>
      <c r="C41" s="295" t="s">
        <v>103</v>
      </c>
      <c r="D41" s="320">
        <f>SUM(D36:D40)</f>
        <v>279000</v>
      </c>
      <c r="E41" s="320">
        <f>SUM(E36:E40)</f>
        <v>1055247</v>
      </c>
      <c r="F41" s="320">
        <f>SUM(F36:F40)</f>
        <v>7041</v>
      </c>
      <c r="G41" s="306">
        <f>F41/(F41+E41)</f>
        <v>6.628146039492115E-3</v>
      </c>
      <c r="H41" s="308">
        <f>E41/D41</f>
        <v>3.7822473118279571</v>
      </c>
      <c r="J41" s="958"/>
      <c r="K41" s="295" t="s">
        <v>103</v>
      </c>
      <c r="L41" s="694">
        <f>SUM(L36:L40)</f>
        <v>210223</v>
      </c>
      <c r="M41" s="694">
        <f>SUM(M36:M40)</f>
        <v>643816</v>
      </c>
      <c r="N41" s="694">
        <f>SUM(N36:N40)</f>
        <v>396</v>
      </c>
      <c r="O41" s="696">
        <f>N41/(N41+M41)</f>
        <v>6.14704476166231E-4</v>
      </c>
      <c r="P41" s="307">
        <f>M41/L41</f>
        <v>3.0625383521308325</v>
      </c>
    </row>
    <row r="42" spans="2:19" s="403" customFormat="1" ht="15" hidden="1" thickBot="1">
      <c r="D42" s="404"/>
      <c r="E42" s="405">
        <f>E41-PVA!G133</f>
        <v>0</v>
      </c>
      <c r="F42" s="405"/>
      <c r="G42" s="406"/>
      <c r="H42" s="407"/>
      <c r="M42" s="403">
        <f>M41-PVA!G140</f>
        <v>0</v>
      </c>
      <c r="P42" s="408"/>
    </row>
    <row r="43" spans="2:19" s="403" customFormat="1" hidden="1">
      <c r="B43" s="965" t="s">
        <v>2052</v>
      </c>
      <c r="C43" s="604" t="s">
        <v>1827</v>
      </c>
      <c r="D43" s="605" t="s">
        <v>363</v>
      </c>
      <c r="E43" s="605" t="s">
        <v>364</v>
      </c>
      <c r="F43" s="605" t="s">
        <v>1828</v>
      </c>
      <c r="G43" s="606" t="s">
        <v>1829</v>
      </c>
      <c r="H43" s="607" t="s">
        <v>1830</v>
      </c>
      <c r="P43" s="408"/>
    </row>
    <row r="44" spans="2:19" ht="15" hidden="1" thickBot="1">
      <c r="B44" s="966"/>
      <c r="C44" s="614" t="s">
        <v>2052</v>
      </c>
      <c r="D44" s="608">
        <f>PVA!E3</f>
        <v>102888</v>
      </c>
      <c r="E44" s="608">
        <f>PVA!G3</f>
        <v>563933</v>
      </c>
      <c r="F44" s="608">
        <f>PVA!H3</f>
        <v>1471</v>
      </c>
      <c r="G44" s="615">
        <f>IFERROR(F44/(E44+F44),0)</f>
        <v>2.6016795070427519E-3</v>
      </c>
      <c r="H44" s="616">
        <f>IFERROR(E44/D44,0)</f>
        <v>5.4810376331544983</v>
      </c>
    </row>
    <row r="45" spans="2:19" ht="15" thickBot="1">
      <c r="C45" s="409" t="s">
        <v>1922</v>
      </c>
      <c r="D45" s="410" t="s">
        <v>1920</v>
      </c>
      <c r="E45" s="410" t="s">
        <v>1919</v>
      </c>
      <c r="F45" s="410" t="s">
        <v>1921</v>
      </c>
      <c r="G45" s="313"/>
    </row>
    <row r="46" spans="2:19" ht="19.5" customHeight="1" thickBot="1">
      <c r="C46" s="409" t="s">
        <v>161</v>
      </c>
      <c r="D46" s="408">
        <f>SUMIF('Data Sheet Aug-2021'!D:D,'Prod Summary'!C46,'Data Sheet Aug-2021'!O:O)</f>
        <v>554822</v>
      </c>
      <c r="E46" s="408">
        <f>PVA!G31</f>
        <v>554822</v>
      </c>
      <c r="F46" s="408">
        <f>D46-E46</f>
        <v>0</v>
      </c>
      <c r="J46" s="680" t="s">
        <v>5</v>
      </c>
      <c r="K46" s="685" t="str">
        <f>D35</f>
        <v>PLAN</v>
      </c>
      <c r="L46" s="685" t="str">
        <f>E35</f>
        <v>ACTUAL</v>
      </c>
      <c r="M46" s="635" t="s">
        <v>1838</v>
      </c>
      <c r="N46" s="635" t="str">
        <f>F35</f>
        <v>REJ</v>
      </c>
      <c r="O46" s="635" t="str">
        <f>G35</f>
        <v>REJ %</v>
      </c>
      <c r="P46" s="635" t="s">
        <v>2046</v>
      </c>
      <c r="Q46" s="635" t="s">
        <v>2047</v>
      </c>
      <c r="R46" s="679" t="s">
        <v>1839</v>
      </c>
    </row>
    <row r="47" spans="2:19">
      <c r="C47" s="409" t="s">
        <v>155</v>
      </c>
      <c r="D47" s="408">
        <f>SUMIF('Data Sheet Aug-2021'!D:D,'Prod Summary'!C47,'Data Sheet Aug-2021'!O:O)</f>
        <v>1182508</v>
      </c>
      <c r="E47" s="408">
        <f>PVA!G105</f>
        <v>1182508</v>
      </c>
      <c r="F47" s="408">
        <f t="shared" ref="F47:F54" si="5">D47-E47</f>
        <v>0</v>
      </c>
      <c r="H47" s="317"/>
      <c r="J47" s="681" t="s">
        <v>1826</v>
      </c>
      <c r="K47" s="686">
        <f>D16</f>
        <v>134206</v>
      </c>
      <c r="L47" s="687">
        <f>PVA!G31</f>
        <v>554822</v>
      </c>
      <c r="M47" s="632">
        <f>IFERROR((L47)/K47,0)</f>
        <v>4.1341072679313893</v>
      </c>
      <c r="N47" s="631">
        <f>PVA!H31</f>
        <v>11239</v>
      </c>
      <c r="O47" s="712">
        <f>N47/(L47+N47)</f>
        <v>1.9854750636415511E-2</v>
      </c>
      <c r="P47" s="631">
        <f>PVA!K31</f>
        <v>10137</v>
      </c>
      <c r="Q47" s="633">
        <f>P47/L47</f>
        <v>1.8270724664847464E-2</v>
      </c>
      <c r="R47" s="634"/>
      <c r="S47" s="656"/>
    </row>
    <row r="48" spans="2:19">
      <c r="C48" s="409" t="s">
        <v>144</v>
      </c>
      <c r="D48" s="408">
        <f>SUMIF('Data Sheet Aug-2021'!D:D,'Prod Summary'!C48,'Data Sheet Aug-2021'!O:O)</f>
        <v>321990</v>
      </c>
      <c r="E48" s="408">
        <f>PVA!G112</f>
        <v>321990</v>
      </c>
      <c r="F48" s="408">
        <f t="shared" si="5"/>
        <v>0</v>
      </c>
      <c r="J48" s="682" t="s">
        <v>1840</v>
      </c>
      <c r="K48" s="688">
        <f>L16</f>
        <v>89120</v>
      </c>
      <c r="L48" s="689">
        <f>PVA!G98</f>
        <v>504366</v>
      </c>
      <c r="M48" s="632">
        <f t="shared" ref="M48:M56" si="6">IFERROR((L48)/K48,0)</f>
        <v>5.6594030520646319</v>
      </c>
      <c r="N48" s="314">
        <f>PVA!H98</f>
        <v>4797</v>
      </c>
      <c r="O48" s="713">
        <f t="shared" ref="O48:O57" si="7">N48/(L48+N48)</f>
        <v>9.4213444417603001E-3</v>
      </c>
      <c r="P48" s="314">
        <f>PVA!K98</f>
        <v>0</v>
      </c>
      <c r="Q48" s="315">
        <f>P48/L48</f>
        <v>0</v>
      </c>
      <c r="R48" s="617"/>
      <c r="S48" s="656"/>
    </row>
    <row r="49" spans="3:21">
      <c r="C49" s="409" t="s">
        <v>156</v>
      </c>
      <c r="D49" s="408">
        <f>SUMIF('Data Sheet Aug-2021'!D:D,'Prod Summary'!C49,'Data Sheet Aug-2021'!O:O)</f>
        <v>1084646</v>
      </c>
      <c r="E49" s="408">
        <f>PVA!G119</f>
        <v>1084646</v>
      </c>
      <c r="F49" s="408">
        <f t="shared" si="5"/>
        <v>0</v>
      </c>
      <c r="J49" s="682" t="s">
        <v>1832</v>
      </c>
      <c r="K49" s="688">
        <f>D24</f>
        <v>290025</v>
      </c>
      <c r="L49" s="710">
        <f>PVA!G105</f>
        <v>1182508</v>
      </c>
      <c r="M49" s="632">
        <f t="shared" si="6"/>
        <v>4.0772623049737096</v>
      </c>
      <c r="N49" s="711">
        <f>PVA!H105</f>
        <v>16084</v>
      </c>
      <c r="O49" s="713">
        <f>N49/(L49+N49)</f>
        <v>1.3419078385305426E-2</v>
      </c>
      <c r="P49" s="314">
        <f>PVA!K105</f>
        <v>19563</v>
      </c>
      <c r="Q49" s="315">
        <f t="shared" ref="Q49:Q55" si="8">P49/L49</f>
        <v>1.6543651290308395E-2</v>
      </c>
      <c r="R49" s="617"/>
      <c r="S49" s="656"/>
    </row>
    <row r="50" spans="3:21">
      <c r="C50" s="409" t="s">
        <v>1805</v>
      </c>
      <c r="D50" s="408">
        <f>SUMIF('Data Sheet Aug-2021'!D:D,'Prod Summary'!C50,'Data Sheet Aug-2021'!O:O)</f>
        <v>941103</v>
      </c>
      <c r="E50" s="410">
        <f>PVA!G126</f>
        <v>941103</v>
      </c>
      <c r="F50" s="408">
        <f t="shared" si="5"/>
        <v>0</v>
      </c>
      <c r="G50" s="309"/>
      <c r="H50" s="309"/>
      <c r="J50" s="682" t="s">
        <v>1833</v>
      </c>
      <c r="K50" s="688">
        <f>L24</f>
        <v>289495</v>
      </c>
      <c r="L50" s="710">
        <f>PVA!G112</f>
        <v>321990</v>
      </c>
      <c r="M50" s="632">
        <f t="shared" si="6"/>
        <v>1.1122471890706229</v>
      </c>
      <c r="N50" s="711">
        <f>PVA!H112</f>
        <v>0</v>
      </c>
      <c r="O50" s="713">
        <f t="shared" si="7"/>
        <v>0</v>
      </c>
      <c r="P50" s="314">
        <f>PVA!K112</f>
        <v>0</v>
      </c>
      <c r="Q50" s="315">
        <f t="shared" si="8"/>
        <v>0</v>
      </c>
      <c r="R50" s="617"/>
      <c r="S50" s="656"/>
    </row>
    <row r="51" spans="3:21">
      <c r="C51" s="409" t="s">
        <v>1603</v>
      </c>
      <c r="D51" s="408">
        <f>SUMIF('Data Sheet Aug-2021'!D:D,'Prod Summary'!C51,'Data Sheet Aug-2021'!O:O)</f>
        <v>1055247</v>
      </c>
      <c r="E51" s="410">
        <f>PVA!G133</f>
        <v>1055247</v>
      </c>
      <c r="F51" s="408">
        <f t="shared" si="5"/>
        <v>0</v>
      </c>
      <c r="G51" s="311"/>
      <c r="H51" s="316"/>
      <c r="J51" s="682" t="s">
        <v>1834</v>
      </c>
      <c r="K51" s="688">
        <f>D33</f>
        <v>286932</v>
      </c>
      <c r="L51" s="710">
        <f>PVA!G119</f>
        <v>1084646</v>
      </c>
      <c r="M51" s="632">
        <f t="shared" si="6"/>
        <v>3.7801500006970294</v>
      </c>
      <c r="N51" s="711">
        <f>PVA!H119</f>
        <v>214</v>
      </c>
      <c r="O51" s="713">
        <f t="shared" si="7"/>
        <v>1.9726047600612061E-4</v>
      </c>
      <c r="P51" s="314">
        <f>PVA!K119</f>
        <v>0</v>
      </c>
      <c r="Q51" s="315">
        <f t="shared" si="8"/>
        <v>0</v>
      </c>
      <c r="R51" s="617"/>
      <c r="S51" s="656"/>
    </row>
    <row r="52" spans="3:21">
      <c r="C52" s="409" t="s">
        <v>160</v>
      </c>
      <c r="D52" s="408">
        <f>SUMIF('Data Sheet Aug-2021'!D:D,'Prod Summary'!C52,'Data Sheet Aug-2021'!O:O)</f>
        <v>504366</v>
      </c>
      <c r="E52" s="410">
        <f>PVA!G98</f>
        <v>504366</v>
      </c>
      <c r="F52" s="408">
        <f t="shared" si="5"/>
        <v>0</v>
      </c>
      <c r="G52" s="311"/>
      <c r="H52" s="316"/>
      <c r="J52" s="682" t="s">
        <v>1835</v>
      </c>
      <c r="K52" s="688">
        <f>L33</f>
        <v>0</v>
      </c>
      <c r="L52" s="689">
        <f>PVA!G126</f>
        <v>941103</v>
      </c>
      <c r="M52" s="632">
        <f t="shared" si="6"/>
        <v>0</v>
      </c>
      <c r="N52" s="314">
        <f>PVA!H126</f>
        <v>31</v>
      </c>
      <c r="O52" s="713">
        <f t="shared" si="7"/>
        <v>3.2938986371760029E-5</v>
      </c>
      <c r="P52" s="314">
        <f>PVA!K126</f>
        <v>0</v>
      </c>
      <c r="Q52" s="315">
        <f t="shared" si="8"/>
        <v>0</v>
      </c>
      <c r="R52" s="617"/>
      <c r="S52" s="656"/>
    </row>
    <row r="53" spans="3:21">
      <c r="C53" s="409" t="s">
        <v>157</v>
      </c>
      <c r="D53" s="408">
        <f>SUMIF('Data Sheet Aug-2021'!D:D,'Prod Summary'!C53,'Data Sheet Aug-2021'!O:O)</f>
        <v>0</v>
      </c>
      <c r="E53" s="410" t="e">
        <f>SUM(PVA!#REF!)</f>
        <v>#REF!</v>
      </c>
      <c r="F53" s="408" t="e">
        <f t="shared" si="5"/>
        <v>#REF!</v>
      </c>
      <c r="G53" s="311"/>
      <c r="H53" s="316"/>
      <c r="J53" s="682" t="s">
        <v>1836</v>
      </c>
      <c r="K53" s="688">
        <f>D41</f>
        <v>279000</v>
      </c>
      <c r="L53" s="689">
        <f>PVA!G133</f>
        <v>1055247</v>
      </c>
      <c r="M53" s="632">
        <f t="shared" si="6"/>
        <v>3.7822473118279571</v>
      </c>
      <c r="N53" s="314">
        <f>PVA!H133</f>
        <v>7041</v>
      </c>
      <c r="O53" s="713">
        <f t="shared" si="7"/>
        <v>6.628146039492115E-3</v>
      </c>
      <c r="P53" s="314">
        <f>PVA!K133</f>
        <v>0</v>
      </c>
      <c r="Q53" s="315">
        <f t="shared" si="8"/>
        <v>0</v>
      </c>
      <c r="R53" s="618"/>
      <c r="S53" s="656"/>
    </row>
    <row r="54" spans="3:21">
      <c r="C54" s="409" t="s">
        <v>158</v>
      </c>
      <c r="D54" s="408">
        <f>SUMIF('Data Sheet Aug-2021'!D:D,'Prod Summary'!C54,'Data Sheet Aug-2021'!O:O)</f>
        <v>643816</v>
      </c>
      <c r="E54" s="410">
        <f>SUM(PVA!G135:G138)</f>
        <v>545824</v>
      </c>
      <c r="F54" s="408">
        <f t="shared" si="5"/>
        <v>97992</v>
      </c>
      <c r="G54" s="311"/>
      <c r="H54" s="316"/>
      <c r="J54" s="682" t="s">
        <v>1837</v>
      </c>
      <c r="K54" s="688">
        <f>L41</f>
        <v>210223</v>
      </c>
      <c r="L54" s="689">
        <f>PVA!G140</f>
        <v>643816</v>
      </c>
      <c r="M54" s="632">
        <f t="shared" si="6"/>
        <v>3.0625383521308325</v>
      </c>
      <c r="N54" s="314">
        <f>PVA!H140</f>
        <v>396</v>
      </c>
      <c r="O54" s="713">
        <f t="shared" si="7"/>
        <v>6.14704476166231E-4</v>
      </c>
      <c r="P54" s="314">
        <f>PVA!K140</f>
        <v>0</v>
      </c>
      <c r="Q54" s="315">
        <f t="shared" si="8"/>
        <v>0</v>
      </c>
      <c r="R54" s="617"/>
      <c r="S54" s="656"/>
    </row>
    <row r="55" spans="3:21">
      <c r="C55" s="409"/>
      <c r="D55" s="408"/>
      <c r="E55" s="410"/>
      <c r="F55" s="408"/>
      <c r="G55" s="311"/>
      <c r="H55" s="316"/>
      <c r="J55" s="683" t="s">
        <v>1990</v>
      </c>
      <c r="K55" s="690">
        <f>D44</f>
        <v>102888</v>
      </c>
      <c r="L55" s="691">
        <f>E44</f>
        <v>563933</v>
      </c>
      <c r="M55" s="632">
        <f t="shared" si="6"/>
        <v>5.4810376331544983</v>
      </c>
      <c r="N55" s="623">
        <f>F44</f>
        <v>1471</v>
      </c>
      <c r="O55" s="714">
        <f t="shared" si="7"/>
        <v>2.6016795070427519E-3</v>
      </c>
      <c r="P55" s="625">
        <f>PVA!K3</f>
        <v>2068</v>
      </c>
      <c r="Q55" s="624">
        <f t="shared" si="8"/>
        <v>3.6671022976133691E-3</v>
      </c>
      <c r="R55" s="626"/>
      <c r="S55" s="656"/>
    </row>
    <row r="56" spans="3:21" ht="15" thickBot="1">
      <c r="C56" s="409"/>
      <c r="D56" s="408"/>
      <c r="E56" s="410"/>
      <c r="F56" s="408"/>
      <c r="G56" s="311"/>
      <c r="H56" s="316"/>
      <c r="J56" s="683" t="s">
        <v>2120</v>
      </c>
      <c r="K56" s="690">
        <f>PVA!E11</f>
        <v>117825</v>
      </c>
      <c r="L56" s="691">
        <f>PVA!G11</f>
        <v>488403</v>
      </c>
      <c r="M56" s="632">
        <f t="shared" si="6"/>
        <v>4.1451559516231695</v>
      </c>
      <c r="N56" s="623">
        <f>PVA!H11</f>
        <v>526</v>
      </c>
      <c r="O56" s="714">
        <f t="shared" si="7"/>
        <v>1.0758208247005189E-3</v>
      </c>
      <c r="P56" s="625">
        <f>PVA!K11</f>
        <v>160</v>
      </c>
      <c r="Q56" s="714">
        <f>P56/L56</f>
        <v>3.2759831532566344E-4</v>
      </c>
      <c r="R56" s="801"/>
      <c r="S56" s="656"/>
      <c r="T56" s="357"/>
      <c r="U56" s="657"/>
    </row>
    <row r="57" spans="3:21" ht="15" thickBot="1">
      <c r="D57" s="309"/>
      <c r="E57" s="310"/>
      <c r="F57" s="310"/>
      <c r="G57" s="311"/>
      <c r="H57" s="318"/>
      <c r="J57" s="684" t="s">
        <v>103</v>
      </c>
      <c r="K57" s="692">
        <f>SUM(K47:K55)</f>
        <v>1681889</v>
      </c>
      <c r="L57" s="693">
        <f>SUM(L47:L56)</f>
        <v>7340834</v>
      </c>
      <c r="M57" s="628">
        <f>(L57-N57)/K57</f>
        <v>4.3409713720703325</v>
      </c>
      <c r="N57" s="627">
        <f>SUM(N47:N54)</f>
        <v>39802</v>
      </c>
      <c r="O57" s="629">
        <f t="shared" si="7"/>
        <v>5.3927601903142226E-3</v>
      </c>
      <c r="P57" s="627">
        <f>SUM(P47:P55)</f>
        <v>31768</v>
      </c>
      <c r="Q57" s="629"/>
      <c r="R57" s="630"/>
    </row>
    <row r="58" spans="3:21">
      <c r="D58" s="309"/>
      <c r="E58" s="310"/>
      <c r="F58" s="310"/>
      <c r="G58" s="311"/>
      <c r="H58" s="318"/>
      <c r="Q58" s="294" t="s">
        <v>107</v>
      </c>
    </row>
    <row r="59" spans="3:21">
      <c r="D59" s="309"/>
      <c r="E59" s="310"/>
      <c r="F59" s="310"/>
      <c r="G59" s="311"/>
      <c r="H59" s="310"/>
    </row>
    <row r="60" spans="3:21">
      <c r="Q60" s="436" t="s">
        <v>107</v>
      </c>
    </row>
    <row r="81" spans="10:15" ht="15.65" customHeight="1">
      <c r="J81" s="312"/>
      <c r="K81" s="955"/>
      <c r="L81" s="955"/>
      <c r="M81" s="312"/>
      <c r="N81" s="526"/>
      <c r="O81" s="526"/>
    </row>
    <row r="82" spans="10:15">
      <c r="J82" s="312"/>
      <c r="K82" s="312"/>
      <c r="L82" s="312"/>
      <c r="M82" s="312"/>
      <c r="N82" s="312"/>
      <c r="O82" s="312"/>
    </row>
    <row r="83" spans="10:15" ht="15" customHeight="1">
      <c r="J83" s="312"/>
      <c r="K83" s="955"/>
      <c r="L83" s="955"/>
      <c r="M83" s="526"/>
      <c r="N83" s="526"/>
      <c r="O83" s="526"/>
    </row>
  </sheetData>
  <mergeCells count="12">
    <mergeCell ref="J1:R1"/>
    <mergeCell ref="K81:L81"/>
    <mergeCell ref="K83:L83"/>
    <mergeCell ref="B35:B41"/>
    <mergeCell ref="J35:J41"/>
    <mergeCell ref="B4:B16"/>
    <mergeCell ref="J4:J16"/>
    <mergeCell ref="B18:B24"/>
    <mergeCell ref="J18:J24"/>
    <mergeCell ref="B27:B33"/>
    <mergeCell ref="J27:J33"/>
    <mergeCell ref="B43:B44"/>
  </mergeCells>
  <pageMargins left="0.65" right="0.28000000000000003" top="0.25" bottom="0.2" header="0.3" footer="0.3"/>
  <pageSetup paperSize="8" scale="33" orientation="landscape"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filterMode="1">
    <pageSetUpPr fitToPage="1"/>
  </sheetPr>
  <dimension ref="A1:IV816"/>
  <sheetViews>
    <sheetView zoomScale="70" zoomScaleNormal="70" workbookViewId="0">
      <pane ySplit="1" topLeftCell="A2" activePane="bottomLeft" state="frozen"/>
      <selection activeCell="A4" sqref="A4:A22"/>
      <selection pane="bottomLeft" activeCell="A4" sqref="A4:A22"/>
    </sheetView>
  </sheetViews>
  <sheetFormatPr defaultColWidth="9" defaultRowHeight="14.5"/>
  <cols>
    <col min="1" max="1" width="17.54296875" style="38" customWidth="1"/>
    <col min="2" max="2" width="64.54296875" style="16" bestFit="1" customWidth="1"/>
    <col min="3" max="3" width="18.54296875" style="15" customWidth="1"/>
    <col min="4" max="4" width="12.54296875" style="13" bestFit="1" customWidth="1"/>
    <col min="5" max="5" width="10.54296875" style="13" customWidth="1"/>
    <col min="6" max="6" width="12.453125" style="13" customWidth="1"/>
    <col min="7" max="7" width="24.453125" style="16" customWidth="1"/>
    <col min="8" max="8" width="7.54296875" style="13" bestFit="1" customWidth="1"/>
    <col min="9" max="9" width="19.453125" style="13" customWidth="1"/>
    <col min="10" max="10" width="21.453125" style="15" bestFit="1" customWidth="1"/>
    <col min="11" max="11" width="9.453125" style="13" customWidth="1"/>
    <col min="12" max="12" width="10" style="13" bestFit="1" customWidth="1"/>
    <col min="13" max="13" width="14.453125" style="13" bestFit="1" customWidth="1"/>
    <col min="14" max="14" width="10" style="13" bestFit="1" customWidth="1"/>
    <col min="15" max="15" width="15.54296875" style="13" customWidth="1"/>
    <col min="16" max="16" width="12.453125" style="13" customWidth="1"/>
    <col min="17" max="17" width="11.54296875" style="13" customWidth="1"/>
    <col min="18" max="256" width="9.453125" style="13" customWidth="1"/>
  </cols>
  <sheetData>
    <row r="1" spans="1:256" s="5" customFormat="1">
      <c r="A1" s="38" t="s">
        <v>16</v>
      </c>
      <c r="B1" s="39" t="s">
        <v>17</v>
      </c>
      <c r="C1" s="38" t="s">
        <v>146</v>
      </c>
      <c r="D1" s="40" t="s">
        <v>147</v>
      </c>
      <c r="E1" s="40" t="s">
        <v>148</v>
      </c>
      <c r="F1" s="40" t="s">
        <v>151</v>
      </c>
      <c r="G1" s="791" t="s">
        <v>154</v>
      </c>
      <c r="H1" s="40" t="s">
        <v>172</v>
      </c>
      <c r="I1" s="40" t="s">
        <v>173</v>
      </c>
      <c r="J1" s="38" t="s">
        <v>1663</v>
      </c>
      <c r="K1" s="40" t="s">
        <v>1607</v>
      </c>
      <c r="L1" s="40" t="s">
        <v>1608</v>
      </c>
      <c r="M1" s="40" t="s">
        <v>1609</v>
      </c>
      <c r="N1" s="40" t="s">
        <v>1608</v>
      </c>
      <c r="O1" s="40" t="s">
        <v>1</v>
      </c>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1"/>
      <c r="BE1" s="41"/>
      <c r="BF1" s="41"/>
      <c r="BG1" s="41"/>
      <c r="BH1" s="41"/>
      <c r="BI1" s="41"/>
      <c r="BJ1" s="41"/>
      <c r="BK1" s="41"/>
      <c r="BL1" s="41"/>
      <c r="BM1" s="41"/>
      <c r="BN1" s="41"/>
      <c r="BO1" s="41"/>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1"/>
      <c r="DH1" s="41"/>
      <c r="DI1" s="41"/>
      <c r="DJ1" s="41"/>
      <c r="DK1" s="41"/>
      <c r="DL1" s="41"/>
      <c r="DM1" s="41"/>
      <c r="DN1" s="41"/>
      <c r="DO1" s="41"/>
      <c r="DP1" s="41"/>
      <c r="DQ1" s="41"/>
      <c r="DR1" s="41"/>
      <c r="DS1" s="41"/>
      <c r="DT1" s="41"/>
      <c r="DU1" s="41"/>
      <c r="DV1" s="41"/>
      <c r="DW1" s="41"/>
      <c r="DX1" s="41"/>
      <c r="DY1" s="41"/>
      <c r="DZ1" s="41"/>
      <c r="EA1" s="41"/>
      <c r="EB1" s="41"/>
      <c r="EC1" s="41"/>
      <c r="ED1" s="41"/>
      <c r="EE1" s="41"/>
      <c r="EF1" s="41"/>
      <c r="EG1" s="41"/>
      <c r="EH1" s="41"/>
      <c r="EI1" s="41"/>
      <c r="EJ1" s="41"/>
      <c r="EK1" s="41"/>
      <c r="EL1" s="41"/>
      <c r="EM1" s="41"/>
      <c r="EN1" s="41"/>
      <c r="EO1" s="41"/>
      <c r="EP1" s="41"/>
      <c r="EQ1" s="41"/>
      <c r="ER1" s="41"/>
      <c r="ES1" s="41"/>
      <c r="ET1" s="41"/>
      <c r="EU1" s="41"/>
      <c r="EV1" s="41"/>
      <c r="EW1" s="41"/>
      <c r="EX1" s="41"/>
      <c r="EY1" s="41"/>
      <c r="EZ1" s="41"/>
      <c r="FA1" s="41"/>
      <c r="FB1" s="41"/>
      <c r="FC1" s="41"/>
      <c r="FD1" s="41"/>
      <c r="FE1" s="41"/>
      <c r="FF1" s="41"/>
      <c r="FG1" s="41"/>
      <c r="FH1" s="41"/>
      <c r="FI1" s="41"/>
      <c r="FJ1" s="41"/>
      <c r="FK1" s="41"/>
      <c r="FL1" s="41"/>
      <c r="FM1" s="41"/>
      <c r="FN1" s="41"/>
      <c r="FO1" s="41"/>
      <c r="FP1" s="41"/>
      <c r="FQ1" s="41"/>
      <c r="FR1" s="41"/>
      <c r="FS1" s="41"/>
      <c r="FT1" s="41"/>
      <c r="FU1" s="41"/>
      <c r="FV1" s="41"/>
      <c r="FW1" s="41"/>
      <c r="FX1" s="41"/>
      <c r="FY1" s="41"/>
      <c r="FZ1" s="41"/>
      <c r="GA1" s="41"/>
      <c r="GB1" s="41"/>
      <c r="GC1" s="41"/>
      <c r="GD1" s="41"/>
      <c r="GE1" s="41"/>
      <c r="GF1" s="41"/>
      <c r="GG1" s="41"/>
      <c r="GH1" s="41"/>
      <c r="GI1" s="41"/>
      <c r="GJ1" s="41"/>
      <c r="GK1" s="41"/>
      <c r="GL1" s="41"/>
      <c r="GM1" s="41"/>
      <c r="GN1" s="41"/>
      <c r="GO1" s="41"/>
      <c r="GP1" s="41"/>
      <c r="GQ1" s="41"/>
      <c r="GR1" s="41"/>
      <c r="GS1" s="41"/>
      <c r="GT1" s="41"/>
      <c r="GU1" s="41"/>
      <c r="GV1" s="41"/>
      <c r="GW1" s="41"/>
      <c r="GX1" s="41"/>
      <c r="GY1" s="41"/>
      <c r="GZ1" s="41"/>
      <c r="HA1" s="41"/>
      <c r="HB1" s="41"/>
      <c r="HC1" s="41"/>
      <c r="HD1" s="41"/>
      <c r="HE1" s="41"/>
      <c r="HF1" s="41"/>
      <c r="HG1" s="41"/>
      <c r="HH1" s="41"/>
      <c r="HI1" s="41"/>
      <c r="HJ1" s="41"/>
      <c r="HK1" s="41"/>
      <c r="HL1" s="41"/>
      <c r="HM1" s="41"/>
      <c r="HN1" s="41"/>
      <c r="HO1" s="41"/>
      <c r="HP1" s="41"/>
      <c r="HQ1" s="41"/>
      <c r="HR1" s="41"/>
      <c r="HS1" s="41"/>
      <c r="HT1" s="41"/>
      <c r="HU1" s="41"/>
      <c r="HV1" s="41"/>
      <c r="HW1" s="41"/>
      <c r="HX1" s="41"/>
      <c r="HY1" s="41"/>
      <c r="HZ1" s="41"/>
      <c r="IA1" s="41"/>
      <c r="IB1" s="41"/>
      <c r="IC1" s="41"/>
      <c r="ID1" s="41"/>
      <c r="IE1" s="41"/>
      <c r="IF1" s="41"/>
      <c r="IG1" s="41"/>
      <c r="IH1" s="41"/>
      <c r="II1" s="41"/>
      <c r="IJ1" s="41"/>
      <c r="IK1" s="41"/>
      <c r="IL1" s="41"/>
      <c r="IM1" s="41"/>
      <c r="IN1" s="41"/>
      <c r="IO1" s="41"/>
      <c r="IP1" s="41"/>
      <c r="IQ1" s="41"/>
      <c r="IR1" s="41"/>
      <c r="IS1" s="41"/>
      <c r="IT1" s="41"/>
      <c r="IU1" s="41"/>
      <c r="IV1" s="41"/>
    </row>
    <row r="2" spans="1:256" hidden="1">
      <c r="A2" s="286" t="s">
        <v>446</v>
      </c>
      <c r="B2" s="287" t="s">
        <v>447</v>
      </c>
      <c r="C2" s="613" t="s">
        <v>448</v>
      </c>
      <c r="D2" s="288"/>
      <c r="E2" s="288"/>
      <c r="F2" s="288"/>
      <c r="G2" s="792"/>
      <c r="H2" s="288"/>
      <c r="I2" s="288"/>
      <c r="J2" s="613"/>
    </row>
    <row r="3" spans="1:256" hidden="1">
      <c r="A3" s="38" t="s">
        <v>449</v>
      </c>
      <c r="B3" s="37" t="s">
        <v>450</v>
      </c>
      <c r="C3" s="609" t="s">
        <v>448</v>
      </c>
      <c r="D3" s="14"/>
      <c r="E3" s="14"/>
      <c r="F3" s="14"/>
      <c r="G3" s="793"/>
      <c r="H3" s="14"/>
      <c r="I3" s="14"/>
      <c r="J3" s="609"/>
    </row>
    <row r="4" spans="1:256" hidden="1">
      <c r="A4" s="38" t="s">
        <v>451</v>
      </c>
      <c r="B4" s="37" t="s">
        <v>452</v>
      </c>
      <c r="C4" s="609" t="s">
        <v>448</v>
      </c>
      <c r="D4" s="14"/>
      <c r="E4" s="14"/>
      <c r="F4" s="14"/>
      <c r="G4" s="793"/>
      <c r="H4" s="14"/>
      <c r="I4" s="14"/>
      <c r="J4" s="609"/>
      <c r="K4" s="13" t="s">
        <v>81</v>
      </c>
      <c r="L4" s="13">
        <v>1</v>
      </c>
    </row>
    <row r="5" spans="1:256" hidden="1">
      <c r="A5" s="38" t="s">
        <v>18</v>
      </c>
      <c r="B5" s="37" t="s">
        <v>453</v>
      </c>
      <c r="C5" s="609" t="s">
        <v>448</v>
      </c>
      <c r="D5" s="14"/>
      <c r="E5" s="14"/>
      <c r="F5" s="14"/>
      <c r="G5" s="793"/>
      <c r="H5" s="14"/>
      <c r="I5" s="14"/>
      <c r="J5" s="609"/>
      <c r="K5" s="13" t="s">
        <v>81</v>
      </c>
      <c r="L5" s="13">
        <v>1</v>
      </c>
      <c r="M5" s="13">
        <v>0</v>
      </c>
      <c r="N5" s="13">
        <v>0</v>
      </c>
    </row>
    <row r="6" spans="1:256" hidden="1">
      <c r="A6" s="38" t="s">
        <v>454</v>
      </c>
      <c r="B6" s="37" t="s">
        <v>455</v>
      </c>
      <c r="C6" s="609" t="s">
        <v>448</v>
      </c>
      <c r="D6" s="14"/>
      <c r="E6" s="14"/>
      <c r="F6" s="14"/>
      <c r="G6" s="793"/>
      <c r="H6" s="14"/>
      <c r="I6" s="14"/>
      <c r="J6" s="609"/>
      <c r="K6" s="13" t="s">
        <v>81</v>
      </c>
      <c r="L6" s="13">
        <v>1</v>
      </c>
    </row>
    <row r="7" spans="1:256" hidden="1">
      <c r="A7" s="38" t="s">
        <v>19</v>
      </c>
      <c r="B7" s="37" t="s">
        <v>456</v>
      </c>
      <c r="C7" s="609" t="s">
        <v>448</v>
      </c>
      <c r="D7" s="14"/>
      <c r="E7" s="14"/>
      <c r="F7" s="14"/>
      <c r="G7" s="793"/>
      <c r="H7" s="14"/>
      <c r="I7" s="14"/>
      <c r="J7" s="609"/>
      <c r="K7" s="13" t="s">
        <v>81</v>
      </c>
      <c r="L7" s="13">
        <v>1</v>
      </c>
    </row>
    <row r="8" spans="1:256" hidden="1">
      <c r="A8" s="38" t="s">
        <v>457</v>
      </c>
      <c r="B8" s="37" t="s">
        <v>458</v>
      </c>
      <c r="C8" s="609" t="s">
        <v>448</v>
      </c>
      <c r="D8" s="14"/>
      <c r="E8" s="14"/>
      <c r="F8" s="14"/>
      <c r="G8" s="793"/>
      <c r="H8" s="14"/>
      <c r="I8" s="14"/>
      <c r="J8" s="609"/>
      <c r="K8" s="13" t="s">
        <v>80</v>
      </c>
      <c r="L8" s="13">
        <v>1</v>
      </c>
    </row>
    <row r="9" spans="1:256" hidden="1">
      <c r="A9" s="38" t="s">
        <v>20</v>
      </c>
      <c r="B9" s="37" t="s">
        <v>459</v>
      </c>
      <c r="C9" s="609" t="s">
        <v>448</v>
      </c>
      <c r="D9" s="14"/>
      <c r="E9" s="14"/>
      <c r="F9" s="14"/>
      <c r="G9" s="793"/>
      <c r="H9" s="14"/>
      <c r="I9" s="14"/>
      <c r="J9" s="609"/>
      <c r="K9" s="13" t="s">
        <v>80</v>
      </c>
      <c r="L9" s="13">
        <v>1</v>
      </c>
    </row>
    <row r="10" spans="1:256" hidden="1">
      <c r="A10" s="38" t="s">
        <v>460</v>
      </c>
      <c r="B10" s="37" t="s">
        <v>461</v>
      </c>
      <c r="C10" s="609" t="s">
        <v>448</v>
      </c>
      <c r="D10" s="14"/>
      <c r="E10" s="14"/>
      <c r="F10" s="14"/>
      <c r="G10" s="793"/>
      <c r="H10" s="14"/>
      <c r="I10" s="14"/>
      <c r="J10" s="609"/>
    </row>
    <row r="11" spans="1:256" hidden="1">
      <c r="A11" s="38" t="s">
        <v>462</v>
      </c>
      <c r="B11" s="37" t="s">
        <v>463</v>
      </c>
      <c r="C11" s="609" t="s">
        <v>448</v>
      </c>
      <c r="D11" s="14"/>
      <c r="E11" s="14"/>
      <c r="F11" s="14"/>
      <c r="G11" s="793"/>
      <c r="H11" s="14"/>
      <c r="I11" s="14"/>
      <c r="J11" s="609"/>
    </row>
    <row r="12" spans="1:256" hidden="1">
      <c r="A12" s="38" t="s">
        <v>464</v>
      </c>
      <c r="B12" s="37" t="s">
        <v>465</v>
      </c>
      <c r="C12" s="609" t="s">
        <v>448</v>
      </c>
      <c r="D12" s="14"/>
      <c r="E12" s="14"/>
      <c r="F12" s="14"/>
      <c r="G12" s="793"/>
      <c r="H12" s="14"/>
      <c r="I12" s="14"/>
      <c r="J12" s="609"/>
    </row>
    <row r="13" spans="1:256" hidden="1">
      <c r="A13" s="38" t="s">
        <v>466</v>
      </c>
      <c r="B13" s="37" t="s">
        <v>467</v>
      </c>
      <c r="C13" s="609" t="s">
        <v>448</v>
      </c>
      <c r="D13" s="14"/>
      <c r="E13" s="14"/>
      <c r="F13" s="14"/>
      <c r="G13" s="793"/>
      <c r="H13" s="14"/>
      <c r="I13" s="14"/>
      <c r="J13" s="609"/>
    </row>
    <row r="14" spans="1:256" hidden="1">
      <c r="A14" s="38" t="s">
        <v>468</v>
      </c>
      <c r="B14" s="37" t="s">
        <v>469</v>
      </c>
      <c r="C14" s="609" t="s">
        <v>448</v>
      </c>
      <c r="D14" s="14"/>
      <c r="E14" s="14"/>
      <c r="F14" s="14"/>
      <c r="G14" s="793"/>
      <c r="H14" s="14"/>
      <c r="I14" s="14"/>
      <c r="J14" s="609"/>
    </row>
    <row r="15" spans="1:256" hidden="1">
      <c r="A15" s="38" t="s">
        <v>470</v>
      </c>
      <c r="B15" s="37" t="s">
        <v>471</v>
      </c>
      <c r="C15" s="609" t="s">
        <v>448</v>
      </c>
      <c r="D15" s="14"/>
      <c r="E15" s="14"/>
      <c r="F15" s="14"/>
      <c r="G15" s="793"/>
      <c r="H15" s="14"/>
      <c r="I15" s="14"/>
      <c r="J15" s="609"/>
    </row>
    <row r="16" spans="1:256" hidden="1">
      <c r="A16" s="38" t="s">
        <v>472</v>
      </c>
      <c r="B16" s="37" t="s">
        <v>473</v>
      </c>
      <c r="C16" s="609" t="s">
        <v>448</v>
      </c>
      <c r="D16" s="14"/>
      <c r="E16" s="14"/>
      <c r="F16" s="14"/>
      <c r="G16" s="793"/>
      <c r="H16" s="14"/>
      <c r="I16" s="14"/>
      <c r="J16" s="609"/>
    </row>
    <row r="17" spans="1:10" hidden="1">
      <c r="A17" s="38" t="s">
        <v>474</v>
      </c>
      <c r="B17" s="37" t="s">
        <v>475</v>
      </c>
      <c r="C17" s="609" t="s">
        <v>448</v>
      </c>
      <c r="D17" s="14"/>
      <c r="E17" s="14"/>
      <c r="F17" s="14"/>
      <c r="G17" s="793"/>
      <c r="H17" s="14"/>
      <c r="I17" s="14"/>
      <c r="J17" s="609"/>
    </row>
    <row r="18" spans="1:10" hidden="1">
      <c r="A18" s="38" t="s">
        <v>476</v>
      </c>
      <c r="B18" s="37" t="s">
        <v>477</v>
      </c>
      <c r="C18" s="609" t="s">
        <v>448</v>
      </c>
      <c r="D18" s="14"/>
      <c r="E18" s="14"/>
      <c r="F18" s="14"/>
      <c r="G18" s="793"/>
      <c r="H18" s="14"/>
      <c r="I18" s="14"/>
      <c r="J18" s="609"/>
    </row>
    <row r="19" spans="1:10" hidden="1">
      <c r="A19" s="38" t="s">
        <v>238</v>
      </c>
      <c r="B19" s="37" t="s">
        <v>478</v>
      </c>
      <c r="C19" s="609" t="s">
        <v>448</v>
      </c>
      <c r="D19" s="14"/>
      <c r="E19" s="14"/>
      <c r="F19" s="14"/>
      <c r="G19" s="793"/>
      <c r="H19" s="14"/>
      <c r="I19" s="14"/>
      <c r="J19" s="609"/>
    </row>
    <row r="20" spans="1:10" hidden="1">
      <c r="A20" s="38" t="s">
        <v>240</v>
      </c>
      <c r="B20" s="37" t="s">
        <v>479</v>
      </c>
      <c r="C20" s="609" t="s">
        <v>448</v>
      </c>
      <c r="D20" s="14"/>
      <c r="E20" s="14"/>
      <c r="F20" s="14"/>
      <c r="G20" s="793"/>
      <c r="H20" s="14"/>
      <c r="I20" s="14"/>
      <c r="J20" s="609"/>
    </row>
    <row r="21" spans="1:10" hidden="1">
      <c r="A21" s="38" t="s">
        <v>239</v>
      </c>
      <c r="B21" s="37" t="s">
        <v>480</v>
      </c>
      <c r="C21" s="609" t="s">
        <v>448</v>
      </c>
      <c r="D21" s="14"/>
      <c r="E21" s="14"/>
      <c r="F21" s="14"/>
      <c r="G21" s="793"/>
      <c r="H21" s="14"/>
      <c r="I21" s="14"/>
      <c r="J21" s="609"/>
    </row>
    <row r="22" spans="1:10" hidden="1">
      <c r="A22" s="38" t="s">
        <v>241</v>
      </c>
      <c r="B22" s="37" t="s">
        <v>481</v>
      </c>
      <c r="C22" s="609" t="s">
        <v>448</v>
      </c>
      <c r="D22" s="14"/>
      <c r="E22" s="14"/>
      <c r="F22" s="14"/>
      <c r="G22" s="793"/>
      <c r="H22" s="14"/>
      <c r="I22" s="14"/>
      <c r="J22" s="609"/>
    </row>
    <row r="23" spans="1:10" hidden="1">
      <c r="A23" s="38" t="s">
        <v>482</v>
      </c>
      <c r="B23" s="37" t="s">
        <v>483</v>
      </c>
      <c r="C23" s="609" t="s">
        <v>484</v>
      </c>
      <c r="D23" s="14"/>
      <c r="E23" s="14"/>
      <c r="F23" s="14"/>
      <c r="G23" s="793"/>
      <c r="H23" s="14"/>
      <c r="I23" s="14"/>
      <c r="J23" s="609"/>
    </row>
    <row r="24" spans="1:10" hidden="1">
      <c r="A24" s="38" t="s">
        <v>485</v>
      </c>
      <c r="B24" s="37" t="s">
        <v>486</v>
      </c>
      <c r="C24" s="609" t="s">
        <v>484</v>
      </c>
      <c r="D24" s="14"/>
      <c r="E24" s="14"/>
      <c r="F24" s="14"/>
      <c r="G24" s="793"/>
      <c r="H24" s="14"/>
      <c r="I24" s="14"/>
      <c r="J24" s="609"/>
    </row>
    <row r="25" spans="1:10" hidden="1">
      <c r="A25" s="38" t="s">
        <v>487</v>
      </c>
      <c r="B25" s="37" t="s">
        <v>488</v>
      </c>
      <c r="C25" s="609" t="s">
        <v>484</v>
      </c>
      <c r="D25" s="14"/>
      <c r="E25" s="14"/>
      <c r="F25" s="14"/>
      <c r="G25" s="793"/>
      <c r="H25" s="14"/>
      <c r="I25" s="14"/>
      <c r="J25" s="609"/>
    </row>
    <row r="26" spans="1:10" hidden="1">
      <c r="A26" s="38" t="s">
        <v>489</v>
      </c>
      <c r="B26" s="37" t="s">
        <v>490</v>
      </c>
      <c r="C26" s="609" t="s">
        <v>484</v>
      </c>
      <c r="D26" s="14"/>
      <c r="E26" s="14"/>
      <c r="F26" s="14"/>
      <c r="G26" s="793"/>
      <c r="H26" s="14"/>
      <c r="I26" s="14"/>
      <c r="J26" s="609"/>
    </row>
    <row r="27" spans="1:10" hidden="1">
      <c r="A27" s="38" t="s">
        <v>491</v>
      </c>
      <c r="B27" s="37" t="s">
        <v>492</v>
      </c>
      <c r="C27" s="609" t="s">
        <v>448</v>
      </c>
      <c r="D27" s="14"/>
      <c r="E27" s="14"/>
      <c r="F27" s="14"/>
      <c r="G27" s="793"/>
      <c r="H27" s="14"/>
      <c r="I27" s="14"/>
      <c r="J27" s="609"/>
    </row>
    <row r="28" spans="1:10" hidden="1">
      <c r="A28" s="38" t="s">
        <v>493</v>
      </c>
      <c r="B28" s="37" t="s">
        <v>494</v>
      </c>
      <c r="C28" s="609" t="s">
        <v>448</v>
      </c>
      <c r="D28" s="14"/>
      <c r="E28" s="14"/>
      <c r="F28" s="14"/>
      <c r="G28" s="793"/>
      <c r="H28" s="14"/>
      <c r="I28" s="14"/>
      <c r="J28" s="609"/>
    </row>
    <row r="29" spans="1:10" hidden="1">
      <c r="A29" s="38" t="s">
        <v>495</v>
      </c>
      <c r="B29" s="37" t="s">
        <v>496</v>
      </c>
      <c r="C29" s="609" t="s">
        <v>448</v>
      </c>
      <c r="D29" s="14"/>
      <c r="E29" s="14"/>
      <c r="F29" s="14"/>
      <c r="G29" s="793"/>
      <c r="H29" s="14"/>
      <c r="I29" s="14"/>
      <c r="J29" s="609"/>
    </row>
    <row r="30" spans="1:10" hidden="1">
      <c r="A30" s="38" t="s">
        <v>497</v>
      </c>
      <c r="B30" s="37" t="s">
        <v>498</v>
      </c>
      <c r="C30" s="609" t="s">
        <v>448</v>
      </c>
      <c r="D30" s="14"/>
      <c r="E30" s="14"/>
      <c r="F30" s="14"/>
      <c r="G30" s="793"/>
      <c r="H30" s="14"/>
      <c r="I30" s="14"/>
      <c r="J30" s="609"/>
    </row>
    <row r="31" spans="1:10" hidden="1">
      <c r="A31" s="38" t="s">
        <v>499</v>
      </c>
      <c r="B31" s="37" t="s">
        <v>500</v>
      </c>
      <c r="C31" s="609" t="s">
        <v>448</v>
      </c>
      <c r="D31" s="14"/>
      <c r="E31" s="14"/>
      <c r="F31" s="14"/>
      <c r="G31" s="793"/>
      <c r="H31" s="14"/>
      <c r="I31" s="14"/>
      <c r="J31" s="609"/>
    </row>
    <row r="32" spans="1:10" hidden="1">
      <c r="A32" s="38" t="s">
        <v>501</v>
      </c>
      <c r="B32" s="37" t="s">
        <v>502</v>
      </c>
      <c r="C32" s="609" t="s">
        <v>448</v>
      </c>
      <c r="D32" s="14"/>
      <c r="E32" s="14"/>
      <c r="F32" s="14"/>
      <c r="G32" s="793"/>
      <c r="H32" s="14"/>
      <c r="I32" s="14"/>
      <c r="J32" s="609"/>
    </row>
    <row r="33" spans="1:10" hidden="1">
      <c r="A33" s="38" t="s">
        <v>503</v>
      </c>
      <c r="B33" s="37" t="s">
        <v>504</v>
      </c>
      <c r="C33" s="609" t="s">
        <v>448</v>
      </c>
      <c r="D33" s="14"/>
      <c r="E33" s="14"/>
      <c r="F33" s="14"/>
      <c r="G33" s="793"/>
      <c r="H33" s="14"/>
      <c r="I33" s="14"/>
      <c r="J33" s="609"/>
    </row>
    <row r="34" spans="1:10" hidden="1">
      <c r="A34" s="38" t="s">
        <v>505</v>
      </c>
      <c r="B34" s="37" t="s">
        <v>506</v>
      </c>
      <c r="C34" s="609" t="s">
        <v>448</v>
      </c>
      <c r="D34" s="14"/>
      <c r="E34" s="14"/>
      <c r="F34" s="14"/>
      <c r="G34" s="793"/>
      <c r="H34" s="14"/>
      <c r="I34" s="14"/>
      <c r="J34" s="609"/>
    </row>
    <row r="35" spans="1:10" hidden="1">
      <c r="A35" s="38" t="s">
        <v>507</v>
      </c>
      <c r="B35" s="37" t="s">
        <v>508</v>
      </c>
      <c r="C35" s="609" t="s">
        <v>448</v>
      </c>
      <c r="D35" s="14"/>
      <c r="E35" s="14"/>
      <c r="F35" s="14"/>
      <c r="G35" s="793"/>
      <c r="H35" s="14"/>
      <c r="I35" s="14"/>
      <c r="J35" s="609"/>
    </row>
    <row r="36" spans="1:10" hidden="1">
      <c r="A36" s="38" t="s">
        <v>509</v>
      </c>
      <c r="B36" s="37" t="s">
        <v>510</v>
      </c>
      <c r="C36" s="609" t="s">
        <v>448</v>
      </c>
      <c r="D36" s="14"/>
      <c r="E36" s="14"/>
      <c r="F36" s="14"/>
      <c r="G36" s="793"/>
      <c r="H36" s="14"/>
      <c r="I36" s="14"/>
      <c r="J36" s="609"/>
    </row>
    <row r="37" spans="1:10" hidden="1">
      <c r="A37" s="38" t="s">
        <v>511</v>
      </c>
      <c r="B37" s="37" t="s">
        <v>512</v>
      </c>
      <c r="C37" s="609" t="s">
        <v>448</v>
      </c>
      <c r="D37" s="14"/>
      <c r="E37" s="14"/>
      <c r="F37" s="14"/>
      <c r="G37" s="793"/>
      <c r="H37" s="14"/>
      <c r="I37" s="14"/>
      <c r="J37" s="609"/>
    </row>
    <row r="38" spans="1:10" hidden="1">
      <c r="A38" s="38" t="s">
        <v>513</v>
      </c>
      <c r="B38" s="37" t="s">
        <v>514</v>
      </c>
      <c r="C38" s="609" t="s">
        <v>448</v>
      </c>
      <c r="D38" s="14"/>
      <c r="E38" s="14"/>
      <c r="F38" s="14"/>
      <c r="G38" s="793"/>
      <c r="H38" s="14"/>
      <c r="I38" s="14"/>
      <c r="J38" s="609"/>
    </row>
    <row r="39" spans="1:10">
      <c r="A39" s="38" t="s">
        <v>515</v>
      </c>
      <c r="B39" s="37" t="s">
        <v>516</v>
      </c>
      <c r="C39" s="609" t="s">
        <v>135</v>
      </c>
      <c r="D39" s="14"/>
      <c r="E39" s="14"/>
      <c r="F39" s="14"/>
      <c r="G39" s="793"/>
      <c r="H39" s="14"/>
      <c r="I39" s="14"/>
      <c r="J39" s="609"/>
    </row>
    <row r="40" spans="1:10">
      <c r="A40" s="38" t="s">
        <v>517</v>
      </c>
      <c r="B40" s="37" t="s">
        <v>518</v>
      </c>
      <c r="C40" s="609" t="s">
        <v>135</v>
      </c>
      <c r="D40" s="14"/>
      <c r="E40" s="14"/>
      <c r="F40" s="14"/>
      <c r="G40" s="793"/>
      <c r="H40" s="14"/>
      <c r="I40" s="14"/>
      <c r="J40" s="609"/>
    </row>
    <row r="41" spans="1:10">
      <c r="A41" s="38" t="s">
        <v>430</v>
      </c>
      <c r="B41" s="37" t="s">
        <v>519</v>
      </c>
      <c r="C41" s="609" t="s">
        <v>135</v>
      </c>
      <c r="D41" s="14"/>
      <c r="E41" s="14"/>
      <c r="F41" s="14"/>
      <c r="G41" s="793"/>
      <c r="H41" s="14"/>
      <c r="I41" s="14"/>
      <c r="J41" s="609"/>
    </row>
    <row r="42" spans="1:10">
      <c r="A42" s="38" t="s">
        <v>432</v>
      </c>
      <c r="B42" s="37" t="s">
        <v>520</v>
      </c>
      <c r="C42" s="609" t="s">
        <v>135</v>
      </c>
      <c r="D42" s="14"/>
      <c r="E42" s="14"/>
      <c r="F42" s="14"/>
      <c r="G42" s="793"/>
      <c r="H42" s="14"/>
      <c r="I42" s="14"/>
      <c r="J42" s="609"/>
    </row>
    <row r="43" spans="1:10">
      <c r="A43" s="38" t="s">
        <v>431</v>
      </c>
      <c r="B43" s="37" t="s">
        <v>521</v>
      </c>
      <c r="C43" s="609" t="s">
        <v>135</v>
      </c>
      <c r="D43" s="14"/>
      <c r="E43" s="14"/>
      <c r="F43" s="14"/>
      <c r="G43" s="793"/>
      <c r="H43" s="14"/>
      <c r="I43" s="14"/>
      <c r="J43" s="609"/>
    </row>
    <row r="44" spans="1:10">
      <c r="A44" s="38" t="s">
        <v>429</v>
      </c>
      <c r="B44" s="37" t="s">
        <v>522</v>
      </c>
      <c r="C44" s="609" t="s">
        <v>135</v>
      </c>
      <c r="D44" s="14"/>
      <c r="E44" s="14"/>
      <c r="F44" s="14"/>
      <c r="G44" s="793"/>
      <c r="H44" s="14"/>
      <c r="I44" s="14"/>
      <c r="J44" s="609"/>
    </row>
    <row r="45" spans="1:10">
      <c r="A45" s="38" t="s">
        <v>435</v>
      </c>
      <c r="B45" s="37" t="s">
        <v>523</v>
      </c>
      <c r="C45" s="609" t="s">
        <v>135</v>
      </c>
      <c r="D45" s="14"/>
      <c r="E45" s="14"/>
      <c r="F45" s="14"/>
      <c r="G45" s="793"/>
      <c r="H45" s="14"/>
      <c r="I45" s="14"/>
      <c r="J45" s="609"/>
    </row>
    <row r="46" spans="1:10">
      <c r="A46" s="38" t="s">
        <v>436</v>
      </c>
      <c r="B46" s="37" t="s">
        <v>524</v>
      </c>
      <c r="C46" s="609" t="s">
        <v>135</v>
      </c>
      <c r="D46" s="14"/>
      <c r="E46" s="14"/>
      <c r="F46" s="14"/>
      <c r="G46" s="793"/>
      <c r="H46" s="14"/>
      <c r="I46" s="14"/>
      <c r="J46" s="609"/>
    </row>
    <row r="47" spans="1:10">
      <c r="A47" s="38" t="s">
        <v>437</v>
      </c>
      <c r="B47" s="37" t="s">
        <v>525</v>
      </c>
      <c r="C47" s="609" t="s">
        <v>135</v>
      </c>
      <c r="D47" s="14"/>
      <c r="E47" s="14"/>
      <c r="F47" s="14"/>
      <c r="G47" s="793"/>
      <c r="H47" s="14"/>
      <c r="I47" s="14"/>
      <c r="J47" s="609"/>
    </row>
    <row r="48" spans="1:10">
      <c r="A48" s="38" t="s">
        <v>434</v>
      </c>
      <c r="B48" s="37" t="s">
        <v>526</v>
      </c>
      <c r="C48" s="609" t="s">
        <v>135</v>
      </c>
      <c r="D48" s="14"/>
      <c r="E48" s="14"/>
      <c r="F48" s="14"/>
      <c r="G48" s="793"/>
      <c r="H48" s="14"/>
      <c r="I48" s="14"/>
      <c r="J48" s="609"/>
    </row>
    <row r="49" spans="1:23">
      <c r="A49" s="38" t="s">
        <v>13</v>
      </c>
      <c r="B49" s="37" t="s">
        <v>314</v>
      </c>
      <c r="C49" s="609" t="s">
        <v>135</v>
      </c>
      <c r="D49" s="14"/>
      <c r="E49" s="14"/>
      <c r="F49" s="14"/>
      <c r="G49" s="793"/>
      <c r="H49" s="14"/>
      <c r="I49" s="14"/>
      <c r="J49" s="609"/>
    </row>
    <row r="50" spans="1:23">
      <c r="A50" s="38" t="s">
        <v>21</v>
      </c>
      <c r="B50" s="37" t="s">
        <v>315</v>
      </c>
      <c r="C50" s="609" t="s">
        <v>135</v>
      </c>
      <c r="D50" s="14"/>
      <c r="E50" s="14"/>
      <c r="F50" s="14"/>
      <c r="G50" s="793"/>
      <c r="H50" s="14"/>
      <c r="I50" s="14"/>
      <c r="J50" s="609"/>
    </row>
    <row r="51" spans="1:23">
      <c r="A51" s="38" t="s">
        <v>11</v>
      </c>
      <c r="B51" s="37" t="s">
        <v>316</v>
      </c>
      <c r="C51" s="609" t="s">
        <v>135</v>
      </c>
      <c r="D51" s="14"/>
      <c r="E51" s="14"/>
      <c r="F51" s="14"/>
      <c r="G51" s="793"/>
      <c r="H51" s="14"/>
      <c r="I51" s="14"/>
      <c r="J51" s="609"/>
      <c r="R51" s="15"/>
      <c r="S51" s="15"/>
      <c r="T51" s="15"/>
      <c r="U51" s="15"/>
      <c r="V51" s="15"/>
      <c r="W51" s="15"/>
    </row>
    <row r="52" spans="1:23">
      <c r="A52" s="38" t="s">
        <v>22</v>
      </c>
      <c r="B52" s="37" t="s">
        <v>317</v>
      </c>
      <c r="C52" s="609" t="s">
        <v>135</v>
      </c>
      <c r="D52" s="14"/>
      <c r="E52" s="14"/>
      <c r="F52" s="14"/>
      <c r="G52" s="793"/>
      <c r="H52" s="14"/>
      <c r="I52" s="14"/>
      <c r="J52" s="609"/>
    </row>
    <row r="53" spans="1:23">
      <c r="A53" s="38" t="s">
        <v>438</v>
      </c>
      <c r="B53" s="37" t="s">
        <v>527</v>
      </c>
      <c r="C53" s="609" t="s">
        <v>135</v>
      </c>
      <c r="D53" s="14"/>
      <c r="E53" s="14"/>
      <c r="F53" s="14"/>
      <c r="G53" s="793"/>
      <c r="H53" s="14"/>
      <c r="I53" s="14"/>
      <c r="J53" s="609"/>
    </row>
    <row r="54" spans="1:23">
      <c r="A54" s="38" t="s">
        <v>440</v>
      </c>
      <c r="B54" s="37" t="s">
        <v>528</v>
      </c>
      <c r="C54" s="609" t="s">
        <v>135</v>
      </c>
      <c r="D54" s="14"/>
      <c r="E54" s="14"/>
      <c r="F54" s="14"/>
      <c r="G54" s="793"/>
      <c r="H54" s="14"/>
      <c r="I54" s="14"/>
      <c r="J54" s="609"/>
    </row>
    <row r="55" spans="1:23">
      <c r="A55" s="38" t="s">
        <v>439</v>
      </c>
      <c r="B55" s="37" t="s">
        <v>529</v>
      </c>
      <c r="C55" s="609" t="s">
        <v>135</v>
      </c>
      <c r="D55" s="14"/>
      <c r="E55" s="14"/>
      <c r="F55" s="14"/>
      <c r="G55" s="793"/>
      <c r="H55" s="14"/>
      <c r="I55" s="14"/>
      <c r="J55" s="609"/>
    </row>
    <row r="56" spans="1:23">
      <c r="A56" s="38" t="s">
        <v>530</v>
      </c>
      <c r="B56" s="37" t="s">
        <v>531</v>
      </c>
      <c r="C56" s="609" t="s">
        <v>135</v>
      </c>
      <c r="D56" s="14"/>
      <c r="E56" s="14"/>
      <c r="F56" s="14"/>
      <c r="G56" s="793"/>
      <c r="H56" s="14"/>
      <c r="I56" s="14"/>
      <c r="J56" s="609"/>
    </row>
    <row r="57" spans="1:23">
      <c r="A57" s="38" t="s">
        <v>23</v>
      </c>
      <c r="B57" s="37" t="s">
        <v>532</v>
      </c>
      <c r="C57" s="609" t="s">
        <v>135</v>
      </c>
      <c r="D57" s="14"/>
      <c r="E57" s="14"/>
      <c r="F57" s="14"/>
      <c r="G57" s="793"/>
      <c r="H57" s="14"/>
      <c r="I57" s="14"/>
      <c r="J57" s="609"/>
    </row>
    <row r="58" spans="1:23">
      <c r="A58" s="38" t="s">
        <v>24</v>
      </c>
      <c r="B58" s="37" t="s">
        <v>533</v>
      </c>
      <c r="C58" s="609" t="s">
        <v>135</v>
      </c>
      <c r="D58" s="14"/>
      <c r="E58" s="14"/>
      <c r="F58" s="14"/>
      <c r="G58" s="793"/>
      <c r="H58" s="14"/>
      <c r="I58" s="14"/>
      <c r="J58" s="609"/>
    </row>
    <row r="59" spans="1:23">
      <c r="A59" s="38" t="s">
        <v>12</v>
      </c>
      <c r="B59" s="37" t="s">
        <v>534</v>
      </c>
      <c r="C59" s="609" t="s">
        <v>135</v>
      </c>
      <c r="D59" s="14"/>
      <c r="E59" s="14"/>
      <c r="F59" s="14"/>
      <c r="G59" s="793"/>
      <c r="H59" s="14"/>
      <c r="I59" s="14"/>
      <c r="J59" s="609"/>
    </row>
    <row r="60" spans="1:23">
      <c r="A60" s="38" t="s">
        <v>25</v>
      </c>
      <c r="B60" s="37" t="s">
        <v>535</v>
      </c>
      <c r="C60" s="609" t="s">
        <v>135</v>
      </c>
      <c r="D60" s="14"/>
      <c r="E60" s="14"/>
      <c r="F60" s="14"/>
      <c r="G60" s="793"/>
      <c r="H60" s="14"/>
      <c r="I60" s="14"/>
      <c r="J60" s="609"/>
    </row>
    <row r="61" spans="1:23">
      <c r="A61" s="38" t="s">
        <v>26</v>
      </c>
      <c r="B61" s="37" t="s">
        <v>536</v>
      </c>
      <c r="C61" s="609" t="s">
        <v>135</v>
      </c>
      <c r="D61" s="14"/>
      <c r="E61" s="14"/>
      <c r="F61" s="14"/>
      <c r="G61" s="793"/>
      <c r="H61" s="14"/>
      <c r="I61" s="14"/>
      <c r="J61" s="609"/>
    </row>
    <row r="62" spans="1:23">
      <c r="A62" s="38" t="s">
        <v>27</v>
      </c>
      <c r="B62" s="37" t="s">
        <v>537</v>
      </c>
      <c r="C62" s="609" t="s">
        <v>135</v>
      </c>
      <c r="D62" s="14"/>
      <c r="E62" s="14"/>
      <c r="F62" s="14"/>
      <c r="G62" s="793"/>
      <c r="H62" s="14"/>
      <c r="I62" s="14"/>
      <c r="J62" s="609"/>
    </row>
    <row r="63" spans="1:23">
      <c r="A63" s="38" t="s">
        <v>28</v>
      </c>
      <c r="B63" s="37" t="s">
        <v>538</v>
      </c>
      <c r="C63" s="609" t="s">
        <v>135</v>
      </c>
      <c r="D63" s="14"/>
      <c r="E63" s="14"/>
      <c r="F63" s="14"/>
      <c r="G63" s="793"/>
      <c r="H63" s="14"/>
      <c r="I63" s="14"/>
      <c r="J63" s="609"/>
    </row>
    <row r="64" spans="1:23">
      <c r="A64" s="38" t="s">
        <v>539</v>
      </c>
      <c r="B64" s="37" t="s">
        <v>540</v>
      </c>
      <c r="C64" s="609" t="s">
        <v>135</v>
      </c>
      <c r="D64" s="14"/>
      <c r="E64" s="14"/>
      <c r="F64" s="14"/>
      <c r="G64" s="793"/>
      <c r="H64" s="14"/>
      <c r="I64" s="14"/>
      <c r="J64" s="609"/>
    </row>
    <row r="65" spans="1:10" hidden="1">
      <c r="A65" s="38" t="s">
        <v>541</v>
      </c>
      <c r="B65" s="37" t="s">
        <v>542</v>
      </c>
      <c r="C65" s="609" t="s">
        <v>543</v>
      </c>
      <c r="D65" s="14"/>
      <c r="E65" s="14"/>
      <c r="F65" s="14"/>
      <c r="G65" s="793"/>
      <c r="H65" s="14"/>
      <c r="I65" s="14"/>
      <c r="J65" s="609"/>
    </row>
    <row r="66" spans="1:10" hidden="1">
      <c r="A66" s="38" t="s">
        <v>544</v>
      </c>
      <c r="B66" s="37" t="s">
        <v>545</v>
      </c>
      <c r="C66" s="609" t="s">
        <v>546</v>
      </c>
      <c r="D66" s="14"/>
      <c r="E66" s="14"/>
      <c r="F66" s="14"/>
      <c r="G66" s="793"/>
      <c r="H66" s="14"/>
      <c r="I66" s="14"/>
      <c r="J66" s="609"/>
    </row>
    <row r="67" spans="1:10" hidden="1">
      <c r="A67" s="38" t="s">
        <v>547</v>
      </c>
      <c r="B67" s="37" t="s">
        <v>548</v>
      </c>
      <c r="C67" s="609" t="s">
        <v>448</v>
      </c>
      <c r="D67" s="14"/>
      <c r="E67" s="14"/>
      <c r="F67" s="14"/>
      <c r="G67" s="793"/>
      <c r="H67" s="14"/>
      <c r="I67" s="14"/>
      <c r="J67" s="609"/>
    </row>
    <row r="68" spans="1:10" hidden="1">
      <c r="A68" s="38" t="s">
        <v>549</v>
      </c>
      <c r="B68" s="37" t="s">
        <v>550</v>
      </c>
      <c r="C68" s="609" t="s">
        <v>448</v>
      </c>
      <c r="D68" s="14"/>
      <c r="E68" s="14"/>
      <c r="F68" s="14"/>
      <c r="G68" s="793"/>
      <c r="H68" s="14"/>
      <c r="I68" s="14"/>
      <c r="J68" s="609"/>
    </row>
    <row r="69" spans="1:10" hidden="1">
      <c r="A69" s="38" t="s">
        <v>551</v>
      </c>
      <c r="B69" s="37" t="s">
        <v>552</v>
      </c>
      <c r="C69" s="609" t="s">
        <v>546</v>
      </c>
      <c r="D69" s="14"/>
      <c r="E69" s="14"/>
      <c r="F69" s="14"/>
      <c r="G69" s="793"/>
      <c r="H69" s="14"/>
      <c r="I69" s="14"/>
      <c r="J69" s="609"/>
    </row>
    <row r="70" spans="1:10" hidden="1">
      <c r="A70" s="38" t="s">
        <v>553</v>
      </c>
      <c r="B70" s="37" t="s">
        <v>554</v>
      </c>
      <c r="C70" s="609" t="s">
        <v>546</v>
      </c>
      <c r="D70" s="14"/>
      <c r="E70" s="14"/>
      <c r="F70" s="14"/>
      <c r="G70" s="793"/>
      <c r="H70" s="14"/>
      <c r="I70" s="14"/>
      <c r="J70" s="609"/>
    </row>
    <row r="71" spans="1:10" hidden="1">
      <c r="A71" s="38" t="s">
        <v>555</v>
      </c>
      <c r="B71" s="37" t="s">
        <v>556</v>
      </c>
      <c r="C71" s="609" t="s">
        <v>546</v>
      </c>
      <c r="D71" s="14"/>
      <c r="E71" s="14"/>
      <c r="F71" s="14"/>
      <c r="G71" s="793"/>
      <c r="H71" s="14"/>
      <c r="I71" s="14"/>
      <c r="J71" s="609"/>
    </row>
    <row r="72" spans="1:10" hidden="1">
      <c r="A72" s="38" t="s">
        <v>557</v>
      </c>
      <c r="B72" s="37" t="s">
        <v>558</v>
      </c>
      <c r="C72" s="609" t="s">
        <v>546</v>
      </c>
      <c r="D72" s="14"/>
      <c r="E72" s="14"/>
      <c r="F72" s="14"/>
      <c r="G72" s="793"/>
      <c r="H72" s="14"/>
      <c r="I72" s="14"/>
      <c r="J72" s="609"/>
    </row>
    <row r="73" spans="1:10" hidden="1">
      <c r="A73" s="38" t="s">
        <v>559</v>
      </c>
      <c r="B73" s="37" t="s">
        <v>560</v>
      </c>
      <c r="C73" s="609" t="s">
        <v>546</v>
      </c>
      <c r="D73" s="14"/>
      <c r="E73" s="14"/>
      <c r="F73" s="14"/>
      <c r="G73" s="793"/>
      <c r="H73" s="14"/>
      <c r="I73" s="14"/>
      <c r="J73" s="609"/>
    </row>
    <row r="74" spans="1:10" hidden="1">
      <c r="A74" s="38" t="s">
        <v>561</v>
      </c>
      <c r="B74" s="37" t="s">
        <v>562</v>
      </c>
      <c r="C74" s="609" t="s">
        <v>546</v>
      </c>
      <c r="D74" s="14"/>
      <c r="E74" s="14"/>
      <c r="F74" s="14"/>
      <c r="G74" s="793"/>
      <c r="H74" s="14"/>
      <c r="I74" s="14"/>
      <c r="J74" s="609"/>
    </row>
    <row r="75" spans="1:10" hidden="1">
      <c r="A75" s="38" t="s">
        <v>563</v>
      </c>
      <c r="B75" s="37" t="s">
        <v>564</v>
      </c>
      <c r="C75" s="609" t="s">
        <v>546</v>
      </c>
      <c r="D75" s="14"/>
      <c r="E75" s="14"/>
      <c r="F75" s="14"/>
      <c r="G75" s="793"/>
      <c r="H75" s="14"/>
      <c r="I75" s="14"/>
      <c r="J75" s="609"/>
    </row>
    <row r="76" spans="1:10" hidden="1">
      <c r="A76" s="38" t="s">
        <v>565</v>
      </c>
      <c r="B76" s="37" t="s">
        <v>566</v>
      </c>
      <c r="C76" s="609" t="s">
        <v>546</v>
      </c>
      <c r="D76" s="14"/>
      <c r="E76" s="14"/>
      <c r="F76" s="14"/>
      <c r="G76" s="793"/>
      <c r="H76" s="14"/>
      <c r="I76" s="14"/>
      <c r="J76" s="609"/>
    </row>
    <row r="77" spans="1:10" hidden="1">
      <c r="A77" s="38" t="s">
        <v>567</v>
      </c>
      <c r="B77" s="37" t="s">
        <v>568</v>
      </c>
      <c r="C77" s="609" t="s">
        <v>546</v>
      </c>
      <c r="D77" s="14"/>
      <c r="E77" s="14"/>
      <c r="F77" s="14"/>
      <c r="G77" s="793"/>
      <c r="H77" s="14"/>
      <c r="I77" s="14"/>
      <c r="J77" s="609"/>
    </row>
    <row r="78" spans="1:10" hidden="1">
      <c r="A78" s="38" t="s">
        <v>569</v>
      </c>
      <c r="B78" s="37" t="s">
        <v>570</v>
      </c>
      <c r="C78" s="609" t="s">
        <v>546</v>
      </c>
      <c r="D78" s="14"/>
      <c r="E78" s="14"/>
      <c r="F78" s="14"/>
      <c r="G78" s="793"/>
      <c r="H78" s="14"/>
      <c r="I78" s="14"/>
      <c r="J78" s="609"/>
    </row>
    <row r="79" spans="1:10" hidden="1">
      <c r="A79" s="38" t="s">
        <v>571</v>
      </c>
      <c r="B79" s="37" t="s">
        <v>572</v>
      </c>
      <c r="C79" s="609" t="s">
        <v>546</v>
      </c>
      <c r="D79" s="14"/>
      <c r="E79" s="14"/>
      <c r="F79" s="14"/>
      <c r="G79" s="793"/>
      <c r="H79" s="14"/>
      <c r="I79" s="14"/>
      <c r="J79" s="609"/>
    </row>
    <row r="80" spans="1:10" hidden="1">
      <c r="A80" s="38" t="s">
        <v>573</v>
      </c>
      <c r="B80" s="37" t="s">
        <v>574</v>
      </c>
      <c r="C80" s="609" t="s">
        <v>575</v>
      </c>
      <c r="D80" s="14"/>
      <c r="E80" s="14"/>
      <c r="F80" s="14"/>
      <c r="G80" s="793"/>
      <c r="H80" s="14"/>
      <c r="I80" s="14"/>
      <c r="J80" s="609"/>
    </row>
    <row r="81" spans="1:10" hidden="1">
      <c r="A81" s="38" t="s">
        <v>576</v>
      </c>
      <c r="B81" s="37" t="s">
        <v>577</v>
      </c>
      <c r="C81" s="609" t="s">
        <v>575</v>
      </c>
      <c r="D81" s="14"/>
      <c r="E81" s="14"/>
      <c r="F81" s="14"/>
      <c r="G81" s="793"/>
      <c r="H81" s="14"/>
      <c r="I81" s="14"/>
      <c r="J81" s="609"/>
    </row>
    <row r="82" spans="1:10" hidden="1">
      <c r="A82" s="38" t="s">
        <v>578</v>
      </c>
      <c r="B82" s="37" t="s">
        <v>579</v>
      </c>
      <c r="C82" s="609" t="s">
        <v>575</v>
      </c>
      <c r="D82" s="14"/>
      <c r="E82" s="14"/>
      <c r="F82" s="14"/>
      <c r="G82" s="793"/>
      <c r="H82" s="14"/>
      <c r="I82" s="14"/>
      <c r="J82" s="609"/>
    </row>
    <row r="83" spans="1:10" hidden="1">
      <c r="A83" s="38" t="s">
        <v>580</v>
      </c>
      <c r="B83" s="37" t="s">
        <v>581</v>
      </c>
      <c r="C83" s="609" t="s">
        <v>575</v>
      </c>
      <c r="D83" s="14"/>
      <c r="E83" s="14"/>
      <c r="F83" s="14"/>
      <c r="G83" s="793"/>
      <c r="H83" s="14"/>
      <c r="I83" s="14"/>
      <c r="J83" s="609"/>
    </row>
    <row r="84" spans="1:10" hidden="1">
      <c r="A84" s="38" t="s">
        <v>582</v>
      </c>
      <c r="B84" s="37" t="s">
        <v>583</v>
      </c>
      <c r="C84" s="609" t="s">
        <v>575</v>
      </c>
      <c r="D84" s="14"/>
      <c r="E84" s="14"/>
      <c r="F84" s="14"/>
      <c r="G84" s="793"/>
      <c r="H84" s="14"/>
      <c r="I84" s="14"/>
      <c r="J84" s="609"/>
    </row>
    <row r="85" spans="1:10" hidden="1">
      <c r="A85" s="38" t="s">
        <v>584</v>
      </c>
      <c r="B85" s="37" t="s">
        <v>585</v>
      </c>
      <c r="C85" s="609" t="s">
        <v>575</v>
      </c>
      <c r="D85" s="14"/>
      <c r="E85" s="14"/>
      <c r="F85" s="14"/>
      <c r="G85" s="793"/>
      <c r="H85" s="14"/>
      <c r="I85" s="14"/>
      <c r="J85" s="609"/>
    </row>
    <row r="86" spans="1:10" hidden="1">
      <c r="A86" s="38" t="s">
        <v>586</v>
      </c>
      <c r="B86" s="37" t="s">
        <v>587</v>
      </c>
      <c r="C86" s="609" t="s">
        <v>575</v>
      </c>
      <c r="D86" s="14"/>
      <c r="E86" s="14"/>
      <c r="F86" s="14"/>
      <c r="G86" s="793"/>
      <c r="H86" s="14"/>
      <c r="I86" s="14"/>
      <c r="J86" s="609"/>
    </row>
    <row r="87" spans="1:10" hidden="1">
      <c r="A87" s="38" t="s">
        <v>588</v>
      </c>
      <c r="B87" s="37" t="s">
        <v>589</v>
      </c>
      <c r="C87" s="609" t="s">
        <v>575</v>
      </c>
      <c r="D87" s="14"/>
      <c r="E87" s="14"/>
      <c r="F87" s="14"/>
      <c r="G87" s="793"/>
      <c r="H87" s="14"/>
      <c r="I87" s="14"/>
      <c r="J87" s="609"/>
    </row>
    <row r="88" spans="1:10" hidden="1">
      <c r="A88" s="38" t="s">
        <v>590</v>
      </c>
      <c r="B88" s="37" t="s">
        <v>591</v>
      </c>
      <c r="C88" s="609" t="s">
        <v>592</v>
      </c>
      <c r="D88" s="14"/>
      <c r="E88" s="14"/>
      <c r="F88" s="14"/>
      <c r="G88" s="793"/>
      <c r="H88" s="14"/>
      <c r="I88" s="14"/>
      <c r="J88" s="609"/>
    </row>
    <row r="89" spans="1:10" hidden="1">
      <c r="A89" s="38" t="s">
        <v>593</v>
      </c>
      <c r="B89" s="37" t="s">
        <v>594</v>
      </c>
      <c r="C89" s="609" t="s">
        <v>592</v>
      </c>
      <c r="D89" s="14"/>
      <c r="E89" s="14"/>
      <c r="F89" s="14"/>
      <c r="G89" s="793"/>
      <c r="H89" s="14"/>
      <c r="I89" s="14"/>
      <c r="J89" s="609"/>
    </row>
    <row r="90" spans="1:10" hidden="1">
      <c r="A90" s="38" t="s">
        <v>595</v>
      </c>
      <c r="B90" s="37" t="s">
        <v>596</v>
      </c>
      <c r="C90" s="609" t="s">
        <v>592</v>
      </c>
      <c r="D90" s="14"/>
      <c r="E90" s="14"/>
      <c r="F90" s="14"/>
      <c r="G90" s="793"/>
      <c r="H90" s="14"/>
      <c r="I90" s="14"/>
      <c r="J90" s="609"/>
    </row>
    <row r="91" spans="1:10" hidden="1">
      <c r="A91" s="38" t="s">
        <v>597</v>
      </c>
      <c r="B91" s="37" t="s">
        <v>598</v>
      </c>
      <c r="C91" s="609" t="s">
        <v>592</v>
      </c>
      <c r="D91" s="14"/>
      <c r="E91" s="14"/>
      <c r="F91" s="14"/>
      <c r="G91" s="793"/>
      <c r="H91" s="14"/>
      <c r="I91" s="14"/>
      <c r="J91" s="609"/>
    </row>
    <row r="92" spans="1:10" hidden="1">
      <c r="A92" s="38" t="s">
        <v>599</v>
      </c>
      <c r="B92" s="37" t="s">
        <v>600</v>
      </c>
      <c r="C92" s="609" t="s">
        <v>592</v>
      </c>
      <c r="D92" s="14"/>
      <c r="E92" s="14"/>
      <c r="F92" s="14"/>
      <c r="G92" s="793"/>
      <c r="H92" s="14"/>
      <c r="I92" s="14"/>
      <c r="J92" s="609"/>
    </row>
    <row r="93" spans="1:10" hidden="1">
      <c r="A93" s="38" t="s">
        <v>601</v>
      </c>
      <c r="B93" s="37" t="s">
        <v>602</v>
      </c>
      <c r="C93" s="609" t="s">
        <v>592</v>
      </c>
      <c r="D93" s="14"/>
      <c r="E93" s="14"/>
      <c r="F93" s="14"/>
      <c r="G93" s="793"/>
      <c r="H93" s="14"/>
      <c r="I93" s="14"/>
      <c r="J93" s="609"/>
    </row>
    <row r="94" spans="1:10" hidden="1">
      <c r="A94" s="38" t="s">
        <v>603</v>
      </c>
      <c r="B94" s="37" t="s">
        <v>604</v>
      </c>
      <c r="C94" s="609" t="s">
        <v>592</v>
      </c>
      <c r="D94" s="14"/>
      <c r="E94" s="14"/>
      <c r="F94" s="14"/>
      <c r="G94" s="793"/>
      <c r="H94" s="14"/>
      <c r="I94" s="14"/>
      <c r="J94" s="609"/>
    </row>
    <row r="95" spans="1:10" hidden="1">
      <c r="A95" s="38" t="s">
        <v>605</v>
      </c>
      <c r="B95" s="37" t="s">
        <v>606</v>
      </c>
      <c r="C95" s="609" t="s">
        <v>592</v>
      </c>
      <c r="D95" s="14"/>
      <c r="E95" s="14"/>
      <c r="F95" s="14"/>
      <c r="G95" s="793"/>
      <c r="H95" s="14"/>
      <c r="I95" s="14"/>
      <c r="J95" s="609"/>
    </row>
    <row r="96" spans="1:10" hidden="1">
      <c r="A96" s="38" t="s">
        <v>607</v>
      </c>
      <c r="B96" s="37" t="s">
        <v>608</v>
      </c>
      <c r="C96" s="609" t="s">
        <v>575</v>
      </c>
      <c r="D96" s="14"/>
      <c r="E96" s="14"/>
      <c r="F96" s="14"/>
      <c r="G96" s="793"/>
      <c r="H96" s="14"/>
      <c r="I96" s="14"/>
      <c r="J96" s="609"/>
    </row>
    <row r="97" spans="1:10" hidden="1">
      <c r="A97" s="38" t="s">
        <v>609</v>
      </c>
      <c r="B97" s="37" t="s">
        <v>610</v>
      </c>
      <c r="C97" s="609" t="s">
        <v>575</v>
      </c>
      <c r="D97" s="14"/>
      <c r="E97" s="14"/>
      <c r="F97" s="14"/>
      <c r="G97" s="793"/>
      <c r="H97" s="14"/>
      <c r="I97" s="14"/>
      <c r="J97" s="609"/>
    </row>
    <row r="98" spans="1:10" hidden="1">
      <c r="A98" s="38" t="s">
        <v>611</v>
      </c>
      <c r="B98" s="37" t="s">
        <v>612</v>
      </c>
      <c r="C98" s="609" t="s">
        <v>575</v>
      </c>
      <c r="D98" s="14"/>
      <c r="E98" s="14"/>
      <c r="F98" s="14"/>
      <c r="G98" s="793"/>
      <c r="H98" s="14"/>
      <c r="I98" s="14"/>
      <c r="J98" s="609"/>
    </row>
    <row r="99" spans="1:10" hidden="1">
      <c r="A99" s="38" t="s">
        <v>613</v>
      </c>
      <c r="B99" s="37" t="s">
        <v>614</v>
      </c>
      <c r="C99" s="609" t="s">
        <v>575</v>
      </c>
      <c r="D99" s="14"/>
      <c r="E99" s="14"/>
      <c r="F99" s="14"/>
      <c r="G99" s="793"/>
      <c r="H99" s="14"/>
      <c r="I99" s="14"/>
      <c r="J99" s="609"/>
    </row>
    <row r="100" spans="1:10" hidden="1">
      <c r="A100" s="38" t="s">
        <v>615</v>
      </c>
      <c r="B100" s="37" t="s">
        <v>616</v>
      </c>
      <c r="C100" s="609" t="s">
        <v>575</v>
      </c>
      <c r="D100" s="14"/>
      <c r="E100" s="14"/>
      <c r="F100" s="14"/>
      <c r="G100" s="793"/>
      <c r="H100" s="14"/>
      <c r="I100" s="14"/>
      <c r="J100" s="609"/>
    </row>
    <row r="101" spans="1:10" hidden="1">
      <c r="A101" s="38" t="s">
        <v>617</v>
      </c>
      <c r="B101" s="37" t="s">
        <v>618</v>
      </c>
      <c r="C101" s="609" t="s">
        <v>575</v>
      </c>
      <c r="D101" s="14"/>
      <c r="E101" s="14"/>
      <c r="F101" s="14"/>
      <c r="G101" s="793"/>
      <c r="H101" s="14"/>
      <c r="I101" s="14"/>
      <c r="J101" s="609"/>
    </row>
    <row r="102" spans="1:10" hidden="1">
      <c r="A102" s="38" t="s">
        <v>619</v>
      </c>
      <c r="B102" s="37" t="s">
        <v>620</v>
      </c>
      <c r="C102" s="609" t="s">
        <v>546</v>
      </c>
      <c r="D102" s="14"/>
      <c r="E102" s="14"/>
      <c r="F102" s="14"/>
      <c r="G102" s="793"/>
      <c r="H102" s="14"/>
      <c r="I102" s="14"/>
      <c r="J102" s="609"/>
    </row>
    <row r="103" spans="1:10" hidden="1">
      <c r="A103" s="38" t="s">
        <v>621</v>
      </c>
      <c r="B103" s="37" t="s">
        <v>622</v>
      </c>
      <c r="C103" s="609" t="s">
        <v>546</v>
      </c>
      <c r="D103" s="14"/>
      <c r="E103" s="14"/>
      <c r="F103" s="14"/>
      <c r="G103" s="793"/>
      <c r="H103" s="14"/>
      <c r="I103" s="14"/>
      <c r="J103" s="609"/>
    </row>
    <row r="104" spans="1:10" hidden="1">
      <c r="A104" s="38" t="s">
        <v>623</v>
      </c>
      <c r="B104" s="37" t="s">
        <v>624</v>
      </c>
      <c r="C104" s="609" t="s">
        <v>625</v>
      </c>
      <c r="D104" s="14"/>
      <c r="E104" s="14"/>
      <c r="F104" s="14"/>
      <c r="G104" s="793"/>
      <c r="H104" s="14"/>
      <c r="I104" s="14"/>
      <c r="J104" s="609"/>
    </row>
    <row r="105" spans="1:10" hidden="1">
      <c r="A105" s="38" t="s">
        <v>626</v>
      </c>
      <c r="B105" s="37" t="s">
        <v>627</v>
      </c>
      <c r="C105" s="609" t="s">
        <v>625</v>
      </c>
      <c r="D105" s="14"/>
      <c r="E105" s="14"/>
      <c r="F105" s="14"/>
      <c r="G105" s="793"/>
      <c r="H105" s="14"/>
      <c r="I105" s="14"/>
      <c r="J105" s="609"/>
    </row>
    <row r="106" spans="1:10" hidden="1">
      <c r="A106" s="38" t="s">
        <v>628</v>
      </c>
      <c r="B106" s="37" t="s">
        <v>629</v>
      </c>
      <c r="C106" s="609" t="s">
        <v>625</v>
      </c>
      <c r="D106" s="14"/>
      <c r="E106" s="14"/>
      <c r="F106" s="14"/>
      <c r="G106" s="793"/>
      <c r="H106" s="14"/>
      <c r="I106" s="14"/>
      <c r="J106" s="609"/>
    </row>
    <row r="107" spans="1:10" hidden="1">
      <c r="A107" s="38" t="s">
        <v>630</v>
      </c>
      <c r="B107" s="37" t="s">
        <v>631</v>
      </c>
      <c r="C107" s="609" t="s">
        <v>625</v>
      </c>
      <c r="D107" s="14"/>
      <c r="E107" s="14"/>
      <c r="F107" s="14"/>
      <c r="G107" s="793"/>
      <c r="H107" s="14"/>
      <c r="I107" s="14"/>
      <c r="J107" s="609"/>
    </row>
    <row r="108" spans="1:10" hidden="1">
      <c r="A108" s="38" t="s">
        <v>632</v>
      </c>
      <c r="B108" s="37" t="s">
        <v>633</v>
      </c>
      <c r="C108" s="609" t="s">
        <v>625</v>
      </c>
      <c r="D108" s="14"/>
      <c r="E108" s="14"/>
      <c r="F108" s="14"/>
      <c r="G108" s="793"/>
      <c r="H108" s="14"/>
      <c r="I108" s="14"/>
      <c r="J108" s="609"/>
    </row>
    <row r="109" spans="1:10" hidden="1">
      <c r="A109" s="38" t="s">
        <v>634</v>
      </c>
      <c r="B109" s="37" t="s">
        <v>635</v>
      </c>
      <c r="C109" s="609" t="s">
        <v>625</v>
      </c>
      <c r="D109" s="14"/>
      <c r="E109" s="14"/>
      <c r="F109" s="14"/>
      <c r="G109" s="793"/>
      <c r="H109" s="14"/>
      <c r="I109" s="14"/>
      <c r="J109" s="609"/>
    </row>
    <row r="110" spans="1:10" hidden="1">
      <c r="A110" s="38" t="s">
        <v>636</v>
      </c>
      <c r="B110" s="37" t="s">
        <v>637</v>
      </c>
      <c r="C110" s="609" t="s">
        <v>625</v>
      </c>
      <c r="D110" s="14"/>
      <c r="E110" s="14"/>
      <c r="F110" s="14"/>
      <c r="G110" s="793"/>
      <c r="H110" s="14"/>
      <c r="I110" s="14"/>
      <c r="J110" s="609"/>
    </row>
    <row r="111" spans="1:10" hidden="1">
      <c r="A111" s="38" t="s">
        <v>638</v>
      </c>
      <c r="B111" s="37" t="s">
        <v>639</v>
      </c>
      <c r="C111" s="609" t="s">
        <v>625</v>
      </c>
      <c r="D111" s="14"/>
      <c r="E111" s="14"/>
      <c r="F111" s="14"/>
      <c r="G111" s="793"/>
      <c r="H111" s="14"/>
      <c r="I111" s="14"/>
      <c r="J111" s="609"/>
    </row>
    <row r="112" spans="1:10" hidden="1">
      <c r="A112" s="38" t="s">
        <v>640</v>
      </c>
      <c r="B112" s="37" t="s">
        <v>641</v>
      </c>
      <c r="C112" s="609" t="s">
        <v>625</v>
      </c>
      <c r="D112" s="14"/>
      <c r="E112" s="14"/>
      <c r="F112" s="14"/>
      <c r="G112" s="793"/>
      <c r="H112" s="14"/>
      <c r="I112" s="14"/>
      <c r="J112" s="609"/>
    </row>
    <row r="113" spans="1:10" hidden="1">
      <c r="A113" s="38" t="s">
        <v>642</v>
      </c>
      <c r="B113" s="37" t="s">
        <v>643</v>
      </c>
      <c r="C113" s="609" t="s">
        <v>644</v>
      </c>
      <c r="D113" s="14"/>
      <c r="E113" s="14"/>
      <c r="F113" s="14"/>
      <c r="G113" s="793"/>
      <c r="H113" s="14"/>
      <c r="I113" s="14"/>
      <c r="J113" s="609"/>
    </row>
    <row r="114" spans="1:10" hidden="1">
      <c r="A114" s="38" t="s">
        <v>645</v>
      </c>
      <c r="B114" s="37" t="s">
        <v>646</v>
      </c>
      <c r="C114" s="609" t="s">
        <v>644</v>
      </c>
      <c r="D114" s="14"/>
      <c r="E114" s="14"/>
      <c r="F114" s="14"/>
      <c r="G114" s="793"/>
      <c r="H114" s="14"/>
      <c r="I114" s="14"/>
      <c r="J114" s="609"/>
    </row>
    <row r="115" spans="1:10" hidden="1">
      <c r="A115" s="38" t="s">
        <v>647</v>
      </c>
      <c r="B115" s="37" t="s">
        <v>648</v>
      </c>
      <c r="C115" s="609" t="s">
        <v>625</v>
      </c>
      <c r="D115" s="14"/>
      <c r="E115" s="14"/>
      <c r="F115" s="14"/>
      <c r="G115" s="793"/>
      <c r="H115" s="14"/>
      <c r="I115" s="14"/>
      <c r="J115" s="609"/>
    </row>
    <row r="116" spans="1:10" hidden="1">
      <c r="A116" s="38" t="s">
        <v>649</v>
      </c>
      <c r="B116" s="37" t="s">
        <v>650</v>
      </c>
      <c r="C116" s="609" t="s">
        <v>625</v>
      </c>
      <c r="D116" s="14"/>
      <c r="E116" s="14"/>
      <c r="F116" s="14"/>
      <c r="G116" s="793"/>
      <c r="H116" s="14"/>
      <c r="I116" s="14"/>
      <c r="J116" s="609"/>
    </row>
    <row r="117" spans="1:10" hidden="1">
      <c r="A117" s="38" t="s">
        <v>651</v>
      </c>
      <c r="B117" s="37" t="s">
        <v>652</v>
      </c>
      <c r="C117" s="609" t="s">
        <v>625</v>
      </c>
      <c r="D117" s="14"/>
      <c r="E117" s="14"/>
      <c r="F117" s="14"/>
      <c r="G117" s="793"/>
      <c r="H117" s="14"/>
      <c r="I117" s="14"/>
      <c r="J117" s="609"/>
    </row>
    <row r="118" spans="1:10" hidden="1">
      <c r="A118" s="38" t="s">
        <v>653</v>
      </c>
      <c r="B118" s="37" t="s">
        <v>654</v>
      </c>
      <c r="C118" s="609" t="s">
        <v>625</v>
      </c>
      <c r="D118" s="14"/>
      <c r="E118" s="14"/>
      <c r="F118" s="14"/>
      <c r="G118" s="793"/>
      <c r="H118" s="14"/>
      <c r="I118" s="14"/>
      <c r="J118" s="609"/>
    </row>
    <row r="119" spans="1:10" hidden="1">
      <c r="A119" s="38" t="s">
        <v>655</v>
      </c>
      <c r="B119" s="37" t="s">
        <v>656</v>
      </c>
      <c r="C119" s="609" t="s">
        <v>625</v>
      </c>
      <c r="D119" s="14"/>
      <c r="E119" s="14"/>
      <c r="F119" s="14"/>
      <c r="G119" s="793"/>
      <c r="H119" s="14"/>
      <c r="I119" s="14"/>
      <c r="J119" s="609"/>
    </row>
    <row r="120" spans="1:10" hidden="1">
      <c r="A120" s="38" t="s">
        <v>657</v>
      </c>
      <c r="B120" s="37" t="s">
        <v>658</v>
      </c>
      <c r="C120" s="609" t="s">
        <v>625</v>
      </c>
      <c r="D120" s="14"/>
      <c r="E120" s="14"/>
      <c r="F120" s="14"/>
      <c r="G120" s="793"/>
      <c r="H120" s="14"/>
      <c r="I120" s="14"/>
      <c r="J120" s="609"/>
    </row>
    <row r="121" spans="1:10" hidden="1">
      <c r="A121" s="38" t="s">
        <v>659</v>
      </c>
      <c r="B121" s="37" t="s">
        <v>660</v>
      </c>
      <c r="C121" s="609" t="s">
        <v>625</v>
      </c>
      <c r="D121" s="14"/>
      <c r="E121" s="14"/>
      <c r="F121" s="14"/>
      <c r="G121" s="793"/>
      <c r="H121" s="14"/>
      <c r="I121" s="14"/>
      <c r="J121" s="609"/>
    </row>
    <row r="122" spans="1:10" hidden="1">
      <c r="A122" s="38" t="s">
        <v>661</v>
      </c>
      <c r="B122" s="37" t="s">
        <v>662</v>
      </c>
      <c r="C122" s="609" t="s">
        <v>625</v>
      </c>
      <c r="D122" s="14"/>
      <c r="E122" s="14"/>
      <c r="F122" s="14"/>
      <c r="G122" s="793"/>
      <c r="H122" s="14"/>
      <c r="I122" s="14"/>
      <c r="J122" s="609"/>
    </row>
    <row r="123" spans="1:10" hidden="1">
      <c r="A123" s="38" t="s">
        <v>663</v>
      </c>
      <c r="B123" s="37" t="s">
        <v>664</v>
      </c>
      <c r="C123" s="609" t="s">
        <v>625</v>
      </c>
      <c r="D123" s="14"/>
      <c r="E123" s="14"/>
      <c r="F123" s="14"/>
      <c r="G123" s="793"/>
      <c r="H123" s="14"/>
      <c r="I123" s="14"/>
      <c r="J123" s="609"/>
    </row>
    <row r="124" spans="1:10" hidden="1">
      <c r="A124" s="38" t="s">
        <v>665</v>
      </c>
      <c r="B124" s="37" t="s">
        <v>666</v>
      </c>
      <c r="C124" s="609" t="s">
        <v>625</v>
      </c>
      <c r="D124" s="14"/>
      <c r="E124" s="14"/>
      <c r="F124" s="14"/>
      <c r="G124" s="793"/>
      <c r="H124" s="14"/>
      <c r="I124" s="14"/>
      <c r="J124" s="609"/>
    </row>
    <row r="125" spans="1:10" hidden="1">
      <c r="A125" s="38" t="s">
        <v>667</v>
      </c>
      <c r="B125" s="37" t="s">
        <v>668</v>
      </c>
      <c r="C125" s="609" t="s">
        <v>625</v>
      </c>
      <c r="D125" s="14"/>
      <c r="E125" s="14"/>
      <c r="F125" s="14"/>
      <c r="G125" s="793"/>
      <c r="H125" s="14"/>
      <c r="I125" s="14"/>
      <c r="J125" s="609"/>
    </row>
    <row r="126" spans="1:10" hidden="1">
      <c r="A126" s="38" t="s">
        <v>669</v>
      </c>
      <c r="B126" s="37" t="s">
        <v>670</v>
      </c>
      <c r="C126" s="609" t="s">
        <v>625</v>
      </c>
      <c r="D126" s="14"/>
      <c r="E126" s="14"/>
      <c r="F126" s="14"/>
      <c r="G126" s="793"/>
      <c r="H126" s="14"/>
      <c r="I126" s="14"/>
      <c r="J126" s="609"/>
    </row>
    <row r="127" spans="1:10" hidden="1">
      <c r="A127" s="38" t="s">
        <v>671</v>
      </c>
      <c r="B127" s="37" t="s">
        <v>672</v>
      </c>
      <c r="C127" s="609" t="s">
        <v>625</v>
      </c>
      <c r="D127" s="14"/>
      <c r="E127" s="14"/>
      <c r="F127" s="14"/>
      <c r="G127" s="793"/>
      <c r="H127" s="14"/>
      <c r="I127" s="14"/>
      <c r="J127" s="609"/>
    </row>
    <row r="128" spans="1:10" hidden="1">
      <c r="A128" s="38" t="s">
        <v>673</v>
      </c>
      <c r="B128" s="37" t="s">
        <v>674</v>
      </c>
      <c r="C128" s="609" t="s">
        <v>625</v>
      </c>
      <c r="D128" s="14"/>
      <c r="E128" s="14"/>
      <c r="F128" s="14"/>
      <c r="G128" s="793"/>
      <c r="H128" s="14"/>
      <c r="I128" s="14"/>
      <c r="J128" s="609"/>
    </row>
    <row r="129" spans="1:10" hidden="1">
      <c r="A129" s="38" t="s">
        <v>675</v>
      </c>
      <c r="B129" s="37" t="s">
        <v>676</v>
      </c>
      <c r="C129" s="609" t="s">
        <v>625</v>
      </c>
      <c r="D129" s="14"/>
      <c r="E129" s="14"/>
      <c r="F129" s="14"/>
      <c r="G129" s="793"/>
      <c r="H129" s="14"/>
      <c r="I129" s="14"/>
      <c r="J129" s="609"/>
    </row>
    <row r="130" spans="1:10" hidden="1">
      <c r="A130" s="38" t="s">
        <v>677</v>
      </c>
      <c r="B130" s="37" t="s">
        <v>678</v>
      </c>
      <c r="C130" s="609" t="s">
        <v>625</v>
      </c>
      <c r="D130" s="14"/>
      <c r="E130" s="14"/>
      <c r="F130" s="14"/>
      <c r="G130" s="793"/>
      <c r="H130" s="14"/>
      <c r="I130" s="14"/>
      <c r="J130" s="609"/>
    </row>
    <row r="131" spans="1:10" hidden="1">
      <c r="A131" s="38" t="s">
        <v>679</v>
      </c>
      <c r="B131" s="37" t="s">
        <v>680</v>
      </c>
      <c r="C131" s="609" t="s">
        <v>625</v>
      </c>
      <c r="D131" s="14"/>
      <c r="E131" s="14"/>
      <c r="F131" s="14"/>
      <c r="G131" s="793"/>
      <c r="H131" s="14"/>
      <c r="I131" s="14"/>
      <c r="J131" s="609"/>
    </row>
    <row r="132" spans="1:10" hidden="1">
      <c r="A132" s="38" t="s">
        <v>681</v>
      </c>
      <c r="B132" s="37" t="s">
        <v>682</v>
      </c>
      <c r="C132" s="609" t="s">
        <v>625</v>
      </c>
      <c r="D132" s="14"/>
      <c r="E132" s="14"/>
      <c r="F132" s="14"/>
      <c r="G132" s="793"/>
      <c r="H132" s="14"/>
      <c r="I132" s="14"/>
      <c r="J132" s="609"/>
    </row>
    <row r="133" spans="1:10" hidden="1">
      <c r="A133" s="38" t="s">
        <v>683</v>
      </c>
      <c r="B133" s="37" t="s">
        <v>684</v>
      </c>
      <c r="C133" s="609" t="s">
        <v>625</v>
      </c>
      <c r="D133" s="14"/>
      <c r="E133" s="14"/>
      <c r="F133" s="14"/>
      <c r="G133" s="793"/>
      <c r="H133" s="14"/>
      <c r="I133" s="14"/>
      <c r="J133" s="609"/>
    </row>
    <row r="134" spans="1:10" hidden="1">
      <c r="A134" s="38" t="s">
        <v>685</v>
      </c>
      <c r="B134" s="37" t="s">
        <v>686</v>
      </c>
      <c r="C134" s="609" t="s">
        <v>625</v>
      </c>
      <c r="D134" s="14"/>
      <c r="E134" s="14"/>
      <c r="F134" s="14"/>
      <c r="G134" s="793"/>
      <c r="H134" s="14"/>
      <c r="I134" s="14"/>
      <c r="J134" s="609"/>
    </row>
    <row r="135" spans="1:10" hidden="1">
      <c r="A135" s="38" t="s">
        <v>687</v>
      </c>
      <c r="B135" s="37" t="s">
        <v>688</v>
      </c>
      <c r="C135" s="609" t="s">
        <v>625</v>
      </c>
      <c r="D135" s="14"/>
      <c r="E135" s="14"/>
      <c r="F135" s="14"/>
      <c r="G135" s="793"/>
      <c r="H135" s="14"/>
      <c r="I135" s="14"/>
      <c r="J135" s="609"/>
    </row>
    <row r="136" spans="1:10" hidden="1">
      <c r="A136" s="38" t="s">
        <v>689</v>
      </c>
      <c r="B136" s="37" t="s">
        <v>690</v>
      </c>
      <c r="C136" s="609" t="s">
        <v>625</v>
      </c>
      <c r="D136" s="14"/>
      <c r="E136" s="14"/>
      <c r="F136" s="14"/>
      <c r="G136" s="793"/>
      <c r="H136" s="14"/>
      <c r="I136" s="14"/>
      <c r="J136" s="609"/>
    </row>
    <row r="137" spans="1:10" hidden="1">
      <c r="A137" s="38" t="s">
        <v>691</v>
      </c>
      <c r="B137" s="37" t="s">
        <v>692</v>
      </c>
      <c r="C137" s="609" t="s">
        <v>625</v>
      </c>
      <c r="D137" s="14"/>
      <c r="E137" s="14"/>
      <c r="F137" s="14"/>
      <c r="G137" s="793"/>
      <c r="H137" s="14"/>
      <c r="I137" s="14"/>
      <c r="J137" s="609"/>
    </row>
    <row r="138" spans="1:10" hidden="1">
      <c r="A138" s="38" t="s">
        <v>693</v>
      </c>
      <c r="B138" s="37" t="s">
        <v>694</v>
      </c>
      <c r="C138" s="609" t="s">
        <v>625</v>
      </c>
      <c r="D138" s="14"/>
      <c r="E138" s="14"/>
      <c r="F138" s="14"/>
      <c r="G138" s="793"/>
      <c r="H138" s="14"/>
      <c r="I138" s="14"/>
      <c r="J138" s="609"/>
    </row>
    <row r="139" spans="1:10" hidden="1">
      <c r="A139" s="38" t="s">
        <v>695</v>
      </c>
      <c r="B139" s="37" t="s">
        <v>696</v>
      </c>
      <c r="C139" s="609" t="s">
        <v>625</v>
      </c>
      <c r="D139" s="14"/>
      <c r="E139" s="14"/>
      <c r="F139" s="14"/>
      <c r="G139" s="793"/>
      <c r="H139" s="14"/>
      <c r="I139" s="14"/>
      <c r="J139" s="609"/>
    </row>
    <row r="140" spans="1:10" hidden="1">
      <c r="A140" s="38" t="s">
        <v>697</v>
      </c>
      <c r="B140" s="37" t="s">
        <v>698</v>
      </c>
      <c r="C140" s="609" t="s">
        <v>625</v>
      </c>
      <c r="D140" s="14"/>
      <c r="E140" s="14"/>
      <c r="F140" s="14"/>
      <c r="G140" s="793"/>
      <c r="H140" s="14"/>
      <c r="I140" s="14"/>
      <c r="J140" s="609"/>
    </row>
    <row r="141" spans="1:10" hidden="1">
      <c r="A141" s="38" t="s">
        <v>242</v>
      </c>
      <c r="B141" s="37" t="s">
        <v>300</v>
      </c>
      <c r="C141" s="609" t="s">
        <v>625</v>
      </c>
      <c r="D141" s="14"/>
      <c r="E141" s="14"/>
      <c r="F141" s="14"/>
      <c r="G141" s="793"/>
      <c r="H141" s="14"/>
      <c r="I141" s="14"/>
      <c r="J141" s="609"/>
    </row>
    <row r="142" spans="1:10" hidden="1">
      <c r="A142" s="38" t="s">
        <v>244</v>
      </c>
      <c r="B142" s="37" t="s">
        <v>699</v>
      </c>
      <c r="C142" s="609" t="s">
        <v>625</v>
      </c>
      <c r="D142" s="14"/>
      <c r="E142" s="14"/>
      <c r="F142" s="14"/>
      <c r="G142" s="793"/>
      <c r="H142" s="14"/>
      <c r="I142" s="14"/>
      <c r="J142" s="609"/>
    </row>
    <row r="143" spans="1:10" hidden="1">
      <c r="A143" s="38" t="s">
        <v>245</v>
      </c>
      <c r="B143" s="37" t="s">
        <v>700</v>
      </c>
      <c r="C143" s="609" t="s">
        <v>625</v>
      </c>
      <c r="D143" s="14"/>
      <c r="E143" s="14"/>
      <c r="F143" s="14"/>
      <c r="G143" s="793"/>
      <c r="H143" s="14"/>
      <c r="I143" s="14"/>
      <c r="J143" s="609"/>
    </row>
    <row r="144" spans="1:10" hidden="1">
      <c r="A144" s="38" t="s">
        <v>246</v>
      </c>
      <c r="B144" s="37" t="s">
        <v>701</v>
      </c>
      <c r="C144" s="609" t="s">
        <v>625</v>
      </c>
      <c r="D144" s="14"/>
      <c r="E144" s="14"/>
      <c r="F144" s="14"/>
      <c r="G144" s="793"/>
      <c r="H144" s="14"/>
      <c r="I144" s="14"/>
      <c r="J144" s="609"/>
    </row>
    <row r="145" spans="1:10" hidden="1">
      <c r="A145" s="38" t="s">
        <v>247</v>
      </c>
      <c r="B145" s="37" t="s">
        <v>702</v>
      </c>
      <c r="C145" s="609" t="s">
        <v>625</v>
      </c>
      <c r="D145" s="14"/>
      <c r="E145" s="14"/>
      <c r="F145" s="14"/>
      <c r="G145" s="793"/>
      <c r="H145" s="14"/>
      <c r="I145" s="14"/>
      <c r="J145" s="609"/>
    </row>
    <row r="146" spans="1:10" hidden="1">
      <c r="A146" s="38" t="s">
        <v>248</v>
      </c>
      <c r="B146" s="37" t="s">
        <v>703</v>
      </c>
      <c r="C146" s="609" t="s">
        <v>625</v>
      </c>
      <c r="D146" s="14"/>
      <c r="E146" s="14"/>
      <c r="F146" s="14"/>
      <c r="G146" s="793"/>
      <c r="H146" s="14"/>
      <c r="I146" s="14"/>
      <c r="J146" s="609"/>
    </row>
    <row r="147" spans="1:10" hidden="1">
      <c r="A147" s="38" t="s">
        <v>243</v>
      </c>
      <c r="B147" s="37" t="s">
        <v>301</v>
      </c>
      <c r="C147" s="609" t="s">
        <v>625</v>
      </c>
      <c r="D147" s="14"/>
      <c r="E147" s="14"/>
      <c r="F147" s="14"/>
      <c r="G147" s="793"/>
      <c r="H147" s="14"/>
      <c r="I147" s="14"/>
      <c r="J147" s="609"/>
    </row>
    <row r="148" spans="1:10" hidden="1">
      <c r="A148" s="38" t="s">
        <v>704</v>
      </c>
      <c r="B148" s="37" t="s">
        <v>705</v>
      </c>
      <c r="C148" s="609" t="s">
        <v>625</v>
      </c>
      <c r="D148" s="14"/>
      <c r="E148" s="14"/>
      <c r="F148" s="14"/>
      <c r="G148" s="793"/>
      <c r="H148" s="14"/>
      <c r="I148" s="14"/>
      <c r="J148" s="609"/>
    </row>
    <row r="149" spans="1:10" hidden="1">
      <c r="A149" s="38" t="s">
        <v>706</v>
      </c>
      <c r="B149" s="37" t="s">
        <v>707</v>
      </c>
      <c r="C149" s="609" t="s">
        <v>625</v>
      </c>
      <c r="D149" s="14"/>
      <c r="E149" s="14"/>
      <c r="F149" s="14"/>
      <c r="G149" s="793"/>
      <c r="H149" s="14"/>
      <c r="I149" s="14"/>
      <c r="J149" s="609"/>
    </row>
    <row r="150" spans="1:10" hidden="1">
      <c r="A150" s="38" t="s">
        <v>708</v>
      </c>
      <c r="B150" s="37" t="s">
        <v>709</v>
      </c>
      <c r="C150" s="609" t="s">
        <v>625</v>
      </c>
      <c r="D150" s="14"/>
      <c r="E150" s="14"/>
      <c r="F150" s="14"/>
      <c r="G150" s="793"/>
      <c r="H150" s="14"/>
      <c r="I150" s="14"/>
      <c r="J150" s="609"/>
    </row>
    <row r="151" spans="1:10" hidden="1">
      <c r="A151" s="38" t="s">
        <v>710</v>
      </c>
      <c r="B151" s="37" t="s">
        <v>711</v>
      </c>
      <c r="C151" s="609" t="s">
        <v>625</v>
      </c>
      <c r="D151" s="14"/>
      <c r="E151" s="14"/>
      <c r="F151" s="14"/>
      <c r="G151" s="793"/>
      <c r="H151" s="14"/>
      <c r="I151" s="14"/>
      <c r="J151" s="609"/>
    </row>
    <row r="152" spans="1:10" hidden="1">
      <c r="A152" s="38" t="s">
        <v>712</v>
      </c>
      <c r="B152" s="37" t="s">
        <v>713</v>
      </c>
      <c r="C152" s="609" t="s">
        <v>714</v>
      </c>
      <c r="D152" s="14"/>
      <c r="E152" s="14"/>
      <c r="F152" s="14"/>
      <c r="G152" s="793"/>
      <c r="H152" s="14"/>
      <c r="I152" s="14"/>
      <c r="J152" s="609"/>
    </row>
    <row r="153" spans="1:10" hidden="1">
      <c r="A153" s="38" t="s">
        <v>34</v>
      </c>
      <c r="B153" s="37" t="s">
        <v>318</v>
      </c>
      <c r="C153" s="609" t="s">
        <v>714</v>
      </c>
      <c r="D153" s="14"/>
      <c r="E153" s="14"/>
      <c r="F153" s="14"/>
      <c r="G153" s="793"/>
      <c r="H153" s="14"/>
      <c r="I153" s="14"/>
      <c r="J153" s="609"/>
    </row>
    <row r="154" spans="1:10" hidden="1">
      <c r="A154" s="38" t="s">
        <v>102</v>
      </c>
      <c r="B154" s="37" t="s">
        <v>715</v>
      </c>
      <c r="C154" s="609" t="s">
        <v>714</v>
      </c>
      <c r="D154" s="14"/>
      <c r="E154" s="14"/>
      <c r="F154" s="14"/>
      <c r="G154" s="793"/>
      <c r="H154" s="14"/>
      <c r="I154" s="14"/>
      <c r="J154" s="609"/>
    </row>
    <row r="155" spans="1:10" hidden="1">
      <c r="A155" s="38" t="s">
        <v>716</v>
      </c>
      <c r="B155" s="37" t="s">
        <v>717</v>
      </c>
      <c r="C155" s="609" t="s">
        <v>714</v>
      </c>
      <c r="D155" s="14"/>
      <c r="E155" s="14"/>
      <c r="F155" s="14"/>
      <c r="G155" s="793"/>
      <c r="H155" s="14"/>
      <c r="I155" s="14"/>
      <c r="J155" s="609"/>
    </row>
    <row r="156" spans="1:10" hidden="1">
      <c r="A156" s="38" t="s">
        <v>35</v>
      </c>
      <c r="B156" s="37" t="s">
        <v>36</v>
      </c>
      <c r="C156" s="609" t="s">
        <v>714</v>
      </c>
      <c r="D156" s="14"/>
      <c r="E156" s="14"/>
      <c r="F156" s="14"/>
      <c r="G156" s="793"/>
      <c r="H156" s="14"/>
      <c r="I156" s="14"/>
      <c r="J156" s="609"/>
    </row>
    <row r="157" spans="1:10" hidden="1">
      <c r="A157" s="38" t="s">
        <v>718</v>
      </c>
      <c r="B157" s="37" t="s">
        <v>719</v>
      </c>
      <c r="C157" s="609" t="s">
        <v>714</v>
      </c>
      <c r="D157" s="14"/>
      <c r="E157" s="14"/>
      <c r="F157" s="14"/>
      <c r="G157" s="793"/>
      <c r="H157" s="14"/>
      <c r="I157" s="14"/>
      <c r="J157" s="609"/>
    </row>
    <row r="158" spans="1:10" hidden="1">
      <c r="A158" s="38" t="s">
        <v>720</v>
      </c>
      <c r="B158" s="37" t="s">
        <v>721</v>
      </c>
      <c r="C158" s="609" t="s">
        <v>714</v>
      </c>
      <c r="D158" s="14"/>
      <c r="E158" s="14"/>
      <c r="F158" s="14"/>
      <c r="G158" s="793"/>
      <c r="H158" s="14"/>
      <c r="I158" s="14"/>
      <c r="J158" s="609"/>
    </row>
    <row r="159" spans="1:10" hidden="1">
      <c r="A159" s="38" t="s">
        <v>722</v>
      </c>
      <c r="B159" s="37" t="s">
        <v>723</v>
      </c>
      <c r="C159" s="609" t="s">
        <v>625</v>
      </c>
      <c r="D159" s="14"/>
      <c r="E159" s="14"/>
      <c r="F159" s="14"/>
      <c r="G159" s="793"/>
      <c r="H159" s="14"/>
      <c r="I159" s="14"/>
      <c r="J159" s="609"/>
    </row>
    <row r="160" spans="1:10" hidden="1">
      <c r="A160" s="38" t="s">
        <v>724</v>
      </c>
      <c r="B160" s="37" t="s">
        <v>725</v>
      </c>
      <c r="C160" s="609" t="s">
        <v>625</v>
      </c>
      <c r="D160" s="14"/>
      <c r="E160" s="14"/>
      <c r="F160" s="14"/>
      <c r="G160" s="793"/>
      <c r="H160" s="14"/>
      <c r="I160" s="14"/>
      <c r="J160" s="609"/>
    </row>
    <row r="161" spans="1:10" hidden="1">
      <c r="A161" s="38" t="s">
        <v>726</v>
      </c>
      <c r="B161" s="37" t="s">
        <v>727</v>
      </c>
      <c r="C161" s="609" t="s">
        <v>728</v>
      </c>
      <c r="D161" s="14"/>
      <c r="E161" s="14"/>
      <c r="F161" s="14"/>
      <c r="G161" s="793"/>
      <c r="H161" s="14"/>
      <c r="I161" s="14"/>
      <c r="J161" s="609"/>
    </row>
    <row r="162" spans="1:10" hidden="1">
      <c r="A162" s="38" t="s">
        <v>729</v>
      </c>
      <c r="B162" s="37"/>
      <c r="C162" s="609" t="s">
        <v>728</v>
      </c>
      <c r="D162" s="14"/>
      <c r="E162" s="14"/>
      <c r="F162" s="14"/>
      <c r="G162" s="793"/>
      <c r="H162" s="14"/>
      <c r="I162" s="14"/>
      <c r="J162" s="609"/>
    </row>
    <row r="163" spans="1:10" hidden="1">
      <c r="A163" s="38" t="s">
        <v>730</v>
      </c>
      <c r="B163" s="37" t="s">
        <v>731</v>
      </c>
      <c r="C163" s="609" t="s">
        <v>728</v>
      </c>
      <c r="D163" s="14"/>
      <c r="E163" s="14"/>
      <c r="F163" s="14"/>
      <c r="G163" s="793"/>
      <c r="H163" s="14"/>
      <c r="I163" s="14"/>
      <c r="J163" s="609"/>
    </row>
    <row r="164" spans="1:10" hidden="1">
      <c r="A164" s="38" t="s">
        <v>732</v>
      </c>
      <c r="B164" s="37" t="s">
        <v>733</v>
      </c>
      <c r="C164" s="609" t="s">
        <v>734</v>
      </c>
      <c r="D164" s="14"/>
      <c r="E164" s="14"/>
      <c r="F164" s="14"/>
      <c r="G164" s="793"/>
      <c r="H164" s="14"/>
      <c r="I164" s="14"/>
      <c r="J164" s="609"/>
    </row>
    <row r="165" spans="1:10" hidden="1">
      <c r="A165" s="38" t="s">
        <v>735</v>
      </c>
      <c r="B165" s="37" t="s">
        <v>736</v>
      </c>
      <c r="C165" s="609" t="s">
        <v>728</v>
      </c>
      <c r="D165" s="14"/>
      <c r="E165" s="14"/>
      <c r="F165" s="14"/>
      <c r="G165" s="793"/>
      <c r="H165" s="14"/>
      <c r="I165" s="14"/>
      <c r="J165" s="609"/>
    </row>
    <row r="166" spans="1:10" hidden="1">
      <c r="A166" s="38" t="s">
        <v>737</v>
      </c>
      <c r="B166" s="37" t="s">
        <v>738</v>
      </c>
      <c r="C166" s="609" t="s">
        <v>728</v>
      </c>
      <c r="D166" s="14"/>
      <c r="E166" s="14"/>
      <c r="F166" s="14"/>
      <c r="G166" s="793"/>
      <c r="H166" s="14"/>
      <c r="I166" s="14"/>
      <c r="J166" s="609"/>
    </row>
    <row r="167" spans="1:10" hidden="1">
      <c r="A167" s="38" t="s">
        <v>739</v>
      </c>
      <c r="B167" s="37" t="s">
        <v>740</v>
      </c>
      <c r="C167" s="609" t="s">
        <v>728</v>
      </c>
      <c r="D167" s="14"/>
      <c r="E167" s="14"/>
      <c r="F167" s="14"/>
      <c r="G167" s="793"/>
      <c r="H167" s="14"/>
      <c r="I167" s="14"/>
      <c r="J167" s="609"/>
    </row>
    <row r="168" spans="1:10" hidden="1">
      <c r="A168" s="38" t="s">
        <v>741</v>
      </c>
      <c r="B168" s="37" t="s">
        <v>742</v>
      </c>
      <c r="C168" s="609" t="s">
        <v>728</v>
      </c>
      <c r="D168" s="14"/>
      <c r="E168" s="14"/>
      <c r="F168" s="14"/>
      <c r="G168" s="793"/>
      <c r="H168" s="14"/>
      <c r="I168" s="14"/>
      <c r="J168" s="609"/>
    </row>
    <row r="169" spans="1:10" hidden="1">
      <c r="A169" s="38" t="s">
        <v>743</v>
      </c>
      <c r="B169" s="37" t="s">
        <v>744</v>
      </c>
      <c r="C169" s="609" t="s">
        <v>728</v>
      </c>
      <c r="D169" s="14"/>
      <c r="E169" s="14"/>
      <c r="F169" s="14"/>
      <c r="G169" s="793"/>
      <c r="H169" s="14"/>
      <c r="I169" s="14"/>
      <c r="J169" s="609"/>
    </row>
    <row r="170" spans="1:10" hidden="1">
      <c r="A170" s="38" t="s">
        <v>745</v>
      </c>
      <c r="B170" s="37" t="s">
        <v>746</v>
      </c>
      <c r="C170" s="609" t="s">
        <v>747</v>
      </c>
      <c r="D170" s="14"/>
      <c r="E170" s="14"/>
      <c r="F170" s="14"/>
      <c r="G170" s="793"/>
      <c r="H170" s="14"/>
      <c r="I170" s="14"/>
      <c r="J170" s="609"/>
    </row>
    <row r="171" spans="1:10" hidden="1">
      <c r="A171" s="38" t="s">
        <v>748</v>
      </c>
      <c r="B171" s="37" t="s">
        <v>749</v>
      </c>
      <c r="C171" s="609" t="s">
        <v>728</v>
      </c>
      <c r="D171" s="14"/>
      <c r="E171" s="14"/>
      <c r="F171" s="14"/>
      <c r="G171" s="793"/>
      <c r="H171" s="14"/>
      <c r="I171" s="14"/>
      <c r="J171" s="609"/>
    </row>
    <row r="172" spans="1:10" hidden="1">
      <c r="A172" s="38" t="s">
        <v>750</v>
      </c>
      <c r="B172" s="37" t="s">
        <v>751</v>
      </c>
      <c r="C172" s="609" t="s">
        <v>734</v>
      </c>
      <c r="D172" s="14"/>
      <c r="E172" s="14"/>
      <c r="F172" s="14"/>
      <c r="G172" s="793"/>
      <c r="H172" s="14"/>
      <c r="I172" s="14"/>
      <c r="J172" s="609"/>
    </row>
    <row r="173" spans="1:10" hidden="1">
      <c r="A173" s="38" t="s">
        <v>752</v>
      </c>
      <c r="B173" s="37" t="s">
        <v>753</v>
      </c>
      <c r="C173" s="609" t="s">
        <v>728</v>
      </c>
      <c r="D173" s="14"/>
      <c r="E173" s="14"/>
      <c r="F173" s="14"/>
      <c r="G173" s="793"/>
      <c r="H173" s="14"/>
      <c r="I173" s="14"/>
      <c r="J173" s="609"/>
    </row>
    <row r="174" spans="1:10" hidden="1">
      <c r="A174" s="38" t="s">
        <v>754</v>
      </c>
      <c r="B174" s="37" t="s">
        <v>755</v>
      </c>
      <c r="C174" s="609" t="s">
        <v>728</v>
      </c>
      <c r="D174" s="14"/>
      <c r="E174" s="14"/>
      <c r="F174" s="14"/>
      <c r="G174" s="793"/>
      <c r="H174" s="14"/>
      <c r="I174" s="14"/>
      <c r="J174" s="609"/>
    </row>
    <row r="175" spans="1:10" hidden="1">
      <c r="A175" s="38" t="s">
        <v>756</v>
      </c>
      <c r="B175" s="37" t="s">
        <v>757</v>
      </c>
      <c r="C175" s="609" t="s">
        <v>728</v>
      </c>
      <c r="D175" s="14"/>
      <c r="E175" s="14"/>
      <c r="F175" s="14"/>
      <c r="G175" s="793"/>
      <c r="H175" s="14"/>
      <c r="I175" s="14"/>
      <c r="J175" s="609"/>
    </row>
    <row r="176" spans="1:10" hidden="1">
      <c r="A176" s="38" t="s">
        <v>758</v>
      </c>
      <c r="B176" s="37" t="s">
        <v>759</v>
      </c>
      <c r="C176" s="609" t="s">
        <v>728</v>
      </c>
      <c r="D176" s="14"/>
      <c r="E176" s="14"/>
      <c r="F176" s="14"/>
      <c r="G176" s="793"/>
      <c r="H176" s="14"/>
      <c r="I176" s="14"/>
      <c r="J176" s="609"/>
    </row>
    <row r="177" spans="1:10" hidden="1">
      <c r="A177" s="38" t="s">
        <v>760</v>
      </c>
      <c r="B177" s="37" t="s">
        <v>761</v>
      </c>
      <c r="C177" s="609" t="s">
        <v>728</v>
      </c>
      <c r="D177" s="14"/>
      <c r="E177" s="14"/>
      <c r="F177" s="14"/>
      <c r="G177" s="793"/>
      <c r="H177" s="14"/>
      <c r="I177" s="14"/>
      <c r="J177" s="609"/>
    </row>
    <row r="178" spans="1:10" hidden="1">
      <c r="A178" s="38" t="s">
        <v>762</v>
      </c>
      <c r="B178" s="37" t="s">
        <v>763</v>
      </c>
      <c r="C178" s="609" t="s">
        <v>728</v>
      </c>
      <c r="D178" s="14"/>
      <c r="E178" s="14"/>
      <c r="F178" s="14"/>
      <c r="G178" s="793"/>
      <c r="H178" s="14"/>
      <c r="I178" s="14"/>
      <c r="J178" s="609"/>
    </row>
    <row r="179" spans="1:10" hidden="1">
      <c r="A179" s="38" t="s">
        <v>249</v>
      </c>
      <c r="B179" s="37" t="s">
        <v>302</v>
      </c>
      <c r="C179" s="609" t="s">
        <v>764</v>
      </c>
      <c r="D179" s="14"/>
      <c r="E179" s="14"/>
      <c r="F179" s="14"/>
      <c r="G179" s="793"/>
      <c r="H179" s="14"/>
      <c r="I179" s="14"/>
      <c r="J179" s="609"/>
    </row>
    <row r="180" spans="1:10" hidden="1">
      <c r="A180" s="38" t="s">
        <v>765</v>
      </c>
      <c r="B180" s="37" t="s">
        <v>766</v>
      </c>
      <c r="C180" s="609" t="s">
        <v>747</v>
      </c>
      <c r="D180" s="14"/>
      <c r="E180" s="14"/>
      <c r="F180" s="14"/>
      <c r="G180" s="793"/>
      <c r="H180" s="14"/>
      <c r="I180" s="14"/>
      <c r="J180" s="609"/>
    </row>
    <row r="181" spans="1:10" hidden="1">
      <c r="A181" s="38" t="s">
        <v>767</v>
      </c>
      <c r="B181" s="37" t="s">
        <v>768</v>
      </c>
      <c r="C181" s="609" t="s">
        <v>734</v>
      </c>
      <c r="D181" s="14"/>
      <c r="E181" s="14"/>
      <c r="F181" s="14"/>
      <c r="G181" s="793"/>
      <c r="H181" s="14"/>
      <c r="I181" s="14"/>
      <c r="J181" s="609"/>
    </row>
    <row r="182" spans="1:10" hidden="1">
      <c r="A182" s="38" t="s">
        <v>769</v>
      </c>
      <c r="B182" s="37" t="s">
        <v>770</v>
      </c>
      <c r="C182" s="609" t="s">
        <v>714</v>
      </c>
      <c r="D182" s="14"/>
      <c r="E182" s="14"/>
      <c r="F182" s="14"/>
      <c r="G182" s="793"/>
      <c r="H182" s="14"/>
      <c r="I182" s="14"/>
      <c r="J182" s="609"/>
    </row>
    <row r="183" spans="1:10" hidden="1">
      <c r="A183" s="38" t="s">
        <v>771</v>
      </c>
      <c r="B183" s="37" t="s">
        <v>772</v>
      </c>
      <c r="C183" s="609" t="s">
        <v>714</v>
      </c>
      <c r="D183" s="14"/>
      <c r="E183" s="14"/>
      <c r="F183" s="14"/>
      <c r="G183" s="793"/>
      <c r="H183" s="14"/>
      <c r="I183" s="14"/>
      <c r="J183" s="609"/>
    </row>
    <row r="184" spans="1:10" hidden="1">
      <c r="A184" s="38" t="s">
        <v>773</v>
      </c>
      <c r="B184" s="37" t="s">
        <v>774</v>
      </c>
      <c r="C184" s="609" t="s">
        <v>747</v>
      </c>
      <c r="D184" s="14"/>
      <c r="E184" s="14"/>
      <c r="F184" s="14"/>
      <c r="G184" s="793"/>
      <c r="H184" s="14"/>
      <c r="I184" s="14"/>
      <c r="J184" s="609"/>
    </row>
    <row r="185" spans="1:10" hidden="1">
      <c r="A185" s="38" t="s">
        <v>775</v>
      </c>
      <c r="B185" s="37" t="s">
        <v>776</v>
      </c>
      <c r="C185" s="609" t="s">
        <v>747</v>
      </c>
      <c r="D185" s="14"/>
      <c r="E185" s="14"/>
      <c r="F185" s="14"/>
      <c r="G185" s="793"/>
      <c r="H185" s="14"/>
      <c r="I185" s="14"/>
      <c r="J185" s="609"/>
    </row>
    <row r="186" spans="1:10" hidden="1">
      <c r="A186" s="38" t="s">
        <v>777</v>
      </c>
      <c r="B186" s="37" t="s">
        <v>778</v>
      </c>
      <c r="C186" s="609" t="s">
        <v>747</v>
      </c>
      <c r="D186" s="14"/>
      <c r="E186" s="14"/>
      <c r="F186" s="14"/>
      <c r="G186" s="793"/>
      <c r="H186" s="14"/>
      <c r="I186" s="14"/>
      <c r="J186" s="609"/>
    </row>
    <row r="187" spans="1:10" hidden="1">
      <c r="A187" s="38" t="s">
        <v>779</v>
      </c>
      <c r="B187" s="37" t="s">
        <v>780</v>
      </c>
      <c r="C187" s="609" t="s">
        <v>747</v>
      </c>
      <c r="D187" s="14"/>
      <c r="E187" s="14"/>
      <c r="F187" s="14"/>
      <c r="G187" s="793"/>
      <c r="H187" s="14"/>
      <c r="I187" s="14"/>
      <c r="J187" s="609"/>
    </row>
    <row r="188" spans="1:10" hidden="1">
      <c r="A188" s="38" t="s">
        <v>781</v>
      </c>
      <c r="B188" s="37" t="s">
        <v>782</v>
      </c>
      <c r="C188" s="609" t="s">
        <v>644</v>
      </c>
      <c r="D188" s="14"/>
      <c r="E188" s="14"/>
      <c r="F188" s="14"/>
      <c r="G188" s="793"/>
      <c r="H188" s="14"/>
      <c r="I188" s="14"/>
      <c r="J188" s="609"/>
    </row>
    <row r="189" spans="1:10" hidden="1">
      <c r="A189" s="38" t="s">
        <v>783</v>
      </c>
      <c r="B189" s="37" t="s">
        <v>784</v>
      </c>
      <c r="C189" s="609" t="s">
        <v>644</v>
      </c>
      <c r="D189" s="14"/>
      <c r="E189" s="14"/>
      <c r="F189" s="14"/>
      <c r="G189" s="793"/>
      <c r="H189" s="14"/>
      <c r="I189" s="14"/>
      <c r="J189" s="609"/>
    </row>
    <row r="190" spans="1:10" hidden="1">
      <c r="A190" s="38" t="s">
        <v>785</v>
      </c>
      <c r="B190" s="37" t="s">
        <v>786</v>
      </c>
      <c r="C190" s="609" t="s">
        <v>644</v>
      </c>
      <c r="D190" s="14"/>
      <c r="E190" s="14"/>
      <c r="F190" s="14"/>
      <c r="G190" s="793"/>
      <c r="H190" s="14"/>
      <c r="I190" s="14"/>
      <c r="J190" s="609"/>
    </row>
    <row r="191" spans="1:10" hidden="1">
      <c r="A191" s="38" t="s">
        <v>787</v>
      </c>
      <c r="B191" s="37" t="s">
        <v>788</v>
      </c>
      <c r="C191" s="609" t="s">
        <v>644</v>
      </c>
      <c r="D191" s="14"/>
      <c r="E191" s="14"/>
      <c r="F191" s="14"/>
      <c r="G191" s="793"/>
      <c r="H191" s="14"/>
      <c r="I191" s="14"/>
      <c r="J191" s="609"/>
    </row>
    <row r="192" spans="1:10" hidden="1">
      <c r="A192" s="38" t="s">
        <v>789</v>
      </c>
      <c r="B192" s="37" t="s">
        <v>790</v>
      </c>
      <c r="C192" s="609" t="s">
        <v>644</v>
      </c>
      <c r="D192" s="14"/>
      <c r="E192" s="14"/>
      <c r="F192" s="14"/>
      <c r="G192" s="793"/>
      <c r="H192" s="14"/>
      <c r="I192" s="14"/>
      <c r="J192" s="609"/>
    </row>
    <row r="193" spans="1:10" hidden="1">
      <c r="A193" s="38" t="s">
        <v>791</v>
      </c>
      <c r="B193" s="37" t="s">
        <v>792</v>
      </c>
      <c r="C193" s="609" t="s">
        <v>644</v>
      </c>
      <c r="D193" s="14"/>
      <c r="E193" s="14"/>
      <c r="F193" s="14"/>
      <c r="G193" s="793"/>
      <c r="H193" s="14"/>
      <c r="I193" s="14"/>
      <c r="J193" s="609"/>
    </row>
    <row r="194" spans="1:10" hidden="1">
      <c r="A194" s="38" t="s">
        <v>793</v>
      </c>
      <c r="B194" s="37" t="s">
        <v>794</v>
      </c>
      <c r="C194" s="609" t="s">
        <v>644</v>
      </c>
      <c r="D194" s="14"/>
      <c r="E194" s="14"/>
      <c r="F194" s="14"/>
      <c r="G194" s="793"/>
      <c r="H194" s="14"/>
      <c r="I194" s="14"/>
      <c r="J194" s="609"/>
    </row>
    <row r="195" spans="1:10" hidden="1">
      <c r="A195" s="38" t="s">
        <v>795</v>
      </c>
      <c r="B195" s="37" t="s">
        <v>796</v>
      </c>
      <c r="C195" s="609" t="s">
        <v>644</v>
      </c>
      <c r="D195" s="14"/>
      <c r="E195" s="14"/>
      <c r="F195" s="14"/>
      <c r="G195" s="793"/>
      <c r="H195" s="14"/>
      <c r="I195" s="14"/>
      <c r="J195" s="609"/>
    </row>
    <row r="196" spans="1:10" hidden="1">
      <c r="A196" s="38" t="s">
        <v>797</v>
      </c>
      <c r="B196" s="37" t="s">
        <v>798</v>
      </c>
      <c r="C196" s="609" t="s">
        <v>734</v>
      </c>
      <c r="D196" s="14"/>
      <c r="E196" s="14"/>
      <c r="F196" s="14"/>
      <c r="G196" s="793"/>
      <c r="H196" s="14"/>
      <c r="I196" s="14"/>
      <c r="J196" s="609"/>
    </row>
    <row r="197" spans="1:10" hidden="1">
      <c r="A197" s="38" t="s">
        <v>799</v>
      </c>
      <c r="B197" s="37"/>
      <c r="C197" s="609" t="s">
        <v>747</v>
      </c>
      <c r="D197" s="14"/>
      <c r="E197" s="14"/>
      <c r="F197" s="14"/>
      <c r="G197" s="793"/>
      <c r="H197" s="14"/>
      <c r="I197" s="14"/>
      <c r="J197" s="609"/>
    </row>
    <row r="198" spans="1:10" hidden="1">
      <c r="A198" s="38" t="s">
        <v>800</v>
      </c>
      <c r="B198" s="37" t="s">
        <v>801</v>
      </c>
      <c r="C198" s="609" t="s">
        <v>734</v>
      </c>
      <c r="D198" s="14"/>
      <c r="E198" s="14"/>
      <c r="F198" s="14"/>
      <c r="G198" s="793"/>
      <c r="H198" s="14"/>
      <c r="I198" s="14"/>
      <c r="J198" s="609"/>
    </row>
    <row r="199" spans="1:10" hidden="1">
      <c r="A199" s="38" t="s">
        <v>802</v>
      </c>
      <c r="B199" s="37" t="s">
        <v>803</v>
      </c>
      <c r="C199" s="609" t="s">
        <v>804</v>
      </c>
      <c r="D199" s="14"/>
      <c r="E199" s="14"/>
      <c r="F199" s="14"/>
      <c r="G199" s="793"/>
      <c r="H199" s="14"/>
      <c r="I199" s="14"/>
      <c r="J199" s="609"/>
    </row>
    <row r="200" spans="1:10" hidden="1">
      <c r="A200" s="38" t="s">
        <v>805</v>
      </c>
      <c r="B200" s="37" t="s">
        <v>806</v>
      </c>
      <c r="C200" s="609" t="s">
        <v>804</v>
      </c>
      <c r="D200" s="14"/>
      <c r="E200" s="14"/>
      <c r="F200" s="14"/>
      <c r="G200" s="793"/>
      <c r="H200" s="14"/>
      <c r="I200" s="14"/>
      <c r="J200" s="609"/>
    </row>
    <row r="201" spans="1:10" hidden="1">
      <c r="A201" s="38" t="s">
        <v>807</v>
      </c>
      <c r="B201" s="37" t="s">
        <v>808</v>
      </c>
      <c r="C201" s="609" t="s">
        <v>804</v>
      </c>
      <c r="D201" s="14"/>
      <c r="E201" s="14"/>
      <c r="F201" s="14"/>
      <c r="G201" s="793"/>
      <c r="H201" s="14"/>
      <c r="I201" s="14"/>
      <c r="J201" s="609"/>
    </row>
    <row r="202" spans="1:10" hidden="1">
      <c r="A202" s="38" t="s">
        <v>809</v>
      </c>
      <c r="B202" s="37" t="s">
        <v>810</v>
      </c>
      <c r="C202" s="609" t="s">
        <v>714</v>
      </c>
      <c r="D202" s="14"/>
      <c r="E202" s="14"/>
      <c r="F202" s="14"/>
      <c r="G202" s="793"/>
      <c r="H202" s="14"/>
      <c r="I202" s="14"/>
      <c r="J202" s="609"/>
    </row>
    <row r="203" spans="1:10" hidden="1">
      <c r="A203" s="38" t="s">
        <v>811</v>
      </c>
      <c r="B203" s="37" t="s">
        <v>812</v>
      </c>
      <c r="C203" s="609" t="s">
        <v>714</v>
      </c>
      <c r="D203" s="14"/>
      <c r="E203" s="14"/>
      <c r="F203" s="14"/>
      <c r="G203" s="793"/>
      <c r="H203" s="14"/>
      <c r="I203" s="14"/>
      <c r="J203" s="609"/>
    </row>
    <row r="204" spans="1:10" hidden="1">
      <c r="A204" s="38" t="s">
        <v>813</v>
      </c>
      <c r="B204" s="37" t="s">
        <v>814</v>
      </c>
      <c r="C204" s="609" t="s">
        <v>815</v>
      </c>
      <c r="D204" s="14"/>
      <c r="E204" s="14"/>
      <c r="F204" s="14"/>
      <c r="G204" s="793"/>
      <c r="H204" s="14"/>
      <c r="I204" s="14"/>
      <c r="J204" s="609"/>
    </row>
    <row r="205" spans="1:10" hidden="1">
      <c r="A205" s="38" t="s">
        <v>816</v>
      </c>
      <c r="B205" s="37" t="s">
        <v>817</v>
      </c>
      <c r="C205" s="609" t="s">
        <v>815</v>
      </c>
      <c r="D205" s="14"/>
      <c r="E205" s="14"/>
      <c r="F205" s="14"/>
      <c r="G205" s="793"/>
      <c r="H205" s="14"/>
      <c r="I205" s="14"/>
      <c r="J205" s="609"/>
    </row>
    <row r="206" spans="1:10" hidden="1">
      <c r="A206" s="38" t="s">
        <v>818</v>
      </c>
      <c r="B206" s="37" t="s">
        <v>819</v>
      </c>
      <c r="C206" s="609" t="s">
        <v>815</v>
      </c>
      <c r="D206" s="14"/>
      <c r="E206" s="14"/>
      <c r="F206" s="14"/>
      <c r="G206" s="793"/>
      <c r="H206" s="14"/>
      <c r="I206" s="14"/>
      <c r="J206" s="609"/>
    </row>
    <row r="207" spans="1:10" hidden="1">
      <c r="A207" s="38" t="s">
        <v>820</v>
      </c>
      <c r="B207" s="37" t="s">
        <v>821</v>
      </c>
      <c r="C207" s="609" t="s">
        <v>815</v>
      </c>
      <c r="D207" s="14"/>
      <c r="E207" s="14"/>
      <c r="F207" s="14"/>
      <c r="G207" s="793"/>
      <c r="H207" s="14"/>
      <c r="I207" s="14"/>
      <c r="J207" s="609"/>
    </row>
    <row r="208" spans="1:10" hidden="1">
      <c r="A208" s="38" t="s">
        <v>822</v>
      </c>
      <c r="B208" s="37" t="s">
        <v>823</v>
      </c>
      <c r="C208" s="609" t="s">
        <v>815</v>
      </c>
      <c r="D208" s="14"/>
      <c r="E208" s="14"/>
      <c r="F208" s="14"/>
      <c r="G208" s="793"/>
      <c r="H208" s="14"/>
      <c r="I208" s="14"/>
      <c r="J208" s="609"/>
    </row>
    <row r="209" spans="1:10" hidden="1">
      <c r="A209" s="38" t="s">
        <v>824</v>
      </c>
      <c r="B209" s="37" t="s">
        <v>825</v>
      </c>
      <c r="C209" s="609" t="s">
        <v>815</v>
      </c>
      <c r="D209" s="14"/>
      <c r="E209" s="14"/>
      <c r="F209" s="14"/>
      <c r="G209" s="793"/>
      <c r="H209" s="14"/>
      <c r="I209" s="14"/>
      <c r="J209" s="609"/>
    </row>
    <row r="210" spans="1:10" hidden="1">
      <c r="A210" s="38" t="s">
        <v>826</v>
      </c>
      <c r="B210" s="37" t="s">
        <v>827</v>
      </c>
      <c r="C210" s="609" t="s">
        <v>815</v>
      </c>
      <c r="D210" s="14"/>
      <c r="E210" s="14"/>
      <c r="F210" s="14"/>
      <c r="G210" s="793"/>
      <c r="H210" s="14"/>
      <c r="I210" s="14"/>
      <c r="J210" s="609"/>
    </row>
    <row r="211" spans="1:10" hidden="1">
      <c r="A211" s="38" t="s">
        <v>828</v>
      </c>
      <c r="B211" s="37" t="s">
        <v>828</v>
      </c>
      <c r="C211" s="609" t="s">
        <v>815</v>
      </c>
      <c r="D211" s="14"/>
      <c r="E211" s="14"/>
      <c r="F211" s="14"/>
      <c r="G211" s="793"/>
      <c r="H211" s="14"/>
      <c r="I211" s="14"/>
      <c r="J211" s="609"/>
    </row>
    <row r="212" spans="1:10" hidden="1">
      <c r="A212" s="38" t="s">
        <v>829</v>
      </c>
      <c r="B212" s="37" t="s">
        <v>830</v>
      </c>
      <c r="C212" s="609" t="s">
        <v>815</v>
      </c>
      <c r="D212" s="14"/>
      <c r="E212" s="14"/>
      <c r="F212" s="14"/>
      <c r="G212" s="793"/>
      <c r="H212" s="14"/>
      <c r="I212" s="14"/>
      <c r="J212" s="609"/>
    </row>
    <row r="213" spans="1:10" hidden="1">
      <c r="A213" s="38" t="s">
        <v>831</v>
      </c>
      <c r="B213" s="37" t="s">
        <v>832</v>
      </c>
      <c r="C213" s="609" t="s">
        <v>714</v>
      </c>
      <c r="D213" s="14"/>
      <c r="E213" s="14"/>
      <c r="F213" s="14"/>
      <c r="G213" s="793"/>
      <c r="H213" s="14"/>
      <c r="I213" s="14"/>
      <c r="J213" s="609"/>
    </row>
    <row r="214" spans="1:10" hidden="1">
      <c r="A214" s="38" t="s">
        <v>833</v>
      </c>
      <c r="B214" s="37" t="s">
        <v>834</v>
      </c>
      <c r="C214" s="609" t="s">
        <v>714</v>
      </c>
      <c r="D214" s="14"/>
      <c r="E214" s="14"/>
      <c r="F214" s="14"/>
      <c r="G214" s="793"/>
      <c r="H214" s="14"/>
      <c r="I214" s="14"/>
      <c r="J214" s="609"/>
    </row>
    <row r="215" spans="1:10" hidden="1">
      <c r="A215" s="38" t="s">
        <v>835</v>
      </c>
      <c r="B215" s="37" t="s">
        <v>836</v>
      </c>
      <c r="C215" s="609" t="s">
        <v>714</v>
      </c>
      <c r="D215" s="14"/>
      <c r="E215" s="14"/>
      <c r="F215" s="14"/>
      <c r="G215" s="793"/>
      <c r="H215" s="14"/>
      <c r="I215" s="14"/>
      <c r="J215" s="609"/>
    </row>
    <row r="216" spans="1:10" hidden="1">
      <c r="A216" s="38" t="s">
        <v>837</v>
      </c>
      <c r="B216" s="37" t="s">
        <v>838</v>
      </c>
      <c r="C216" s="609" t="s">
        <v>839</v>
      </c>
      <c r="D216" s="14"/>
      <c r="E216" s="14"/>
      <c r="F216" s="14"/>
      <c r="G216" s="793"/>
      <c r="H216" s="14"/>
      <c r="I216" s="14"/>
      <c r="J216" s="609"/>
    </row>
    <row r="217" spans="1:10" hidden="1">
      <c r="A217" s="38" t="s">
        <v>840</v>
      </c>
      <c r="B217" s="37" t="s">
        <v>841</v>
      </c>
      <c r="C217" s="609" t="s">
        <v>839</v>
      </c>
      <c r="D217" s="14"/>
      <c r="E217" s="14"/>
      <c r="F217" s="14"/>
      <c r="G217" s="793"/>
      <c r="H217" s="14"/>
      <c r="I217" s="14"/>
      <c r="J217" s="609"/>
    </row>
    <row r="218" spans="1:10" hidden="1">
      <c r="A218" s="38" t="s">
        <v>842</v>
      </c>
      <c r="B218" s="37" t="s">
        <v>843</v>
      </c>
      <c r="C218" s="609" t="s">
        <v>839</v>
      </c>
      <c r="D218" s="14"/>
      <c r="E218" s="14"/>
      <c r="F218" s="14"/>
      <c r="G218" s="793"/>
      <c r="H218" s="14"/>
      <c r="I218" s="14"/>
      <c r="J218" s="609"/>
    </row>
    <row r="219" spans="1:10" hidden="1">
      <c r="A219" s="38" t="s">
        <v>844</v>
      </c>
      <c r="B219" s="37" t="s">
        <v>845</v>
      </c>
      <c r="C219" s="609" t="s">
        <v>839</v>
      </c>
      <c r="D219" s="14"/>
      <c r="E219" s="14"/>
      <c r="F219" s="14"/>
      <c r="G219" s="793"/>
      <c r="H219" s="14"/>
      <c r="I219" s="14"/>
      <c r="J219" s="609"/>
    </row>
    <row r="220" spans="1:10" hidden="1">
      <c r="A220" s="38" t="s">
        <v>846</v>
      </c>
      <c r="B220" s="37" t="s">
        <v>847</v>
      </c>
      <c r="C220" s="609" t="s">
        <v>839</v>
      </c>
      <c r="D220" s="14"/>
      <c r="E220" s="14"/>
      <c r="F220" s="14"/>
      <c r="G220" s="793"/>
      <c r="H220" s="14"/>
      <c r="I220" s="14"/>
      <c r="J220" s="609"/>
    </row>
    <row r="221" spans="1:10" hidden="1">
      <c r="A221" s="38" t="s">
        <v>848</v>
      </c>
      <c r="B221" s="37" t="s">
        <v>849</v>
      </c>
      <c r="C221" s="609" t="s">
        <v>839</v>
      </c>
      <c r="D221" s="14"/>
      <c r="E221" s="14"/>
      <c r="F221" s="14"/>
      <c r="G221" s="793"/>
      <c r="H221" s="14"/>
      <c r="I221" s="14"/>
      <c r="J221" s="609"/>
    </row>
    <row r="222" spans="1:10" hidden="1">
      <c r="A222" s="38" t="s">
        <v>850</v>
      </c>
      <c r="B222" s="37" t="s">
        <v>851</v>
      </c>
      <c r="C222" s="609" t="s">
        <v>839</v>
      </c>
      <c r="D222" s="14"/>
      <c r="E222" s="14"/>
      <c r="F222" s="14"/>
      <c r="G222" s="793"/>
      <c r="H222" s="14"/>
      <c r="I222" s="14"/>
      <c r="J222" s="609"/>
    </row>
    <row r="223" spans="1:10" hidden="1">
      <c r="A223" s="38" t="s">
        <v>852</v>
      </c>
      <c r="B223" s="37" t="s">
        <v>853</v>
      </c>
      <c r="C223" s="609" t="s">
        <v>839</v>
      </c>
      <c r="D223" s="14"/>
      <c r="E223" s="14"/>
      <c r="F223" s="14"/>
      <c r="G223" s="793"/>
      <c r="H223" s="14"/>
      <c r="I223" s="14"/>
      <c r="J223" s="609"/>
    </row>
    <row r="224" spans="1:10" hidden="1">
      <c r="A224" s="38" t="s">
        <v>854</v>
      </c>
      <c r="B224" s="37" t="s">
        <v>855</v>
      </c>
      <c r="C224" s="609" t="s">
        <v>839</v>
      </c>
      <c r="D224" s="14"/>
      <c r="E224" s="14"/>
      <c r="F224" s="14"/>
      <c r="G224" s="793"/>
      <c r="H224" s="14"/>
      <c r="I224" s="14"/>
      <c r="J224" s="609"/>
    </row>
    <row r="225" spans="1:10" hidden="1">
      <c r="A225" s="38" t="s">
        <v>856</v>
      </c>
      <c r="B225" s="37" t="s">
        <v>857</v>
      </c>
      <c r="C225" s="609" t="s">
        <v>839</v>
      </c>
      <c r="D225" s="14"/>
      <c r="E225" s="14"/>
      <c r="F225" s="14"/>
      <c r="G225" s="793"/>
      <c r="H225" s="14"/>
      <c r="I225" s="14"/>
      <c r="J225" s="609"/>
    </row>
    <row r="226" spans="1:10" hidden="1">
      <c r="A226" s="38" t="s">
        <v>858</v>
      </c>
      <c r="B226" s="37" t="s">
        <v>859</v>
      </c>
      <c r="C226" s="609" t="s">
        <v>839</v>
      </c>
      <c r="D226" s="14"/>
      <c r="E226" s="14"/>
      <c r="F226" s="14"/>
      <c r="G226" s="793"/>
      <c r="H226" s="14"/>
      <c r="I226" s="14"/>
      <c r="J226" s="609"/>
    </row>
    <row r="227" spans="1:10" hidden="1">
      <c r="A227" s="38" t="s">
        <v>860</v>
      </c>
      <c r="B227" s="37" t="s">
        <v>861</v>
      </c>
      <c r="C227" s="609" t="s">
        <v>839</v>
      </c>
      <c r="D227" s="14"/>
      <c r="E227" s="14"/>
      <c r="F227" s="14"/>
      <c r="G227" s="793"/>
      <c r="H227" s="14"/>
      <c r="I227" s="14"/>
      <c r="J227" s="609"/>
    </row>
    <row r="228" spans="1:10" hidden="1">
      <c r="A228" s="38" t="s">
        <v>862</v>
      </c>
      <c r="B228" s="37" t="s">
        <v>863</v>
      </c>
      <c r="C228" s="609" t="s">
        <v>839</v>
      </c>
      <c r="D228" s="14"/>
      <c r="E228" s="14"/>
      <c r="F228" s="14"/>
      <c r="G228" s="793"/>
      <c r="H228" s="14"/>
      <c r="I228" s="14"/>
      <c r="J228" s="609"/>
    </row>
    <row r="229" spans="1:10" hidden="1">
      <c r="A229" s="38" t="s">
        <v>864</v>
      </c>
      <c r="B229" s="37" t="s">
        <v>865</v>
      </c>
      <c r="C229" s="609" t="s">
        <v>839</v>
      </c>
      <c r="D229" s="14"/>
      <c r="E229" s="14"/>
      <c r="F229" s="14"/>
      <c r="G229" s="793"/>
      <c r="H229" s="14"/>
      <c r="I229" s="14"/>
      <c r="J229" s="609"/>
    </row>
    <row r="230" spans="1:10" hidden="1">
      <c r="A230" s="38" t="s">
        <v>866</v>
      </c>
      <c r="B230" s="37" t="s">
        <v>867</v>
      </c>
      <c r="C230" s="609" t="s">
        <v>839</v>
      </c>
      <c r="D230" s="14"/>
      <c r="E230" s="14"/>
      <c r="F230" s="14"/>
      <c r="G230" s="793"/>
      <c r="H230" s="14"/>
      <c r="I230" s="14"/>
      <c r="J230" s="609"/>
    </row>
    <row r="231" spans="1:10" hidden="1">
      <c r="A231" s="38" t="s">
        <v>868</v>
      </c>
      <c r="B231" s="37" t="s">
        <v>869</v>
      </c>
      <c r="C231" s="609" t="s">
        <v>839</v>
      </c>
      <c r="D231" s="14"/>
      <c r="E231" s="14"/>
      <c r="F231" s="14"/>
      <c r="G231" s="793"/>
      <c r="H231" s="14"/>
      <c r="I231" s="14"/>
      <c r="J231" s="609"/>
    </row>
    <row r="232" spans="1:10" hidden="1">
      <c r="A232" s="38" t="s">
        <v>870</v>
      </c>
      <c r="B232" s="37" t="s">
        <v>871</v>
      </c>
      <c r="C232" s="609" t="s">
        <v>839</v>
      </c>
      <c r="D232" s="14"/>
      <c r="E232" s="14"/>
      <c r="F232" s="14"/>
      <c r="G232" s="793"/>
      <c r="H232" s="14"/>
      <c r="I232" s="14"/>
      <c r="J232" s="609"/>
    </row>
    <row r="233" spans="1:10" hidden="1">
      <c r="A233" s="38" t="s">
        <v>872</v>
      </c>
      <c r="B233" s="37" t="s">
        <v>873</v>
      </c>
      <c r="C233" s="609" t="s">
        <v>839</v>
      </c>
      <c r="D233" s="14"/>
      <c r="E233" s="14"/>
      <c r="F233" s="14"/>
      <c r="G233" s="793"/>
      <c r="H233" s="14"/>
      <c r="I233" s="14"/>
      <c r="J233" s="609"/>
    </row>
    <row r="234" spans="1:10" hidden="1">
      <c r="A234" s="38" t="s">
        <v>874</v>
      </c>
      <c r="B234" s="37" t="s">
        <v>875</v>
      </c>
      <c r="C234" s="609" t="s">
        <v>839</v>
      </c>
      <c r="D234" s="14"/>
      <c r="E234" s="14"/>
      <c r="F234" s="14"/>
      <c r="G234" s="793"/>
      <c r="H234" s="14"/>
      <c r="I234" s="14"/>
      <c r="J234" s="609"/>
    </row>
    <row r="235" spans="1:10" hidden="1">
      <c r="A235" s="38" t="s">
        <v>876</v>
      </c>
      <c r="B235" s="37" t="s">
        <v>877</v>
      </c>
      <c r="C235" s="609" t="s">
        <v>839</v>
      </c>
      <c r="D235" s="14"/>
      <c r="E235" s="14"/>
      <c r="F235" s="14"/>
      <c r="G235" s="793"/>
      <c r="H235" s="14"/>
      <c r="I235" s="14"/>
      <c r="J235" s="609"/>
    </row>
    <row r="236" spans="1:10" hidden="1">
      <c r="A236" s="38" t="s">
        <v>878</v>
      </c>
      <c r="B236" s="37" t="s">
        <v>879</v>
      </c>
      <c r="C236" s="609" t="s">
        <v>839</v>
      </c>
      <c r="D236" s="14"/>
      <c r="E236" s="14"/>
      <c r="F236" s="14"/>
      <c r="G236" s="793"/>
      <c r="H236" s="14"/>
      <c r="I236" s="14"/>
      <c r="J236" s="609"/>
    </row>
    <row r="237" spans="1:10" hidden="1">
      <c r="A237" s="38" t="s">
        <v>880</v>
      </c>
      <c r="B237" s="37" t="s">
        <v>881</v>
      </c>
      <c r="C237" s="609" t="s">
        <v>839</v>
      </c>
      <c r="D237" s="14"/>
      <c r="E237" s="14"/>
      <c r="F237" s="14"/>
      <c r="G237" s="793"/>
      <c r="H237" s="14"/>
      <c r="I237" s="14"/>
      <c r="J237" s="609"/>
    </row>
    <row r="238" spans="1:10" hidden="1">
      <c r="A238" s="38" t="s">
        <v>882</v>
      </c>
      <c r="B238" s="37" t="s">
        <v>883</v>
      </c>
      <c r="C238" s="609" t="s">
        <v>839</v>
      </c>
      <c r="D238" s="14"/>
      <c r="E238" s="14"/>
      <c r="F238" s="14"/>
      <c r="G238" s="793"/>
      <c r="H238" s="14"/>
      <c r="I238" s="14"/>
      <c r="J238" s="609"/>
    </row>
    <row r="239" spans="1:10" hidden="1">
      <c r="A239" s="38" t="s">
        <v>884</v>
      </c>
      <c r="B239" s="37" t="s">
        <v>885</v>
      </c>
      <c r="C239" s="609" t="s">
        <v>839</v>
      </c>
      <c r="D239" s="14"/>
      <c r="E239" s="14"/>
      <c r="F239" s="14"/>
      <c r="G239" s="793"/>
      <c r="H239" s="14"/>
      <c r="I239" s="14"/>
      <c r="J239" s="609"/>
    </row>
    <row r="240" spans="1:10" hidden="1">
      <c r="A240" s="38" t="s">
        <v>886</v>
      </c>
      <c r="B240" s="37" t="s">
        <v>887</v>
      </c>
      <c r="C240" s="609" t="s">
        <v>839</v>
      </c>
      <c r="D240" s="14"/>
      <c r="E240" s="14"/>
      <c r="F240" s="14"/>
      <c r="G240" s="793"/>
      <c r="H240" s="14"/>
      <c r="I240" s="14"/>
      <c r="J240" s="609"/>
    </row>
    <row r="241" spans="1:10" hidden="1">
      <c r="A241" s="38" t="s">
        <v>888</v>
      </c>
      <c r="B241" s="37" t="s">
        <v>889</v>
      </c>
      <c r="C241" s="609" t="s">
        <v>839</v>
      </c>
      <c r="D241" s="14"/>
      <c r="E241" s="14"/>
      <c r="F241" s="14"/>
      <c r="G241" s="793"/>
      <c r="H241" s="14"/>
      <c r="I241" s="14"/>
      <c r="J241" s="609"/>
    </row>
    <row r="242" spans="1:10" hidden="1">
      <c r="A242" s="38" t="s">
        <v>890</v>
      </c>
      <c r="B242" s="37" t="s">
        <v>891</v>
      </c>
      <c r="C242" s="609" t="s">
        <v>839</v>
      </c>
      <c r="D242" s="14"/>
      <c r="E242" s="14"/>
      <c r="F242" s="14"/>
      <c r="G242" s="793"/>
      <c r="H242" s="14"/>
      <c r="I242" s="14"/>
      <c r="J242" s="609"/>
    </row>
    <row r="243" spans="1:10" hidden="1">
      <c r="A243" s="38" t="s">
        <v>892</v>
      </c>
      <c r="B243" s="37" t="s">
        <v>893</v>
      </c>
      <c r="C243" s="609" t="s">
        <v>839</v>
      </c>
      <c r="D243" s="14"/>
      <c r="E243" s="14"/>
      <c r="F243" s="14"/>
      <c r="G243" s="793"/>
      <c r="H243" s="14"/>
      <c r="I243" s="14"/>
      <c r="J243" s="609"/>
    </row>
    <row r="244" spans="1:10" hidden="1">
      <c r="A244" s="38" t="s">
        <v>894</v>
      </c>
      <c r="B244" s="37" t="s">
        <v>895</v>
      </c>
      <c r="C244" s="609" t="s">
        <v>839</v>
      </c>
      <c r="D244" s="14"/>
      <c r="E244" s="14"/>
      <c r="F244" s="14"/>
      <c r="G244" s="793"/>
      <c r="H244" s="14"/>
      <c r="I244" s="14"/>
      <c r="J244" s="609"/>
    </row>
    <row r="245" spans="1:10" hidden="1">
      <c r="A245" s="38" t="s">
        <v>896</v>
      </c>
      <c r="B245" s="37" t="s">
        <v>897</v>
      </c>
      <c r="C245" s="609" t="s">
        <v>839</v>
      </c>
      <c r="D245" s="14"/>
      <c r="E245" s="14"/>
      <c r="F245" s="14"/>
      <c r="G245" s="793"/>
      <c r="H245" s="14"/>
      <c r="I245" s="14"/>
      <c r="J245" s="609"/>
    </row>
    <row r="246" spans="1:10" hidden="1">
      <c r="A246" s="38" t="s">
        <v>898</v>
      </c>
      <c r="B246" s="37" t="s">
        <v>899</v>
      </c>
      <c r="C246" s="609" t="s">
        <v>839</v>
      </c>
      <c r="D246" s="14"/>
      <c r="E246" s="14"/>
      <c r="F246" s="14"/>
      <c r="G246" s="793"/>
      <c r="H246" s="14"/>
      <c r="I246" s="14"/>
      <c r="J246" s="609"/>
    </row>
    <row r="247" spans="1:10" hidden="1">
      <c r="A247" s="38" t="s">
        <v>900</v>
      </c>
      <c r="B247" s="37" t="s">
        <v>901</v>
      </c>
      <c r="C247" s="609" t="s">
        <v>839</v>
      </c>
      <c r="D247" s="14"/>
      <c r="E247" s="14"/>
      <c r="F247" s="14"/>
      <c r="G247" s="793"/>
      <c r="H247" s="14"/>
      <c r="I247" s="14"/>
      <c r="J247" s="609"/>
    </row>
    <row r="248" spans="1:10" hidden="1">
      <c r="A248" s="38" t="s">
        <v>902</v>
      </c>
      <c r="B248" s="37" t="s">
        <v>903</v>
      </c>
      <c r="C248" s="609" t="s">
        <v>839</v>
      </c>
      <c r="D248" s="14"/>
      <c r="E248" s="14"/>
      <c r="F248" s="14"/>
      <c r="G248" s="793"/>
      <c r="H248" s="14"/>
      <c r="I248" s="14"/>
      <c r="J248" s="609"/>
    </row>
    <row r="249" spans="1:10" hidden="1">
      <c r="A249" s="38" t="s">
        <v>904</v>
      </c>
      <c r="B249" s="37" t="s">
        <v>905</v>
      </c>
      <c r="C249" s="609" t="s">
        <v>839</v>
      </c>
      <c r="D249" s="14"/>
      <c r="E249" s="14"/>
      <c r="F249" s="14"/>
      <c r="G249" s="793"/>
      <c r="H249" s="14"/>
      <c r="I249" s="14"/>
      <c r="J249" s="609"/>
    </row>
    <row r="250" spans="1:10" hidden="1">
      <c r="A250" s="38" t="s">
        <v>906</v>
      </c>
      <c r="B250" s="37" t="s">
        <v>907</v>
      </c>
      <c r="C250" s="609" t="s">
        <v>839</v>
      </c>
      <c r="D250" s="14"/>
      <c r="E250" s="14"/>
      <c r="F250" s="14"/>
      <c r="G250" s="793"/>
      <c r="H250" s="14"/>
      <c r="I250" s="14"/>
      <c r="J250" s="609"/>
    </row>
    <row r="251" spans="1:10" hidden="1">
      <c r="A251" s="38" t="s">
        <v>908</v>
      </c>
      <c r="B251" s="37" t="s">
        <v>909</v>
      </c>
      <c r="C251" s="609" t="s">
        <v>839</v>
      </c>
      <c r="D251" s="14"/>
      <c r="E251" s="14"/>
      <c r="F251" s="14"/>
      <c r="G251" s="793"/>
      <c r="H251" s="14"/>
      <c r="I251" s="14"/>
      <c r="J251" s="609"/>
    </row>
    <row r="252" spans="1:10" hidden="1">
      <c r="A252" s="38" t="s">
        <v>910</v>
      </c>
      <c r="B252" s="37" t="s">
        <v>911</v>
      </c>
      <c r="C252" s="609" t="s">
        <v>839</v>
      </c>
      <c r="D252" s="14"/>
      <c r="E252" s="14"/>
      <c r="F252" s="14"/>
      <c r="G252" s="793"/>
      <c r="H252" s="14"/>
      <c r="I252" s="14"/>
      <c r="J252" s="609"/>
    </row>
    <row r="253" spans="1:10" hidden="1">
      <c r="A253" s="38" t="s">
        <v>912</v>
      </c>
      <c r="B253" s="37" t="s">
        <v>913</v>
      </c>
      <c r="C253" s="609" t="s">
        <v>839</v>
      </c>
      <c r="D253" s="14"/>
      <c r="E253" s="14"/>
      <c r="F253" s="14"/>
      <c r="G253" s="793"/>
      <c r="H253" s="14"/>
      <c r="I253" s="14"/>
      <c r="J253" s="609"/>
    </row>
    <row r="254" spans="1:10" hidden="1">
      <c r="A254" s="38" t="s">
        <v>914</v>
      </c>
      <c r="B254" s="37" t="s">
        <v>915</v>
      </c>
      <c r="C254" s="609" t="s">
        <v>839</v>
      </c>
      <c r="D254" s="14"/>
      <c r="E254" s="14"/>
      <c r="F254" s="14"/>
      <c r="G254" s="793"/>
      <c r="H254" s="14"/>
      <c r="I254" s="14"/>
      <c r="J254" s="609"/>
    </row>
    <row r="255" spans="1:10" hidden="1">
      <c r="A255" s="38" t="s">
        <v>916</v>
      </c>
      <c r="B255" s="37" t="s">
        <v>917</v>
      </c>
      <c r="C255" s="609" t="s">
        <v>839</v>
      </c>
      <c r="D255" s="14"/>
      <c r="E255" s="14"/>
      <c r="F255" s="14"/>
      <c r="G255" s="793"/>
      <c r="H255" s="14"/>
      <c r="I255" s="14"/>
      <c r="J255" s="609"/>
    </row>
    <row r="256" spans="1:10" hidden="1">
      <c r="A256" s="38" t="s">
        <v>918</v>
      </c>
      <c r="B256" s="37" t="s">
        <v>919</v>
      </c>
      <c r="C256" s="609" t="s">
        <v>839</v>
      </c>
      <c r="D256" s="14"/>
      <c r="E256" s="14"/>
      <c r="F256" s="14"/>
      <c r="G256" s="793"/>
      <c r="H256" s="14"/>
      <c r="I256" s="14"/>
      <c r="J256" s="609"/>
    </row>
    <row r="257" spans="1:10" hidden="1">
      <c r="A257" s="48" t="s">
        <v>920</v>
      </c>
      <c r="B257" s="37" t="s">
        <v>921</v>
      </c>
      <c r="C257" s="609" t="s">
        <v>839</v>
      </c>
      <c r="D257" s="14"/>
      <c r="E257" s="14"/>
      <c r="F257" s="14"/>
      <c r="G257" s="793"/>
      <c r="H257" s="14"/>
      <c r="I257" s="14"/>
      <c r="J257" s="609"/>
    </row>
    <row r="258" spans="1:10" hidden="1">
      <c r="A258" s="38" t="s">
        <v>922</v>
      </c>
      <c r="B258" s="37" t="s">
        <v>923</v>
      </c>
      <c r="C258" s="609" t="s">
        <v>839</v>
      </c>
      <c r="D258" s="14"/>
      <c r="E258" s="14"/>
      <c r="F258" s="14"/>
      <c r="G258" s="793"/>
      <c r="H258" s="14"/>
      <c r="I258" s="14"/>
      <c r="J258" s="609"/>
    </row>
    <row r="259" spans="1:10" hidden="1">
      <c r="A259" s="38" t="s">
        <v>924</v>
      </c>
      <c r="B259" s="37" t="s">
        <v>925</v>
      </c>
      <c r="C259" s="609" t="s">
        <v>839</v>
      </c>
      <c r="D259" s="14"/>
      <c r="E259" s="14"/>
      <c r="F259" s="14"/>
      <c r="G259" s="793"/>
      <c r="H259" s="14"/>
      <c r="I259" s="14"/>
      <c r="J259" s="609"/>
    </row>
    <row r="260" spans="1:10" hidden="1">
      <c r="A260" s="48" t="s">
        <v>926</v>
      </c>
      <c r="B260" s="37" t="s">
        <v>927</v>
      </c>
      <c r="C260" s="609" t="s">
        <v>839</v>
      </c>
      <c r="D260" s="14"/>
      <c r="E260" s="14"/>
      <c r="F260" s="14"/>
      <c r="G260" s="793"/>
      <c r="H260" s="14"/>
      <c r="I260" s="14"/>
      <c r="J260" s="609"/>
    </row>
    <row r="261" spans="1:10" hidden="1">
      <c r="A261" s="38" t="s">
        <v>928</v>
      </c>
      <c r="B261" s="37" t="s">
        <v>929</v>
      </c>
      <c r="C261" s="609" t="s">
        <v>839</v>
      </c>
      <c r="D261" s="14"/>
      <c r="E261" s="14"/>
      <c r="F261" s="14"/>
      <c r="G261" s="793"/>
      <c r="H261" s="14"/>
      <c r="I261" s="14"/>
      <c r="J261" s="609"/>
    </row>
    <row r="262" spans="1:10" hidden="1">
      <c r="A262" s="38" t="s">
        <v>930</v>
      </c>
      <c r="B262" s="37" t="s">
        <v>931</v>
      </c>
      <c r="C262" s="609" t="s">
        <v>839</v>
      </c>
      <c r="D262" s="14"/>
      <c r="E262" s="14"/>
      <c r="F262" s="14"/>
      <c r="G262" s="793"/>
      <c r="H262" s="14"/>
      <c r="I262" s="14"/>
      <c r="J262" s="609"/>
    </row>
    <row r="263" spans="1:10" hidden="1">
      <c r="A263" s="38" t="s">
        <v>932</v>
      </c>
      <c r="B263" s="37" t="s">
        <v>933</v>
      </c>
      <c r="C263" s="609" t="s">
        <v>839</v>
      </c>
      <c r="D263" s="14"/>
      <c r="E263" s="14"/>
      <c r="F263" s="14"/>
      <c r="G263" s="793"/>
      <c r="H263" s="14"/>
      <c r="I263" s="14"/>
      <c r="J263" s="609"/>
    </row>
    <row r="264" spans="1:10" hidden="1">
      <c r="A264" s="38" t="s">
        <v>934</v>
      </c>
      <c r="B264" s="37" t="s">
        <v>935</v>
      </c>
      <c r="C264" s="609" t="s">
        <v>728</v>
      </c>
      <c r="D264" s="14"/>
      <c r="E264" s="14"/>
      <c r="F264" s="14"/>
      <c r="G264" s="793"/>
      <c r="H264" s="14"/>
      <c r="I264" s="14"/>
      <c r="J264" s="609"/>
    </row>
    <row r="265" spans="1:10" hidden="1">
      <c r="A265" s="38" t="s">
        <v>936</v>
      </c>
      <c r="B265" s="37" t="s">
        <v>937</v>
      </c>
      <c r="C265" s="609" t="s">
        <v>728</v>
      </c>
      <c r="D265" s="14"/>
      <c r="E265" s="14"/>
      <c r="F265" s="14"/>
      <c r="G265" s="793"/>
      <c r="H265" s="14"/>
      <c r="I265" s="14"/>
      <c r="J265" s="609"/>
    </row>
    <row r="266" spans="1:10" hidden="1">
      <c r="A266" s="38" t="s">
        <v>938</v>
      </c>
      <c r="B266" s="37" t="s">
        <v>939</v>
      </c>
      <c r="C266" s="609" t="s">
        <v>728</v>
      </c>
      <c r="D266" s="14"/>
      <c r="E266" s="14"/>
      <c r="F266" s="14"/>
      <c r="G266" s="793"/>
      <c r="H266" s="14"/>
      <c r="I266" s="14"/>
      <c r="J266" s="609"/>
    </row>
    <row r="267" spans="1:10" hidden="1">
      <c r="A267" s="38" t="s">
        <v>940</v>
      </c>
      <c r="B267" s="37" t="s">
        <v>941</v>
      </c>
      <c r="C267" s="609" t="s">
        <v>575</v>
      </c>
      <c r="D267" s="14"/>
      <c r="E267" s="14"/>
      <c r="F267" s="14"/>
      <c r="G267" s="793"/>
      <c r="H267" s="14"/>
      <c r="I267" s="14"/>
      <c r="J267" s="609"/>
    </row>
    <row r="268" spans="1:10" hidden="1">
      <c r="A268" s="38" t="s">
        <v>942</v>
      </c>
      <c r="B268" s="37" t="s">
        <v>943</v>
      </c>
      <c r="C268" s="609" t="s">
        <v>575</v>
      </c>
      <c r="D268" s="14"/>
      <c r="E268" s="14"/>
      <c r="F268" s="14"/>
      <c r="G268" s="793"/>
      <c r="H268" s="14"/>
      <c r="I268" s="14"/>
      <c r="J268" s="609"/>
    </row>
    <row r="269" spans="1:10" hidden="1">
      <c r="A269" s="38" t="s">
        <v>944</v>
      </c>
      <c r="B269" s="37" t="s">
        <v>945</v>
      </c>
      <c r="C269" s="609" t="s">
        <v>575</v>
      </c>
      <c r="D269" s="14"/>
      <c r="E269" s="14"/>
      <c r="F269" s="14"/>
      <c r="G269" s="793"/>
      <c r="H269" s="14"/>
      <c r="I269" s="14"/>
      <c r="J269" s="609"/>
    </row>
    <row r="270" spans="1:10" hidden="1">
      <c r="A270" s="38" t="s">
        <v>946</v>
      </c>
      <c r="B270" s="37" t="s">
        <v>947</v>
      </c>
      <c r="C270" s="609" t="s">
        <v>575</v>
      </c>
      <c r="D270" s="14"/>
      <c r="E270" s="14"/>
      <c r="F270" s="14"/>
      <c r="G270" s="793"/>
      <c r="H270" s="14"/>
      <c r="I270" s="14"/>
      <c r="J270" s="609"/>
    </row>
    <row r="271" spans="1:10" hidden="1">
      <c r="A271" s="38" t="s">
        <v>948</v>
      </c>
      <c r="B271" s="37" t="s">
        <v>949</v>
      </c>
      <c r="C271" s="609" t="s">
        <v>575</v>
      </c>
      <c r="D271" s="14"/>
      <c r="E271" s="14"/>
      <c r="F271" s="14"/>
      <c r="G271" s="793"/>
      <c r="H271" s="14"/>
      <c r="I271" s="14"/>
      <c r="J271" s="609"/>
    </row>
    <row r="272" spans="1:10" hidden="1">
      <c r="A272" s="38" t="s">
        <v>950</v>
      </c>
      <c r="B272" s="37" t="s">
        <v>951</v>
      </c>
      <c r="C272" s="609" t="s">
        <v>728</v>
      </c>
      <c r="D272" s="14"/>
      <c r="E272" s="14"/>
      <c r="F272" s="14"/>
      <c r="G272" s="793"/>
      <c r="H272" s="14"/>
      <c r="I272" s="14"/>
      <c r="J272" s="609"/>
    </row>
    <row r="273" spans="1:10" hidden="1">
      <c r="A273" s="38" t="s">
        <v>952</v>
      </c>
      <c r="B273" s="37" t="s">
        <v>953</v>
      </c>
      <c r="C273" s="609" t="s">
        <v>747</v>
      </c>
      <c r="D273" s="14"/>
      <c r="E273" s="14"/>
      <c r="F273" s="14"/>
      <c r="G273" s="793"/>
      <c r="H273" s="14"/>
      <c r="I273" s="14"/>
      <c r="J273" s="609"/>
    </row>
    <row r="274" spans="1:10" hidden="1">
      <c r="A274" s="38" t="s">
        <v>954</v>
      </c>
      <c r="B274" s="37" t="s">
        <v>955</v>
      </c>
      <c r="C274" s="609" t="s">
        <v>747</v>
      </c>
      <c r="D274" s="14"/>
      <c r="E274" s="14"/>
      <c r="F274" s="14"/>
      <c r="G274" s="793"/>
      <c r="H274" s="14"/>
      <c r="I274" s="14"/>
      <c r="J274" s="609"/>
    </row>
    <row r="275" spans="1:10" hidden="1">
      <c r="A275" s="38" t="s">
        <v>956</v>
      </c>
      <c r="B275" s="37" t="s">
        <v>957</v>
      </c>
      <c r="C275" s="609" t="s">
        <v>747</v>
      </c>
      <c r="D275" s="14"/>
      <c r="E275" s="14"/>
      <c r="F275" s="14"/>
      <c r="G275" s="793"/>
      <c r="H275" s="14"/>
      <c r="I275" s="14"/>
      <c r="J275" s="609"/>
    </row>
    <row r="276" spans="1:10" hidden="1">
      <c r="A276" s="38" t="s">
        <v>958</v>
      </c>
      <c r="B276" s="37" t="s">
        <v>959</v>
      </c>
      <c r="C276" s="609" t="s">
        <v>747</v>
      </c>
      <c r="D276" s="14"/>
      <c r="E276" s="14"/>
      <c r="F276" s="14"/>
      <c r="G276" s="793"/>
      <c r="H276" s="14"/>
      <c r="I276" s="14"/>
      <c r="J276" s="609"/>
    </row>
    <row r="277" spans="1:10" hidden="1">
      <c r="A277" s="38" t="s">
        <v>960</v>
      </c>
      <c r="B277" s="37" t="s">
        <v>961</v>
      </c>
      <c r="C277" s="609" t="s">
        <v>747</v>
      </c>
      <c r="D277" s="14"/>
      <c r="E277" s="14"/>
      <c r="F277" s="14"/>
      <c r="G277" s="793"/>
      <c r="H277" s="14"/>
      <c r="I277" s="14"/>
      <c r="J277" s="609"/>
    </row>
    <row r="278" spans="1:10" hidden="1">
      <c r="A278" s="38" t="s">
        <v>962</v>
      </c>
      <c r="B278" s="37" t="s">
        <v>963</v>
      </c>
      <c r="C278" s="609" t="s">
        <v>964</v>
      </c>
      <c r="D278" s="14"/>
      <c r="E278" s="14"/>
      <c r="F278" s="14"/>
      <c r="G278" s="793"/>
      <c r="H278" s="14"/>
      <c r="I278" s="14"/>
      <c r="J278" s="609"/>
    </row>
    <row r="279" spans="1:10" hidden="1">
      <c r="A279" s="38" t="s">
        <v>965</v>
      </c>
      <c r="B279" s="37" t="s">
        <v>966</v>
      </c>
      <c r="C279" s="609" t="s">
        <v>964</v>
      </c>
      <c r="D279" s="14"/>
      <c r="E279" s="14"/>
      <c r="F279" s="14"/>
      <c r="G279" s="793"/>
      <c r="H279" s="14"/>
      <c r="I279" s="14"/>
      <c r="J279" s="609"/>
    </row>
    <row r="280" spans="1:10" hidden="1">
      <c r="A280" s="38" t="s">
        <v>967</v>
      </c>
      <c r="B280" s="37" t="s">
        <v>968</v>
      </c>
      <c r="C280" s="609" t="s">
        <v>964</v>
      </c>
      <c r="D280" s="14"/>
      <c r="E280" s="14"/>
      <c r="F280" s="14"/>
      <c r="G280" s="793"/>
      <c r="H280" s="14"/>
      <c r="I280" s="14"/>
      <c r="J280" s="609"/>
    </row>
    <row r="281" spans="1:10" hidden="1">
      <c r="A281" s="38" t="s">
        <v>1610</v>
      </c>
      <c r="B281" s="37" t="s">
        <v>969</v>
      </c>
      <c r="C281" s="609" t="s">
        <v>964</v>
      </c>
      <c r="D281" s="14"/>
      <c r="E281" s="14"/>
      <c r="F281" s="14"/>
      <c r="G281" s="793"/>
      <c r="H281" s="14"/>
      <c r="I281" s="14"/>
      <c r="J281" s="609"/>
    </row>
    <row r="282" spans="1:10" hidden="1">
      <c r="A282" s="38" t="s">
        <v>970</v>
      </c>
      <c r="B282" s="37" t="s">
        <v>971</v>
      </c>
      <c r="C282" s="609" t="s">
        <v>484</v>
      </c>
      <c r="D282" s="14"/>
      <c r="E282" s="14"/>
      <c r="F282" s="14"/>
      <c r="G282" s="793"/>
      <c r="H282" s="14"/>
      <c r="I282" s="14"/>
      <c r="J282" s="609"/>
    </row>
    <row r="283" spans="1:10" hidden="1">
      <c r="A283" s="38" t="s">
        <v>972</v>
      </c>
      <c r="B283" s="37" t="s">
        <v>973</v>
      </c>
      <c r="C283" s="609" t="s">
        <v>974</v>
      </c>
      <c r="D283" s="14"/>
      <c r="E283" s="14"/>
      <c r="F283" s="14"/>
      <c r="G283" s="793"/>
      <c r="H283" s="14"/>
      <c r="I283" s="14"/>
      <c r="J283" s="609"/>
    </row>
    <row r="284" spans="1:10" hidden="1">
      <c r="A284" s="38" t="s">
        <v>975</v>
      </c>
      <c r="B284" s="37" t="s">
        <v>976</v>
      </c>
      <c r="C284" s="609" t="s">
        <v>448</v>
      </c>
      <c r="D284" s="14"/>
      <c r="E284" s="14"/>
      <c r="F284" s="14"/>
      <c r="G284" s="793"/>
      <c r="H284" s="14"/>
      <c r="I284" s="14"/>
      <c r="J284" s="609"/>
    </row>
    <row r="285" spans="1:10" hidden="1">
      <c r="A285" s="38" t="s">
        <v>977</v>
      </c>
      <c r="B285" s="37" t="s">
        <v>978</v>
      </c>
      <c r="C285" s="609" t="s">
        <v>964</v>
      </c>
      <c r="D285" s="14"/>
      <c r="E285" s="14"/>
      <c r="F285" s="14"/>
      <c r="G285" s="793"/>
      <c r="H285" s="14"/>
      <c r="I285" s="14"/>
      <c r="J285" s="609"/>
    </row>
    <row r="286" spans="1:10" hidden="1">
      <c r="A286" s="38" t="s">
        <v>979</v>
      </c>
      <c r="B286" s="37" t="s">
        <v>980</v>
      </c>
      <c r="C286" s="609" t="s">
        <v>964</v>
      </c>
      <c r="D286" s="14"/>
      <c r="E286" s="14"/>
      <c r="F286" s="14"/>
      <c r="G286" s="793"/>
      <c r="H286" s="14"/>
      <c r="I286" s="14"/>
      <c r="J286" s="609"/>
    </row>
    <row r="287" spans="1:10" hidden="1">
      <c r="A287" s="38" t="s">
        <v>981</v>
      </c>
      <c r="B287" s="37" t="s">
        <v>982</v>
      </c>
      <c r="C287" s="609" t="s">
        <v>964</v>
      </c>
      <c r="D287" s="14"/>
      <c r="E287" s="14"/>
      <c r="F287" s="14"/>
      <c r="G287" s="793"/>
      <c r="H287" s="14"/>
      <c r="I287" s="14"/>
      <c r="J287" s="609"/>
    </row>
    <row r="288" spans="1:10" hidden="1">
      <c r="A288" s="38" t="s">
        <v>983</v>
      </c>
      <c r="B288" s="37" t="s">
        <v>984</v>
      </c>
      <c r="C288" s="609" t="s">
        <v>964</v>
      </c>
      <c r="D288" s="14"/>
      <c r="E288" s="14"/>
      <c r="F288" s="14"/>
      <c r="G288" s="793"/>
      <c r="H288" s="14"/>
      <c r="I288" s="14"/>
      <c r="J288" s="609"/>
    </row>
    <row r="289" spans="1:14" hidden="1">
      <c r="A289" s="38" t="s">
        <v>985</v>
      </c>
      <c r="B289" s="37" t="s">
        <v>986</v>
      </c>
      <c r="C289" s="609" t="s">
        <v>964</v>
      </c>
      <c r="D289" s="14"/>
      <c r="E289" s="14"/>
      <c r="F289" s="14"/>
      <c r="G289" s="793"/>
      <c r="H289" s="14"/>
      <c r="I289" s="14"/>
      <c r="J289" s="609"/>
    </row>
    <row r="290" spans="1:14" hidden="1">
      <c r="A290" s="38" t="s">
        <v>987</v>
      </c>
      <c r="B290" s="37" t="s">
        <v>988</v>
      </c>
      <c r="C290" s="609" t="s">
        <v>484</v>
      </c>
      <c r="D290" s="14"/>
      <c r="E290" s="14"/>
      <c r="F290" s="14"/>
      <c r="G290" s="793"/>
      <c r="H290" s="14"/>
      <c r="I290" s="14"/>
      <c r="J290" s="609"/>
    </row>
    <row r="291" spans="1:14" hidden="1">
      <c r="A291" s="38" t="s">
        <v>989</v>
      </c>
      <c r="B291" s="37" t="s">
        <v>990</v>
      </c>
      <c r="C291" s="609" t="s">
        <v>484</v>
      </c>
      <c r="D291" s="14"/>
      <c r="E291" s="14"/>
      <c r="F291" s="14"/>
      <c r="G291" s="793"/>
      <c r="H291" s="14"/>
      <c r="I291" s="14"/>
      <c r="J291" s="609"/>
    </row>
    <row r="292" spans="1:14" hidden="1">
      <c r="A292" s="38" t="s">
        <v>991</v>
      </c>
      <c r="B292" s="37" t="s">
        <v>992</v>
      </c>
      <c r="C292" s="609" t="s">
        <v>484</v>
      </c>
      <c r="D292" s="14"/>
      <c r="E292" s="14"/>
      <c r="F292" s="14"/>
      <c r="G292" s="793"/>
      <c r="H292" s="14"/>
      <c r="I292" s="14"/>
      <c r="J292" s="609"/>
    </row>
    <row r="293" spans="1:14" hidden="1">
      <c r="A293" s="38" t="s">
        <v>993</v>
      </c>
      <c r="B293" s="37" t="s">
        <v>994</v>
      </c>
      <c r="C293" s="609" t="s">
        <v>484</v>
      </c>
      <c r="D293" s="14"/>
      <c r="E293" s="14"/>
      <c r="F293" s="14"/>
      <c r="G293" s="793"/>
      <c r="H293" s="14"/>
      <c r="I293" s="14"/>
      <c r="J293" s="609"/>
    </row>
    <row r="294" spans="1:14" hidden="1">
      <c r="A294" s="38" t="s">
        <v>995</v>
      </c>
      <c r="B294" s="37" t="s">
        <v>996</v>
      </c>
      <c r="C294" s="609" t="s">
        <v>484</v>
      </c>
      <c r="D294" s="14"/>
      <c r="E294" s="14"/>
      <c r="F294" s="14"/>
      <c r="G294" s="793"/>
      <c r="H294" s="14"/>
      <c r="I294" s="14"/>
      <c r="J294" s="609"/>
    </row>
    <row r="295" spans="1:14" hidden="1">
      <c r="A295" s="38" t="s">
        <v>37</v>
      </c>
      <c r="B295" s="37" t="s">
        <v>997</v>
      </c>
      <c r="C295" s="609" t="s">
        <v>484</v>
      </c>
      <c r="D295" s="14"/>
      <c r="E295" s="14"/>
      <c r="F295" s="14"/>
      <c r="G295" s="793"/>
      <c r="H295" s="14"/>
      <c r="I295" s="14"/>
      <c r="J295" s="609"/>
    </row>
    <row r="296" spans="1:14" hidden="1">
      <c r="A296" s="38" t="s">
        <v>998</v>
      </c>
      <c r="B296" s="37" t="s">
        <v>999</v>
      </c>
      <c r="C296" s="609" t="s">
        <v>484</v>
      </c>
      <c r="D296" s="14"/>
      <c r="E296" s="14"/>
      <c r="F296" s="14"/>
      <c r="G296" s="793"/>
      <c r="H296" s="14"/>
      <c r="I296" s="14"/>
      <c r="J296" s="609"/>
    </row>
    <row r="297" spans="1:14" hidden="1">
      <c r="A297" s="38" t="s">
        <v>1000</v>
      </c>
      <c r="B297" s="37" t="s">
        <v>1001</v>
      </c>
      <c r="C297" s="609" t="s">
        <v>484</v>
      </c>
      <c r="D297" s="14"/>
      <c r="E297" s="14"/>
      <c r="F297" s="14"/>
      <c r="G297" s="793"/>
      <c r="H297" s="14"/>
      <c r="I297" s="14"/>
      <c r="J297" s="609"/>
    </row>
    <row r="298" spans="1:14" hidden="1">
      <c r="A298" s="38" t="s">
        <v>1002</v>
      </c>
      <c r="B298" s="37" t="s">
        <v>1003</v>
      </c>
      <c r="C298" s="609" t="s">
        <v>625</v>
      </c>
      <c r="D298" s="14"/>
      <c r="E298" s="14"/>
      <c r="F298" s="14"/>
      <c r="G298" s="793"/>
      <c r="H298" s="14"/>
      <c r="I298" s="14"/>
      <c r="J298" s="609"/>
    </row>
    <row r="299" spans="1:14" hidden="1">
      <c r="A299" s="38" t="s">
        <v>1004</v>
      </c>
      <c r="B299" s="37" t="s">
        <v>1005</v>
      </c>
      <c r="C299" s="609" t="s">
        <v>484</v>
      </c>
      <c r="D299" s="14"/>
      <c r="E299" s="14"/>
      <c r="F299" s="14"/>
      <c r="G299" s="793"/>
      <c r="H299" s="14"/>
      <c r="I299" s="14"/>
      <c r="J299" s="609"/>
    </row>
    <row r="300" spans="1:14" hidden="1">
      <c r="A300" s="38" t="s">
        <v>1006</v>
      </c>
      <c r="B300" s="37" t="s">
        <v>1007</v>
      </c>
      <c r="C300" s="609" t="s">
        <v>484</v>
      </c>
      <c r="D300" s="14"/>
      <c r="E300" s="14"/>
      <c r="F300" s="14"/>
      <c r="G300" s="793"/>
      <c r="H300" s="14"/>
      <c r="I300" s="14"/>
      <c r="J300" s="609"/>
    </row>
    <row r="301" spans="1:14" hidden="1">
      <c r="A301" s="38" t="s">
        <v>1008</v>
      </c>
      <c r="B301" s="37" t="s">
        <v>1009</v>
      </c>
      <c r="C301" s="609" t="s">
        <v>484</v>
      </c>
      <c r="D301" s="14"/>
      <c r="E301" s="14"/>
      <c r="F301" s="14"/>
      <c r="G301" s="793"/>
      <c r="H301" s="14"/>
      <c r="I301" s="14"/>
      <c r="J301" s="609"/>
      <c r="K301" s="13" t="s">
        <v>80</v>
      </c>
      <c r="L301" s="13">
        <v>1</v>
      </c>
    </row>
    <row r="302" spans="1:14" hidden="1">
      <c r="A302" s="38" t="s">
        <v>38</v>
      </c>
      <c r="B302" s="37" t="s">
        <v>313</v>
      </c>
      <c r="C302" s="609" t="s">
        <v>484</v>
      </c>
      <c r="D302" s="14"/>
      <c r="E302" s="14"/>
      <c r="F302" s="14"/>
      <c r="G302" s="793"/>
      <c r="H302" s="14"/>
      <c r="I302" s="14"/>
      <c r="J302" s="609"/>
      <c r="K302" s="13" t="s">
        <v>80</v>
      </c>
      <c r="L302" s="13">
        <v>1</v>
      </c>
    </row>
    <row r="303" spans="1:14" hidden="1">
      <c r="A303" s="38" t="s">
        <v>419</v>
      </c>
      <c r="B303" s="37" t="s">
        <v>389</v>
      </c>
      <c r="C303" s="609" t="s">
        <v>484</v>
      </c>
      <c r="D303" s="14"/>
      <c r="E303" s="14"/>
      <c r="F303" s="14"/>
      <c r="G303" s="793"/>
      <c r="H303" s="14"/>
      <c r="I303" s="14"/>
      <c r="J303" s="609"/>
      <c r="K303" s="13" t="s">
        <v>80</v>
      </c>
      <c r="L303" s="13">
        <v>1</v>
      </c>
      <c r="M303" s="13" t="s">
        <v>70</v>
      </c>
      <c r="N303" s="13">
        <v>1</v>
      </c>
    </row>
    <row r="304" spans="1:14" hidden="1">
      <c r="A304" s="38" t="s">
        <v>1010</v>
      </c>
      <c r="B304" s="37" t="s">
        <v>1011</v>
      </c>
      <c r="C304" s="609" t="s">
        <v>484</v>
      </c>
      <c r="D304" s="14"/>
      <c r="E304" s="14"/>
      <c r="F304" s="14"/>
      <c r="G304" s="793"/>
      <c r="H304" s="14"/>
      <c r="I304" s="14"/>
      <c r="J304" s="609"/>
    </row>
    <row r="305" spans="1:10" hidden="1">
      <c r="A305" s="38" t="s">
        <v>1012</v>
      </c>
      <c r="B305" s="37" t="s">
        <v>1013</v>
      </c>
      <c r="C305" s="609" t="s">
        <v>484</v>
      </c>
      <c r="D305" s="14"/>
      <c r="E305" s="14"/>
      <c r="F305" s="14"/>
      <c r="G305" s="793"/>
      <c r="H305" s="14"/>
      <c r="I305" s="14"/>
      <c r="J305" s="609"/>
    </row>
    <row r="306" spans="1:10" hidden="1">
      <c r="A306" s="38" t="s">
        <v>1014</v>
      </c>
      <c r="B306" s="37" t="s">
        <v>1015</v>
      </c>
      <c r="C306" s="609" t="s">
        <v>484</v>
      </c>
      <c r="D306" s="14"/>
      <c r="E306" s="14"/>
      <c r="F306" s="14"/>
      <c r="G306" s="793"/>
      <c r="H306" s="14"/>
      <c r="I306" s="14"/>
      <c r="J306" s="609"/>
    </row>
    <row r="307" spans="1:10" hidden="1">
      <c r="A307" s="38" t="s">
        <v>1016</v>
      </c>
      <c r="B307" s="37" t="s">
        <v>1017</v>
      </c>
      <c r="C307" s="609" t="s">
        <v>484</v>
      </c>
      <c r="D307" s="14"/>
      <c r="E307" s="14"/>
      <c r="F307" s="14"/>
      <c r="G307" s="793"/>
      <c r="H307" s="14"/>
      <c r="I307" s="14"/>
      <c r="J307" s="609"/>
    </row>
    <row r="308" spans="1:10" hidden="1">
      <c r="A308" s="38" t="s">
        <v>1018</v>
      </c>
      <c r="B308" s="37" t="s">
        <v>1019</v>
      </c>
      <c r="C308" s="609" t="s">
        <v>484</v>
      </c>
      <c r="D308" s="14"/>
      <c r="E308" s="14"/>
      <c r="F308" s="14"/>
      <c r="G308" s="793"/>
      <c r="H308" s="14"/>
      <c r="I308" s="14"/>
      <c r="J308" s="609"/>
    </row>
    <row r="309" spans="1:10" hidden="1">
      <c r="A309" s="38" t="s">
        <v>1020</v>
      </c>
      <c r="B309" s="37" t="s">
        <v>1021</v>
      </c>
      <c r="C309" s="609" t="s">
        <v>484</v>
      </c>
      <c r="D309" s="14"/>
      <c r="E309" s="14"/>
      <c r="F309" s="14"/>
      <c r="G309" s="793"/>
      <c r="H309" s="14"/>
      <c r="I309" s="14"/>
      <c r="J309" s="609"/>
    </row>
    <row r="310" spans="1:10" hidden="1">
      <c r="A310" s="38" t="s">
        <v>1022</v>
      </c>
      <c r="B310" s="37" t="s">
        <v>1023</v>
      </c>
      <c r="C310" s="609" t="s">
        <v>964</v>
      </c>
      <c r="D310" s="14"/>
      <c r="E310" s="14"/>
      <c r="F310" s="14"/>
      <c r="G310" s="793"/>
      <c r="H310" s="14"/>
      <c r="I310" s="14"/>
      <c r="J310" s="609"/>
    </row>
    <row r="311" spans="1:10" hidden="1">
      <c r="A311" s="38" t="s">
        <v>1024</v>
      </c>
      <c r="B311" s="37" t="s">
        <v>1025</v>
      </c>
      <c r="C311" s="609" t="s">
        <v>484</v>
      </c>
      <c r="D311" s="14"/>
      <c r="E311" s="14"/>
      <c r="F311" s="14"/>
      <c r="G311" s="793"/>
      <c r="H311" s="14"/>
      <c r="I311" s="14"/>
      <c r="J311" s="609"/>
    </row>
    <row r="312" spans="1:10" hidden="1">
      <c r="A312" s="38" t="s">
        <v>1026</v>
      </c>
      <c r="B312" s="37" t="s">
        <v>1027</v>
      </c>
      <c r="C312" s="609" t="s">
        <v>484</v>
      </c>
      <c r="D312" s="14"/>
      <c r="E312" s="14"/>
      <c r="F312" s="14"/>
      <c r="G312" s="793"/>
      <c r="H312" s="14"/>
      <c r="I312" s="14"/>
      <c r="J312" s="609"/>
    </row>
    <row r="313" spans="1:10" hidden="1">
      <c r="A313" s="38" t="s">
        <v>1028</v>
      </c>
      <c r="B313" s="37" t="s">
        <v>1029</v>
      </c>
      <c r="C313" s="609" t="s">
        <v>484</v>
      </c>
      <c r="D313" s="14"/>
      <c r="E313" s="14"/>
      <c r="F313" s="14"/>
      <c r="G313" s="793"/>
      <c r="H313" s="14"/>
      <c r="I313" s="14"/>
      <c r="J313" s="609"/>
    </row>
    <row r="314" spans="1:10" hidden="1">
      <c r="A314" s="38" t="s">
        <v>1030</v>
      </c>
      <c r="B314" s="37" t="s">
        <v>1031</v>
      </c>
      <c r="C314" s="609" t="s">
        <v>484</v>
      </c>
      <c r="D314" s="14"/>
      <c r="E314" s="14"/>
      <c r="F314" s="14"/>
      <c r="G314" s="793"/>
      <c r="H314" s="14"/>
      <c r="I314" s="14"/>
      <c r="J314" s="609"/>
    </row>
    <row r="315" spans="1:10" hidden="1">
      <c r="A315" s="38" t="s">
        <v>250</v>
      </c>
      <c r="B315" s="37" t="s">
        <v>1032</v>
      </c>
      <c r="C315" s="609" t="s">
        <v>484</v>
      </c>
      <c r="D315" s="14"/>
      <c r="E315" s="14"/>
      <c r="F315" s="14"/>
      <c r="G315" s="793"/>
      <c r="H315" s="14"/>
      <c r="I315" s="14"/>
      <c r="J315" s="609"/>
    </row>
    <row r="316" spans="1:10" hidden="1">
      <c r="A316" s="38" t="s">
        <v>1033</v>
      </c>
      <c r="B316" s="37" t="s">
        <v>1034</v>
      </c>
      <c r="C316" s="609" t="s">
        <v>484</v>
      </c>
      <c r="D316" s="14"/>
      <c r="E316" s="14"/>
      <c r="F316" s="14"/>
      <c r="G316" s="793"/>
      <c r="H316" s="14"/>
      <c r="I316" s="14"/>
      <c r="J316" s="609"/>
    </row>
    <row r="317" spans="1:10" hidden="1">
      <c r="A317" s="38" t="s">
        <v>1035</v>
      </c>
      <c r="B317" s="37" t="s">
        <v>1036</v>
      </c>
      <c r="C317" s="609" t="s">
        <v>484</v>
      </c>
      <c r="D317" s="14"/>
      <c r="E317" s="14"/>
      <c r="F317" s="14"/>
      <c r="G317" s="793"/>
      <c r="H317" s="14"/>
      <c r="I317" s="14"/>
      <c r="J317" s="609"/>
    </row>
    <row r="318" spans="1:10" hidden="1">
      <c r="A318" s="38" t="s">
        <v>1037</v>
      </c>
      <c r="B318" s="37" t="s">
        <v>1038</v>
      </c>
      <c r="C318" s="609" t="s">
        <v>448</v>
      </c>
      <c r="D318" s="14"/>
      <c r="E318" s="14"/>
      <c r="F318" s="14"/>
      <c r="G318" s="793"/>
      <c r="H318" s="14"/>
      <c r="I318" s="14"/>
      <c r="J318" s="609"/>
    </row>
    <row r="319" spans="1:10" hidden="1">
      <c r="A319" s="38" t="s">
        <v>1039</v>
      </c>
      <c r="B319" s="37" t="s">
        <v>1040</v>
      </c>
      <c r="C319" s="609" t="s">
        <v>448</v>
      </c>
      <c r="D319" s="14"/>
      <c r="E319" s="14"/>
      <c r="F319" s="14"/>
      <c r="G319" s="793"/>
      <c r="H319" s="14"/>
      <c r="I319" s="14"/>
      <c r="J319" s="609"/>
    </row>
    <row r="320" spans="1:10" hidden="1">
      <c r="A320" s="38" t="s">
        <v>1041</v>
      </c>
      <c r="B320" s="37" t="s">
        <v>1042</v>
      </c>
      <c r="C320" s="609" t="s">
        <v>448</v>
      </c>
      <c r="D320" s="14"/>
      <c r="E320" s="14"/>
      <c r="F320" s="14"/>
      <c r="G320" s="793"/>
      <c r="H320" s="14"/>
      <c r="I320" s="14"/>
      <c r="J320" s="609"/>
    </row>
    <row r="321" spans="1:10" hidden="1">
      <c r="A321" s="38" t="s">
        <v>1043</v>
      </c>
      <c r="B321" s="37" t="s">
        <v>1044</v>
      </c>
      <c r="C321" s="609" t="s">
        <v>448</v>
      </c>
      <c r="D321" s="14"/>
      <c r="E321" s="14"/>
      <c r="F321" s="14"/>
      <c r="G321" s="793"/>
      <c r="H321" s="14"/>
      <c r="I321" s="14"/>
      <c r="J321" s="609"/>
    </row>
    <row r="322" spans="1:10" hidden="1">
      <c r="A322" s="38" t="s">
        <v>1045</v>
      </c>
      <c r="B322" s="37" t="s">
        <v>1046</v>
      </c>
      <c r="C322" s="609" t="s">
        <v>448</v>
      </c>
      <c r="D322" s="14"/>
      <c r="E322" s="14"/>
      <c r="F322" s="14"/>
      <c r="G322" s="793"/>
      <c r="H322" s="14"/>
      <c r="I322" s="14"/>
      <c r="J322" s="609"/>
    </row>
    <row r="323" spans="1:10" hidden="1">
      <c r="A323" s="38" t="s">
        <v>1047</v>
      </c>
      <c r="B323" s="37" t="s">
        <v>1048</v>
      </c>
      <c r="C323" s="609" t="s">
        <v>448</v>
      </c>
      <c r="D323" s="14"/>
      <c r="E323" s="14"/>
      <c r="F323" s="14"/>
      <c r="G323" s="793"/>
      <c r="H323" s="14"/>
      <c r="I323" s="14"/>
      <c r="J323" s="609"/>
    </row>
    <row r="324" spans="1:10" hidden="1">
      <c r="A324" s="38" t="s">
        <v>1049</v>
      </c>
      <c r="B324" s="37" t="s">
        <v>1050</v>
      </c>
      <c r="C324" s="609" t="s">
        <v>448</v>
      </c>
      <c r="D324" s="14"/>
      <c r="E324" s="14"/>
      <c r="F324" s="14"/>
      <c r="G324" s="793"/>
      <c r="H324" s="14"/>
      <c r="I324" s="14"/>
      <c r="J324" s="609"/>
    </row>
    <row r="325" spans="1:10" hidden="1">
      <c r="A325" s="38" t="s">
        <v>1051</v>
      </c>
      <c r="B325" s="37" t="s">
        <v>1052</v>
      </c>
      <c r="C325" s="609" t="s">
        <v>448</v>
      </c>
      <c r="D325" s="14"/>
      <c r="E325" s="14"/>
      <c r="F325" s="14"/>
      <c r="G325" s="793"/>
      <c r="H325" s="14"/>
      <c r="I325" s="14"/>
      <c r="J325" s="609"/>
    </row>
    <row r="326" spans="1:10" hidden="1">
      <c r="A326" s="38" t="s">
        <v>1053</v>
      </c>
      <c r="B326" s="37" t="s">
        <v>1054</v>
      </c>
      <c r="C326" s="609" t="s">
        <v>448</v>
      </c>
      <c r="D326" s="14"/>
      <c r="E326" s="14"/>
      <c r="F326" s="14"/>
      <c r="G326" s="793"/>
      <c r="H326" s="14"/>
      <c r="I326" s="14"/>
      <c r="J326" s="609"/>
    </row>
    <row r="327" spans="1:10" hidden="1">
      <c r="A327" s="38" t="s">
        <v>1055</v>
      </c>
      <c r="B327" s="37" t="s">
        <v>1056</v>
      </c>
      <c r="C327" s="609" t="s">
        <v>448</v>
      </c>
      <c r="D327" s="14"/>
      <c r="E327" s="14"/>
      <c r="F327" s="14"/>
      <c r="G327" s="793"/>
      <c r="H327" s="14"/>
      <c r="I327" s="14"/>
      <c r="J327" s="609"/>
    </row>
    <row r="328" spans="1:10" hidden="1">
      <c r="A328" s="38" t="s">
        <v>1057</v>
      </c>
      <c r="B328" s="37" t="s">
        <v>1058</v>
      </c>
      <c r="C328" s="609" t="s">
        <v>448</v>
      </c>
      <c r="D328" s="14"/>
      <c r="E328" s="14"/>
      <c r="F328" s="14"/>
      <c r="G328" s="793"/>
      <c r="H328" s="14"/>
      <c r="I328" s="14"/>
      <c r="J328" s="609"/>
    </row>
    <row r="329" spans="1:10" hidden="1">
      <c r="A329" s="38" t="s">
        <v>1059</v>
      </c>
      <c r="B329" s="37" t="s">
        <v>1060</v>
      </c>
      <c r="C329" s="609" t="s">
        <v>448</v>
      </c>
      <c r="D329" s="14"/>
      <c r="E329" s="14"/>
      <c r="F329" s="14"/>
      <c r="G329" s="793"/>
      <c r="H329" s="14"/>
      <c r="I329" s="14"/>
      <c r="J329" s="609"/>
    </row>
    <row r="330" spans="1:10" hidden="1">
      <c r="A330" s="38" t="s">
        <v>1061</v>
      </c>
      <c r="B330" s="37" t="s">
        <v>1062</v>
      </c>
      <c r="C330" s="609" t="s">
        <v>448</v>
      </c>
      <c r="D330" s="14"/>
      <c r="E330" s="14"/>
      <c r="F330" s="14"/>
      <c r="G330" s="793"/>
      <c r="H330" s="14"/>
      <c r="I330" s="14"/>
      <c r="J330" s="609"/>
    </row>
    <row r="331" spans="1:10" hidden="1">
      <c r="A331" s="38" t="s">
        <v>1063</v>
      </c>
      <c r="B331" s="37" t="s">
        <v>1064</v>
      </c>
      <c r="C331" s="609" t="s">
        <v>448</v>
      </c>
      <c r="D331" s="14"/>
      <c r="E331" s="14"/>
      <c r="F331" s="14"/>
      <c r="G331" s="793"/>
      <c r="H331" s="14"/>
      <c r="I331" s="14"/>
      <c r="J331" s="609"/>
    </row>
    <row r="332" spans="1:10" hidden="1">
      <c r="A332" s="38" t="s">
        <v>1065</v>
      </c>
      <c r="B332" s="37" t="s">
        <v>1066</v>
      </c>
      <c r="C332" s="609" t="s">
        <v>714</v>
      </c>
      <c r="D332" s="14"/>
      <c r="E332" s="14"/>
      <c r="F332" s="14"/>
      <c r="G332" s="793"/>
      <c r="H332" s="14"/>
      <c r="I332" s="14"/>
      <c r="J332" s="609"/>
    </row>
    <row r="333" spans="1:10" hidden="1">
      <c r="A333" s="38" t="s">
        <v>1067</v>
      </c>
      <c r="B333" s="37" t="s">
        <v>1068</v>
      </c>
      <c r="C333" s="609" t="s">
        <v>714</v>
      </c>
      <c r="D333" s="14"/>
      <c r="E333" s="14"/>
      <c r="F333" s="14"/>
      <c r="G333" s="793"/>
      <c r="H333" s="14"/>
      <c r="I333" s="14"/>
      <c r="J333" s="609"/>
    </row>
    <row r="334" spans="1:10" hidden="1">
      <c r="A334" s="38" t="s">
        <v>1069</v>
      </c>
      <c r="B334" s="37" t="s">
        <v>1070</v>
      </c>
      <c r="C334" s="609" t="s">
        <v>714</v>
      </c>
      <c r="D334" s="14"/>
      <c r="E334" s="14"/>
      <c r="F334" s="14"/>
      <c r="G334" s="793"/>
      <c r="H334" s="14"/>
      <c r="I334" s="14"/>
      <c r="J334" s="609"/>
    </row>
    <row r="335" spans="1:10" hidden="1">
      <c r="A335" s="38" t="s">
        <v>1071</v>
      </c>
      <c r="B335" s="37" t="s">
        <v>1072</v>
      </c>
      <c r="C335" s="609" t="s">
        <v>714</v>
      </c>
      <c r="D335" s="14"/>
      <c r="E335" s="14"/>
      <c r="F335" s="14"/>
      <c r="G335" s="793"/>
      <c r="H335" s="14"/>
      <c r="I335" s="14"/>
      <c r="J335" s="609"/>
    </row>
    <row r="336" spans="1:10" hidden="1">
      <c r="A336" s="38" t="s">
        <v>1073</v>
      </c>
      <c r="B336" s="37" t="s">
        <v>1074</v>
      </c>
      <c r="C336" s="609" t="s">
        <v>714</v>
      </c>
      <c r="D336" s="14"/>
      <c r="E336" s="14"/>
      <c r="F336" s="14"/>
      <c r="G336" s="793"/>
      <c r="H336" s="14"/>
      <c r="I336" s="14"/>
      <c r="J336" s="609"/>
    </row>
    <row r="337" spans="1:10" hidden="1">
      <c r="A337" s="38" t="s">
        <v>1075</v>
      </c>
      <c r="B337" s="37" t="s">
        <v>1076</v>
      </c>
      <c r="C337" s="609" t="s">
        <v>714</v>
      </c>
      <c r="D337" s="14"/>
      <c r="E337" s="14"/>
      <c r="F337" s="14"/>
      <c r="G337" s="793"/>
      <c r="H337" s="14"/>
      <c r="I337" s="14"/>
      <c r="J337" s="609"/>
    </row>
    <row r="338" spans="1:10" hidden="1">
      <c r="A338" s="38" t="s">
        <v>1077</v>
      </c>
      <c r="B338" s="37" t="s">
        <v>1078</v>
      </c>
      <c r="C338" s="609" t="s">
        <v>714</v>
      </c>
      <c r="D338" s="14"/>
      <c r="E338" s="14"/>
      <c r="F338" s="14"/>
      <c r="G338" s="793"/>
      <c r="H338" s="14"/>
      <c r="I338" s="14"/>
      <c r="J338" s="609"/>
    </row>
    <row r="339" spans="1:10" hidden="1">
      <c r="A339" s="38" t="s">
        <v>1079</v>
      </c>
      <c r="B339" s="37" t="s">
        <v>1080</v>
      </c>
      <c r="C339" s="609" t="s">
        <v>714</v>
      </c>
      <c r="D339" s="14"/>
      <c r="E339" s="14"/>
      <c r="F339" s="14"/>
      <c r="G339" s="793"/>
      <c r="H339" s="14"/>
      <c r="I339" s="14"/>
      <c r="J339" s="609"/>
    </row>
    <row r="340" spans="1:10" hidden="1">
      <c r="A340" s="38" t="s">
        <v>1081</v>
      </c>
      <c r="B340" s="37" t="s">
        <v>1082</v>
      </c>
      <c r="C340" s="609" t="s">
        <v>714</v>
      </c>
      <c r="D340" s="14"/>
      <c r="E340" s="14"/>
      <c r="F340" s="14"/>
      <c r="G340" s="793"/>
      <c r="H340" s="14"/>
      <c r="I340" s="14"/>
      <c r="J340" s="609"/>
    </row>
    <row r="341" spans="1:10" hidden="1">
      <c r="A341" s="38" t="s">
        <v>1083</v>
      </c>
      <c r="B341" s="37" t="s">
        <v>1084</v>
      </c>
      <c r="C341" s="609" t="s">
        <v>714</v>
      </c>
      <c r="D341" s="14"/>
      <c r="E341" s="14"/>
      <c r="F341" s="14"/>
      <c r="G341" s="793"/>
      <c r="H341" s="14"/>
      <c r="I341" s="14"/>
      <c r="J341" s="609"/>
    </row>
    <row r="342" spans="1:10" hidden="1">
      <c r="A342" s="38" t="s">
        <v>1085</v>
      </c>
      <c r="B342" s="37" t="s">
        <v>1086</v>
      </c>
      <c r="C342" s="609" t="s">
        <v>714</v>
      </c>
      <c r="D342" s="14"/>
      <c r="E342" s="14"/>
      <c r="F342" s="14"/>
      <c r="G342" s="793"/>
      <c r="H342" s="14"/>
      <c r="I342" s="14"/>
      <c r="J342" s="609"/>
    </row>
    <row r="343" spans="1:10" hidden="1">
      <c r="A343" s="38" t="s">
        <v>1087</v>
      </c>
      <c r="B343" s="37" t="s">
        <v>1088</v>
      </c>
      <c r="C343" s="609" t="s">
        <v>714</v>
      </c>
      <c r="D343" s="14"/>
      <c r="E343" s="14"/>
      <c r="F343" s="14"/>
      <c r="G343" s="793"/>
      <c r="H343" s="14"/>
      <c r="I343" s="14"/>
      <c r="J343" s="609"/>
    </row>
    <row r="344" spans="1:10" hidden="1">
      <c r="A344" s="38" t="s">
        <v>1089</v>
      </c>
      <c r="B344" s="37" t="s">
        <v>1090</v>
      </c>
      <c r="C344" s="609" t="s">
        <v>714</v>
      </c>
      <c r="D344" s="14"/>
      <c r="E344" s="14"/>
      <c r="F344" s="14"/>
      <c r="G344" s="793"/>
      <c r="H344" s="14"/>
      <c r="I344" s="14"/>
      <c r="J344" s="609"/>
    </row>
    <row r="345" spans="1:10" hidden="1">
      <c r="A345" s="38" t="s">
        <v>1091</v>
      </c>
      <c r="B345" s="37" t="s">
        <v>1092</v>
      </c>
      <c r="C345" s="609" t="s">
        <v>714</v>
      </c>
      <c r="D345" s="14"/>
      <c r="E345" s="14"/>
      <c r="F345" s="14"/>
      <c r="G345" s="793"/>
      <c r="H345" s="14"/>
      <c r="I345" s="14"/>
      <c r="J345" s="609"/>
    </row>
    <row r="346" spans="1:10" hidden="1">
      <c r="A346" s="38" t="s">
        <v>1093</v>
      </c>
      <c r="B346" s="37" t="s">
        <v>1094</v>
      </c>
      <c r="C346" s="609" t="s">
        <v>592</v>
      </c>
      <c r="D346" s="14"/>
      <c r="E346" s="14"/>
      <c r="F346" s="14"/>
      <c r="G346" s="793"/>
      <c r="H346" s="14"/>
      <c r="I346" s="14"/>
      <c r="J346" s="609"/>
    </row>
    <row r="347" spans="1:10" hidden="1">
      <c r="A347" s="38" t="s">
        <v>1095</v>
      </c>
      <c r="B347" s="37" t="s">
        <v>1096</v>
      </c>
      <c r="C347" s="609" t="s">
        <v>592</v>
      </c>
      <c r="D347" s="14"/>
      <c r="E347" s="14"/>
      <c r="F347" s="14"/>
      <c r="G347" s="793"/>
      <c r="H347" s="14"/>
      <c r="I347" s="14"/>
      <c r="J347" s="609"/>
    </row>
    <row r="348" spans="1:10" hidden="1">
      <c r="A348" s="38" t="s">
        <v>1097</v>
      </c>
      <c r="B348" s="37" t="s">
        <v>1098</v>
      </c>
      <c r="C348" s="609" t="s">
        <v>592</v>
      </c>
      <c r="D348" s="14"/>
      <c r="E348" s="14"/>
      <c r="F348" s="14"/>
      <c r="G348" s="793"/>
      <c r="H348" s="14"/>
      <c r="I348" s="14"/>
      <c r="J348" s="609"/>
    </row>
    <row r="349" spans="1:10" hidden="1">
      <c r="A349" s="38" t="s">
        <v>1099</v>
      </c>
      <c r="B349" s="37" t="s">
        <v>1100</v>
      </c>
      <c r="C349" s="609" t="s">
        <v>592</v>
      </c>
      <c r="D349" s="14"/>
      <c r="E349" s="14"/>
      <c r="F349" s="14"/>
      <c r="G349" s="793"/>
      <c r="H349" s="14"/>
      <c r="I349" s="14"/>
      <c r="J349" s="609"/>
    </row>
    <row r="350" spans="1:10" hidden="1">
      <c r="A350" s="38" t="s">
        <v>1101</v>
      </c>
      <c r="B350" s="37" t="s">
        <v>1102</v>
      </c>
      <c r="C350" s="609" t="s">
        <v>592</v>
      </c>
      <c r="D350" s="14"/>
      <c r="E350" s="14"/>
      <c r="F350" s="14"/>
      <c r="G350" s="793"/>
      <c r="H350" s="14"/>
      <c r="I350" s="14"/>
      <c r="J350" s="609"/>
    </row>
    <row r="351" spans="1:10" hidden="1">
      <c r="A351" s="38" t="s">
        <v>1103</v>
      </c>
      <c r="B351" s="37" t="s">
        <v>1104</v>
      </c>
      <c r="C351" s="609" t="s">
        <v>592</v>
      </c>
      <c r="D351" s="14"/>
      <c r="E351" s="14"/>
      <c r="F351" s="14"/>
      <c r="G351" s="793"/>
      <c r="H351" s="14"/>
      <c r="I351" s="14"/>
      <c r="J351" s="609"/>
    </row>
    <row r="352" spans="1:10" hidden="1">
      <c r="A352" s="38" t="s">
        <v>1105</v>
      </c>
      <c r="B352" s="37" t="s">
        <v>1106</v>
      </c>
      <c r="C352" s="609" t="s">
        <v>592</v>
      </c>
      <c r="D352" s="14"/>
      <c r="E352" s="14"/>
      <c r="F352" s="14"/>
      <c r="G352" s="793"/>
      <c r="H352" s="14"/>
      <c r="I352" s="14"/>
      <c r="J352" s="609"/>
    </row>
    <row r="353" spans="1:10" hidden="1">
      <c r="A353" s="38" t="s">
        <v>1107</v>
      </c>
      <c r="B353" s="37" t="s">
        <v>1108</v>
      </c>
      <c r="C353" s="609" t="s">
        <v>592</v>
      </c>
      <c r="D353" s="14"/>
      <c r="E353" s="14"/>
      <c r="F353" s="14"/>
      <c r="G353" s="793"/>
      <c r="H353" s="14"/>
      <c r="I353" s="14"/>
      <c r="J353" s="609"/>
    </row>
    <row r="354" spans="1:10" hidden="1">
      <c r="A354" s="38" t="s">
        <v>1109</v>
      </c>
      <c r="B354" s="37" t="s">
        <v>1110</v>
      </c>
      <c r="C354" s="609" t="s">
        <v>592</v>
      </c>
      <c r="D354" s="14"/>
      <c r="E354" s="14"/>
      <c r="F354" s="14"/>
      <c r="G354" s="793"/>
      <c r="H354" s="14"/>
      <c r="I354" s="14"/>
      <c r="J354" s="609"/>
    </row>
    <row r="355" spans="1:10" hidden="1">
      <c r="A355" s="38" t="s">
        <v>1111</v>
      </c>
      <c r="B355" s="37" t="s">
        <v>1112</v>
      </c>
      <c r="C355" s="609" t="s">
        <v>815</v>
      </c>
      <c r="D355" s="14"/>
      <c r="E355" s="14"/>
      <c r="F355" s="14"/>
      <c r="G355" s="793"/>
      <c r="H355" s="14"/>
      <c r="I355" s="14"/>
      <c r="J355" s="609"/>
    </row>
    <row r="356" spans="1:10" hidden="1">
      <c r="A356" s="38" t="s">
        <v>1113</v>
      </c>
      <c r="B356" s="37" t="s">
        <v>1114</v>
      </c>
      <c r="C356" s="609" t="s">
        <v>448</v>
      </c>
      <c r="D356" s="14"/>
      <c r="E356" s="14"/>
      <c r="F356" s="14"/>
      <c r="G356" s="793"/>
      <c r="H356" s="14"/>
      <c r="I356" s="14"/>
      <c r="J356" s="609"/>
    </row>
    <row r="357" spans="1:10" hidden="1">
      <c r="A357" s="38" t="s">
        <v>1115</v>
      </c>
      <c r="B357" s="37" t="s">
        <v>1116</v>
      </c>
      <c r="C357" s="609" t="s">
        <v>448</v>
      </c>
      <c r="D357" s="14"/>
      <c r="E357" s="14"/>
      <c r="F357" s="14"/>
      <c r="G357" s="793"/>
      <c r="H357" s="14"/>
      <c r="I357" s="14"/>
      <c r="J357" s="609"/>
    </row>
    <row r="358" spans="1:10" hidden="1">
      <c r="A358" s="38" t="s">
        <v>1117</v>
      </c>
      <c r="B358" s="37" t="s">
        <v>1118</v>
      </c>
      <c r="C358" s="609" t="s">
        <v>448</v>
      </c>
      <c r="D358" s="14"/>
      <c r="E358" s="14"/>
      <c r="F358" s="14"/>
      <c r="G358" s="793"/>
      <c r="H358" s="14"/>
      <c r="I358" s="14"/>
      <c r="J358" s="609"/>
    </row>
    <row r="359" spans="1:10" hidden="1">
      <c r="A359" s="38" t="s">
        <v>1119</v>
      </c>
      <c r="B359" s="37" t="s">
        <v>1120</v>
      </c>
      <c r="C359" s="609" t="s">
        <v>448</v>
      </c>
      <c r="D359" s="14"/>
      <c r="E359" s="14"/>
      <c r="F359" s="14"/>
      <c r="G359" s="793"/>
      <c r="H359" s="14"/>
      <c r="I359" s="14"/>
      <c r="J359" s="609"/>
    </row>
    <row r="360" spans="1:10" hidden="1">
      <c r="A360" s="38" t="s">
        <v>1121</v>
      </c>
      <c r="B360" s="37" t="s">
        <v>1122</v>
      </c>
      <c r="C360" s="609" t="s">
        <v>964</v>
      </c>
      <c r="D360" s="14"/>
      <c r="E360" s="14"/>
      <c r="F360" s="14"/>
      <c r="G360" s="793"/>
      <c r="H360" s="14"/>
      <c r="I360" s="14"/>
      <c r="J360" s="609"/>
    </row>
    <row r="361" spans="1:10" hidden="1">
      <c r="A361" s="38" t="s">
        <v>1123</v>
      </c>
      <c r="B361" s="37" t="s">
        <v>1124</v>
      </c>
      <c r="C361" s="609" t="s">
        <v>728</v>
      </c>
      <c r="D361" s="14"/>
      <c r="E361" s="14"/>
      <c r="F361" s="14"/>
      <c r="G361" s="793"/>
      <c r="H361" s="14"/>
      <c r="I361" s="14"/>
      <c r="J361" s="609"/>
    </row>
    <row r="362" spans="1:10" hidden="1">
      <c r="A362" s="38" t="s">
        <v>251</v>
      </c>
      <c r="B362" s="37" t="s">
        <v>303</v>
      </c>
      <c r="C362" s="609" t="s">
        <v>728</v>
      </c>
      <c r="D362" s="14"/>
      <c r="E362" s="14"/>
      <c r="F362" s="14"/>
      <c r="G362" s="793"/>
      <c r="H362" s="14"/>
      <c r="I362" s="14"/>
      <c r="J362" s="609"/>
    </row>
    <row r="363" spans="1:10" hidden="1">
      <c r="A363" s="38" t="s">
        <v>252</v>
      </c>
      <c r="B363" s="37" t="s">
        <v>304</v>
      </c>
      <c r="C363" s="609" t="s">
        <v>728</v>
      </c>
      <c r="D363" s="14"/>
      <c r="E363" s="14"/>
      <c r="F363" s="14"/>
      <c r="G363" s="793"/>
      <c r="H363" s="14"/>
      <c r="I363" s="14"/>
      <c r="J363" s="609"/>
    </row>
    <row r="364" spans="1:10" hidden="1">
      <c r="A364" s="38" t="s">
        <v>253</v>
      </c>
      <c r="B364" s="37" t="s">
        <v>305</v>
      </c>
      <c r="C364" s="609" t="s">
        <v>728</v>
      </c>
      <c r="D364" s="14"/>
      <c r="E364" s="14"/>
      <c r="F364" s="14"/>
      <c r="G364" s="793"/>
      <c r="H364" s="14"/>
      <c r="I364" s="14"/>
      <c r="J364" s="609"/>
    </row>
    <row r="365" spans="1:10" hidden="1">
      <c r="A365" s="38" t="s">
        <v>254</v>
      </c>
      <c r="B365" s="37" t="s">
        <v>306</v>
      </c>
      <c r="C365" s="609" t="s">
        <v>728</v>
      </c>
      <c r="D365" s="14"/>
      <c r="E365" s="14"/>
      <c r="F365" s="14"/>
      <c r="G365" s="793"/>
      <c r="H365" s="14"/>
      <c r="I365" s="14"/>
      <c r="J365" s="609"/>
    </row>
    <row r="366" spans="1:10" hidden="1">
      <c r="A366" s="38" t="s">
        <v>255</v>
      </c>
      <c r="B366" s="37" t="s">
        <v>29</v>
      </c>
      <c r="C366" s="609" t="s">
        <v>714</v>
      </c>
      <c r="D366" s="14"/>
      <c r="E366" s="14"/>
      <c r="F366" s="14"/>
      <c r="G366" s="793"/>
      <c r="H366" s="14"/>
      <c r="I366" s="14"/>
      <c r="J366" s="609"/>
    </row>
    <row r="367" spans="1:10">
      <c r="A367" s="38" t="s">
        <v>256</v>
      </c>
      <c r="B367" s="37" t="s">
        <v>30</v>
      </c>
      <c r="C367" s="609" t="s">
        <v>135</v>
      </c>
      <c r="D367" s="14"/>
      <c r="E367" s="14"/>
      <c r="F367" s="14"/>
      <c r="G367" s="793"/>
      <c r="H367" s="14"/>
      <c r="I367" s="14"/>
      <c r="J367" s="609"/>
    </row>
    <row r="368" spans="1:10">
      <c r="A368" s="38" t="s">
        <v>257</v>
      </c>
      <c r="B368" s="37" t="s">
        <v>31</v>
      </c>
      <c r="C368" s="609" t="s">
        <v>135</v>
      </c>
      <c r="D368" s="14"/>
      <c r="E368" s="14"/>
      <c r="F368" s="14"/>
      <c r="G368" s="793"/>
      <c r="H368" s="14"/>
      <c r="I368" s="14"/>
      <c r="J368" s="609"/>
    </row>
    <row r="369" spans="1:10">
      <c r="A369" s="38" t="s">
        <v>258</v>
      </c>
      <c r="B369" s="37" t="s">
        <v>32</v>
      </c>
      <c r="C369" s="609" t="s">
        <v>135</v>
      </c>
      <c r="D369" s="14"/>
      <c r="E369" s="14"/>
      <c r="F369" s="14"/>
      <c r="G369" s="793"/>
      <c r="H369" s="14"/>
      <c r="I369" s="14"/>
      <c r="J369" s="609"/>
    </row>
    <row r="370" spans="1:10">
      <c r="A370" s="38" t="s">
        <v>259</v>
      </c>
      <c r="B370" s="37" t="s">
        <v>33</v>
      </c>
      <c r="C370" s="609" t="s">
        <v>135</v>
      </c>
      <c r="D370" s="14"/>
      <c r="E370" s="14"/>
      <c r="F370" s="14"/>
      <c r="G370" s="793"/>
      <c r="H370" s="14"/>
      <c r="I370" s="14"/>
      <c r="J370" s="609"/>
    </row>
    <row r="371" spans="1:10" hidden="1">
      <c r="A371" s="38" t="s">
        <v>1125</v>
      </c>
      <c r="B371" s="37" t="s">
        <v>1126</v>
      </c>
      <c r="C371" s="609" t="s">
        <v>714</v>
      </c>
      <c r="D371" s="14"/>
      <c r="E371" s="14"/>
      <c r="F371" s="14"/>
      <c r="G371" s="793"/>
      <c r="H371" s="14"/>
      <c r="I371" s="14"/>
      <c r="J371" s="609"/>
    </row>
    <row r="372" spans="1:10" hidden="1">
      <c r="A372" s="38" t="s">
        <v>1127</v>
      </c>
      <c r="B372" s="37" t="s">
        <v>1128</v>
      </c>
      <c r="C372" s="609" t="s">
        <v>484</v>
      </c>
      <c r="D372" s="14"/>
      <c r="E372" s="14"/>
      <c r="F372" s="14"/>
      <c r="G372" s="793"/>
      <c r="H372" s="14"/>
      <c r="I372" s="14"/>
      <c r="J372" s="609"/>
    </row>
    <row r="373" spans="1:10" hidden="1">
      <c r="A373" s="38" t="s">
        <v>1129</v>
      </c>
      <c r="B373" s="37" t="s">
        <v>1130</v>
      </c>
      <c r="C373" s="609" t="s">
        <v>484</v>
      </c>
      <c r="D373" s="14"/>
      <c r="E373" s="14"/>
      <c r="F373" s="14"/>
      <c r="G373" s="793"/>
      <c r="H373" s="14"/>
      <c r="I373" s="14"/>
      <c r="J373" s="609"/>
    </row>
    <row r="374" spans="1:10" hidden="1">
      <c r="A374" s="38" t="s">
        <v>1131</v>
      </c>
      <c r="B374" s="37" t="s">
        <v>1132</v>
      </c>
      <c r="C374" s="609" t="s">
        <v>484</v>
      </c>
      <c r="D374" s="14"/>
      <c r="E374" s="14"/>
      <c r="F374" s="14"/>
      <c r="G374" s="793"/>
      <c r="H374" s="14"/>
      <c r="I374" s="14"/>
      <c r="J374" s="609"/>
    </row>
    <row r="375" spans="1:10" hidden="1">
      <c r="A375" s="38" t="s">
        <v>1133</v>
      </c>
      <c r="B375" s="37" t="s">
        <v>1134</v>
      </c>
      <c r="C375" s="609" t="s">
        <v>484</v>
      </c>
      <c r="D375" s="14"/>
      <c r="E375" s="14"/>
      <c r="F375" s="14"/>
      <c r="G375" s="793"/>
      <c r="H375" s="14"/>
      <c r="I375" s="14"/>
      <c r="J375" s="609"/>
    </row>
    <row r="376" spans="1:10" hidden="1">
      <c r="A376" s="38" t="s">
        <v>1135</v>
      </c>
      <c r="B376" s="37" t="s">
        <v>1136</v>
      </c>
      <c r="C376" s="609" t="s">
        <v>484</v>
      </c>
      <c r="D376" s="14"/>
      <c r="E376" s="14"/>
      <c r="F376" s="14"/>
      <c r="G376" s="793"/>
      <c r="H376" s="14"/>
      <c r="I376" s="14"/>
      <c r="J376" s="609"/>
    </row>
    <row r="377" spans="1:10" hidden="1">
      <c r="A377" s="38" t="s">
        <v>1137</v>
      </c>
      <c r="B377" s="37" t="s">
        <v>1138</v>
      </c>
      <c r="C377" s="609" t="s">
        <v>575</v>
      </c>
      <c r="D377" s="14"/>
      <c r="E377" s="14"/>
      <c r="F377" s="14"/>
      <c r="G377" s="793"/>
      <c r="H377" s="14"/>
      <c r="I377" s="14"/>
      <c r="J377" s="609"/>
    </row>
    <row r="378" spans="1:10" hidden="1">
      <c r="A378" s="38" t="s">
        <v>1139</v>
      </c>
      <c r="B378" s="37" t="s">
        <v>1140</v>
      </c>
      <c r="C378" s="609" t="s">
        <v>575</v>
      </c>
      <c r="D378" s="14"/>
      <c r="E378" s="14"/>
      <c r="F378" s="14"/>
      <c r="G378" s="793"/>
      <c r="H378" s="14"/>
      <c r="I378" s="14"/>
      <c r="J378" s="609"/>
    </row>
    <row r="379" spans="1:10" hidden="1">
      <c r="A379" s="38" t="s">
        <v>1141</v>
      </c>
      <c r="B379" s="37" t="s">
        <v>1142</v>
      </c>
      <c r="C379" s="609" t="s">
        <v>575</v>
      </c>
      <c r="D379" s="14"/>
      <c r="E379" s="14"/>
      <c r="F379" s="14"/>
      <c r="G379" s="793"/>
      <c r="H379" s="14"/>
      <c r="I379" s="14"/>
      <c r="J379" s="609"/>
    </row>
    <row r="380" spans="1:10" hidden="1">
      <c r="A380" s="38" t="s">
        <v>1143</v>
      </c>
      <c r="B380" s="37" t="s">
        <v>1144</v>
      </c>
      <c r="C380" s="609" t="s">
        <v>575</v>
      </c>
      <c r="D380" s="14"/>
      <c r="E380" s="14"/>
      <c r="F380" s="14"/>
      <c r="G380" s="793"/>
      <c r="H380" s="14"/>
      <c r="I380" s="14"/>
      <c r="J380" s="609"/>
    </row>
    <row r="381" spans="1:10" hidden="1">
      <c r="A381" s="38" t="s">
        <v>1145</v>
      </c>
      <c r="B381" s="37" t="s">
        <v>1146</v>
      </c>
      <c r="C381" s="609" t="s">
        <v>747</v>
      </c>
      <c r="D381" s="14"/>
      <c r="E381" s="14"/>
      <c r="F381" s="14"/>
      <c r="G381" s="793"/>
      <c r="H381" s="14"/>
      <c r="I381" s="14"/>
      <c r="J381" s="609"/>
    </row>
    <row r="382" spans="1:10" hidden="1">
      <c r="A382" s="38" t="s">
        <v>1147</v>
      </c>
      <c r="B382" s="37" t="s">
        <v>1148</v>
      </c>
      <c r="C382" s="609" t="s">
        <v>747</v>
      </c>
      <c r="D382" s="14"/>
      <c r="E382" s="14"/>
      <c r="F382" s="14"/>
      <c r="G382" s="793"/>
      <c r="H382" s="14"/>
      <c r="I382" s="14"/>
      <c r="J382" s="609"/>
    </row>
    <row r="383" spans="1:10" hidden="1">
      <c r="A383" s="38" t="s">
        <v>1149</v>
      </c>
      <c r="B383" s="37" t="s">
        <v>1150</v>
      </c>
      <c r="C383" s="609" t="s">
        <v>747</v>
      </c>
      <c r="D383" s="14"/>
      <c r="E383" s="14"/>
      <c r="F383" s="14"/>
      <c r="G383" s="793"/>
      <c r="H383" s="14"/>
      <c r="I383" s="14"/>
      <c r="J383" s="609"/>
    </row>
    <row r="384" spans="1:10" hidden="1">
      <c r="A384" s="38" t="s">
        <v>1151</v>
      </c>
      <c r="B384" s="37" t="s">
        <v>1152</v>
      </c>
      <c r="C384" s="609" t="s">
        <v>728</v>
      </c>
      <c r="D384" s="14"/>
      <c r="E384" s="14"/>
      <c r="F384" s="14"/>
      <c r="G384" s="793"/>
      <c r="H384" s="14"/>
      <c r="I384" s="14"/>
      <c r="J384" s="609"/>
    </row>
    <row r="385" spans="1:10" hidden="1">
      <c r="A385" s="38" t="s">
        <v>1153</v>
      </c>
      <c r="B385" s="37" t="s">
        <v>1154</v>
      </c>
      <c r="C385" s="609" t="s">
        <v>728</v>
      </c>
      <c r="D385" s="14"/>
      <c r="E385" s="14"/>
      <c r="F385" s="14"/>
      <c r="G385" s="793"/>
      <c r="H385" s="14"/>
      <c r="I385" s="14"/>
      <c r="J385" s="609"/>
    </row>
    <row r="386" spans="1:10" hidden="1">
      <c r="A386" s="38" t="s">
        <v>1155</v>
      </c>
      <c r="B386" s="37" t="s">
        <v>1156</v>
      </c>
      <c r="C386" s="609" t="s">
        <v>592</v>
      </c>
      <c r="D386" s="14"/>
      <c r="E386" s="14"/>
      <c r="F386" s="14"/>
      <c r="G386" s="793"/>
      <c r="H386" s="14"/>
      <c r="I386" s="14"/>
      <c r="J386" s="609"/>
    </row>
    <row r="387" spans="1:10" hidden="1">
      <c r="A387" s="38" t="s">
        <v>1157</v>
      </c>
      <c r="B387" s="37" t="s">
        <v>1158</v>
      </c>
      <c r="C387" s="609" t="s">
        <v>448</v>
      </c>
      <c r="D387" s="14"/>
      <c r="E387" s="14"/>
      <c r="F387" s="14"/>
      <c r="G387" s="793"/>
      <c r="H387" s="14"/>
      <c r="I387" s="14"/>
      <c r="J387" s="609"/>
    </row>
    <row r="388" spans="1:10" hidden="1">
      <c r="A388" s="38" t="s">
        <v>1159</v>
      </c>
      <c r="B388" s="37" t="s">
        <v>1160</v>
      </c>
      <c r="C388" s="609" t="s">
        <v>484</v>
      </c>
      <c r="D388" s="14"/>
      <c r="E388" s="14"/>
      <c r="F388" s="14"/>
      <c r="G388" s="793"/>
      <c r="H388" s="14"/>
      <c r="I388" s="14"/>
      <c r="J388" s="609"/>
    </row>
    <row r="389" spans="1:10" hidden="1">
      <c r="A389" s="38" t="s">
        <v>1161</v>
      </c>
      <c r="B389" s="37" t="s">
        <v>1162</v>
      </c>
      <c r="C389" s="609" t="s">
        <v>484</v>
      </c>
      <c r="D389" s="14"/>
      <c r="E389" s="14"/>
      <c r="F389" s="14"/>
      <c r="G389" s="793"/>
      <c r="H389" s="14"/>
      <c r="I389" s="14"/>
      <c r="J389" s="609"/>
    </row>
    <row r="390" spans="1:10" hidden="1">
      <c r="A390" s="38" t="s">
        <v>1163</v>
      </c>
      <c r="B390" s="37" t="s">
        <v>1164</v>
      </c>
      <c r="C390" s="609" t="s">
        <v>747</v>
      </c>
      <c r="D390" s="14"/>
      <c r="E390" s="14"/>
      <c r="F390" s="14"/>
      <c r="G390" s="793"/>
      <c r="H390" s="14"/>
      <c r="I390" s="14"/>
      <c r="J390" s="609"/>
    </row>
    <row r="391" spans="1:10" hidden="1">
      <c r="A391" s="38" t="s">
        <v>1165</v>
      </c>
      <c r="B391" s="37" t="s">
        <v>1166</v>
      </c>
      <c r="C391" s="609" t="s">
        <v>592</v>
      </c>
      <c r="D391" s="14"/>
      <c r="E391" s="14"/>
      <c r="F391" s="14"/>
      <c r="G391" s="793"/>
      <c r="H391" s="14"/>
      <c r="I391" s="14"/>
      <c r="J391" s="609"/>
    </row>
    <row r="392" spans="1:10" hidden="1">
      <c r="A392" s="38" t="s">
        <v>1167</v>
      </c>
      <c r="B392" s="37" t="s">
        <v>1168</v>
      </c>
      <c r="C392" s="609" t="s">
        <v>575</v>
      </c>
      <c r="D392" s="14"/>
      <c r="E392" s="14"/>
      <c r="F392" s="14"/>
      <c r="G392" s="793"/>
      <c r="H392" s="14"/>
      <c r="I392" s="14"/>
      <c r="J392" s="609"/>
    </row>
    <row r="393" spans="1:10" hidden="1">
      <c r="A393" s="38" t="s">
        <v>1169</v>
      </c>
      <c r="B393" s="37" t="s">
        <v>1170</v>
      </c>
      <c r="C393" s="609" t="s">
        <v>714</v>
      </c>
      <c r="D393" s="14"/>
      <c r="E393" s="14"/>
      <c r="F393" s="14"/>
      <c r="G393" s="793"/>
      <c r="H393" s="14"/>
      <c r="I393" s="14"/>
      <c r="J393" s="609"/>
    </row>
    <row r="394" spans="1:10" hidden="1">
      <c r="A394" s="38" t="s">
        <v>1171</v>
      </c>
      <c r="B394" s="37" t="s">
        <v>1172</v>
      </c>
      <c r="C394" s="609" t="s">
        <v>714</v>
      </c>
      <c r="D394" s="14"/>
      <c r="E394" s="14"/>
      <c r="F394" s="14"/>
      <c r="G394" s="793"/>
      <c r="H394" s="14"/>
      <c r="I394" s="14"/>
      <c r="J394" s="609"/>
    </row>
    <row r="395" spans="1:10" hidden="1">
      <c r="A395" s="38" t="s">
        <v>1173</v>
      </c>
      <c r="B395" s="37" t="s">
        <v>1174</v>
      </c>
      <c r="C395" s="609" t="s">
        <v>625</v>
      </c>
      <c r="D395" s="14"/>
      <c r="E395" s="14"/>
      <c r="F395" s="14"/>
      <c r="G395" s="793"/>
      <c r="H395" s="14"/>
      <c r="I395" s="14"/>
      <c r="J395" s="609"/>
    </row>
    <row r="396" spans="1:10" hidden="1">
      <c r="A396" s="38" t="s">
        <v>1175</v>
      </c>
      <c r="B396" s="37" t="s">
        <v>1176</v>
      </c>
      <c r="C396" s="609" t="s">
        <v>625</v>
      </c>
      <c r="D396" s="14"/>
      <c r="E396" s="14"/>
      <c r="F396" s="14"/>
      <c r="G396" s="793"/>
      <c r="H396" s="14"/>
      <c r="I396" s="14"/>
      <c r="J396" s="609"/>
    </row>
    <row r="397" spans="1:10" hidden="1">
      <c r="A397" s="38" t="s">
        <v>1177</v>
      </c>
      <c r="B397" s="37" t="s">
        <v>1178</v>
      </c>
      <c r="C397" s="609" t="s">
        <v>625</v>
      </c>
      <c r="D397" s="14"/>
      <c r="E397" s="14"/>
      <c r="F397" s="14"/>
      <c r="G397" s="793"/>
      <c r="H397" s="14"/>
      <c r="I397" s="14"/>
      <c r="J397" s="609"/>
    </row>
    <row r="398" spans="1:10" hidden="1">
      <c r="A398" s="38" t="s">
        <v>1179</v>
      </c>
      <c r="B398" s="37" t="s">
        <v>1180</v>
      </c>
      <c r="C398" s="609" t="s">
        <v>964</v>
      </c>
      <c r="D398" s="14"/>
      <c r="E398" s="14"/>
      <c r="F398" s="14"/>
      <c r="G398" s="793"/>
      <c r="H398" s="14"/>
      <c r="I398" s="14"/>
      <c r="J398" s="609"/>
    </row>
    <row r="399" spans="1:10" hidden="1">
      <c r="A399" s="38" t="s">
        <v>1181</v>
      </c>
      <c r="B399" s="37" t="s">
        <v>1182</v>
      </c>
      <c r="C399" s="609" t="s">
        <v>728</v>
      </c>
      <c r="D399" s="14"/>
      <c r="E399" s="14"/>
      <c r="F399" s="14"/>
      <c r="G399" s="793"/>
      <c r="H399" s="14"/>
      <c r="I399" s="14"/>
      <c r="J399" s="609"/>
    </row>
    <row r="400" spans="1:10" hidden="1">
      <c r="A400" s="38" t="s">
        <v>1183</v>
      </c>
      <c r="B400" s="37" t="s">
        <v>1184</v>
      </c>
      <c r="C400" s="609" t="s">
        <v>728</v>
      </c>
      <c r="D400" s="14"/>
      <c r="E400" s="14"/>
      <c r="F400" s="14"/>
      <c r="G400" s="793"/>
      <c r="H400" s="14"/>
      <c r="I400" s="14"/>
      <c r="J400" s="609"/>
    </row>
    <row r="401" spans="1:14" hidden="1">
      <c r="A401" s="38" t="s">
        <v>1185</v>
      </c>
      <c r="B401" s="37" t="s">
        <v>1186</v>
      </c>
      <c r="C401" s="609" t="s">
        <v>714</v>
      </c>
      <c r="D401" s="14"/>
      <c r="E401" s="14"/>
      <c r="F401" s="14"/>
      <c r="G401" s="793"/>
      <c r="H401" s="14"/>
      <c r="I401" s="14"/>
      <c r="J401" s="609"/>
    </row>
    <row r="402" spans="1:14" hidden="1">
      <c r="A402" s="38" t="s">
        <v>283</v>
      </c>
      <c r="B402" s="37" t="s">
        <v>1187</v>
      </c>
      <c r="C402" s="609" t="s">
        <v>484</v>
      </c>
      <c r="D402" s="14"/>
      <c r="E402" s="14"/>
      <c r="F402" s="14"/>
      <c r="G402" s="793"/>
      <c r="H402" s="14"/>
      <c r="I402" s="14"/>
      <c r="J402" s="609"/>
      <c r="M402" s="13" t="s">
        <v>70</v>
      </c>
      <c r="N402" s="13">
        <v>1</v>
      </c>
    </row>
    <row r="403" spans="1:14" hidden="1">
      <c r="A403" s="38" t="s">
        <v>228</v>
      </c>
      <c r="B403" s="37" t="s">
        <v>352</v>
      </c>
      <c r="C403" s="609" t="s">
        <v>484</v>
      </c>
      <c r="D403" s="14"/>
      <c r="E403" s="14"/>
      <c r="F403" s="14"/>
      <c r="G403" s="793"/>
      <c r="H403" s="14"/>
      <c r="I403" s="14"/>
      <c r="J403" s="609"/>
      <c r="M403" s="13" t="s">
        <v>70</v>
      </c>
      <c r="N403" s="13">
        <v>1</v>
      </c>
    </row>
    <row r="404" spans="1:14" hidden="1">
      <c r="A404" s="38" t="s">
        <v>278</v>
      </c>
      <c r="B404" s="37" t="s">
        <v>1188</v>
      </c>
      <c r="C404" s="609" t="s">
        <v>484</v>
      </c>
      <c r="D404" s="14"/>
      <c r="E404" s="14"/>
      <c r="F404" s="14"/>
      <c r="G404" s="793"/>
      <c r="H404" s="14"/>
      <c r="I404" s="14"/>
      <c r="J404" s="609"/>
      <c r="K404" s="13" t="s">
        <v>81</v>
      </c>
      <c r="L404" s="13">
        <v>1</v>
      </c>
      <c r="M404" s="13" t="s">
        <v>70</v>
      </c>
      <c r="N404" s="13">
        <v>1</v>
      </c>
    </row>
    <row r="405" spans="1:14" hidden="1">
      <c r="A405" s="38" t="s">
        <v>136</v>
      </c>
      <c r="B405" s="37" t="s">
        <v>1189</v>
      </c>
      <c r="C405" s="609" t="s">
        <v>448</v>
      </c>
      <c r="D405" s="14"/>
      <c r="E405" s="14"/>
      <c r="F405" s="14"/>
      <c r="G405" s="793"/>
      <c r="H405" s="14"/>
      <c r="I405" s="14"/>
      <c r="J405" s="609"/>
      <c r="M405" s="13" t="s">
        <v>145</v>
      </c>
      <c r="N405" s="13">
        <v>1</v>
      </c>
    </row>
    <row r="406" spans="1:14" hidden="1">
      <c r="A406" s="38" t="s">
        <v>277</v>
      </c>
      <c r="B406" s="37" t="s">
        <v>1190</v>
      </c>
      <c r="C406" s="609" t="s">
        <v>448</v>
      </c>
      <c r="D406" s="14"/>
      <c r="E406" s="14"/>
      <c r="F406" s="14"/>
      <c r="G406" s="793"/>
      <c r="H406" s="14"/>
      <c r="I406" s="14"/>
      <c r="J406" s="609"/>
      <c r="M406" s="13" t="s">
        <v>401</v>
      </c>
      <c r="N406" s="13">
        <v>1</v>
      </c>
    </row>
    <row r="407" spans="1:14" hidden="1">
      <c r="A407" s="38" t="s">
        <v>421</v>
      </c>
      <c r="B407" s="37" t="s">
        <v>422</v>
      </c>
      <c r="C407" s="609" t="s">
        <v>448</v>
      </c>
      <c r="D407" s="14"/>
      <c r="E407" s="14"/>
      <c r="F407" s="14"/>
      <c r="G407" s="793"/>
      <c r="H407" s="14"/>
      <c r="I407" s="14"/>
      <c r="J407" s="609"/>
      <c r="M407" s="13" t="s">
        <v>400</v>
      </c>
      <c r="N407" s="13">
        <v>1</v>
      </c>
    </row>
    <row r="408" spans="1:14" hidden="1">
      <c r="A408" s="38" t="s">
        <v>133</v>
      </c>
      <c r="B408" s="37" t="s">
        <v>299</v>
      </c>
      <c r="C408" s="609" t="s">
        <v>484</v>
      </c>
      <c r="D408" s="14"/>
      <c r="E408" s="14"/>
      <c r="F408" s="14"/>
      <c r="G408" s="793"/>
      <c r="H408" s="14"/>
      <c r="I408" s="14"/>
      <c r="J408" s="609"/>
    </row>
    <row r="409" spans="1:14" hidden="1">
      <c r="A409" s="38" t="s">
        <v>1191</v>
      </c>
      <c r="B409" s="37" t="s">
        <v>1192</v>
      </c>
      <c r="C409" s="609" t="s">
        <v>644</v>
      </c>
      <c r="D409" s="14"/>
      <c r="E409" s="14"/>
      <c r="F409" s="14"/>
      <c r="G409" s="793"/>
      <c r="H409" s="14"/>
      <c r="I409" s="14"/>
      <c r="J409" s="609"/>
    </row>
    <row r="410" spans="1:14" hidden="1">
      <c r="A410" s="38" t="s">
        <v>1193</v>
      </c>
      <c r="B410" s="37" t="s">
        <v>1194</v>
      </c>
      <c r="C410" s="609" t="s">
        <v>644</v>
      </c>
      <c r="D410" s="14"/>
      <c r="E410" s="14"/>
      <c r="F410" s="14"/>
      <c r="G410" s="793"/>
      <c r="H410" s="14"/>
      <c r="I410" s="14"/>
      <c r="J410" s="609"/>
    </row>
    <row r="411" spans="1:14" hidden="1">
      <c r="A411" s="38" t="s">
        <v>1195</v>
      </c>
      <c r="B411" s="37" t="s">
        <v>1196</v>
      </c>
      <c r="C411" s="609" t="s">
        <v>714</v>
      </c>
      <c r="D411" s="14"/>
      <c r="E411" s="14"/>
      <c r="F411" s="14"/>
      <c r="G411" s="793"/>
      <c r="H411" s="14"/>
      <c r="I411" s="14"/>
      <c r="J411" s="609"/>
    </row>
    <row r="412" spans="1:14" hidden="1">
      <c r="A412" s="38" t="s">
        <v>1197</v>
      </c>
      <c r="B412" s="37" t="s">
        <v>1198</v>
      </c>
      <c r="C412" s="609" t="s">
        <v>815</v>
      </c>
      <c r="D412" s="14"/>
      <c r="E412" s="14"/>
      <c r="F412" s="14"/>
      <c r="G412" s="793"/>
      <c r="H412" s="14"/>
      <c r="I412" s="14"/>
      <c r="J412" s="609"/>
    </row>
    <row r="413" spans="1:14" hidden="1">
      <c r="A413" s="38" t="s">
        <v>1199</v>
      </c>
      <c r="B413" s="37" t="s">
        <v>1200</v>
      </c>
      <c r="C413" s="609" t="s">
        <v>815</v>
      </c>
      <c r="D413" s="14"/>
      <c r="E413" s="14"/>
      <c r="F413" s="14"/>
      <c r="G413" s="793"/>
      <c r="H413" s="14"/>
      <c r="I413" s="14"/>
      <c r="J413" s="609"/>
    </row>
    <row r="414" spans="1:14" hidden="1">
      <c r="A414" s="38" t="s">
        <v>217</v>
      </c>
      <c r="B414" s="37" t="s">
        <v>342</v>
      </c>
      <c r="C414" s="609" t="s">
        <v>484</v>
      </c>
      <c r="D414" s="14"/>
      <c r="E414" s="14"/>
      <c r="F414" s="14"/>
      <c r="G414" s="793"/>
      <c r="H414" s="14"/>
      <c r="I414" s="14"/>
      <c r="J414" s="609"/>
    </row>
    <row r="415" spans="1:14" hidden="1">
      <c r="A415" s="38" t="s">
        <v>1201</v>
      </c>
      <c r="B415" s="37" t="s">
        <v>1202</v>
      </c>
      <c r="C415" s="609" t="s">
        <v>448</v>
      </c>
      <c r="D415" s="14"/>
      <c r="E415" s="14"/>
      <c r="F415" s="14"/>
      <c r="G415" s="793"/>
      <c r="H415" s="14"/>
      <c r="I415" s="14"/>
      <c r="J415" s="609"/>
    </row>
    <row r="416" spans="1:14" hidden="1">
      <c r="A416" s="38" t="s">
        <v>1203</v>
      </c>
      <c r="B416" s="37" t="s">
        <v>1204</v>
      </c>
      <c r="C416" s="609" t="s">
        <v>625</v>
      </c>
      <c r="D416" s="14"/>
      <c r="E416" s="14"/>
      <c r="F416" s="14"/>
      <c r="G416" s="793"/>
      <c r="H416" s="14"/>
      <c r="I416" s="14"/>
      <c r="J416" s="609"/>
    </row>
    <row r="417" spans="1:14" hidden="1">
      <c r="A417" s="38" t="s">
        <v>1205</v>
      </c>
      <c r="B417" s="37" t="s">
        <v>1206</v>
      </c>
      <c r="C417" s="609" t="s">
        <v>625</v>
      </c>
      <c r="D417" s="14"/>
      <c r="E417" s="14"/>
      <c r="F417" s="14"/>
      <c r="G417" s="793"/>
      <c r="H417" s="14"/>
      <c r="I417" s="14"/>
      <c r="J417" s="609"/>
    </row>
    <row r="418" spans="1:14" hidden="1">
      <c r="A418" s="38" t="s">
        <v>1207</v>
      </c>
      <c r="B418" s="37" t="s">
        <v>1208</v>
      </c>
      <c r="C418" s="609" t="s">
        <v>625</v>
      </c>
      <c r="D418" s="14"/>
      <c r="E418" s="14"/>
      <c r="F418" s="14"/>
      <c r="G418" s="793"/>
      <c r="H418" s="14"/>
      <c r="I418" s="14"/>
      <c r="J418" s="609"/>
    </row>
    <row r="419" spans="1:14" hidden="1">
      <c r="A419" s="38" t="s">
        <v>1209</v>
      </c>
      <c r="B419" s="37" t="s">
        <v>1210</v>
      </c>
      <c r="C419" s="609" t="s">
        <v>625</v>
      </c>
      <c r="D419" s="14"/>
      <c r="E419" s="14"/>
      <c r="F419" s="14"/>
      <c r="G419" s="793"/>
      <c r="H419" s="14"/>
      <c r="I419" s="14"/>
      <c r="J419" s="609"/>
    </row>
    <row r="420" spans="1:14" hidden="1">
      <c r="A420" s="38" t="s">
        <v>1211</v>
      </c>
      <c r="B420" s="37" t="s">
        <v>1212</v>
      </c>
      <c r="C420" s="609" t="s">
        <v>448</v>
      </c>
      <c r="D420" s="14"/>
      <c r="E420" s="14"/>
      <c r="F420" s="14"/>
      <c r="G420" s="793"/>
      <c r="H420" s="14"/>
      <c r="I420" s="14"/>
      <c r="J420" s="609"/>
      <c r="M420" s="13" t="s">
        <v>411</v>
      </c>
      <c r="N420" s="13">
        <v>1</v>
      </c>
    </row>
    <row r="421" spans="1:14" hidden="1">
      <c r="A421" s="38" t="s">
        <v>1213</v>
      </c>
      <c r="B421" s="37" t="s">
        <v>1214</v>
      </c>
      <c r="C421" s="609" t="s">
        <v>448</v>
      </c>
      <c r="D421" s="14"/>
      <c r="E421" s="14"/>
      <c r="F421" s="14"/>
      <c r="G421" s="793"/>
      <c r="H421" s="14"/>
      <c r="I421" s="14"/>
      <c r="J421" s="609"/>
      <c r="M421" s="13" t="s">
        <v>410</v>
      </c>
      <c r="N421" s="13">
        <v>1</v>
      </c>
    </row>
    <row r="422" spans="1:14" hidden="1">
      <c r="A422" s="38" t="s">
        <v>1215</v>
      </c>
      <c r="B422" s="37" t="s">
        <v>1216</v>
      </c>
      <c r="C422" s="609" t="s">
        <v>448</v>
      </c>
      <c r="D422" s="14"/>
      <c r="E422" s="14"/>
      <c r="F422" s="14"/>
      <c r="G422" s="793"/>
      <c r="H422" s="14"/>
      <c r="I422" s="14"/>
      <c r="J422" s="609"/>
      <c r="M422" s="13" t="s">
        <v>413</v>
      </c>
      <c r="N422" s="13">
        <v>1</v>
      </c>
    </row>
    <row r="423" spans="1:14" hidden="1">
      <c r="A423" s="38" t="s">
        <v>1217</v>
      </c>
      <c r="B423" s="37" t="s">
        <v>1218</v>
      </c>
      <c r="C423" s="609" t="s">
        <v>448</v>
      </c>
      <c r="D423" s="14"/>
      <c r="E423" s="14"/>
      <c r="F423" s="14"/>
      <c r="G423" s="793"/>
      <c r="H423" s="14"/>
      <c r="I423" s="14"/>
      <c r="J423" s="609"/>
      <c r="M423" s="13" t="s">
        <v>412</v>
      </c>
      <c r="N423" s="13">
        <v>1</v>
      </c>
    </row>
    <row r="424" spans="1:14" hidden="1">
      <c r="A424" s="38" t="s">
        <v>1219</v>
      </c>
      <c r="B424" s="37" t="s">
        <v>1220</v>
      </c>
      <c r="C424" s="609" t="s">
        <v>448</v>
      </c>
      <c r="D424" s="14"/>
      <c r="E424" s="14"/>
      <c r="F424" s="14"/>
      <c r="G424" s="793"/>
      <c r="H424" s="14"/>
      <c r="I424" s="14"/>
      <c r="J424" s="609"/>
      <c r="M424" s="13" t="s">
        <v>415</v>
      </c>
      <c r="N424" s="13">
        <v>1</v>
      </c>
    </row>
    <row r="425" spans="1:14" hidden="1">
      <c r="A425" s="38" t="s">
        <v>1221</v>
      </c>
      <c r="B425" s="37" t="s">
        <v>1222</v>
      </c>
      <c r="C425" s="609" t="s">
        <v>448</v>
      </c>
      <c r="D425" s="14"/>
      <c r="E425" s="14"/>
      <c r="F425" s="14"/>
      <c r="G425" s="793"/>
      <c r="H425" s="14"/>
      <c r="I425" s="14"/>
      <c r="J425" s="609"/>
      <c r="M425" s="13" t="s">
        <v>414</v>
      </c>
      <c r="N425" s="13">
        <v>1</v>
      </c>
    </row>
    <row r="426" spans="1:14" hidden="1">
      <c r="A426" s="38" t="s">
        <v>1223</v>
      </c>
      <c r="B426" s="37" t="s">
        <v>1224</v>
      </c>
      <c r="C426" s="609" t="s">
        <v>448</v>
      </c>
      <c r="D426" s="14"/>
      <c r="E426" s="14"/>
      <c r="F426" s="14"/>
      <c r="G426" s="793"/>
      <c r="H426" s="14"/>
      <c r="I426" s="14"/>
      <c r="J426" s="609"/>
      <c r="M426" s="13" t="s">
        <v>417</v>
      </c>
      <c r="N426" s="13">
        <v>1</v>
      </c>
    </row>
    <row r="427" spans="1:14" hidden="1">
      <c r="A427" s="38" t="s">
        <v>1225</v>
      </c>
      <c r="B427" s="37" t="s">
        <v>1226</v>
      </c>
      <c r="C427" s="609" t="s">
        <v>448</v>
      </c>
      <c r="D427" s="14"/>
      <c r="E427" s="14"/>
      <c r="F427" s="14"/>
      <c r="G427" s="793"/>
      <c r="H427" s="14"/>
      <c r="I427" s="14"/>
      <c r="J427" s="609"/>
      <c r="M427" s="13" t="s">
        <v>416</v>
      </c>
      <c r="N427" s="13">
        <v>1</v>
      </c>
    </row>
    <row r="428" spans="1:14" hidden="1">
      <c r="A428" s="38" t="s">
        <v>1227</v>
      </c>
      <c r="B428" s="37" t="s">
        <v>1228</v>
      </c>
      <c r="C428" s="609" t="s">
        <v>448</v>
      </c>
      <c r="D428" s="14"/>
      <c r="E428" s="14"/>
      <c r="F428" s="14"/>
      <c r="G428" s="793"/>
      <c r="H428" s="14"/>
      <c r="I428" s="14"/>
      <c r="J428" s="609"/>
    </row>
    <row r="429" spans="1:14" hidden="1">
      <c r="A429" s="38" t="s">
        <v>1229</v>
      </c>
      <c r="B429" s="37" t="s">
        <v>1230</v>
      </c>
      <c r="C429" s="609" t="s">
        <v>448</v>
      </c>
      <c r="D429" s="14"/>
      <c r="E429" s="14"/>
      <c r="F429" s="14"/>
      <c r="G429" s="793"/>
      <c r="H429" s="14"/>
      <c r="I429" s="14"/>
      <c r="J429" s="609"/>
    </row>
    <row r="430" spans="1:14" hidden="1">
      <c r="A430" s="38" t="s">
        <v>1231</v>
      </c>
      <c r="B430" s="37" t="s">
        <v>1232</v>
      </c>
      <c r="C430" s="609" t="s">
        <v>448</v>
      </c>
      <c r="D430" s="14"/>
      <c r="E430" s="14"/>
      <c r="F430" s="14"/>
      <c r="G430" s="793"/>
      <c r="H430" s="14"/>
      <c r="I430" s="14"/>
      <c r="J430" s="609"/>
    </row>
    <row r="431" spans="1:14" hidden="1">
      <c r="A431" s="38" t="s">
        <v>1233</v>
      </c>
      <c r="B431" s="37" t="s">
        <v>1234</v>
      </c>
      <c r="C431" s="609" t="s">
        <v>448</v>
      </c>
      <c r="D431" s="14"/>
      <c r="E431" s="14"/>
      <c r="F431" s="14"/>
      <c r="G431" s="793"/>
      <c r="H431" s="14"/>
      <c r="I431" s="14"/>
      <c r="J431" s="609"/>
    </row>
    <row r="432" spans="1:14" hidden="1">
      <c r="A432" s="38" t="s">
        <v>1235</v>
      </c>
      <c r="B432" s="37" t="s">
        <v>1236</v>
      </c>
      <c r="C432" s="609" t="s">
        <v>625</v>
      </c>
      <c r="D432" s="14"/>
      <c r="E432" s="14"/>
      <c r="F432" s="14"/>
      <c r="G432" s="793"/>
      <c r="H432" s="14"/>
      <c r="I432" s="14"/>
      <c r="J432" s="609"/>
    </row>
    <row r="433" spans="1:14" hidden="1">
      <c r="A433" s="38" t="s">
        <v>1237</v>
      </c>
      <c r="B433" s="37" t="s">
        <v>1238</v>
      </c>
      <c r="C433" s="609" t="s">
        <v>625</v>
      </c>
      <c r="D433" s="14"/>
      <c r="E433" s="14"/>
      <c r="F433" s="14"/>
      <c r="G433" s="793"/>
      <c r="H433" s="14"/>
      <c r="I433" s="14"/>
      <c r="J433" s="609"/>
    </row>
    <row r="434" spans="1:14" hidden="1">
      <c r="A434" s="38" t="s">
        <v>1239</v>
      </c>
      <c r="B434" s="37" t="s">
        <v>1240</v>
      </c>
      <c r="C434" s="609" t="s">
        <v>625</v>
      </c>
      <c r="D434" s="14"/>
      <c r="E434" s="14"/>
      <c r="F434" s="14"/>
      <c r="G434" s="793"/>
      <c r="H434" s="14"/>
      <c r="I434" s="14"/>
      <c r="J434" s="609"/>
    </row>
    <row r="435" spans="1:14" hidden="1">
      <c r="A435" s="38" t="s">
        <v>287</v>
      </c>
      <c r="B435" s="37" t="s">
        <v>345</v>
      </c>
      <c r="C435" s="609" t="s">
        <v>448</v>
      </c>
      <c r="D435" s="14"/>
      <c r="E435" s="14"/>
      <c r="F435" s="14"/>
      <c r="G435" s="793"/>
      <c r="H435" s="14"/>
      <c r="I435" s="14"/>
      <c r="J435" s="609"/>
      <c r="M435" s="13" t="s">
        <v>164</v>
      </c>
      <c r="N435" s="13">
        <v>1</v>
      </c>
    </row>
    <row r="436" spans="1:14" hidden="1">
      <c r="A436" s="38" t="s">
        <v>285</v>
      </c>
      <c r="B436" s="37" t="s">
        <v>1241</v>
      </c>
      <c r="C436" s="609" t="s">
        <v>448</v>
      </c>
      <c r="D436" s="14"/>
      <c r="E436" s="14"/>
      <c r="F436" s="14"/>
      <c r="G436" s="793"/>
      <c r="H436" s="14"/>
      <c r="I436" s="14"/>
      <c r="J436" s="609"/>
      <c r="M436" s="13" t="s">
        <v>141</v>
      </c>
      <c r="N436" s="13">
        <v>1</v>
      </c>
    </row>
    <row r="437" spans="1:14" hidden="1">
      <c r="A437" s="62">
        <v>26564</v>
      </c>
      <c r="B437" s="63" t="s">
        <v>1612</v>
      </c>
      <c r="C437" s="609" t="s">
        <v>448</v>
      </c>
      <c r="D437" s="64"/>
      <c r="E437" s="64"/>
      <c r="F437" s="64"/>
      <c r="G437" s="794"/>
      <c r="H437" s="64"/>
      <c r="I437" s="64"/>
      <c r="J437" s="788"/>
      <c r="M437" s="13" t="s">
        <v>412</v>
      </c>
      <c r="N437" s="13">
        <v>1</v>
      </c>
    </row>
    <row r="438" spans="1:14" hidden="1">
      <c r="A438" s="62">
        <v>26565</v>
      </c>
      <c r="B438" s="63" t="s">
        <v>1613</v>
      </c>
      <c r="C438" s="788" t="s">
        <v>1613</v>
      </c>
      <c r="D438" s="64"/>
      <c r="E438" s="64"/>
      <c r="F438" s="64"/>
      <c r="G438" s="794"/>
      <c r="H438" s="64"/>
      <c r="I438" s="64"/>
      <c r="J438" s="788"/>
      <c r="M438" s="13" t="s">
        <v>410</v>
      </c>
      <c r="N438" s="13">
        <v>1</v>
      </c>
    </row>
    <row r="439" spans="1:14" hidden="1">
      <c r="A439" s="62">
        <v>26570</v>
      </c>
      <c r="B439" s="63" t="s">
        <v>1614</v>
      </c>
      <c r="C439" s="609" t="s">
        <v>448</v>
      </c>
      <c r="D439" s="64"/>
      <c r="E439" s="64"/>
      <c r="F439" s="64"/>
      <c r="G439" s="794"/>
      <c r="H439" s="64"/>
      <c r="I439" s="64"/>
      <c r="J439" s="788"/>
      <c r="M439" s="13" t="s">
        <v>413</v>
      </c>
      <c r="N439" s="13">
        <v>1</v>
      </c>
    </row>
    <row r="440" spans="1:14" hidden="1">
      <c r="A440" s="38" t="s">
        <v>288</v>
      </c>
      <c r="B440" s="37" t="s">
        <v>346</v>
      </c>
      <c r="C440" s="609" t="s">
        <v>448</v>
      </c>
      <c r="D440" s="14"/>
      <c r="E440" s="14"/>
      <c r="F440" s="14"/>
      <c r="G440" s="793"/>
      <c r="H440" s="14"/>
      <c r="I440" s="14"/>
      <c r="J440" s="609"/>
      <c r="M440" s="13" t="s">
        <v>179</v>
      </c>
      <c r="N440" s="13">
        <v>1</v>
      </c>
    </row>
    <row r="441" spans="1:14" hidden="1">
      <c r="A441" s="38" t="s">
        <v>289</v>
      </c>
      <c r="B441" s="37" t="s">
        <v>1242</v>
      </c>
      <c r="C441" s="609" t="s">
        <v>448</v>
      </c>
      <c r="D441" s="14"/>
      <c r="E441" s="14"/>
      <c r="F441" s="14"/>
      <c r="G441" s="793"/>
      <c r="H441" s="14"/>
      <c r="I441" s="14"/>
      <c r="J441" s="609"/>
      <c r="M441" s="13" t="s">
        <v>180</v>
      </c>
      <c r="N441" s="13">
        <v>1</v>
      </c>
    </row>
    <row r="442" spans="1:14" hidden="1">
      <c r="A442" s="38" t="s">
        <v>1243</v>
      </c>
      <c r="B442" s="37" t="s">
        <v>396</v>
      </c>
      <c r="C442" s="609" t="s">
        <v>448</v>
      </c>
      <c r="D442" s="14"/>
      <c r="E442" s="14"/>
      <c r="F442" s="14"/>
      <c r="G442" s="793"/>
      <c r="H442" s="14"/>
      <c r="I442" s="14"/>
      <c r="J442" s="609"/>
      <c r="M442" s="13" t="s">
        <v>392</v>
      </c>
      <c r="N442" s="13">
        <v>1</v>
      </c>
    </row>
    <row r="443" spans="1:14" hidden="1">
      <c r="A443" s="38" t="s">
        <v>1244</v>
      </c>
      <c r="B443" s="37" t="s">
        <v>398</v>
      </c>
      <c r="C443" s="609" t="s">
        <v>448</v>
      </c>
      <c r="D443" s="14"/>
      <c r="E443" s="14"/>
      <c r="F443" s="14"/>
      <c r="G443" s="793"/>
      <c r="H443" s="14"/>
      <c r="I443" s="14"/>
      <c r="J443" s="609"/>
      <c r="M443" s="13" t="s">
        <v>393</v>
      </c>
      <c r="N443" s="13">
        <v>1</v>
      </c>
    </row>
    <row r="444" spans="1:14" hidden="1">
      <c r="A444" s="38" t="s">
        <v>1245</v>
      </c>
      <c r="B444" s="37" t="s">
        <v>433</v>
      </c>
      <c r="C444" s="609" t="s">
        <v>448</v>
      </c>
      <c r="D444" s="14"/>
      <c r="E444" s="14"/>
      <c r="F444" s="14"/>
      <c r="G444" s="793"/>
      <c r="H444" s="14"/>
      <c r="I444" s="14"/>
      <c r="J444" s="609"/>
      <c r="M444" s="13" t="s">
        <v>366</v>
      </c>
      <c r="N444" s="13">
        <v>1</v>
      </c>
    </row>
    <row r="445" spans="1:14" hidden="1">
      <c r="A445" s="38" t="s">
        <v>1246</v>
      </c>
      <c r="B445" s="37" t="s">
        <v>397</v>
      </c>
      <c r="C445" s="609" t="s">
        <v>448</v>
      </c>
      <c r="D445" s="14"/>
      <c r="E445" s="14"/>
      <c r="F445" s="14"/>
      <c r="G445" s="793"/>
      <c r="H445" s="14"/>
      <c r="I445" s="14"/>
      <c r="J445" s="609"/>
      <c r="M445" s="13" t="s">
        <v>375</v>
      </c>
      <c r="N445" s="13">
        <v>1</v>
      </c>
    </row>
    <row r="446" spans="1:14" hidden="1">
      <c r="A446" s="38" t="s">
        <v>1247</v>
      </c>
      <c r="B446" s="37" t="s">
        <v>1248</v>
      </c>
      <c r="C446" s="609" t="s">
        <v>592</v>
      </c>
      <c r="D446" s="14"/>
      <c r="E446" s="14"/>
      <c r="F446" s="14"/>
      <c r="G446" s="793"/>
      <c r="H446" s="14"/>
      <c r="I446" s="14"/>
      <c r="J446" s="609"/>
    </row>
    <row r="447" spans="1:14" hidden="1">
      <c r="A447" s="38" t="s">
        <v>1249</v>
      </c>
      <c r="B447" s="37" t="s">
        <v>1250</v>
      </c>
      <c r="C447" s="609" t="s">
        <v>625</v>
      </c>
      <c r="D447" s="14"/>
      <c r="E447" s="14"/>
      <c r="F447" s="14"/>
      <c r="G447" s="793"/>
      <c r="H447" s="14"/>
      <c r="I447" s="14"/>
      <c r="J447" s="609"/>
    </row>
    <row r="448" spans="1:14" hidden="1">
      <c r="A448" s="38" t="s">
        <v>1251</v>
      </c>
      <c r="B448" s="37" t="s">
        <v>1252</v>
      </c>
      <c r="C448" s="609" t="s">
        <v>714</v>
      </c>
      <c r="D448" s="14"/>
      <c r="E448" s="14"/>
      <c r="F448" s="14"/>
      <c r="G448" s="793"/>
      <c r="H448" s="14"/>
      <c r="I448" s="14"/>
      <c r="J448" s="609"/>
    </row>
    <row r="449" spans="1:14" hidden="1">
      <c r="A449" s="38" t="s">
        <v>1253</v>
      </c>
      <c r="B449" s="37" t="s">
        <v>399</v>
      </c>
      <c r="C449" s="609" t="s">
        <v>484</v>
      </c>
      <c r="D449" s="14"/>
      <c r="E449" s="14"/>
      <c r="F449" s="14"/>
      <c r="G449" s="793"/>
      <c r="H449" s="14"/>
      <c r="I449" s="14"/>
      <c r="J449" s="609"/>
      <c r="M449" s="13" t="s">
        <v>394</v>
      </c>
      <c r="N449" s="13">
        <v>1</v>
      </c>
    </row>
    <row r="450" spans="1:14">
      <c r="A450" s="38" t="s">
        <v>123</v>
      </c>
      <c r="B450" s="37" t="s">
        <v>1254</v>
      </c>
      <c r="C450" s="609" t="s">
        <v>135</v>
      </c>
      <c r="D450" s="14"/>
      <c r="E450" s="14"/>
      <c r="F450" s="14"/>
      <c r="G450" s="793"/>
      <c r="H450" s="14"/>
      <c r="I450" s="14"/>
      <c r="J450" s="609"/>
      <c r="K450" s="13" t="s">
        <v>80</v>
      </c>
      <c r="L450" s="13">
        <v>1</v>
      </c>
    </row>
    <row r="451" spans="1:14">
      <c r="A451" s="38" t="s">
        <v>124</v>
      </c>
      <c r="B451" s="37" t="s">
        <v>1255</v>
      </c>
      <c r="C451" s="609" t="s">
        <v>135</v>
      </c>
      <c r="D451" s="14"/>
      <c r="E451" s="14"/>
      <c r="F451" s="14"/>
      <c r="G451" s="793"/>
      <c r="H451" s="14"/>
      <c r="I451" s="14"/>
      <c r="J451" s="609"/>
      <c r="K451" s="13" t="s">
        <v>81</v>
      </c>
      <c r="L451" s="13">
        <v>1</v>
      </c>
    </row>
    <row r="452" spans="1:14" hidden="1">
      <c r="A452" s="38" t="s">
        <v>260</v>
      </c>
      <c r="B452" s="37" t="s">
        <v>1256</v>
      </c>
      <c r="C452" s="609" t="s">
        <v>448</v>
      </c>
      <c r="D452" s="14"/>
      <c r="E452" s="14"/>
      <c r="F452" s="14"/>
      <c r="G452" s="793"/>
      <c r="H452" s="14"/>
      <c r="I452" s="14"/>
      <c r="J452" s="609"/>
      <c r="K452" s="13" t="s">
        <v>80</v>
      </c>
      <c r="L452" s="13">
        <v>1</v>
      </c>
      <c r="M452" s="13" t="s">
        <v>69</v>
      </c>
      <c r="N452" s="13">
        <v>1</v>
      </c>
    </row>
    <row r="453" spans="1:14" hidden="1">
      <c r="A453" s="38" t="s">
        <v>234</v>
      </c>
      <c r="B453" s="37" t="s">
        <v>1257</v>
      </c>
      <c r="C453" s="609" t="s">
        <v>448</v>
      </c>
      <c r="D453" s="14"/>
      <c r="E453" s="14"/>
      <c r="F453" s="14"/>
      <c r="G453" s="793"/>
      <c r="H453" s="14"/>
      <c r="I453" s="14"/>
      <c r="J453" s="609"/>
      <c r="K453" s="13" t="s">
        <v>80</v>
      </c>
      <c r="L453" s="13">
        <v>1</v>
      </c>
      <c r="M453" s="13" t="s">
        <v>69</v>
      </c>
      <c r="N453" s="13">
        <v>1</v>
      </c>
    </row>
    <row r="454" spans="1:14" hidden="1">
      <c r="A454" s="38" t="s">
        <v>261</v>
      </c>
      <c r="B454" s="37" t="s">
        <v>1258</v>
      </c>
      <c r="C454" s="609" t="s">
        <v>448</v>
      </c>
      <c r="D454" s="14"/>
      <c r="E454" s="14"/>
      <c r="F454" s="14"/>
      <c r="G454" s="793"/>
      <c r="H454" s="14"/>
      <c r="I454" s="14"/>
      <c r="J454" s="609"/>
      <c r="K454" s="13" t="s">
        <v>81</v>
      </c>
      <c r="L454" s="13">
        <v>1</v>
      </c>
      <c r="M454" s="13" t="s">
        <v>70</v>
      </c>
      <c r="N454" s="13">
        <v>1</v>
      </c>
    </row>
    <row r="455" spans="1:14" hidden="1">
      <c r="A455" s="38" t="s">
        <v>262</v>
      </c>
      <c r="B455" s="37" t="s">
        <v>1259</v>
      </c>
      <c r="C455" s="609" t="s">
        <v>448</v>
      </c>
      <c r="D455" s="14"/>
      <c r="E455" s="14"/>
      <c r="F455" s="14"/>
      <c r="G455" s="793"/>
      <c r="H455" s="14"/>
      <c r="I455" s="14"/>
      <c r="J455" s="609"/>
      <c r="K455" s="13" t="s">
        <v>81</v>
      </c>
      <c r="L455" s="13">
        <v>1</v>
      </c>
      <c r="M455" s="13" t="s">
        <v>64</v>
      </c>
      <c r="N455" s="13">
        <v>1</v>
      </c>
    </row>
    <row r="456" spans="1:14" hidden="1">
      <c r="A456" s="38" t="s">
        <v>263</v>
      </c>
      <c r="B456" s="37" t="s">
        <v>1260</v>
      </c>
      <c r="C456" s="609" t="s">
        <v>448</v>
      </c>
      <c r="D456" s="14"/>
      <c r="E456" s="14"/>
      <c r="F456" s="14"/>
      <c r="G456" s="793"/>
      <c r="H456" s="14"/>
      <c r="I456" s="14"/>
      <c r="J456" s="609"/>
      <c r="K456" s="13" t="s">
        <v>82</v>
      </c>
      <c r="L456" s="13">
        <v>1</v>
      </c>
      <c r="M456" s="13" t="s">
        <v>64</v>
      </c>
      <c r="N456" s="13">
        <v>1</v>
      </c>
    </row>
    <row r="457" spans="1:14" hidden="1">
      <c r="A457" s="38" t="s">
        <v>224</v>
      </c>
      <c r="B457" s="37" t="s">
        <v>1261</v>
      </c>
      <c r="C457" s="609" t="s">
        <v>448</v>
      </c>
      <c r="D457" s="14"/>
      <c r="E457" s="14"/>
      <c r="F457" s="14"/>
      <c r="G457" s="793"/>
      <c r="H457" s="14"/>
      <c r="I457" s="14"/>
      <c r="J457" s="609"/>
      <c r="K457" s="13" t="s">
        <v>82</v>
      </c>
      <c r="L457" s="13">
        <v>1</v>
      </c>
      <c r="M457" s="13" t="s">
        <v>64</v>
      </c>
      <c r="N457" s="13">
        <v>1</v>
      </c>
    </row>
    <row r="458" spans="1:14" hidden="1">
      <c r="A458" s="38" t="s">
        <v>264</v>
      </c>
      <c r="B458" s="37" t="s">
        <v>1262</v>
      </c>
      <c r="C458" s="609" t="s">
        <v>448</v>
      </c>
      <c r="D458" s="14"/>
      <c r="E458" s="14"/>
      <c r="F458" s="14"/>
      <c r="G458" s="793"/>
      <c r="H458" s="14"/>
      <c r="I458" s="14"/>
      <c r="J458" s="609"/>
      <c r="K458" s="13" t="s">
        <v>80</v>
      </c>
      <c r="L458" s="13">
        <v>1</v>
      </c>
      <c r="M458" s="13" t="s">
        <v>69</v>
      </c>
      <c r="N458" s="13">
        <v>1</v>
      </c>
    </row>
    <row r="459" spans="1:14" hidden="1">
      <c r="A459" s="38" t="s">
        <v>265</v>
      </c>
      <c r="B459" s="37" t="s">
        <v>1263</v>
      </c>
      <c r="C459" s="609" t="s">
        <v>448</v>
      </c>
      <c r="D459" s="14"/>
      <c r="E459" s="14"/>
      <c r="F459" s="14"/>
      <c r="G459" s="793"/>
      <c r="H459" s="14"/>
      <c r="I459" s="14"/>
      <c r="J459" s="609"/>
      <c r="K459" s="13" t="s">
        <v>81</v>
      </c>
      <c r="L459" s="13">
        <v>1</v>
      </c>
      <c r="M459" s="13" t="s">
        <v>64</v>
      </c>
      <c r="N459" s="13">
        <v>1</v>
      </c>
    </row>
    <row r="460" spans="1:14" hidden="1">
      <c r="A460" s="38" t="s">
        <v>266</v>
      </c>
      <c r="B460" s="37" t="s">
        <v>1264</v>
      </c>
      <c r="C460" s="609" t="s">
        <v>448</v>
      </c>
      <c r="D460" s="14"/>
      <c r="E460" s="14"/>
      <c r="F460" s="14"/>
      <c r="G460" s="793"/>
      <c r="H460" s="14"/>
      <c r="I460" s="14"/>
      <c r="J460" s="609"/>
      <c r="K460" s="13" t="s">
        <v>82</v>
      </c>
      <c r="L460" s="13">
        <v>1</v>
      </c>
      <c r="M460" s="13" t="s">
        <v>64</v>
      </c>
      <c r="N460" s="13">
        <v>1</v>
      </c>
    </row>
    <row r="461" spans="1:14" hidden="1">
      <c r="A461" s="38" t="s">
        <v>267</v>
      </c>
      <c r="B461" s="37" t="s">
        <v>1265</v>
      </c>
      <c r="C461" s="609" t="s">
        <v>448</v>
      </c>
      <c r="D461" s="14"/>
      <c r="E461" s="14"/>
      <c r="F461" s="14"/>
      <c r="G461" s="793"/>
      <c r="H461" s="14"/>
      <c r="I461" s="14"/>
      <c r="J461" s="609"/>
      <c r="K461" s="13" t="s">
        <v>80</v>
      </c>
      <c r="L461" s="13">
        <v>1</v>
      </c>
      <c r="M461" s="13" t="s">
        <v>69</v>
      </c>
      <c r="N461" s="13">
        <v>1</v>
      </c>
    </row>
    <row r="462" spans="1:14" hidden="1">
      <c r="A462" s="38" t="s">
        <v>233</v>
      </c>
      <c r="B462" s="37" t="s">
        <v>1266</v>
      </c>
      <c r="C462" s="609" t="s">
        <v>448</v>
      </c>
      <c r="D462" s="14"/>
      <c r="E462" s="14"/>
      <c r="F462" s="14"/>
      <c r="G462" s="793"/>
      <c r="H462" s="14"/>
      <c r="I462" s="14"/>
      <c r="J462" s="609"/>
      <c r="K462" s="13" t="s">
        <v>80</v>
      </c>
      <c r="L462" s="13">
        <v>1</v>
      </c>
      <c r="M462" s="13" t="s">
        <v>69</v>
      </c>
      <c r="N462" s="13">
        <v>1</v>
      </c>
    </row>
    <row r="463" spans="1:14" hidden="1">
      <c r="A463" s="38" t="s">
        <v>268</v>
      </c>
      <c r="B463" s="37" t="s">
        <v>1267</v>
      </c>
      <c r="C463" s="609" t="s">
        <v>448</v>
      </c>
      <c r="D463" s="14"/>
      <c r="E463" s="14"/>
      <c r="F463" s="14"/>
      <c r="G463" s="793"/>
      <c r="H463" s="14"/>
      <c r="I463" s="14"/>
      <c r="J463" s="609"/>
      <c r="K463" s="13" t="s">
        <v>81</v>
      </c>
      <c r="L463" s="13">
        <v>1</v>
      </c>
      <c r="M463" s="13" t="s">
        <v>64</v>
      </c>
      <c r="N463" s="13">
        <v>1</v>
      </c>
    </row>
    <row r="464" spans="1:14" hidden="1">
      <c r="A464" s="38" t="s">
        <v>218</v>
      </c>
      <c r="B464" s="37" t="s">
        <v>1268</v>
      </c>
      <c r="C464" s="609" t="s">
        <v>448</v>
      </c>
      <c r="D464" s="14"/>
      <c r="E464" s="14"/>
      <c r="F464" s="14"/>
      <c r="G464" s="793"/>
      <c r="H464" s="14"/>
      <c r="I464" s="14"/>
      <c r="J464" s="609"/>
      <c r="K464" s="13" t="s">
        <v>81</v>
      </c>
      <c r="L464" s="13">
        <v>1</v>
      </c>
      <c r="M464" s="13" t="s">
        <v>64</v>
      </c>
      <c r="N464" s="13">
        <v>1</v>
      </c>
    </row>
    <row r="465" spans="1:14" hidden="1">
      <c r="A465" s="38" t="s">
        <v>269</v>
      </c>
      <c r="B465" s="37" t="s">
        <v>1269</v>
      </c>
      <c r="C465" s="609" t="s">
        <v>448</v>
      </c>
      <c r="D465" s="14"/>
      <c r="E465" s="14"/>
      <c r="F465" s="14"/>
      <c r="G465" s="793"/>
      <c r="H465" s="14"/>
      <c r="I465" s="14"/>
      <c r="J465" s="609"/>
      <c r="K465" s="13" t="s">
        <v>82</v>
      </c>
      <c r="L465" s="13">
        <v>1</v>
      </c>
      <c r="M465" s="13" t="s">
        <v>64</v>
      </c>
      <c r="N465" s="13">
        <v>1</v>
      </c>
    </row>
    <row r="466" spans="1:14" hidden="1">
      <c r="A466" s="38" t="s">
        <v>361</v>
      </c>
      <c r="B466" s="37" t="s">
        <v>1270</v>
      </c>
      <c r="C466" s="609" t="s">
        <v>448</v>
      </c>
      <c r="D466" s="14"/>
      <c r="E466" s="14"/>
      <c r="F466" s="14"/>
      <c r="G466" s="793"/>
      <c r="H466" s="14"/>
      <c r="I466" s="14"/>
      <c r="J466" s="609"/>
      <c r="K466" s="13" t="s">
        <v>82</v>
      </c>
      <c r="L466" s="13">
        <v>1</v>
      </c>
      <c r="M466" s="13" t="s">
        <v>64</v>
      </c>
      <c r="N466" s="13">
        <v>1</v>
      </c>
    </row>
    <row r="467" spans="1:14">
      <c r="A467" s="38" t="s">
        <v>270</v>
      </c>
      <c r="B467" s="37" t="s">
        <v>307</v>
      </c>
      <c r="C467" s="609" t="s">
        <v>135</v>
      </c>
      <c r="D467" s="14"/>
      <c r="E467" s="14"/>
      <c r="F467" s="14"/>
      <c r="G467" s="793"/>
      <c r="H467" s="14"/>
      <c r="I467" s="14"/>
      <c r="J467" s="609"/>
      <c r="K467" s="13" t="s">
        <v>80</v>
      </c>
      <c r="L467" s="13">
        <v>2</v>
      </c>
    </row>
    <row r="468" spans="1:14">
      <c r="A468" s="38" t="s">
        <v>420</v>
      </c>
      <c r="B468" s="37" t="s">
        <v>1271</v>
      </c>
      <c r="C468" s="609" t="s">
        <v>135</v>
      </c>
      <c r="D468" s="14"/>
      <c r="E468" s="14"/>
      <c r="F468" s="14"/>
      <c r="G468" s="793"/>
      <c r="H468" s="14"/>
      <c r="I468" s="14"/>
      <c r="J468" s="609"/>
      <c r="K468" s="13" t="s">
        <v>98</v>
      </c>
      <c r="L468" s="13">
        <v>2</v>
      </c>
    </row>
    <row r="469" spans="1:14">
      <c r="A469" s="38" t="s">
        <v>1272</v>
      </c>
      <c r="B469" s="37" t="s">
        <v>308</v>
      </c>
      <c r="C469" s="609" t="s">
        <v>135</v>
      </c>
      <c r="D469" s="14"/>
      <c r="E469" s="14"/>
      <c r="F469" s="14"/>
      <c r="G469" s="793"/>
      <c r="H469" s="14"/>
      <c r="I469" s="14"/>
      <c r="J469" s="609"/>
      <c r="K469" s="13" t="s">
        <v>81</v>
      </c>
      <c r="L469" s="13">
        <v>2</v>
      </c>
    </row>
    <row r="470" spans="1:14">
      <c r="A470" s="38" t="s">
        <v>165</v>
      </c>
      <c r="B470" s="37" t="s">
        <v>1273</v>
      </c>
      <c r="C470" s="609" t="s">
        <v>135</v>
      </c>
      <c r="D470" s="14"/>
      <c r="E470" s="14"/>
      <c r="F470" s="14"/>
      <c r="G470" s="793"/>
      <c r="H470" s="14"/>
      <c r="I470" s="14"/>
      <c r="J470" s="609"/>
      <c r="K470" s="13" t="s">
        <v>97</v>
      </c>
      <c r="L470" s="13">
        <v>2</v>
      </c>
    </row>
    <row r="471" spans="1:14">
      <c r="A471" s="38" t="s">
        <v>1274</v>
      </c>
      <c r="B471" s="37" t="s">
        <v>334</v>
      </c>
      <c r="C471" s="609" t="s">
        <v>135</v>
      </c>
      <c r="D471" s="14"/>
      <c r="E471" s="14"/>
      <c r="F471" s="14"/>
      <c r="G471" s="793"/>
      <c r="H471" s="14"/>
      <c r="I471" s="14"/>
      <c r="J471" s="609"/>
      <c r="K471" s="13" t="s">
        <v>83</v>
      </c>
      <c r="L471" s="13">
        <v>2</v>
      </c>
    </row>
    <row r="472" spans="1:14">
      <c r="A472" s="38" t="s">
        <v>186</v>
      </c>
      <c r="B472" s="37" t="s">
        <v>1275</v>
      </c>
      <c r="C472" s="609" t="s">
        <v>135</v>
      </c>
      <c r="D472" s="14"/>
      <c r="E472" s="14"/>
      <c r="F472" s="14"/>
      <c r="G472" s="793"/>
      <c r="H472" s="14"/>
      <c r="I472" s="14"/>
      <c r="J472" s="609"/>
      <c r="K472" s="13" t="s">
        <v>100</v>
      </c>
      <c r="L472" s="13">
        <v>2</v>
      </c>
    </row>
    <row r="473" spans="1:14">
      <c r="A473" s="38" t="s">
        <v>1276</v>
      </c>
      <c r="B473" s="37" t="s">
        <v>309</v>
      </c>
      <c r="C473" s="609" t="s">
        <v>135</v>
      </c>
      <c r="D473" s="14"/>
      <c r="E473" s="14"/>
      <c r="F473" s="14"/>
      <c r="G473" s="793"/>
      <c r="H473" s="14"/>
      <c r="I473" s="14"/>
      <c r="J473" s="609"/>
      <c r="K473" s="13" t="s">
        <v>82</v>
      </c>
      <c r="L473" s="13">
        <v>2</v>
      </c>
    </row>
    <row r="474" spans="1:14">
      <c r="A474" s="38" t="s">
        <v>182</v>
      </c>
      <c r="B474" s="37" t="s">
        <v>1277</v>
      </c>
      <c r="C474" s="609" t="s">
        <v>135</v>
      </c>
      <c r="D474" s="14"/>
      <c r="E474" s="14"/>
      <c r="F474" s="14"/>
      <c r="G474" s="793"/>
      <c r="H474" s="14"/>
      <c r="I474" s="14"/>
      <c r="J474" s="609"/>
      <c r="K474" s="13" t="s">
        <v>99</v>
      </c>
      <c r="L474" s="13">
        <v>2</v>
      </c>
    </row>
    <row r="475" spans="1:14">
      <c r="A475" s="38" t="s">
        <v>225</v>
      </c>
      <c r="B475" s="37" t="s">
        <v>310</v>
      </c>
      <c r="C475" s="609" t="s">
        <v>135</v>
      </c>
      <c r="D475" s="14"/>
      <c r="E475" s="14"/>
      <c r="F475" s="14"/>
      <c r="G475" s="793"/>
      <c r="H475" s="14"/>
      <c r="I475" s="14"/>
      <c r="J475" s="609"/>
      <c r="K475" s="13" t="s">
        <v>80</v>
      </c>
      <c r="L475" s="13">
        <v>3</v>
      </c>
    </row>
    <row r="476" spans="1:14">
      <c r="A476" s="38" t="s">
        <v>226</v>
      </c>
      <c r="B476" s="37" t="s">
        <v>348</v>
      </c>
      <c r="C476" s="609" t="s">
        <v>135</v>
      </c>
      <c r="D476" s="14"/>
      <c r="E476" s="14"/>
      <c r="F476" s="14"/>
      <c r="G476" s="793"/>
      <c r="H476" s="14"/>
      <c r="I476" s="14"/>
      <c r="J476" s="609"/>
      <c r="K476" s="13" t="s">
        <v>108</v>
      </c>
      <c r="L476" s="13">
        <v>3</v>
      </c>
    </row>
    <row r="477" spans="1:14">
      <c r="A477" s="38" t="s">
        <v>178</v>
      </c>
      <c r="B477" s="37" t="s">
        <v>1278</v>
      </c>
      <c r="C477" s="609" t="s">
        <v>135</v>
      </c>
      <c r="D477" s="14"/>
      <c r="E477" s="14"/>
      <c r="F477" s="14"/>
      <c r="G477" s="793"/>
      <c r="H477" s="14"/>
      <c r="I477" s="14"/>
      <c r="J477" s="609"/>
      <c r="K477" s="13" t="s">
        <v>98</v>
      </c>
      <c r="L477" s="13">
        <v>3</v>
      </c>
    </row>
    <row r="478" spans="1:14">
      <c r="A478" s="38" t="s">
        <v>1279</v>
      </c>
      <c r="B478" s="37" t="s">
        <v>333</v>
      </c>
      <c r="C478" s="609" t="s">
        <v>135</v>
      </c>
      <c r="D478" s="14"/>
      <c r="E478" s="14"/>
      <c r="F478" s="14"/>
      <c r="G478" s="793"/>
      <c r="H478" s="14"/>
      <c r="I478" s="14"/>
      <c r="J478" s="609"/>
      <c r="K478" s="13" t="s">
        <v>81</v>
      </c>
      <c r="L478" s="13">
        <v>3</v>
      </c>
    </row>
    <row r="479" spans="1:14">
      <c r="A479" s="38" t="s">
        <v>227</v>
      </c>
      <c r="B479" s="37" t="s">
        <v>349</v>
      </c>
      <c r="C479" s="609" t="s">
        <v>135</v>
      </c>
      <c r="D479" s="14"/>
      <c r="E479" s="14"/>
      <c r="F479" s="14"/>
      <c r="G479" s="793"/>
      <c r="H479" s="14"/>
      <c r="I479" s="14"/>
      <c r="J479" s="609"/>
      <c r="K479" s="13" t="s">
        <v>109</v>
      </c>
      <c r="L479" s="13">
        <v>3</v>
      </c>
    </row>
    <row r="480" spans="1:14">
      <c r="A480" s="38" t="s">
        <v>181</v>
      </c>
      <c r="B480" s="37" t="s">
        <v>1280</v>
      </c>
      <c r="C480" s="609" t="s">
        <v>135</v>
      </c>
      <c r="D480" s="14"/>
      <c r="E480" s="14"/>
      <c r="F480" s="14"/>
      <c r="G480" s="793"/>
      <c r="H480" s="14"/>
      <c r="I480" s="14"/>
      <c r="J480" s="609"/>
      <c r="K480" s="13" t="s">
        <v>97</v>
      </c>
      <c r="L480" s="13">
        <v>3</v>
      </c>
    </row>
    <row r="481" spans="1:14">
      <c r="A481" s="38" t="s">
        <v>1281</v>
      </c>
      <c r="B481" s="37" t="s">
        <v>341</v>
      </c>
      <c r="C481" s="609" t="s">
        <v>135</v>
      </c>
      <c r="D481" s="14"/>
      <c r="E481" s="14"/>
      <c r="F481" s="14"/>
      <c r="G481" s="793"/>
      <c r="H481" s="14"/>
      <c r="I481" s="14"/>
      <c r="J481" s="609"/>
      <c r="K481" s="13" t="s">
        <v>83</v>
      </c>
      <c r="L481" s="13">
        <v>3</v>
      </c>
    </row>
    <row r="482" spans="1:14">
      <c r="A482" s="38" t="s">
        <v>235</v>
      </c>
      <c r="B482" s="37" t="s">
        <v>353</v>
      </c>
      <c r="C482" s="609" t="s">
        <v>135</v>
      </c>
      <c r="D482" s="14"/>
      <c r="E482" s="14"/>
      <c r="F482" s="14"/>
      <c r="G482" s="793"/>
      <c r="H482" s="14"/>
      <c r="I482" s="14"/>
      <c r="J482" s="609"/>
      <c r="K482" s="13" t="s">
        <v>111</v>
      </c>
      <c r="L482" s="13">
        <v>3</v>
      </c>
    </row>
    <row r="483" spans="1:14">
      <c r="A483" s="38" t="s">
        <v>183</v>
      </c>
      <c r="B483" s="37" t="s">
        <v>1282</v>
      </c>
      <c r="C483" s="609" t="s">
        <v>135</v>
      </c>
      <c r="D483" s="14"/>
      <c r="E483" s="14"/>
      <c r="F483" s="14"/>
      <c r="G483" s="793"/>
      <c r="H483" s="14"/>
      <c r="I483" s="14"/>
      <c r="J483" s="609"/>
      <c r="K483" s="13" t="s">
        <v>100</v>
      </c>
      <c r="L483" s="13">
        <v>3</v>
      </c>
    </row>
    <row r="484" spans="1:14">
      <c r="A484" s="38" t="s">
        <v>1283</v>
      </c>
      <c r="B484" s="37" t="s">
        <v>311</v>
      </c>
      <c r="C484" s="609" t="s">
        <v>135</v>
      </c>
      <c r="D484" s="14"/>
      <c r="E484" s="14"/>
      <c r="F484" s="14"/>
      <c r="G484" s="793"/>
      <c r="H484" s="14"/>
      <c r="I484" s="14"/>
      <c r="J484" s="609"/>
      <c r="K484" s="13" t="s">
        <v>82</v>
      </c>
      <c r="L484" s="13">
        <v>3</v>
      </c>
    </row>
    <row r="485" spans="1:14">
      <c r="A485" s="38" t="s">
        <v>223</v>
      </c>
      <c r="B485" s="37" t="s">
        <v>347</v>
      </c>
      <c r="C485" s="609" t="s">
        <v>135</v>
      </c>
      <c r="D485" s="14"/>
      <c r="E485" s="14"/>
      <c r="F485" s="14"/>
      <c r="G485" s="793"/>
      <c r="H485" s="14"/>
      <c r="I485" s="14"/>
      <c r="J485" s="609"/>
      <c r="K485" s="13" t="s">
        <v>110</v>
      </c>
      <c r="L485" s="13">
        <v>3</v>
      </c>
    </row>
    <row r="486" spans="1:14">
      <c r="A486" s="38" t="s">
        <v>184</v>
      </c>
      <c r="B486" s="37" t="s">
        <v>1284</v>
      </c>
      <c r="C486" s="609" t="s">
        <v>135</v>
      </c>
      <c r="D486" s="14"/>
      <c r="E486" s="14"/>
      <c r="F486" s="14"/>
      <c r="G486" s="793"/>
      <c r="H486" s="14"/>
      <c r="I486" s="14"/>
      <c r="J486" s="609"/>
      <c r="K486" s="13" t="s">
        <v>99</v>
      </c>
      <c r="L486" s="13">
        <v>3</v>
      </c>
    </row>
    <row r="487" spans="1:14" hidden="1">
      <c r="A487" s="38" t="s">
        <v>214</v>
      </c>
      <c r="B487" s="37" t="s">
        <v>1285</v>
      </c>
      <c r="C487" s="609" t="s">
        <v>448</v>
      </c>
      <c r="D487" s="14"/>
      <c r="E487" s="14"/>
      <c r="F487" s="14"/>
      <c r="G487" s="793"/>
      <c r="H487" s="14"/>
      <c r="I487" s="14"/>
      <c r="J487" s="609"/>
      <c r="K487" s="13" t="s">
        <v>80</v>
      </c>
      <c r="L487" s="13">
        <v>1</v>
      </c>
      <c r="M487" s="13" t="s">
        <v>71</v>
      </c>
      <c r="N487" s="13">
        <v>1</v>
      </c>
    </row>
    <row r="488" spans="1:14" hidden="1">
      <c r="A488" s="38" t="s">
        <v>215</v>
      </c>
      <c r="B488" s="37" t="s">
        <v>1286</v>
      </c>
      <c r="C488" s="609" t="s">
        <v>448</v>
      </c>
      <c r="D488" s="14"/>
      <c r="E488" s="14"/>
      <c r="F488" s="14"/>
      <c r="G488" s="793"/>
      <c r="H488" s="14"/>
      <c r="I488" s="14"/>
      <c r="J488" s="609"/>
      <c r="K488" s="13" t="s">
        <v>81</v>
      </c>
      <c r="L488" s="13">
        <v>1</v>
      </c>
      <c r="M488" s="13" t="s">
        <v>15</v>
      </c>
      <c r="N488" s="13">
        <v>1</v>
      </c>
    </row>
    <row r="489" spans="1:14">
      <c r="A489" s="38" t="s">
        <v>275</v>
      </c>
      <c r="B489" s="37" t="s">
        <v>337</v>
      </c>
      <c r="C489" s="609" t="s">
        <v>135</v>
      </c>
      <c r="D489" s="14"/>
      <c r="E489" s="14"/>
      <c r="F489" s="14"/>
      <c r="G489" s="793"/>
      <c r="H489" s="14"/>
      <c r="I489" s="14"/>
      <c r="J489" s="609"/>
      <c r="K489" s="13" t="s">
        <v>98</v>
      </c>
      <c r="L489" s="13">
        <v>1</v>
      </c>
    </row>
    <row r="490" spans="1:14">
      <c r="A490" s="38" t="s">
        <v>219</v>
      </c>
      <c r="B490" s="37" t="s">
        <v>350</v>
      </c>
      <c r="C490" s="609" t="s">
        <v>135</v>
      </c>
      <c r="D490" s="14"/>
      <c r="E490" s="14"/>
      <c r="F490" s="14"/>
      <c r="G490" s="793"/>
      <c r="H490" s="14"/>
      <c r="I490" s="14"/>
      <c r="J490" s="609"/>
      <c r="K490" s="13" t="s">
        <v>108</v>
      </c>
      <c r="L490" s="13">
        <v>1</v>
      </c>
    </row>
    <row r="491" spans="1:14">
      <c r="A491" s="38" t="s">
        <v>273</v>
      </c>
      <c r="B491" s="37" t="s">
        <v>335</v>
      </c>
      <c r="C491" s="609" t="s">
        <v>135</v>
      </c>
      <c r="D491" s="14"/>
      <c r="E491" s="14"/>
      <c r="F491" s="14"/>
      <c r="G491" s="793"/>
      <c r="H491" s="14"/>
      <c r="I491" s="14"/>
      <c r="J491" s="609"/>
      <c r="K491" s="13" t="s">
        <v>97</v>
      </c>
      <c r="L491" s="13">
        <v>1</v>
      </c>
    </row>
    <row r="492" spans="1:14">
      <c r="A492" s="38" t="s">
        <v>220</v>
      </c>
      <c r="B492" s="37" t="s">
        <v>298</v>
      </c>
      <c r="C492" s="609" t="s">
        <v>135</v>
      </c>
      <c r="D492" s="14"/>
      <c r="E492" s="14"/>
      <c r="F492" s="14"/>
      <c r="G492" s="793"/>
      <c r="H492" s="14"/>
      <c r="I492" s="14"/>
      <c r="J492" s="609"/>
      <c r="K492" s="13" t="s">
        <v>109</v>
      </c>
      <c r="L492" s="13">
        <v>1</v>
      </c>
    </row>
    <row r="493" spans="1:14">
      <c r="A493" s="38" t="s">
        <v>276</v>
      </c>
      <c r="B493" s="37" t="s">
        <v>338</v>
      </c>
      <c r="C493" s="609" t="s">
        <v>135</v>
      </c>
      <c r="D493" s="14"/>
      <c r="E493" s="14"/>
      <c r="F493" s="14"/>
      <c r="G493" s="793"/>
      <c r="H493" s="14"/>
      <c r="I493" s="14"/>
      <c r="J493" s="609"/>
      <c r="K493" s="13" t="s">
        <v>100</v>
      </c>
      <c r="L493" s="13">
        <v>1</v>
      </c>
    </row>
    <row r="494" spans="1:14">
      <c r="A494" s="38" t="s">
        <v>221</v>
      </c>
      <c r="B494" s="37" t="s">
        <v>351</v>
      </c>
      <c r="C494" s="609" t="s">
        <v>135</v>
      </c>
      <c r="D494" s="14"/>
      <c r="E494" s="14"/>
      <c r="F494" s="14"/>
      <c r="G494" s="793"/>
      <c r="H494" s="14"/>
      <c r="I494" s="14"/>
      <c r="J494" s="609"/>
      <c r="K494" s="13" t="s">
        <v>111</v>
      </c>
      <c r="L494" s="13">
        <v>1</v>
      </c>
    </row>
    <row r="495" spans="1:14">
      <c r="A495" s="38" t="s">
        <v>271</v>
      </c>
      <c r="B495" s="37" t="s">
        <v>312</v>
      </c>
      <c r="C495" s="609" t="s">
        <v>135</v>
      </c>
      <c r="D495" s="14"/>
      <c r="E495" s="14"/>
      <c r="F495" s="14"/>
      <c r="G495" s="793"/>
      <c r="H495" s="14"/>
      <c r="I495" s="14"/>
      <c r="J495" s="609"/>
      <c r="K495" s="13" t="s">
        <v>99</v>
      </c>
      <c r="L495" s="13">
        <v>1</v>
      </c>
    </row>
    <row r="496" spans="1:14">
      <c r="A496" s="38" t="s">
        <v>222</v>
      </c>
      <c r="B496" s="37" t="s">
        <v>297</v>
      </c>
      <c r="C496" s="609" t="s">
        <v>135</v>
      </c>
      <c r="D496" s="14"/>
      <c r="E496" s="14"/>
      <c r="F496" s="14"/>
      <c r="G496" s="793"/>
      <c r="H496" s="14"/>
      <c r="I496" s="14"/>
      <c r="J496" s="609"/>
      <c r="K496" s="13" t="s">
        <v>110</v>
      </c>
      <c r="L496" s="13">
        <v>1</v>
      </c>
    </row>
    <row r="497" spans="1:14" hidden="1">
      <c r="A497" s="38" t="s">
        <v>216</v>
      </c>
      <c r="B497" s="37" t="s">
        <v>1287</v>
      </c>
      <c r="C497" s="609" t="s">
        <v>448</v>
      </c>
      <c r="D497" s="14"/>
      <c r="E497" s="14"/>
      <c r="F497" s="14"/>
      <c r="G497" s="793"/>
      <c r="H497" s="14"/>
      <c r="I497" s="14"/>
      <c r="J497" s="609"/>
      <c r="K497" s="13" t="s">
        <v>81</v>
      </c>
      <c r="L497" s="13">
        <v>1</v>
      </c>
      <c r="M497" s="13" t="s">
        <v>70</v>
      </c>
      <c r="N497" s="13">
        <v>1</v>
      </c>
    </row>
    <row r="498" spans="1:14" hidden="1">
      <c r="A498" s="38" t="s">
        <v>272</v>
      </c>
      <c r="B498" s="37" t="s">
        <v>1288</v>
      </c>
      <c r="C498" s="609" t="s">
        <v>448</v>
      </c>
      <c r="D498" s="14"/>
      <c r="E498" s="14"/>
      <c r="F498" s="14"/>
      <c r="G498" s="793"/>
      <c r="H498" s="14"/>
      <c r="I498" s="14"/>
      <c r="J498" s="609"/>
      <c r="K498" s="13" t="s">
        <v>81</v>
      </c>
      <c r="L498" s="13">
        <v>1</v>
      </c>
      <c r="M498" s="13" t="s">
        <v>70</v>
      </c>
      <c r="N498" s="13">
        <v>1</v>
      </c>
    </row>
    <row r="499" spans="1:14" hidden="1">
      <c r="A499" s="38" t="s">
        <v>274</v>
      </c>
      <c r="B499" s="37" t="s">
        <v>336</v>
      </c>
      <c r="C499" s="609" t="s">
        <v>448</v>
      </c>
      <c r="D499" s="14"/>
      <c r="E499" s="14"/>
      <c r="F499" s="14"/>
      <c r="G499" s="793"/>
      <c r="H499" s="14"/>
      <c r="I499" s="14"/>
      <c r="J499" s="609"/>
      <c r="M499" s="13" t="s">
        <v>70</v>
      </c>
      <c r="N499" s="13">
        <v>1</v>
      </c>
    </row>
    <row r="500" spans="1:14">
      <c r="A500" s="38" t="s">
        <v>282</v>
      </c>
      <c r="B500" s="37" t="s">
        <v>1289</v>
      </c>
      <c r="C500" s="609" t="s">
        <v>135</v>
      </c>
      <c r="D500" s="14"/>
      <c r="E500" s="14"/>
      <c r="F500" s="14"/>
      <c r="G500" s="793"/>
      <c r="H500" s="14"/>
      <c r="I500" s="14"/>
      <c r="J500" s="609"/>
      <c r="K500" s="13" t="s">
        <v>98</v>
      </c>
      <c r="L500" s="13">
        <v>1</v>
      </c>
    </row>
    <row r="501" spans="1:14">
      <c r="A501" s="38" t="s">
        <v>286</v>
      </c>
      <c r="B501" s="37" t="s">
        <v>1290</v>
      </c>
      <c r="C501" s="609" t="s">
        <v>135</v>
      </c>
      <c r="D501" s="14"/>
      <c r="E501" s="14"/>
      <c r="F501" s="14"/>
      <c r="G501" s="793"/>
      <c r="H501" s="14"/>
      <c r="I501" s="14"/>
      <c r="J501" s="609"/>
      <c r="K501" s="13" t="s">
        <v>97</v>
      </c>
      <c r="L501" s="13">
        <v>1</v>
      </c>
    </row>
    <row r="502" spans="1:14">
      <c r="A502" s="38" t="s">
        <v>280</v>
      </c>
      <c r="B502" s="37" t="s">
        <v>1291</v>
      </c>
      <c r="C502" s="609" t="s">
        <v>135</v>
      </c>
      <c r="D502" s="14"/>
      <c r="E502" s="14"/>
      <c r="F502" s="14"/>
      <c r="G502" s="793"/>
      <c r="H502" s="14"/>
      <c r="I502" s="14"/>
      <c r="J502" s="609"/>
      <c r="K502" s="13" t="s">
        <v>100</v>
      </c>
      <c r="L502" s="13">
        <v>1</v>
      </c>
    </row>
    <row r="503" spans="1:14">
      <c r="A503" s="38" t="s">
        <v>281</v>
      </c>
      <c r="B503" s="37" t="s">
        <v>1292</v>
      </c>
      <c r="C503" s="609" t="s">
        <v>135</v>
      </c>
      <c r="D503" s="14"/>
      <c r="E503" s="14"/>
      <c r="F503" s="14"/>
      <c r="G503" s="793"/>
      <c r="H503" s="14"/>
      <c r="I503" s="14"/>
      <c r="J503" s="609"/>
      <c r="K503" s="13" t="s">
        <v>99</v>
      </c>
      <c r="L503" s="13">
        <v>1</v>
      </c>
    </row>
    <row r="504" spans="1:14" hidden="1">
      <c r="A504" s="38" t="s">
        <v>279</v>
      </c>
      <c r="B504" s="37" t="s">
        <v>343</v>
      </c>
      <c r="C504" s="609" t="s">
        <v>448</v>
      </c>
      <c r="D504" s="14"/>
      <c r="E504" s="14"/>
      <c r="F504" s="14"/>
      <c r="G504" s="793"/>
      <c r="H504" s="14"/>
      <c r="I504" s="14"/>
      <c r="J504" s="609"/>
      <c r="K504" s="13" t="s">
        <v>80</v>
      </c>
      <c r="L504" s="13">
        <v>1</v>
      </c>
      <c r="M504" s="13" t="s">
        <v>71</v>
      </c>
      <c r="N504" s="13">
        <v>1</v>
      </c>
    </row>
    <row r="505" spans="1:14" hidden="1">
      <c r="A505" s="38" t="s">
        <v>284</v>
      </c>
      <c r="B505" s="37" t="s">
        <v>344</v>
      </c>
      <c r="C505" s="609" t="s">
        <v>448</v>
      </c>
      <c r="D505" s="14"/>
      <c r="E505" s="14"/>
      <c r="F505" s="14"/>
      <c r="G505" s="793"/>
      <c r="H505" s="14"/>
      <c r="I505" s="14"/>
      <c r="J505" s="609"/>
      <c r="K505" s="13" t="s">
        <v>83</v>
      </c>
      <c r="L505" s="13">
        <v>1</v>
      </c>
      <c r="M505" s="13" t="s">
        <v>15</v>
      </c>
      <c r="N505" s="13">
        <v>1</v>
      </c>
    </row>
    <row r="506" spans="1:14" hidden="1">
      <c r="A506" s="38" t="s">
        <v>391</v>
      </c>
      <c r="B506" s="37" t="s">
        <v>1293</v>
      </c>
      <c r="C506" s="609" t="s">
        <v>448</v>
      </c>
      <c r="D506" s="14"/>
      <c r="E506" s="14"/>
      <c r="F506" s="14"/>
      <c r="G506" s="793"/>
      <c r="H506" s="14"/>
      <c r="I506" s="14"/>
      <c r="J506" s="609"/>
      <c r="K506" s="13" t="s">
        <v>80</v>
      </c>
      <c r="L506" s="13">
        <v>1</v>
      </c>
      <c r="M506" s="13" t="s">
        <v>231</v>
      </c>
      <c r="N506" s="13">
        <v>1</v>
      </c>
    </row>
    <row r="507" spans="1:14" hidden="1">
      <c r="A507" s="38" t="s">
        <v>390</v>
      </c>
      <c r="B507" s="37" t="s">
        <v>1294</v>
      </c>
      <c r="C507" s="609" t="s">
        <v>448</v>
      </c>
      <c r="D507" s="14"/>
      <c r="E507" s="14"/>
      <c r="F507" s="14"/>
      <c r="G507" s="793"/>
      <c r="H507" s="14"/>
      <c r="I507" s="14"/>
      <c r="J507" s="609"/>
      <c r="K507" s="13" t="s">
        <v>80</v>
      </c>
      <c r="L507" s="13">
        <v>1</v>
      </c>
      <c r="M507" s="13" t="s">
        <v>232</v>
      </c>
      <c r="N507" s="13">
        <v>1</v>
      </c>
    </row>
    <row r="508" spans="1:14" hidden="1">
      <c r="A508" s="38" t="s">
        <v>296</v>
      </c>
      <c r="B508" s="37" t="s">
        <v>1295</v>
      </c>
      <c r="C508" s="609" t="s">
        <v>448</v>
      </c>
      <c r="D508" s="14"/>
      <c r="E508" s="14"/>
      <c r="F508" s="14"/>
      <c r="G508" s="793"/>
      <c r="H508" s="14"/>
      <c r="I508" s="14"/>
      <c r="J508" s="609"/>
      <c r="K508" s="13" t="s">
        <v>81</v>
      </c>
      <c r="L508" s="13">
        <v>1</v>
      </c>
      <c r="M508" s="13" t="s">
        <v>355</v>
      </c>
      <c r="N508" s="13">
        <v>1</v>
      </c>
    </row>
    <row r="509" spans="1:14" hidden="1">
      <c r="A509" s="38" t="s">
        <v>1296</v>
      </c>
      <c r="B509" s="37" t="s">
        <v>381</v>
      </c>
      <c r="C509" s="609" t="s">
        <v>448</v>
      </c>
      <c r="D509" s="14"/>
      <c r="E509" s="14"/>
      <c r="F509" s="14"/>
      <c r="G509" s="793"/>
      <c r="H509" s="14"/>
      <c r="I509" s="14"/>
      <c r="J509" s="609"/>
      <c r="K509" s="13" t="s">
        <v>81</v>
      </c>
      <c r="L509" s="13">
        <v>1</v>
      </c>
      <c r="M509" s="13" t="s">
        <v>230</v>
      </c>
      <c r="N509" s="13">
        <v>1</v>
      </c>
    </row>
    <row r="510" spans="1:14" hidden="1">
      <c r="A510" s="38" t="s">
        <v>1297</v>
      </c>
      <c r="B510" s="37" t="s">
        <v>1298</v>
      </c>
      <c r="C510" s="609" t="s">
        <v>448</v>
      </c>
      <c r="D510" s="14"/>
      <c r="E510" s="14"/>
      <c r="F510" s="14"/>
      <c r="G510" s="793"/>
      <c r="H510" s="14"/>
      <c r="I510" s="14"/>
      <c r="J510" s="609"/>
      <c r="K510" s="13" t="s">
        <v>80</v>
      </c>
      <c r="L510" s="13">
        <v>1</v>
      </c>
      <c r="M510" s="13" t="s">
        <v>356</v>
      </c>
      <c r="N510" s="13">
        <v>1</v>
      </c>
    </row>
    <row r="511" spans="1:14" hidden="1">
      <c r="A511" s="38" t="s">
        <v>1299</v>
      </c>
      <c r="B511" s="37" t="s">
        <v>378</v>
      </c>
      <c r="C511" s="609" t="s">
        <v>448</v>
      </c>
      <c r="D511" s="14"/>
      <c r="E511" s="14"/>
      <c r="F511" s="14"/>
      <c r="G511" s="793"/>
      <c r="H511" s="14"/>
      <c r="I511" s="14"/>
      <c r="J511" s="609"/>
      <c r="K511" s="13" t="s">
        <v>80</v>
      </c>
      <c r="L511" s="13">
        <v>1</v>
      </c>
      <c r="M511" s="13" t="s">
        <v>369</v>
      </c>
      <c r="N511" s="13">
        <v>1</v>
      </c>
    </row>
    <row r="512" spans="1:14" hidden="1">
      <c r="A512" s="38" t="s">
        <v>1300</v>
      </c>
      <c r="B512" s="37" t="s">
        <v>382</v>
      </c>
      <c r="C512" s="609" t="s">
        <v>448</v>
      </c>
      <c r="D512" s="14"/>
      <c r="E512" s="14"/>
      <c r="F512" s="14"/>
      <c r="G512" s="793"/>
      <c r="H512" s="14"/>
      <c r="I512" s="14"/>
      <c r="J512" s="609"/>
      <c r="K512" s="13" t="s">
        <v>81</v>
      </c>
      <c r="L512" s="13">
        <v>1</v>
      </c>
      <c r="M512" s="13" t="s">
        <v>357</v>
      </c>
      <c r="N512" s="13">
        <v>1</v>
      </c>
    </row>
    <row r="513" spans="1:14" hidden="1">
      <c r="A513" s="38" t="s">
        <v>1301</v>
      </c>
      <c r="B513" s="37" t="s">
        <v>377</v>
      </c>
      <c r="C513" s="609" t="s">
        <v>448</v>
      </c>
      <c r="D513" s="14"/>
      <c r="E513" s="14"/>
      <c r="F513" s="14"/>
      <c r="G513" s="793"/>
      <c r="H513" s="14"/>
      <c r="I513" s="14"/>
      <c r="J513" s="609"/>
      <c r="K513" s="13" t="s">
        <v>81</v>
      </c>
      <c r="L513" s="13">
        <v>1</v>
      </c>
      <c r="M513" s="13" t="s">
        <v>370</v>
      </c>
      <c r="N513" s="13">
        <v>1</v>
      </c>
    </row>
    <row r="514" spans="1:14" hidden="1">
      <c r="A514" s="38" t="s">
        <v>290</v>
      </c>
      <c r="B514" s="37" t="s">
        <v>1302</v>
      </c>
      <c r="C514" s="609" t="s">
        <v>448</v>
      </c>
      <c r="D514" s="14"/>
      <c r="E514" s="14"/>
      <c r="F514" s="14"/>
      <c r="G514" s="793"/>
      <c r="H514" s="14"/>
      <c r="I514" s="14"/>
      <c r="J514" s="609"/>
      <c r="K514" s="13" t="s">
        <v>80</v>
      </c>
      <c r="L514" s="13">
        <v>2</v>
      </c>
      <c r="M514" s="13" t="s">
        <v>69</v>
      </c>
      <c r="N514" s="13">
        <v>2</v>
      </c>
    </row>
    <row r="515" spans="1:14" hidden="1">
      <c r="A515" s="38" t="s">
        <v>291</v>
      </c>
      <c r="B515" s="37" t="s">
        <v>1303</v>
      </c>
      <c r="C515" s="609" t="s">
        <v>448</v>
      </c>
      <c r="D515" s="14"/>
      <c r="E515" s="14"/>
      <c r="F515" s="14"/>
      <c r="G515" s="793"/>
      <c r="H515" s="14"/>
      <c r="I515" s="14"/>
      <c r="J515" s="609"/>
      <c r="K515" s="13" t="s">
        <v>80</v>
      </c>
      <c r="L515" s="13">
        <v>2</v>
      </c>
      <c r="M515" s="13" t="s">
        <v>69</v>
      </c>
      <c r="N515" s="13">
        <v>2</v>
      </c>
    </row>
    <row r="516" spans="1:14" hidden="1">
      <c r="A516" s="38" t="s">
        <v>1304</v>
      </c>
      <c r="B516" s="37" t="s">
        <v>428</v>
      </c>
      <c r="C516" s="609" t="s">
        <v>448</v>
      </c>
      <c r="D516" s="14"/>
      <c r="E516" s="14"/>
      <c r="F516" s="14"/>
      <c r="G516" s="793"/>
      <c r="H516" s="14"/>
      <c r="I516" s="14"/>
      <c r="J516" s="609"/>
      <c r="K516" s="13" t="s">
        <v>81</v>
      </c>
      <c r="L516" s="13">
        <v>2</v>
      </c>
      <c r="M516" s="13" t="s">
        <v>70</v>
      </c>
      <c r="N516" s="13">
        <v>2</v>
      </c>
    </row>
    <row r="517" spans="1:14" hidden="1">
      <c r="A517" s="38" t="s">
        <v>385</v>
      </c>
      <c r="B517" s="37" t="s">
        <v>386</v>
      </c>
      <c r="C517" s="609" t="s">
        <v>448</v>
      </c>
      <c r="D517" s="14"/>
      <c r="E517" s="14"/>
      <c r="F517" s="14"/>
      <c r="G517" s="793"/>
      <c r="H517" s="14"/>
      <c r="I517" s="14"/>
      <c r="J517" s="609"/>
      <c r="K517" s="13" t="s">
        <v>81</v>
      </c>
      <c r="L517" s="13">
        <v>2</v>
      </c>
      <c r="M517" s="13" t="s">
        <v>70</v>
      </c>
      <c r="N517" s="13">
        <v>2</v>
      </c>
    </row>
    <row r="518" spans="1:14" hidden="1">
      <c r="A518" s="38" t="s">
        <v>292</v>
      </c>
      <c r="B518" s="37" t="s">
        <v>1305</v>
      </c>
      <c r="C518" s="609" t="s">
        <v>448</v>
      </c>
      <c r="D518" s="14"/>
      <c r="E518" s="14"/>
      <c r="F518" s="14"/>
      <c r="G518" s="793"/>
      <c r="H518" s="14"/>
      <c r="I518" s="14"/>
      <c r="J518" s="609"/>
      <c r="K518" s="13" t="s">
        <v>82</v>
      </c>
      <c r="L518" s="13">
        <v>2</v>
      </c>
      <c r="M518" s="13" t="s">
        <v>64</v>
      </c>
      <c r="N518" s="13">
        <v>2</v>
      </c>
    </row>
    <row r="519" spans="1:14" hidden="1">
      <c r="A519" s="38" t="s">
        <v>293</v>
      </c>
      <c r="B519" s="37" t="s">
        <v>1306</v>
      </c>
      <c r="C519" s="609" t="s">
        <v>448</v>
      </c>
      <c r="D519" s="14"/>
      <c r="E519" s="14"/>
      <c r="F519" s="14"/>
      <c r="G519" s="793"/>
      <c r="H519" s="14"/>
      <c r="I519" s="14"/>
      <c r="J519" s="609"/>
      <c r="K519" s="13" t="s">
        <v>82</v>
      </c>
      <c r="L519" s="13">
        <v>2</v>
      </c>
      <c r="M519" s="13" t="s">
        <v>64</v>
      </c>
      <c r="N519" s="13">
        <v>2</v>
      </c>
    </row>
    <row r="520" spans="1:14" hidden="1">
      <c r="A520" s="38" t="s">
        <v>237</v>
      </c>
      <c r="B520" s="37" t="s">
        <v>1307</v>
      </c>
      <c r="C520" s="609" t="s">
        <v>448</v>
      </c>
      <c r="D520" s="14"/>
      <c r="E520" s="14"/>
      <c r="F520" s="14"/>
      <c r="G520" s="793"/>
      <c r="H520" s="14"/>
      <c r="I520" s="14"/>
      <c r="J520" s="609"/>
      <c r="K520" s="13" t="s">
        <v>80</v>
      </c>
      <c r="L520" s="13">
        <v>1</v>
      </c>
      <c r="M520" s="13" t="s">
        <v>229</v>
      </c>
      <c r="N520" s="13">
        <v>1</v>
      </c>
    </row>
    <row r="521" spans="1:14" hidden="1">
      <c r="A521" s="38" t="s">
        <v>295</v>
      </c>
      <c r="B521" s="37" t="s">
        <v>1308</v>
      </c>
      <c r="C521" s="609" t="s">
        <v>448</v>
      </c>
      <c r="D521" s="14"/>
      <c r="E521" s="14"/>
      <c r="F521" s="14"/>
      <c r="G521" s="793"/>
      <c r="H521" s="14"/>
      <c r="I521" s="14"/>
      <c r="J521" s="609"/>
      <c r="K521" s="13" t="s">
        <v>81</v>
      </c>
      <c r="L521" s="13">
        <v>1</v>
      </c>
      <c r="M521" s="13" t="s">
        <v>188</v>
      </c>
      <c r="N521" s="13">
        <v>1</v>
      </c>
    </row>
    <row r="522" spans="1:14" hidden="1">
      <c r="A522" s="38" t="s">
        <v>294</v>
      </c>
      <c r="B522" s="37" t="s">
        <v>1309</v>
      </c>
      <c r="C522" s="609" t="s">
        <v>448</v>
      </c>
      <c r="D522" s="14"/>
      <c r="E522" s="14"/>
      <c r="F522" s="14"/>
      <c r="G522" s="793"/>
      <c r="H522" s="14"/>
      <c r="I522" s="14"/>
      <c r="J522" s="609"/>
      <c r="K522" s="13" t="s">
        <v>82</v>
      </c>
      <c r="L522" s="13">
        <v>1</v>
      </c>
      <c r="M522" s="13" t="s">
        <v>187</v>
      </c>
      <c r="N522" s="13">
        <v>1</v>
      </c>
    </row>
    <row r="523" spans="1:14" hidden="1">
      <c r="A523" s="38" t="s">
        <v>1310</v>
      </c>
      <c r="B523" s="37" t="s">
        <v>380</v>
      </c>
      <c r="C523" s="609" t="s">
        <v>448</v>
      </c>
      <c r="D523" s="14"/>
      <c r="E523" s="14"/>
      <c r="F523" s="14"/>
      <c r="G523" s="793"/>
      <c r="H523" s="14"/>
      <c r="I523" s="14"/>
      <c r="J523" s="609"/>
      <c r="K523" s="13" t="s">
        <v>80</v>
      </c>
      <c r="L523" s="13">
        <v>1</v>
      </c>
      <c r="M523" s="13" t="s">
        <v>358</v>
      </c>
      <c r="N523" s="13">
        <v>1</v>
      </c>
    </row>
    <row r="524" spans="1:14" hidden="1">
      <c r="A524" s="38" t="s">
        <v>1311</v>
      </c>
      <c r="B524" s="37" t="s">
        <v>379</v>
      </c>
      <c r="C524" s="609" t="s">
        <v>448</v>
      </c>
      <c r="D524" s="14"/>
      <c r="E524" s="14"/>
      <c r="F524" s="14"/>
      <c r="G524" s="793"/>
      <c r="H524" s="14"/>
      <c r="I524" s="14"/>
      <c r="J524" s="609"/>
      <c r="K524" s="13" t="s">
        <v>80</v>
      </c>
      <c r="L524" s="13">
        <v>1</v>
      </c>
      <c r="M524" s="13" t="s">
        <v>367</v>
      </c>
      <c r="N524" s="13">
        <v>1</v>
      </c>
    </row>
    <row r="525" spans="1:14" hidden="1">
      <c r="A525" s="38" t="s">
        <v>1312</v>
      </c>
      <c r="B525" s="37" t="s">
        <v>1313</v>
      </c>
      <c r="C525" s="609" t="s">
        <v>448</v>
      </c>
      <c r="D525" s="14"/>
      <c r="E525" s="14"/>
      <c r="F525" s="14"/>
      <c r="G525" s="793"/>
      <c r="H525" s="14"/>
      <c r="I525" s="14"/>
      <c r="J525" s="609"/>
      <c r="K525" s="13" t="s">
        <v>81</v>
      </c>
      <c r="L525" s="13">
        <v>1</v>
      </c>
      <c r="M525" s="13" t="s">
        <v>359</v>
      </c>
      <c r="N525" s="13">
        <v>1</v>
      </c>
    </row>
    <row r="526" spans="1:14" hidden="1">
      <c r="A526" s="38" t="s">
        <v>1314</v>
      </c>
      <c r="B526" s="37" t="s">
        <v>376</v>
      </c>
      <c r="C526" s="609" t="s">
        <v>448</v>
      </c>
      <c r="D526" s="14"/>
      <c r="E526" s="14"/>
      <c r="F526" s="14"/>
      <c r="G526" s="793"/>
      <c r="H526" s="14"/>
      <c r="I526" s="14"/>
      <c r="J526" s="609"/>
      <c r="K526" s="13" t="s">
        <v>81</v>
      </c>
      <c r="L526" s="13">
        <v>1</v>
      </c>
      <c r="M526" s="13" t="s">
        <v>368</v>
      </c>
      <c r="N526" s="13">
        <v>1</v>
      </c>
    </row>
    <row r="527" spans="1:14" hidden="1">
      <c r="A527" s="38" t="s">
        <v>1315</v>
      </c>
      <c r="B527" s="37" t="s">
        <v>1316</v>
      </c>
      <c r="C527" s="609" t="s">
        <v>543</v>
      </c>
      <c r="D527" s="14"/>
      <c r="E527" s="14"/>
      <c r="F527" s="14"/>
      <c r="G527" s="793"/>
      <c r="H527" s="14"/>
      <c r="I527" s="14"/>
      <c r="J527" s="609"/>
    </row>
    <row r="528" spans="1:14" hidden="1">
      <c r="A528" s="38" t="s">
        <v>1317</v>
      </c>
      <c r="B528" s="37" t="s">
        <v>1318</v>
      </c>
      <c r="C528" s="609" t="s">
        <v>543</v>
      </c>
      <c r="D528" s="14"/>
      <c r="E528" s="14"/>
      <c r="F528" s="14"/>
      <c r="G528" s="793"/>
      <c r="H528" s="14"/>
      <c r="I528" s="14"/>
      <c r="J528" s="609"/>
    </row>
    <row r="529" spans="1:10" hidden="1">
      <c r="A529" s="38" t="s">
        <v>1319</v>
      </c>
      <c r="B529" s="37" t="s">
        <v>1320</v>
      </c>
      <c r="C529" s="609" t="s">
        <v>543</v>
      </c>
      <c r="D529" s="14"/>
      <c r="E529" s="14"/>
      <c r="F529" s="14"/>
      <c r="G529" s="793"/>
      <c r="H529" s="14"/>
      <c r="I529" s="14"/>
      <c r="J529" s="609"/>
    </row>
    <row r="530" spans="1:10" hidden="1">
      <c r="A530" s="38" t="s">
        <v>1321</v>
      </c>
      <c r="B530" s="37" t="s">
        <v>1322</v>
      </c>
      <c r="C530" s="609" t="s">
        <v>546</v>
      </c>
      <c r="D530" s="14"/>
      <c r="E530" s="14"/>
      <c r="F530" s="14"/>
      <c r="G530" s="793"/>
      <c r="H530" s="14"/>
      <c r="I530" s="14"/>
      <c r="J530" s="609"/>
    </row>
    <row r="531" spans="1:10" hidden="1">
      <c r="A531" s="38" t="s">
        <v>1323</v>
      </c>
      <c r="B531" s="37" t="s">
        <v>1324</v>
      </c>
      <c r="C531" s="609" t="s">
        <v>546</v>
      </c>
      <c r="D531" s="14"/>
      <c r="E531" s="14"/>
      <c r="F531" s="14"/>
      <c r="G531" s="793"/>
      <c r="H531" s="14"/>
      <c r="I531" s="14"/>
      <c r="J531" s="609"/>
    </row>
    <row r="532" spans="1:10" hidden="1">
      <c r="A532" s="38" t="s">
        <v>1325</v>
      </c>
      <c r="B532" s="37" t="s">
        <v>1326</v>
      </c>
      <c r="C532" s="609" t="s">
        <v>546</v>
      </c>
      <c r="D532" s="14"/>
      <c r="E532" s="14"/>
      <c r="F532" s="14"/>
      <c r="G532" s="793"/>
      <c r="H532" s="14"/>
      <c r="I532" s="14"/>
      <c r="J532" s="609"/>
    </row>
    <row r="533" spans="1:10" hidden="1">
      <c r="A533" s="38" t="s">
        <v>1327</v>
      </c>
      <c r="B533" s="37" t="s">
        <v>1328</v>
      </c>
      <c r="C533" s="609" t="s">
        <v>546</v>
      </c>
      <c r="D533" s="14"/>
      <c r="E533" s="14"/>
      <c r="F533" s="14"/>
      <c r="G533" s="793"/>
      <c r="H533" s="14"/>
      <c r="I533" s="14"/>
      <c r="J533" s="609"/>
    </row>
    <row r="534" spans="1:10" hidden="1">
      <c r="A534" s="38" t="s">
        <v>1329</v>
      </c>
      <c r="B534" s="37" t="s">
        <v>1330</v>
      </c>
      <c r="C534" s="609" t="s">
        <v>546</v>
      </c>
      <c r="D534" s="14"/>
      <c r="E534" s="14"/>
      <c r="F534" s="14"/>
      <c r="G534" s="793"/>
      <c r="H534" s="14"/>
      <c r="I534" s="14"/>
      <c r="J534" s="609"/>
    </row>
    <row r="535" spans="1:10" hidden="1">
      <c r="A535" s="38" t="s">
        <v>1331</v>
      </c>
      <c r="B535" s="37" t="s">
        <v>1332</v>
      </c>
      <c r="C535" s="609" t="s">
        <v>546</v>
      </c>
      <c r="D535" s="14"/>
      <c r="E535" s="14"/>
      <c r="F535" s="14"/>
      <c r="G535" s="793"/>
      <c r="H535" s="14"/>
      <c r="I535" s="14"/>
      <c r="J535" s="609"/>
    </row>
    <row r="536" spans="1:10" hidden="1">
      <c r="A536" s="38" t="s">
        <v>1333</v>
      </c>
      <c r="B536" s="37" t="s">
        <v>1334</v>
      </c>
      <c r="C536" s="609" t="s">
        <v>546</v>
      </c>
      <c r="D536" s="14"/>
      <c r="E536" s="14"/>
      <c r="F536" s="14"/>
      <c r="G536" s="793"/>
      <c r="H536" s="14"/>
      <c r="I536" s="14"/>
      <c r="J536" s="609"/>
    </row>
    <row r="537" spans="1:10" hidden="1">
      <c r="A537" s="38" t="s">
        <v>1335</v>
      </c>
      <c r="B537" s="37" t="s">
        <v>1336</v>
      </c>
      <c r="C537" s="609" t="s">
        <v>546</v>
      </c>
      <c r="D537" s="14"/>
      <c r="E537" s="14"/>
      <c r="F537" s="14"/>
      <c r="G537" s="793"/>
      <c r="H537" s="14"/>
      <c r="I537" s="14"/>
      <c r="J537" s="609"/>
    </row>
    <row r="538" spans="1:10" hidden="1">
      <c r="A538" s="38" t="s">
        <v>1337</v>
      </c>
      <c r="B538" s="37" t="s">
        <v>1338</v>
      </c>
      <c r="C538" s="609" t="s">
        <v>592</v>
      </c>
      <c r="D538" s="14"/>
      <c r="E538" s="14"/>
      <c r="F538" s="14"/>
      <c r="G538" s="793"/>
      <c r="H538" s="14"/>
      <c r="I538" s="14"/>
      <c r="J538" s="609"/>
    </row>
    <row r="539" spans="1:10">
      <c r="A539" s="38" t="s">
        <v>1339</v>
      </c>
      <c r="B539" s="37" t="s">
        <v>1340</v>
      </c>
      <c r="C539" s="609" t="s">
        <v>135</v>
      </c>
      <c r="D539" s="14"/>
      <c r="E539" s="14"/>
      <c r="F539" s="14"/>
      <c r="G539" s="793"/>
      <c r="H539" s="14"/>
      <c r="I539" s="14"/>
      <c r="J539" s="609"/>
    </row>
    <row r="540" spans="1:10">
      <c r="A540" s="38" t="s">
        <v>1341</v>
      </c>
      <c r="B540" s="37" t="s">
        <v>1342</v>
      </c>
      <c r="C540" s="609" t="s">
        <v>135</v>
      </c>
      <c r="D540" s="14"/>
      <c r="E540" s="14"/>
      <c r="F540" s="14"/>
      <c r="G540" s="793"/>
      <c r="H540" s="14"/>
      <c r="I540" s="14"/>
      <c r="J540" s="609"/>
    </row>
    <row r="541" spans="1:10">
      <c r="A541" s="38" t="s">
        <v>1343</v>
      </c>
      <c r="B541" s="37" t="s">
        <v>1344</v>
      </c>
      <c r="C541" s="609" t="s">
        <v>135</v>
      </c>
      <c r="D541" s="14"/>
      <c r="E541" s="14"/>
      <c r="F541" s="14"/>
      <c r="G541" s="793"/>
      <c r="H541" s="14"/>
      <c r="I541" s="14"/>
      <c r="J541" s="609"/>
    </row>
    <row r="542" spans="1:10">
      <c r="A542" s="38" t="s">
        <v>1345</v>
      </c>
      <c r="B542" s="37" t="s">
        <v>1346</v>
      </c>
      <c r="C542" s="609" t="s">
        <v>135</v>
      </c>
      <c r="D542" s="14"/>
      <c r="E542" s="14"/>
      <c r="F542" s="14"/>
      <c r="G542" s="793"/>
      <c r="H542" s="14"/>
      <c r="I542" s="14"/>
      <c r="J542" s="609"/>
    </row>
    <row r="543" spans="1:10">
      <c r="A543" s="38" t="s">
        <v>1347</v>
      </c>
      <c r="B543" s="37" t="s">
        <v>1348</v>
      </c>
      <c r="C543" s="609" t="s">
        <v>135</v>
      </c>
      <c r="D543" s="14"/>
      <c r="E543" s="14"/>
      <c r="F543" s="14"/>
      <c r="G543" s="793"/>
      <c r="H543" s="14"/>
      <c r="I543" s="14"/>
      <c r="J543" s="609"/>
    </row>
    <row r="544" spans="1:10">
      <c r="A544" s="38" t="s">
        <v>1349</v>
      </c>
      <c r="B544" s="37" t="s">
        <v>1350</v>
      </c>
      <c r="C544" s="609" t="s">
        <v>135</v>
      </c>
      <c r="D544" s="14"/>
      <c r="E544" s="14"/>
      <c r="F544" s="14"/>
      <c r="G544" s="793"/>
      <c r="H544" s="14"/>
      <c r="I544" s="14"/>
      <c r="J544" s="609"/>
    </row>
    <row r="545" spans="1:12" hidden="1">
      <c r="A545" s="38" t="s">
        <v>1351</v>
      </c>
      <c r="B545" s="37" t="s">
        <v>1352</v>
      </c>
      <c r="C545" s="609" t="s">
        <v>448</v>
      </c>
      <c r="D545" s="14"/>
      <c r="E545" s="14"/>
      <c r="F545" s="14"/>
      <c r="G545" s="793"/>
      <c r="H545" s="14"/>
      <c r="I545" s="14"/>
      <c r="J545" s="609"/>
    </row>
    <row r="546" spans="1:12" hidden="1">
      <c r="A546" s="38" t="s">
        <v>1353</v>
      </c>
      <c r="B546" s="37" t="s">
        <v>1354</v>
      </c>
      <c r="C546" s="609" t="s">
        <v>448</v>
      </c>
      <c r="D546" s="14"/>
      <c r="E546" s="14"/>
      <c r="F546" s="14"/>
      <c r="G546" s="793"/>
      <c r="H546" s="14"/>
      <c r="I546" s="14"/>
      <c r="J546" s="609"/>
    </row>
    <row r="547" spans="1:12">
      <c r="A547" s="38" t="s">
        <v>129</v>
      </c>
      <c r="B547" s="37" t="s">
        <v>1355</v>
      </c>
      <c r="C547" s="609" t="s">
        <v>135</v>
      </c>
      <c r="D547" s="14"/>
      <c r="E547" s="14"/>
      <c r="F547" s="14"/>
      <c r="G547" s="793"/>
      <c r="H547" s="14"/>
      <c r="I547" s="14"/>
      <c r="J547" s="609"/>
      <c r="K547" s="13" t="s">
        <v>108</v>
      </c>
      <c r="L547" s="13">
        <v>1</v>
      </c>
    </row>
    <row r="548" spans="1:12">
      <c r="A548" s="38" t="s">
        <v>130</v>
      </c>
      <c r="B548" s="37" t="s">
        <v>1356</v>
      </c>
      <c r="C548" s="609" t="s">
        <v>135</v>
      </c>
      <c r="D548" s="14"/>
      <c r="E548" s="14"/>
      <c r="F548" s="14"/>
      <c r="G548" s="793"/>
      <c r="H548" s="14"/>
      <c r="I548" s="14"/>
      <c r="J548" s="609"/>
      <c r="K548" s="13" t="s">
        <v>109</v>
      </c>
      <c r="L548" s="13">
        <v>1</v>
      </c>
    </row>
    <row r="549" spans="1:12">
      <c r="A549" s="38" t="s">
        <v>132</v>
      </c>
      <c r="B549" s="37" t="s">
        <v>1357</v>
      </c>
      <c r="C549" s="609" t="s">
        <v>135</v>
      </c>
      <c r="D549" s="14"/>
      <c r="E549" s="14"/>
      <c r="F549" s="14"/>
      <c r="G549" s="793"/>
      <c r="H549" s="14"/>
      <c r="I549" s="14"/>
      <c r="J549" s="609"/>
      <c r="K549" s="13" t="s">
        <v>111</v>
      </c>
      <c r="L549" s="13">
        <v>1</v>
      </c>
    </row>
    <row r="550" spans="1:12">
      <c r="A550" s="38" t="s">
        <v>131</v>
      </c>
      <c r="B550" s="37" t="s">
        <v>1358</v>
      </c>
      <c r="C550" s="609" t="s">
        <v>135</v>
      </c>
      <c r="D550" s="14"/>
      <c r="E550" s="14"/>
      <c r="F550" s="14"/>
      <c r="G550" s="793"/>
      <c r="H550" s="14"/>
      <c r="I550" s="14"/>
      <c r="J550" s="609"/>
      <c r="K550" s="13" t="s">
        <v>110</v>
      </c>
      <c r="L550" s="13">
        <v>1</v>
      </c>
    </row>
    <row r="551" spans="1:12" hidden="1">
      <c r="A551" s="38" t="s">
        <v>1359</v>
      </c>
      <c r="B551" s="37" t="s">
        <v>1360</v>
      </c>
      <c r="C551" s="609" t="s">
        <v>764</v>
      </c>
      <c r="D551" s="14"/>
      <c r="E551" s="14"/>
      <c r="F551" s="14"/>
      <c r="G551" s="793"/>
      <c r="H551" s="14"/>
      <c r="I551" s="14"/>
      <c r="J551" s="609"/>
      <c r="K551" s="13">
        <v>0</v>
      </c>
    </row>
    <row r="552" spans="1:12" hidden="1">
      <c r="A552" s="38" t="s">
        <v>1361</v>
      </c>
      <c r="B552" s="37" t="s">
        <v>1362</v>
      </c>
      <c r="C552" s="609" t="s">
        <v>764</v>
      </c>
      <c r="D552" s="14"/>
      <c r="E552" s="14"/>
      <c r="F552" s="14"/>
      <c r="G552" s="793"/>
      <c r="H552" s="14"/>
      <c r="I552" s="14"/>
      <c r="J552" s="609"/>
    </row>
    <row r="553" spans="1:12" hidden="1">
      <c r="A553" s="38" t="s">
        <v>1363</v>
      </c>
      <c r="B553" s="37" t="s">
        <v>1364</v>
      </c>
      <c r="C553" s="609" t="s">
        <v>625</v>
      </c>
      <c r="D553" s="14"/>
      <c r="E553" s="14"/>
      <c r="F553" s="14"/>
      <c r="G553" s="793"/>
      <c r="H553" s="14"/>
      <c r="I553" s="14"/>
      <c r="J553" s="609"/>
    </row>
    <row r="554" spans="1:12" hidden="1">
      <c r="A554" s="38" t="s">
        <v>1365</v>
      </c>
      <c r="B554" s="37" t="s">
        <v>1366</v>
      </c>
      <c r="C554" s="609" t="s">
        <v>625</v>
      </c>
      <c r="D554" s="14"/>
      <c r="E554" s="14"/>
      <c r="F554" s="14"/>
      <c r="G554" s="793"/>
      <c r="H554" s="14"/>
      <c r="I554" s="14"/>
      <c r="J554" s="609"/>
    </row>
    <row r="555" spans="1:12" hidden="1">
      <c r="A555" s="38" t="s">
        <v>1367</v>
      </c>
      <c r="B555" s="37" t="s">
        <v>1368</v>
      </c>
      <c r="C555" s="609" t="s">
        <v>625</v>
      </c>
      <c r="D555" s="14"/>
      <c r="E555" s="14"/>
      <c r="F555" s="14"/>
      <c r="G555" s="793"/>
      <c r="H555" s="14"/>
      <c r="I555" s="14"/>
      <c r="J555" s="609"/>
    </row>
    <row r="556" spans="1:12" hidden="1">
      <c r="A556" s="38" t="s">
        <v>1369</v>
      </c>
      <c r="B556" s="37" t="s">
        <v>1370</v>
      </c>
      <c r="C556" s="609" t="s">
        <v>625</v>
      </c>
      <c r="D556" s="14"/>
      <c r="E556" s="14"/>
      <c r="F556" s="14"/>
      <c r="G556" s="793"/>
      <c r="H556" s="14"/>
      <c r="I556" s="14"/>
      <c r="J556" s="609"/>
    </row>
    <row r="557" spans="1:12" hidden="1">
      <c r="A557" s="38" t="s">
        <v>1371</v>
      </c>
      <c r="B557" s="37" t="s">
        <v>1372</v>
      </c>
      <c r="C557" s="609" t="s">
        <v>625</v>
      </c>
      <c r="D557" s="14"/>
      <c r="E557" s="14"/>
      <c r="F557" s="14"/>
      <c r="G557" s="793"/>
      <c r="H557" s="14"/>
      <c r="I557" s="14"/>
      <c r="J557" s="609"/>
    </row>
    <row r="558" spans="1:12" hidden="1">
      <c r="A558" s="38" t="s">
        <v>1373</v>
      </c>
      <c r="B558" s="37" t="s">
        <v>1374</v>
      </c>
      <c r="C558" s="609" t="s">
        <v>625</v>
      </c>
      <c r="D558" s="14"/>
      <c r="E558" s="14"/>
      <c r="F558" s="14"/>
      <c r="G558" s="793"/>
      <c r="H558" s="14"/>
      <c r="I558" s="14"/>
      <c r="J558" s="609"/>
    </row>
    <row r="559" spans="1:12" hidden="1">
      <c r="A559" s="38" t="s">
        <v>1375</v>
      </c>
      <c r="B559" s="37" t="s">
        <v>1376</v>
      </c>
      <c r="C559" s="609" t="s">
        <v>1377</v>
      </c>
      <c r="D559" s="14"/>
      <c r="E559" s="14"/>
      <c r="F559" s="14"/>
      <c r="G559" s="793"/>
      <c r="H559" s="14"/>
      <c r="I559" s="14"/>
      <c r="J559" s="609"/>
    </row>
    <row r="560" spans="1:12" hidden="1">
      <c r="A560" s="38" t="s">
        <v>1378</v>
      </c>
      <c r="B560" s="37" t="s">
        <v>1379</v>
      </c>
      <c r="C560" s="609" t="s">
        <v>1377</v>
      </c>
      <c r="D560" s="14"/>
      <c r="E560" s="14"/>
      <c r="F560" s="14"/>
      <c r="G560" s="793"/>
      <c r="H560" s="14"/>
      <c r="I560" s="14"/>
      <c r="J560" s="609"/>
    </row>
    <row r="561" spans="1:14" hidden="1">
      <c r="A561" s="38" t="s">
        <v>1380</v>
      </c>
      <c r="B561" s="37" t="s">
        <v>1381</v>
      </c>
      <c r="C561" s="609" t="s">
        <v>1382</v>
      </c>
      <c r="D561" s="14"/>
      <c r="E561" s="14"/>
      <c r="F561" s="14"/>
      <c r="G561" s="793"/>
      <c r="H561" s="14"/>
      <c r="I561" s="14"/>
      <c r="J561" s="609"/>
    </row>
    <row r="562" spans="1:14" hidden="1">
      <c r="A562" s="38" t="s">
        <v>1383</v>
      </c>
      <c r="B562" s="37" t="s">
        <v>1384</v>
      </c>
      <c r="C562" s="609" t="s">
        <v>1382</v>
      </c>
      <c r="D562" s="14"/>
      <c r="E562" s="14"/>
      <c r="F562" s="14"/>
      <c r="G562" s="793"/>
      <c r="H562" s="14"/>
      <c r="I562" s="14"/>
      <c r="J562" s="609"/>
    </row>
    <row r="563" spans="1:14" hidden="1">
      <c r="A563" s="38" t="s">
        <v>1385</v>
      </c>
      <c r="B563" s="37" t="s">
        <v>1386</v>
      </c>
      <c r="C563" s="609" t="s">
        <v>1377</v>
      </c>
      <c r="D563" s="14"/>
      <c r="E563" s="14"/>
      <c r="F563" s="14"/>
      <c r="G563" s="793"/>
      <c r="H563" s="14"/>
      <c r="I563" s="14"/>
      <c r="J563" s="609"/>
    </row>
    <row r="564" spans="1:14" hidden="1">
      <c r="A564" s="38" t="s">
        <v>1387</v>
      </c>
      <c r="B564" s="37" t="s">
        <v>1388</v>
      </c>
      <c r="C564" s="609" t="s">
        <v>1377</v>
      </c>
      <c r="D564" s="14"/>
      <c r="E564" s="14"/>
      <c r="F564" s="14"/>
      <c r="G564" s="793"/>
      <c r="H564" s="14"/>
      <c r="I564" s="14"/>
      <c r="J564" s="609"/>
    </row>
    <row r="565" spans="1:14" hidden="1">
      <c r="A565" s="38" t="s">
        <v>1389</v>
      </c>
      <c r="B565" s="37" t="s">
        <v>1390</v>
      </c>
      <c r="C565" s="609" t="s">
        <v>1377</v>
      </c>
      <c r="D565" s="14"/>
      <c r="E565" s="14"/>
      <c r="F565" s="14"/>
      <c r="G565" s="793"/>
      <c r="H565" s="14"/>
      <c r="I565" s="14"/>
      <c r="J565" s="609"/>
    </row>
    <row r="566" spans="1:14" hidden="1">
      <c r="A566" s="38" t="s">
        <v>1391</v>
      </c>
      <c r="B566" s="37" t="s">
        <v>1392</v>
      </c>
      <c r="C566" s="609" t="s">
        <v>1377</v>
      </c>
      <c r="D566" s="14"/>
      <c r="E566" s="14"/>
      <c r="F566" s="14"/>
      <c r="G566" s="793"/>
      <c r="H566" s="14"/>
      <c r="I566" s="14"/>
      <c r="J566" s="609"/>
    </row>
    <row r="567" spans="1:14" hidden="1">
      <c r="A567" s="38" t="s">
        <v>1393</v>
      </c>
      <c r="B567" s="37" t="s">
        <v>1394</v>
      </c>
      <c r="C567" s="609" t="s">
        <v>1377</v>
      </c>
      <c r="D567" s="14"/>
      <c r="E567" s="14"/>
      <c r="F567" s="14"/>
      <c r="G567" s="793"/>
      <c r="H567" s="14"/>
      <c r="I567" s="14"/>
      <c r="J567" s="609"/>
    </row>
    <row r="568" spans="1:14">
      <c r="A568" s="38" t="s">
        <v>127</v>
      </c>
      <c r="B568" s="37" t="s">
        <v>1395</v>
      </c>
      <c r="C568" s="609" t="s">
        <v>135</v>
      </c>
      <c r="D568" s="14"/>
      <c r="E568" s="14"/>
      <c r="F568" s="14"/>
      <c r="G568" s="793"/>
      <c r="H568" s="14"/>
      <c r="I568" s="14"/>
      <c r="J568" s="609"/>
      <c r="K568" s="13" t="s">
        <v>80</v>
      </c>
      <c r="L568" s="13">
        <v>1</v>
      </c>
    </row>
    <row r="569" spans="1:14">
      <c r="A569" s="38" t="s">
        <v>128</v>
      </c>
      <c r="B569" s="37" t="s">
        <v>1396</v>
      </c>
      <c r="C569" s="609" t="s">
        <v>135</v>
      </c>
      <c r="D569" s="14"/>
      <c r="E569" s="14"/>
      <c r="F569" s="14"/>
      <c r="G569" s="793"/>
      <c r="H569" s="14"/>
      <c r="I569" s="14"/>
      <c r="J569" s="609"/>
      <c r="K569" s="13" t="s">
        <v>81</v>
      </c>
      <c r="L569" s="13">
        <v>1</v>
      </c>
    </row>
    <row r="570" spans="1:14" hidden="1">
      <c r="A570" s="38" t="s">
        <v>126</v>
      </c>
      <c r="B570" s="37" t="s">
        <v>340</v>
      </c>
      <c r="C570" s="609" t="s">
        <v>448</v>
      </c>
      <c r="D570" s="14"/>
      <c r="E570" s="14"/>
      <c r="F570" s="14"/>
      <c r="G570" s="793"/>
      <c r="H570" s="14"/>
      <c r="I570" s="14"/>
      <c r="J570" s="609"/>
      <c r="L570" s="13">
        <v>0</v>
      </c>
      <c r="M570" s="13" t="s">
        <v>116</v>
      </c>
      <c r="N570" s="13">
        <v>1</v>
      </c>
    </row>
    <row r="571" spans="1:14" hidden="1">
      <c r="A571" s="38" t="s">
        <v>125</v>
      </c>
      <c r="B571" s="37" t="s">
        <v>339</v>
      </c>
      <c r="C571" s="609" t="s">
        <v>448</v>
      </c>
      <c r="D571" s="14"/>
      <c r="E571" s="14"/>
      <c r="F571" s="14"/>
      <c r="G571" s="793"/>
      <c r="H571" s="14"/>
      <c r="I571" s="14"/>
      <c r="J571" s="609"/>
      <c r="M571" s="13" t="s">
        <v>114</v>
      </c>
      <c r="N571" s="13">
        <v>1</v>
      </c>
    </row>
    <row r="572" spans="1:14" hidden="1">
      <c r="A572" s="38" t="s">
        <v>1397</v>
      </c>
      <c r="B572" s="37" t="s">
        <v>1398</v>
      </c>
      <c r="C572" s="609" t="s">
        <v>625</v>
      </c>
      <c r="D572" s="14"/>
      <c r="E572" s="14"/>
      <c r="F572" s="14"/>
      <c r="G572" s="793"/>
      <c r="H572" s="14"/>
      <c r="I572" s="14"/>
      <c r="J572" s="609"/>
    </row>
    <row r="573" spans="1:14" hidden="1">
      <c r="A573" s="38" t="s">
        <v>1399</v>
      </c>
      <c r="B573" s="37" t="s">
        <v>1400</v>
      </c>
      <c r="C573" s="609" t="s">
        <v>625</v>
      </c>
      <c r="D573" s="14"/>
      <c r="E573" s="14"/>
      <c r="F573" s="14"/>
      <c r="G573" s="793"/>
      <c r="H573" s="14"/>
      <c r="I573" s="14"/>
      <c r="J573" s="609"/>
    </row>
    <row r="574" spans="1:14" hidden="1">
      <c r="A574" s="38" t="s">
        <v>1401</v>
      </c>
      <c r="B574" s="37" t="s">
        <v>1402</v>
      </c>
      <c r="C574" s="609" t="s">
        <v>625</v>
      </c>
      <c r="D574" s="14"/>
      <c r="E574" s="14"/>
      <c r="F574" s="14"/>
      <c r="G574" s="793"/>
      <c r="H574" s="14"/>
      <c r="I574" s="14"/>
      <c r="J574" s="609"/>
    </row>
    <row r="575" spans="1:14" hidden="1">
      <c r="A575" s="38" t="s">
        <v>1403</v>
      </c>
      <c r="B575" s="37" t="s">
        <v>1404</v>
      </c>
      <c r="C575" s="609" t="s">
        <v>1405</v>
      </c>
      <c r="D575" s="14"/>
      <c r="E575" s="14"/>
      <c r="F575" s="14"/>
      <c r="G575" s="793"/>
      <c r="H575" s="14"/>
      <c r="I575" s="14"/>
      <c r="J575" s="609"/>
    </row>
    <row r="576" spans="1:14" hidden="1">
      <c r="A576" s="38" t="s">
        <v>1406</v>
      </c>
      <c r="B576" s="37" t="s">
        <v>1407</v>
      </c>
      <c r="C576" s="609" t="s">
        <v>728</v>
      </c>
      <c r="D576" s="14"/>
      <c r="E576" s="14"/>
      <c r="F576" s="14"/>
      <c r="G576" s="793"/>
      <c r="H576" s="14"/>
      <c r="I576" s="14"/>
      <c r="J576" s="609"/>
    </row>
    <row r="577" spans="1:10" hidden="1">
      <c r="A577" s="38" t="s">
        <v>1408</v>
      </c>
      <c r="B577" s="37" t="s">
        <v>1409</v>
      </c>
      <c r="C577" s="609" t="s">
        <v>1410</v>
      </c>
      <c r="D577" s="14"/>
      <c r="E577" s="14"/>
      <c r="F577" s="14"/>
      <c r="G577" s="793"/>
      <c r="H577" s="14"/>
      <c r="I577" s="14"/>
      <c r="J577" s="609"/>
    </row>
    <row r="578" spans="1:10" hidden="1">
      <c r="A578" s="38" t="s">
        <v>1411</v>
      </c>
      <c r="B578" s="37" t="s">
        <v>1412</v>
      </c>
      <c r="C578" s="609" t="s">
        <v>1410</v>
      </c>
      <c r="D578" s="14"/>
      <c r="E578" s="14"/>
      <c r="F578" s="14"/>
      <c r="G578" s="793"/>
      <c r="H578" s="14"/>
      <c r="I578" s="14"/>
      <c r="J578" s="609"/>
    </row>
    <row r="579" spans="1:10" hidden="1">
      <c r="A579" s="38" t="s">
        <v>1413</v>
      </c>
      <c r="B579" s="37" t="s">
        <v>1414</v>
      </c>
      <c r="C579" s="609" t="s">
        <v>714</v>
      </c>
      <c r="D579" s="14"/>
      <c r="E579" s="14"/>
      <c r="F579" s="14"/>
      <c r="G579" s="793"/>
      <c r="H579" s="14"/>
      <c r="I579" s="14"/>
      <c r="J579" s="609"/>
    </row>
    <row r="580" spans="1:10" hidden="1">
      <c r="A580" s="38" t="s">
        <v>1415</v>
      </c>
      <c r="B580" s="37" t="s">
        <v>1416</v>
      </c>
      <c r="C580" s="609" t="s">
        <v>714</v>
      </c>
      <c r="D580" s="14"/>
      <c r="E580" s="14"/>
      <c r="F580" s="14"/>
      <c r="G580" s="793"/>
      <c r="H580" s="14"/>
      <c r="I580" s="14"/>
      <c r="J580" s="609"/>
    </row>
    <row r="581" spans="1:10" hidden="1">
      <c r="A581" s="38" t="s">
        <v>1417</v>
      </c>
      <c r="B581" s="37" t="s">
        <v>1418</v>
      </c>
      <c r="C581" s="609" t="s">
        <v>714</v>
      </c>
      <c r="D581" s="14"/>
      <c r="E581" s="14"/>
      <c r="F581" s="14"/>
      <c r="G581" s="793"/>
      <c r="H581" s="14"/>
      <c r="I581" s="14"/>
      <c r="J581" s="609"/>
    </row>
    <row r="582" spans="1:10" hidden="1">
      <c r="A582" s="38" t="s">
        <v>1419</v>
      </c>
      <c r="B582" s="37" t="s">
        <v>1420</v>
      </c>
      <c r="C582" s="609" t="s">
        <v>714</v>
      </c>
      <c r="D582" s="14"/>
      <c r="E582" s="14"/>
      <c r="F582" s="14"/>
      <c r="G582" s="793"/>
      <c r="H582" s="14"/>
      <c r="I582" s="14"/>
      <c r="J582" s="609"/>
    </row>
    <row r="583" spans="1:10" hidden="1">
      <c r="A583" s="38" t="s">
        <v>1421</v>
      </c>
      <c r="B583" s="37" t="s">
        <v>1422</v>
      </c>
      <c r="C583" s="609" t="s">
        <v>714</v>
      </c>
      <c r="D583" s="14"/>
      <c r="E583" s="14"/>
      <c r="F583" s="14"/>
      <c r="G583" s="793"/>
      <c r="H583" s="14"/>
      <c r="I583" s="14"/>
      <c r="J583" s="609"/>
    </row>
    <row r="584" spans="1:10" hidden="1">
      <c r="A584" s="38" t="s">
        <v>1423</v>
      </c>
      <c r="B584" s="37" t="s">
        <v>1424</v>
      </c>
      <c r="C584" s="609" t="s">
        <v>714</v>
      </c>
      <c r="D584" s="14"/>
      <c r="E584" s="14"/>
      <c r="F584" s="14"/>
      <c r="G584" s="793"/>
      <c r="H584" s="14"/>
      <c r="I584" s="14"/>
      <c r="J584" s="609"/>
    </row>
    <row r="585" spans="1:10" hidden="1">
      <c r="A585" s="38" t="s">
        <v>1425</v>
      </c>
      <c r="B585" s="37" t="s">
        <v>1426</v>
      </c>
      <c r="C585" s="609" t="s">
        <v>714</v>
      </c>
      <c r="D585" s="14"/>
      <c r="E585" s="14"/>
      <c r="F585" s="14"/>
      <c r="G585" s="793"/>
      <c r="H585" s="14"/>
      <c r="I585" s="14"/>
      <c r="J585" s="609"/>
    </row>
    <row r="586" spans="1:10" hidden="1">
      <c r="A586" s="38" t="s">
        <v>1427</v>
      </c>
      <c r="B586" s="37" t="s">
        <v>1428</v>
      </c>
      <c r="C586" s="609" t="s">
        <v>714</v>
      </c>
      <c r="D586" s="14"/>
      <c r="E586" s="14"/>
      <c r="F586" s="14"/>
      <c r="G586" s="793"/>
      <c r="H586" s="14"/>
      <c r="I586" s="14"/>
      <c r="J586" s="609"/>
    </row>
    <row r="587" spans="1:10" hidden="1">
      <c r="A587" s="38" t="s">
        <v>1429</v>
      </c>
      <c r="B587" s="37" t="s">
        <v>1430</v>
      </c>
      <c r="C587" s="609" t="s">
        <v>714</v>
      </c>
      <c r="D587" s="14"/>
      <c r="E587" s="14"/>
      <c r="F587" s="14"/>
      <c r="G587" s="793"/>
      <c r="H587" s="14"/>
      <c r="I587" s="14"/>
      <c r="J587" s="609"/>
    </row>
    <row r="588" spans="1:10" hidden="1">
      <c r="A588" s="38" t="s">
        <v>1431</v>
      </c>
      <c r="B588" s="37" t="s">
        <v>1432</v>
      </c>
      <c r="C588" s="609" t="s">
        <v>714</v>
      </c>
      <c r="D588" s="14"/>
      <c r="E588" s="14"/>
      <c r="F588" s="14"/>
      <c r="G588" s="793"/>
      <c r="H588" s="14"/>
      <c r="I588" s="14"/>
      <c r="J588" s="609"/>
    </row>
    <row r="589" spans="1:10" hidden="1">
      <c r="A589" s="38" t="s">
        <v>1433</v>
      </c>
      <c r="B589" s="37" t="s">
        <v>1434</v>
      </c>
      <c r="C589" s="609" t="s">
        <v>714</v>
      </c>
      <c r="D589" s="14"/>
      <c r="E589" s="14"/>
      <c r="F589" s="14"/>
      <c r="G589" s="793"/>
      <c r="H589" s="14"/>
      <c r="I589" s="14"/>
      <c r="J589" s="609"/>
    </row>
    <row r="590" spans="1:10" hidden="1">
      <c r="A590" s="38" t="s">
        <v>1435</v>
      </c>
      <c r="B590" s="37" t="s">
        <v>1436</v>
      </c>
      <c r="C590" s="609" t="s">
        <v>714</v>
      </c>
      <c r="D590" s="14"/>
      <c r="E590" s="14"/>
      <c r="F590" s="14"/>
      <c r="G590" s="793"/>
      <c r="H590" s="14"/>
      <c r="I590" s="14"/>
      <c r="J590" s="609"/>
    </row>
    <row r="591" spans="1:10" hidden="1">
      <c r="A591" s="38" t="s">
        <v>1437</v>
      </c>
      <c r="B591" s="37" t="s">
        <v>1438</v>
      </c>
      <c r="C591" s="609" t="s">
        <v>714</v>
      </c>
      <c r="D591" s="14"/>
      <c r="E591" s="14"/>
      <c r="F591" s="14"/>
      <c r="G591" s="793"/>
      <c r="H591" s="14"/>
      <c r="I591" s="14"/>
      <c r="J591" s="609"/>
    </row>
    <row r="592" spans="1:10" hidden="1">
      <c r="A592" s="38" t="s">
        <v>1439</v>
      </c>
      <c r="B592" s="37" t="s">
        <v>1440</v>
      </c>
      <c r="C592" s="609" t="s">
        <v>625</v>
      </c>
      <c r="D592" s="14"/>
      <c r="E592" s="14"/>
      <c r="F592" s="14"/>
      <c r="G592" s="793"/>
      <c r="H592" s="14"/>
      <c r="I592" s="14"/>
      <c r="J592" s="609"/>
    </row>
    <row r="593" spans="1:14" hidden="1">
      <c r="A593" s="38" t="s">
        <v>1441</v>
      </c>
      <c r="B593" s="37" t="s">
        <v>1442</v>
      </c>
      <c r="C593" s="609" t="s">
        <v>625</v>
      </c>
      <c r="D593" s="14"/>
      <c r="E593" s="14"/>
      <c r="F593" s="14"/>
      <c r="G593" s="793"/>
      <c r="H593" s="14"/>
      <c r="I593" s="14"/>
      <c r="J593" s="609"/>
    </row>
    <row r="594" spans="1:14" hidden="1">
      <c r="A594" s="38" t="s">
        <v>1443</v>
      </c>
      <c r="B594" s="37" t="s">
        <v>1444</v>
      </c>
      <c r="C594" s="609" t="s">
        <v>625</v>
      </c>
      <c r="D594" s="14"/>
      <c r="E594" s="14"/>
      <c r="F594" s="14"/>
      <c r="G594" s="793"/>
      <c r="H594" s="14"/>
      <c r="I594" s="14"/>
      <c r="J594" s="609"/>
    </row>
    <row r="595" spans="1:14" hidden="1">
      <c r="A595" s="38" t="s">
        <v>427</v>
      </c>
      <c r="B595" s="37" t="s">
        <v>445</v>
      </c>
      <c r="C595" s="609" t="s">
        <v>484</v>
      </c>
      <c r="D595" s="14"/>
      <c r="E595" s="14"/>
      <c r="F595" s="14"/>
      <c r="G595" s="793"/>
      <c r="H595" s="14"/>
      <c r="I595" s="14"/>
      <c r="J595" s="609"/>
    </row>
    <row r="596" spans="1:14" hidden="1">
      <c r="A596" s="38" t="s">
        <v>424</v>
      </c>
      <c r="B596" s="37" t="s">
        <v>442</v>
      </c>
      <c r="C596" s="609" t="s">
        <v>484</v>
      </c>
      <c r="D596" s="14"/>
      <c r="E596" s="14"/>
      <c r="F596" s="14"/>
      <c r="G596" s="793"/>
      <c r="H596" s="14"/>
      <c r="I596" s="14"/>
      <c r="J596" s="609"/>
    </row>
    <row r="597" spans="1:14" hidden="1">
      <c r="A597" s="38" t="s">
        <v>423</v>
      </c>
      <c r="B597" s="37" t="s">
        <v>441</v>
      </c>
      <c r="C597" s="609" t="s">
        <v>484</v>
      </c>
      <c r="D597" s="14"/>
      <c r="E597" s="14"/>
      <c r="F597" s="14"/>
      <c r="G597" s="793"/>
      <c r="H597" s="14"/>
      <c r="I597" s="14"/>
      <c r="J597" s="609"/>
    </row>
    <row r="598" spans="1:14" hidden="1">
      <c r="A598" s="38" t="s">
        <v>426</v>
      </c>
      <c r="B598" s="37" t="s">
        <v>444</v>
      </c>
      <c r="C598" s="609" t="s">
        <v>484</v>
      </c>
      <c r="D598" s="14"/>
      <c r="E598" s="14"/>
      <c r="F598" s="14"/>
      <c r="G598" s="793"/>
      <c r="H598" s="14"/>
      <c r="I598" s="14"/>
      <c r="J598" s="609"/>
    </row>
    <row r="599" spans="1:14" hidden="1">
      <c r="A599" s="38" t="s">
        <v>425</v>
      </c>
      <c r="B599" s="37" t="s">
        <v>443</v>
      </c>
      <c r="C599" s="609" t="s">
        <v>484</v>
      </c>
      <c r="D599" s="14"/>
      <c r="E599" s="14"/>
      <c r="F599" s="14"/>
      <c r="G599" s="793"/>
      <c r="H599" s="14"/>
      <c r="I599" s="14"/>
      <c r="J599" s="609"/>
      <c r="M599" s="13" t="s">
        <v>70</v>
      </c>
      <c r="N599" s="13">
        <v>1</v>
      </c>
    </row>
    <row r="600" spans="1:14" hidden="1">
      <c r="A600" s="38" t="s">
        <v>1445</v>
      </c>
      <c r="B600" s="37" t="s">
        <v>1446</v>
      </c>
      <c r="C600" s="609" t="s">
        <v>1447</v>
      </c>
      <c r="D600" s="14"/>
      <c r="E600" s="14"/>
      <c r="F600" s="14"/>
      <c r="G600" s="793"/>
      <c r="H600" s="14"/>
      <c r="I600" s="14"/>
      <c r="J600" s="609"/>
    </row>
    <row r="601" spans="1:14" hidden="1">
      <c r="A601" s="38" t="s">
        <v>1448</v>
      </c>
      <c r="B601" s="37" t="s">
        <v>1449</v>
      </c>
      <c r="C601" s="609" t="s">
        <v>804</v>
      </c>
      <c r="D601" s="14"/>
      <c r="E601" s="14"/>
      <c r="F601" s="14"/>
      <c r="G601" s="793"/>
      <c r="H601" s="14"/>
      <c r="I601" s="14"/>
      <c r="J601" s="609"/>
    </row>
    <row r="602" spans="1:14" hidden="1">
      <c r="A602" s="38" t="s">
        <v>1450</v>
      </c>
      <c r="B602" s="37" t="s">
        <v>1451</v>
      </c>
      <c r="C602" s="609" t="s">
        <v>804</v>
      </c>
      <c r="D602" s="14"/>
      <c r="E602" s="14"/>
      <c r="F602" s="14"/>
      <c r="G602" s="793"/>
      <c r="H602" s="14"/>
      <c r="I602" s="14"/>
      <c r="J602" s="609"/>
    </row>
    <row r="603" spans="1:14" hidden="1">
      <c r="A603" s="38" t="s">
        <v>1452</v>
      </c>
      <c r="B603" s="37" t="s">
        <v>1453</v>
      </c>
      <c r="C603" s="609" t="s">
        <v>1447</v>
      </c>
      <c r="D603" s="14"/>
      <c r="E603" s="14"/>
      <c r="F603" s="14"/>
      <c r="G603" s="793"/>
      <c r="H603" s="14"/>
      <c r="I603" s="14"/>
      <c r="J603" s="609"/>
    </row>
    <row r="604" spans="1:14" hidden="1">
      <c r="A604" s="38" t="s">
        <v>1454</v>
      </c>
      <c r="B604" s="37" t="s">
        <v>1455</v>
      </c>
      <c r="C604" s="609" t="s">
        <v>1447</v>
      </c>
      <c r="D604" s="14"/>
      <c r="E604" s="14"/>
      <c r="F604" s="14"/>
      <c r="G604" s="793"/>
      <c r="H604" s="14"/>
      <c r="I604" s="14"/>
      <c r="J604" s="609"/>
    </row>
    <row r="605" spans="1:14" hidden="1">
      <c r="A605" s="38" t="s">
        <v>1456</v>
      </c>
      <c r="B605" s="37" t="s">
        <v>1457</v>
      </c>
      <c r="C605" s="609" t="s">
        <v>1447</v>
      </c>
      <c r="D605" s="14"/>
      <c r="E605" s="14"/>
      <c r="F605" s="14"/>
      <c r="G605" s="793"/>
      <c r="H605" s="14"/>
      <c r="I605" s="14"/>
      <c r="J605" s="609"/>
    </row>
    <row r="606" spans="1:14" hidden="1">
      <c r="A606" s="38" t="s">
        <v>1458</v>
      </c>
      <c r="B606" s="37" t="s">
        <v>1459</v>
      </c>
      <c r="C606" s="609" t="s">
        <v>1447</v>
      </c>
      <c r="D606" s="14"/>
      <c r="E606" s="14"/>
      <c r="F606" s="14"/>
      <c r="G606" s="793"/>
      <c r="H606" s="14"/>
      <c r="I606" s="14"/>
      <c r="J606" s="609"/>
    </row>
    <row r="607" spans="1:14" hidden="1">
      <c r="A607" s="38" t="s">
        <v>1460</v>
      </c>
      <c r="B607" s="37" t="s">
        <v>1461</v>
      </c>
      <c r="C607" s="609" t="s">
        <v>1462</v>
      </c>
      <c r="D607" s="14"/>
      <c r="E607" s="14"/>
      <c r="F607" s="14"/>
      <c r="G607" s="793"/>
      <c r="H607" s="14"/>
      <c r="I607" s="14"/>
      <c r="J607" s="609"/>
    </row>
    <row r="608" spans="1:14" hidden="1">
      <c r="A608" s="38" t="s">
        <v>1463</v>
      </c>
      <c r="B608" s="37" t="s">
        <v>1464</v>
      </c>
      <c r="C608" s="609" t="s">
        <v>1462</v>
      </c>
      <c r="D608" s="14"/>
      <c r="E608" s="14"/>
      <c r="F608" s="14"/>
      <c r="G608" s="793"/>
      <c r="H608" s="14"/>
      <c r="I608" s="14"/>
      <c r="J608" s="609"/>
    </row>
    <row r="609" spans="1:10" hidden="1">
      <c r="A609" s="38" t="s">
        <v>1465</v>
      </c>
      <c r="B609" s="37" t="s">
        <v>1466</v>
      </c>
      <c r="C609" s="609" t="s">
        <v>1462</v>
      </c>
      <c r="D609" s="14"/>
      <c r="E609" s="14"/>
      <c r="F609" s="14"/>
      <c r="G609" s="793"/>
      <c r="H609" s="14"/>
      <c r="I609" s="14"/>
      <c r="J609" s="609"/>
    </row>
    <row r="610" spans="1:10" hidden="1">
      <c r="A610" s="38" t="s">
        <v>1467</v>
      </c>
      <c r="B610" s="37" t="s">
        <v>1468</v>
      </c>
      <c r="C610" s="609" t="s">
        <v>1462</v>
      </c>
      <c r="D610" s="14"/>
      <c r="E610" s="14"/>
      <c r="F610" s="14"/>
      <c r="G610" s="793"/>
      <c r="H610" s="14"/>
      <c r="I610" s="14"/>
      <c r="J610" s="609"/>
    </row>
    <row r="611" spans="1:10" hidden="1">
      <c r="A611" s="38" t="s">
        <v>1469</v>
      </c>
      <c r="B611" s="37" t="s">
        <v>1470</v>
      </c>
      <c r="C611" s="609" t="s">
        <v>1462</v>
      </c>
      <c r="D611" s="14"/>
      <c r="E611" s="14"/>
      <c r="F611" s="14"/>
      <c r="G611" s="793"/>
      <c r="H611" s="14"/>
      <c r="I611" s="14"/>
      <c r="J611" s="609"/>
    </row>
    <row r="612" spans="1:10" hidden="1">
      <c r="A612" s="38" t="s">
        <v>1471</v>
      </c>
      <c r="B612" s="37" t="s">
        <v>1472</v>
      </c>
      <c r="C612" s="609" t="s">
        <v>1462</v>
      </c>
      <c r="D612" s="14"/>
      <c r="E612" s="14"/>
      <c r="F612" s="14"/>
      <c r="G612" s="793"/>
      <c r="H612" s="14"/>
      <c r="I612" s="14"/>
      <c r="J612" s="609"/>
    </row>
    <row r="613" spans="1:10" hidden="1">
      <c r="A613" s="38" t="s">
        <v>1473</v>
      </c>
      <c r="B613" s="37" t="s">
        <v>1474</v>
      </c>
      <c r="C613" s="609" t="s">
        <v>1462</v>
      </c>
      <c r="D613" s="14"/>
      <c r="E613" s="14"/>
      <c r="F613" s="14"/>
      <c r="G613" s="793"/>
      <c r="H613" s="14"/>
      <c r="I613" s="14"/>
      <c r="J613" s="609"/>
    </row>
    <row r="614" spans="1:10" hidden="1">
      <c r="A614" s="38" t="s">
        <v>1475</v>
      </c>
      <c r="B614" s="37" t="s">
        <v>1476</v>
      </c>
      <c r="C614" s="609" t="s">
        <v>1462</v>
      </c>
      <c r="D614" s="14"/>
      <c r="E614" s="14"/>
      <c r="F614" s="14"/>
      <c r="G614" s="793"/>
      <c r="H614" s="14"/>
      <c r="I614" s="14"/>
      <c r="J614" s="609"/>
    </row>
    <row r="615" spans="1:10" hidden="1">
      <c r="A615" s="38" t="s">
        <v>1477</v>
      </c>
      <c r="B615" s="37" t="s">
        <v>1478</v>
      </c>
      <c r="C615" s="609" t="s">
        <v>1462</v>
      </c>
      <c r="D615" s="14"/>
      <c r="E615" s="14"/>
      <c r="F615" s="14"/>
      <c r="G615" s="793"/>
      <c r="H615" s="14"/>
      <c r="I615" s="14"/>
      <c r="J615" s="609"/>
    </row>
    <row r="616" spans="1:10" hidden="1">
      <c r="A616" s="38" t="s">
        <v>39</v>
      </c>
      <c r="B616" s="37" t="s">
        <v>40</v>
      </c>
      <c r="C616" s="609" t="s">
        <v>815</v>
      </c>
      <c r="D616" s="14"/>
      <c r="E616" s="14"/>
      <c r="F616" s="14"/>
      <c r="G616" s="793"/>
      <c r="H616" s="14"/>
      <c r="I616" s="14"/>
      <c r="J616" s="609"/>
    </row>
    <row r="617" spans="1:10" hidden="1">
      <c r="A617" s="38" t="s">
        <v>1479</v>
      </c>
      <c r="B617" s="37" t="s">
        <v>1480</v>
      </c>
      <c r="C617" s="609" t="s">
        <v>714</v>
      </c>
      <c r="D617" s="14"/>
      <c r="E617" s="14"/>
      <c r="F617" s="14"/>
      <c r="G617" s="793"/>
      <c r="H617" s="14"/>
      <c r="I617" s="14"/>
      <c r="J617" s="609"/>
    </row>
    <row r="618" spans="1:10" hidden="1">
      <c r="A618" s="38" t="s">
        <v>1481</v>
      </c>
      <c r="B618" s="37" t="s">
        <v>1482</v>
      </c>
      <c r="C618" s="609" t="s">
        <v>1483</v>
      </c>
      <c r="D618" s="14"/>
      <c r="E618" s="14"/>
      <c r="F618" s="14"/>
      <c r="G618" s="793"/>
      <c r="H618" s="14"/>
      <c r="I618" s="14"/>
      <c r="J618" s="609"/>
    </row>
    <row r="619" spans="1:10" hidden="1">
      <c r="A619" s="38" t="s">
        <v>1484</v>
      </c>
      <c r="B619" s="37" t="s">
        <v>1485</v>
      </c>
      <c r="C619" s="609" t="s">
        <v>1483</v>
      </c>
      <c r="D619" s="14"/>
      <c r="E619" s="14"/>
      <c r="F619" s="14"/>
      <c r="G619" s="793"/>
      <c r="H619" s="14"/>
      <c r="I619" s="14"/>
      <c r="J619" s="609"/>
    </row>
    <row r="620" spans="1:10">
      <c r="A620" s="38" t="s">
        <v>41</v>
      </c>
      <c r="B620" s="37" t="s">
        <v>319</v>
      </c>
      <c r="C620" s="609" t="s">
        <v>135</v>
      </c>
      <c r="D620" s="14"/>
      <c r="E620" s="14"/>
      <c r="F620" s="14"/>
      <c r="G620" s="793"/>
      <c r="H620" s="14"/>
      <c r="I620" s="14"/>
      <c r="J620" s="609"/>
    </row>
    <row r="621" spans="1:10">
      <c r="A621" s="38" t="s">
        <v>42</v>
      </c>
      <c r="B621" s="37" t="s">
        <v>320</v>
      </c>
      <c r="C621" s="609" t="s">
        <v>135</v>
      </c>
      <c r="D621" s="14"/>
      <c r="E621" s="14"/>
      <c r="F621" s="14"/>
      <c r="G621" s="793"/>
      <c r="H621" s="14"/>
      <c r="I621" s="14"/>
      <c r="J621" s="609"/>
    </row>
    <row r="622" spans="1:10">
      <c r="A622" s="38" t="s">
        <v>43</v>
      </c>
      <c r="B622" s="37" t="s">
        <v>321</v>
      </c>
      <c r="C622" s="609" t="s">
        <v>135</v>
      </c>
      <c r="D622" s="14"/>
      <c r="E622" s="14"/>
      <c r="F622" s="14"/>
      <c r="G622" s="793"/>
      <c r="H622" s="14"/>
      <c r="I622" s="14"/>
      <c r="J622" s="609"/>
    </row>
    <row r="623" spans="1:10">
      <c r="A623" s="38" t="s">
        <v>44</v>
      </c>
      <c r="B623" s="37" t="s">
        <v>322</v>
      </c>
      <c r="C623" s="609" t="s">
        <v>135</v>
      </c>
      <c r="D623" s="14"/>
      <c r="E623" s="14"/>
      <c r="F623" s="14"/>
      <c r="G623" s="793"/>
      <c r="H623" s="14"/>
      <c r="I623" s="14"/>
      <c r="J623" s="609"/>
    </row>
    <row r="624" spans="1:10" hidden="1">
      <c r="A624" s="38" t="s">
        <v>1486</v>
      </c>
      <c r="B624" s="37" t="s">
        <v>1487</v>
      </c>
      <c r="C624" s="609" t="s">
        <v>1488</v>
      </c>
      <c r="D624" s="14"/>
      <c r="E624" s="14"/>
      <c r="F624" s="14"/>
      <c r="G624" s="793"/>
      <c r="H624" s="14"/>
      <c r="I624" s="14"/>
      <c r="J624" s="609"/>
    </row>
    <row r="625" spans="1:14" hidden="1">
      <c r="A625" s="38" t="s">
        <v>1489</v>
      </c>
      <c r="B625" s="37" t="s">
        <v>1490</v>
      </c>
      <c r="C625" s="609" t="s">
        <v>546</v>
      </c>
      <c r="D625" s="14"/>
      <c r="E625" s="14"/>
      <c r="F625" s="14"/>
      <c r="G625" s="793"/>
      <c r="H625" s="14"/>
      <c r="I625" s="14"/>
      <c r="J625" s="609"/>
    </row>
    <row r="626" spans="1:14" hidden="1">
      <c r="A626" s="38" t="s">
        <v>1491</v>
      </c>
      <c r="B626" s="37" t="s">
        <v>323</v>
      </c>
      <c r="C626" s="609" t="s">
        <v>484</v>
      </c>
      <c r="D626" s="14"/>
      <c r="E626" s="14"/>
      <c r="F626" s="14"/>
      <c r="G626" s="793"/>
      <c r="H626" s="14"/>
      <c r="I626" s="14"/>
      <c r="J626" s="609"/>
    </row>
    <row r="627" spans="1:14" hidden="1">
      <c r="A627" s="38" t="s">
        <v>101</v>
      </c>
      <c r="B627" s="37" t="s">
        <v>1492</v>
      </c>
      <c r="C627" s="609" t="s">
        <v>484</v>
      </c>
      <c r="D627" s="14"/>
      <c r="E627" s="14"/>
      <c r="F627" s="14"/>
      <c r="G627" s="793"/>
      <c r="H627" s="14"/>
      <c r="I627" s="14"/>
      <c r="J627" s="609"/>
      <c r="K627" s="13" t="s">
        <v>81</v>
      </c>
      <c r="L627" s="13">
        <v>1</v>
      </c>
      <c r="M627" s="13" t="s">
        <v>70</v>
      </c>
      <c r="N627" s="13">
        <v>1</v>
      </c>
    </row>
    <row r="628" spans="1:14" hidden="1">
      <c r="A628" s="38" t="s">
        <v>1493</v>
      </c>
      <c r="B628" s="37" t="s">
        <v>1494</v>
      </c>
      <c r="C628" s="609" t="s">
        <v>728</v>
      </c>
      <c r="D628" s="14"/>
      <c r="E628" s="14"/>
      <c r="F628" s="14"/>
      <c r="G628" s="793"/>
      <c r="H628" s="14"/>
      <c r="I628" s="14"/>
      <c r="J628" s="609"/>
    </row>
    <row r="629" spans="1:14" hidden="1">
      <c r="A629" s="38" t="s">
        <v>1495</v>
      </c>
      <c r="B629" s="37" t="s">
        <v>1496</v>
      </c>
      <c r="C629" s="609" t="s">
        <v>728</v>
      </c>
      <c r="D629" s="14"/>
      <c r="E629" s="14"/>
      <c r="F629" s="14"/>
      <c r="G629" s="793"/>
      <c r="H629" s="14"/>
      <c r="I629" s="14"/>
      <c r="J629" s="609"/>
    </row>
    <row r="630" spans="1:14" hidden="1">
      <c r="A630" s="38" t="s">
        <v>45</v>
      </c>
      <c r="B630" s="37" t="s">
        <v>324</v>
      </c>
      <c r="C630" s="609" t="s">
        <v>815</v>
      </c>
      <c r="D630" s="14"/>
      <c r="E630" s="14"/>
      <c r="F630" s="14"/>
      <c r="G630" s="793"/>
      <c r="H630" s="14"/>
      <c r="I630" s="14"/>
      <c r="J630" s="609"/>
    </row>
    <row r="631" spans="1:14" hidden="1">
      <c r="A631" s="38" t="s">
        <v>46</v>
      </c>
      <c r="B631" s="37" t="s">
        <v>325</v>
      </c>
      <c r="C631" s="609" t="s">
        <v>764</v>
      </c>
      <c r="D631" s="14"/>
      <c r="E631" s="14"/>
      <c r="F631" s="14"/>
      <c r="G631" s="793"/>
      <c r="H631" s="14"/>
      <c r="I631" s="14"/>
      <c r="J631" s="609"/>
    </row>
    <row r="632" spans="1:14" hidden="1">
      <c r="A632" s="38" t="s">
        <v>1497</v>
      </c>
      <c r="B632" s="37" t="s">
        <v>1498</v>
      </c>
      <c r="C632" s="609" t="s">
        <v>764</v>
      </c>
      <c r="D632" s="14"/>
      <c r="E632" s="14"/>
      <c r="F632" s="14"/>
      <c r="G632" s="793"/>
      <c r="H632" s="14"/>
      <c r="I632" s="14"/>
      <c r="J632" s="609"/>
    </row>
    <row r="633" spans="1:14" hidden="1">
      <c r="A633" s="38" t="s">
        <v>47</v>
      </c>
      <c r="B633" s="37" t="s">
        <v>1499</v>
      </c>
      <c r="C633" s="609" t="s">
        <v>484</v>
      </c>
      <c r="D633" s="14"/>
      <c r="E633" s="14"/>
      <c r="F633" s="14"/>
      <c r="G633" s="793"/>
      <c r="H633" s="14"/>
      <c r="I633" s="14"/>
      <c r="J633" s="609"/>
    </row>
    <row r="634" spans="1:14" hidden="1">
      <c r="A634" s="38" t="s">
        <v>48</v>
      </c>
      <c r="B634" s="37" t="s">
        <v>49</v>
      </c>
      <c r="C634" s="609" t="s">
        <v>714</v>
      </c>
      <c r="D634" s="14"/>
      <c r="E634" s="14"/>
      <c r="F634" s="14"/>
      <c r="G634" s="793"/>
      <c r="H634" s="14"/>
      <c r="I634" s="14"/>
      <c r="J634" s="609"/>
    </row>
    <row r="635" spans="1:14" hidden="1">
      <c r="A635" s="38" t="s">
        <v>50</v>
      </c>
      <c r="B635" s="37" t="s">
        <v>51</v>
      </c>
      <c r="C635" s="609" t="s">
        <v>714</v>
      </c>
      <c r="D635" s="14"/>
      <c r="E635" s="14"/>
      <c r="F635" s="14"/>
      <c r="G635" s="793"/>
      <c r="H635" s="14"/>
      <c r="I635" s="14"/>
      <c r="J635" s="609"/>
    </row>
    <row r="636" spans="1:14" hidden="1">
      <c r="A636" s="38" t="s">
        <v>52</v>
      </c>
      <c r="B636" s="37" t="s">
        <v>53</v>
      </c>
      <c r="C636" s="609" t="s">
        <v>714</v>
      </c>
      <c r="D636" s="14"/>
      <c r="E636" s="14"/>
      <c r="F636" s="14"/>
      <c r="G636" s="793"/>
      <c r="H636" s="14"/>
      <c r="I636" s="14"/>
      <c r="J636" s="609"/>
    </row>
    <row r="637" spans="1:14" hidden="1">
      <c r="A637" s="38" t="s">
        <v>54</v>
      </c>
      <c r="B637" s="37" t="s">
        <v>55</v>
      </c>
      <c r="C637" s="609" t="s">
        <v>714</v>
      </c>
      <c r="D637" s="14"/>
      <c r="E637" s="14"/>
      <c r="F637" s="14"/>
      <c r="G637" s="793"/>
      <c r="H637" s="14"/>
      <c r="I637" s="14"/>
      <c r="J637" s="609"/>
    </row>
    <row r="638" spans="1:14" hidden="1">
      <c r="A638" s="38" t="s">
        <v>56</v>
      </c>
      <c r="B638" s="37" t="s">
        <v>326</v>
      </c>
      <c r="C638" s="609" t="s">
        <v>764</v>
      </c>
      <c r="D638" s="14"/>
      <c r="E638" s="14"/>
      <c r="F638" s="14"/>
      <c r="G638" s="793"/>
      <c r="H638" s="14"/>
      <c r="I638" s="14"/>
      <c r="J638" s="609"/>
    </row>
    <row r="639" spans="1:14" hidden="1">
      <c r="A639" s="38" t="s">
        <v>57</v>
      </c>
      <c r="B639" s="37" t="s">
        <v>1500</v>
      </c>
      <c r="C639" s="609" t="s">
        <v>625</v>
      </c>
      <c r="D639" s="14"/>
      <c r="E639" s="14"/>
      <c r="F639" s="14"/>
      <c r="G639" s="793"/>
      <c r="H639" s="14"/>
      <c r="I639" s="14"/>
      <c r="J639" s="609"/>
    </row>
    <row r="640" spans="1:14" hidden="1">
      <c r="A640" s="38" t="s">
        <v>58</v>
      </c>
      <c r="B640" s="37" t="s">
        <v>327</v>
      </c>
      <c r="C640" s="609" t="s">
        <v>764</v>
      </c>
      <c r="D640" s="14"/>
      <c r="E640" s="14"/>
      <c r="F640" s="14"/>
      <c r="G640" s="793"/>
      <c r="H640" s="14"/>
      <c r="I640" s="14"/>
      <c r="J640" s="609"/>
    </row>
    <row r="641" spans="1:15" hidden="1">
      <c r="A641" s="38" t="s">
        <v>1501</v>
      </c>
      <c r="B641" s="37" t="s">
        <v>1502</v>
      </c>
      <c r="C641" s="609" t="s">
        <v>764</v>
      </c>
      <c r="D641" s="14"/>
      <c r="E641" s="14"/>
      <c r="F641" s="14"/>
      <c r="G641" s="793"/>
      <c r="H641" s="14"/>
      <c r="I641" s="14"/>
      <c r="J641" s="609"/>
    </row>
    <row r="642" spans="1:15" hidden="1">
      <c r="A642" s="38" t="s">
        <v>59</v>
      </c>
      <c r="B642" s="37" t="s">
        <v>328</v>
      </c>
      <c r="C642" s="609" t="s">
        <v>728</v>
      </c>
      <c r="D642" s="14"/>
      <c r="E642" s="14"/>
      <c r="F642" s="14"/>
      <c r="G642" s="793"/>
      <c r="H642" s="14"/>
      <c r="I642" s="14"/>
      <c r="J642" s="609"/>
    </row>
    <row r="643" spans="1:15" hidden="1">
      <c r="A643" s="38" t="s">
        <v>1503</v>
      </c>
      <c r="B643" s="37" t="s">
        <v>1504</v>
      </c>
      <c r="C643" s="609" t="s">
        <v>448</v>
      </c>
      <c r="D643" s="14"/>
      <c r="E643" s="14"/>
      <c r="F643" s="14"/>
      <c r="G643" s="793"/>
      <c r="H643" s="14"/>
      <c r="I643" s="14"/>
      <c r="J643" s="609"/>
      <c r="K643" s="13" t="s">
        <v>83</v>
      </c>
      <c r="L643" s="13">
        <v>1</v>
      </c>
      <c r="M643" s="13" t="s">
        <v>15</v>
      </c>
      <c r="N643" s="13">
        <v>1</v>
      </c>
    </row>
    <row r="644" spans="1:15" hidden="1">
      <c r="A644" s="38" t="s">
        <v>60</v>
      </c>
      <c r="B644" s="37" t="s">
        <v>1505</v>
      </c>
      <c r="C644" s="609" t="s">
        <v>448</v>
      </c>
      <c r="D644" s="14"/>
      <c r="E644" s="14"/>
      <c r="F644" s="14"/>
      <c r="G644" s="793"/>
      <c r="H644" s="14"/>
      <c r="I644" s="14"/>
      <c r="J644" s="609"/>
      <c r="K644" s="13" t="s">
        <v>83</v>
      </c>
      <c r="L644" s="13">
        <v>1</v>
      </c>
      <c r="M644" s="13" t="s">
        <v>15</v>
      </c>
      <c r="N644" s="13">
        <v>1</v>
      </c>
    </row>
    <row r="645" spans="1:15" hidden="1">
      <c r="A645" s="38" t="s">
        <v>236</v>
      </c>
      <c r="B645" s="37" t="s">
        <v>1506</v>
      </c>
      <c r="C645" s="609" t="s">
        <v>448</v>
      </c>
      <c r="D645" s="14"/>
      <c r="E645" s="14"/>
      <c r="F645" s="14"/>
      <c r="G645" s="793"/>
      <c r="H645" s="14"/>
      <c r="I645" s="14"/>
      <c r="J645" s="609"/>
      <c r="K645" s="13" t="s">
        <v>80</v>
      </c>
      <c r="L645" s="13">
        <v>1</v>
      </c>
      <c r="M645" s="13" t="s">
        <v>71</v>
      </c>
      <c r="N645" s="13">
        <v>1</v>
      </c>
    </row>
    <row r="646" spans="1:15" hidden="1">
      <c r="A646" s="38" t="s">
        <v>61</v>
      </c>
      <c r="B646" s="37" t="s">
        <v>1507</v>
      </c>
      <c r="C646" s="609" t="s">
        <v>625</v>
      </c>
      <c r="D646" s="14"/>
      <c r="E646" s="14"/>
      <c r="F646" s="14"/>
      <c r="G646" s="793"/>
      <c r="H646" s="14"/>
      <c r="I646" s="14"/>
      <c r="J646" s="609"/>
    </row>
    <row r="647" spans="1:15" hidden="1">
      <c r="A647" s="38" t="s">
        <v>62</v>
      </c>
      <c r="B647" s="37" t="s">
        <v>1508</v>
      </c>
      <c r="C647" s="609" t="s">
        <v>484</v>
      </c>
      <c r="D647" s="14"/>
      <c r="E647" s="14"/>
      <c r="F647" s="14"/>
      <c r="G647" s="793"/>
      <c r="H647" s="14"/>
      <c r="I647" s="14"/>
      <c r="J647" s="609"/>
    </row>
    <row r="648" spans="1:15" hidden="1">
      <c r="A648" s="38" t="s">
        <v>63</v>
      </c>
      <c r="B648" s="37" t="s">
        <v>1509</v>
      </c>
      <c r="C648" s="609" t="s">
        <v>484</v>
      </c>
      <c r="D648" s="14"/>
      <c r="E648" s="14"/>
      <c r="F648" s="14"/>
      <c r="G648" s="793"/>
      <c r="H648" s="14"/>
      <c r="I648" s="14"/>
      <c r="J648" s="609"/>
    </row>
    <row r="649" spans="1:15" hidden="1">
      <c r="A649" s="38" t="s">
        <v>1510</v>
      </c>
      <c r="B649" s="37" t="s">
        <v>1511</v>
      </c>
      <c r="C649" s="609" t="s">
        <v>625</v>
      </c>
      <c r="D649" s="14"/>
      <c r="E649" s="14"/>
      <c r="F649" s="14"/>
      <c r="G649" s="793"/>
      <c r="H649" s="14"/>
      <c r="I649" s="14"/>
      <c r="J649" s="609"/>
    </row>
    <row r="650" spans="1:15" hidden="1">
      <c r="A650" s="38" t="s">
        <v>185</v>
      </c>
      <c r="B650" s="37" t="s">
        <v>1512</v>
      </c>
      <c r="C650" s="609" t="s">
        <v>484</v>
      </c>
      <c r="D650" s="14"/>
      <c r="E650" s="14"/>
      <c r="F650" s="14"/>
      <c r="G650" s="793"/>
      <c r="H650" s="14"/>
      <c r="I650" s="14"/>
      <c r="J650" s="609"/>
    </row>
    <row r="651" spans="1:15" hidden="1">
      <c r="A651" s="290" t="s">
        <v>1513</v>
      </c>
      <c r="B651" s="291" t="s">
        <v>1514</v>
      </c>
      <c r="C651" s="789" t="s">
        <v>625</v>
      </c>
      <c r="D651" s="292"/>
      <c r="E651" s="292"/>
      <c r="F651" s="292"/>
      <c r="G651" s="795"/>
      <c r="H651" s="292"/>
      <c r="I651" s="292"/>
      <c r="J651" s="790"/>
      <c r="K651" s="392"/>
      <c r="L651" s="392"/>
      <c r="M651" s="392"/>
      <c r="N651" s="392"/>
      <c r="O651" s="392"/>
    </row>
    <row r="652" spans="1:15" ht="15.75" hidden="1" customHeight="1">
      <c r="A652" s="38" t="s">
        <v>65</v>
      </c>
      <c r="B652" s="37" t="s">
        <v>1515</v>
      </c>
      <c r="C652" s="609" t="s">
        <v>448</v>
      </c>
      <c r="D652" s="609">
        <v>21.3</v>
      </c>
      <c r="E652" s="609" t="s">
        <v>150</v>
      </c>
      <c r="F652" s="609" t="s">
        <v>2051</v>
      </c>
      <c r="G652" s="37" t="s">
        <v>161</v>
      </c>
      <c r="H652" s="609">
        <v>21.3</v>
      </c>
      <c r="I652" s="609" t="s">
        <v>2051</v>
      </c>
      <c r="J652" s="610">
        <v>9.4499999999999993</v>
      </c>
      <c r="K652" s="611"/>
      <c r="L652" s="611"/>
      <c r="M652" s="611" t="s">
        <v>2051</v>
      </c>
      <c r="N652" s="611"/>
      <c r="O652" s="611" t="s">
        <v>2054</v>
      </c>
    </row>
    <row r="653" spans="1:15" hidden="1">
      <c r="A653" s="38" t="s">
        <v>66</v>
      </c>
      <c r="B653" s="37" t="s">
        <v>1516</v>
      </c>
      <c r="C653" s="609" t="s">
        <v>448</v>
      </c>
      <c r="D653" s="609">
        <v>28.1</v>
      </c>
      <c r="E653" s="609" t="s">
        <v>150</v>
      </c>
      <c r="F653" s="609" t="s">
        <v>2051</v>
      </c>
      <c r="G653" s="37" t="s">
        <v>161</v>
      </c>
      <c r="H653" s="609">
        <v>28.1</v>
      </c>
      <c r="I653" s="609" t="s">
        <v>2051</v>
      </c>
      <c r="J653" s="609">
        <v>9.4499999999999993</v>
      </c>
      <c r="K653" s="612"/>
      <c r="L653" s="612"/>
      <c r="M653" s="611" t="s">
        <v>2051</v>
      </c>
      <c r="N653" s="612"/>
      <c r="O653" s="612" t="s">
        <v>2055</v>
      </c>
    </row>
    <row r="654" spans="1:15" hidden="1">
      <c r="A654" s="38" t="s">
        <v>14</v>
      </c>
      <c r="B654" s="37" t="s">
        <v>1517</v>
      </c>
      <c r="C654" s="609" t="s">
        <v>448</v>
      </c>
      <c r="D654" s="609">
        <v>32.1</v>
      </c>
      <c r="E654" s="609" t="s">
        <v>150</v>
      </c>
      <c r="F654" s="609" t="s">
        <v>2051</v>
      </c>
      <c r="G654" s="37" t="s">
        <v>161</v>
      </c>
      <c r="H654" s="609">
        <v>32.1</v>
      </c>
      <c r="I654" s="609" t="s">
        <v>2051</v>
      </c>
      <c r="J654" s="609">
        <v>9.4499999999999993</v>
      </c>
      <c r="K654" s="611"/>
      <c r="L654" s="611"/>
      <c r="M654" s="611" t="s">
        <v>2051</v>
      </c>
      <c r="N654" s="611"/>
      <c r="O654" s="611" t="s">
        <v>2056</v>
      </c>
    </row>
    <row r="655" spans="1:15" hidden="1">
      <c r="A655" s="38" t="s">
        <v>67</v>
      </c>
      <c r="B655" s="37" t="s">
        <v>1518</v>
      </c>
      <c r="C655" s="609" t="s">
        <v>448</v>
      </c>
      <c r="D655" s="609">
        <v>21.3</v>
      </c>
      <c r="E655" s="609" t="s">
        <v>150</v>
      </c>
      <c r="F655" s="609" t="s">
        <v>2051</v>
      </c>
      <c r="G655" s="37" t="s">
        <v>161</v>
      </c>
      <c r="H655" s="609">
        <v>21.3</v>
      </c>
      <c r="I655" s="609" t="s">
        <v>2051</v>
      </c>
      <c r="J655" s="609">
        <v>9.4499999999999993</v>
      </c>
      <c r="K655" s="611"/>
      <c r="L655" s="611"/>
      <c r="M655" s="611" t="s">
        <v>2051</v>
      </c>
      <c r="N655" s="611"/>
      <c r="O655" s="611" t="s">
        <v>2057</v>
      </c>
    </row>
    <row r="656" spans="1:15" hidden="1">
      <c r="A656" s="38" t="s">
        <v>68</v>
      </c>
      <c r="B656" s="37" t="s">
        <v>1519</v>
      </c>
      <c r="C656" s="609" t="s">
        <v>448</v>
      </c>
      <c r="D656" s="609">
        <v>32.1</v>
      </c>
      <c r="E656" s="609" t="s">
        <v>150</v>
      </c>
      <c r="F656" s="609" t="s">
        <v>2051</v>
      </c>
      <c r="G656" s="37" t="s">
        <v>161</v>
      </c>
      <c r="H656" s="609">
        <v>32.1</v>
      </c>
      <c r="I656" s="609" t="s">
        <v>2051</v>
      </c>
      <c r="J656" s="609">
        <v>9.4499999999999993</v>
      </c>
      <c r="K656" s="611"/>
      <c r="L656" s="611"/>
      <c r="M656" s="611" t="s">
        <v>2051</v>
      </c>
      <c r="N656" s="611"/>
      <c r="O656" s="611" t="s">
        <v>2058</v>
      </c>
    </row>
    <row r="657" spans="1:15" hidden="1">
      <c r="A657" s="38" t="s">
        <v>69</v>
      </c>
      <c r="B657" s="37" t="s">
        <v>1520</v>
      </c>
      <c r="C657" s="609" t="s">
        <v>448</v>
      </c>
      <c r="D657" s="609"/>
      <c r="E657" s="609" t="s">
        <v>150</v>
      </c>
      <c r="F657" s="609" t="s">
        <v>65</v>
      </c>
      <c r="G657" s="37" t="s">
        <v>160</v>
      </c>
      <c r="H657" s="609">
        <v>22</v>
      </c>
      <c r="I657" s="609" t="s">
        <v>2051</v>
      </c>
      <c r="J657" s="609">
        <v>6</v>
      </c>
      <c r="K657" s="611"/>
      <c r="L657" s="611"/>
      <c r="M657" s="611" t="s">
        <v>65</v>
      </c>
      <c r="N657" s="611">
        <v>1</v>
      </c>
      <c r="O657" s="611" t="s">
        <v>2054</v>
      </c>
    </row>
    <row r="658" spans="1:15" hidden="1">
      <c r="A658" s="38" t="s">
        <v>70</v>
      </c>
      <c r="B658" s="37" t="s">
        <v>1521</v>
      </c>
      <c r="C658" s="609" t="s">
        <v>448</v>
      </c>
      <c r="D658" s="609"/>
      <c r="E658" s="609" t="s">
        <v>150</v>
      </c>
      <c r="F658" s="609" t="s">
        <v>66</v>
      </c>
      <c r="G658" s="37" t="s">
        <v>160</v>
      </c>
      <c r="H658" s="609">
        <v>28</v>
      </c>
      <c r="I658" s="609" t="s">
        <v>2051</v>
      </c>
      <c r="J658" s="609">
        <v>6</v>
      </c>
      <c r="K658" s="611"/>
      <c r="L658" s="611"/>
      <c r="M658" s="611" t="s">
        <v>66</v>
      </c>
      <c r="N658" s="611">
        <v>1</v>
      </c>
      <c r="O658" s="611" t="s">
        <v>2055</v>
      </c>
    </row>
    <row r="659" spans="1:15" hidden="1">
      <c r="A659" s="38" t="s">
        <v>64</v>
      </c>
      <c r="B659" s="37" t="s">
        <v>1522</v>
      </c>
      <c r="C659" s="609" t="s">
        <v>448</v>
      </c>
      <c r="D659" s="609"/>
      <c r="E659" s="609" t="s">
        <v>150</v>
      </c>
      <c r="F659" s="609" t="s">
        <v>14</v>
      </c>
      <c r="G659" s="37" t="s">
        <v>160</v>
      </c>
      <c r="H659" s="609">
        <v>32</v>
      </c>
      <c r="I659" s="609" t="s">
        <v>2051</v>
      </c>
      <c r="J659" s="609">
        <v>6</v>
      </c>
      <c r="K659" s="611"/>
      <c r="L659" s="611"/>
      <c r="M659" s="611" t="s">
        <v>14</v>
      </c>
      <c r="N659" s="611">
        <v>1</v>
      </c>
      <c r="O659" s="611" t="s">
        <v>2056</v>
      </c>
    </row>
    <row r="660" spans="1:15" hidden="1">
      <c r="A660" s="38" t="s">
        <v>71</v>
      </c>
      <c r="B660" s="37" t="s">
        <v>1523</v>
      </c>
      <c r="C660" s="609" t="s">
        <v>448</v>
      </c>
      <c r="D660" s="609"/>
      <c r="E660" s="609" t="s">
        <v>150</v>
      </c>
      <c r="F660" s="609" t="s">
        <v>67</v>
      </c>
      <c r="G660" s="37" t="s">
        <v>160</v>
      </c>
      <c r="H660" s="609">
        <v>22</v>
      </c>
      <c r="I660" s="609" t="s">
        <v>2051</v>
      </c>
      <c r="J660" s="609">
        <v>6</v>
      </c>
      <c r="K660" s="611"/>
      <c r="L660" s="611"/>
      <c r="M660" s="611" t="s">
        <v>67</v>
      </c>
      <c r="N660" s="611">
        <v>1</v>
      </c>
      <c r="O660" s="611" t="s">
        <v>2057</v>
      </c>
    </row>
    <row r="661" spans="1:15" hidden="1">
      <c r="A661" s="38" t="s">
        <v>15</v>
      </c>
      <c r="B661" s="37" t="s">
        <v>1524</v>
      </c>
      <c r="C661" s="609" t="s">
        <v>448</v>
      </c>
      <c r="D661" s="609"/>
      <c r="E661" s="609" t="s">
        <v>150</v>
      </c>
      <c r="F661" s="609" t="s">
        <v>68</v>
      </c>
      <c r="G661" s="37" t="s">
        <v>160</v>
      </c>
      <c r="H661" s="609">
        <v>32</v>
      </c>
      <c r="I661" s="609" t="s">
        <v>2051</v>
      </c>
      <c r="J661" s="609">
        <v>6</v>
      </c>
      <c r="K661" s="611"/>
      <c r="L661" s="611"/>
      <c r="M661" s="611" t="s">
        <v>68</v>
      </c>
      <c r="N661" s="611">
        <v>1</v>
      </c>
      <c r="O661" s="611" t="s">
        <v>2058</v>
      </c>
    </row>
    <row r="662" spans="1:15">
      <c r="A662" s="38" t="s">
        <v>72</v>
      </c>
      <c r="B662" s="37" t="s">
        <v>1525</v>
      </c>
      <c r="C662" s="609" t="s">
        <v>135</v>
      </c>
      <c r="D662" s="14">
        <v>6.8</v>
      </c>
      <c r="E662" s="14" t="s">
        <v>149</v>
      </c>
      <c r="F662" s="14" t="s">
        <v>149</v>
      </c>
      <c r="G662" s="793" t="s">
        <v>155</v>
      </c>
      <c r="H662" s="14">
        <v>6.8</v>
      </c>
      <c r="I662" s="14" t="s">
        <v>149</v>
      </c>
      <c r="J662" s="609">
        <v>5.5</v>
      </c>
      <c r="K662" s="289"/>
      <c r="L662" s="289"/>
      <c r="M662" s="289" t="s">
        <v>149</v>
      </c>
      <c r="N662" s="289"/>
      <c r="O662" s="289" t="s">
        <v>1822</v>
      </c>
    </row>
    <row r="663" spans="1:15">
      <c r="A663" s="38" t="s">
        <v>73</v>
      </c>
      <c r="B663" s="37" t="s">
        <v>1526</v>
      </c>
      <c r="C663" s="609" t="s">
        <v>135</v>
      </c>
      <c r="D663" s="14">
        <v>6.8</v>
      </c>
      <c r="E663" s="14" t="s">
        <v>149</v>
      </c>
      <c r="F663" s="14" t="s">
        <v>149</v>
      </c>
      <c r="G663" s="793" t="s">
        <v>155</v>
      </c>
      <c r="H663" s="14">
        <v>6.8</v>
      </c>
      <c r="I663" s="14" t="s">
        <v>149</v>
      </c>
      <c r="J663" s="609">
        <v>5.5</v>
      </c>
      <c r="K663" s="289"/>
      <c r="L663" s="289"/>
      <c r="M663" s="289" t="s">
        <v>149</v>
      </c>
      <c r="N663" s="289"/>
      <c r="O663" s="289" t="s">
        <v>1823</v>
      </c>
    </row>
    <row r="664" spans="1:15">
      <c r="A664" s="38" t="s">
        <v>74</v>
      </c>
      <c r="B664" s="37" t="s">
        <v>1527</v>
      </c>
      <c r="C664" s="609" t="s">
        <v>135</v>
      </c>
      <c r="D664" s="14">
        <v>6.8</v>
      </c>
      <c r="E664" s="14" t="s">
        <v>149</v>
      </c>
      <c r="F664" s="14" t="s">
        <v>149</v>
      </c>
      <c r="G664" s="793" t="s">
        <v>155</v>
      </c>
      <c r="H664" s="14">
        <v>6.8</v>
      </c>
      <c r="I664" s="14" t="s">
        <v>149</v>
      </c>
      <c r="J664" s="609">
        <v>5.5</v>
      </c>
      <c r="K664" s="289"/>
      <c r="L664" s="289"/>
      <c r="M664" s="289" t="s">
        <v>149</v>
      </c>
      <c r="N664" s="289"/>
      <c r="O664" s="289" t="s">
        <v>1824</v>
      </c>
    </row>
    <row r="665" spans="1:15">
      <c r="A665" s="38" t="s">
        <v>75</v>
      </c>
      <c r="B665" s="37" t="s">
        <v>1528</v>
      </c>
      <c r="C665" s="609" t="s">
        <v>135</v>
      </c>
      <c r="D665" s="14">
        <v>6.8</v>
      </c>
      <c r="E665" s="14" t="s">
        <v>149</v>
      </c>
      <c r="F665" s="14" t="s">
        <v>149</v>
      </c>
      <c r="G665" s="793" t="s">
        <v>155</v>
      </c>
      <c r="H665" s="14">
        <v>6.8</v>
      </c>
      <c r="I665" s="14" t="s">
        <v>149</v>
      </c>
      <c r="J665" s="609">
        <v>5.5</v>
      </c>
      <c r="K665" s="289"/>
      <c r="L665" s="289"/>
      <c r="M665" s="289" t="s">
        <v>149</v>
      </c>
      <c r="N665" s="289"/>
      <c r="O665" s="289" t="s">
        <v>1825</v>
      </c>
    </row>
    <row r="666" spans="1:15">
      <c r="A666" s="38" t="s">
        <v>76</v>
      </c>
      <c r="B666" s="37" t="s">
        <v>1529</v>
      </c>
      <c r="C666" s="609" t="s">
        <v>135</v>
      </c>
      <c r="D666" s="14"/>
      <c r="E666" s="14"/>
      <c r="F666" s="14" t="s">
        <v>72</v>
      </c>
      <c r="G666" s="793" t="s">
        <v>144</v>
      </c>
      <c r="H666" s="14">
        <v>6.8</v>
      </c>
      <c r="I666" s="14" t="s">
        <v>149</v>
      </c>
      <c r="J666" s="609">
        <v>5.5</v>
      </c>
      <c r="K666" s="289"/>
      <c r="L666" s="289"/>
      <c r="M666" s="289" t="s">
        <v>72</v>
      </c>
      <c r="N666" s="289"/>
      <c r="O666" s="289" t="s">
        <v>1822</v>
      </c>
    </row>
    <row r="667" spans="1:15">
      <c r="A667" s="38" t="s">
        <v>77</v>
      </c>
      <c r="B667" s="37" t="s">
        <v>1530</v>
      </c>
      <c r="C667" s="609" t="s">
        <v>135</v>
      </c>
      <c r="D667" s="14"/>
      <c r="E667" s="14"/>
      <c r="F667" s="14" t="s">
        <v>73</v>
      </c>
      <c r="G667" s="793" t="s">
        <v>144</v>
      </c>
      <c r="H667" s="14">
        <v>6.8</v>
      </c>
      <c r="I667" s="14" t="s">
        <v>149</v>
      </c>
      <c r="J667" s="609">
        <v>5.5</v>
      </c>
      <c r="K667" s="289"/>
      <c r="L667" s="289"/>
      <c r="M667" s="289" t="s">
        <v>73</v>
      </c>
      <c r="N667" s="289"/>
      <c r="O667" s="289" t="s">
        <v>1823</v>
      </c>
    </row>
    <row r="668" spans="1:15">
      <c r="A668" s="38" t="s">
        <v>78</v>
      </c>
      <c r="B668" s="37" t="s">
        <v>1531</v>
      </c>
      <c r="C668" s="609" t="s">
        <v>135</v>
      </c>
      <c r="D668" s="14"/>
      <c r="E668" s="14"/>
      <c r="F668" s="14" t="s">
        <v>74</v>
      </c>
      <c r="G668" s="793" t="s">
        <v>144</v>
      </c>
      <c r="H668" s="14">
        <v>6.8</v>
      </c>
      <c r="I668" s="14" t="s">
        <v>149</v>
      </c>
      <c r="J668" s="609">
        <v>5.5</v>
      </c>
      <c r="K668" s="289"/>
      <c r="L668" s="289"/>
      <c r="M668" s="289" t="s">
        <v>74</v>
      </c>
      <c r="N668" s="289"/>
      <c r="O668" s="289" t="s">
        <v>1824</v>
      </c>
    </row>
    <row r="669" spans="1:15">
      <c r="A669" s="38" t="s">
        <v>79</v>
      </c>
      <c r="B669" s="37" t="s">
        <v>1532</v>
      </c>
      <c r="C669" s="609" t="s">
        <v>135</v>
      </c>
      <c r="D669" s="14"/>
      <c r="E669" s="14"/>
      <c r="F669" s="14" t="s">
        <v>75</v>
      </c>
      <c r="G669" s="793" t="s">
        <v>144</v>
      </c>
      <c r="H669" s="14">
        <v>6.8</v>
      </c>
      <c r="I669" s="14" t="s">
        <v>149</v>
      </c>
      <c r="J669" s="609">
        <v>5.5</v>
      </c>
      <c r="K669" s="289"/>
      <c r="L669" s="289"/>
      <c r="M669" s="289" t="s">
        <v>75</v>
      </c>
      <c r="N669" s="289"/>
      <c r="O669" s="289" t="s">
        <v>1825</v>
      </c>
    </row>
    <row r="670" spans="1:15">
      <c r="A670" s="38" t="s">
        <v>80</v>
      </c>
      <c r="B670" s="37" t="s">
        <v>1533</v>
      </c>
      <c r="C670" s="609" t="s">
        <v>135</v>
      </c>
      <c r="D670" s="14"/>
      <c r="E670" s="14"/>
      <c r="F670" s="14" t="s">
        <v>76</v>
      </c>
      <c r="G670" s="793" t="s">
        <v>156</v>
      </c>
      <c r="H670" s="14">
        <v>6.8</v>
      </c>
      <c r="I670" s="14" t="s">
        <v>149</v>
      </c>
      <c r="J670" s="609">
        <v>4</v>
      </c>
      <c r="K670" s="289"/>
      <c r="L670" s="289"/>
      <c r="M670" s="289" t="s">
        <v>76</v>
      </c>
      <c r="N670" s="289"/>
      <c r="O670" s="289" t="s">
        <v>1822</v>
      </c>
    </row>
    <row r="671" spans="1:15">
      <c r="A671" s="38" t="s">
        <v>81</v>
      </c>
      <c r="B671" s="37" t="s">
        <v>1534</v>
      </c>
      <c r="C671" s="609" t="s">
        <v>135</v>
      </c>
      <c r="D671" s="14"/>
      <c r="E671" s="14"/>
      <c r="F671" s="14" t="s">
        <v>77</v>
      </c>
      <c r="G671" s="793" t="s">
        <v>156</v>
      </c>
      <c r="H671" s="14">
        <v>6.8</v>
      </c>
      <c r="I671" s="14" t="s">
        <v>149</v>
      </c>
      <c r="J671" s="609">
        <v>4</v>
      </c>
      <c r="K671" s="289"/>
      <c r="L671" s="289"/>
      <c r="M671" s="289" t="s">
        <v>77</v>
      </c>
      <c r="N671" s="289"/>
      <c r="O671" s="289" t="s">
        <v>1823</v>
      </c>
    </row>
    <row r="672" spans="1:15">
      <c r="A672" s="38" t="s">
        <v>82</v>
      </c>
      <c r="B672" s="37" t="s">
        <v>1535</v>
      </c>
      <c r="C672" s="609" t="s">
        <v>135</v>
      </c>
      <c r="D672" s="14"/>
      <c r="E672" s="14"/>
      <c r="F672" s="14" t="s">
        <v>78</v>
      </c>
      <c r="G672" s="793" t="s">
        <v>156</v>
      </c>
      <c r="H672" s="14">
        <v>6.8</v>
      </c>
      <c r="I672" s="14" t="s">
        <v>149</v>
      </c>
      <c r="J672" s="609">
        <v>4</v>
      </c>
      <c r="K672" s="289"/>
      <c r="L672" s="289"/>
      <c r="M672" s="289" t="s">
        <v>78</v>
      </c>
      <c r="N672" s="289"/>
      <c r="O672" s="289" t="s">
        <v>1824</v>
      </c>
    </row>
    <row r="673" spans="1:15">
      <c r="A673" s="38" t="s">
        <v>83</v>
      </c>
      <c r="B673" s="37" t="s">
        <v>1536</v>
      </c>
      <c r="C673" s="609" t="s">
        <v>135</v>
      </c>
      <c r="D673" s="14"/>
      <c r="E673" s="14"/>
      <c r="F673" s="14" t="s">
        <v>79</v>
      </c>
      <c r="G673" s="793" t="s">
        <v>156</v>
      </c>
      <c r="H673" s="14">
        <v>6.8</v>
      </c>
      <c r="I673" s="14" t="s">
        <v>149</v>
      </c>
      <c r="J673" s="609">
        <v>4</v>
      </c>
      <c r="K673" s="289"/>
      <c r="L673" s="289"/>
      <c r="M673" s="289" t="s">
        <v>79</v>
      </c>
      <c r="N673" s="289"/>
      <c r="O673" s="289" t="s">
        <v>1825</v>
      </c>
    </row>
    <row r="674" spans="1:15">
      <c r="A674" s="38" t="s">
        <v>98</v>
      </c>
      <c r="B674" s="37" t="s">
        <v>329</v>
      </c>
      <c r="C674" s="609" t="s">
        <v>135</v>
      </c>
      <c r="D674" s="14"/>
      <c r="E674" s="14" t="s">
        <v>149</v>
      </c>
      <c r="F674" s="14" t="s">
        <v>80</v>
      </c>
      <c r="G674" s="793" t="s">
        <v>157</v>
      </c>
      <c r="H674" s="14">
        <v>6.8</v>
      </c>
      <c r="I674" s="14" t="s">
        <v>149</v>
      </c>
      <c r="J674" s="609">
        <v>1.5</v>
      </c>
      <c r="K674" s="289" t="s">
        <v>80</v>
      </c>
      <c r="L674" s="289">
        <v>1</v>
      </c>
      <c r="M674" s="289" t="s">
        <v>80</v>
      </c>
      <c r="N674" s="289"/>
      <c r="O674" s="289" t="s">
        <v>1822</v>
      </c>
    </row>
    <row r="675" spans="1:15">
      <c r="A675" s="38" t="s">
        <v>97</v>
      </c>
      <c r="B675" s="37" t="s">
        <v>330</v>
      </c>
      <c r="C675" s="609" t="s">
        <v>135</v>
      </c>
      <c r="D675" s="14"/>
      <c r="E675" s="14" t="s">
        <v>149</v>
      </c>
      <c r="F675" s="14" t="s">
        <v>81</v>
      </c>
      <c r="G675" s="793" t="s">
        <v>157</v>
      </c>
      <c r="H675" s="14">
        <v>6.8</v>
      </c>
      <c r="I675" s="14" t="s">
        <v>149</v>
      </c>
      <c r="J675" s="609">
        <v>1.5</v>
      </c>
      <c r="K675" s="289" t="s">
        <v>81</v>
      </c>
      <c r="L675" s="289">
        <v>1</v>
      </c>
      <c r="M675" s="289" t="s">
        <v>81</v>
      </c>
      <c r="N675" s="289"/>
      <c r="O675" s="289" t="s">
        <v>1823</v>
      </c>
    </row>
    <row r="676" spans="1:15">
      <c r="A676" s="38" t="s">
        <v>99</v>
      </c>
      <c r="B676" s="37" t="s">
        <v>331</v>
      </c>
      <c r="C676" s="609" t="s">
        <v>135</v>
      </c>
      <c r="D676" s="14"/>
      <c r="E676" s="14" t="s">
        <v>149</v>
      </c>
      <c r="F676" s="14" t="s">
        <v>1820</v>
      </c>
      <c r="G676" s="793" t="s">
        <v>157</v>
      </c>
      <c r="H676" s="14">
        <v>6.8</v>
      </c>
      <c r="I676" s="14" t="s">
        <v>149</v>
      </c>
      <c r="J676" s="609">
        <v>1.5</v>
      </c>
      <c r="K676" s="289" t="s">
        <v>82</v>
      </c>
      <c r="L676" s="289">
        <v>1</v>
      </c>
      <c r="M676" s="289" t="s">
        <v>82</v>
      </c>
      <c r="N676" s="289"/>
      <c r="O676" s="289" t="s">
        <v>1824</v>
      </c>
    </row>
    <row r="677" spans="1:15">
      <c r="A677" s="38" t="s">
        <v>100</v>
      </c>
      <c r="B677" s="37" t="s">
        <v>332</v>
      </c>
      <c r="C677" s="609" t="s">
        <v>135</v>
      </c>
      <c r="D677" s="14"/>
      <c r="E677" s="14" t="s">
        <v>149</v>
      </c>
      <c r="F677" s="14" t="s">
        <v>83</v>
      </c>
      <c r="G677" s="793" t="s">
        <v>157</v>
      </c>
      <c r="H677" s="14">
        <v>6.8</v>
      </c>
      <c r="I677" s="14" t="s">
        <v>149</v>
      </c>
      <c r="J677" s="609">
        <v>1.5</v>
      </c>
      <c r="K677" s="289" t="s">
        <v>83</v>
      </c>
      <c r="L677" s="289">
        <v>1</v>
      </c>
      <c r="M677" s="289" t="s">
        <v>83</v>
      </c>
      <c r="N677" s="289"/>
      <c r="O677" s="289" t="s">
        <v>1825</v>
      </c>
    </row>
    <row r="678" spans="1:15">
      <c r="A678" s="38" t="s">
        <v>108</v>
      </c>
      <c r="B678" s="37" t="s">
        <v>1537</v>
      </c>
      <c r="C678" s="609" t="s">
        <v>135</v>
      </c>
      <c r="D678" s="14"/>
      <c r="E678" s="14" t="s">
        <v>149</v>
      </c>
      <c r="F678" s="14" t="s">
        <v>1818</v>
      </c>
      <c r="G678" s="793" t="s">
        <v>158</v>
      </c>
      <c r="H678" s="14">
        <v>6.8</v>
      </c>
      <c r="I678" s="14" t="s">
        <v>149</v>
      </c>
      <c r="J678" s="609">
        <v>1.5</v>
      </c>
      <c r="K678" s="289" t="s">
        <v>80</v>
      </c>
      <c r="L678" s="289">
        <v>1</v>
      </c>
      <c r="M678" s="289" t="s">
        <v>80</v>
      </c>
      <c r="N678" s="289"/>
      <c r="O678" s="289" t="s">
        <v>1822</v>
      </c>
    </row>
    <row r="679" spans="1:15">
      <c r="A679" s="38" t="s">
        <v>109</v>
      </c>
      <c r="B679" s="37" t="s">
        <v>1538</v>
      </c>
      <c r="C679" s="609" t="s">
        <v>135</v>
      </c>
      <c r="D679" s="14"/>
      <c r="E679" s="14" t="s">
        <v>149</v>
      </c>
      <c r="F679" s="14" t="s">
        <v>81</v>
      </c>
      <c r="G679" s="793" t="s">
        <v>158</v>
      </c>
      <c r="H679" s="14">
        <v>6.8</v>
      </c>
      <c r="I679" s="14" t="s">
        <v>149</v>
      </c>
      <c r="J679" s="609">
        <v>1.5</v>
      </c>
      <c r="K679" s="289" t="s">
        <v>81</v>
      </c>
      <c r="L679" s="289">
        <v>1</v>
      </c>
      <c r="M679" s="289" t="s">
        <v>81</v>
      </c>
      <c r="N679" s="289"/>
      <c r="O679" s="289" t="s">
        <v>1823</v>
      </c>
    </row>
    <row r="680" spans="1:15">
      <c r="A680" s="38" t="s">
        <v>110</v>
      </c>
      <c r="B680" s="37" t="s">
        <v>1539</v>
      </c>
      <c r="C680" s="609" t="s">
        <v>135</v>
      </c>
      <c r="D680" s="14"/>
      <c r="E680" s="14" t="s">
        <v>149</v>
      </c>
      <c r="F680" s="14" t="s">
        <v>82</v>
      </c>
      <c r="G680" s="793" t="s">
        <v>158</v>
      </c>
      <c r="H680" s="14">
        <v>6.8</v>
      </c>
      <c r="I680" s="14" t="s">
        <v>149</v>
      </c>
      <c r="J680" s="609">
        <v>1.5</v>
      </c>
      <c r="K680" s="289" t="s">
        <v>82</v>
      </c>
      <c r="L680" s="289">
        <v>1</v>
      </c>
      <c r="M680" s="289" t="s">
        <v>82</v>
      </c>
      <c r="N680" s="289"/>
      <c r="O680" s="289" t="s">
        <v>1824</v>
      </c>
    </row>
    <row r="681" spans="1:15">
      <c r="A681" s="38" t="s">
        <v>111</v>
      </c>
      <c r="B681" s="37" t="s">
        <v>1540</v>
      </c>
      <c r="C681" s="609" t="s">
        <v>135</v>
      </c>
      <c r="D681" s="14"/>
      <c r="E681" s="14" t="s">
        <v>149</v>
      </c>
      <c r="F681" s="14" t="s">
        <v>83</v>
      </c>
      <c r="G681" s="793" t="s">
        <v>158</v>
      </c>
      <c r="H681" s="14">
        <v>6.8</v>
      </c>
      <c r="I681" s="14" t="s">
        <v>149</v>
      </c>
      <c r="J681" s="609">
        <v>1.5</v>
      </c>
      <c r="K681" s="289" t="s">
        <v>83</v>
      </c>
      <c r="L681" s="289">
        <v>1</v>
      </c>
      <c r="M681" s="289" t="s">
        <v>83</v>
      </c>
      <c r="N681" s="289"/>
      <c r="O681" s="289" t="s">
        <v>1825</v>
      </c>
    </row>
    <row r="682" spans="1:15" hidden="1">
      <c r="A682" s="38" t="s">
        <v>400</v>
      </c>
      <c r="B682" s="37" t="s">
        <v>1541</v>
      </c>
      <c r="C682" s="609" t="s">
        <v>448</v>
      </c>
      <c r="D682" s="609"/>
      <c r="E682" s="609" t="s">
        <v>153</v>
      </c>
      <c r="F682" s="609" t="s">
        <v>117</v>
      </c>
      <c r="G682" s="37" t="s">
        <v>160</v>
      </c>
      <c r="H682" s="609">
        <v>22</v>
      </c>
      <c r="I682" s="609" t="s">
        <v>153</v>
      </c>
      <c r="J682" s="609">
        <v>6</v>
      </c>
      <c r="K682" s="611"/>
      <c r="L682" s="611"/>
      <c r="M682" s="611" t="s">
        <v>117</v>
      </c>
      <c r="N682" s="611"/>
      <c r="O682" s="611" t="s">
        <v>1633</v>
      </c>
    </row>
    <row r="683" spans="1:15" hidden="1">
      <c r="A683" s="38" t="s">
        <v>401</v>
      </c>
      <c r="B683" s="37" t="s">
        <v>1542</v>
      </c>
      <c r="C683" s="609" t="s">
        <v>448</v>
      </c>
      <c r="D683" s="609"/>
      <c r="E683" s="609" t="s">
        <v>153</v>
      </c>
      <c r="F683" s="609" t="s">
        <v>113</v>
      </c>
      <c r="G683" s="37" t="s">
        <v>160</v>
      </c>
      <c r="H683" s="609">
        <v>28</v>
      </c>
      <c r="I683" s="609" t="s">
        <v>153</v>
      </c>
      <c r="J683" s="609">
        <v>6</v>
      </c>
      <c r="K683" s="611"/>
      <c r="L683" s="611"/>
      <c r="M683" s="611" t="s">
        <v>113</v>
      </c>
      <c r="N683" s="611">
        <v>1</v>
      </c>
      <c r="O683" s="611" t="s">
        <v>1632</v>
      </c>
    </row>
    <row r="684" spans="1:15" hidden="1">
      <c r="A684" s="38" t="s">
        <v>145</v>
      </c>
      <c r="B684" s="37" t="s">
        <v>1543</v>
      </c>
      <c r="C684" s="609" t="s">
        <v>448</v>
      </c>
      <c r="D684" s="609"/>
      <c r="E684" s="609" t="s">
        <v>153</v>
      </c>
      <c r="F684" s="609" t="s">
        <v>115</v>
      </c>
      <c r="G684" s="37" t="s">
        <v>160</v>
      </c>
      <c r="H684" s="609">
        <v>32</v>
      </c>
      <c r="I684" s="609" t="s">
        <v>153</v>
      </c>
      <c r="J684" s="609">
        <v>6</v>
      </c>
      <c r="K684" s="611"/>
      <c r="L684" s="611"/>
      <c r="M684" s="611" t="s">
        <v>115</v>
      </c>
      <c r="N684" s="611">
        <v>1</v>
      </c>
      <c r="O684" s="611" t="s">
        <v>1635</v>
      </c>
    </row>
    <row r="685" spans="1:15" hidden="1">
      <c r="A685" s="38" t="s">
        <v>402</v>
      </c>
      <c r="B685" s="37" t="s">
        <v>1544</v>
      </c>
      <c r="C685" s="609" t="s">
        <v>448</v>
      </c>
      <c r="D685" s="609"/>
      <c r="E685" s="609" t="s">
        <v>153</v>
      </c>
      <c r="F685" s="609" t="s">
        <v>118</v>
      </c>
      <c r="G685" s="37" t="s">
        <v>160</v>
      </c>
      <c r="H685" s="609">
        <v>22</v>
      </c>
      <c r="I685" s="609" t="s">
        <v>153</v>
      </c>
      <c r="J685" s="609">
        <v>6</v>
      </c>
      <c r="K685" s="611"/>
      <c r="L685" s="611"/>
      <c r="M685" s="611" t="s">
        <v>118</v>
      </c>
      <c r="N685" s="611"/>
      <c r="O685" s="611" t="s">
        <v>1634</v>
      </c>
    </row>
    <row r="686" spans="1:15" hidden="1">
      <c r="A686" s="38" t="s">
        <v>403</v>
      </c>
      <c r="B686" s="37" t="s">
        <v>1545</v>
      </c>
      <c r="C686" s="609" t="s">
        <v>448</v>
      </c>
      <c r="D686" s="609"/>
      <c r="E686" s="609" t="s">
        <v>153</v>
      </c>
      <c r="F686" s="609" t="s">
        <v>119</v>
      </c>
      <c r="G686" s="37" t="s">
        <v>160</v>
      </c>
      <c r="H686" s="609">
        <v>32</v>
      </c>
      <c r="I686" s="609" t="s">
        <v>153</v>
      </c>
      <c r="J686" s="609">
        <v>6</v>
      </c>
      <c r="K686" s="611"/>
      <c r="L686" s="611"/>
      <c r="M686" s="611" t="s">
        <v>119</v>
      </c>
      <c r="N686" s="611"/>
      <c r="O686" s="611" t="s">
        <v>1636</v>
      </c>
    </row>
    <row r="687" spans="1:15" hidden="1">
      <c r="A687" s="38" t="s">
        <v>117</v>
      </c>
      <c r="B687" s="37" t="s">
        <v>1546</v>
      </c>
      <c r="C687" s="609" t="s">
        <v>448</v>
      </c>
      <c r="D687" s="609">
        <v>22.7</v>
      </c>
      <c r="E687" s="609" t="s">
        <v>150</v>
      </c>
      <c r="F687" s="609" t="s">
        <v>153</v>
      </c>
      <c r="G687" s="37" t="s">
        <v>161</v>
      </c>
      <c r="H687" s="609">
        <v>22.7</v>
      </c>
      <c r="I687" s="609" t="s">
        <v>153</v>
      </c>
      <c r="J687" s="609">
        <v>9.4499999999999993</v>
      </c>
      <c r="K687" s="611"/>
      <c r="L687" s="611"/>
      <c r="M687" s="611" t="s">
        <v>153</v>
      </c>
      <c r="N687" s="611"/>
      <c r="O687" s="611" t="s">
        <v>1633</v>
      </c>
    </row>
    <row r="688" spans="1:15" hidden="1">
      <c r="A688" s="38" t="s">
        <v>113</v>
      </c>
      <c r="B688" s="37" t="s">
        <v>1547</v>
      </c>
      <c r="C688" s="609" t="s">
        <v>448</v>
      </c>
      <c r="D688" s="609">
        <v>28.6</v>
      </c>
      <c r="E688" s="609" t="s">
        <v>150</v>
      </c>
      <c r="F688" s="609" t="s">
        <v>153</v>
      </c>
      <c r="G688" s="37" t="s">
        <v>161</v>
      </c>
      <c r="H688" s="609">
        <v>28.6</v>
      </c>
      <c r="I688" s="609" t="s">
        <v>153</v>
      </c>
      <c r="J688" s="609">
        <v>9.4499999999999993</v>
      </c>
      <c r="K688" s="611"/>
      <c r="L688" s="611"/>
      <c r="M688" s="611" t="s">
        <v>153</v>
      </c>
      <c r="N688" s="611"/>
      <c r="O688" s="611" t="s">
        <v>1632</v>
      </c>
    </row>
    <row r="689" spans="1:15" hidden="1">
      <c r="A689" s="38" t="s">
        <v>115</v>
      </c>
      <c r="B689" s="37" t="s">
        <v>1548</v>
      </c>
      <c r="C689" s="609" t="s">
        <v>448</v>
      </c>
      <c r="D689" s="609">
        <v>33.1</v>
      </c>
      <c r="E689" s="609" t="s">
        <v>150</v>
      </c>
      <c r="F689" s="609" t="s">
        <v>153</v>
      </c>
      <c r="G689" s="37" t="s">
        <v>161</v>
      </c>
      <c r="H689" s="609">
        <v>33.1</v>
      </c>
      <c r="I689" s="609" t="s">
        <v>153</v>
      </c>
      <c r="J689" s="609">
        <v>9.4499999999999993</v>
      </c>
      <c r="K689" s="611"/>
      <c r="L689" s="611"/>
      <c r="M689" s="611" t="s">
        <v>153</v>
      </c>
      <c r="N689" s="611"/>
      <c r="O689" s="611" t="s">
        <v>1635</v>
      </c>
    </row>
    <row r="690" spans="1:15" hidden="1">
      <c r="A690" s="38" t="s">
        <v>118</v>
      </c>
      <c r="B690" s="37" t="s">
        <v>1549</v>
      </c>
      <c r="C690" s="609" t="s">
        <v>448</v>
      </c>
      <c r="D690" s="609">
        <v>22.7</v>
      </c>
      <c r="E690" s="609" t="s">
        <v>150</v>
      </c>
      <c r="F690" s="609" t="s">
        <v>153</v>
      </c>
      <c r="G690" s="37" t="s">
        <v>161</v>
      </c>
      <c r="H690" s="609">
        <v>22.7</v>
      </c>
      <c r="I690" s="609" t="s">
        <v>153</v>
      </c>
      <c r="J690" s="609">
        <v>9.4499999999999993</v>
      </c>
      <c r="K690" s="611"/>
      <c r="L690" s="611"/>
      <c r="M690" s="611" t="s">
        <v>153</v>
      </c>
      <c r="N690" s="611"/>
      <c r="O690" s="611" t="s">
        <v>1634</v>
      </c>
    </row>
    <row r="691" spans="1:15" hidden="1">
      <c r="A691" s="38" t="s">
        <v>119</v>
      </c>
      <c r="B691" s="37" t="s">
        <v>1550</v>
      </c>
      <c r="C691" s="609" t="s">
        <v>448</v>
      </c>
      <c r="D691" s="609">
        <v>33.130000000000003</v>
      </c>
      <c r="E691" s="609" t="s">
        <v>150</v>
      </c>
      <c r="F691" s="609" t="s">
        <v>153</v>
      </c>
      <c r="G691" s="37" t="s">
        <v>161</v>
      </c>
      <c r="H691" s="609">
        <v>33.130000000000003</v>
      </c>
      <c r="I691" s="609" t="s">
        <v>153</v>
      </c>
      <c r="J691" s="609">
        <v>9.4499999999999993</v>
      </c>
      <c r="K691" s="611"/>
      <c r="L691" s="611"/>
      <c r="M691" s="611" t="s">
        <v>153</v>
      </c>
      <c r="N691" s="611"/>
      <c r="O691" s="611" t="s">
        <v>1636</v>
      </c>
    </row>
    <row r="692" spans="1:15" hidden="1">
      <c r="A692" s="38" t="s">
        <v>120</v>
      </c>
      <c r="B692" s="37" t="s">
        <v>1551</v>
      </c>
      <c r="C692" s="609" t="s">
        <v>448</v>
      </c>
      <c r="D692" s="609"/>
      <c r="E692" s="609" t="s">
        <v>153</v>
      </c>
      <c r="F692" s="609" t="s">
        <v>117</v>
      </c>
      <c r="G692" s="37" t="s">
        <v>160</v>
      </c>
      <c r="H692" s="609">
        <v>22</v>
      </c>
      <c r="I692" s="609" t="s">
        <v>153</v>
      </c>
      <c r="J692" s="609">
        <v>6</v>
      </c>
      <c r="K692" s="611"/>
      <c r="L692" s="611"/>
      <c r="M692" s="611" t="s">
        <v>117</v>
      </c>
      <c r="N692" s="611">
        <v>1</v>
      </c>
      <c r="O692" s="611" t="s">
        <v>1633</v>
      </c>
    </row>
    <row r="693" spans="1:15" hidden="1">
      <c r="A693" s="38" t="s">
        <v>114</v>
      </c>
      <c r="B693" s="37" t="s">
        <v>1552</v>
      </c>
      <c r="C693" s="609" t="s">
        <v>448</v>
      </c>
      <c r="D693" s="609"/>
      <c r="E693" s="609" t="s">
        <v>153</v>
      </c>
      <c r="F693" s="609" t="s">
        <v>113</v>
      </c>
      <c r="G693" s="37" t="s">
        <v>160</v>
      </c>
      <c r="H693" s="609">
        <v>28</v>
      </c>
      <c r="I693" s="609" t="s">
        <v>153</v>
      </c>
      <c r="J693" s="609">
        <v>6</v>
      </c>
      <c r="K693" s="611"/>
      <c r="L693" s="611"/>
      <c r="M693" s="611" t="s">
        <v>113</v>
      </c>
      <c r="N693" s="611">
        <v>1</v>
      </c>
      <c r="O693" s="611" t="s">
        <v>1632</v>
      </c>
    </row>
    <row r="694" spans="1:15" hidden="1">
      <c r="A694" s="38" t="s">
        <v>116</v>
      </c>
      <c r="B694" s="37" t="s">
        <v>1553</v>
      </c>
      <c r="C694" s="609" t="s">
        <v>448</v>
      </c>
      <c r="D694" s="609"/>
      <c r="E694" s="609" t="s">
        <v>153</v>
      </c>
      <c r="F694" s="609" t="s">
        <v>115</v>
      </c>
      <c r="G694" s="37" t="s">
        <v>160</v>
      </c>
      <c r="H694" s="609">
        <v>32</v>
      </c>
      <c r="I694" s="609" t="s">
        <v>153</v>
      </c>
      <c r="J694" s="609">
        <v>6</v>
      </c>
      <c r="K694" s="611"/>
      <c r="L694" s="611"/>
      <c r="M694" s="611" t="s">
        <v>115</v>
      </c>
      <c r="N694" s="611">
        <v>1</v>
      </c>
      <c r="O694" s="611" t="s">
        <v>1635</v>
      </c>
    </row>
    <row r="695" spans="1:15" hidden="1">
      <c r="A695" s="38" t="s">
        <v>121</v>
      </c>
      <c r="B695" s="37" t="s">
        <v>1554</v>
      </c>
      <c r="C695" s="609" t="s">
        <v>448</v>
      </c>
      <c r="D695" s="609"/>
      <c r="E695" s="609" t="s">
        <v>153</v>
      </c>
      <c r="F695" s="609" t="s">
        <v>118</v>
      </c>
      <c r="G695" s="37" t="s">
        <v>160</v>
      </c>
      <c r="H695" s="609">
        <v>22</v>
      </c>
      <c r="I695" s="609" t="s">
        <v>153</v>
      </c>
      <c r="J695" s="609">
        <v>6</v>
      </c>
      <c r="K695" s="611"/>
      <c r="L695" s="611"/>
      <c r="M695" s="611" t="s">
        <v>118</v>
      </c>
      <c r="N695" s="611"/>
      <c r="O695" s="611" t="s">
        <v>1634</v>
      </c>
    </row>
    <row r="696" spans="1:15" hidden="1">
      <c r="A696" s="38" t="s">
        <v>122</v>
      </c>
      <c r="B696" s="37" t="s">
        <v>1555</v>
      </c>
      <c r="C696" s="609" t="s">
        <v>448</v>
      </c>
      <c r="D696" s="609"/>
      <c r="E696" s="609" t="s">
        <v>153</v>
      </c>
      <c r="F696" s="609" t="s">
        <v>119</v>
      </c>
      <c r="G696" s="37" t="s">
        <v>160</v>
      </c>
      <c r="H696" s="609">
        <v>32</v>
      </c>
      <c r="I696" s="609" t="s">
        <v>153</v>
      </c>
      <c r="J696" s="609">
        <v>6</v>
      </c>
      <c r="K696" s="611"/>
      <c r="L696" s="611"/>
      <c r="M696" s="611" t="s">
        <v>119</v>
      </c>
      <c r="N696" s="611"/>
      <c r="O696" s="611" t="s">
        <v>1636</v>
      </c>
    </row>
    <row r="697" spans="1:15" hidden="1">
      <c r="A697" s="38" t="s">
        <v>137</v>
      </c>
      <c r="B697" s="37" t="s">
        <v>1556</v>
      </c>
      <c r="C697" s="609" t="s">
        <v>448</v>
      </c>
      <c r="D697" s="609">
        <v>22.7</v>
      </c>
      <c r="E697" s="609" t="s">
        <v>150</v>
      </c>
      <c r="F697" s="609" t="s">
        <v>153</v>
      </c>
      <c r="G697" s="37" t="s">
        <v>161</v>
      </c>
      <c r="H697" s="609">
        <v>22.7</v>
      </c>
      <c r="I697" s="609" t="s">
        <v>153</v>
      </c>
      <c r="J697" s="609">
        <v>9.4499999999999993</v>
      </c>
      <c r="K697" s="611"/>
      <c r="L697" s="611"/>
      <c r="M697" s="611" t="s">
        <v>153</v>
      </c>
      <c r="N697" s="611"/>
      <c r="O697" s="611" t="s">
        <v>1634</v>
      </c>
    </row>
    <row r="698" spans="1:15" hidden="1">
      <c r="A698" s="38" t="s">
        <v>138</v>
      </c>
      <c r="B698" s="37" t="s">
        <v>1557</v>
      </c>
      <c r="C698" s="609" t="s">
        <v>448</v>
      </c>
      <c r="D698" s="609">
        <v>33.130000000000003</v>
      </c>
      <c r="E698" s="609" t="s">
        <v>150</v>
      </c>
      <c r="F698" s="609" t="s">
        <v>153</v>
      </c>
      <c r="G698" s="37" t="s">
        <v>161</v>
      </c>
      <c r="H698" s="609">
        <v>33.130000000000003</v>
      </c>
      <c r="I698" s="609" t="s">
        <v>153</v>
      </c>
      <c r="J698" s="609">
        <v>9.4499999999999993</v>
      </c>
      <c r="K698" s="611"/>
      <c r="L698" s="611"/>
      <c r="M698" s="611" t="s">
        <v>153</v>
      </c>
      <c r="N698" s="611"/>
      <c r="O698" s="611" t="s">
        <v>1636</v>
      </c>
    </row>
    <row r="699" spans="1:15" hidden="1">
      <c r="A699" s="38" t="s">
        <v>139</v>
      </c>
      <c r="B699" s="37" t="s">
        <v>1558</v>
      </c>
      <c r="C699" s="609" t="s">
        <v>448</v>
      </c>
      <c r="D699" s="609">
        <v>22.7</v>
      </c>
      <c r="E699" s="609" t="s">
        <v>150</v>
      </c>
      <c r="F699" s="609" t="s">
        <v>153</v>
      </c>
      <c r="G699" s="37" t="s">
        <v>161</v>
      </c>
      <c r="H699" s="609">
        <v>22.7</v>
      </c>
      <c r="I699" s="609" t="s">
        <v>153</v>
      </c>
      <c r="J699" s="609">
        <v>9.4499999999999993</v>
      </c>
      <c r="K699" s="611"/>
      <c r="L699" s="611"/>
      <c r="M699" s="611" t="s">
        <v>153</v>
      </c>
      <c r="N699" s="611"/>
      <c r="O699" s="611" t="s">
        <v>1634</v>
      </c>
    </row>
    <row r="700" spans="1:15" hidden="1">
      <c r="A700" s="38" t="s">
        <v>140</v>
      </c>
      <c r="B700" s="37" t="s">
        <v>1559</v>
      </c>
      <c r="C700" s="609" t="s">
        <v>448</v>
      </c>
      <c r="D700" s="609">
        <v>33.130000000000003</v>
      </c>
      <c r="E700" s="609" t="s">
        <v>150</v>
      </c>
      <c r="F700" s="609" t="s">
        <v>153</v>
      </c>
      <c r="G700" s="37" t="s">
        <v>161</v>
      </c>
      <c r="H700" s="609">
        <v>33.130000000000003</v>
      </c>
      <c r="I700" s="609" t="s">
        <v>153</v>
      </c>
      <c r="J700" s="609">
        <v>9.4499999999999993</v>
      </c>
      <c r="K700" s="611"/>
      <c r="L700" s="611"/>
      <c r="M700" s="611" t="s">
        <v>153</v>
      </c>
      <c r="N700" s="611"/>
      <c r="O700" s="611" t="s">
        <v>1636</v>
      </c>
    </row>
    <row r="701" spans="1:15" hidden="1">
      <c r="A701" s="38" t="s">
        <v>141</v>
      </c>
      <c r="B701" s="37" t="s">
        <v>1560</v>
      </c>
      <c r="C701" s="609" t="s">
        <v>448</v>
      </c>
      <c r="D701" s="609"/>
      <c r="E701" s="609" t="s">
        <v>153</v>
      </c>
      <c r="F701" s="609" t="s">
        <v>137</v>
      </c>
      <c r="G701" s="37" t="s">
        <v>160</v>
      </c>
      <c r="H701" s="609">
        <v>22</v>
      </c>
      <c r="I701" s="609" t="s">
        <v>153</v>
      </c>
      <c r="J701" s="609">
        <v>9</v>
      </c>
      <c r="K701" s="611"/>
      <c r="L701" s="611"/>
      <c r="M701" s="611" t="s">
        <v>137</v>
      </c>
      <c r="N701" s="611">
        <v>1</v>
      </c>
      <c r="O701" s="611" t="s">
        <v>1634</v>
      </c>
    </row>
    <row r="702" spans="1:15" hidden="1">
      <c r="A702" s="38" t="s">
        <v>180</v>
      </c>
      <c r="B702" s="37" t="s">
        <v>1561</v>
      </c>
      <c r="C702" s="609" t="s">
        <v>448</v>
      </c>
      <c r="D702" s="609"/>
      <c r="E702" s="609" t="s">
        <v>153</v>
      </c>
      <c r="F702" s="609" t="s">
        <v>138</v>
      </c>
      <c r="G702" s="37" t="s">
        <v>160</v>
      </c>
      <c r="H702" s="609">
        <v>22</v>
      </c>
      <c r="I702" s="609" t="s">
        <v>153</v>
      </c>
      <c r="J702" s="609">
        <v>9</v>
      </c>
      <c r="K702" s="611"/>
      <c r="L702" s="611"/>
      <c r="M702" s="611" t="s">
        <v>138</v>
      </c>
      <c r="N702" s="611">
        <v>1</v>
      </c>
      <c r="O702" s="611" t="s">
        <v>1636</v>
      </c>
    </row>
    <row r="703" spans="1:15" hidden="1">
      <c r="A703" s="38" t="s">
        <v>164</v>
      </c>
      <c r="B703" s="37" t="s">
        <v>1562</v>
      </c>
      <c r="C703" s="609" t="s">
        <v>448</v>
      </c>
      <c r="D703" s="609"/>
      <c r="E703" s="609" t="s">
        <v>153</v>
      </c>
      <c r="F703" s="609" t="s">
        <v>139</v>
      </c>
      <c r="G703" s="37" t="s">
        <v>160</v>
      </c>
      <c r="H703" s="609">
        <v>22</v>
      </c>
      <c r="I703" s="609" t="s">
        <v>153</v>
      </c>
      <c r="J703" s="609">
        <v>9</v>
      </c>
      <c r="K703" s="611"/>
      <c r="L703" s="611"/>
      <c r="M703" s="611" t="s">
        <v>139</v>
      </c>
      <c r="N703" s="611">
        <v>1</v>
      </c>
      <c r="O703" s="611" t="s">
        <v>1634</v>
      </c>
    </row>
    <row r="704" spans="1:15" hidden="1">
      <c r="A704" s="38" t="s">
        <v>179</v>
      </c>
      <c r="B704" s="37" t="s">
        <v>1563</v>
      </c>
      <c r="C704" s="609" t="s">
        <v>448</v>
      </c>
      <c r="D704" s="609"/>
      <c r="E704" s="609" t="s">
        <v>153</v>
      </c>
      <c r="F704" s="609" t="s">
        <v>140</v>
      </c>
      <c r="G704" s="37" t="s">
        <v>160</v>
      </c>
      <c r="H704" s="609">
        <v>32</v>
      </c>
      <c r="I704" s="609" t="s">
        <v>153</v>
      </c>
      <c r="J704" s="609">
        <v>9</v>
      </c>
      <c r="K704" s="611"/>
      <c r="L704" s="611"/>
      <c r="M704" s="611" t="s">
        <v>140</v>
      </c>
      <c r="N704" s="611">
        <v>1</v>
      </c>
      <c r="O704" s="611" t="s">
        <v>1636</v>
      </c>
    </row>
    <row r="705" spans="1:15" hidden="1">
      <c r="A705" s="38" t="s">
        <v>1564</v>
      </c>
      <c r="B705" s="37" t="s">
        <v>1565</v>
      </c>
      <c r="C705" s="609" t="s">
        <v>448</v>
      </c>
      <c r="D705" s="609">
        <v>22</v>
      </c>
      <c r="E705" s="609" t="s">
        <v>153</v>
      </c>
      <c r="F705" s="609" t="s">
        <v>153</v>
      </c>
      <c r="G705" s="37" t="s">
        <v>161</v>
      </c>
      <c r="H705" s="609">
        <v>22</v>
      </c>
      <c r="I705" s="609" t="s">
        <v>153</v>
      </c>
      <c r="J705" s="609">
        <v>9.4499999999999993</v>
      </c>
      <c r="K705" s="611"/>
      <c r="L705" s="611"/>
      <c r="M705" s="611" t="s">
        <v>153</v>
      </c>
      <c r="N705" s="611"/>
      <c r="O705" s="611" t="s">
        <v>1633</v>
      </c>
    </row>
    <row r="706" spans="1:15" hidden="1">
      <c r="A706" s="38" t="s">
        <v>1566</v>
      </c>
      <c r="B706" s="37" t="s">
        <v>1567</v>
      </c>
      <c r="C706" s="609" t="s">
        <v>448</v>
      </c>
      <c r="D706" s="609">
        <v>28</v>
      </c>
      <c r="E706" s="609" t="s">
        <v>153</v>
      </c>
      <c r="F706" s="609" t="s">
        <v>153</v>
      </c>
      <c r="G706" s="37" t="s">
        <v>161</v>
      </c>
      <c r="H706" s="609">
        <v>28</v>
      </c>
      <c r="I706" s="609" t="s">
        <v>153</v>
      </c>
      <c r="J706" s="609">
        <v>9.4499999999999993</v>
      </c>
      <c r="K706" s="611"/>
      <c r="L706" s="611"/>
      <c r="M706" s="611" t="s">
        <v>153</v>
      </c>
      <c r="N706" s="611"/>
      <c r="O706" s="611" t="s">
        <v>1632</v>
      </c>
    </row>
    <row r="707" spans="1:15" hidden="1">
      <c r="A707" s="38" t="s">
        <v>1568</v>
      </c>
      <c r="B707" s="37" t="s">
        <v>1569</v>
      </c>
      <c r="C707" s="609" t="s">
        <v>448</v>
      </c>
      <c r="D707" s="609">
        <v>32</v>
      </c>
      <c r="E707" s="609" t="s">
        <v>153</v>
      </c>
      <c r="F707" s="609" t="s">
        <v>153</v>
      </c>
      <c r="G707" s="37" t="s">
        <v>161</v>
      </c>
      <c r="H707" s="609">
        <v>32</v>
      </c>
      <c r="I707" s="609" t="s">
        <v>153</v>
      </c>
      <c r="J707" s="609">
        <v>9.4499999999999993</v>
      </c>
      <c r="K707" s="611"/>
      <c r="L707" s="611"/>
      <c r="M707" s="611" t="s">
        <v>153</v>
      </c>
      <c r="N707" s="611"/>
      <c r="O707" s="611" t="s">
        <v>1635</v>
      </c>
    </row>
    <row r="708" spans="1:15" hidden="1">
      <c r="A708" s="38" t="s">
        <v>404</v>
      </c>
      <c r="B708" s="37" t="s">
        <v>1570</v>
      </c>
      <c r="C708" s="609" t="s">
        <v>448</v>
      </c>
      <c r="D708" s="609"/>
      <c r="E708" s="609" t="s">
        <v>153</v>
      </c>
      <c r="F708" s="609" t="s">
        <v>1564</v>
      </c>
      <c r="G708" s="37" t="s">
        <v>160</v>
      </c>
      <c r="H708" s="609">
        <v>22</v>
      </c>
      <c r="I708" s="609" t="s">
        <v>153</v>
      </c>
      <c r="J708" s="609">
        <v>6</v>
      </c>
      <c r="K708" s="611"/>
      <c r="L708" s="611"/>
      <c r="M708" s="611" t="s">
        <v>1564</v>
      </c>
      <c r="N708" s="611"/>
      <c r="O708" s="611" t="s">
        <v>1633</v>
      </c>
    </row>
    <row r="709" spans="1:15" hidden="1">
      <c r="A709" s="38" t="s">
        <v>405</v>
      </c>
      <c r="B709" s="37" t="s">
        <v>1571</v>
      </c>
      <c r="C709" s="609" t="s">
        <v>448</v>
      </c>
      <c r="D709" s="609"/>
      <c r="E709" s="609" t="s">
        <v>153</v>
      </c>
      <c r="F709" s="609" t="s">
        <v>1566</v>
      </c>
      <c r="G709" s="37" t="s">
        <v>160</v>
      </c>
      <c r="H709" s="609">
        <v>28</v>
      </c>
      <c r="I709" s="609" t="s">
        <v>153</v>
      </c>
      <c r="J709" s="609">
        <v>6</v>
      </c>
      <c r="K709" s="611"/>
      <c r="L709" s="611"/>
      <c r="M709" s="611" t="s">
        <v>1566</v>
      </c>
      <c r="N709" s="611"/>
      <c r="O709" s="611" t="s">
        <v>1632</v>
      </c>
    </row>
    <row r="710" spans="1:15" hidden="1">
      <c r="A710" s="38" t="s">
        <v>406</v>
      </c>
      <c r="B710" s="37" t="s">
        <v>1572</v>
      </c>
      <c r="C710" s="609" t="s">
        <v>448</v>
      </c>
      <c r="D710" s="609"/>
      <c r="E710" s="609" t="s">
        <v>153</v>
      </c>
      <c r="F710" s="609" t="s">
        <v>1568</v>
      </c>
      <c r="G710" s="37" t="s">
        <v>160</v>
      </c>
      <c r="H710" s="609">
        <v>32</v>
      </c>
      <c r="I710" s="609" t="s">
        <v>153</v>
      </c>
      <c r="J710" s="609">
        <v>6</v>
      </c>
      <c r="K710" s="611"/>
      <c r="L710" s="611"/>
      <c r="M710" s="611" t="s">
        <v>1568</v>
      </c>
      <c r="N710" s="611"/>
      <c r="O710" s="611" t="s">
        <v>1635</v>
      </c>
    </row>
    <row r="711" spans="1:15" hidden="1">
      <c r="A711" s="38" t="s">
        <v>1573</v>
      </c>
      <c r="B711" s="37" t="s">
        <v>1574</v>
      </c>
      <c r="C711" s="609" t="s">
        <v>448</v>
      </c>
      <c r="D711" s="609">
        <v>22</v>
      </c>
      <c r="E711" s="609" t="s">
        <v>153</v>
      </c>
      <c r="F711" s="609" t="s">
        <v>153</v>
      </c>
      <c r="G711" s="37" t="s">
        <v>161</v>
      </c>
      <c r="H711" s="609">
        <v>22</v>
      </c>
      <c r="I711" s="609" t="s">
        <v>153</v>
      </c>
      <c r="J711" s="609">
        <v>9.4499999999999993</v>
      </c>
      <c r="K711" s="611"/>
      <c r="L711" s="611"/>
      <c r="M711" s="611" t="s">
        <v>153</v>
      </c>
      <c r="N711" s="611"/>
      <c r="O711" s="611" t="s">
        <v>1633</v>
      </c>
    </row>
    <row r="712" spans="1:15" hidden="1">
      <c r="A712" s="38" t="s">
        <v>1575</v>
      </c>
      <c r="B712" s="37" t="s">
        <v>1576</v>
      </c>
      <c r="C712" s="609" t="s">
        <v>448</v>
      </c>
      <c r="D712" s="609">
        <v>28</v>
      </c>
      <c r="E712" s="609" t="s">
        <v>153</v>
      </c>
      <c r="F712" s="609" t="s">
        <v>153</v>
      </c>
      <c r="G712" s="37" t="s">
        <v>161</v>
      </c>
      <c r="H712" s="609">
        <v>28</v>
      </c>
      <c r="I712" s="609" t="s">
        <v>153</v>
      </c>
      <c r="J712" s="609">
        <v>9.4499999999999993</v>
      </c>
      <c r="K712" s="611"/>
      <c r="L712" s="611"/>
      <c r="M712" s="611" t="s">
        <v>153</v>
      </c>
      <c r="N712" s="611"/>
      <c r="O712" s="611" t="s">
        <v>1632</v>
      </c>
    </row>
    <row r="713" spans="1:15" hidden="1">
      <c r="A713" s="38" t="s">
        <v>1577</v>
      </c>
      <c r="B713" s="37" t="s">
        <v>1578</v>
      </c>
      <c r="C713" s="609" t="s">
        <v>448</v>
      </c>
      <c r="D713" s="609">
        <v>32</v>
      </c>
      <c r="E713" s="609" t="s">
        <v>153</v>
      </c>
      <c r="F713" s="609" t="s">
        <v>153</v>
      </c>
      <c r="G713" s="37" t="s">
        <v>161</v>
      </c>
      <c r="H713" s="609">
        <v>32</v>
      </c>
      <c r="I713" s="609" t="s">
        <v>153</v>
      </c>
      <c r="J713" s="609">
        <v>9.4499999999999993</v>
      </c>
      <c r="K713" s="611"/>
      <c r="L713" s="611"/>
      <c r="M713" s="611" t="s">
        <v>153</v>
      </c>
      <c r="N713" s="611"/>
      <c r="O713" s="611" t="s">
        <v>1635</v>
      </c>
    </row>
    <row r="714" spans="1:15" hidden="1">
      <c r="A714" s="38" t="s">
        <v>407</v>
      </c>
      <c r="B714" s="37" t="s">
        <v>1579</v>
      </c>
      <c r="C714" s="609" t="s">
        <v>448</v>
      </c>
      <c r="D714" s="609"/>
      <c r="E714" s="609" t="s">
        <v>153</v>
      </c>
      <c r="F714" s="609" t="s">
        <v>1573</v>
      </c>
      <c r="G714" s="37" t="s">
        <v>160</v>
      </c>
      <c r="H714" s="609">
        <v>22</v>
      </c>
      <c r="I714" s="609" t="s">
        <v>153</v>
      </c>
      <c r="J714" s="609">
        <v>6</v>
      </c>
      <c r="K714" s="611"/>
      <c r="L714" s="611"/>
      <c r="M714" s="611" t="s">
        <v>1573</v>
      </c>
      <c r="N714" s="611"/>
      <c r="O714" s="611" t="s">
        <v>1633</v>
      </c>
    </row>
    <row r="715" spans="1:15" hidden="1">
      <c r="A715" s="38" t="s">
        <v>408</v>
      </c>
      <c r="B715" s="37" t="s">
        <v>1580</v>
      </c>
      <c r="C715" s="609" t="s">
        <v>448</v>
      </c>
      <c r="D715" s="609"/>
      <c r="E715" s="609" t="s">
        <v>153</v>
      </c>
      <c r="F715" s="609" t="s">
        <v>1575</v>
      </c>
      <c r="G715" s="37" t="s">
        <v>160</v>
      </c>
      <c r="H715" s="609">
        <v>38</v>
      </c>
      <c r="I715" s="609" t="s">
        <v>153</v>
      </c>
      <c r="J715" s="609">
        <v>6</v>
      </c>
      <c r="K715" s="611"/>
      <c r="L715" s="611"/>
      <c r="M715" s="611" t="s">
        <v>1575</v>
      </c>
      <c r="N715" s="611"/>
      <c r="O715" s="611" t="s">
        <v>1632</v>
      </c>
    </row>
    <row r="716" spans="1:15" hidden="1">
      <c r="A716" s="38" t="s">
        <v>409</v>
      </c>
      <c r="B716" s="37" t="s">
        <v>1581</v>
      </c>
      <c r="C716" s="609" t="s">
        <v>448</v>
      </c>
      <c r="D716" s="609"/>
      <c r="E716" s="609" t="s">
        <v>153</v>
      </c>
      <c r="F716" s="609" t="s">
        <v>1577</v>
      </c>
      <c r="G716" s="37" t="s">
        <v>160</v>
      </c>
      <c r="H716" s="609">
        <v>32</v>
      </c>
      <c r="I716" s="609" t="s">
        <v>153</v>
      </c>
      <c r="J716" s="609">
        <v>6</v>
      </c>
      <c r="K716" s="611"/>
      <c r="L716" s="611"/>
      <c r="M716" s="611" t="s">
        <v>1577</v>
      </c>
      <c r="N716" s="611"/>
      <c r="O716" s="611" t="s">
        <v>1635</v>
      </c>
    </row>
    <row r="717" spans="1:15" hidden="1">
      <c r="A717" s="38" t="s">
        <v>410</v>
      </c>
      <c r="B717" s="37" t="s">
        <v>1582</v>
      </c>
      <c r="C717" s="609" t="s">
        <v>448</v>
      </c>
      <c r="D717" s="609"/>
      <c r="E717" s="609" t="s">
        <v>153</v>
      </c>
      <c r="F717" s="609" t="s">
        <v>137</v>
      </c>
      <c r="G717" s="37" t="s">
        <v>160</v>
      </c>
      <c r="H717" s="609">
        <v>22</v>
      </c>
      <c r="I717" s="609" t="s">
        <v>153</v>
      </c>
      <c r="J717" s="609">
        <v>9</v>
      </c>
      <c r="K717" s="611"/>
      <c r="L717" s="611"/>
      <c r="M717" s="611" t="s">
        <v>137</v>
      </c>
      <c r="N717" s="611">
        <v>1</v>
      </c>
      <c r="O717" s="611" t="s">
        <v>1634</v>
      </c>
    </row>
    <row r="718" spans="1:15" hidden="1">
      <c r="A718" s="38" t="s">
        <v>411</v>
      </c>
      <c r="B718" s="37" t="s">
        <v>1583</v>
      </c>
      <c r="C718" s="609" t="s">
        <v>448</v>
      </c>
      <c r="D718" s="609"/>
      <c r="E718" s="609" t="s">
        <v>153</v>
      </c>
      <c r="F718" s="609" t="s">
        <v>138</v>
      </c>
      <c r="G718" s="37" t="s">
        <v>160</v>
      </c>
      <c r="H718" s="609">
        <v>32</v>
      </c>
      <c r="I718" s="609" t="s">
        <v>153</v>
      </c>
      <c r="J718" s="609">
        <v>9</v>
      </c>
      <c r="K718" s="611"/>
      <c r="L718" s="611"/>
      <c r="M718" s="611" t="s">
        <v>138</v>
      </c>
      <c r="N718" s="611">
        <v>1</v>
      </c>
      <c r="O718" s="611" t="s">
        <v>1636</v>
      </c>
    </row>
    <row r="719" spans="1:15" hidden="1">
      <c r="A719" s="38" t="s">
        <v>412</v>
      </c>
      <c r="B719" s="37" t="s">
        <v>1584</v>
      </c>
      <c r="C719" s="609" t="s">
        <v>448</v>
      </c>
      <c r="D719" s="609"/>
      <c r="E719" s="609" t="s">
        <v>153</v>
      </c>
      <c r="F719" s="609" t="s">
        <v>139</v>
      </c>
      <c r="G719" s="37" t="s">
        <v>160</v>
      </c>
      <c r="H719" s="609">
        <v>22</v>
      </c>
      <c r="I719" s="609" t="s">
        <v>153</v>
      </c>
      <c r="J719" s="609">
        <v>9</v>
      </c>
      <c r="K719" s="611"/>
      <c r="L719" s="611"/>
      <c r="M719" s="611" t="s">
        <v>139</v>
      </c>
      <c r="N719" s="611">
        <v>1</v>
      </c>
      <c r="O719" s="611" t="s">
        <v>1634</v>
      </c>
    </row>
    <row r="720" spans="1:15" hidden="1">
      <c r="A720" s="38" t="s">
        <v>413</v>
      </c>
      <c r="B720" s="37" t="s">
        <v>1585</v>
      </c>
      <c r="C720" s="609" t="s">
        <v>448</v>
      </c>
      <c r="D720" s="609"/>
      <c r="E720" s="609" t="s">
        <v>153</v>
      </c>
      <c r="F720" s="609" t="s">
        <v>140</v>
      </c>
      <c r="G720" s="37" t="s">
        <v>160</v>
      </c>
      <c r="H720" s="609">
        <v>32</v>
      </c>
      <c r="I720" s="609" t="s">
        <v>153</v>
      </c>
      <c r="J720" s="609">
        <v>9</v>
      </c>
      <c r="K720" s="611"/>
      <c r="L720" s="611"/>
      <c r="M720" s="611" t="s">
        <v>140</v>
      </c>
      <c r="N720" s="611">
        <v>1</v>
      </c>
      <c r="O720" s="611" t="s">
        <v>1636</v>
      </c>
    </row>
    <row r="721" spans="1:15" hidden="1">
      <c r="A721" s="38" t="s">
        <v>414</v>
      </c>
      <c r="B721" s="37" t="s">
        <v>1586</v>
      </c>
      <c r="C721" s="609" t="s">
        <v>448</v>
      </c>
      <c r="D721" s="609"/>
      <c r="E721" s="609" t="s">
        <v>153</v>
      </c>
      <c r="F721" s="609" t="s">
        <v>137</v>
      </c>
      <c r="G721" s="37" t="s">
        <v>160</v>
      </c>
      <c r="H721" s="609">
        <v>22</v>
      </c>
      <c r="I721" s="609" t="s">
        <v>153</v>
      </c>
      <c r="J721" s="609">
        <v>9</v>
      </c>
      <c r="K721" s="611"/>
      <c r="L721" s="611"/>
      <c r="M721" s="611" t="s">
        <v>137</v>
      </c>
      <c r="N721" s="611">
        <v>1</v>
      </c>
      <c r="O721" s="611" t="s">
        <v>1634</v>
      </c>
    </row>
    <row r="722" spans="1:15" hidden="1">
      <c r="A722" s="38" t="s">
        <v>415</v>
      </c>
      <c r="B722" s="37" t="s">
        <v>1587</v>
      </c>
      <c r="C722" s="609" t="s">
        <v>448</v>
      </c>
      <c r="D722" s="609"/>
      <c r="E722" s="609" t="s">
        <v>153</v>
      </c>
      <c r="F722" s="609" t="s">
        <v>138</v>
      </c>
      <c r="G722" s="37" t="s">
        <v>160</v>
      </c>
      <c r="H722" s="609">
        <v>32</v>
      </c>
      <c r="I722" s="609" t="s">
        <v>153</v>
      </c>
      <c r="J722" s="609">
        <v>9</v>
      </c>
      <c r="K722" s="611"/>
      <c r="L722" s="611"/>
      <c r="M722" s="611" t="s">
        <v>138</v>
      </c>
      <c r="N722" s="611">
        <v>1</v>
      </c>
      <c r="O722" s="611" t="s">
        <v>1636</v>
      </c>
    </row>
    <row r="723" spans="1:15" hidden="1">
      <c r="A723" s="38" t="s">
        <v>416</v>
      </c>
      <c r="B723" s="37" t="s">
        <v>1588</v>
      </c>
      <c r="C723" s="609" t="s">
        <v>448</v>
      </c>
      <c r="D723" s="609"/>
      <c r="E723" s="609" t="s">
        <v>153</v>
      </c>
      <c r="F723" s="609" t="s">
        <v>139</v>
      </c>
      <c r="G723" s="37" t="s">
        <v>160</v>
      </c>
      <c r="H723" s="609">
        <v>22</v>
      </c>
      <c r="I723" s="609" t="s">
        <v>153</v>
      </c>
      <c r="J723" s="609">
        <v>9</v>
      </c>
      <c r="K723" s="611"/>
      <c r="L723" s="611"/>
      <c r="M723" s="611" t="s">
        <v>139</v>
      </c>
      <c r="N723" s="611">
        <v>1</v>
      </c>
      <c r="O723" s="611" t="s">
        <v>1634</v>
      </c>
    </row>
    <row r="724" spans="1:15" hidden="1">
      <c r="A724" s="38" t="s">
        <v>417</v>
      </c>
      <c r="B724" s="37" t="s">
        <v>1589</v>
      </c>
      <c r="C724" s="609" t="s">
        <v>448</v>
      </c>
      <c r="D724" s="609"/>
      <c r="E724" s="609" t="s">
        <v>153</v>
      </c>
      <c r="F724" s="609" t="s">
        <v>140</v>
      </c>
      <c r="G724" s="37" t="s">
        <v>160</v>
      </c>
      <c r="H724" s="609">
        <v>32</v>
      </c>
      <c r="I724" s="609" t="s">
        <v>153</v>
      </c>
      <c r="J724" s="609">
        <v>9</v>
      </c>
      <c r="K724" s="611"/>
      <c r="L724" s="611"/>
      <c r="M724" s="611" t="s">
        <v>140</v>
      </c>
      <c r="N724" s="611">
        <v>1</v>
      </c>
      <c r="O724" s="611" t="s">
        <v>1636</v>
      </c>
    </row>
    <row r="725" spans="1:15" hidden="1">
      <c r="A725" s="38" t="s">
        <v>354</v>
      </c>
      <c r="B725" s="37" t="s">
        <v>1590</v>
      </c>
      <c r="C725" s="609" t="s">
        <v>448</v>
      </c>
      <c r="D725" s="609">
        <v>22.7</v>
      </c>
      <c r="E725" s="609" t="s">
        <v>153</v>
      </c>
      <c r="F725" s="609" t="s">
        <v>153</v>
      </c>
      <c r="G725" s="37" t="s">
        <v>161</v>
      </c>
      <c r="H725" s="609">
        <v>22.7</v>
      </c>
      <c r="I725" s="609" t="s">
        <v>153</v>
      </c>
      <c r="J725" s="609">
        <v>9.4499999999999993</v>
      </c>
      <c r="K725" s="611"/>
      <c r="L725" s="611"/>
      <c r="M725" s="611" t="s">
        <v>153</v>
      </c>
      <c r="N725" s="611"/>
      <c r="O725" s="611" t="s">
        <v>1634</v>
      </c>
    </row>
    <row r="726" spans="1:15" hidden="1">
      <c r="A726" s="38" t="s">
        <v>365</v>
      </c>
      <c r="B726" s="37" t="s">
        <v>1591</v>
      </c>
      <c r="C726" s="609" t="s">
        <v>448</v>
      </c>
      <c r="D726" s="609">
        <v>33.130000000000003</v>
      </c>
      <c r="E726" s="609" t="s">
        <v>153</v>
      </c>
      <c r="F726" s="609" t="s">
        <v>153</v>
      </c>
      <c r="G726" s="37" t="s">
        <v>161</v>
      </c>
      <c r="H726" s="609">
        <v>33.130000000000003</v>
      </c>
      <c r="I726" s="609" t="s">
        <v>153</v>
      </c>
      <c r="J726" s="609">
        <v>9.4499999999999993</v>
      </c>
      <c r="K726" s="611"/>
      <c r="L726" s="611"/>
      <c r="M726" s="611" t="s">
        <v>153</v>
      </c>
      <c r="N726" s="611"/>
      <c r="O726" s="611" t="s">
        <v>1636</v>
      </c>
    </row>
    <row r="727" spans="1:15" hidden="1">
      <c r="A727" s="38" t="s">
        <v>393</v>
      </c>
      <c r="B727" s="37" t="s">
        <v>1592</v>
      </c>
      <c r="C727" s="609" t="s">
        <v>448</v>
      </c>
      <c r="D727" s="609"/>
      <c r="E727" s="609" t="s">
        <v>153</v>
      </c>
      <c r="F727" s="609" t="s">
        <v>354</v>
      </c>
      <c r="G727" s="37" t="s">
        <v>160</v>
      </c>
      <c r="H727" s="609">
        <v>22</v>
      </c>
      <c r="I727" s="609" t="s">
        <v>153</v>
      </c>
      <c r="J727" s="609">
        <v>9</v>
      </c>
      <c r="K727" s="611"/>
      <c r="L727" s="611"/>
      <c r="M727" s="611" t="s">
        <v>354</v>
      </c>
      <c r="N727" s="611">
        <v>1</v>
      </c>
      <c r="O727" s="611" t="s">
        <v>1634</v>
      </c>
    </row>
    <row r="728" spans="1:15" hidden="1">
      <c r="A728" s="38" t="s">
        <v>375</v>
      </c>
      <c r="B728" s="37" t="s">
        <v>1593</v>
      </c>
      <c r="C728" s="609" t="s">
        <v>448</v>
      </c>
      <c r="D728" s="609"/>
      <c r="E728" s="609" t="s">
        <v>153</v>
      </c>
      <c r="F728" s="609" t="s">
        <v>365</v>
      </c>
      <c r="G728" s="37" t="s">
        <v>160</v>
      </c>
      <c r="H728" s="609">
        <v>32</v>
      </c>
      <c r="I728" s="609" t="s">
        <v>153</v>
      </c>
      <c r="J728" s="609">
        <v>9</v>
      </c>
      <c r="K728" s="611"/>
      <c r="L728" s="611"/>
      <c r="M728" s="611" t="s">
        <v>365</v>
      </c>
      <c r="N728" s="611">
        <v>1</v>
      </c>
      <c r="O728" s="611" t="s">
        <v>1636</v>
      </c>
    </row>
    <row r="729" spans="1:15" hidden="1">
      <c r="A729" s="38" t="s">
        <v>394</v>
      </c>
      <c r="B729" s="37" t="s">
        <v>395</v>
      </c>
      <c r="C729" s="609" t="s">
        <v>448</v>
      </c>
      <c r="D729" s="609"/>
      <c r="E729" s="609" t="s">
        <v>152</v>
      </c>
      <c r="F729" s="609" t="s">
        <v>66</v>
      </c>
      <c r="G729" s="37" t="s">
        <v>160</v>
      </c>
      <c r="H729" s="609">
        <v>28</v>
      </c>
      <c r="I729" s="609" t="s">
        <v>2051</v>
      </c>
      <c r="J729" s="609">
        <v>6</v>
      </c>
      <c r="K729" s="611"/>
      <c r="L729" s="611"/>
      <c r="M729" s="611" t="s">
        <v>66</v>
      </c>
      <c r="N729" s="611">
        <v>1</v>
      </c>
      <c r="O729" s="611" t="s">
        <v>1631</v>
      </c>
    </row>
    <row r="730" spans="1:15" hidden="1">
      <c r="A730" s="38" t="s">
        <v>229</v>
      </c>
      <c r="B730" s="37" t="s">
        <v>371</v>
      </c>
      <c r="C730" s="609" t="s">
        <v>448</v>
      </c>
      <c r="D730" s="609"/>
      <c r="E730" s="609" t="s">
        <v>153</v>
      </c>
      <c r="F730" s="609" t="s">
        <v>117</v>
      </c>
      <c r="G730" s="37" t="s">
        <v>160</v>
      </c>
      <c r="H730" s="609">
        <v>22</v>
      </c>
      <c r="I730" s="609" t="s">
        <v>153</v>
      </c>
      <c r="J730" s="609">
        <v>9</v>
      </c>
      <c r="K730" s="611"/>
      <c r="L730" s="611"/>
      <c r="M730" s="611" t="s">
        <v>117</v>
      </c>
      <c r="N730" s="611">
        <v>1</v>
      </c>
      <c r="O730" s="611" t="s">
        <v>1633</v>
      </c>
    </row>
    <row r="731" spans="1:15" hidden="1">
      <c r="A731" s="38" t="s">
        <v>188</v>
      </c>
      <c r="B731" s="37" t="s">
        <v>374</v>
      </c>
      <c r="C731" s="609" t="s">
        <v>448</v>
      </c>
      <c r="D731" s="609"/>
      <c r="E731" s="609" t="s">
        <v>153</v>
      </c>
      <c r="F731" s="609" t="s">
        <v>113</v>
      </c>
      <c r="G731" s="37" t="s">
        <v>160</v>
      </c>
      <c r="H731" s="609">
        <v>28</v>
      </c>
      <c r="I731" s="609" t="s">
        <v>153</v>
      </c>
      <c r="J731" s="609">
        <v>9</v>
      </c>
      <c r="K731" s="611"/>
      <c r="L731" s="611"/>
      <c r="M731" s="611" t="s">
        <v>113</v>
      </c>
      <c r="N731" s="611">
        <v>1</v>
      </c>
      <c r="O731" s="611" t="s">
        <v>1632</v>
      </c>
    </row>
    <row r="732" spans="1:15" hidden="1">
      <c r="A732" s="38" t="s">
        <v>187</v>
      </c>
      <c r="B732" s="37" t="s">
        <v>372</v>
      </c>
      <c r="C732" s="609" t="s">
        <v>448</v>
      </c>
      <c r="D732" s="609"/>
      <c r="E732" s="609" t="s">
        <v>153</v>
      </c>
      <c r="F732" s="609" t="s">
        <v>115</v>
      </c>
      <c r="G732" s="37" t="s">
        <v>160</v>
      </c>
      <c r="H732" s="609">
        <v>32</v>
      </c>
      <c r="I732" s="609" t="s">
        <v>153</v>
      </c>
      <c r="J732" s="609">
        <v>9</v>
      </c>
      <c r="K732" s="611"/>
      <c r="L732" s="611"/>
      <c r="M732" s="611" t="s">
        <v>115</v>
      </c>
      <c r="N732" s="611">
        <v>1</v>
      </c>
      <c r="O732" s="611" t="s">
        <v>1635</v>
      </c>
    </row>
    <row r="733" spans="1:15" hidden="1">
      <c r="A733" s="38" t="s">
        <v>392</v>
      </c>
      <c r="B733" s="37" t="s">
        <v>1594</v>
      </c>
      <c r="C733" s="609" t="s">
        <v>448</v>
      </c>
      <c r="D733" s="609"/>
      <c r="E733" s="609" t="s">
        <v>153</v>
      </c>
      <c r="F733" s="609" t="s">
        <v>137</v>
      </c>
      <c r="G733" s="37" t="s">
        <v>160</v>
      </c>
      <c r="H733" s="609">
        <v>22</v>
      </c>
      <c r="I733" s="609" t="s">
        <v>153</v>
      </c>
      <c r="J733" s="609">
        <v>9</v>
      </c>
      <c r="K733" s="611"/>
      <c r="L733" s="611"/>
      <c r="M733" s="611" t="s">
        <v>137</v>
      </c>
      <c r="N733" s="611">
        <v>1</v>
      </c>
      <c r="O733" s="611" t="s">
        <v>1634</v>
      </c>
    </row>
    <row r="734" spans="1:15" hidden="1">
      <c r="A734" s="38" t="s">
        <v>366</v>
      </c>
      <c r="B734" s="37" t="s">
        <v>1595</v>
      </c>
      <c r="C734" s="609" t="s">
        <v>448</v>
      </c>
      <c r="D734" s="609"/>
      <c r="E734" s="609" t="s">
        <v>153</v>
      </c>
      <c r="F734" s="609" t="s">
        <v>138</v>
      </c>
      <c r="G734" s="37" t="s">
        <v>160</v>
      </c>
      <c r="H734" s="609">
        <v>32</v>
      </c>
      <c r="I734" s="609" t="s">
        <v>153</v>
      </c>
      <c r="J734" s="609">
        <v>9</v>
      </c>
      <c r="K734" s="611"/>
      <c r="L734" s="611"/>
      <c r="M734" s="611" t="s">
        <v>138</v>
      </c>
      <c r="N734" s="611">
        <v>1</v>
      </c>
      <c r="O734" s="611" t="s">
        <v>1636</v>
      </c>
    </row>
    <row r="735" spans="1:15" hidden="1">
      <c r="A735" s="38" t="s">
        <v>231</v>
      </c>
      <c r="B735" s="37" t="s">
        <v>1596</v>
      </c>
      <c r="C735" s="609" t="s">
        <v>448</v>
      </c>
      <c r="D735" s="609"/>
      <c r="E735" s="609" t="s">
        <v>153</v>
      </c>
      <c r="F735" s="609" t="s">
        <v>137</v>
      </c>
      <c r="G735" s="37" t="s">
        <v>160</v>
      </c>
      <c r="H735" s="609">
        <v>22</v>
      </c>
      <c r="I735" s="609" t="s">
        <v>153</v>
      </c>
      <c r="J735" s="609">
        <v>9</v>
      </c>
      <c r="K735" s="611"/>
      <c r="L735" s="611"/>
      <c r="M735" s="611" t="s">
        <v>137</v>
      </c>
      <c r="N735" s="611">
        <v>1</v>
      </c>
      <c r="O735" s="611" t="s">
        <v>1634</v>
      </c>
    </row>
    <row r="736" spans="1:15" hidden="1">
      <c r="A736" s="38" t="s">
        <v>355</v>
      </c>
      <c r="B736" s="37" t="s">
        <v>383</v>
      </c>
      <c r="C736" s="609" t="s">
        <v>448</v>
      </c>
      <c r="D736" s="609"/>
      <c r="E736" s="609" t="s">
        <v>153</v>
      </c>
      <c r="F736" s="609" t="s">
        <v>180</v>
      </c>
      <c r="G736" s="37" t="s">
        <v>160</v>
      </c>
      <c r="H736" s="609">
        <v>33</v>
      </c>
      <c r="I736" s="609" t="s">
        <v>153</v>
      </c>
      <c r="J736" s="609">
        <v>9</v>
      </c>
      <c r="K736" s="611"/>
      <c r="L736" s="611"/>
      <c r="M736" s="611" t="s">
        <v>180</v>
      </c>
      <c r="N736" s="611">
        <v>1</v>
      </c>
      <c r="O736" s="611" t="s">
        <v>1636</v>
      </c>
    </row>
    <row r="737" spans="1:256" hidden="1">
      <c r="A737" s="38" t="s">
        <v>232</v>
      </c>
      <c r="B737" s="37" t="s">
        <v>373</v>
      </c>
      <c r="C737" s="609" t="s">
        <v>448</v>
      </c>
      <c r="D737" s="609"/>
      <c r="E737" s="609" t="s">
        <v>153</v>
      </c>
      <c r="F737" s="609" t="s">
        <v>139</v>
      </c>
      <c r="G737" s="37" t="s">
        <v>160</v>
      </c>
      <c r="H737" s="609">
        <v>22</v>
      </c>
      <c r="I737" s="609" t="s">
        <v>153</v>
      </c>
      <c r="J737" s="609">
        <v>9</v>
      </c>
      <c r="K737" s="611"/>
      <c r="L737" s="611"/>
      <c r="M737" s="611" t="s">
        <v>139</v>
      </c>
      <c r="N737" s="611">
        <v>1</v>
      </c>
      <c r="O737" s="611" t="s">
        <v>1634</v>
      </c>
    </row>
    <row r="738" spans="1:256" hidden="1">
      <c r="A738" s="38" t="s">
        <v>230</v>
      </c>
      <c r="B738" s="37" t="s">
        <v>360</v>
      </c>
      <c r="C738" s="609" t="s">
        <v>448</v>
      </c>
      <c r="D738" s="609"/>
      <c r="E738" s="609" t="s">
        <v>153</v>
      </c>
      <c r="F738" s="609" t="s">
        <v>140</v>
      </c>
      <c r="G738" s="37" t="s">
        <v>160</v>
      </c>
      <c r="H738" s="609">
        <v>33</v>
      </c>
      <c r="I738" s="609" t="s">
        <v>153</v>
      </c>
      <c r="J738" s="609">
        <v>9</v>
      </c>
      <c r="K738" s="611"/>
      <c r="L738" s="611"/>
      <c r="M738" s="611" t="s">
        <v>140</v>
      </c>
      <c r="N738" s="611">
        <v>1</v>
      </c>
      <c r="O738" s="611" t="s">
        <v>1636</v>
      </c>
    </row>
    <row r="739" spans="1:256" hidden="1">
      <c r="A739" s="38" t="s">
        <v>356</v>
      </c>
      <c r="B739" s="37" t="s">
        <v>384</v>
      </c>
      <c r="C739" s="609" t="s">
        <v>448</v>
      </c>
      <c r="D739" s="609"/>
      <c r="E739" s="609" t="s">
        <v>153</v>
      </c>
      <c r="F739" s="609" t="s">
        <v>137</v>
      </c>
      <c r="G739" s="37" t="s">
        <v>160</v>
      </c>
      <c r="H739" s="609">
        <v>22</v>
      </c>
      <c r="I739" s="609" t="s">
        <v>153</v>
      </c>
      <c r="J739" s="609">
        <v>9</v>
      </c>
      <c r="K739" s="611"/>
      <c r="L739" s="611"/>
      <c r="M739" s="611" t="s">
        <v>137</v>
      </c>
      <c r="N739" s="611">
        <v>1</v>
      </c>
      <c r="O739" s="611" t="s">
        <v>1634</v>
      </c>
    </row>
    <row r="740" spans="1:256" hidden="1">
      <c r="A740" s="38" t="s">
        <v>357</v>
      </c>
      <c r="B740" s="37" t="s">
        <v>1597</v>
      </c>
      <c r="C740" s="609" t="s">
        <v>448</v>
      </c>
      <c r="D740" s="609"/>
      <c r="E740" s="609" t="s">
        <v>153</v>
      </c>
      <c r="F740" s="609" t="s">
        <v>140</v>
      </c>
      <c r="G740" s="37" t="s">
        <v>160</v>
      </c>
      <c r="H740" s="609">
        <v>33</v>
      </c>
      <c r="I740" s="609" t="s">
        <v>153</v>
      </c>
      <c r="J740" s="609">
        <v>9</v>
      </c>
      <c r="K740" s="611"/>
      <c r="L740" s="611"/>
      <c r="M740" s="611" t="s">
        <v>140</v>
      </c>
      <c r="N740" s="611">
        <v>1</v>
      </c>
      <c r="O740" s="611" t="s">
        <v>1636</v>
      </c>
    </row>
    <row r="741" spans="1:256" hidden="1">
      <c r="A741" s="38" t="s">
        <v>369</v>
      </c>
      <c r="B741" s="37" t="s">
        <v>388</v>
      </c>
      <c r="C741" s="609" t="s">
        <v>448</v>
      </c>
      <c r="D741" s="609"/>
      <c r="E741" s="609" t="s">
        <v>153</v>
      </c>
      <c r="F741" s="609" t="s">
        <v>139</v>
      </c>
      <c r="G741" s="37" t="s">
        <v>160</v>
      </c>
      <c r="H741" s="609">
        <v>22</v>
      </c>
      <c r="I741" s="609" t="s">
        <v>153</v>
      </c>
      <c r="J741" s="609">
        <v>9</v>
      </c>
      <c r="K741" s="611"/>
      <c r="L741" s="611"/>
      <c r="M741" s="611" t="s">
        <v>139</v>
      </c>
      <c r="N741" s="611">
        <v>1</v>
      </c>
      <c r="O741" s="611" t="s">
        <v>1634</v>
      </c>
    </row>
    <row r="742" spans="1:256" hidden="1">
      <c r="A742" s="38" t="s">
        <v>370</v>
      </c>
      <c r="B742" s="37" t="s">
        <v>1598</v>
      </c>
      <c r="C742" s="609" t="s">
        <v>448</v>
      </c>
      <c r="D742" s="609"/>
      <c r="E742" s="609" t="s">
        <v>153</v>
      </c>
      <c r="F742" s="609" t="s">
        <v>140</v>
      </c>
      <c r="G742" s="37" t="s">
        <v>160</v>
      </c>
      <c r="H742" s="609">
        <v>33</v>
      </c>
      <c r="I742" s="609" t="s">
        <v>153</v>
      </c>
      <c r="J742" s="609">
        <v>9</v>
      </c>
      <c r="K742" s="611"/>
      <c r="L742" s="611"/>
      <c r="M742" s="611" t="s">
        <v>140</v>
      </c>
      <c r="N742" s="611">
        <v>1</v>
      </c>
      <c r="O742" s="611" t="s">
        <v>1636</v>
      </c>
    </row>
    <row r="743" spans="1:256" hidden="1">
      <c r="A743" s="38" t="s">
        <v>358</v>
      </c>
      <c r="B743" s="37" t="s">
        <v>1599</v>
      </c>
      <c r="C743" s="609" t="s">
        <v>448</v>
      </c>
      <c r="D743" s="609"/>
      <c r="E743" s="609" t="s">
        <v>153</v>
      </c>
      <c r="F743" s="609" t="s">
        <v>137</v>
      </c>
      <c r="G743" s="37" t="s">
        <v>160</v>
      </c>
      <c r="H743" s="609">
        <v>22</v>
      </c>
      <c r="I743" s="609" t="s">
        <v>153</v>
      </c>
      <c r="J743" s="609">
        <v>9</v>
      </c>
      <c r="K743" s="611"/>
      <c r="L743" s="611"/>
      <c r="M743" s="611" t="s">
        <v>137</v>
      </c>
      <c r="N743" s="611">
        <v>1</v>
      </c>
      <c r="O743" s="611" t="s">
        <v>1634</v>
      </c>
    </row>
    <row r="744" spans="1:256" hidden="1">
      <c r="A744" s="38" t="s">
        <v>359</v>
      </c>
      <c r="B744" s="37" t="s">
        <v>1600</v>
      </c>
      <c r="C744" s="609" t="s">
        <v>448</v>
      </c>
      <c r="D744" s="609"/>
      <c r="E744" s="609" t="s">
        <v>153</v>
      </c>
      <c r="F744" s="609" t="s">
        <v>138</v>
      </c>
      <c r="G744" s="37" t="s">
        <v>160</v>
      </c>
      <c r="H744" s="609">
        <v>33</v>
      </c>
      <c r="I744" s="609" t="s">
        <v>153</v>
      </c>
      <c r="J744" s="609">
        <v>9</v>
      </c>
      <c r="K744" s="611"/>
      <c r="L744" s="611"/>
      <c r="M744" s="611" t="s">
        <v>138</v>
      </c>
      <c r="N744" s="611">
        <v>1</v>
      </c>
      <c r="O744" s="611" t="s">
        <v>1636</v>
      </c>
    </row>
    <row r="745" spans="1:256" hidden="1">
      <c r="A745" s="38" t="s">
        <v>367</v>
      </c>
      <c r="B745" s="37" t="s">
        <v>1601</v>
      </c>
      <c r="C745" s="609" t="s">
        <v>448</v>
      </c>
      <c r="D745" s="609"/>
      <c r="E745" s="609" t="s">
        <v>153</v>
      </c>
      <c r="F745" s="609" t="s">
        <v>139</v>
      </c>
      <c r="G745" s="37" t="s">
        <v>160</v>
      </c>
      <c r="H745" s="609">
        <v>22</v>
      </c>
      <c r="I745" s="609" t="s">
        <v>153</v>
      </c>
      <c r="J745" s="609">
        <v>9</v>
      </c>
      <c r="K745" s="611"/>
      <c r="L745" s="611"/>
      <c r="M745" s="611" t="s">
        <v>139</v>
      </c>
      <c r="N745" s="611">
        <v>1</v>
      </c>
      <c r="O745" s="611" t="s">
        <v>1634</v>
      </c>
    </row>
    <row r="746" spans="1:256" hidden="1">
      <c r="A746" s="38" t="s">
        <v>368</v>
      </c>
      <c r="B746" s="37" t="s">
        <v>387</v>
      </c>
      <c r="C746" s="609" t="s">
        <v>448</v>
      </c>
      <c r="D746" s="609"/>
      <c r="E746" s="609" t="s">
        <v>153</v>
      </c>
      <c r="F746" s="609" t="s">
        <v>140</v>
      </c>
      <c r="G746" s="37" t="s">
        <v>160</v>
      </c>
      <c r="H746" s="609">
        <v>33</v>
      </c>
      <c r="I746" s="609" t="s">
        <v>153</v>
      </c>
      <c r="J746" s="609">
        <v>9</v>
      </c>
      <c r="K746" s="611"/>
      <c r="L746" s="611"/>
      <c r="M746" s="611" t="s">
        <v>140</v>
      </c>
      <c r="N746" s="611">
        <v>1</v>
      </c>
      <c r="O746" s="611" t="s">
        <v>1636</v>
      </c>
    </row>
    <row r="747" spans="1:256">
      <c r="A747" s="38" t="s">
        <v>1818</v>
      </c>
      <c r="B747" s="37" t="s">
        <v>1602</v>
      </c>
      <c r="C747" s="609" t="s">
        <v>135</v>
      </c>
      <c r="D747" s="14"/>
      <c r="E747" s="14" t="s">
        <v>149</v>
      </c>
      <c r="F747" s="14" t="s">
        <v>1814</v>
      </c>
      <c r="G747" s="793" t="s">
        <v>1603</v>
      </c>
      <c r="H747" s="14">
        <v>6.8</v>
      </c>
      <c r="I747" s="14" t="s">
        <v>149</v>
      </c>
      <c r="J747" s="609">
        <v>5</v>
      </c>
      <c r="K747" s="289"/>
      <c r="L747" s="289"/>
      <c r="M747" s="289"/>
      <c r="N747" s="289"/>
      <c r="O747" s="289" t="s">
        <v>1822</v>
      </c>
    </row>
    <row r="748" spans="1:256">
      <c r="A748" s="38" t="s">
        <v>1819</v>
      </c>
      <c r="B748" s="37" t="s">
        <v>1604</v>
      </c>
      <c r="C748" s="609" t="s">
        <v>135</v>
      </c>
      <c r="D748" s="14"/>
      <c r="E748" s="14" t="s">
        <v>149</v>
      </c>
      <c r="F748" s="14" t="s">
        <v>1815</v>
      </c>
      <c r="G748" s="793" t="s">
        <v>1603</v>
      </c>
      <c r="H748" s="14">
        <v>6.8</v>
      </c>
      <c r="I748" s="14" t="s">
        <v>149</v>
      </c>
      <c r="J748" s="609">
        <v>5</v>
      </c>
      <c r="K748" s="289"/>
      <c r="L748" s="289"/>
      <c r="M748" s="289"/>
      <c r="N748" s="289"/>
      <c r="O748" s="289" t="s">
        <v>1823</v>
      </c>
    </row>
    <row r="749" spans="1:256">
      <c r="A749" s="38" t="s">
        <v>1820</v>
      </c>
      <c r="B749" s="37" t="s">
        <v>1605</v>
      </c>
      <c r="C749" s="609" t="s">
        <v>135</v>
      </c>
      <c r="D749" s="14"/>
      <c r="E749" s="14" t="s">
        <v>149</v>
      </c>
      <c r="F749" s="14" t="s">
        <v>1816</v>
      </c>
      <c r="G749" s="793" t="s">
        <v>1603</v>
      </c>
      <c r="H749" s="14">
        <v>6.8</v>
      </c>
      <c r="I749" s="14" t="s">
        <v>149</v>
      </c>
      <c r="J749" s="609">
        <v>5</v>
      </c>
      <c r="K749" s="289"/>
      <c r="L749" s="289"/>
      <c r="M749" s="289"/>
      <c r="N749" s="289"/>
      <c r="O749" s="289" t="s">
        <v>1824</v>
      </c>
    </row>
    <row r="750" spans="1:256">
      <c r="A750" s="38" t="s">
        <v>1821</v>
      </c>
      <c r="B750" s="37" t="s">
        <v>1606</v>
      </c>
      <c r="C750" s="609" t="s">
        <v>135</v>
      </c>
      <c r="D750" s="14"/>
      <c r="E750" s="14" t="s">
        <v>149</v>
      </c>
      <c r="F750" s="14" t="s">
        <v>1817</v>
      </c>
      <c r="G750" s="793" t="s">
        <v>1603</v>
      </c>
      <c r="H750" s="14">
        <v>6.8</v>
      </c>
      <c r="I750" s="14" t="s">
        <v>149</v>
      </c>
      <c r="J750" s="609">
        <v>5</v>
      </c>
      <c r="K750" s="289"/>
      <c r="L750" s="289"/>
      <c r="M750" s="289"/>
      <c r="N750" s="289"/>
      <c r="O750" s="289" t="s">
        <v>1825</v>
      </c>
    </row>
    <row r="751" spans="1:256" s="67" customFormat="1" hidden="1">
      <c r="A751" s="286" t="s">
        <v>1889</v>
      </c>
      <c r="B751" s="37" t="s">
        <v>1903</v>
      </c>
      <c r="C751" s="609" t="s">
        <v>448</v>
      </c>
      <c r="D751" s="613">
        <v>17.015000000000001</v>
      </c>
      <c r="E751" s="609" t="s">
        <v>150</v>
      </c>
      <c r="F751" s="609" t="s">
        <v>2051</v>
      </c>
      <c r="G751" s="37" t="s">
        <v>161</v>
      </c>
      <c r="H751" s="613">
        <v>17.015000000000001</v>
      </c>
      <c r="I751" s="613" t="s">
        <v>2051</v>
      </c>
      <c r="J751" s="613">
        <v>15</v>
      </c>
      <c r="K751" s="611"/>
      <c r="L751" s="611"/>
      <c r="M751" s="611"/>
      <c r="N751" s="611"/>
      <c r="O751" s="611" t="s">
        <v>2059</v>
      </c>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c r="DV751" s="13"/>
      <c r="DW751" s="13"/>
      <c r="DX751" s="13"/>
      <c r="DY751" s="13"/>
      <c r="DZ751" s="13"/>
      <c r="EA751" s="13"/>
      <c r="EB751" s="13"/>
      <c r="EC751" s="13"/>
      <c r="ED751" s="13"/>
      <c r="EE751" s="13"/>
      <c r="EF751" s="13"/>
      <c r="EG751" s="13"/>
      <c r="EH751" s="13"/>
      <c r="EI751" s="13"/>
      <c r="EJ751" s="13"/>
      <c r="EK751" s="13"/>
      <c r="EL751" s="13"/>
      <c r="EM751" s="13"/>
      <c r="EN751" s="13"/>
      <c r="EO751" s="13"/>
      <c r="EP751" s="13"/>
      <c r="EQ751" s="13"/>
      <c r="ER751" s="13"/>
      <c r="ES751" s="13"/>
      <c r="ET751" s="13"/>
      <c r="EU751" s="13"/>
      <c r="EV751" s="13"/>
      <c r="EW751" s="13"/>
      <c r="EX751" s="13"/>
      <c r="EY751" s="13"/>
      <c r="EZ751" s="13"/>
      <c r="FA751" s="13"/>
      <c r="FB751" s="13"/>
      <c r="FC751" s="13"/>
      <c r="FD751" s="13"/>
      <c r="FE751" s="13"/>
      <c r="FF751" s="13"/>
      <c r="FG751" s="13"/>
      <c r="FH751" s="13"/>
      <c r="FI751" s="13"/>
      <c r="FJ751" s="13"/>
      <c r="FK751" s="13"/>
      <c r="FL751" s="13"/>
      <c r="FM751" s="13"/>
      <c r="FN751" s="13"/>
      <c r="FO751" s="13"/>
      <c r="FP751" s="13"/>
      <c r="FQ751" s="13"/>
      <c r="FR751" s="13"/>
      <c r="FS751" s="13"/>
      <c r="FT751" s="13"/>
      <c r="FU751" s="13"/>
      <c r="FV751" s="13"/>
      <c r="FW751" s="13"/>
      <c r="FX751" s="13"/>
      <c r="FY751" s="13"/>
      <c r="FZ751" s="13"/>
      <c r="GA751" s="13"/>
      <c r="GB751" s="13"/>
      <c r="GC751" s="13"/>
      <c r="GD751" s="13"/>
      <c r="GE751" s="13"/>
      <c r="GF751" s="13"/>
      <c r="GG751" s="13"/>
      <c r="GH751" s="13"/>
      <c r="GI751" s="13"/>
      <c r="GJ751" s="13"/>
      <c r="GK751" s="13"/>
      <c r="GL751" s="13"/>
      <c r="GM751" s="13"/>
      <c r="GN751" s="13"/>
      <c r="GO751" s="13"/>
      <c r="GP751" s="13"/>
      <c r="GQ751" s="13"/>
      <c r="GR751" s="13"/>
      <c r="GS751" s="13"/>
      <c r="GT751" s="13"/>
      <c r="GU751" s="13"/>
      <c r="GV751" s="13"/>
      <c r="GW751" s="13"/>
      <c r="GX751" s="13"/>
      <c r="GY751" s="13"/>
      <c r="GZ751" s="13"/>
      <c r="HA751" s="13"/>
      <c r="HB751" s="13"/>
      <c r="HC751" s="13"/>
      <c r="HD751" s="13"/>
      <c r="HE751" s="13"/>
      <c r="HF751" s="13"/>
      <c r="HG751" s="13"/>
      <c r="HH751" s="13"/>
      <c r="HI751" s="13"/>
      <c r="HJ751" s="13"/>
      <c r="HK751" s="13"/>
      <c r="HL751" s="13"/>
      <c r="HM751" s="13"/>
      <c r="HN751" s="13"/>
      <c r="HO751" s="13"/>
      <c r="HP751" s="13"/>
      <c r="HQ751" s="13"/>
      <c r="HR751" s="13"/>
      <c r="HS751" s="13"/>
      <c r="HT751" s="13"/>
      <c r="HU751" s="13"/>
      <c r="HV751" s="13"/>
      <c r="HW751" s="13"/>
      <c r="HX751" s="13"/>
      <c r="HY751" s="13"/>
      <c r="HZ751" s="13"/>
      <c r="IA751" s="13"/>
      <c r="IB751" s="13"/>
      <c r="IC751" s="13"/>
      <c r="ID751" s="13"/>
      <c r="IE751" s="13"/>
      <c r="IF751" s="13"/>
      <c r="IG751" s="13"/>
      <c r="IH751" s="13"/>
      <c r="II751" s="13"/>
      <c r="IJ751" s="13"/>
      <c r="IK751" s="13"/>
      <c r="IL751" s="13"/>
      <c r="IM751" s="13"/>
      <c r="IN751" s="13"/>
      <c r="IO751" s="13"/>
      <c r="IP751" s="13"/>
      <c r="IQ751" s="13"/>
      <c r="IR751" s="13"/>
      <c r="IS751" s="13"/>
      <c r="IT751" s="13"/>
      <c r="IU751" s="13"/>
      <c r="IV751" s="13"/>
    </row>
    <row r="752" spans="1:256" s="67" customFormat="1" hidden="1">
      <c r="A752" s="286" t="s">
        <v>1891</v>
      </c>
      <c r="B752" s="37" t="s">
        <v>1892</v>
      </c>
      <c r="C752" s="609" t="s">
        <v>448</v>
      </c>
      <c r="D752" s="613">
        <v>17.015000000000001</v>
      </c>
      <c r="E752" s="609" t="s">
        <v>150</v>
      </c>
      <c r="F752" s="609" t="s">
        <v>1889</v>
      </c>
      <c r="G752" s="37" t="s">
        <v>160</v>
      </c>
      <c r="H752" s="613">
        <v>17.015000000000001</v>
      </c>
      <c r="I752" s="613" t="s">
        <v>2051</v>
      </c>
      <c r="J752" s="613">
        <v>12</v>
      </c>
      <c r="K752" s="611"/>
      <c r="L752" s="611"/>
      <c r="M752" s="609" t="s">
        <v>1889</v>
      </c>
      <c r="N752" s="611">
        <v>1</v>
      </c>
      <c r="O752" s="611" t="s">
        <v>2059</v>
      </c>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c r="DV752" s="13"/>
      <c r="DW752" s="13"/>
      <c r="DX752" s="13"/>
      <c r="DY752" s="13"/>
      <c r="DZ752" s="13"/>
      <c r="EA752" s="13"/>
      <c r="EB752" s="13"/>
      <c r="EC752" s="13"/>
      <c r="ED752" s="13"/>
      <c r="EE752" s="13"/>
      <c r="EF752" s="13"/>
      <c r="EG752" s="13"/>
      <c r="EH752" s="13"/>
      <c r="EI752" s="13"/>
      <c r="EJ752" s="13"/>
      <c r="EK752" s="13"/>
      <c r="EL752" s="13"/>
      <c r="EM752" s="13"/>
      <c r="EN752" s="13"/>
      <c r="EO752" s="13"/>
      <c r="EP752" s="13"/>
      <c r="EQ752" s="13"/>
      <c r="ER752" s="13"/>
      <c r="ES752" s="13"/>
      <c r="ET752" s="13"/>
      <c r="EU752" s="13"/>
      <c r="EV752" s="13"/>
      <c r="EW752" s="13"/>
      <c r="EX752" s="13"/>
      <c r="EY752" s="13"/>
      <c r="EZ752" s="13"/>
      <c r="FA752" s="13"/>
      <c r="FB752" s="13"/>
      <c r="FC752" s="13"/>
      <c r="FD752" s="13"/>
      <c r="FE752" s="13"/>
      <c r="FF752" s="13"/>
      <c r="FG752" s="13"/>
      <c r="FH752" s="13"/>
      <c r="FI752" s="13"/>
      <c r="FJ752" s="13"/>
      <c r="FK752" s="13"/>
      <c r="FL752" s="13"/>
      <c r="FM752" s="13"/>
      <c r="FN752" s="13"/>
      <c r="FO752" s="13"/>
      <c r="FP752" s="13"/>
      <c r="FQ752" s="13"/>
      <c r="FR752" s="13"/>
      <c r="FS752" s="13"/>
      <c r="FT752" s="13"/>
      <c r="FU752" s="13"/>
      <c r="FV752" s="13"/>
      <c r="FW752" s="13"/>
      <c r="FX752" s="13"/>
      <c r="FY752" s="13"/>
      <c r="FZ752" s="13"/>
      <c r="GA752" s="13"/>
      <c r="GB752" s="13"/>
      <c r="GC752" s="13"/>
      <c r="GD752" s="13"/>
      <c r="GE752" s="13"/>
      <c r="GF752" s="13"/>
      <c r="GG752" s="13"/>
      <c r="GH752" s="13"/>
      <c r="GI752" s="13"/>
      <c r="GJ752" s="13"/>
      <c r="GK752" s="13"/>
      <c r="GL752" s="13"/>
      <c r="GM752" s="13"/>
      <c r="GN752" s="13"/>
      <c r="GO752" s="13"/>
      <c r="GP752" s="13"/>
      <c r="GQ752" s="13"/>
      <c r="GR752" s="13"/>
      <c r="GS752" s="13"/>
      <c r="GT752" s="13"/>
      <c r="GU752" s="13"/>
      <c r="GV752" s="13"/>
      <c r="GW752" s="13"/>
      <c r="GX752" s="13"/>
      <c r="GY752" s="13"/>
      <c r="GZ752" s="13"/>
      <c r="HA752" s="13"/>
      <c r="HB752" s="13"/>
      <c r="HC752" s="13"/>
      <c r="HD752" s="13"/>
      <c r="HE752" s="13"/>
      <c r="HF752" s="13"/>
      <c r="HG752" s="13"/>
      <c r="HH752" s="13"/>
      <c r="HI752" s="13"/>
      <c r="HJ752" s="13"/>
      <c r="HK752" s="13"/>
      <c r="HL752" s="13"/>
      <c r="HM752" s="13"/>
      <c r="HN752" s="13"/>
      <c r="HO752" s="13"/>
      <c r="HP752" s="13"/>
      <c r="HQ752" s="13"/>
      <c r="HR752" s="13"/>
      <c r="HS752" s="13"/>
      <c r="HT752" s="13"/>
      <c r="HU752" s="13"/>
      <c r="HV752" s="13"/>
      <c r="HW752" s="13"/>
      <c r="HX752" s="13"/>
      <c r="HY752" s="13"/>
      <c r="HZ752" s="13"/>
      <c r="IA752" s="13"/>
      <c r="IB752" s="13"/>
      <c r="IC752" s="13"/>
      <c r="ID752" s="13"/>
      <c r="IE752" s="13"/>
      <c r="IF752" s="13"/>
      <c r="IG752" s="13"/>
      <c r="IH752" s="13"/>
      <c r="II752" s="13"/>
      <c r="IJ752" s="13"/>
      <c r="IK752" s="13"/>
      <c r="IL752" s="13"/>
      <c r="IM752" s="13"/>
      <c r="IN752" s="13"/>
      <c r="IO752" s="13"/>
      <c r="IP752" s="13"/>
      <c r="IQ752" s="13"/>
      <c r="IR752" s="13"/>
      <c r="IS752" s="13"/>
      <c r="IT752" s="13"/>
      <c r="IU752" s="13"/>
      <c r="IV752" s="13"/>
    </row>
    <row r="753" spans="1:256" s="67" customFormat="1" hidden="1">
      <c r="A753" s="286" t="s">
        <v>1893</v>
      </c>
      <c r="B753" s="37" t="s">
        <v>1902</v>
      </c>
      <c r="C753" s="609" t="s">
        <v>448</v>
      </c>
      <c r="D753" s="613">
        <v>17.015000000000001</v>
      </c>
      <c r="E753" s="609" t="s">
        <v>150</v>
      </c>
      <c r="F753" s="609" t="s">
        <v>1889</v>
      </c>
      <c r="G753" s="37" t="s">
        <v>160</v>
      </c>
      <c r="H753" s="613">
        <v>17.015000000000001</v>
      </c>
      <c r="I753" s="613" t="s">
        <v>2051</v>
      </c>
      <c r="J753" s="613">
        <v>12</v>
      </c>
      <c r="K753" s="611"/>
      <c r="L753" s="611"/>
      <c r="M753" s="609" t="s">
        <v>1889</v>
      </c>
      <c r="N753" s="611">
        <v>1</v>
      </c>
      <c r="O753" s="611" t="s">
        <v>2059</v>
      </c>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c r="DV753" s="13"/>
      <c r="DW753" s="13"/>
      <c r="DX753" s="13"/>
      <c r="DY753" s="13"/>
      <c r="DZ753" s="13"/>
      <c r="EA753" s="13"/>
      <c r="EB753" s="13"/>
      <c r="EC753" s="13"/>
      <c r="ED753" s="13"/>
      <c r="EE753" s="13"/>
      <c r="EF753" s="13"/>
      <c r="EG753" s="13"/>
      <c r="EH753" s="13"/>
      <c r="EI753" s="13"/>
      <c r="EJ753" s="13"/>
      <c r="EK753" s="13"/>
      <c r="EL753" s="13"/>
      <c r="EM753" s="13"/>
      <c r="EN753" s="13"/>
      <c r="EO753" s="13"/>
      <c r="EP753" s="13"/>
      <c r="EQ753" s="13"/>
      <c r="ER753" s="13"/>
      <c r="ES753" s="13"/>
      <c r="ET753" s="13"/>
      <c r="EU753" s="13"/>
      <c r="EV753" s="13"/>
      <c r="EW753" s="13"/>
      <c r="EX753" s="13"/>
      <c r="EY753" s="13"/>
      <c r="EZ753" s="13"/>
      <c r="FA753" s="13"/>
      <c r="FB753" s="13"/>
      <c r="FC753" s="13"/>
      <c r="FD753" s="13"/>
      <c r="FE753" s="13"/>
      <c r="FF753" s="13"/>
      <c r="FG753" s="13"/>
      <c r="FH753" s="13"/>
      <c r="FI753" s="13"/>
      <c r="FJ753" s="13"/>
      <c r="FK753" s="13"/>
      <c r="FL753" s="13"/>
      <c r="FM753" s="13"/>
      <c r="FN753" s="13"/>
      <c r="FO753" s="13"/>
      <c r="FP753" s="13"/>
      <c r="FQ753" s="13"/>
      <c r="FR753" s="13"/>
      <c r="FS753" s="13"/>
      <c r="FT753" s="13"/>
      <c r="FU753" s="13"/>
      <c r="FV753" s="13"/>
      <c r="FW753" s="13"/>
      <c r="FX753" s="13"/>
      <c r="FY753" s="13"/>
      <c r="FZ753" s="13"/>
      <c r="GA753" s="13"/>
      <c r="GB753" s="13"/>
      <c r="GC753" s="13"/>
      <c r="GD753" s="13"/>
      <c r="GE753" s="13"/>
      <c r="GF753" s="13"/>
      <c r="GG753" s="13"/>
      <c r="GH753" s="13"/>
      <c r="GI753" s="13"/>
      <c r="GJ753" s="13"/>
      <c r="GK753" s="13"/>
      <c r="GL753" s="13"/>
      <c r="GM753" s="13"/>
      <c r="GN753" s="13"/>
      <c r="GO753" s="13"/>
      <c r="GP753" s="13"/>
      <c r="GQ753" s="13"/>
      <c r="GR753" s="13"/>
      <c r="GS753" s="13"/>
      <c r="GT753" s="13"/>
      <c r="GU753" s="13"/>
      <c r="GV753" s="13"/>
      <c r="GW753" s="13"/>
      <c r="GX753" s="13"/>
      <c r="GY753" s="13"/>
      <c r="GZ753" s="13"/>
      <c r="HA753" s="13"/>
      <c r="HB753" s="13"/>
      <c r="HC753" s="13"/>
      <c r="HD753" s="13"/>
      <c r="HE753" s="13"/>
      <c r="HF753" s="13"/>
      <c r="HG753" s="13"/>
      <c r="HH753" s="13"/>
      <c r="HI753" s="13"/>
      <c r="HJ753" s="13"/>
      <c r="HK753" s="13"/>
      <c r="HL753" s="13"/>
      <c r="HM753" s="13"/>
      <c r="HN753" s="13"/>
      <c r="HO753" s="13"/>
      <c r="HP753" s="13"/>
      <c r="HQ753" s="13"/>
      <c r="HR753" s="13"/>
      <c r="HS753" s="13"/>
      <c r="HT753" s="13"/>
      <c r="HU753" s="13"/>
      <c r="HV753" s="13"/>
      <c r="HW753" s="13"/>
      <c r="HX753" s="13"/>
      <c r="HY753" s="13"/>
      <c r="HZ753" s="13"/>
      <c r="IA753" s="13"/>
      <c r="IB753" s="13"/>
      <c r="IC753" s="13"/>
      <c r="ID753" s="13"/>
      <c r="IE753" s="13"/>
      <c r="IF753" s="13"/>
      <c r="IG753" s="13"/>
      <c r="IH753" s="13"/>
      <c r="II753" s="13"/>
      <c r="IJ753" s="13"/>
      <c r="IK753" s="13"/>
      <c r="IL753" s="13"/>
      <c r="IM753" s="13"/>
      <c r="IN753" s="13"/>
      <c r="IO753" s="13"/>
      <c r="IP753" s="13"/>
      <c r="IQ753" s="13"/>
      <c r="IR753" s="13"/>
      <c r="IS753" s="13"/>
      <c r="IT753" s="13"/>
      <c r="IU753" s="13"/>
      <c r="IV753" s="13"/>
    </row>
    <row r="754" spans="1:256" s="67" customFormat="1" hidden="1">
      <c r="A754" s="286" t="s">
        <v>1894</v>
      </c>
      <c r="B754" s="37" t="s">
        <v>1896</v>
      </c>
      <c r="C754" s="609" t="s">
        <v>448</v>
      </c>
      <c r="D754" s="613">
        <v>17.015000000000001</v>
      </c>
      <c r="E754" s="609" t="s">
        <v>150</v>
      </c>
      <c r="F754" s="609" t="s">
        <v>1889</v>
      </c>
      <c r="G754" s="37" t="s">
        <v>160</v>
      </c>
      <c r="H754" s="613">
        <v>17.015000000000001</v>
      </c>
      <c r="I754" s="613" t="s">
        <v>2051</v>
      </c>
      <c r="J754" s="613">
        <v>12</v>
      </c>
      <c r="K754" s="611"/>
      <c r="L754" s="611"/>
      <c r="M754" s="609" t="s">
        <v>1889</v>
      </c>
      <c r="N754" s="611">
        <v>1</v>
      </c>
      <c r="O754" s="611" t="s">
        <v>2059</v>
      </c>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c r="DV754" s="13"/>
      <c r="DW754" s="13"/>
      <c r="DX754" s="13"/>
      <c r="DY754" s="13"/>
      <c r="DZ754" s="13"/>
      <c r="EA754" s="13"/>
      <c r="EB754" s="13"/>
      <c r="EC754" s="13"/>
      <c r="ED754" s="13"/>
      <c r="EE754" s="13"/>
      <c r="EF754" s="13"/>
      <c r="EG754" s="13"/>
      <c r="EH754" s="13"/>
      <c r="EI754" s="13"/>
      <c r="EJ754" s="13"/>
      <c r="EK754" s="13"/>
      <c r="EL754" s="13"/>
      <c r="EM754" s="13"/>
      <c r="EN754" s="13"/>
      <c r="EO754" s="13"/>
      <c r="EP754" s="13"/>
      <c r="EQ754" s="13"/>
      <c r="ER754" s="13"/>
      <c r="ES754" s="13"/>
      <c r="ET754" s="13"/>
      <c r="EU754" s="13"/>
      <c r="EV754" s="13"/>
      <c r="EW754" s="13"/>
      <c r="EX754" s="13"/>
      <c r="EY754" s="13"/>
      <c r="EZ754" s="13"/>
      <c r="FA754" s="13"/>
      <c r="FB754" s="13"/>
      <c r="FC754" s="13"/>
      <c r="FD754" s="13"/>
      <c r="FE754" s="13"/>
      <c r="FF754" s="13"/>
      <c r="FG754" s="13"/>
      <c r="FH754" s="13"/>
      <c r="FI754" s="13"/>
      <c r="FJ754" s="13"/>
      <c r="FK754" s="13"/>
      <c r="FL754" s="13"/>
      <c r="FM754" s="13"/>
      <c r="FN754" s="13"/>
      <c r="FO754" s="13"/>
      <c r="FP754" s="13"/>
      <c r="FQ754" s="13"/>
      <c r="FR754" s="13"/>
      <c r="FS754" s="13"/>
      <c r="FT754" s="13"/>
      <c r="FU754" s="13"/>
      <c r="FV754" s="13"/>
      <c r="FW754" s="13"/>
      <c r="FX754" s="13"/>
      <c r="FY754" s="13"/>
      <c r="FZ754" s="13"/>
      <c r="GA754" s="13"/>
      <c r="GB754" s="13"/>
      <c r="GC754" s="13"/>
      <c r="GD754" s="13"/>
      <c r="GE754" s="13"/>
      <c r="GF754" s="13"/>
      <c r="GG754" s="13"/>
      <c r="GH754" s="13"/>
      <c r="GI754" s="13"/>
      <c r="GJ754" s="13"/>
      <c r="GK754" s="13"/>
      <c r="GL754" s="13"/>
      <c r="GM754" s="13"/>
      <c r="GN754" s="13"/>
      <c r="GO754" s="13"/>
      <c r="GP754" s="13"/>
      <c r="GQ754" s="13"/>
      <c r="GR754" s="13"/>
      <c r="GS754" s="13"/>
      <c r="GT754" s="13"/>
      <c r="GU754" s="13"/>
      <c r="GV754" s="13"/>
      <c r="GW754" s="13"/>
      <c r="GX754" s="13"/>
      <c r="GY754" s="13"/>
      <c r="GZ754" s="13"/>
      <c r="HA754" s="13"/>
      <c r="HB754" s="13"/>
      <c r="HC754" s="13"/>
      <c r="HD754" s="13"/>
      <c r="HE754" s="13"/>
      <c r="HF754" s="13"/>
      <c r="HG754" s="13"/>
      <c r="HH754" s="13"/>
      <c r="HI754" s="13"/>
      <c r="HJ754" s="13"/>
      <c r="HK754" s="13"/>
      <c r="HL754" s="13"/>
      <c r="HM754" s="13"/>
      <c r="HN754" s="13"/>
      <c r="HO754" s="13"/>
      <c r="HP754" s="13"/>
      <c r="HQ754" s="13"/>
      <c r="HR754" s="13"/>
      <c r="HS754" s="13"/>
      <c r="HT754" s="13"/>
      <c r="HU754" s="13"/>
      <c r="HV754" s="13"/>
      <c r="HW754" s="13"/>
      <c r="HX754" s="13"/>
      <c r="HY754" s="13"/>
      <c r="HZ754" s="13"/>
      <c r="IA754" s="13"/>
      <c r="IB754" s="13"/>
      <c r="IC754" s="13"/>
      <c r="ID754" s="13"/>
      <c r="IE754" s="13"/>
      <c r="IF754" s="13"/>
      <c r="IG754" s="13"/>
      <c r="IH754" s="13"/>
      <c r="II754" s="13"/>
      <c r="IJ754" s="13"/>
      <c r="IK754" s="13"/>
      <c r="IL754" s="13"/>
      <c r="IM754" s="13"/>
      <c r="IN754" s="13"/>
      <c r="IO754" s="13"/>
      <c r="IP754" s="13"/>
      <c r="IQ754" s="13"/>
      <c r="IR754" s="13"/>
      <c r="IS754" s="13"/>
      <c r="IT754" s="13"/>
      <c r="IU754" s="13"/>
      <c r="IV754" s="13"/>
    </row>
    <row r="755" spans="1:256" s="67" customFormat="1" hidden="1">
      <c r="A755" s="286" t="s">
        <v>1906</v>
      </c>
      <c r="B755" s="287" t="s">
        <v>1913</v>
      </c>
      <c r="C755" s="613" t="s">
        <v>448</v>
      </c>
      <c r="D755" s="613"/>
      <c r="E755" s="609" t="s">
        <v>150</v>
      </c>
      <c r="F755" s="613" t="s">
        <v>67</v>
      </c>
      <c r="G755" s="37" t="s">
        <v>160</v>
      </c>
      <c r="H755" s="613"/>
      <c r="I755" s="613" t="s">
        <v>2051</v>
      </c>
      <c r="J755" s="613">
        <v>9</v>
      </c>
      <c r="K755" s="611"/>
      <c r="L755" s="611"/>
      <c r="M755" s="613" t="s">
        <v>67</v>
      </c>
      <c r="N755" s="611">
        <v>1</v>
      </c>
      <c r="O755" s="611" t="s">
        <v>2057</v>
      </c>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c r="DV755" s="13"/>
      <c r="DW755" s="13"/>
      <c r="DX755" s="13"/>
      <c r="DY755" s="13"/>
      <c r="DZ755" s="13"/>
      <c r="EA755" s="13"/>
      <c r="EB755" s="13"/>
      <c r="EC755" s="13"/>
      <c r="ED755" s="13"/>
      <c r="EE755" s="13"/>
      <c r="EF755" s="13"/>
      <c r="EG755" s="13"/>
      <c r="EH755" s="13"/>
      <c r="EI755" s="13"/>
      <c r="EJ755" s="13"/>
      <c r="EK755" s="13"/>
      <c r="EL755" s="13"/>
      <c r="EM755" s="13"/>
      <c r="EN755" s="13"/>
      <c r="EO755" s="13"/>
      <c r="EP755" s="13"/>
      <c r="EQ755" s="13"/>
      <c r="ER755" s="13"/>
      <c r="ES755" s="13"/>
      <c r="ET755" s="13"/>
      <c r="EU755" s="13"/>
      <c r="EV755" s="13"/>
      <c r="EW755" s="13"/>
      <c r="EX755" s="13"/>
      <c r="EY755" s="13"/>
      <c r="EZ755" s="13"/>
      <c r="FA755" s="13"/>
      <c r="FB755" s="13"/>
      <c r="FC755" s="13"/>
      <c r="FD755" s="13"/>
      <c r="FE755" s="13"/>
      <c r="FF755" s="13"/>
      <c r="FG755" s="13"/>
      <c r="FH755" s="13"/>
      <c r="FI755" s="13"/>
      <c r="FJ755" s="13"/>
      <c r="FK755" s="13"/>
      <c r="FL755" s="13"/>
      <c r="FM755" s="13"/>
      <c r="FN755" s="13"/>
      <c r="FO755" s="13"/>
      <c r="FP755" s="13"/>
      <c r="FQ755" s="13"/>
      <c r="FR755" s="13"/>
      <c r="FS755" s="13"/>
      <c r="FT755" s="13"/>
      <c r="FU755" s="13"/>
      <c r="FV755" s="13"/>
      <c r="FW755" s="13"/>
      <c r="FX755" s="13"/>
      <c r="FY755" s="13"/>
      <c r="FZ755" s="13"/>
      <c r="GA755" s="13"/>
      <c r="GB755" s="13"/>
      <c r="GC755" s="13"/>
      <c r="GD755" s="13"/>
      <c r="GE755" s="13"/>
      <c r="GF755" s="13"/>
      <c r="GG755" s="13"/>
      <c r="GH755" s="13"/>
      <c r="GI755" s="13"/>
      <c r="GJ755" s="13"/>
      <c r="GK755" s="13"/>
      <c r="GL755" s="13"/>
      <c r="GM755" s="13"/>
      <c r="GN755" s="13"/>
      <c r="GO755" s="13"/>
      <c r="GP755" s="13"/>
      <c r="GQ755" s="13"/>
      <c r="GR755" s="13"/>
      <c r="GS755" s="13"/>
      <c r="GT755" s="13"/>
      <c r="GU755" s="13"/>
      <c r="GV755" s="13"/>
      <c r="GW755" s="13"/>
      <c r="GX755" s="13"/>
      <c r="GY755" s="13"/>
      <c r="GZ755" s="13"/>
      <c r="HA755" s="13"/>
      <c r="HB755" s="13"/>
      <c r="HC755" s="13"/>
      <c r="HD755" s="13"/>
      <c r="HE755" s="13"/>
      <c r="HF755" s="13"/>
      <c r="HG755" s="13"/>
      <c r="HH755" s="13"/>
      <c r="HI755" s="13"/>
      <c r="HJ755" s="13"/>
      <c r="HK755" s="13"/>
      <c r="HL755" s="13"/>
      <c r="HM755" s="13"/>
      <c r="HN755" s="13"/>
      <c r="HO755" s="13"/>
      <c r="HP755" s="13"/>
      <c r="HQ755" s="13"/>
      <c r="HR755" s="13"/>
      <c r="HS755" s="13"/>
      <c r="HT755" s="13"/>
      <c r="HU755" s="13"/>
      <c r="HV755" s="13"/>
      <c r="HW755" s="13"/>
      <c r="HX755" s="13"/>
      <c r="HY755" s="13"/>
      <c r="HZ755" s="13"/>
      <c r="IA755" s="13"/>
      <c r="IB755" s="13"/>
      <c r="IC755" s="13"/>
      <c r="ID755" s="13"/>
      <c r="IE755" s="13"/>
      <c r="IF755" s="13"/>
      <c r="IG755" s="13"/>
      <c r="IH755" s="13"/>
      <c r="II755" s="13"/>
      <c r="IJ755" s="13"/>
      <c r="IK755" s="13"/>
      <c r="IL755" s="13"/>
      <c r="IM755" s="13"/>
      <c r="IN755" s="13"/>
      <c r="IO755" s="13"/>
      <c r="IP755" s="13"/>
      <c r="IQ755" s="13"/>
      <c r="IR755" s="13"/>
      <c r="IS755" s="13"/>
      <c r="IT755" s="13"/>
      <c r="IU755" s="13"/>
      <c r="IV755" s="13"/>
    </row>
    <row r="756" spans="1:256" s="67" customFormat="1" hidden="1">
      <c r="A756" s="286" t="s">
        <v>1904</v>
      </c>
      <c r="B756" s="287" t="s">
        <v>1914</v>
      </c>
      <c r="C756" s="613" t="s">
        <v>448</v>
      </c>
      <c r="D756" s="613">
        <v>32</v>
      </c>
      <c r="E756" s="609" t="s">
        <v>150</v>
      </c>
      <c r="F756" s="613" t="s">
        <v>68</v>
      </c>
      <c r="G756" s="37" t="s">
        <v>160</v>
      </c>
      <c r="H756" s="613"/>
      <c r="I756" s="613" t="s">
        <v>2051</v>
      </c>
      <c r="J756" s="613">
        <v>9</v>
      </c>
      <c r="K756" s="611"/>
      <c r="L756" s="611"/>
      <c r="M756" s="613" t="s">
        <v>68</v>
      </c>
      <c r="N756" s="611">
        <v>1</v>
      </c>
      <c r="O756" s="611" t="s">
        <v>2058</v>
      </c>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c r="DV756" s="13"/>
      <c r="DW756" s="13"/>
      <c r="DX756" s="13"/>
      <c r="DY756" s="13"/>
      <c r="DZ756" s="13"/>
      <c r="EA756" s="13"/>
      <c r="EB756" s="13"/>
      <c r="EC756" s="13"/>
      <c r="ED756" s="13"/>
      <c r="EE756" s="13"/>
      <c r="EF756" s="13"/>
      <c r="EG756" s="13"/>
      <c r="EH756" s="13"/>
      <c r="EI756" s="13"/>
      <c r="EJ756" s="13"/>
      <c r="EK756" s="13"/>
      <c r="EL756" s="13"/>
      <c r="EM756" s="13"/>
      <c r="EN756" s="13"/>
      <c r="EO756" s="13"/>
      <c r="EP756" s="13"/>
      <c r="EQ756" s="13"/>
      <c r="ER756" s="13"/>
      <c r="ES756" s="13"/>
      <c r="ET756" s="13"/>
      <c r="EU756" s="13"/>
      <c r="EV756" s="13"/>
      <c r="EW756" s="13"/>
      <c r="EX756" s="13"/>
      <c r="EY756" s="13"/>
      <c r="EZ756" s="13"/>
      <c r="FA756" s="13"/>
      <c r="FB756" s="13"/>
      <c r="FC756" s="13"/>
      <c r="FD756" s="13"/>
      <c r="FE756" s="13"/>
      <c r="FF756" s="13"/>
      <c r="FG756" s="13"/>
      <c r="FH756" s="13"/>
      <c r="FI756" s="13"/>
      <c r="FJ756" s="13"/>
      <c r="FK756" s="13"/>
      <c r="FL756" s="13"/>
      <c r="FM756" s="13"/>
      <c r="FN756" s="13"/>
      <c r="FO756" s="13"/>
      <c r="FP756" s="13"/>
      <c r="FQ756" s="13"/>
      <c r="FR756" s="13"/>
      <c r="FS756" s="13"/>
      <c r="FT756" s="13"/>
      <c r="FU756" s="13"/>
      <c r="FV756" s="13"/>
      <c r="FW756" s="13"/>
      <c r="FX756" s="13"/>
      <c r="FY756" s="13"/>
      <c r="FZ756" s="13"/>
      <c r="GA756" s="13"/>
      <c r="GB756" s="13"/>
      <c r="GC756" s="13"/>
      <c r="GD756" s="13"/>
      <c r="GE756" s="13"/>
      <c r="GF756" s="13"/>
      <c r="GG756" s="13"/>
      <c r="GH756" s="13"/>
      <c r="GI756" s="13"/>
      <c r="GJ756" s="13"/>
      <c r="GK756" s="13"/>
      <c r="GL756" s="13"/>
      <c r="GM756" s="13"/>
      <c r="GN756" s="13"/>
      <c r="GO756" s="13"/>
      <c r="GP756" s="13"/>
      <c r="GQ756" s="13"/>
      <c r="GR756" s="13"/>
      <c r="GS756" s="13"/>
      <c r="GT756" s="13"/>
      <c r="GU756" s="13"/>
      <c r="GV756" s="13"/>
      <c r="GW756" s="13"/>
      <c r="GX756" s="13"/>
      <c r="GY756" s="13"/>
      <c r="GZ756" s="13"/>
      <c r="HA756" s="13"/>
      <c r="HB756" s="13"/>
      <c r="HC756" s="13"/>
      <c r="HD756" s="13"/>
      <c r="HE756" s="13"/>
      <c r="HF756" s="13"/>
      <c r="HG756" s="13"/>
      <c r="HH756" s="13"/>
      <c r="HI756" s="13"/>
      <c r="HJ756" s="13"/>
      <c r="HK756" s="13"/>
      <c r="HL756" s="13"/>
      <c r="HM756" s="13"/>
      <c r="HN756" s="13"/>
      <c r="HO756" s="13"/>
      <c r="HP756" s="13"/>
      <c r="HQ756" s="13"/>
      <c r="HR756" s="13"/>
      <c r="HS756" s="13"/>
      <c r="HT756" s="13"/>
      <c r="HU756" s="13"/>
      <c r="HV756" s="13"/>
      <c r="HW756" s="13"/>
      <c r="HX756" s="13"/>
      <c r="HY756" s="13"/>
      <c r="HZ756" s="13"/>
      <c r="IA756" s="13"/>
      <c r="IB756" s="13"/>
      <c r="IC756" s="13"/>
      <c r="ID756" s="13"/>
      <c r="IE756" s="13"/>
      <c r="IF756" s="13"/>
      <c r="IG756" s="13"/>
      <c r="IH756" s="13"/>
      <c r="II756" s="13"/>
      <c r="IJ756" s="13"/>
      <c r="IK756" s="13"/>
      <c r="IL756" s="13"/>
      <c r="IM756" s="13"/>
      <c r="IN756" s="13"/>
      <c r="IO756" s="13"/>
      <c r="IP756" s="13"/>
      <c r="IQ756" s="13"/>
      <c r="IR756" s="13"/>
      <c r="IS756" s="13"/>
      <c r="IT756" s="13"/>
      <c r="IU756" s="13"/>
      <c r="IV756" s="13"/>
    </row>
    <row r="757" spans="1:256" s="67" customFormat="1" hidden="1">
      <c r="A757" s="286" t="s">
        <v>1907</v>
      </c>
      <c r="B757" s="287" t="s">
        <v>1915</v>
      </c>
      <c r="C757" s="613" t="s">
        <v>448</v>
      </c>
      <c r="D757" s="613"/>
      <c r="E757" s="609" t="s">
        <v>150</v>
      </c>
      <c r="F757" s="613" t="s">
        <v>67</v>
      </c>
      <c r="G757" s="37" t="s">
        <v>160</v>
      </c>
      <c r="H757" s="613"/>
      <c r="I757" s="613" t="s">
        <v>2051</v>
      </c>
      <c r="J757" s="613">
        <v>9</v>
      </c>
      <c r="K757" s="611"/>
      <c r="L757" s="611"/>
      <c r="M757" s="613" t="s">
        <v>67</v>
      </c>
      <c r="N757" s="611">
        <v>1</v>
      </c>
      <c r="O757" s="611" t="s">
        <v>2057</v>
      </c>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c r="DV757" s="13"/>
      <c r="DW757" s="13"/>
      <c r="DX757" s="13"/>
      <c r="DY757" s="13"/>
      <c r="DZ757" s="13"/>
      <c r="EA757" s="13"/>
      <c r="EB757" s="13"/>
      <c r="EC757" s="13"/>
      <c r="ED757" s="13"/>
      <c r="EE757" s="13"/>
      <c r="EF757" s="13"/>
      <c r="EG757" s="13"/>
      <c r="EH757" s="13"/>
      <c r="EI757" s="13"/>
      <c r="EJ757" s="13"/>
      <c r="EK757" s="13"/>
      <c r="EL757" s="13"/>
      <c r="EM757" s="13"/>
      <c r="EN757" s="13"/>
      <c r="EO757" s="13"/>
      <c r="EP757" s="13"/>
      <c r="EQ757" s="13"/>
      <c r="ER757" s="13"/>
      <c r="ES757" s="13"/>
      <c r="ET757" s="13"/>
      <c r="EU757" s="13"/>
      <c r="EV757" s="13"/>
      <c r="EW757" s="13"/>
      <c r="EX757" s="13"/>
      <c r="EY757" s="13"/>
      <c r="EZ757" s="13"/>
      <c r="FA757" s="13"/>
      <c r="FB757" s="13"/>
      <c r="FC757" s="13"/>
      <c r="FD757" s="13"/>
      <c r="FE757" s="13"/>
      <c r="FF757" s="13"/>
      <c r="FG757" s="13"/>
      <c r="FH757" s="13"/>
      <c r="FI757" s="13"/>
      <c r="FJ757" s="13"/>
      <c r="FK757" s="13"/>
      <c r="FL757" s="13"/>
      <c r="FM757" s="13"/>
      <c r="FN757" s="13"/>
      <c r="FO757" s="13"/>
      <c r="FP757" s="13"/>
      <c r="FQ757" s="13"/>
      <c r="FR757" s="13"/>
      <c r="FS757" s="13"/>
      <c r="FT757" s="13"/>
      <c r="FU757" s="13"/>
      <c r="FV757" s="13"/>
      <c r="FW757" s="13"/>
      <c r="FX757" s="13"/>
      <c r="FY757" s="13"/>
      <c r="FZ757" s="13"/>
      <c r="GA757" s="13"/>
      <c r="GB757" s="13"/>
      <c r="GC757" s="13"/>
      <c r="GD757" s="13"/>
      <c r="GE757" s="13"/>
      <c r="GF757" s="13"/>
      <c r="GG757" s="13"/>
      <c r="GH757" s="13"/>
      <c r="GI757" s="13"/>
      <c r="GJ757" s="13"/>
      <c r="GK757" s="13"/>
      <c r="GL757" s="13"/>
      <c r="GM757" s="13"/>
      <c r="GN757" s="13"/>
      <c r="GO757" s="13"/>
      <c r="GP757" s="13"/>
      <c r="GQ757" s="13"/>
      <c r="GR757" s="13"/>
      <c r="GS757" s="13"/>
      <c r="GT757" s="13"/>
      <c r="GU757" s="13"/>
      <c r="GV757" s="13"/>
      <c r="GW757" s="13"/>
      <c r="GX757" s="13"/>
      <c r="GY757" s="13"/>
      <c r="GZ757" s="13"/>
      <c r="HA757" s="13"/>
      <c r="HB757" s="13"/>
      <c r="HC757" s="13"/>
      <c r="HD757" s="13"/>
      <c r="HE757" s="13"/>
      <c r="HF757" s="13"/>
      <c r="HG757" s="13"/>
      <c r="HH757" s="13"/>
      <c r="HI757" s="13"/>
      <c r="HJ757" s="13"/>
      <c r="HK757" s="13"/>
      <c r="HL757" s="13"/>
      <c r="HM757" s="13"/>
      <c r="HN757" s="13"/>
      <c r="HO757" s="13"/>
      <c r="HP757" s="13"/>
      <c r="HQ757" s="13"/>
      <c r="HR757" s="13"/>
      <c r="HS757" s="13"/>
      <c r="HT757" s="13"/>
      <c r="HU757" s="13"/>
      <c r="HV757" s="13"/>
      <c r="HW757" s="13"/>
      <c r="HX757" s="13"/>
      <c r="HY757" s="13"/>
      <c r="HZ757" s="13"/>
      <c r="IA757" s="13"/>
      <c r="IB757" s="13"/>
      <c r="IC757" s="13"/>
      <c r="ID757" s="13"/>
      <c r="IE757" s="13"/>
      <c r="IF757" s="13"/>
      <c r="IG757" s="13"/>
      <c r="IH757" s="13"/>
      <c r="II757" s="13"/>
      <c r="IJ757" s="13"/>
      <c r="IK757" s="13"/>
      <c r="IL757" s="13"/>
      <c r="IM757" s="13"/>
      <c r="IN757" s="13"/>
      <c r="IO757" s="13"/>
      <c r="IP757" s="13"/>
      <c r="IQ757" s="13"/>
      <c r="IR757" s="13"/>
      <c r="IS757" s="13"/>
      <c r="IT757" s="13"/>
      <c r="IU757" s="13"/>
      <c r="IV757" s="13"/>
    </row>
    <row r="758" spans="1:256" s="67" customFormat="1" hidden="1">
      <c r="A758" s="286" t="s">
        <v>1908</v>
      </c>
      <c r="B758" s="287" t="s">
        <v>1916</v>
      </c>
      <c r="C758" s="613" t="s">
        <v>448</v>
      </c>
      <c r="D758" s="613"/>
      <c r="E758" s="609" t="s">
        <v>150</v>
      </c>
      <c r="F758" s="613" t="s">
        <v>68</v>
      </c>
      <c r="G758" s="37" t="s">
        <v>160</v>
      </c>
      <c r="H758" s="613"/>
      <c r="I758" s="613" t="s">
        <v>2051</v>
      </c>
      <c r="J758" s="613">
        <v>9</v>
      </c>
      <c r="K758" s="611"/>
      <c r="L758" s="611"/>
      <c r="M758" s="613" t="s">
        <v>68</v>
      </c>
      <c r="N758" s="611">
        <v>1</v>
      </c>
      <c r="O758" s="611" t="s">
        <v>2058</v>
      </c>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c r="DV758" s="13"/>
      <c r="DW758" s="13"/>
      <c r="DX758" s="13"/>
      <c r="DY758" s="13"/>
      <c r="DZ758" s="13"/>
      <c r="EA758" s="13"/>
      <c r="EB758" s="13"/>
      <c r="EC758" s="13"/>
      <c r="ED758" s="13"/>
      <c r="EE758" s="13"/>
      <c r="EF758" s="13"/>
      <c r="EG758" s="13"/>
      <c r="EH758" s="13"/>
      <c r="EI758" s="13"/>
      <c r="EJ758" s="13"/>
      <c r="EK758" s="13"/>
      <c r="EL758" s="13"/>
      <c r="EM758" s="13"/>
      <c r="EN758" s="13"/>
      <c r="EO758" s="13"/>
      <c r="EP758" s="13"/>
      <c r="EQ758" s="13"/>
      <c r="ER758" s="13"/>
      <c r="ES758" s="13"/>
      <c r="ET758" s="13"/>
      <c r="EU758" s="13"/>
      <c r="EV758" s="13"/>
      <c r="EW758" s="13"/>
      <c r="EX758" s="13"/>
      <c r="EY758" s="13"/>
      <c r="EZ758" s="13"/>
      <c r="FA758" s="13"/>
      <c r="FB758" s="13"/>
      <c r="FC758" s="13"/>
      <c r="FD758" s="13"/>
      <c r="FE758" s="13"/>
      <c r="FF758" s="13"/>
      <c r="FG758" s="13"/>
      <c r="FH758" s="13"/>
      <c r="FI758" s="13"/>
      <c r="FJ758" s="13"/>
      <c r="FK758" s="13"/>
      <c r="FL758" s="13"/>
      <c r="FM758" s="13"/>
      <c r="FN758" s="13"/>
      <c r="FO758" s="13"/>
      <c r="FP758" s="13"/>
      <c r="FQ758" s="13"/>
      <c r="FR758" s="13"/>
      <c r="FS758" s="13"/>
      <c r="FT758" s="13"/>
      <c r="FU758" s="13"/>
      <c r="FV758" s="13"/>
      <c r="FW758" s="13"/>
      <c r="FX758" s="13"/>
      <c r="FY758" s="13"/>
      <c r="FZ758" s="13"/>
      <c r="GA758" s="13"/>
      <c r="GB758" s="13"/>
      <c r="GC758" s="13"/>
      <c r="GD758" s="13"/>
      <c r="GE758" s="13"/>
      <c r="GF758" s="13"/>
      <c r="GG758" s="13"/>
      <c r="GH758" s="13"/>
      <c r="GI758" s="13"/>
      <c r="GJ758" s="13"/>
      <c r="GK758" s="13"/>
      <c r="GL758" s="13"/>
      <c r="GM758" s="13"/>
      <c r="GN758" s="13"/>
      <c r="GO758" s="13"/>
      <c r="GP758" s="13"/>
      <c r="GQ758" s="13"/>
      <c r="GR758" s="13"/>
      <c r="GS758" s="13"/>
      <c r="GT758" s="13"/>
      <c r="GU758" s="13"/>
      <c r="GV758" s="13"/>
      <c r="GW758" s="13"/>
      <c r="GX758" s="13"/>
      <c r="GY758" s="13"/>
      <c r="GZ758" s="13"/>
      <c r="HA758" s="13"/>
      <c r="HB758" s="13"/>
      <c r="HC758" s="13"/>
      <c r="HD758" s="13"/>
      <c r="HE758" s="13"/>
      <c r="HF758" s="13"/>
      <c r="HG758" s="13"/>
      <c r="HH758" s="13"/>
      <c r="HI758" s="13"/>
      <c r="HJ758" s="13"/>
      <c r="HK758" s="13"/>
      <c r="HL758" s="13"/>
      <c r="HM758" s="13"/>
      <c r="HN758" s="13"/>
      <c r="HO758" s="13"/>
      <c r="HP758" s="13"/>
      <c r="HQ758" s="13"/>
      <c r="HR758" s="13"/>
      <c r="HS758" s="13"/>
      <c r="HT758" s="13"/>
      <c r="HU758" s="13"/>
      <c r="HV758" s="13"/>
      <c r="HW758" s="13"/>
      <c r="HX758" s="13"/>
      <c r="HY758" s="13"/>
      <c r="HZ758" s="13"/>
      <c r="IA758" s="13"/>
      <c r="IB758" s="13"/>
      <c r="IC758" s="13"/>
      <c r="ID758" s="13"/>
      <c r="IE758" s="13"/>
      <c r="IF758" s="13"/>
      <c r="IG758" s="13"/>
      <c r="IH758" s="13"/>
      <c r="II758" s="13"/>
      <c r="IJ758" s="13"/>
      <c r="IK758" s="13"/>
      <c r="IL758" s="13"/>
      <c r="IM758" s="13"/>
      <c r="IN758" s="13"/>
      <c r="IO758" s="13"/>
      <c r="IP758" s="13"/>
      <c r="IQ758" s="13"/>
      <c r="IR758" s="13"/>
      <c r="IS758" s="13"/>
      <c r="IT758" s="13"/>
      <c r="IU758" s="13"/>
      <c r="IV758" s="13"/>
    </row>
    <row r="759" spans="1:256" s="67" customFormat="1" hidden="1">
      <c r="A759" s="286" t="s">
        <v>1909</v>
      </c>
      <c r="B759" s="287" t="s">
        <v>1917</v>
      </c>
      <c r="C759" s="613" t="s">
        <v>448</v>
      </c>
      <c r="D759" s="613"/>
      <c r="E759" s="609" t="s">
        <v>150</v>
      </c>
      <c r="F759" s="613" t="s">
        <v>67</v>
      </c>
      <c r="G759" s="37" t="s">
        <v>160</v>
      </c>
      <c r="H759" s="613"/>
      <c r="I759" s="613" t="s">
        <v>2051</v>
      </c>
      <c r="J759" s="613">
        <v>9</v>
      </c>
      <c r="K759" s="611"/>
      <c r="L759" s="611"/>
      <c r="M759" s="613" t="s">
        <v>67</v>
      </c>
      <c r="N759" s="611">
        <v>1</v>
      </c>
      <c r="O759" s="611" t="s">
        <v>2057</v>
      </c>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c r="DV759" s="13"/>
      <c r="DW759" s="13"/>
      <c r="DX759" s="13"/>
      <c r="DY759" s="13"/>
      <c r="DZ759" s="13"/>
      <c r="EA759" s="13"/>
      <c r="EB759" s="13"/>
      <c r="EC759" s="13"/>
      <c r="ED759" s="13"/>
      <c r="EE759" s="13"/>
      <c r="EF759" s="13"/>
      <c r="EG759" s="13"/>
      <c r="EH759" s="13"/>
      <c r="EI759" s="13"/>
      <c r="EJ759" s="13"/>
      <c r="EK759" s="13"/>
      <c r="EL759" s="13"/>
      <c r="EM759" s="13"/>
      <c r="EN759" s="13"/>
      <c r="EO759" s="13"/>
      <c r="EP759" s="13"/>
      <c r="EQ759" s="13"/>
      <c r="ER759" s="13"/>
      <c r="ES759" s="13"/>
      <c r="ET759" s="13"/>
      <c r="EU759" s="13"/>
      <c r="EV759" s="13"/>
      <c r="EW759" s="13"/>
      <c r="EX759" s="13"/>
      <c r="EY759" s="13"/>
      <c r="EZ759" s="13"/>
      <c r="FA759" s="13"/>
      <c r="FB759" s="13"/>
      <c r="FC759" s="13"/>
      <c r="FD759" s="13"/>
      <c r="FE759" s="13"/>
      <c r="FF759" s="13"/>
      <c r="FG759" s="13"/>
      <c r="FH759" s="13"/>
      <c r="FI759" s="13"/>
      <c r="FJ759" s="13"/>
      <c r="FK759" s="13"/>
      <c r="FL759" s="13"/>
      <c r="FM759" s="13"/>
      <c r="FN759" s="13"/>
      <c r="FO759" s="13"/>
      <c r="FP759" s="13"/>
      <c r="FQ759" s="13"/>
      <c r="FR759" s="13"/>
      <c r="FS759" s="13"/>
      <c r="FT759" s="13"/>
      <c r="FU759" s="13"/>
      <c r="FV759" s="13"/>
      <c r="FW759" s="13"/>
      <c r="FX759" s="13"/>
      <c r="FY759" s="13"/>
      <c r="FZ759" s="13"/>
      <c r="GA759" s="13"/>
      <c r="GB759" s="13"/>
      <c r="GC759" s="13"/>
      <c r="GD759" s="13"/>
      <c r="GE759" s="13"/>
      <c r="GF759" s="13"/>
      <c r="GG759" s="13"/>
      <c r="GH759" s="13"/>
      <c r="GI759" s="13"/>
      <c r="GJ759" s="13"/>
      <c r="GK759" s="13"/>
      <c r="GL759" s="13"/>
      <c r="GM759" s="13"/>
      <c r="GN759" s="13"/>
      <c r="GO759" s="13"/>
      <c r="GP759" s="13"/>
      <c r="GQ759" s="13"/>
      <c r="GR759" s="13"/>
      <c r="GS759" s="13"/>
      <c r="GT759" s="13"/>
      <c r="GU759" s="13"/>
      <c r="GV759" s="13"/>
      <c r="GW759" s="13"/>
      <c r="GX759" s="13"/>
      <c r="GY759" s="13"/>
      <c r="GZ759" s="13"/>
      <c r="HA759" s="13"/>
      <c r="HB759" s="13"/>
      <c r="HC759" s="13"/>
      <c r="HD759" s="13"/>
      <c r="HE759" s="13"/>
      <c r="HF759" s="13"/>
      <c r="HG759" s="13"/>
      <c r="HH759" s="13"/>
      <c r="HI759" s="13"/>
      <c r="HJ759" s="13"/>
      <c r="HK759" s="13"/>
      <c r="HL759" s="13"/>
      <c r="HM759" s="13"/>
      <c r="HN759" s="13"/>
      <c r="HO759" s="13"/>
      <c r="HP759" s="13"/>
      <c r="HQ759" s="13"/>
      <c r="HR759" s="13"/>
      <c r="HS759" s="13"/>
      <c r="HT759" s="13"/>
      <c r="HU759" s="13"/>
      <c r="HV759" s="13"/>
      <c r="HW759" s="13"/>
      <c r="HX759" s="13"/>
      <c r="HY759" s="13"/>
      <c r="HZ759" s="13"/>
      <c r="IA759" s="13"/>
      <c r="IB759" s="13"/>
      <c r="IC759" s="13"/>
      <c r="ID759" s="13"/>
      <c r="IE759" s="13"/>
      <c r="IF759" s="13"/>
      <c r="IG759" s="13"/>
      <c r="IH759" s="13"/>
      <c r="II759" s="13"/>
      <c r="IJ759" s="13"/>
      <c r="IK759" s="13"/>
      <c r="IL759" s="13"/>
      <c r="IM759" s="13"/>
      <c r="IN759" s="13"/>
      <c r="IO759" s="13"/>
      <c r="IP759" s="13"/>
      <c r="IQ759" s="13"/>
      <c r="IR759" s="13"/>
      <c r="IS759" s="13"/>
      <c r="IT759" s="13"/>
      <c r="IU759" s="13"/>
      <c r="IV759" s="13"/>
    </row>
    <row r="760" spans="1:256" s="67" customFormat="1" hidden="1">
      <c r="A760" s="286" t="s">
        <v>1910</v>
      </c>
      <c r="B760" s="287" t="s">
        <v>1925</v>
      </c>
      <c r="C760" s="613" t="s">
        <v>448</v>
      </c>
      <c r="D760" s="613"/>
      <c r="E760" s="609" t="s">
        <v>150</v>
      </c>
      <c r="F760" s="613" t="s">
        <v>67</v>
      </c>
      <c r="G760" s="37" t="s">
        <v>160</v>
      </c>
      <c r="H760" s="613"/>
      <c r="I760" s="613" t="s">
        <v>2051</v>
      </c>
      <c r="J760" s="613">
        <v>9</v>
      </c>
      <c r="K760" s="611"/>
      <c r="L760" s="611"/>
      <c r="M760" s="613" t="s">
        <v>67</v>
      </c>
      <c r="N760" s="611">
        <v>1</v>
      </c>
      <c r="O760" s="611" t="s">
        <v>2057</v>
      </c>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c r="DV760" s="13"/>
      <c r="DW760" s="13"/>
      <c r="DX760" s="13"/>
      <c r="DY760" s="13"/>
      <c r="DZ760" s="13"/>
      <c r="EA760" s="13"/>
      <c r="EB760" s="13"/>
      <c r="EC760" s="13"/>
      <c r="ED760" s="13"/>
      <c r="EE760" s="13"/>
      <c r="EF760" s="13"/>
      <c r="EG760" s="13"/>
      <c r="EH760" s="13"/>
      <c r="EI760" s="13"/>
      <c r="EJ760" s="13"/>
      <c r="EK760" s="13"/>
      <c r="EL760" s="13"/>
      <c r="EM760" s="13"/>
      <c r="EN760" s="13"/>
      <c r="EO760" s="13"/>
      <c r="EP760" s="13"/>
      <c r="EQ760" s="13"/>
      <c r="ER760" s="13"/>
      <c r="ES760" s="13"/>
      <c r="ET760" s="13"/>
      <c r="EU760" s="13"/>
      <c r="EV760" s="13"/>
      <c r="EW760" s="13"/>
      <c r="EX760" s="13"/>
      <c r="EY760" s="13"/>
      <c r="EZ760" s="13"/>
      <c r="FA760" s="13"/>
      <c r="FB760" s="13"/>
      <c r="FC760" s="13"/>
      <c r="FD760" s="13"/>
      <c r="FE760" s="13"/>
      <c r="FF760" s="13"/>
      <c r="FG760" s="13"/>
      <c r="FH760" s="13"/>
      <c r="FI760" s="13"/>
      <c r="FJ760" s="13"/>
      <c r="FK760" s="13"/>
      <c r="FL760" s="13"/>
      <c r="FM760" s="13"/>
      <c r="FN760" s="13"/>
      <c r="FO760" s="13"/>
      <c r="FP760" s="13"/>
      <c r="FQ760" s="13"/>
      <c r="FR760" s="13"/>
      <c r="FS760" s="13"/>
      <c r="FT760" s="13"/>
      <c r="FU760" s="13"/>
      <c r="FV760" s="13"/>
      <c r="FW760" s="13"/>
      <c r="FX760" s="13"/>
      <c r="FY760" s="13"/>
      <c r="FZ760" s="13"/>
      <c r="GA760" s="13"/>
      <c r="GB760" s="13"/>
      <c r="GC760" s="13"/>
      <c r="GD760" s="13"/>
      <c r="GE760" s="13"/>
      <c r="GF760" s="13"/>
      <c r="GG760" s="13"/>
      <c r="GH760" s="13"/>
      <c r="GI760" s="13"/>
      <c r="GJ760" s="13"/>
      <c r="GK760" s="13"/>
      <c r="GL760" s="13"/>
      <c r="GM760" s="13"/>
      <c r="GN760" s="13"/>
      <c r="GO760" s="13"/>
      <c r="GP760" s="13"/>
      <c r="GQ760" s="13"/>
      <c r="GR760" s="13"/>
      <c r="GS760" s="13"/>
      <c r="GT760" s="13"/>
      <c r="GU760" s="13"/>
      <c r="GV760" s="13"/>
      <c r="GW760" s="13"/>
      <c r="GX760" s="13"/>
      <c r="GY760" s="13"/>
      <c r="GZ760" s="13"/>
      <c r="HA760" s="13"/>
      <c r="HB760" s="13"/>
      <c r="HC760" s="13"/>
      <c r="HD760" s="13"/>
      <c r="HE760" s="13"/>
      <c r="HF760" s="13"/>
      <c r="HG760" s="13"/>
      <c r="HH760" s="13"/>
      <c r="HI760" s="13"/>
      <c r="HJ760" s="13"/>
      <c r="HK760" s="13"/>
      <c r="HL760" s="13"/>
      <c r="HM760" s="13"/>
      <c r="HN760" s="13"/>
      <c r="HO760" s="13"/>
      <c r="HP760" s="13"/>
      <c r="HQ760" s="13"/>
      <c r="HR760" s="13"/>
      <c r="HS760" s="13"/>
      <c r="HT760" s="13"/>
      <c r="HU760" s="13"/>
      <c r="HV760" s="13"/>
      <c r="HW760" s="13"/>
      <c r="HX760" s="13"/>
      <c r="HY760" s="13"/>
      <c r="HZ760" s="13"/>
      <c r="IA760" s="13"/>
      <c r="IB760" s="13"/>
      <c r="IC760" s="13"/>
      <c r="ID760" s="13"/>
      <c r="IE760" s="13"/>
      <c r="IF760" s="13"/>
      <c r="IG760" s="13"/>
      <c r="IH760" s="13"/>
      <c r="II760" s="13"/>
      <c r="IJ760" s="13"/>
      <c r="IK760" s="13"/>
      <c r="IL760" s="13"/>
      <c r="IM760" s="13"/>
      <c r="IN760" s="13"/>
      <c r="IO760" s="13"/>
      <c r="IP760" s="13"/>
      <c r="IQ760" s="13"/>
      <c r="IR760" s="13"/>
      <c r="IS760" s="13"/>
      <c r="IT760" s="13"/>
      <c r="IU760" s="13"/>
      <c r="IV760" s="13"/>
    </row>
    <row r="761" spans="1:256" s="67" customFormat="1" hidden="1">
      <c r="A761" s="286" t="s">
        <v>1911</v>
      </c>
      <c r="B761" s="287" t="s">
        <v>1918</v>
      </c>
      <c r="C761" s="613" t="s">
        <v>448</v>
      </c>
      <c r="D761" s="613"/>
      <c r="E761" s="609" t="s">
        <v>150</v>
      </c>
      <c r="F761" s="613" t="s">
        <v>68</v>
      </c>
      <c r="G761" s="37" t="s">
        <v>160</v>
      </c>
      <c r="H761" s="613"/>
      <c r="I761" s="613" t="s">
        <v>2051</v>
      </c>
      <c r="J761" s="613">
        <v>9</v>
      </c>
      <c r="K761" s="611"/>
      <c r="L761" s="611"/>
      <c r="M761" s="613" t="s">
        <v>68</v>
      </c>
      <c r="N761" s="611">
        <v>1</v>
      </c>
      <c r="O761" s="611" t="s">
        <v>2058</v>
      </c>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c r="DV761" s="13"/>
      <c r="DW761" s="13"/>
      <c r="DX761" s="13"/>
      <c r="DY761" s="13"/>
      <c r="DZ761" s="13"/>
      <c r="EA761" s="13"/>
      <c r="EB761" s="13"/>
      <c r="EC761" s="13"/>
      <c r="ED761" s="13"/>
      <c r="EE761" s="13"/>
      <c r="EF761" s="13"/>
      <c r="EG761" s="13"/>
      <c r="EH761" s="13"/>
      <c r="EI761" s="13"/>
      <c r="EJ761" s="13"/>
      <c r="EK761" s="13"/>
      <c r="EL761" s="13"/>
      <c r="EM761" s="13"/>
      <c r="EN761" s="13"/>
      <c r="EO761" s="13"/>
      <c r="EP761" s="13"/>
      <c r="EQ761" s="13"/>
      <c r="ER761" s="13"/>
      <c r="ES761" s="13"/>
      <c r="ET761" s="13"/>
      <c r="EU761" s="13"/>
      <c r="EV761" s="13"/>
      <c r="EW761" s="13"/>
      <c r="EX761" s="13"/>
      <c r="EY761" s="13"/>
      <c r="EZ761" s="13"/>
      <c r="FA761" s="13"/>
      <c r="FB761" s="13"/>
      <c r="FC761" s="13"/>
      <c r="FD761" s="13"/>
      <c r="FE761" s="13"/>
      <c r="FF761" s="13"/>
      <c r="FG761" s="13"/>
      <c r="FH761" s="13"/>
      <c r="FI761" s="13"/>
      <c r="FJ761" s="13"/>
      <c r="FK761" s="13"/>
      <c r="FL761" s="13"/>
      <c r="FM761" s="13"/>
      <c r="FN761" s="13"/>
      <c r="FO761" s="13"/>
      <c r="FP761" s="13"/>
      <c r="FQ761" s="13"/>
      <c r="FR761" s="13"/>
      <c r="FS761" s="13"/>
      <c r="FT761" s="13"/>
      <c r="FU761" s="13"/>
      <c r="FV761" s="13"/>
      <c r="FW761" s="13"/>
      <c r="FX761" s="13"/>
      <c r="FY761" s="13"/>
      <c r="FZ761" s="13"/>
      <c r="GA761" s="13"/>
      <c r="GB761" s="13"/>
      <c r="GC761" s="13"/>
      <c r="GD761" s="13"/>
      <c r="GE761" s="13"/>
      <c r="GF761" s="13"/>
      <c r="GG761" s="13"/>
      <c r="GH761" s="13"/>
      <c r="GI761" s="13"/>
      <c r="GJ761" s="13"/>
      <c r="GK761" s="13"/>
      <c r="GL761" s="13"/>
      <c r="GM761" s="13"/>
      <c r="GN761" s="13"/>
      <c r="GO761" s="13"/>
      <c r="GP761" s="13"/>
      <c r="GQ761" s="13"/>
      <c r="GR761" s="13"/>
      <c r="GS761" s="13"/>
      <c r="GT761" s="13"/>
      <c r="GU761" s="13"/>
      <c r="GV761" s="13"/>
      <c r="GW761" s="13"/>
      <c r="GX761" s="13"/>
      <c r="GY761" s="13"/>
      <c r="GZ761" s="13"/>
      <c r="HA761" s="13"/>
      <c r="HB761" s="13"/>
      <c r="HC761" s="13"/>
      <c r="HD761" s="13"/>
      <c r="HE761" s="13"/>
      <c r="HF761" s="13"/>
      <c r="HG761" s="13"/>
      <c r="HH761" s="13"/>
      <c r="HI761" s="13"/>
      <c r="HJ761" s="13"/>
      <c r="HK761" s="13"/>
      <c r="HL761" s="13"/>
      <c r="HM761" s="13"/>
      <c r="HN761" s="13"/>
      <c r="HO761" s="13"/>
      <c r="HP761" s="13"/>
      <c r="HQ761" s="13"/>
      <c r="HR761" s="13"/>
      <c r="HS761" s="13"/>
      <c r="HT761" s="13"/>
      <c r="HU761" s="13"/>
      <c r="HV761" s="13"/>
      <c r="HW761" s="13"/>
      <c r="HX761" s="13"/>
      <c r="HY761" s="13"/>
      <c r="HZ761" s="13"/>
      <c r="IA761" s="13"/>
      <c r="IB761" s="13"/>
      <c r="IC761" s="13"/>
      <c r="ID761" s="13"/>
      <c r="IE761" s="13"/>
      <c r="IF761" s="13"/>
      <c r="IG761" s="13"/>
      <c r="IH761" s="13"/>
      <c r="II761" s="13"/>
      <c r="IJ761" s="13"/>
      <c r="IK761" s="13"/>
      <c r="IL761" s="13"/>
      <c r="IM761" s="13"/>
      <c r="IN761" s="13"/>
      <c r="IO761" s="13"/>
      <c r="IP761" s="13"/>
      <c r="IQ761" s="13"/>
      <c r="IR761" s="13"/>
      <c r="IS761" s="13"/>
      <c r="IT761" s="13"/>
      <c r="IU761" s="13"/>
      <c r="IV761" s="13"/>
    </row>
    <row r="762" spans="1:256" s="67" customFormat="1" hidden="1">
      <c r="A762" s="286" t="s">
        <v>1912</v>
      </c>
      <c r="B762" s="287" t="s">
        <v>1924</v>
      </c>
      <c r="C762" s="613" t="s">
        <v>448</v>
      </c>
      <c r="D762" s="613">
        <v>32</v>
      </c>
      <c r="E762" s="609" t="s">
        <v>150</v>
      </c>
      <c r="F762" s="613" t="s">
        <v>68</v>
      </c>
      <c r="G762" s="37" t="s">
        <v>160</v>
      </c>
      <c r="H762" s="613">
        <v>32</v>
      </c>
      <c r="I762" s="613" t="s">
        <v>2051</v>
      </c>
      <c r="J762" s="613">
        <v>9</v>
      </c>
      <c r="K762" s="611"/>
      <c r="L762" s="611"/>
      <c r="M762" s="613" t="s">
        <v>68</v>
      </c>
      <c r="N762" s="611">
        <v>1</v>
      </c>
      <c r="O762" s="611" t="s">
        <v>2058</v>
      </c>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c r="DV762" s="13"/>
      <c r="DW762" s="13"/>
      <c r="DX762" s="13"/>
      <c r="DY762" s="13"/>
      <c r="DZ762" s="13"/>
      <c r="EA762" s="13"/>
      <c r="EB762" s="13"/>
      <c r="EC762" s="13"/>
      <c r="ED762" s="13"/>
      <c r="EE762" s="13"/>
      <c r="EF762" s="13"/>
      <c r="EG762" s="13"/>
      <c r="EH762" s="13"/>
      <c r="EI762" s="13"/>
      <c r="EJ762" s="13"/>
      <c r="EK762" s="13"/>
      <c r="EL762" s="13"/>
      <c r="EM762" s="13"/>
      <c r="EN762" s="13"/>
      <c r="EO762" s="13"/>
      <c r="EP762" s="13"/>
      <c r="EQ762" s="13"/>
      <c r="ER762" s="13"/>
      <c r="ES762" s="13"/>
      <c r="ET762" s="13"/>
      <c r="EU762" s="13"/>
      <c r="EV762" s="13"/>
      <c r="EW762" s="13"/>
      <c r="EX762" s="13"/>
      <c r="EY762" s="13"/>
      <c r="EZ762" s="13"/>
      <c r="FA762" s="13"/>
      <c r="FB762" s="13"/>
      <c r="FC762" s="13"/>
      <c r="FD762" s="13"/>
      <c r="FE762" s="13"/>
      <c r="FF762" s="13"/>
      <c r="FG762" s="13"/>
      <c r="FH762" s="13"/>
      <c r="FI762" s="13"/>
      <c r="FJ762" s="13"/>
      <c r="FK762" s="13"/>
      <c r="FL762" s="13"/>
      <c r="FM762" s="13"/>
      <c r="FN762" s="13"/>
      <c r="FO762" s="13"/>
      <c r="FP762" s="13"/>
      <c r="FQ762" s="13"/>
      <c r="FR762" s="13"/>
      <c r="FS762" s="13"/>
      <c r="FT762" s="13"/>
      <c r="FU762" s="13"/>
      <c r="FV762" s="13"/>
      <c r="FW762" s="13"/>
      <c r="FX762" s="13"/>
      <c r="FY762" s="13"/>
      <c r="FZ762" s="13"/>
      <c r="GA762" s="13"/>
      <c r="GB762" s="13"/>
      <c r="GC762" s="13"/>
      <c r="GD762" s="13"/>
      <c r="GE762" s="13"/>
      <c r="GF762" s="13"/>
      <c r="GG762" s="13"/>
      <c r="GH762" s="13"/>
      <c r="GI762" s="13"/>
      <c r="GJ762" s="13"/>
      <c r="GK762" s="13"/>
      <c r="GL762" s="13"/>
      <c r="GM762" s="13"/>
      <c r="GN762" s="13"/>
      <c r="GO762" s="13"/>
      <c r="GP762" s="13"/>
      <c r="GQ762" s="13"/>
      <c r="GR762" s="13"/>
      <c r="GS762" s="13"/>
      <c r="GT762" s="13"/>
      <c r="GU762" s="13"/>
      <c r="GV762" s="13"/>
      <c r="GW762" s="13"/>
      <c r="GX762" s="13"/>
      <c r="GY762" s="13"/>
      <c r="GZ762" s="13"/>
      <c r="HA762" s="13"/>
      <c r="HB762" s="13"/>
      <c r="HC762" s="13"/>
      <c r="HD762" s="13"/>
      <c r="HE762" s="13"/>
      <c r="HF762" s="13"/>
      <c r="HG762" s="13"/>
      <c r="HH762" s="13"/>
      <c r="HI762" s="13"/>
      <c r="HJ762" s="13"/>
      <c r="HK762" s="13"/>
      <c r="HL762" s="13"/>
      <c r="HM762" s="13"/>
      <c r="HN762" s="13"/>
      <c r="HO762" s="13"/>
      <c r="HP762" s="13"/>
      <c r="HQ762" s="13"/>
      <c r="HR762" s="13"/>
      <c r="HS762" s="13"/>
      <c r="HT762" s="13"/>
      <c r="HU762" s="13"/>
      <c r="HV762" s="13"/>
      <c r="HW762" s="13"/>
      <c r="HX762" s="13"/>
      <c r="HY762" s="13"/>
      <c r="HZ762" s="13"/>
      <c r="IA762" s="13"/>
      <c r="IB762" s="13"/>
      <c r="IC762" s="13"/>
      <c r="ID762" s="13"/>
      <c r="IE762" s="13"/>
      <c r="IF762" s="13"/>
      <c r="IG762" s="13"/>
      <c r="IH762" s="13"/>
      <c r="II762" s="13"/>
      <c r="IJ762" s="13"/>
      <c r="IK762" s="13"/>
      <c r="IL762" s="13"/>
      <c r="IM762" s="13"/>
      <c r="IN762" s="13"/>
      <c r="IO762" s="13"/>
      <c r="IP762" s="13"/>
      <c r="IQ762" s="13"/>
      <c r="IR762" s="13"/>
      <c r="IS762" s="13"/>
      <c r="IT762" s="13"/>
      <c r="IU762" s="13"/>
      <c r="IV762" s="13"/>
    </row>
    <row r="763" spans="1:256" s="441" customFormat="1" hidden="1">
      <c r="A763" s="286" t="s">
        <v>1984</v>
      </c>
      <c r="B763" s="287" t="s">
        <v>1986</v>
      </c>
      <c r="C763" s="613" t="s">
        <v>448</v>
      </c>
      <c r="D763" s="613"/>
      <c r="E763" s="609" t="s">
        <v>150</v>
      </c>
      <c r="F763" s="613" t="s">
        <v>2051</v>
      </c>
      <c r="G763" s="37" t="s">
        <v>160</v>
      </c>
      <c r="H763" s="613"/>
      <c r="I763" s="613" t="s">
        <v>2051</v>
      </c>
      <c r="J763" s="613">
        <v>9</v>
      </c>
      <c r="K763" s="611"/>
      <c r="L763" s="611"/>
      <c r="M763" s="613"/>
      <c r="N763" s="611"/>
      <c r="O763" s="611" t="s">
        <v>2058</v>
      </c>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c r="DV763" s="13"/>
      <c r="DW763" s="13"/>
      <c r="DX763" s="13"/>
      <c r="DY763" s="13"/>
      <c r="DZ763" s="13"/>
      <c r="EA763" s="13"/>
      <c r="EB763" s="13"/>
      <c r="EC763" s="13"/>
      <c r="ED763" s="13"/>
      <c r="EE763" s="13"/>
      <c r="EF763" s="13"/>
      <c r="EG763" s="13"/>
      <c r="EH763" s="13"/>
      <c r="EI763" s="13"/>
      <c r="EJ763" s="13"/>
      <c r="EK763" s="13"/>
      <c r="EL763" s="13"/>
      <c r="EM763" s="13"/>
      <c r="EN763" s="13"/>
      <c r="EO763" s="13"/>
      <c r="EP763" s="13"/>
      <c r="EQ763" s="13"/>
      <c r="ER763" s="13"/>
      <c r="ES763" s="13"/>
      <c r="ET763" s="13"/>
      <c r="EU763" s="13"/>
      <c r="EV763" s="13"/>
      <c r="EW763" s="13"/>
      <c r="EX763" s="13"/>
      <c r="EY763" s="13"/>
      <c r="EZ763" s="13"/>
      <c r="FA763" s="13"/>
      <c r="FB763" s="13"/>
      <c r="FC763" s="13"/>
      <c r="FD763" s="13"/>
      <c r="FE763" s="13"/>
      <c r="FF763" s="13"/>
      <c r="FG763" s="13"/>
      <c r="FH763" s="13"/>
      <c r="FI763" s="13"/>
      <c r="FJ763" s="13"/>
      <c r="FK763" s="13"/>
      <c r="FL763" s="13"/>
      <c r="FM763" s="13"/>
      <c r="FN763" s="13"/>
      <c r="FO763" s="13"/>
      <c r="FP763" s="13"/>
      <c r="FQ763" s="13"/>
      <c r="FR763" s="13"/>
      <c r="FS763" s="13"/>
      <c r="FT763" s="13"/>
      <c r="FU763" s="13"/>
      <c r="FV763" s="13"/>
      <c r="FW763" s="13"/>
      <c r="FX763" s="13"/>
      <c r="FY763" s="13"/>
      <c r="FZ763" s="13"/>
      <c r="GA763" s="13"/>
      <c r="GB763" s="13"/>
      <c r="GC763" s="13"/>
      <c r="GD763" s="13"/>
      <c r="GE763" s="13"/>
      <c r="GF763" s="13"/>
      <c r="GG763" s="13"/>
      <c r="GH763" s="13"/>
      <c r="GI763" s="13"/>
      <c r="GJ763" s="13"/>
      <c r="GK763" s="13"/>
      <c r="GL763" s="13"/>
      <c r="GM763" s="13"/>
      <c r="GN763" s="13"/>
      <c r="GO763" s="13"/>
      <c r="GP763" s="13"/>
      <c r="GQ763" s="13"/>
      <c r="GR763" s="13"/>
      <c r="GS763" s="13"/>
      <c r="GT763" s="13"/>
      <c r="GU763" s="13"/>
      <c r="GV763" s="13"/>
      <c r="GW763" s="13"/>
      <c r="GX763" s="13"/>
      <c r="GY763" s="13"/>
      <c r="GZ763" s="13"/>
      <c r="HA763" s="13"/>
      <c r="HB763" s="13"/>
      <c r="HC763" s="13"/>
      <c r="HD763" s="13"/>
      <c r="HE763" s="13"/>
      <c r="HF763" s="13"/>
      <c r="HG763" s="13"/>
      <c r="HH763" s="13"/>
      <c r="HI763" s="13"/>
      <c r="HJ763" s="13"/>
      <c r="HK763" s="13"/>
      <c r="HL763" s="13"/>
      <c r="HM763" s="13"/>
      <c r="HN763" s="13"/>
      <c r="HO763" s="13"/>
      <c r="HP763" s="13"/>
      <c r="HQ763" s="13"/>
      <c r="HR763" s="13"/>
      <c r="HS763" s="13"/>
      <c r="HT763" s="13"/>
      <c r="HU763" s="13"/>
      <c r="HV763" s="13"/>
      <c r="HW763" s="13"/>
      <c r="HX763" s="13"/>
      <c r="HY763" s="13"/>
      <c r="HZ763" s="13"/>
      <c r="IA763" s="13"/>
      <c r="IB763" s="13"/>
      <c r="IC763" s="13"/>
      <c r="ID763" s="13"/>
      <c r="IE763" s="13"/>
      <c r="IF763" s="13"/>
      <c r="IG763" s="13"/>
      <c r="IH763" s="13"/>
      <c r="II763" s="13"/>
      <c r="IJ763" s="13"/>
      <c r="IK763" s="13"/>
      <c r="IL763" s="13"/>
      <c r="IM763" s="13"/>
      <c r="IN763" s="13"/>
      <c r="IO763" s="13"/>
      <c r="IP763" s="13"/>
      <c r="IQ763" s="13"/>
      <c r="IR763" s="13"/>
      <c r="IS763" s="13"/>
      <c r="IT763" s="13"/>
      <c r="IU763" s="13"/>
      <c r="IV763" s="13"/>
    </row>
    <row r="764" spans="1:256" s="441" customFormat="1" hidden="1">
      <c r="A764" s="286" t="s">
        <v>1983</v>
      </c>
      <c r="B764" s="287" t="s">
        <v>1985</v>
      </c>
      <c r="C764" s="613" t="s">
        <v>448</v>
      </c>
      <c r="D764" s="613">
        <v>28.1</v>
      </c>
      <c r="E764" s="609" t="s">
        <v>150</v>
      </c>
      <c r="F764" s="613" t="s">
        <v>2051</v>
      </c>
      <c r="G764" s="37" t="s">
        <v>161</v>
      </c>
      <c r="H764" s="613">
        <v>28.1</v>
      </c>
      <c r="I764" s="613" t="s">
        <v>2051</v>
      </c>
      <c r="J764" s="613">
        <v>9</v>
      </c>
      <c r="K764" s="611"/>
      <c r="L764" s="611"/>
      <c r="M764" s="613"/>
      <c r="N764" s="611"/>
      <c r="O764" s="611" t="s">
        <v>2058</v>
      </c>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c r="DV764" s="13"/>
      <c r="DW764" s="13"/>
      <c r="DX764" s="13"/>
      <c r="DY764" s="13"/>
      <c r="DZ764" s="13"/>
      <c r="EA764" s="13"/>
      <c r="EB764" s="13"/>
      <c r="EC764" s="13"/>
      <c r="ED764" s="13"/>
      <c r="EE764" s="13"/>
      <c r="EF764" s="13"/>
      <c r="EG764" s="13"/>
      <c r="EH764" s="13"/>
      <c r="EI764" s="13"/>
      <c r="EJ764" s="13"/>
      <c r="EK764" s="13"/>
      <c r="EL764" s="13"/>
      <c r="EM764" s="13"/>
      <c r="EN764" s="13"/>
      <c r="EO764" s="13"/>
      <c r="EP764" s="13"/>
      <c r="EQ764" s="13"/>
      <c r="ER764" s="13"/>
      <c r="ES764" s="13"/>
      <c r="ET764" s="13"/>
      <c r="EU764" s="13"/>
      <c r="EV764" s="13"/>
      <c r="EW764" s="13"/>
      <c r="EX764" s="13"/>
      <c r="EY764" s="13"/>
      <c r="EZ764" s="13"/>
      <c r="FA764" s="13"/>
      <c r="FB764" s="13"/>
      <c r="FC764" s="13"/>
      <c r="FD764" s="13"/>
      <c r="FE764" s="13"/>
      <c r="FF764" s="13"/>
      <c r="FG764" s="13"/>
      <c r="FH764" s="13"/>
      <c r="FI764" s="13"/>
      <c r="FJ764" s="13"/>
      <c r="FK764" s="13"/>
      <c r="FL764" s="13"/>
      <c r="FM764" s="13"/>
      <c r="FN764" s="13"/>
      <c r="FO764" s="13"/>
      <c r="FP764" s="13"/>
      <c r="FQ764" s="13"/>
      <c r="FR764" s="13"/>
      <c r="FS764" s="13"/>
      <c r="FT764" s="13"/>
      <c r="FU764" s="13"/>
      <c r="FV764" s="13"/>
      <c r="FW764" s="13"/>
      <c r="FX764" s="13"/>
      <c r="FY764" s="13"/>
      <c r="FZ764" s="13"/>
      <c r="GA764" s="13"/>
      <c r="GB764" s="13"/>
      <c r="GC764" s="13"/>
      <c r="GD764" s="13"/>
      <c r="GE764" s="13"/>
      <c r="GF764" s="13"/>
      <c r="GG764" s="13"/>
      <c r="GH764" s="13"/>
      <c r="GI764" s="13"/>
      <c r="GJ764" s="13"/>
      <c r="GK764" s="13"/>
      <c r="GL764" s="13"/>
      <c r="GM764" s="13"/>
      <c r="GN764" s="13"/>
      <c r="GO764" s="13"/>
      <c r="GP764" s="13"/>
      <c r="GQ764" s="13"/>
      <c r="GR764" s="13"/>
      <c r="GS764" s="13"/>
      <c r="GT764" s="13"/>
      <c r="GU764" s="13"/>
      <c r="GV764" s="13"/>
      <c r="GW764" s="13"/>
      <c r="GX764" s="13"/>
      <c r="GY764" s="13"/>
      <c r="GZ764" s="13"/>
      <c r="HA764" s="13"/>
      <c r="HB764" s="13"/>
      <c r="HC764" s="13"/>
      <c r="HD764" s="13"/>
      <c r="HE764" s="13"/>
      <c r="HF764" s="13"/>
      <c r="HG764" s="13"/>
      <c r="HH764" s="13"/>
      <c r="HI764" s="13"/>
      <c r="HJ764" s="13"/>
      <c r="HK764" s="13"/>
      <c r="HL764" s="13"/>
      <c r="HM764" s="13"/>
      <c r="HN764" s="13"/>
      <c r="HO764" s="13"/>
      <c r="HP764" s="13"/>
      <c r="HQ764" s="13"/>
      <c r="HR764" s="13"/>
      <c r="HS764" s="13"/>
      <c r="HT764" s="13"/>
      <c r="HU764" s="13"/>
      <c r="HV764" s="13"/>
      <c r="HW764" s="13"/>
      <c r="HX764" s="13"/>
      <c r="HY764" s="13"/>
      <c r="HZ764" s="13"/>
      <c r="IA764" s="13"/>
      <c r="IB764" s="13"/>
      <c r="IC764" s="13"/>
      <c r="ID764" s="13"/>
      <c r="IE764" s="13"/>
      <c r="IF764" s="13"/>
      <c r="IG764" s="13"/>
      <c r="IH764" s="13"/>
      <c r="II764" s="13"/>
      <c r="IJ764" s="13"/>
      <c r="IK764" s="13"/>
      <c r="IL764" s="13"/>
      <c r="IM764" s="13"/>
      <c r="IN764" s="13"/>
      <c r="IO764" s="13"/>
      <c r="IP764" s="13"/>
      <c r="IQ764" s="13"/>
      <c r="IR764" s="13"/>
      <c r="IS764" s="13"/>
      <c r="IT764" s="13"/>
      <c r="IU764" s="13"/>
      <c r="IV764" s="13"/>
    </row>
    <row r="765" spans="1:256" hidden="1">
      <c r="A765" s="286">
        <v>26571</v>
      </c>
      <c r="B765" s="287" t="s">
        <v>1615</v>
      </c>
      <c r="C765" s="613" t="s">
        <v>448</v>
      </c>
      <c r="D765" s="288"/>
      <c r="E765" s="288" t="s">
        <v>153</v>
      </c>
      <c r="F765" s="288"/>
      <c r="G765" s="792"/>
      <c r="H765" s="288"/>
      <c r="I765" s="288"/>
      <c r="J765" s="613"/>
      <c r="K765" s="289"/>
      <c r="L765" s="289"/>
      <c r="M765" s="13" t="s">
        <v>411</v>
      </c>
      <c r="N765" s="13">
        <v>1</v>
      </c>
      <c r="O765" s="289"/>
    </row>
    <row r="766" spans="1:256" hidden="1">
      <c r="A766" s="38" t="s">
        <v>1629</v>
      </c>
      <c r="B766" s="37" t="s">
        <v>1630</v>
      </c>
      <c r="C766" s="609" t="s">
        <v>1618</v>
      </c>
      <c r="D766" s="14"/>
      <c r="E766" s="14"/>
      <c r="F766" s="14"/>
      <c r="G766" s="793"/>
      <c r="H766" s="14"/>
      <c r="I766" s="14"/>
      <c r="J766" s="609"/>
      <c r="K766" s="289"/>
      <c r="L766" s="289"/>
      <c r="O766" s="289"/>
    </row>
    <row r="767" spans="1:256" hidden="1">
      <c r="A767" s="38" t="s">
        <v>1639</v>
      </c>
      <c r="B767" s="37" t="s">
        <v>1640</v>
      </c>
      <c r="C767" s="609"/>
      <c r="D767" s="14"/>
      <c r="E767" s="14"/>
      <c r="F767" s="14"/>
      <c r="G767" s="793"/>
      <c r="H767" s="14"/>
      <c r="I767" s="14"/>
      <c r="J767" s="609"/>
      <c r="K767" s="289"/>
      <c r="L767" s="289"/>
      <c r="O767" s="289"/>
    </row>
    <row r="768" spans="1:256" hidden="1">
      <c r="A768" s="38" t="s">
        <v>1638</v>
      </c>
      <c r="B768" s="37" t="s">
        <v>1196</v>
      </c>
      <c r="C768" s="609"/>
      <c r="D768" s="14"/>
      <c r="E768" s="14"/>
      <c r="F768" s="14"/>
      <c r="G768" s="793"/>
      <c r="H768" s="14"/>
      <c r="I768" s="14"/>
      <c r="J768" s="609"/>
      <c r="K768" s="289"/>
      <c r="L768" s="289"/>
      <c r="O768" s="289"/>
    </row>
    <row r="769" spans="1:15" hidden="1">
      <c r="A769" s="38" t="s">
        <v>1617</v>
      </c>
      <c r="B769" s="37" t="s">
        <v>1616</v>
      </c>
      <c r="C769" s="609"/>
      <c r="D769" s="14"/>
      <c r="E769" s="14"/>
      <c r="F769" s="14"/>
      <c r="G769" s="793"/>
      <c r="H769" s="14"/>
      <c r="I769" s="14"/>
      <c r="J769" s="609"/>
      <c r="K769" s="289"/>
      <c r="L769" s="289"/>
      <c r="O769" s="289"/>
    </row>
    <row r="770" spans="1:15" hidden="1">
      <c r="A770" s="38" t="s">
        <v>1645</v>
      </c>
      <c r="B770" s="37" t="s">
        <v>1646</v>
      </c>
      <c r="C770" s="609"/>
      <c r="D770" s="14"/>
      <c r="E770" s="14"/>
      <c r="F770" s="14"/>
      <c r="G770" s="793"/>
      <c r="H770" s="14"/>
      <c r="I770" s="14"/>
      <c r="J770" s="609"/>
      <c r="K770" s="289"/>
      <c r="L770" s="289"/>
      <c r="O770" s="289"/>
    </row>
    <row r="771" spans="1:15" hidden="1">
      <c r="A771" s="38" t="s">
        <v>1621</v>
      </c>
      <c r="B771" s="37" t="s">
        <v>1622</v>
      </c>
      <c r="C771" s="609"/>
      <c r="D771" s="14"/>
      <c r="E771" s="14"/>
      <c r="F771" s="14"/>
      <c r="G771" s="793"/>
      <c r="H771" s="14"/>
      <c r="I771" s="14"/>
      <c r="J771" s="609"/>
      <c r="K771" s="289"/>
      <c r="L771" s="289"/>
      <c r="O771" s="289"/>
    </row>
    <row r="772" spans="1:15" hidden="1">
      <c r="A772" s="38" t="s">
        <v>1619</v>
      </c>
      <c r="B772" s="37" t="s">
        <v>1620</v>
      </c>
      <c r="C772" s="609" t="s">
        <v>1618</v>
      </c>
      <c r="D772" s="14"/>
      <c r="E772" s="14"/>
      <c r="F772" s="14"/>
      <c r="G772" s="793"/>
      <c r="H772" s="14"/>
      <c r="I772" s="14"/>
      <c r="J772" s="609"/>
      <c r="K772" s="289"/>
      <c r="L772" s="289"/>
      <c r="M772" s="13">
        <v>0</v>
      </c>
      <c r="O772" s="289"/>
    </row>
    <row r="773" spans="1:15" hidden="1">
      <c r="A773" s="38">
        <v>26810</v>
      </c>
      <c r="B773" s="37" t="s">
        <v>1637</v>
      </c>
      <c r="C773" s="609"/>
      <c r="D773" s="14"/>
      <c r="E773" s="14"/>
      <c r="F773" s="14"/>
      <c r="G773" s="793"/>
      <c r="H773" s="14"/>
      <c r="I773" s="14"/>
      <c r="J773" s="609"/>
      <c r="K773" s="289"/>
      <c r="L773" s="289"/>
      <c r="M773" s="13" t="s">
        <v>70</v>
      </c>
      <c r="N773" s="13">
        <v>1</v>
      </c>
      <c r="O773" s="289"/>
    </row>
    <row r="774" spans="1:15" hidden="1">
      <c r="A774" s="38" t="s">
        <v>1641</v>
      </c>
      <c r="B774" s="37" t="s">
        <v>1642</v>
      </c>
      <c r="C774" s="609"/>
      <c r="D774" s="14"/>
      <c r="E774" s="14"/>
      <c r="F774" s="14"/>
      <c r="G774" s="793"/>
      <c r="H774" s="14"/>
      <c r="I774" s="14"/>
      <c r="J774" s="609"/>
      <c r="K774" s="289"/>
      <c r="L774" s="289"/>
      <c r="O774" s="289"/>
    </row>
    <row r="775" spans="1:15" hidden="1">
      <c r="A775" s="38" t="s">
        <v>1647</v>
      </c>
      <c r="B775" s="37" t="s">
        <v>1644</v>
      </c>
      <c r="C775" s="609"/>
      <c r="D775" s="14"/>
      <c r="E775" s="14"/>
      <c r="F775" s="14"/>
      <c r="G775" s="793"/>
      <c r="H775" s="14"/>
      <c r="I775" s="14"/>
      <c r="J775" s="609"/>
      <c r="K775" s="289"/>
      <c r="L775" s="289"/>
      <c r="O775" s="289"/>
    </row>
    <row r="776" spans="1:15" hidden="1">
      <c r="A776" s="38" t="s">
        <v>1628</v>
      </c>
      <c r="B776" s="37" t="s">
        <v>1627</v>
      </c>
      <c r="C776" s="609"/>
      <c r="D776" s="14"/>
      <c r="E776" s="14"/>
      <c r="F776" s="14"/>
      <c r="G776" s="793"/>
      <c r="H776" s="14"/>
      <c r="I776" s="14"/>
      <c r="J776" s="609"/>
      <c r="K776" s="289"/>
      <c r="L776" s="289"/>
      <c r="O776" s="289"/>
    </row>
    <row r="777" spans="1:15" hidden="1">
      <c r="A777" s="38" t="s">
        <v>1626</v>
      </c>
      <c r="B777" s="37" t="s">
        <v>1625</v>
      </c>
      <c r="C777" s="609"/>
      <c r="D777" s="14"/>
      <c r="E777" s="14"/>
      <c r="F777" s="14"/>
      <c r="G777" s="793"/>
      <c r="H777" s="14"/>
      <c r="I777" s="14"/>
      <c r="J777" s="609"/>
      <c r="K777" s="289"/>
      <c r="L777" s="289"/>
      <c r="O777" s="289"/>
    </row>
    <row r="778" spans="1:15" hidden="1">
      <c r="A778" s="38" t="s">
        <v>1623</v>
      </c>
      <c r="B778" s="37" t="s">
        <v>1624</v>
      </c>
      <c r="C778" s="609"/>
      <c r="D778" s="14"/>
      <c r="E778" s="14"/>
      <c r="F778" s="14"/>
      <c r="G778" s="793"/>
      <c r="H778" s="14"/>
      <c r="I778" s="14"/>
      <c r="J778" s="609"/>
      <c r="K778" s="289"/>
      <c r="L778" s="289"/>
      <c r="O778" s="289"/>
    </row>
    <row r="779" spans="1:15" hidden="1">
      <c r="A779" s="38" t="s">
        <v>1648</v>
      </c>
      <c r="B779" s="37" t="s">
        <v>1643</v>
      </c>
      <c r="C779" s="609"/>
      <c r="D779" s="14"/>
      <c r="E779" s="14"/>
      <c r="F779" s="14"/>
      <c r="G779" s="793"/>
      <c r="H779" s="14"/>
      <c r="I779" s="14"/>
      <c r="J779" s="609"/>
      <c r="K779" s="289"/>
      <c r="L779" s="289"/>
      <c r="O779" s="289"/>
    </row>
    <row r="780" spans="1:15" hidden="1">
      <c r="A780" s="38" t="s">
        <v>1649</v>
      </c>
      <c r="B780" s="37" t="s">
        <v>1650</v>
      </c>
      <c r="C780" s="609"/>
      <c r="D780" s="14"/>
      <c r="E780" s="14"/>
      <c r="F780" s="14"/>
      <c r="G780" s="793"/>
      <c r="H780" s="14"/>
      <c r="I780" s="14"/>
      <c r="J780" s="609"/>
      <c r="K780" s="289"/>
      <c r="L780" s="289"/>
      <c r="O780" s="289"/>
    </row>
    <row r="781" spans="1:15" hidden="1">
      <c r="A781" s="38" t="s">
        <v>1651</v>
      </c>
      <c r="B781" s="37" t="s">
        <v>1652</v>
      </c>
      <c r="C781" s="609"/>
      <c r="D781" s="14"/>
      <c r="E781" s="14"/>
      <c r="F781" s="14"/>
      <c r="G781" s="793"/>
      <c r="H781" s="14"/>
      <c r="I781" s="14"/>
      <c r="J781" s="609"/>
      <c r="K781" s="289"/>
      <c r="L781" s="289"/>
      <c r="O781" s="289"/>
    </row>
    <row r="782" spans="1:15" hidden="1">
      <c r="A782" s="38" t="s">
        <v>1653</v>
      </c>
      <c r="B782" s="37" t="s">
        <v>1654</v>
      </c>
      <c r="C782" s="609"/>
      <c r="D782" s="14"/>
      <c r="E782" s="14"/>
      <c r="F782" s="14"/>
      <c r="G782" s="793"/>
      <c r="H782" s="14"/>
      <c r="I782" s="14"/>
      <c r="J782" s="609"/>
      <c r="K782" s="289"/>
      <c r="L782" s="289"/>
      <c r="O782" s="289"/>
    </row>
    <row r="783" spans="1:15" hidden="1">
      <c r="A783" s="290">
        <v>26765</v>
      </c>
      <c r="B783" s="291" t="s">
        <v>1657</v>
      </c>
      <c r="C783" s="789"/>
      <c r="D783" s="292"/>
      <c r="E783" s="292"/>
      <c r="F783" s="292"/>
      <c r="G783" s="795"/>
      <c r="H783" s="292"/>
      <c r="I783" s="292"/>
      <c r="J783" s="789"/>
      <c r="K783" s="289"/>
      <c r="L783" s="289"/>
      <c r="O783" s="289"/>
    </row>
    <row r="784" spans="1:15">
      <c r="A784" s="38" t="s">
        <v>1814</v>
      </c>
      <c r="B784" s="37" t="s">
        <v>1806</v>
      </c>
      <c r="C784" s="609" t="s">
        <v>135</v>
      </c>
      <c r="D784" s="14"/>
      <c r="E784" s="14" t="s">
        <v>149</v>
      </c>
      <c r="F784" s="14" t="s">
        <v>80</v>
      </c>
      <c r="G784" s="793" t="s">
        <v>1805</v>
      </c>
      <c r="H784" s="14">
        <v>6.8</v>
      </c>
      <c r="I784" s="14" t="s">
        <v>149</v>
      </c>
      <c r="J784" s="609">
        <v>3.5</v>
      </c>
      <c r="K784" s="289"/>
      <c r="L784" s="289"/>
      <c r="M784" s="289"/>
      <c r="N784" s="289"/>
      <c r="O784" s="289" t="s">
        <v>1822</v>
      </c>
    </row>
    <row r="785" spans="1:256">
      <c r="A785" s="38" t="s">
        <v>1815</v>
      </c>
      <c r="B785" s="37" t="s">
        <v>1807</v>
      </c>
      <c r="C785" s="609" t="s">
        <v>135</v>
      </c>
      <c r="D785" s="14"/>
      <c r="E785" s="14" t="s">
        <v>149</v>
      </c>
      <c r="F785" s="14" t="s">
        <v>81</v>
      </c>
      <c r="G785" s="793" t="s">
        <v>1805</v>
      </c>
      <c r="H785" s="14">
        <v>6.8</v>
      </c>
      <c r="I785" s="14" t="s">
        <v>149</v>
      </c>
      <c r="J785" s="609">
        <v>3.5</v>
      </c>
      <c r="K785" s="289"/>
      <c r="L785" s="289"/>
      <c r="M785" s="289"/>
      <c r="N785" s="289"/>
      <c r="O785" s="289" t="s">
        <v>1823</v>
      </c>
    </row>
    <row r="786" spans="1:256">
      <c r="A786" s="38" t="s">
        <v>1816</v>
      </c>
      <c r="B786" s="37" t="s">
        <v>1808</v>
      </c>
      <c r="C786" s="609" t="s">
        <v>135</v>
      </c>
      <c r="D786" s="14"/>
      <c r="E786" s="14" t="s">
        <v>149</v>
      </c>
      <c r="F786" s="14" t="s">
        <v>82</v>
      </c>
      <c r="G786" s="793" t="s">
        <v>1805</v>
      </c>
      <c r="H786" s="14">
        <v>6.8</v>
      </c>
      <c r="I786" s="14" t="s">
        <v>149</v>
      </c>
      <c r="J786" s="609">
        <v>3.5</v>
      </c>
      <c r="K786" s="289"/>
      <c r="L786" s="289"/>
      <c r="M786" s="289"/>
      <c r="N786" s="289"/>
      <c r="O786" s="289" t="s">
        <v>1824</v>
      </c>
    </row>
    <row r="787" spans="1:256">
      <c r="A787" s="38" t="s">
        <v>1817</v>
      </c>
      <c r="B787" s="37" t="s">
        <v>1809</v>
      </c>
      <c r="C787" s="609" t="s">
        <v>135</v>
      </c>
      <c r="D787" s="14"/>
      <c r="E787" s="14" t="s">
        <v>149</v>
      </c>
      <c r="F787" s="14" t="s">
        <v>83</v>
      </c>
      <c r="G787" s="793" t="s">
        <v>1805</v>
      </c>
      <c r="H787" s="14">
        <v>6.8</v>
      </c>
      <c r="I787" s="14" t="s">
        <v>149</v>
      </c>
      <c r="J787" s="609">
        <v>3.5</v>
      </c>
      <c r="K787" s="289"/>
      <c r="L787" s="289"/>
      <c r="M787" s="289"/>
      <c r="N787" s="289"/>
      <c r="O787" s="289" t="s">
        <v>1825</v>
      </c>
    </row>
    <row r="788" spans="1:256" hidden="1">
      <c r="A788" s="286" t="s">
        <v>1889</v>
      </c>
      <c r="B788" s="287" t="s">
        <v>1890</v>
      </c>
      <c r="C788" s="613" t="s">
        <v>448</v>
      </c>
      <c r="D788" s="613">
        <v>17.015000000000001</v>
      </c>
      <c r="E788" s="609" t="s">
        <v>150</v>
      </c>
      <c r="F788" s="613" t="s">
        <v>2051</v>
      </c>
      <c r="G788" s="287" t="s">
        <v>161</v>
      </c>
      <c r="H788" s="613">
        <v>16.5</v>
      </c>
      <c r="I788" s="613" t="s">
        <v>2051</v>
      </c>
      <c r="J788" s="613">
        <v>5.5</v>
      </c>
      <c r="K788" s="611"/>
      <c r="L788" s="611"/>
      <c r="M788" s="611" t="s">
        <v>2051</v>
      </c>
      <c r="N788" s="611"/>
      <c r="O788" s="611" t="s">
        <v>2059</v>
      </c>
    </row>
    <row r="789" spans="1:256" hidden="1">
      <c r="A789" s="38" t="s">
        <v>1891</v>
      </c>
      <c r="B789" s="37" t="s">
        <v>1892</v>
      </c>
      <c r="C789" s="609" t="s">
        <v>448</v>
      </c>
      <c r="D789" s="613">
        <v>17.015000000000001</v>
      </c>
      <c r="E789" s="609" t="s">
        <v>150</v>
      </c>
      <c r="F789" s="609" t="s">
        <v>1889</v>
      </c>
      <c r="G789" s="37" t="s">
        <v>160</v>
      </c>
      <c r="H789" s="613">
        <v>16.5</v>
      </c>
      <c r="I789" s="613" t="s">
        <v>2051</v>
      </c>
      <c r="J789" s="609">
        <v>12</v>
      </c>
      <c r="K789" s="611"/>
      <c r="L789" s="611"/>
      <c r="M789" s="611" t="s">
        <v>1889</v>
      </c>
      <c r="N789" s="611">
        <v>1</v>
      </c>
      <c r="O789" s="611" t="s">
        <v>2059</v>
      </c>
    </row>
    <row r="790" spans="1:256" hidden="1">
      <c r="A790" s="38" t="s">
        <v>1893</v>
      </c>
      <c r="B790" s="37" t="s">
        <v>1895</v>
      </c>
      <c r="C790" s="609" t="s">
        <v>448</v>
      </c>
      <c r="D790" s="613">
        <v>17.015000000000001</v>
      </c>
      <c r="E790" s="609" t="s">
        <v>150</v>
      </c>
      <c r="F790" s="609" t="s">
        <v>1889</v>
      </c>
      <c r="G790" s="37" t="s">
        <v>160</v>
      </c>
      <c r="H790" s="613">
        <v>16.5</v>
      </c>
      <c r="I790" s="613" t="s">
        <v>2051</v>
      </c>
      <c r="J790" s="609">
        <v>12</v>
      </c>
      <c r="K790" s="611"/>
      <c r="L790" s="611"/>
      <c r="M790" s="611" t="s">
        <v>1889</v>
      </c>
      <c r="N790" s="611">
        <v>1</v>
      </c>
      <c r="O790" s="611" t="s">
        <v>2059</v>
      </c>
    </row>
    <row r="791" spans="1:256" hidden="1">
      <c r="A791" s="38" t="s">
        <v>1894</v>
      </c>
      <c r="B791" s="37" t="s">
        <v>1896</v>
      </c>
      <c r="C791" s="609" t="s">
        <v>448</v>
      </c>
      <c r="D791" s="613">
        <v>17.015000000000001</v>
      </c>
      <c r="E791" s="609" t="s">
        <v>150</v>
      </c>
      <c r="F791" s="609" t="s">
        <v>1889</v>
      </c>
      <c r="G791" s="37" t="s">
        <v>160</v>
      </c>
      <c r="H791" s="613">
        <v>16.5</v>
      </c>
      <c r="I791" s="613" t="s">
        <v>2051</v>
      </c>
      <c r="J791" s="609">
        <v>12</v>
      </c>
      <c r="K791" s="611"/>
      <c r="L791" s="611"/>
      <c r="M791" s="611" t="s">
        <v>1889</v>
      </c>
      <c r="N791" s="611">
        <v>1</v>
      </c>
      <c r="O791" s="611" t="s">
        <v>2059</v>
      </c>
    </row>
    <row r="792" spans="1:256" s="67" customFormat="1" hidden="1">
      <c r="A792" s="38" t="s">
        <v>1904</v>
      </c>
      <c r="B792" s="37" t="s">
        <v>1905</v>
      </c>
      <c r="C792" s="609" t="s">
        <v>448</v>
      </c>
      <c r="D792" s="609">
        <v>32</v>
      </c>
      <c r="E792" s="609" t="s">
        <v>150</v>
      </c>
      <c r="F792" s="609" t="s">
        <v>68</v>
      </c>
      <c r="G792" s="37" t="s">
        <v>160</v>
      </c>
      <c r="H792" s="609">
        <v>32</v>
      </c>
      <c r="I792" s="613" t="s">
        <v>2051</v>
      </c>
      <c r="J792" s="609">
        <v>6</v>
      </c>
      <c r="K792" s="611"/>
      <c r="L792" s="611"/>
      <c r="M792" s="611" t="s">
        <v>68</v>
      </c>
      <c r="N792" s="611">
        <v>1</v>
      </c>
      <c r="O792" s="611" t="s">
        <v>2058</v>
      </c>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c r="DV792" s="13"/>
      <c r="DW792" s="13"/>
      <c r="DX792" s="13"/>
      <c r="DY792" s="13"/>
      <c r="DZ792" s="13"/>
      <c r="EA792" s="13"/>
      <c r="EB792" s="13"/>
      <c r="EC792" s="13"/>
      <c r="ED792" s="13"/>
      <c r="EE792" s="13"/>
      <c r="EF792" s="13"/>
      <c r="EG792" s="13"/>
      <c r="EH792" s="13"/>
      <c r="EI792" s="13"/>
      <c r="EJ792" s="13"/>
      <c r="EK792" s="13"/>
      <c r="EL792" s="13"/>
      <c r="EM792" s="13"/>
      <c r="EN792" s="13"/>
      <c r="EO792" s="13"/>
      <c r="EP792" s="13"/>
      <c r="EQ792" s="13"/>
      <c r="ER792" s="13"/>
      <c r="ES792" s="13"/>
      <c r="ET792" s="13"/>
      <c r="EU792" s="13"/>
      <c r="EV792" s="13"/>
      <c r="EW792" s="13"/>
      <c r="EX792" s="13"/>
      <c r="EY792" s="13"/>
      <c r="EZ792" s="13"/>
      <c r="FA792" s="13"/>
      <c r="FB792" s="13"/>
      <c r="FC792" s="13"/>
      <c r="FD792" s="13"/>
      <c r="FE792" s="13"/>
      <c r="FF792" s="13"/>
      <c r="FG792" s="13"/>
      <c r="FH792" s="13"/>
      <c r="FI792" s="13"/>
      <c r="FJ792" s="13"/>
      <c r="FK792" s="13"/>
      <c r="FL792" s="13"/>
      <c r="FM792" s="13"/>
      <c r="FN792" s="13"/>
      <c r="FO792" s="13"/>
      <c r="FP792" s="13"/>
      <c r="FQ792" s="13"/>
      <c r="FR792" s="13"/>
      <c r="FS792" s="13"/>
      <c r="FT792" s="13"/>
      <c r="FU792" s="13"/>
      <c r="FV792" s="13"/>
      <c r="FW792" s="13"/>
      <c r="FX792" s="13"/>
      <c r="FY792" s="13"/>
      <c r="FZ792" s="13"/>
      <c r="GA792" s="13"/>
      <c r="GB792" s="13"/>
      <c r="GC792" s="13"/>
      <c r="GD792" s="13"/>
      <c r="GE792" s="13"/>
      <c r="GF792" s="13"/>
      <c r="GG792" s="13"/>
      <c r="GH792" s="13"/>
      <c r="GI792" s="13"/>
      <c r="GJ792" s="13"/>
      <c r="GK792" s="13"/>
      <c r="GL792" s="13"/>
      <c r="GM792" s="13"/>
      <c r="GN792" s="13"/>
      <c r="GO792" s="13"/>
      <c r="GP792" s="13"/>
      <c r="GQ792" s="13"/>
      <c r="GR792" s="13"/>
      <c r="GS792" s="13"/>
      <c r="GT792" s="13"/>
      <c r="GU792" s="13"/>
      <c r="GV792" s="13"/>
      <c r="GW792" s="13"/>
      <c r="GX792" s="13"/>
      <c r="GY792" s="13"/>
      <c r="GZ792" s="13"/>
      <c r="HA792" s="13"/>
      <c r="HB792" s="13"/>
      <c r="HC792" s="13"/>
      <c r="HD792" s="13"/>
      <c r="HE792" s="13"/>
      <c r="HF792" s="13"/>
      <c r="HG792" s="13"/>
      <c r="HH792" s="13"/>
      <c r="HI792" s="13"/>
      <c r="HJ792" s="13"/>
      <c r="HK792" s="13"/>
      <c r="HL792" s="13"/>
      <c r="HM792" s="13"/>
      <c r="HN792" s="13"/>
      <c r="HO792" s="13"/>
      <c r="HP792" s="13"/>
      <c r="HQ792" s="13"/>
      <c r="HR792" s="13"/>
      <c r="HS792" s="13"/>
      <c r="HT792" s="13"/>
      <c r="HU792" s="13"/>
      <c r="HV792" s="13"/>
      <c r="HW792" s="13"/>
      <c r="HX792" s="13"/>
      <c r="HY792" s="13"/>
      <c r="HZ792" s="13"/>
      <c r="IA792" s="13"/>
      <c r="IB792" s="13"/>
      <c r="IC792" s="13"/>
      <c r="ID792" s="13"/>
      <c r="IE792" s="13"/>
      <c r="IF792" s="13"/>
      <c r="IG792" s="13"/>
      <c r="IH792" s="13"/>
      <c r="II792" s="13"/>
      <c r="IJ792" s="13"/>
      <c r="IK792" s="13"/>
      <c r="IL792" s="13"/>
      <c r="IM792" s="13"/>
      <c r="IN792" s="13"/>
      <c r="IO792" s="13"/>
      <c r="IP792" s="13"/>
      <c r="IQ792" s="13"/>
      <c r="IR792" s="13"/>
      <c r="IS792" s="13"/>
      <c r="IT792" s="13"/>
      <c r="IU792" s="13"/>
      <c r="IV792" s="13"/>
    </row>
    <row r="793" spans="1:256" hidden="1">
      <c r="A793" s="38" t="s">
        <v>1987</v>
      </c>
      <c r="B793" s="37" t="s">
        <v>2154</v>
      </c>
      <c r="C793" s="609" t="s">
        <v>1988</v>
      </c>
      <c r="D793" s="14">
        <v>8.6</v>
      </c>
      <c r="E793" s="14" t="s">
        <v>2051</v>
      </c>
      <c r="F793" s="14" t="s">
        <v>2051</v>
      </c>
      <c r="G793" s="793" t="s">
        <v>2133</v>
      </c>
      <c r="H793" s="14">
        <v>8.6</v>
      </c>
      <c r="I793" s="14" t="s">
        <v>2051</v>
      </c>
      <c r="J793" s="609">
        <v>6.25</v>
      </c>
      <c r="K793" s="289"/>
      <c r="L793" s="289"/>
      <c r="M793" s="289" t="s">
        <v>2051</v>
      </c>
      <c r="N793" s="289"/>
      <c r="O793" s="289" t="s">
        <v>1989</v>
      </c>
    </row>
    <row r="794" spans="1:256">
      <c r="A794" s="38" t="s">
        <v>2484</v>
      </c>
      <c r="B794" s="37" t="s">
        <v>2085</v>
      </c>
      <c r="C794" s="609" t="s">
        <v>135</v>
      </c>
      <c r="D794" s="14">
        <v>6.8</v>
      </c>
      <c r="E794" s="14" t="s">
        <v>149</v>
      </c>
      <c r="F794" s="14" t="s">
        <v>2484</v>
      </c>
      <c r="G794" s="793" t="s">
        <v>155</v>
      </c>
      <c r="H794" s="14">
        <v>6.8</v>
      </c>
      <c r="I794" s="14" t="s">
        <v>149</v>
      </c>
      <c r="J794" s="609">
        <v>5.5</v>
      </c>
      <c r="K794" s="14"/>
      <c r="L794" s="14"/>
      <c r="M794" s="14" t="s">
        <v>2484</v>
      </c>
      <c r="N794" s="14"/>
      <c r="O794" s="14" t="s">
        <v>2086</v>
      </c>
    </row>
    <row r="795" spans="1:256">
      <c r="A795" s="38" t="s">
        <v>2485</v>
      </c>
      <c r="B795" s="37" t="s">
        <v>2087</v>
      </c>
      <c r="C795" s="609" t="s">
        <v>135</v>
      </c>
      <c r="D795" s="14"/>
      <c r="E795" s="14" t="s">
        <v>149</v>
      </c>
      <c r="F795" s="14" t="s">
        <v>2485</v>
      </c>
      <c r="G795" s="793" t="s">
        <v>144</v>
      </c>
      <c r="H795" s="14">
        <v>6.8</v>
      </c>
      <c r="I795" s="14" t="s">
        <v>149</v>
      </c>
      <c r="J795" s="609">
        <v>5.5</v>
      </c>
      <c r="K795" s="14"/>
      <c r="L795" s="14"/>
      <c r="M795" s="14" t="s">
        <v>2485</v>
      </c>
      <c r="N795" s="14"/>
      <c r="O795" s="14" t="s">
        <v>2086</v>
      </c>
    </row>
    <row r="796" spans="1:256">
      <c r="A796" s="38" t="s">
        <v>2486</v>
      </c>
      <c r="B796" s="37" t="s">
        <v>2088</v>
      </c>
      <c r="C796" s="609" t="s">
        <v>135</v>
      </c>
      <c r="D796" s="14"/>
      <c r="E796" s="14" t="s">
        <v>149</v>
      </c>
      <c r="F796" s="14" t="s">
        <v>2486</v>
      </c>
      <c r="G796" s="793" t="s">
        <v>156</v>
      </c>
      <c r="H796" s="14">
        <v>6.8</v>
      </c>
      <c r="I796" s="14" t="s">
        <v>149</v>
      </c>
      <c r="J796" s="609">
        <v>5.5</v>
      </c>
      <c r="K796" s="14"/>
      <c r="L796" s="14"/>
      <c r="M796" s="14" t="s">
        <v>2486</v>
      </c>
      <c r="N796" s="14"/>
      <c r="O796" s="14" t="s">
        <v>2086</v>
      </c>
    </row>
    <row r="797" spans="1:256">
      <c r="A797" s="38" t="s">
        <v>2487</v>
      </c>
      <c r="B797" s="37" t="s">
        <v>2089</v>
      </c>
      <c r="C797" s="609" t="s">
        <v>135</v>
      </c>
      <c r="D797" s="14"/>
      <c r="E797" s="14" t="s">
        <v>149</v>
      </c>
      <c r="F797" s="14" t="s">
        <v>2487</v>
      </c>
      <c r="G797" s="793" t="s">
        <v>1805</v>
      </c>
      <c r="H797" s="14">
        <v>6.8</v>
      </c>
      <c r="I797" s="14" t="s">
        <v>149</v>
      </c>
      <c r="J797" s="609">
        <v>5.5</v>
      </c>
      <c r="K797" s="14"/>
      <c r="L797" s="14"/>
      <c r="M797" s="14" t="s">
        <v>2487</v>
      </c>
      <c r="N797" s="14"/>
      <c r="O797" s="14" t="s">
        <v>2086</v>
      </c>
    </row>
    <row r="798" spans="1:256">
      <c r="A798" s="38" t="s">
        <v>2488</v>
      </c>
      <c r="B798" s="37" t="s">
        <v>2090</v>
      </c>
      <c r="C798" s="609" t="s">
        <v>135</v>
      </c>
      <c r="D798" s="14"/>
      <c r="E798" s="14" t="s">
        <v>149</v>
      </c>
      <c r="F798" s="14" t="s">
        <v>2488</v>
      </c>
      <c r="G798" s="793" t="s">
        <v>1603</v>
      </c>
      <c r="H798" s="14">
        <v>6.8</v>
      </c>
      <c r="I798" s="14" t="s">
        <v>149</v>
      </c>
      <c r="J798" s="609">
        <v>5.5</v>
      </c>
      <c r="K798" s="14"/>
      <c r="L798" s="14"/>
      <c r="M798" s="14" t="s">
        <v>2488</v>
      </c>
      <c r="N798" s="14"/>
      <c r="O798" s="14" t="s">
        <v>2086</v>
      </c>
    </row>
    <row r="799" spans="1:256">
      <c r="A799" s="38" t="s">
        <v>2091</v>
      </c>
      <c r="B799" s="37" t="s">
        <v>2092</v>
      </c>
      <c r="C799" s="609" t="s">
        <v>135</v>
      </c>
      <c r="D799" s="14"/>
      <c r="E799" s="14" t="s">
        <v>149</v>
      </c>
      <c r="F799" s="14" t="s">
        <v>2091</v>
      </c>
      <c r="G799" s="793" t="s">
        <v>158</v>
      </c>
      <c r="H799" s="14">
        <v>6.8</v>
      </c>
      <c r="I799" s="14" t="s">
        <v>149</v>
      </c>
      <c r="J799" s="609">
        <v>5.5</v>
      </c>
      <c r="K799" s="14"/>
      <c r="L799" s="14"/>
      <c r="M799" s="14" t="s">
        <v>2091</v>
      </c>
      <c r="N799" s="14"/>
      <c r="O799" s="14" t="s">
        <v>2086</v>
      </c>
    </row>
    <row r="800" spans="1:256" hidden="1">
      <c r="A800" s="38" t="s">
        <v>2106</v>
      </c>
      <c r="B800" s="37" t="s">
        <v>2111</v>
      </c>
      <c r="C800" s="609" t="s">
        <v>2118</v>
      </c>
      <c r="D800" s="609">
        <v>7.3</v>
      </c>
      <c r="E800" s="609" t="s">
        <v>150</v>
      </c>
      <c r="F800" s="38" t="s">
        <v>2489</v>
      </c>
      <c r="G800" s="37" t="s">
        <v>2120</v>
      </c>
      <c r="H800" s="609">
        <v>7.3</v>
      </c>
      <c r="I800" s="609" t="s">
        <v>2125</v>
      </c>
      <c r="J800" s="609">
        <v>6</v>
      </c>
      <c r="K800" s="609"/>
      <c r="L800" s="609"/>
      <c r="M800" s="609" t="s">
        <v>2125</v>
      </c>
      <c r="N800" s="609">
        <v>1</v>
      </c>
      <c r="O800" s="609" t="s">
        <v>2127</v>
      </c>
    </row>
    <row r="801" spans="1:15" hidden="1">
      <c r="A801" s="38" t="s">
        <v>2107</v>
      </c>
      <c r="B801" s="37" t="s">
        <v>2113</v>
      </c>
      <c r="C801" s="609" t="s">
        <v>2118</v>
      </c>
      <c r="D801" s="609">
        <v>7.3</v>
      </c>
      <c r="E801" s="609" t="s">
        <v>150</v>
      </c>
      <c r="F801" s="609" t="s">
        <v>2121</v>
      </c>
      <c r="G801" s="37" t="s">
        <v>2120</v>
      </c>
      <c r="H801" s="609">
        <v>7.3</v>
      </c>
      <c r="I801" s="609" t="s">
        <v>2121</v>
      </c>
      <c r="J801" s="609">
        <v>6</v>
      </c>
      <c r="K801" s="609"/>
      <c r="L801" s="609"/>
      <c r="M801" s="609" t="s">
        <v>2121</v>
      </c>
      <c r="N801" s="609">
        <v>1</v>
      </c>
      <c r="O801" s="609" t="s">
        <v>2128</v>
      </c>
    </row>
    <row r="802" spans="1:15" hidden="1">
      <c r="A802" s="38" t="s">
        <v>2108</v>
      </c>
      <c r="B802" s="37" t="s">
        <v>2112</v>
      </c>
      <c r="C802" s="609" t="s">
        <v>2118</v>
      </c>
      <c r="D802" s="609">
        <v>7.3</v>
      </c>
      <c r="E802" s="609" t="s">
        <v>150</v>
      </c>
      <c r="F802" s="609" t="s">
        <v>2123</v>
      </c>
      <c r="G802" s="37" t="s">
        <v>2120</v>
      </c>
      <c r="H802" s="609">
        <v>7.3</v>
      </c>
      <c r="I802" s="609" t="s">
        <v>2123</v>
      </c>
      <c r="J802" s="609">
        <v>6</v>
      </c>
      <c r="K802" s="609"/>
      <c r="L802" s="609"/>
      <c r="M802" s="609" t="s">
        <v>2123</v>
      </c>
      <c r="N802" s="609">
        <v>1</v>
      </c>
      <c r="O802" s="609" t="s">
        <v>2129</v>
      </c>
    </row>
    <row r="803" spans="1:15" hidden="1">
      <c r="A803" s="38" t="s">
        <v>2109</v>
      </c>
      <c r="B803" s="37" t="s">
        <v>2114</v>
      </c>
      <c r="C803" s="609" t="s">
        <v>2118</v>
      </c>
      <c r="D803" s="609">
        <v>7.3</v>
      </c>
      <c r="E803" s="609" t="s">
        <v>150</v>
      </c>
      <c r="F803" s="609" t="s">
        <v>2124</v>
      </c>
      <c r="G803" s="37" t="s">
        <v>2120</v>
      </c>
      <c r="H803" s="609">
        <v>7.3</v>
      </c>
      <c r="I803" s="609" t="s">
        <v>2124</v>
      </c>
      <c r="J803" s="609">
        <v>6</v>
      </c>
      <c r="K803" s="609"/>
      <c r="L803" s="609"/>
      <c r="M803" s="609" t="s">
        <v>2124</v>
      </c>
      <c r="N803" s="609">
        <v>1</v>
      </c>
      <c r="O803" s="609" t="s">
        <v>2130</v>
      </c>
    </row>
    <row r="804" spans="1:15" hidden="1">
      <c r="A804" s="38" t="s">
        <v>2110</v>
      </c>
      <c r="B804" s="37" t="s">
        <v>2115</v>
      </c>
      <c r="C804" s="609" t="s">
        <v>2118</v>
      </c>
      <c r="D804" s="609">
        <v>7.3</v>
      </c>
      <c r="E804" s="609" t="s">
        <v>150</v>
      </c>
      <c r="F804" s="609" t="s">
        <v>2126</v>
      </c>
      <c r="G804" s="37" t="s">
        <v>2120</v>
      </c>
      <c r="H804" s="609">
        <v>7.3</v>
      </c>
      <c r="I804" s="609" t="s">
        <v>2126</v>
      </c>
      <c r="J804" s="609">
        <v>6</v>
      </c>
      <c r="K804" s="609"/>
      <c r="L804" s="609"/>
      <c r="M804" s="609" t="s">
        <v>2126</v>
      </c>
      <c r="N804" s="609">
        <v>1</v>
      </c>
      <c r="O804" s="609" t="s">
        <v>2131</v>
      </c>
    </row>
    <row r="805" spans="1:15" hidden="1">
      <c r="A805" s="38" t="s">
        <v>2117</v>
      </c>
      <c r="B805" s="37" t="s">
        <v>2116</v>
      </c>
      <c r="C805" s="609" t="s">
        <v>2118</v>
      </c>
      <c r="D805" s="609">
        <v>7.3</v>
      </c>
      <c r="E805" s="609" t="s">
        <v>150</v>
      </c>
      <c r="F805" s="609" t="s">
        <v>2122</v>
      </c>
      <c r="G805" s="37" t="s">
        <v>2120</v>
      </c>
      <c r="H805" s="609">
        <v>7.3</v>
      </c>
      <c r="I805" s="609" t="s">
        <v>2122</v>
      </c>
      <c r="J805" s="609">
        <v>6</v>
      </c>
      <c r="K805" s="609"/>
      <c r="L805" s="609"/>
      <c r="M805" s="609" t="s">
        <v>2122</v>
      </c>
      <c r="N805" s="609">
        <v>1</v>
      </c>
      <c r="O805" s="609" t="s">
        <v>2132</v>
      </c>
    </row>
    <row r="806" spans="1:15">
      <c r="B806" s="37"/>
      <c r="C806" s="609"/>
      <c r="D806" s="14"/>
      <c r="E806" s="14"/>
      <c r="F806" s="14"/>
      <c r="G806" s="793"/>
      <c r="H806" s="14"/>
      <c r="I806" s="14"/>
      <c r="J806" s="609"/>
      <c r="K806" s="14"/>
      <c r="L806" s="14"/>
      <c r="M806" s="14"/>
      <c r="N806" s="14"/>
      <c r="O806" s="14"/>
    </row>
    <row r="807" spans="1:15">
      <c r="B807" s="37"/>
      <c r="C807" s="609"/>
      <c r="D807" s="14"/>
      <c r="E807" s="14"/>
      <c r="F807" s="14"/>
      <c r="G807" s="793"/>
      <c r="H807" s="14"/>
      <c r="I807" s="14"/>
      <c r="J807" s="609"/>
      <c r="K807" s="14"/>
      <c r="L807" s="14"/>
      <c r="M807" s="14"/>
      <c r="N807" s="14"/>
      <c r="O807" s="14"/>
    </row>
    <row r="808" spans="1:15">
      <c r="B808" s="37"/>
      <c r="C808" s="609"/>
      <c r="D808" s="14"/>
      <c r="E808" s="14"/>
      <c r="F808" s="14"/>
      <c r="G808" s="793"/>
      <c r="H808" s="14"/>
      <c r="I808" s="14"/>
      <c r="J808" s="609"/>
      <c r="K808" s="14"/>
      <c r="L808" s="14"/>
      <c r="M808" s="14"/>
      <c r="N808" s="14"/>
      <c r="O808" s="14"/>
    </row>
    <row r="809" spans="1:15">
      <c r="B809" s="37"/>
      <c r="C809" s="609"/>
      <c r="D809" s="14"/>
      <c r="E809" s="14"/>
      <c r="F809" s="14"/>
      <c r="G809" s="793"/>
      <c r="H809" s="14"/>
      <c r="I809" s="14"/>
      <c r="J809" s="609"/>
      <c r="K809" s="14"/>
      <c r="L809" s="14"/>
      <c r="M809" s="14"/>
      <c r="N809" s="14"/>
      <c r="O809" s="14"/>
    </row>
    <row r="810" spans="1:15">
      <c r="B810" s="37"/>
      <c r="C810" s="609"/>
      <c r="D810" s="14"/>
      <c r="E810" s="14"/>
      <c r="F810" s="14"/>
      <c r="G810" s="793"/>
      <c r="H810" s="14"/>
      <c r="I810" s="14"/>
      <c r="J810" s="609"/>
      <c r="K810" s="14"/>
      <c r="L810" s="14"/>
      <c r="M810" s="14"/>
      <c r="N810" s="14"/>
      <c r="O810" s="14"/>
    </row>
    <row r="811" spans="1:15">
      <c r="B811" s="37"/>
      <c r="C811" s="609"/>
      <c r="D811" s="14"/>
      <c r="E811" s="14"/>
      <c r="F811" s="14"/>
      <c r="G811" s="793"/>
      <c r="H811" s="14"/>
      <c r="I811" s="14"/>
      <c r="J811" s="609"/>
      <c r="K811" s="14"/>
      <c r="L811" s="14"/>
      <c r="M811" s="14"/>
      <c r="N811" s="14"/>
      <c r="O811" s="14"/>
    </row>
    <row r="812" spans="1:15">
      <c r="B812" s="37"/>
      <c r="C812" s="609"/>
      <c r="D812" s="14"/>
      <c r="E812" s="14"/>
      <c r="F812" s="14"/>
      <c r="G812" s="793"/>
      <c r="H812" s="14"/>
      <c r="I812" s="14"/>
      <c r="J812" s="609"/>
      <c r="K812" s="14"/>
      <c r="L812" s="14"/>
      <c r="M812" s="14"/>
      <c r="N812" s="14"/>
      <c r="O812" s="14"/>
    </row>
    <row r="813" spans="1:15">
      <c r="B813" s="37"/>
      <c r="C813" s="609"/>
      <c r="D813" s="14"/>
      <c r="E813" s="14"/>
      <c r="F813" s="14"/>
      <c r="G813" s="793"/>
      <c r="H813" s="14"/>
      <c r="I813" s="14"/>
      <c r="J813" s="609"/>
      <c r="K813" s="14"/>
      <c r="L813" s="14"/>
      <c r="M813" s="14"/>
      <c r="N813" s="14"/>
      <c r="O813" s="14"/>
    </row>
    <row r="814" spans="1:15">
      <c r="B814" s="37"/>
      <c r="C814" s="609"/>
      <c r="D814" s="14"/>
      <c r="E814" s="14"/>
      <c r="F814" s="14"/>
      <c r="G814" s="793"/>
      <c r="H814" s="14"/>
      <c r="I814" s="14"/>
      <c r="J814" s="609"/>
      <c r="K814" s="14"/>
      <c r="L814" s="14"/>
      <c r="M814" s="14"/>
      <c r="N814" s="14"/>
      <c r="O814" s="14"/>
    </row>
    <row r="815" spans="1:15">
      <c r="B815" s="37"/>
      <c r="C815" s="609"/>
      <c r="D815" s="14"/>
      <c r="E815" s="14"/>
      <c r="F815" s="14"/>
      <c r="G815" s="793"/>
      <c r="H815" s="14"/>
      <c r="I815" s="14"/>
      <c r="J815" s="609"/>
      <c r="K815" s="14"/>
      <c r="L815" s="14"/>
      <c r="M815" s="14"/>
      <c r="N815" s="14"/>
      <c r="O815" s="14"/>
    </row>
    <row r="816" spans="1:15">
      <c r="B816" s="37"/>
      <c r="C816" s="609"/>
      <c r="D816" s="14"/>
      <c r="E816" s="14"/>
      <c r="F816" s="14"/>
      <c r="G816" s="793"/>
      <c r="H816" s="14"/>
      <c r="I816" s="14"/>
      <c r="J816" s="609"/>
      <c r="K816" s="14"/>
      <c r="L816" s="14"/>
      <c r="M816" s="14"/>
      <c r="N816" s="14"/>
      <c r="O816" s="14"/>
    </row>
  </sheetData>
  <autoFilter ref="A1:IV805">
    <filterColumn colId="2">
      <filters>
        <filter val="Nipple"/>
      </filters>
    </filterColumn>
  </autoFilter>
  <conditionalFormatting sqref="A168:A169">
    <cfRule type="duplicateValues" dxfId="23" priority="8"/>
  </conditionalFormatting>
  <conditionalFormatting sqref="A127:A130">
    <cfRule type="duplicateValues" dxfId="22" priority="7"/>
  </conditionalFormatting>
  <conditionalFormatting sqref="A148:A150">
    <cfRule type="duplicateValues" dxfId="21" priority="642"/>
  </conditionalFormatting>
  <conditionalFormatting sqref="A115:A126 A131:A138 A140:A147 A163:A167 A152:A153 A155:A161">
    <cfRule type="duplicateValues" dxfId="20" priority="667"/>
  </conditionalFormatting>
  <conditionalFormatting sqref="A139">
    <cfRule type="duplicateValues" dxfId="19" priority="4"/>
  </conditionalFormatting>
  <conditionalFormatting sqref="A162">
    <cfRule type="duplicateValues" dxfId="18" priority="3"/>
  </conditionalFormatting>
  <conditionalFormatting sqref="A151">
    <cfRule type="duplicateValues" dxfId="17" priority="1"/>
  </conditionalFormatting>
  <dataValidations disablePrompts="1" count="1">
    <dataValidation type="list" allowBlank="1" showInputMessage="1" showErrorMessage="1" sqref="A71:A72">
      <formula1>$AZ$6:$AZ$103</formula1>
    </dataValidation>
  </dataValidations>
  <pageMargins left="0.44" right="0.2" top="0.75" bottom="0.75" header="0.3" footer="0.3"/>
  <pageSetup paperSize="8" scale="55" orientation="portrait"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0"/>
  <sheetViews>
    <sheetView topLeftCell="A3" workbookViewId="0">
      <selection activeCell="A4" sqref="A4:A22"/>
    </sheetView>
  </sheetViews>
  <sheetFormatPr defaultRowHeight="14.5"/>
  <cols>
    <col min="1" max="1" width="33.81640625" customWidth="1"/>
    <col min="2" max="2" width="9.90625" bestFit="1" customWidth="1"/>
    <col min="3" max="5" width="9.7265625" customWidth="1"/>
  </cols>
  <sheetData>
    <row r="3" spans="1:5">
      <c r="B3" s="518" t="s">
        <v>1932</v>
      </c>
    </row>
    <row r="4" spans="1:5" ht="43.5">
      <c r="A4" s="518" t="s">
        <v>5</v>
      </c>
      <c r="B4" s="670" t="s">
        <v>2814</v>
      </c>
      <c r="C4" s="670" t="s">
        <v>2815</v>
      </c>
      <c r="D4" s="670" t="s">
        <v>2816</v>
      </c>
      <c r="E4" s="670" t="s">
        <v>2817</v>
      </c>
    </row>
    <row r="5" spans="1:5">
      <c r="A5" s="441" t="s">
        <v>161</v>
      </c>
      <c r="B5" s="924">
        <v>0.91673281734146561</v>
      </c>
      <c r="C5" s="924">
        <v>0.98072715265681865</v>
      </c>
      <c r="D5" s="924">
        <v>0.94268630609689108</v>
      </c>
      <c r="E5" s="924">
        <v>0.84829845956939587</v>
      </c>
    </row>
    <row r="6" spans="1:5">
      <c r="A6" s="441" t="s">
        <v>160</v>
      </c>
      <c r="B6" s="924">
        <v>0.67915126038832463</v>
      </c>
      <c r="C6" s="924">
        <v>0.96694541463933092</v>
      </c>
      <c r="D6" s="924">
        <v>0.96786765532072494</v>
      </c>
      <c r="E6" s="924">
        <v>0.65276331096507478</v>
      </c>
    </row>
    <row r="7" spans="1:5">
      <c r="A7" s="441" t="s">
        <v>2120</v>
      </c>
      <c r="B7" s="924">
        <v>0.94829871215461492</v>
      </c>
      <c r="C7" s="924">
        <v>0.99817937485449681</v>
      </c>
      <c r="D7" s="924">
        <v>0.91726079484848844</v>
      </c>
      <c r="E7" s="924">
        <v>0.86747377733458486</v>
      </c>
    </row>
    <row r="8" spans="1:5">
      <c r="A8" s="441" t="s">
        <v>2133</v>
      </c>
      <c r="B8" s="924">
        <v>0.97469480994152047</v>
      </c>
      <c r="C8" s="924">
        <v>0.99083370933115344</v>
      </c>
      <c r="D8" s="924">
        <v>1.0257863460261065</v>
      </c>
      <c r="E8" s="924">
        <v>0.99301251879690144</v>
      </c>
    </row>
    <row r="9" spans="1:5">
      <c r="A9" s="441" t="s">
        <v>1805</v>
      </c>
      <c r="B9" s="924">
        <v>0.89037834079500744</v>
      </c>
      <c r="C9" s="924">
        <v>0.99978571428571428</v>
      </c>
      <c r="D9" s="924">
        <v>0.8992054357317194</v>
      </c>
      <c r="E9" s="924">
        <v>0.80062980007088091</v>
      </c>
    </row>
    <row r="10" spans="1:5">
      <c r="A10" s="441" t="s">
        <v>155</v>
      </c>
      <c r="B10" s="924">
        <v>0.92359315134099618</v>
      </c>
      <c r="C10" s="924">
        <v>0.98594334503144609</v>
      </c>
      <c r="D10" s="924">
        <v>0.94825340261792734</v>
      </c>
      <c r="E10" s="924">
        <v>0.86463467462996346</v>
      </c>
    </row>
    <row r="11" spans="1:5">
      <c r="A11" s="441" t="s">
        <v>144</v>
      </c>
      <c r="B11" s="924">
        <v>0.9218518518518517</v>
      </c>
      <c r="C11" s="924">
        <v>1</v>
      </c>
      <c r="D11" s="924">
        <v>0.88403040014688938</v>
      </c>
      <c r="E11" s="924">
        <v>0.81434569931773881</v>
      </c>
    </row>
    <row r="12" spans="1:5">
      <c r="A12" s="441" t="s">
        <v>156</v>
      </c>
      <c r="B12" s="924">
        <v>0.89077572601010047</v>
      </c>
      <c r="C12" s="924">
        <v>0.99984718693476993</v>
      </c>
      <c r="D12" s="924">
        <v>0.92950884481190255</v>
      </c>
      <c r="E12" s="924">
        <v>0.82522776999229852</v>
      </c>
    </row>
    <row r="13" spans="1:5">
      <c r="A13" s="441" t="s">
        <v>1603</v>
      </c>
      <c r="B13" s="924">
        <v>0.87175626509776816</v>
      </c>
      <c r="C13" s="924">
        <v>0.9921398502403932</v>
      </c>
      <c r="D13" s="924">
        <v>1.1827701451449164</v>
      </c>
      <c r="E13" s="924">
        <v>1.0333610124253896</v>
      </c>
    </row>
    <row r="14" spans="1:5">
      <c r="A14" s="441" t="s">
        <v>158</v>
      </c>
      <c r="B14" s="924">
        <v>0.94998541083099897</v>
      </c>
      <c r="C14" s="924">
        <v>0.99901651642610978</v>
      </c>
      <c r="D14" s="924">
        <v>0.83873322862092581</v>
      </c>
      <c r="E14" s="924">
        <v>0.80422933733611723</v>
      </c>
    </row>
    <row r="15" spans="1:5">
      <c r="A15" s="441" t="s">
        <v>162</v>
      </c>
      <c r="B15" s="924">
        <v>0.89414408395269507</v>
      </c>
      <c r="C15" s="924">
        <v>0.98987099662845224</v>
      </c>
      <c r="D15" s="924">
        <v>0.94947527332882897</v>
      </c>
      <c r="E15" s="924">
        <v>0.8424212922452281</v>
      </c>
    </row>
    <row r="18" spans="1:2">
      <c r="A18" s="518" t="s">
        <v>2006</v>
      </c>
    </row>
    <row r="19" spans="1:2" ht="14.25" customHeight="1">
      <c r="A19" s="518" t="s">
        <v>5</v>
      </c>
      <c r="B19" t="s">
        <v>134</v>
      </c>
    </row>
    <row r="20" spans="1:2">
      <c r="A20" s="441" t="s">
        <v>161</v>
      </c>
      <c r="B20" s="925">
        <v>9.5779967113288258</v>
      </c>
    </row>
    <row r="21" spans="1:2">
      <c r="A21" s="441" t="s">
        <v>160</v>
      </c>
      <c r="B21" s="925">
        <v>34.16495874549824</v>
      </c>
    </row>
    <row r="22" spans="1:2">
      <c r="A22" s="441" t="s">
        <v>2120</v>
      </c>
      <c r="B22" s="925">
        <v>6.5738412550875864</v>
      </c>
    </row>
    <row r="23" spans="1:2">
      <c r="A23" s="441" t="s">
        <v>2133</v>
      </c>
      <c r="B23" s="925">
        <v>5.8922399686085134</v>
      </c>
    </row>
    <row r="24" spans="1:2">
      <c r="A24" s="441" t="s">
        <v>1805</v>
      </c>
      <c r="B24" s="925">
        <v>3.9321489521559312</v>
      </c>
    </row>
    <row r="25" spans="1:2">
      <c r="A25" s="441" t="s">
        <v>155</v>
      </c>
      <c r="B25" s="925">
        <v>5.5690063264699567</v>
      </c>
    </row>
    <row r="26" spans="1:2">
      <c r="A26" s="441" t="s">
        <v>144</v>
      </c>
      <c r="B26" s="925">
        <v>2.6311778737012754</v>
      </c>
    </row>
    <row r="27" spans="1:2">
      <c r="A27" s="441" t="s">
        <v>156</v>
      </c>
      <c r="B27" s="925">
        <v>3.7930059008409511</v>
      </c>
    </row>
    <row r="28" spans="1:2">
      <c r="A28" s="441" t="s">
        <v>1603</v>
      </c>
      <c r="B28" s="925">
        <v>3.5924653702357419</v>
      </c>
    </row>
    <row r="29" spans="1:2">
      <c r="A29" s="441" t="s">
        <v>158</v>
      </c>
      <c r="B29" s="925">
        <v>3.2730971324238696</v>
      </c>
    </row>
    <row r="30" spans="1:2">
      <c r="A30" s="441" t="s">
        <v>162</v>
      </c>
      <c r="B30" s="925">
        <v>8.4163130936776938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O80"/>
  <sheetViews>
    <sheetView zoomScale="85" zoomScaleNormal="85" workbookViewId="0">
      <pane xSplit="5" ySplit="3" topLeftCell="F40" activePane="bottomRight" state="frozen"/>
      <selection activeCell="A4" sqref="A4:A22"/>
      <selection pane="topRight" activeCell="A4" sqref="A4:A22"/>
      <selection pane="bottomLeft" activeCell="A4" sqref="A4:A22"/>
      <selection pane="bottomRight" activeCell="A4" sqref="A4:A22"/>
    </sheetView>
  </sheetViews>
  <sheetFormatPr defaultRowHeight="14.5"/>
  <cols>
    <col min="1" max="1" width="8.7265625" style="95"/>
    <col min="2" max="2" width="6.453125" customWidth="1"/>
    <col min="3" max="3" width="26.54296875" customWidth="1"/>
    <col min="4" max="4" width="8" style="67" customWidth="1"/>
    <col min="5" max="5" width="17.54296875" customWidth="1"/>
    <col min="6" max="6" width="9.453125" style="95" customWidth="1"/>
    <col min="7" max="7" width="10.453125" style="95" customWidth="1"/>
    <col min="8" max="8" width="9.453125" style="95" customWidth="1"/>
    <col min="9" max="9" width="10.453125" style="95" customWidth="1"/>
    <col min="10" max="10" width="9.453125" style="95" customWidth="1"/>
    <col min="11" max="11" width="10.453125" style="95" customWidth="1"/>
    <col min="12" max="12" width="9.453125" style="95" customWidth="1"/>
    <col min="13" max="13" width="10.453125" style="95" customWidth="1"/>
    <col min="14" max="14" width="9.453125" style="95" customWidth="1"/>
    <col min="15" max="15" width="10.453125" style="95" customWidth="1"/>
    <col min="16" max="16" width="9.453125" style="95" customWidth="1"/>
    <col min="17" max="17" width="10.453125" style="95" customWidth="1"/>
    <col min="18" max="18" width="9.453125" style="95" customWidth="1"/>
    <col min="19" max="19" width="10.453125" style="95" customWidth="1"/>
    <col min="20" max="20" width="9.453125" style="95" customWidth="1"/>
    <col min="21" max="21" width="10.453125" style="95" customWidth="1"/>
    <col min="22" max="22" width="9.453125" style="95" customWidth="1"/>
    <col min="23" max="23" width="10.453125" style="95" customWidth="1"/>
    <col min="24" max="24" width="9.453125" style="95" customWidth="1"/>
    <col min="25" max="25" width="10.453125" style="95" customWidth="1"/>
    <col min="26" max="26" width="9.453125" style="95" customWidth="1"/>
    <col min="27" max="27" width="10.453125" style="95" customWidth="1"/>
    <col min="28" max="28" width="9.453125" style="95" customWidth="1"/>
    <col min="29" max="29" width="10.453125" style="95" customWidth="1"/>
    <col min="30" max="30" width="9.453125" style="95" customWidth="1"/>
    <col min="31" max="31" width="10.453125" style="95" customWidth="1"/>
    <col min="32" max="32" width="9.453125" style="95" customWidth="1"/>
    <col min="33" max="33" width="10.453125" style="95" customWidth="1"/>
    <col min="34" max="34" width="9.453125" style="95" customWidth="1"/>
    <col min="35" max="35" width="10.453125" style="95" customWidth="1"/>
    <col min="36" max="36" width="9.453125" style="95" customWidth="1"/>
    <col min="37" max="37" width="10.453125" style="95" customWidth="1"/>
    <col min="38" max="38" width="9.453125" style="95" customWidth="1"/>
    <col min="39" max="39" width="10.453125" style="95" customWidth="1"/>
    <col min="40" max="40" width="9.453125" style="95" customWidth="1"/>
    <col min="41" max="41" width="10.453125" style="95" customWidth="1"/>
    <col min="42" max="42" width="9.453125" style="95" customWidth="1"/>
    <col min="43" max="43" width="10.453125" style="95" customWidth="1"/>
    <col min="44" max="44" width="9.453125" style="95" customWidth="1"/>
    <col min="45" max="45" width="10.453125" style="95" customWidth="1"/>
    <col min="46" max="46" width="9.453125" style="95" customWidth="1"/>
    <col min="47" max="47" width="10.453125" style="95" customWidth="1"/>
    <col min="48" max="48" width="9.453125" style="95" customWidth="1"/>
    <col min="49" max="49" width="10.453125" style="95" customWidth="1"/>
    <col min="50" max="50" width="9.453125" style="95" customWidth="1"/>
    <col min="51" max="51" width="10.453125" style="95" customWidth="1"/>
    <col min="52" max="52" width="9.453125" style="95" customWidth="1"/>
    <col min="53" max="53" width="10.453125" style="95" customWidth="1"/>
    <col min="54" max="54" width="9.453125" style="95" customWidth="1"/>
    <col min="55" max="55" width="10.453125" style="95" customWidth="1"/>
    <col min="56" max="56" width="9.453125" style="95" customWidth="1"/>
    <col min="57" max="57" width="10.453125" style="95" customWidth="1"/>
    <col min="58" max="58" width="9.453125" style="95" customWidth="1"/>
    <col min="59" max="59" width="10.453125" style="95" customWidth="1"/>
    <col min="60" max="60" width="9.453125" style="95" customWidth="1"/>
    <col min="61" max="61" width="10.453125" style="95" customWidth="1"/>
    <col min="62" max="62" width="9.453125" style="95" customWidth="1"/>
    <col min="63" max="63" width="10.453125" style="95" customWidth="1"/>
    <col min="64" max="64" width="9.453125" style="95" customWidth="1"/>
    <col min="65" max="65" width="10.453125" style="95" customWidth="1"/>
    <col min="66" max="66" width="9.453125" style="95" customWidth="1"/>
    <col min="67" max="67" width="10.453125" style="95" customWidth="1"/>
  </cols>
  <sheetData>
    <row r="2" spans="1:67" ht="14.9" customHeight="1">
      <c r="B2" s="974" t="s">
        <v>1943</v>
      </c>
      <c r="C2" s="972" t="s">
        <v>5</v>
      </c>
      <c r="D2" s="970" t="s">
        <v>1945</v>
      </c>
      <c r="E2" s="968" t="s">
        <v>1944</v>
      </c>
      <c r="F2" s="976">
        <v>1</v>
      </c>
      <c r="G2" s="976"/>
      <c r="H2" s="967">
        <v>2</v>
      </c>
      <c r="I2" s="967"/>
      <c r="J2" s="967">
        <v>3</v>
      </c>
      <c r="K2" s="967"/>
      <c r="L2" s="967">
        <v>4</v>
      </c>
      <c r="M2" s="967"/>
      <c r="N2" s="967">
        <v>5</v>
      </c>
      <c r="O2" s="967"/>
      <c r="P2" s="967">
        <v>6</v>
      </c>
      <c r="Q2" s="967"/>
      <c r="R2" s="967">
        <v>7</v>
      </c>
      <c r="S2" s="967"/>
      <c r="T2" s="976"/>
      <c r="U2" s="976"/>
      <c r="V2" s="967">
        <v>9</v>
      </c>
      <c r="W2" s="967"/>
      <c r="X2" s="967">
        <v>10</v>
      </c>
      <c r="Y2" s="967"/>
      <c r="Z2" s="967">
        <v>11</v>
      </c>
      <c r="AA2" s="967"/>
      <c r="AB2" s="967">
        <v>12</v>
      </c>
      <c r="AC2" s="967"/>
      <c r="AD2" s="967">
        <v>13</v>
      </c>
      <c r="AE2" s="967"/>
      <c r="AF2" s="976">
        <v>14</v>
      </c>
      <c r="AG2" s="976"/>
      <c r="AH2" s="976">
        <v>15</v>
      </c>
      <c r="AI2" s="976"/>
      <c r="AJ2" s="976">
        <v>16</v>
      </c>
      <c r="AK2" s="976"/>
      <c r="AL2" s="967">
        <v>17</v>
      </c>
      <c r="AM2" s="967"/>
      <c r="AN2" s="967">
        <v>18</v>
      </c>
      <c r="AO2" s="967"/>
      <c r="AP2" s="967">
        <v>19</v>
      </c>
      <c r="AQ2" s="967"/>
      <c r="AR2" s="967">
        <v>20</v>
      </c>
      <c r="AS2" s="967"/>
      <c r="AT2" s="967">
        <v>21</v>
      </c>
      <c r="AU2" s="967"/>
      <c r="AV2" s="976">
        <v>22</v>
      </c>
      <c r="AW2" s="976"/>
      <c r="AX2" s="976">
        <v>23</v>
      </c>
      <c r="AY2" s="976">
        <v>24</v>
      </c>
      <c r="AZ2" s="967">
        <v>24</v>
      </c>
      <c r="BA2" s="967">
        <v>24</v>
      </c>
      <c r="BB2" s="967">
        <v>25</v>
      </c>
      <c r="BC2" s="967">
        <v>25</v>
      </c>
      <c r="BD2" s="967">
        <v>26</v>
      </c>
      <c r="BE2" s="967"/>
      <c r="BF2" s="967">
        <v>27</v>
      </c>
      <c r="BG2" s="967"/>
      <c r="BH2" s="967">
        <v>28</v>
      </c>
      <c r="BI2" s="967"/>
      <c r="BJ2" s="976">
        <v>29</v>
      </c>
      <c r="BK2" s="976"/>
      <c r="BL2" s="976">
        <v>30</v>
      </c>
      <c r="BM2" s="976"/>
      <c r="BN2" s="967">
        <v>31</v>
      </c>
      <c r="BO2" s="967"/>
    </row>
    <row r="3" spans="1:67" s="67" customFormat="1">
      <c r="A3" s="95"/>
      <c r="B3" s="975"/>
      <c r="C3" s="973"/>
      <c r="D3" s="971"/>
      <c r="E3" s="969"/>
      <c r="F3" s="834" t="s">
        <v>1955</v>
      </c>
      <c r="G3" s="866" t="s">
        <v>1956</v>
      </c>
      <c r="H3" s="517" t="s">
        <v>1955</v>
      </c>
      <c r="I3" s="819" t="s">
        <v>1956</v>
      </c>
      <c r="J3" s="517" t="s">
        <v>1955</v>
      </c>
      <c r="K3" s="864" t="s">
        <v>1956</v>
      </c>
      <c r="L3" s="517" t="s">
        <v>1955</v>
      </c>
      <c r="M3" s="864" t="s">
        <v>1956</v>
      </c>
      <c r="N3" s="517" t="s">
        <v>1955</v>
      </c>
      <c r="O3" s="864" t="s">
        <v>1956</v>
      </c>
      <c r="P3" s="517" t="s">
        <v>1955</v>
      </c>
      <c r="Q3" s="864" t="s">
        <v>1956</v>
      </c>
      <c r="R3" s="517" t="s">
        <v>1955</v>
      </c>
      <c r="S3" s="864" t="s">
        <v>1956</v>
      </c>
      <c r="T3" s="834"/>
      <c r="U3" s="866"/>
      <c r="V3" s="517" t="s">
        <v>1955</v>
      </c>
      <c r="W3" s="864" t="s">
        <v>1956</v>
      </c>
      <c r="X3" s="517" t="s">
        <v>1955</v>
      </c>
      <c r="Y3" s="864" t="s">
        <v>1956</v>
      </c>
      <c r="Z3" s="517" t="s">
        <v>1955</v>
      </c>
      <c r="AA3" s="864" t="s">
        <v>1956</v>
      </c>
      <c r="AB3" s="517" t="s">
        <v>1955</v>
      </c>
      <c r="AC3" s="864" t="s">
        <v>1956</v>
      </c>
      <c r="AD3" s="517" t="s">
        <v>1955</v>
      </c>
      <c r="AE3" s="864" t="s">
        <v>1956</v>
      </c>
      <c r="AF3" s="834" t="s">
        <v>1955</v>
      </c>
      <c r="AG3" s="866" t="s">
        <v>1956</v>
      </c>
      <c r="AH3" s="834" t="s">
        <v>1955</v>
      </c>
      <c r="AI3" s="866" t="s">
        <v>1956</v>
      </c>
      <c r="AJ3" s="834" t="s">
        <v>1955</v>
      </c>
      <c r="AK3" s="866" t="s">
        <v>1956</v>
      </c>
      <c r="AL3" s="517" t="s">
        <v>1955</v>
      </c>
      <c r="AM3" s="864" t="s">
        <v>1956</v>
      </c>
      <c r="AN3" s="517" t="s">
        <v>1955</v>
      </c>
      <c r="AO3" s="864" t="s">
        <v>1956</v>
      </c>
      <c r="AP3" s="517" t="s">
        <v>1955</v>
      </c>
      <c r="AQ3" s="864" t="s">
        <v>1956</v>
      </c>
      <c r="AR3" s="517" t="s">
        <v>1955</v>
      </c>
      <c r="AS3" s="864" t="s">
        <v>1956</v>
      </c>
      <c r="AT3" s="517" t="s">
        <v>1955</v>
      </c>
      <c r="AU3" s="864" t="s">
        <v>1956</v>
      </c>
      <c r="AV3" s="834" t="s">
        <v>1955</v>
      </c>
      <c r="AW3" s="866" t="s">
        <v>1956</v>
      </c>
      <c r="AX3" s="834" t="s">
        <v>1955</v>
      </c>
      <c r="AY3" s="866" t="s">
        <v>1956</v>
      </c>
      <c r="AZ3" s="517" t="s">
        <v>1955</v>
      </c>
      <c r="BA3" s="864" t="s">
        <v>1956</v>
      </c>
      <c r="BB3" s="864" t="s">
        <v>1955</v>
      </c>
      <c r="BC3" s="864" t="s">
        <v>1956</v>
      </c>
      <c r="BD3" s="517" t="s">
        <v>1955</v>
      </c>
      <c r="BE3" s="864" t="s">
        <v>1956</v>
      </c>
      <c r="BF3" s="517" t="s">
        <v>1955</v>
      </c>
      <c r="BG3" s="864" t="s">
        <v>1956</v>
      </c>
      <c r="BH3" s="517" t="s">
        <v>1955</v>
      </c>
      <c r="BI3" s="864" t="s">
        <v>1956</v>
      </c>
      <c r="BJ3" s="834" t="s">
        <v>1955</v>
      </c>
      <c r="BK3" s="866" t="s">
        <v>1956</v>
      </c>
      <c r="BL3" s="834" t="s">
        <v>1955</v>
      </c>
      <c r="BM3" s="866" t="s">
        <v>1956</v>
      </c>
      <c r="BN3" s="517" t="s">
        <v>1955</v>
      </c>
      <c r="BO3" s="864" t="s">
        <v>1956</v>
      </c>
    </row>
    <row r="4" spans="1:67">
      <c r="B4" s="744">
        <v>1</v>
      </c>
      <c r="C4" s="495" t="s">
        <v>1946</v>
      </c>
      <c r="D4" s="755" t="s">
        <v>1957</v>
      </c>
      <c r="E4" s="513" t="s">
        <v>2004</v>
      </c>
      <c r="F4" s="834"/>
      <c r="G4" s="866">
        <v>0</v>
      </c>
      <c r="H4" s="517" t="s">
        <v>1980</v>
      </c>
      <c r="I4" s="747">
        <v>0</v>
      </c>
      <c r="J4" s="517" t="s">
        <v>1957</v>
      </c>
      <c r="K4" s="867">
        <v>0</v>
      </c>
      <c r="L4" s="517" t="s">
        <v>1980</v>
      </c>
      <c r="M4" s="867">
        <v>0</v>
      </c>
      <c r="N4" s="517" t="s">
        <v>1980</v>
      </c>
      <c r="O4" s="867">
        <v>0</v>
      </c>
      <c r="P4" s="517" t="s">
        <v>1980</v>
      </c>
      <c r="Q4" s="867">
        <v>0</v>
      </c>
      <c r="R4" s="517" t="s">
        <v>1980</v>
      </c>
      <c r="S4" s="867">
        <v>0</v>
      </c>
      <c r="T4" s="834"/>
      <c r="U4" s="866"/>
      <c r="V4" s="517" t="s">
        <v>1980</v>
      </c>
      <c r="W4" s="867">
        <v>0</v>
      </c>
      <c r="X4" s="517" t="s">
        <v>1980</v>
      </c>
      <c r="Y4" s="867">
        <v>0</v>
      </c>
      <c r="Z4" s="517" t="s">
        <v>1980</v>
      </c>
      <c r="AA4" s="867">
        <v>0</v>
      </c>
      <c r="AB4" s="517" t="s">
        <v>1980</v>
      </c>
      <c r="AC4" s="867">
        <v>0</v>
      </c>
      <c r="AD4" s="517" t="s">
        <v>1980</v>
      </c>
      <c r="AE4" s="867">
        <v>0</v>
      </c>
      <c r="AF4" s="834"/>
      <c r="AG4" s="866"/>
      <c r="AH4" s="834"/>
      <c r="AI4" s="866"/>
      <c r="AJ4" s="834"/>
      <c r="AK4" s="866"/>
      <c r="AL4" s="517" t="s">
        <v>1957</v>
      </c>
      <c r="AM4" s="867">
        <v>0</v>
      </c>
      <c r="AN4" s="517" t="s">
        <v>1957</v>
      </c>
      <c r="AO4" s="867">
        <v>0</v>
      </c>
      <c r="AP4" s="517" t="s">
        <v>1957</v>
      </c>
      <c r="AQ4" s="867">
        <v>0</v>
      </c>
      <c r="AR4" s="517" t="s">
        <v>1957</v>
      </c>
      <c r="AS4" s="867">
        <v>0</v>
      </c>
      <c r="AT4" s="517" t="s">
        <v>1957</v>
      </c>
      <c r="AU4" s="867">
        <v>0</v>
      </c>
      <c r="AV4" s="834"/>
      <c r="AW4" s="866"/>
      <c r="AX4" s="834"/>
      <c r="AY4" s="866"/>
      <c r="AZ4" s="867" t="s">
        <v>1957</v>
      </c>
      <c r="BA4" s="517">
        <v>0</v>
      </c>
      <c r="BB4" s="867" t="s">
        <v>1957</v>
      </c>
      <c r="BC4" s="867" t="s">
        <v>1957</v>
      </c>
      <c r="BD4" s="517" t="s">
        <v>1957</v>
      </c>
      <c r="BE4" s="867">
        <v>0</v>
      </c>
      <c r="BF4" s="517" t="s">
        <v>1958</v>
      </c>
      <c r="BG4" s="867">
        <v>0</v>
      </c>
      <c r="BH4" s="517" t="s">
        <v>1958</v>
      </c>
      <c r="BI4" s="867">
        <v>0</v>
      </c>
      <c r="BJ4" s="834"/>
      <c r="BK4" s="866"/>
      <c r="BL4" s="834"/>
      <c r="BM4" s="866"/>
      <c r="BN4" s="517" t="s">
        <v>1958</v>
      </c>
      <c r="BO4" s="867">
        <v>0</v>
      </c>
    </row>
    <row r="5" spans="1:67" s="441" customFormat="1">
      <c r="A5" s="95"/>
      <c r="B5" s="865">
        <v>2</v>
      </c>
      <c r="C5" s="495" t="s">
        <v>1946</v>
      </c>
      <c r="D5" s="755" t="s">
        <v>1957</v>
      </c>
      <c r="E5" s="513" t="s">
        <v>2002</v>
      </c>
      <c r="F5" s="834"/>
      <c r="G5" s="866">
        <v>0</v>
      </c>
      <c r="H5" s="517" t="s">
        <v>1957</v>
      </c>
      <c r="I5" s="867">
        <v>0</v>
      </c>
      <c r="J5" s="517" t="s">
        <v>1980</v>
      </c>
      <c r="K5" s="867">
        <v>0</v>
      </c>
      <c r="L5" s="517" t="s">
        <v>1957</v>
      </c>
      <c r="M5" s="867">
        <v>0</v>
      </c>
      <c r="N5" s="517" t="s">
        <v>2222</v>
      </c>
      <c r="O5" s="867">
        <v>0</v>
      </c>
      <c r="P5" s="517" t="s">
        <v>2222</v>
      </c>
      <c r="Q5" s="867">
        <v>0</v>
      </c>
      <c r="R5" s="517" t="s">
        <v>1957</v>
      </c>
      <c r="S5" s="867">
        <v>0</v>
      </c>
      <c r="T5" s="834"/>
      <c r="U5" s="866"/>
      <c r="V5" s="517" t="s">
        <v>1957</v>
      </c>
      <c r="W5" s="867">
        <v>0</v>
      </c>
      <c r="X5" s="517" t="s">
        <v>1957</v>
      </c>
      <c r="Y5" s="867">
        <v>0</v>
      </c>
      <c r="Z5" s="517" t="s">
        <v>1957</v>
      </c>
      <c r="AA5" s="867">
        <v>0</v>
      </c>
      <c r="AB5" s="517" t="s">
        <v>1957</v>
      </c>
      <c r="AC5" s="867">
        <v>0</v>
      </c>
      <c r="AD5" s="517" t="s">
        <v>1957</v>
      </c>
      <c r="AE5" s="867">
        <v>0</v>
      </c>
      <c r="AF5" s="834"/>
      <c r="AG5" s="866"/>
      <c r="AH5" s="834"/>
      <c r="AI5" s="866"/>
      <c r="AJ5" s="834"/>
      <c r="AK5" s="866"/>
      <c r="AL5" s="517" t="s">
        <v>1957</v>
      </c>
      <c r="AM5" s="867">
        <v>0</v>
      </c>
      <c r="AN5" s="517" t="s">
        <v>1957</v>
      </c>
      <c r="AO5" s="867">
        <v>0</v>
      </c>
      <c r="AP5" s="517" t="s">
        <v>1980</v>
      </c>
      <c r="AQ5" s="867">
        <v>0</v>
      </c>
      <c r="AR5" s="517" t="s">
        <v>1980</v>
      </c>
      <c r="AS5" s="867">
        <v>0</v>
      </c>
      <c r="AT5" s="517" t="s">
        <v>1980</v>
      </c>
      <c r="AU5" s="867">
        <v>0</v>
      </c>
      <c r="AV5" s="834"/>
      <c r="AW5" s="866"/>
      <c r="AX5" s="834"/>
      <c r="AY5" s="866"/>
      <c r="AZ5" s="867" t="s">
        <v>1980</v>
      </c>
      <c r="BA5" s="517">
        <v>0</v>
      </c>
      <c r="BB5" s="867" t="s">
        <v>1980</v>
      </c>
      <c r="BC5" s="867" t="s">
        <v>1980</v>
      </c>
      <c r="BD5" s="517" t="s">
        <v>1980</v>
      </c>
      <c r="BE5" s="867">
        <v>0</v>
      </c>
      <c r="BF5" s="517" t="s">
        <v>1958</v>
      </c>
      <c r="BG5" s="867">
        <v>0</v>
      </c>
      <c r="BH5" s="517" t="s">
        <v>1958</v>
      </c>
      <c r="BI5" s="867">
        <v>0</v>
      </c>
      <c r="BJ5" s="834"/>
      <c r="BK5" s="866"/>
      <c r="BL5" s="834"/>
      <c r="BM5" s="866"/>
      <c r="BN5" s="517" t="s">
        <v>1958</v>
      </c>
      <c r="BO5" s="867">
        <v>0</v>
      </c>
    </row>
    <row r="6" spans="1:67" s="441" customFormat="1">
      <c r="A6" s="95"/>
      <c r="B6" s="865">
        <v>3</v>
      </c>
      <c r="C6" s="495" t="s">
        <v>1946</v>
      </c>
      <c r="D6" s="755" t="s">
        <v>1957</v>
      </c>
      <c r="E6" s="513" t="s">
        <v>2003</v>
      </c>
      <c r="F6" s="834"/>
      <c r="G6" s="866">
        <v>0</v>
      </c>
      <c r="H6" s="517" t="s">
        <v>1980</v>
      </c>
      <c r="I6" s="867">
        <v>0</v>
      </c>
      <c r="J6" s="517" t="s">
        <v>1958</v>
      </c>
      <c r="K6" s="867">
        <v>0</v>
      </c>
      <c r="L6" s="517" t="s">
        <v>1980</v>
      </c>
      <c r="M6" s="867">
        <v>0</v>
      </c>
      <c r="N6" s="517" t="s">
        <v>1980</v>
      </c>
      <c r="O6" s="867">
        <v>0</v>
      </c>
      <c r="P6" s="517" t="s">
        <v>1980</v>
      </c>
      <c r="Q6" s="867">
        <v>0</v>
      </c>
      <c r="R6" s="517" t="s">
        <v>1980</v>
      </c>
      <c r="S6" s="867">
        <v>0</v>
      </c>
      <c r="T6" s="834"/>
      <c r="U6" s="866"/>
      <c r="V6" s="517" t="s">
        <v>1957</v>
      </c>
      <c r="W6" s="867">
        <v>0</v>
      </c>
      <c r="X6" s="517" t="s">
        <v>1957</v>
      </c>
      <c r="Y6" s="867">
        <v>0</v>
      </c>
      <c r="Z6" s="517" t="s">
        <v>1957</v>
      </c>
      <c r="AA6" s="867">
        <v>0</v>
      </c>
      <c r="AB6" s="517" t="s">
        <v>1957</v>
      </c>
      <c r="AC6" s="867">
        <v>0</v>
      </c>
      <c r="AD6" s="517" t="s">
        <v>1957</v>
      </c>
      <c r="AE6" s="867">
        <v>0</v>
      </c>
      <c r="AF6" s="834"/>
      <c r="AG6" s="866"/>
      <c r="AH6" s="834"/>
      <c r="AI6" s="866"/>
      <c r="AJ6" s="834"/>
      <c r="AK6" s="866"/>
      <c r="AL6" s="517" t="s">
        <v>1957</v>
      </c>
      <c r="AM6" s="867">
        <v>0</v>
      </c>
      <c r="AN6" s="517" t="s">
        <v>1957</v>
      </c>
      <c r="AO6" s="867">
        <v>0</v>
      </c>
      <c r="AP6" s="517" t="s">
        <v>1957</v>
      </c>
      <c r="AQ6" s="867">
        <v>0</v>
      </c>
      <c r="AR6" s="517" t="s">
        <v>1957</v>
      </c>
      <c r="AS6" s="867">
        <v>0</v>
      </c>
      <c r="AT6" s="517" t="s">
        <v>1957</v>
      </c>
      <c r="AU6" s="867">
        <v>0</v>
      </c>
      <c r="AV6" s="834"/>
      <c r="AW6" s="866"/>
      <c r="AX6" s="834"/>
      <c r="AY6" s="866"/>
      <c r="AZ6" s="867" t="s">
        <v>1957</v>
      </c>
      <c r="BA6" s="517">
        <v>0</v>
      </c>
      <c r="BB6" s="867" t="s">
        <v>1957</v>
      </c>
      <c r="BC6" s="867" t="s">
        <v>1957</v>
      </c>
      <c r="BD6" s="517" t="s">
        <v>1957</v>
      </c>
      <c r="BE6" s="867">
        <v>0</v>
      </c>
      <c r="BF6" s="517" t="s">
        <v>1958</v>
      </c>
      <c r="BG6" s="867">
        <v>0</v>
      </c>
      <c r="BH6" s="517" t="s">
        <v>1958</v>
      </c>
      <c r="BI6" s="867">
        <v>0</v>
      </c>
      <c r="BJ6" s="834"/>
      <c r="BK6" s="866"/>
      <c r="BL6" s="834"/>
      <c r="BM6" s="866"/>
      <c r="BN6" s="517" t="s">
        <v>1958</v>
      </c>
      <c r="BO6" s="867">
        <v>0</v>
      </c>
    </row>
    <row r="7" spans="1:67" s="441" customFormat="1">
      <c r="A7" s="95"/>
      <c r="B7" s="865">
        <v>4</v>
      </c>
      <c r="C7" s="495" t="s">
        <v>1842</v>
      </c>
      <c r="D7" s="755" t="s">
        <v>1958</v>
      </c>
      <c r="E7" s="513" t="s">
        <v>1947</v>
      </c>
      <c r="F7" s="834"/>
      <c r="G7" s="866">
        <v>0</v>
      </c>
      <c r="H7" s="517" t="s">
        <v>1958</v>
      </c>
      <c r="I7" s="867">
        <v>0</v>
      </c>
      <c r="J7" s="517" t="s">
        <v>1958</v>
      </c>
      <c r="K7" s="867">
        <v>0</v>
      </c>
      <c r="L7" s="517" t="s">
        <v>1958</v>
      </c>
      <c r="M7" s="867">
        <v>0</v>
      </c>
      <c r="N7" s="517" t="s">
        <v>1958</v>
      </c>
      <c r="O7" s="867">
        <v>0</v>
      </c>
      <c r="P7" s="517" t="s">
        <v>1958</v>
      </c>
      <c r="Q7" s="867">
        <v>0</v>
      </c>
      <c r="R7" s="517" t="s">
        <v>1958</v>
      </c>
      <c r="S7" s="867">
        <v>0</v>
      </c>
      <c r="T7" s="834"/>
      <c r="U7" s="866"/>
      <c r="V7" s="517" t="s">
        <v>1958</v>
      </c>
      <c r="W7" s="867">
        <v>0</v>
      </c>
      <c r="X7" s="517" t="s">
        <v>1958</v>
      </c>
      <c r="Y7" s="867">
        <v>0</v>
      </c>
      <c r="Z7" s="517" t="s">
        <v>1958</v>
      </c>
      <c r="AA7" s="867">
        <v>0</v>
      </c>
      <c r="AB7" s="517" t="s">
        <v>1958</v>
      </c>
      <c r="AC7" s="867">
        <v>0</v>
      </c>
      <c r="AD7" s="517" t="s">
        <v>1958</v>
      </c>
      <c r="AE7" s="867">
        <v>0</v>
      </c>
      <c r="AF7" s="834"/>
      <c r="AG7" s="866"/>
      <c r="AH7" s="834"/>
      <c r="AI7" s="866"/>
      <c r="AJ7" s="834"/>
      <c r="AK7" s="866"/>
      <c r="AL7" s="517" t="s">
        <v>1958</v>
      </c>
      <c r="AM7" s="867">
        <v>0</v>
      </c>
      <c r="AN7" s="517" t="s">
        <v>1958</v>
      </c>
      <c r="AO7" s="867">
        <v>0</v>
      </c>
      <c r="AP7" s="517" t="s">
        <v>1958</v>
      </c>
      <c r="AQ7" s="867">
        <v>0</v>
      </c>
      <c r="AR7" s="517" t="s">
        <v>1958</v>
      </c>
      <c r="AS7" s="867">
        <v>0</v>
      </c>
      <c r="AT7" s="517" t="s">
        <v>1958</v>
      </c>
      <c r="AU7" s="867">
        <v>0</v>
      </c>
      <c r="AV7" s="834"/>
      <c r="AW7" s="866"/>
      <c r="AX7" s="834"/>
      <c r="AY7" s="866"/>
      <c r="AZ7" s="867" t="s">
        <v>1958</v>
      </c>
      <c r="BA7" s="517">
        <v>0</v>
      </c>
      <c r="BB7" s="867" t="s">
        <v>1958</v>
      </c>
      <c r="BC7" s="867" t="s">
        <v>1958</v>
      </c>
      <c r="BD7" s="517" t="s">
        <v>1958</v>
      </c>
      <c r="BE7" s="867">
        <v>0</v>
      </c>
      <c r="BF7" s="517" t="s">
        <v>1995</v>
      </c>
      <c r="BG7" s="867">
        <v>0</v>
      </c>
      <c r="BH7" s="517" t="s">
        <v>1995</v>
      </c>
      <c r="BI7" s="867">
        <v>0</v>
      </c>
      <c r="BJ7" s="834"/>
      <c r="BK7" s="866"/>
      <c r="BL7" s="834"/>
      <c r="BM7" s="866"/>
      <c r="BN7" s="517" t="s">
        <v>1995</v>
      </c>
      <c r="BO7" s="867">
        <v>0</v>
      </c>
    </row>
    <row r="8" spans="1:67" s="441" customFormat="1">
      <c r="A8" s="95"/>
      <c r="B8" s="865">
        <v>5</v>
      </c>
      <c r="C8" s="495" t="s">
        <v>1842</v>
      </c>
      <c r="D8" s="755" t="s">
        <v>1958</v>
      </c>
      <c r="E8" s="513" t="s">
        <v>1948</v>
      </c>
      <c r="F8" s="834"/>
      <c r="G8" s="866">
        <v>0</v>
      </c>
      <c r="H8" s="517" t="s">
        <v>1958</v>
      </c>
      <c r="I8" s="867">
        <v>0</v>
      </c>
      <c r="J8" s="517" t="s">
        <v>1958</v>
      </c>
      <c r="K8" s="867">
        <v>0</v>
      </c>
      <c r="L8" s="517" t="s">
        <v>1958</v>
      </c>
      <c r="M8" s="867">
        <v>0</v>
      </c>
      <c r="N8" s="517" t="s">
        <v>1958</v>
      </c>
      <c r="O8" s="867">
        <v>0</v>
      </c>
      <c r="P8" s="517" t="s">
        <v>1958</v>
      </c>
      <c r="Q8" s="867">
        <v>0</v>
      </c>
      <c r="R8" s="517" t="s">
        <v>1958</v>
      </c>
      <c r="S8" s="867">
        <v>0</v>
      </c>
      <c r="T8" s="834"/>
      <c r="U8" s="866"/>
      <c r="V8" s="517" t="s">
        <v>1958</v>
      </c>
      <c r="W8" s="867">
        <v>0</v>
      </c>
      <c r="X8" s="517" t="s">
        <v>1958</v>
      </c>
      <c r="Y8" s="867">
        <v>0</v>
      </c>
      <c r="Z8" s="517" t="s">
        <v>1958</v>
      </c>
      <c r="AA8" s="867">
        <v>0</v>
      </c>
      <c r="AB8" s="517" t="s">
        <v>1958</v>
      </c>
      <c r="AC8" s="867">
        <v>0</v>
      </c>
      <c r="AD8" s="517" t="s">
        <v>1958</v>
      </c>
      <c r="AE8" s="867">
        <v>0</v>
      </c>
      <c r="AF8" s="834"/>
      <c r="AG8" s="866"/>
      <c r="AH8" s="834"/>
      <c r="AI8" s="866"/>
      <c r="AJ8" s="834"/>
      <c r="AK8" s="866"/>
      <c r="AL8" s="517" t="s">
        <v>1958</v>
      </c>
      <c r="AM8" s="867">
        <v>0</v>
      </c>
      <c r="AN8" s="517" t="s">
        <v>1958</v>
      </c>
      <c r="AO8" s="867">
        <v>0</v>
      </c>
      <c r="AP8" s="517" t="s">
        <v>1958</v>
      </c>
      <c r="AQ8" s="867">
        <v>0</v>
      </c>
      <c r="AR8" s="517" t="s">
        <v>1958</v>
      </c>
      <c r="AS8" s="867">
        <v>0</v>
      </c>
      <c r="AT8" s="517" t="s">
        <v>1958</v>
      </c>
      <c r="AU8" s="867">
        <v>0</v>
      </c>
      <c r="AV8" s="834"/>
      <c r="AW8" s="866"/>
      <c r="AX8" s="834"/>
      <c r="AY8" s="866"/>
      <c r="AZ8" s="867" t="s">
        <v>1958</v>
      </c>
      <c r="BA8" s="517">
        <v>0</v>
      </c>
      <c r="BB8" s="867" t="s">
        <v>1958</v>
      </c>
      <c r="BC8" s="867" t="s">
        <v>1958</v>
      </c>
      <c r="BD8" s="517" t="s">
        <v>1958</v>
      </c>
      <c r="BE8" s="867">
        <v>0</v>
      </c>
      <c r="BF8" s="517" t="s">
        <v>1995</v>
      </c>
      <c r="BG8" s="867">
        <v>0</v>
      </c>
      <c r="BH8" s="517" t="s">
        <v>1995</v>
      </c>
      <c r="BI8" s="867">
        <v>0</v>
      </c>
      <c r="BJ8" s="834"/>
      <c r="BK8" s="866"/>
      <c r="BL8" s="834"/>
      <c r="BM8" s="866"/>
      <c r="BN8" s="517" t="s">
        <v>1995</v>
      </c>
      <c r="BO8" s="867">
        <v>0</v>
      </c>
    </row>
    <row r="9" spans="1:67" s="441" customFormat="1">
      <c r="A9" s="95"/>
      <c r="B9" s="865">
        <v>6</v>
      </c>
      <c r="C9" s="495" t="s">
        <v>1842</v>
      </c>
      <c r="D9" s="755" t="s">
        <v>1958</v>
      </c>
      <c r="E9" s="513" t="s">
        <v>1949</v>
      </c>
      <c r="F9" s="834"/>
      <c r="G9" s="866">
        <v>0</v>
      </c>
      <c r="H9" s="517" t="s">
        <v>1958</v>
      </c>
      <c r="I9" s="867">
        <v>0</v>
      </c>
      <c r="J9" s="517" t="s">
        <v>1958</v>
      </c>
      <c r="K9" s="867">
        <v>0</v>
      </c>
      <c r="L9" s="517" t="s">
        <v>1958</v>
      </c>
      <c r="M9" s="867">
        <v>0</v>
      </c>
      <c r="N9" s="517" t="s">
        <v>1958</v>
      </c>
      <c r="O9" s="867">
        <v>0</v>
      </c>
      <c r="P9" s="517" t="s">
        <v>1958</v>
      </c>
      <c r="Q9" s="867">
        <v>0</v>
      </c>
      <c r="R9" s="517" t="s">
        <v>1958</v>
      </c>
      <c r="S9" s="867">
        <v>0</v>
      </c>
      <c r="T9" s="834"/>
      <c r="U9" s="866"/>
      <c r="V9" s="517" t="s">
        <v>1958</v>
      </c>
      <c r="W9" s="867">
        <v>0</v>
      </c>
      <c r="X9" s="517" t="s">
        <v>1958</v>
      </c>
      <c r="Y9" s="867">
        <v>0</v>
      </c>
      <c r="Z9" s="517" t="s">
        <v>1958</v>
      </c>
      <c r="AA9" s="867">
        <v>0</v>
      </c>
      <c r="AB9" s="517" t="s">
        <v>1958</v>
      </c>
      <c r="AC9" s="867">
        <v>0</v>
      </c>
      <c r="AD9" s="517" t="s">
        <v>1958</v>
      </c>
      <c r="AE9" s="867">
        <v>0</v>
      </c>
      <c r="AF9" s="834"/>
      <c r="AG9" s="866"/>
      <c r="AH9" s="834"/>
      <c r="AI9" s="866"/>
      <c r="AJ9" s="834"/>
      <c r="AK9" s="866"/>
      <c r="AL9" s="517" t="s">
        <v>1958</v>
      </c>
      <c r="AM9" s="867">
        <v>0</v>
      </c>
      <c r="AN9" s="517" t="s">
        <v>1958</v>
      </c>
      <c r="AO9" s="867">
        <v>0</v>
      </c>
      <c r="AP9" s="517" t="s">
        <v>1958</v>
      </c>
      <c r="AQ9" s="867">
        <v>0</v>
      </c>
      <c r="AR9" s="517" t="s">
        <v>1958</v>
      </c>
      <c r="AS9" s="867">
        <v>0</v>
      </c>
      <c r="AT9" s="517" t="s">
        <v>1958</v>
      </c>
      <c r="AU9" s="867">
        <v>0</v>
      </c>
      <c r="AV9" s="834"/>
      <c r="AW9" s="866"/>
      <c r="AX9" s="834"/>
      <c r="AY9" s="866"/>
      <c r="AZ9" s="867" t="s">
        <v>1958</v>
      </c>
      <c r="BA9" s="517">
        <v>0</v>
      </c>
      <c r="BB9" s="867" t="s">
        <v>1958</v>
      </c>
      <c r="BC9" s="867" t="s">
        <v>1958</v>
      </c>
      <c r="BD9" s="517" t="s">
        <v>1958</v>
      </c>
      <c r="BE9" s="867">
        <v>0</v>
      </c>
      <c r="BF9" s="517" t="s">
        <v>1995</v>
      </c>
      <c r="BG9" s="867">
        <v>0</v>
      </c>
      <c r="BH9" s="517" t="s">
        <v>1995</v>
      </c>
      <c r="BI9" s="867">
        <v>0</v>
      </c>
      <c r="BJ9" s="834"/>
      <c r="BK9" s="866"/>
      <c r="BL9" s="834"/>
      <c r="BM9" s="866"/>
      <c r="BN9" s="517" t="s">
        <v>1995</v>
      </c>
      <c r="BO9" s="867">
        <v>0</v>
      </c>
    </row>
    <row r="10" spans="1:67" s="441" customFormat="1">
      <c r="A10" s="95"/>
      <c r="B10" s="865">
        <v>7</v>
      </c>
      <c r="C10" s="495" t="s">
        <v>1842</v>
      </c>
      <c r="D10" s="755" t="s">
        <v>1958</v>
      </c>
      <c r="E10" s="513" t="s">
        <v>1992</v>
      </c>
      <c r="F10" s="834"/>
      <c r="G10" s="866">
        <v>0</v>
      </c>
      <c r="H10" s="517" t="s">
        <v>1958</v>
      </c>
      <c r="I10" s="867">
        <v>0</v>
      </c>
      <c r="J10" s="517" t="s">
        <v>1958</v>
      </c>
      <c r="K10" s="867">
        <v>0</v>
      </c>
      <c r="L10" s="517" t="s">
        <v>1958</v>
      </c>
      <c r="M10" s="867">
        <v>0</v>
      </c>
      <c r="N10" s="517" t="s">
        <v>1958</v>
      </c>
      <c r="O10" s="867">
        <v>0</v>
      </c>
      <c r="P10" s="517" t="s">
        <v>1958</v>
      </c>
      <c r="Q10" s="867">
        <v>0</v>
      </c>
      <c r="R10" s="517" t="s">
        <v>1958</v>
      </c>
      <c r="S10" s="867">
        <v>0</v>
      </c>
      <c r="T10" s="834"/>
      <c r="U10" s="866"/>
      <c r="V10" s="517" t="s">
        <v>1958</v>
      </c>
      <c r="W10" s="867">
        <v>0</v>
      </c>
      <c r="X10" s="517" t="s">
        <v>1958</v>
      </c>
      <c r="Y10" s="867">
        <v>0</v>
      </c>
      <c r="Z10" s="517" t="s">
        <v>1958</v>
      </c>
      <c r="AA10" s="867">
        <v>0</v>
      </c>
      <c r="AB10" s="517" t="s">
        <v>1958</v>
      </c>
      <c r="AC10" s="867">
        <v>0</v>
      </c>
      <c r="AD10" s="517" t="s">
        <v>1958</v>
      </c>
      <c r="AE10" s="867">
        <v>0</v>
      </c>
      <c r="AF10" s="834"/>
      <c r="AG10" s="866"/>
      <c r="AH10" s="834"/>
      <c r="AI10" s="866"/>
      <c r="AJ10" s="834"/>
      <c r="AK10" s="866"/>
      <c r="AL10" s="517" t="s">
        <v>1958</v>
      </c>
      <c r="AM10" s="867">
        <v>0</v>
      </c>
      <c r="AN10" s="517" t="s">
        <v>1958</v>
      </c>
      <c r="AO10" s="867">
        <v>0</v>
      </c>
      <c r="AP10" s="517" t="s">
        <v>1958</v>
      </c>
      <c r="AQ10" s="867">
        <v>0</v>
      </c>
      <c r="AR10" s="517" t="s">
        <v>1958</v>
      </c>
      <c r="AS10" s="867">
        <v>0</v>
      </c>
      <c r="AT10" s="517" t="s">
        <v>1958</v>
      </c>
      <c r="AU10" s="867">
        <v>0</v>
      </c>
      <c r="AV10" s="834"/>
      <c r="AW10" s="866"/>
      <c r="AX10" s="834"/>
      <c r="AY10" s="866"/>
      <c r="AZ10" s="867" t="s">
        <v>1958</v>
      </c>
      <c r="BA10" s="517">
        <v>0</v>
      </c>
      <c r="BB10" s="867" t="s">
        <v>1958</v>
      </c>
      <c r="BC10" s="867" t="s">
        <v>1958</v>
      </c>
      <c r="BD10" s="517" t="s">
        <v>1958</v>
      </c>
      <c r="BE10" s="867">
        <v>0</v>
      </c>
      <c r="BF10" s="517" t="s">
        <v>1959</v>
      </c>
      <c r="BG10" s="867">
        <v>0</v>
      </c>
      <c r="BH10" s="517" t="s">
        <v>1959</v>
      </c>
      <c r="BI10" s="867">
        <v>0</v>
      </c>
      <c r="BJ10" s="834"/>
      <c r="BK10" s="866"/>
      <c r="BL10" s="834"/>
      <c r="BM10" s="866"/>
      <c r="BN10" s="517" t="s">
        <v>1959</v>
      </c>
      <c r="BO10" s="867">
        <v>0</v>
      </c>
    </row>
    <row r="11" spans="1:67" s="441" customFormat="1">
      <c r="A11" s="95"/>
      <c r="B11" s="865">
        <v>8</v>
      </c>
      <c r="C11" s="495" t="s">
        <v>1842</v>
      </c>
      <c r="D11" s="755" t="s">
        <v>1958</v>
      </c>
      <c r="E11" s="513" t="s">
        <v>2612</v>
      </c>
      <c r="F11" s="834"/>
      <c r="G11" s="866">
        <v>0</v>
      </c>
      <c r="H11" s="517" t="s">
        <v>1958</v>
      </c>
      <c r="I11" s="867">
        <v>0</v>
      </c>
      <c r="J11" s="517" t="s">
        <v>1995</v>
      </c>
      <c r="K11" s="867">
        <v>0</v>
      </c>
      <c r="L11" s="517" t="s">
        <v>1958</v>
      </c>
      <c r="M11" s="867">
        <v>0</v>
      </c>
      <c r="N11" s="517" t="s">
        <v>1958</v>
      </c>
      <c r="O11" s="867">
        <v>0</v>
      </c>
      <c r="P11" s="517" t="s">
        <v>1958</v>
      </c>
      <c r="Q11" s="867">
        <v>0</v>
      </c>
      <c r="R11" s="517" t="s">
        <v>1958</v>
      </c>
      <c r="S11" s="867">
        <v>0</v>
      </c>
      <c r="T11" s="834"/>
      <c r="U11" s="866"/>
      <c r="V11" s="517" t="s">
        <v>1958</v>
      </c>
      <c r="W11" s="867">
        <v>0</v>
      </c>
      <c r="X11" s="517" t="s">
        <v>1958</v>
      </c>
      <c r="Y11" s="867">
        <v>0</v>
      </c>
      <c r="Z11" s="517" t="s">
        <v>1958</v>
      </c>
      <c r="AA11" s="867">
        <v>0</v>
      </c>
      <c r="AB11" s="517" t="s">
        <v>1958</v>
      </c>
      <c r="AC11" s="867">
        <v>0</v>
      </c>
      <c r="AD11" s="517" t="s">
        <v>1958</v>
      </c>
      <c r="AE11" s="867">
        <v>0</v>
      </c>
      <c r="AF11" s="834"/>
      <c r="AG11" s="866"/>
      <c r="AH11" s="834"/>
      <c r="AI11" s="866"/>
      <c r="AJ11" s="834"/>
      <c r="AK11" s="866"/>
      <c r="AL11" s="517" t="s">
        <v>1958</v>
      </c>
      <c r="AM11" s="867">
        <v>0</v>
      </c>
      <c r="AN11" s="517" t="s">
        <v>1958</v>
      </c>
      <c r="AO11" s="867">
        <v>0</v>
      </c>
      <c r="AP11" s="517" t="s">
        <v>1958</v>
      </c>
      <c r="AQ11" s="867">
        <v>0</v>
      </c>
      <c r="AR11" s="517" t="s">
        <v>1958</v>
      </c>
      <c r="AS11" s="867">
        <v>0</v>
      </c>
      <c r="AT11" s="517" t="s">
        <v>1958</v>
      </c>
      <c r="AU11" s="867">
        <v>0</v>
      </c>
      <c r="AV11" s="834"/>
      <c r="AW11" s="866"/>
      <c r="AX11" s="834"/>
      <c r="AY11" s="866"/>
      <c r="AZ11" s="867" t="s">
        <v>1958</v>
      </c>
      <c r="BA11" s="517">
        <v>0</v>
      </c>
      <c r="BB11" s="867" t="s">
        <v>1958</v>
      </c>
      <c r="BC11" s="867" t="s">
        <v>1958</v>
      </c>
      <c r="BD11" s="517" t="s">
        <v>1958</v>
      </c>
      <c r="BE11" s="867">
        <v>0</v>
      </c>
      <c r="BF11" s="517" t="s">
        <v>1959</v>
      </c>
      <c r="BG11" s="867">
        <v>0</v>
      </c>
      <c r="BH11" s="517" t="s">
        <v>1959</v>
      </c>
      <c r="BI11" s="867">
        <v>0</v>
      </c>
      <c r="BJ11" s="834"/>
      <c r="BK11" s="866"/>
      <c r="BL11" s="834"/>
      <c r="BM11" s="866"/>
      <c r="BN11" s="517" t="s">
        <v>1959</v>
      </c>
      <c r="BO11" s="867">
        <v>0</v>
      </c>
    </row>
    <row r="12" spans="1:67" s="441" customFormat="1">
      <c r="A12" s="95"/>
      <c r="B12" s="865">
        <v>8</v>
      </c>
      <c r="C12" s="495" t="s">
        <v>1842</v>
      </c>
      <c r="D12" s="755" t="s">
        <v>1958</v>
      </c>
      <c r="E12" s="513" t="s">
        <v>1993</v>
      </c>
      <c r="F12" s="834"/>
      <c r="G12" s="866">
        <v>0</v>
      </c>
      <c r="H12" s="517" t="s">
        <v>1958</v>
      </c>
      <c r="I12" s="867">
        <v>0</v>
      </c>
      <c r="J12" s="517" t="s">
        <v>1995</v>
      </c>
      <c r="K12" s="867">
        <v>0</v>
      </c>
      <c r="L12" s="517" t="s">
        <v>1958</v>
      </c>
      <c r="M12" s="867">
        <v>0</v>
      </c>
      <c r="N12" s="517" t="s">
        <v>1958</v>
      </c>
      <c r="O12" s="867">
        <v>0</v>
      </c>
      <c r="P12" s="517" t="s">
        <v>1958</v>
      </c>
      <c r="Q12" s="867">
        <v>0</v>
      </c>
      <c r="R12" s="517" t="s">
        <v>1958</v>
      </c>
      <c r="S12" s="867">
        <v>0</v>
      </c>
      <c r="T12" s="834"/>
      <c r="U12" s="866"/>
      <c r="V12" s="517" t="s">
        <v>1958</v>
      </c>
      <c r="W12" s="867">
        <v>0</v>
      </c>
      <c r="X12" s="517" t="s">
        <v>1958</v>
      </c>
      <c r="Y12" s="867">
        <v>0</v>
      </c>
      <c r="Z12" s="517" t="s">
        <v>1958</v>
      </c>
      <c r="AA12" s="867">
        <v>0</v>
      </c>
      <c r="AB12" s="517" t="s">
        <v>1958</v>
      </c>
      <c r="AC12" s="867">
        <v>0</v>
      </c>
      <c r="AD12" s="517" t="s">
        <v>1958</v>
      </c>
      <c r="AE12" s="867">
        <v>0</v>
      </c>
      <c r="AF12" s="834"/>
      <c r="AG12" s="866"/>
      <c r="AH12" s="834"/>
      <c r="AI12" s="866"/>
      <c r="AJ12" s="834"/>
      <c r="AK12" s="866"/>
      <c r="AL12" s="517" t="s">
        <v>1958</v>
      </c>
      <c r="AM12" s="867">
        <v>0</v>
      </c>
      <c r="AN12" s="517" t="s">
        <v>1958</v>
      </c>
      <c r="AO12" s="867">
        <v>0</v>
      </c>
      <c r="AP12" s="517" t="s">
        <v>1958</v>
      </c>
      <c r="AQ12" s="867">
        <v>0</v>
      </c>
      <c r="AR12" s="517" t="s">
        <v>1958</v>
      </c>
      <c r="AS12" s="867">
        <v>0</v>
      </c>
      <c r="AT12" s="517" t="s">
        <v>1958</v>
      </c>
      <c r="AU12" s="867">
        <v>0</v>
      </c>
      <c r="AV12" s="834"/>
      <c r="AW12" s="866"/>
      <c r="AX12" s="834"/>
      <c r="AY12" s="866"/>
      <c r="AZ12" s="867" t="s">
        <v>1958</v>
      </c>
      <c r="BA12" s="517">
        <v>0</v>
      </c>
      <c r="BB12" s="867" t="s">
        <v>1958</v>
      </c>
      <c r="BC12" s="867" t="s">
        <v>1958</v>
      </c>
      <c r="BD12" s="517" t="s">
        <v>1958</v>
      </c>
      <c r="BE12" s="867">
        <v>0</v>
      </c>
      <c r="BF12" s="517" t="s">
        <v>1976</v>
      </c>
      <c r="BG12" s="867">
        <v>0</v>
      </c>
      <c r="BH12" s="517" t="s">
        <v>1976</v>
      </c>
      <c r="BI12" s="867">
        <v>0</v>
      </c>
      <c r="BJ12" s="834"/>
      <c r="BK12" s="866"/>
      <c r="BL12" s="834"/>
      <c r="BM12" s="866"/>
      <c r="BN12" s="517" t="s">
        <v>1976</v>
      </c>
      <c r="BO12" s="867">
        <v>0</v>
      </c>
    </row>
    <row r="13" spans="1:67" s="441" customFormat="1">
      <c r="A13" s="95"/>
      <c r="B13" s="865">
        <v>9</v>
      </c>
      <c r="C13" s="495" t="s">
        <v>1994</v>
      </c>
      <c r="D13" s="755" t="s">
        <v>1995</v>
      </c>
      <c r="E13" s="513" t="s">
        <v>2007</v>
      </c>
      <c r="F13" s="834"/>
      <c r="G13" s="866">
        <v>0</v>
      </c>
      <c r="H13" s="517" t="s">
        <v>1995</v>
      </c>
      <c r="I13" s="867">
        <v>0</v>
      </c>
      <c r="J13" s="517" t="s">
        <v>1995</v>
      </c>
      <c r="K13" s="867">
        <v>0</v>
      </c>
      <c r="L13" s="517" t="s">
        <v>1995</v>
      </c>
      <c r="M13" s="867">
        <v>0</v>
      </c>
      <c r="N13" s="517" t="s">
        <v>1995</v>
      </c>
      <c r="O13" s="867">
        <v>0</v>
      </c>
      <c r="P13" s="517" t="s">
        <v>1995</v>
      </c>
      <c r="Q13" s="867">
        <v>0</v>
      </c>
      <c r="R13" s="517" t="s">
        <v>1995</v>
      </c>
      <c r="S13" s="867">
        <v>0</v>
      </c>
      <c r="T13" s="834"/>
      <c r="U13" s="866"/>
      <c r="V13" s="517" t="s">
        <v>1995</v>
      </c>
      <c r="W13" s="867">
        <v>0</v>
      </c>
      <c r="X13" s="517" t="s">
        <v>1995</v>
      </c>
      <c r="Y13" s="867">
        <v>0</v>
      </c>
      <c r="Z13" s="517" t="s">
        <v>1995</v>
      </c>
      <c r="AA13" s="867">
        <v>0</v>
      </c>
      <c r="AB13" s="517" t="s">
        <v>1995</v>
      </c>
      <c r="AC13" s="867">
        <v>0</v>
      </c>
      <c r="AD13" s="517" t="s">
        <v>1995</v>
      </c>
      <c r="AE13" s="867">
        <v>0</v>
      </c>
      <c r="AF13" s="834"/>
      <c r="AG13" s="866"/>
      <c r="AH13" s="834"/>
      <c r="AI13" s="866"/>
      <c r="AJ13" s="834"/>
      <c r="AK13" s="866"/>
      <c r="AL13" s="517" t="s">
        <v>1995</v>
      </c>
      <c r="AM13" s="867">
        <v>0</v>
      </c>
      <c r="AN13" s="517" t="s">
        <v>1995</v>
      </c>
      <c r="AO13" s="867">
        <v>0</v>
      </c>
      <c r="AP13" s="517" t="s">
        <v>1995</v>
      </c>
      <c r="AQ13" s="867">
        <v>0</v>
      </c>
      <c r="AR13" s="517" t="s">
        <v>1995</v>
      </c>
      <c r="AS13" s="867">
        <v>0</v>
      </c>
      <c r="AT13" s="517" t="s">
        <v>1995</v>
      </c>
      <c r="AU13" s="867">
        <v>0</v>
      </c>
      <c r="AV13" s="834"/>
      <c r="AW13" s="866"/>
      <c r="AX13" s="834"/>
      <c r="AY13" s="866"/>
      <c r="AZ13" s="867" t="s">
        <v>1995</v>
      </c>
      <c r="BA13" s="517">
        <v>0</v>
      </c>
      <c r="BB13" s="867" t="s">
        <v>1995</v>
      </c>
      <c r="BC13" s="867" t="s">
        <v>1995</v>
      </c>
      <c r="BD13" s="517" t="s">
        <v>1995</v>
      </c>
      <c r="BE13" s="867">
        <v>0</v>
      </c>
      <c r="BF13" s="517" t="s">
        <v>1976</v>
      </c>
      <c r="BG13" s="867">
        <v>0</v>
      </c>
      <c r="BH13" s="517" t="s">
        <v>1976</v>
      </c>
      <c r="BI13" s="867">
        <v>0</v>
      </c>
      <c r="BJ13" s="834"/>
      <c r="BK13" s="866"/>
      <c r="BL13" s="834"/>
      <c r="BM13" s="866"/>
      <c r="BN13" s="517" t="s">
        <v>1976</v>
      </c>
      <c r="BO13" s="867">
        <v>0</v>
      </c>
    </row>
    <row r="14" spans="1:67" s="441" customFormat="1">
      <c r="A14" s="95"/>
      <c r="B14" s="865">
        <v>10</v>
      </c>
      <c r="C14" s="495" t="s">
        <v>1994</v>
      </c>
      <c r="D14" s="755" t="s">
        <v>1995</v>
      </c>
      <c r="E14" s="513" t="s">
        <v>2008</v>
      </c>
      <c r="F14" s="834"/>
      <c r="G14" s="866">
        <v>0</v>
      </c>
      <c r="H14" s="517" t="s">
        <v>1995</v>
      </c>
      <c r="I14" s="867">
        <v>0</v>
      </c>
      <c r="J14" s="517" t="s">
        <v>1995</v>
      </c>
      <c r="K14" s="867">
        <v>0</v>
      </c>
      <c r="L14" s="517" t="s">
        <v>1995</v>
      </c>
      <c r="M14" s="867">
        <v>0</v>
      </c>
      <c r="N14" s="517" t="s">
        <v>1959</v>
      </c>
      <c r="O14" s="867">
        <v>0</v>
      </c>
      <c r="P14" s="517" t="s">
        <v>1959</v>
      </c>
      <c r="Q14" s="867">
        <v>0</v>
      </c>
      <c r="R14" s="517" t="s">
        <v>1995</v>
      </c>
      <c r="S14" s="867">
        <v>0</v>
      </c>
      <c r="T14" s="834"/>
      <c r="U14" s="866"/>
      <c r="V14" s="517" t="s">
        <v>1995</v>
      </c>
      <c r="W14" s="867">
        <v>0</v>
      </c>
      <c r="X14" s="517" t="s">
        <v>1995</v>
      </c>
      <c r="Y14" s="867">
        <v>0</v>
      </c>
      <c r="Z14" s="517" t="s">
        <v>1995</v>
      </c>
      <c r="AA14" s="867">
        <v>0</v>
      </c>
      <c r="AB14" s="517" t="s">
        <v>1995</v>
      </c>
      <c r="AC14" s="867">
        <v>0</v>
      </c>
      <c r="AD14" s="517" t="s">
        <v>1995</v>
      </c>
      <c r="AE14" s="867">
        <v>0</v>
      </c>
      <c r="AF14" s="834"/>
      <c r="AG14" s="866"/>
      <c r="AH14" s="834"/>
      <c r="AI14" s="866"/>
      <c r="AJ14" s="834"/>
      <c r="AK14" s="866"/>
      <c r="AL14" s="517" t="s">
        <v>1995</v>
      </c>
      <c r="AM14" s="867">
        <v>0</v>
      </c>
      <c r="AN14" s="517" t="s">
        <v>1995</v>
      </c>
      <c r="AO14" s="867">
        <v>0</v>
      </c>
      <c r="AP14" s="517" t="s">
        <v>1995</v>
      </c>
      <c r="AQ14" s="867">
        <v>0</v>
      </c>
      <c r="AR14" s="517" t="s">
        <v>1995</v>
      </c>
      <c r="AS14" s="867">
        <v>0</v>
      </c>
      <c r="AT14" s="517" t="s">
        <v>1995</v>
      </c>
      <c r="AU14" s="867">
        <v>0</v>
      </c>
      <c r="AV14" s="834"/>
      <c r="AW14" s="866"/>
      <c r="AX14" s="834"/>
      <c r="AY14" s="866"/>
      <c r="AZ14" s="867" t="s">
        <v>1995</v>
      </c>
      <c r="BA14" s="517">
        <v>0</v>
      </c>
      <c r="BB14" s="867" t="s">
        <v>1995</v>
      </c>
      <c r="BC14" s="867" t="s">
        <v>1995</v>
      </c>
      <c r="BD14" s="517" t="s">
        <v>1995</v>
      </c>
      <c r="BE14" s="867">
        <v>0</v>
      </c>
      <c r="BF14" s="517" t="s">
        <v>1960</v>
      </c>
      <c r="BG14" s="867">
        <v>0</v>
      </c>
      <c r="BH14" s="517" t="s">
        <v>1960</v>
      </c>
      <c r="BI14" s="867">
        <v>0</v>
      </c>
      <c r="BJ14" s="834"/>
      <c r="BK14" s="866"/>
      <c r="BL14" s="834"/>
      <c r="BM14" s="866"/>
      <c r="BN14" s="517" t="s">
        <v>1960</v>
      </c>
      <c r="BO14" s="867">
        <v>0</v>
      </c>
    </row>
    <row r="15" spans="1:67" s="441" customFormat="1">
      <c r="A15" s="95"/>
      <c r="B15" s="865">
        <v>11</v>
      </c>
      <c r="C15" s="495" t="s">
        <v>1994</v>
      </c>
      <c r="D15" s="755" t="s">
        <v>1995</v>
      </c>
      <c r="E15" s="513" t="s">
        <v>2013</v>
      </c>
      <c r="F15" s="834"/>
      <c r="G15" s="866">
        <v>0</v>
      </c>
      <c r="H15" s="517" t="s">
        <v>1995</v>
      </c>
      <c r="I15" s="867">
        <v>0</v>
      </c>
      <c r="J15" s="517" t="s">
        <v>1957</v>
      </c>
      <c r="K15" s="867">
        <v>0</v>
      </c>
      <c r="L15" s="517" t="s">
        <v>1995</v>
      </c>
      <c r="M15" s="867">
        <v>0</v>
      </c>
      <c r="N15" s="517" t="s">
        <v>1995</v>
      </c>
      <c r="O15" s="867">
        <v>0</v>
      </c>
      <c r="P15" s="517" t="s">
        <v>1995</v>
      </c>
      <c r="Q15" s="867">
        <v>0</v>
      </c>
      <c r="R15" s="517" t="s">
        <v>1995</v>
      </c>
      <c r="S15" s="867">
        <v>0</v>
      </c>
      <c r="T15" s="834"/>
      <c r="U15" s="866"/>
      <c r="V15" s="517" t="s">
        <v>1995</v>
      </c>
      <c r="W15" s="867">
        <v>0</v>
      </c>
      <c r="X15" s="517" t="s">
        <v>1995</v>
      </c>
      <c r="Y15" s="867">
        <v>0</v>
      </c>
      <c r="Z15" s="517" t="s">
        <v>1995</v>
      </c>
      <c r="AA15" s="867">
        <v>0</v>
      </c>
      <c r="AB15" s="517" t="s">
        <v>1995</v>
      </c>
      <c r="AC15" s="867">
        <v>0</v>
      </c>
      <c r="AD15" s="517" t="s">
        <v>1995</v>
      </c>
      <c r="AE15" s="867">
        <v>0</v>
      </c>
      <c r="AF15" s="834"/>
      <c r="AG15" s="866"/>
      <c r="AH15" s="834"/>
      <c r="AI15" s="866"/>
      <c r="AJ15" s="834"/>
      <c r="AK15" s="866"/>
      <c r="AL15" s="517" t="s">
        <v>1995</v>
      </c>
      <c r="AM15" s="867">
        <v>0</v>
      </c>
      <c r="AN15" s="517" t="s">
        <v>1995</v>
      </c>
      <c r="AO15" s="867">
        <v>0</v>
      </c>
      <c r="AP15" s="517" t="s">
        <v>1995</v>
      </c>
      <c r="AQ15" s="867">
        <v>0</v>
      </c>
      <c r="AR15" s="517" t="s">
        <v>1995</v>
      </c>
      <c r="AS15" s="867">
        <v>0</v>
      </c>
      <c r="AT15" s="517" t="s">
        <v>1995</v>
      </c>
      <c r="AU15" s="867">
        <v>0</v>
      </c>
      <c r="AV15" s="834"/>
      <c r="AW15" s="866"/>
      <c r="AX15" s="834"/>
      <c r="AY15" s="866"/>
      <c r="AZ15" s="867" t="s">
        <v>1995</v>
      </c>
      <c r="BA15" s="517">
        <v>0</v>
      </c>
      <c r="BB15" s="867" t="s">
        <v>1995</v>
      </c>
      <c r="BC15" s="867" t="s">
        <v>1995</v>
      </c>
      <c r="BD15" s="517" t="s">
        <v>1995</v>
      </c>
      <c r="BE15" s="867">
        <v>0</v>
      </c>
      <c r="BF15" s="517" t="s">
        <v>1957</v>
      </c>
      <c r="BG15" s="867">
        <v>0</v>
      </c>
      <c r="BH15" s="517" t="s">
        <v>1957</v>
      </c>
      <c r="BI15" s="867">
        <v>0</v>
      </c>
      <c r="BJ15" s="834"/>
      <c r="BK15" s="866"/>
      <c r="BL15" s="834"/>
      <c r="BM15" s="866"/>
      <c r="BN15" s="517" t="s">
        <v>1957</v>
      </c>
      <c r="BO15" s="867">
        <v>0</v>
      </c>
    </row>
    <row r="16" spans="1:67" s="441" customFormat="1">
      <c r="A16" s="95"/>
      <c r="B16" s="865">
        <v>12</v>
      </c>
      <c r="C16" s="495" t="s">
        <v>1950</v>
      </c>
      <c r="D16" s="755" t="s">
        <v>1959</v>
      </c>
      <c r="E16" s="513" t="s">
        <v>2610</v>
      </c>
      <c r="F16" s="834"/>
      <c r="G16" s="866">
        <v>0</v>
      </c>
      <c r="H16" s="517">
        <v>0</v>
      </c>
      <c r="I16" s="867">
        <v>0</v>
      </c>
      <c r="J16" s="517">
        <v>0</v>
      </c>
      <c r="K16" s="867">
        <v>0</v>
      </c>
      <c r="L16" s="517">
        <v>0</v>
      </c>
      <c r="M16" s="867">
        <v>0</v>
      </c>
      <c r="N16" s="517">
        <v>0</v>
      </c>
      <c r="O16" s="867">
        <v>0</v>
      </c>
      <c r="P16" s="517">
        <v>0</v>
      </c>
      <c r="Q16" s="867">
        <v>0</v>
      </c>
      <c r="R16" s="517">
        <v>0</v>
      </c>
      <c r="S16" s="867">
        <v>0</v>
      </c>
      <c r="T16" s="834"/>
      <c r="U16" s="866"/>
      <c r="V16" s="517">
        <v>0</v>
      </c>
      <c r="W16" s="867">
        <v>0</v>
      </c>
      <c r="X16" s="517">
        <v>0</v>
      </c>
      <c r="Y16" s="867">
        <v>0</v>
      </c>
      <c r="Z16" s="517">
        <v>0</v>
      </c>
      <c r="AA16" s="867">
        <v>0</v>
      </c>
      <c r="AB16" s="517">
        <v>0</v>
      </c>
      <c r="AC16" s="867">
        <v>0</v>
      </c>
      <c r="AD16" s="517">
        <v>0</v>
      </c>
      <c r="AE16" s="867">
        <v>0</v>
      </c>
      <c r="AF16" s="834"/>
      <c r="AG16" s="866"/>
      <c r="AH16" s="834"/>
      <c r="AI16" s="866"/>
      <c r="AJ16" s="834"/>
      <c r="AK16" s="866"/>
      <c r="AL16" s="517" t="s">
        <v>1959</v>
      </c>
      <c r="AM16" s="867">
        <v>0</v>
      </c>
      <c r="AN16" s="517" t="s">
        <v>1959</v>
      </c>
      <c r="AO16" s="867">
        <v>0</v>
      </c>
      <c r="AP16" s="517" t="s">
        <v>1959</v>
      </c>
      <c r="AQ16" s="867">
        <v>0</v>
      </c>
      <c r="AR16" s="517" t="s">
        <v>1959</v>
      </c>
      <c r="AS16" s="867">
        <v>0</v>
      </c>
      <c r="AT16" s="517" t="s">
        <v>1959</v>
      </c>
      <c r="AU16" s="867">
        <v>0</v>
      </c>
      <c r="AV16" s="834"/>
      <c r="AW16" s="866"/>
      <c r="AX16" s="834"/>
      <c r="AY16" s="866"/>
      <c r="AZ16" s="867" t="s">
        <v>1959</v>
      </c>
      <c r="BA16" s="517">
        <v>0</v>
      </c>
      <c r="BB16" s="867" t="s">
        <v>1959</v>
      </c>
      <c r="BC16" s="867" t="s">
        <v>1959</v>
      </c>
      <c r="BD16" s="517" t="s">
        <v>1959</v>
      </c>
      <c r="BE16" s="867">
        <v>0</v>
      </c>
      <c r="BF16" s="517" t="s">
        <v>1961</v>
      </c>
      <c r="BG16" s="867">
        <v>0</v>
      </c>
      <c r="BH16" s="517" t="s">
        <v>1961</v>
      </c>
      <c r="BI16" s="867">
        <v>0</v>
      </c>
      <c r="BJ16" s="834"/>
      <c r="BK16" s="866"/>
      <c r="BL16" s="834"/>
      <c r="BM16" s="866"/>
      <c r="BN16" s="517" t="s">
        <v>1961</v>
      </c>
      <c r="BO16" s="867">
        <v>0</v>
      </c>
    </row>
    <row r="17" spans="1:67" s="441" customFormat="1">
      <c r="A17" s="95"/>
      <c r="B17" s="865">
        <v>13</v>
      </c>
      <c r="C17" s="495" t="s">
        <v>1950</v>
      </c>
      <c r="D17" s="755" t="s">
        <v>1959</v>
      </c>
      <c r="E17" s="513" t="s">
        <v>2611</v>
      </c>
      <c r="F17" s="834"/>
      <c r="G17" s="866">
        <v>0</v>
      </c>
      <c r="H17" s="517">
        <v>0</v>
      </c>
      <c r="I17" s="867">
        <v>0</v>
      </c>
      <c r="J17" s="517">
        <v>0</v>
      </c>
      <c r="K17" s="867">
        <v>0</v>
      </c>
      <c r="L17" s="517">
        <v>0</v>
      </c>
      <c r="M17" s="867">
        <v>0</v>
      </c>
      <c r="N17" s="517">
        <v>0</v>
      </c>
      <c r="O17" s="867">
        <v>0</v>
      </c>
      <c r="P17" s="517">
        <v>0</v>
      </c>
      <c r="Q17" s="867">
        <v>0</v>
      </c>
      <c r="R17" s="517">
        <v>0</v>
      </c>
      <c r="S17" s="867">
        <v>0</v>
      </c>
      <c r="T17" s="834"/>
      <c r="U17" s="866"/>
      <c r="V17" s="517">
        <v>0</v>
      </c>
      <c r="W17" s="867">
        <v>0</v>
      </c>
      <c r="X17" s="517">
        <v>0</v>
      </c>
      <c r="Y17" s="867">
        <v>0</v>
      </c>
      <c r="Z17" s="517">
        <v>0</v>
      </c>
      <c r="AA17" s="867">
        <v>0</v>
      </c>
      <c r="AB17" s="517">
        <v>0</v>
      </c>
      <c r="AC17" s="867">
        <v>0</v>
      </c>
      <c r="AD17" s="517">
        <v>0</v>
      </c>
      <c r="AE17" s="867">
        <v>0</v>
      </c>
      <c r="AF17" s="834"/>
      <c r="AG17" s="866"/>
      <c r="AH17" s="834"/>
      <c r="AI17" s="866"/>
      <c r="AJ17" s="834"/>
      <c r="AK17" s="866"/>
      <c r="AL17" s="517" t="s">
        <v>1959</v>
      </c>
      <c r="AM17" s="867">
        <v>0</v>
      </c>
      <c r="AN17" s="517" t="s">
        <v>1959</v>
      </c>
      <c r="AO17" s="867">
        <v>0</v>
      </c>
      <c r="AP17" s="517" t="s">
        <v>1959</v>
      </c>
      <c r="AQ17" s="867">
        <v>0</v>
      </c>
      <c r="AR17" s="517" t="s">
        <v>1959</v>
      </c>
      <c r="AS17" s="867">
        <v>0</v>
      </c>
      <c r="AT17" s="517" t="s">
        <v>1959</v>
      </c>
      <c r="AU17" s="867">
        <v>0</v>
      </c>
      <c r="AV17" s="834"/>
      <c r="AW17" s="866"/>
      <c r="AX17" s="834"/>
      <c r="AY17" s="866"/>
      <c r="AZ17" s="867" t="s">
        <v>1959</v>
      </c>
      <c r="BA17" s="517">
        <v>0</v>
      </c>
      <c r="BB17" s="867" t="s">
        <v>1959</v>
      </c>
      <c r="BC17" s="867" t="s">
        <v>1959</v>
      </c>
      <c r="BD17" s="517" t="s">
        <v>1959</v>
      </c>
      <c r="BE17" s="867">
        <v>0</v>
      </c>
      <c r="BF17" s="517" t="s">
        <v>1980</v>
      </c>
      <c r="BG17" s="867">
        <v>0</v>
      </c>
      <c r="BH17" s="517" t="s">
        <v>1980</v>
      </c>
      <c r="BI17" s="867">
        <v>0</v>
      </c>
      <c r="BJ17" s="834"/>
      <c r="BK17" s="866"/>
      <c r="BL17" s="834"/>
      <c r="BM17" s="866"/>
      <c r="BN17" s="517" t="s">
        <v>1980</v>
      </c>
      <c r="BO17" s="867">
        <v>0</v>
      </c>
    </row>
    <row r="18" spans="1:67" s="441" customFormat="1">
      <c r="A18" s="95"/>
      <c r="B18" s="865">
        <v>14</v>
      </c>
      <c r="C18" s="495" t="s">
        <v>1996</v>
      </c>
      <c r="D18" s="755" t="s">
        <v>1976</v>
      </c>
      <c r="E18" s="513" t="s">
        <v>1997</v>
      </c>
      <c r="F18" s="834"/>
      <c r="G18" s="866">
        <v>0</v>
      </c>
      <c r="H18" s="517" t="s">
        <v>1976</v>
      </c>
      <c r="I18" s="867">
        <v>0</v>
      </c>
      <c r="J18" s="517" t="s">
        <v>1976</v>
      </c>
      <c r="K18" s="867">
        <v>0</v>
      </c>
      <c r="L18" s="517" t="s">
        <v>1976</v>
      </c>
      <c r="M18" s="867">
        <v>0</v>
      </c>
      <c r="N18" s="517" t="s">
        <v>1976</v>
      </c>
      <c r="O18" s="867">
        <v>0</v>
      </c>
      <c r="P18" s="517" t="s">
        <v>1976</v>
      </c>
      <c r="Q18" s="867">
        <v>0</v>
      </c>
      <c r="R18" s="517" t="s">
        <v>1976</v>
      </c>
      <c r="S18" s="867">
        <v>0</v>
      </c>
      <c r="T18" s="834"/>
      <c r="U18" s="866"/>
      <c r="V18" s="517" t="s">
        <v>1976</v>
      </c>
      <c r="W18" s="867">
        <v>0</v>
      </c>
      <c r="X18" s="517" t="s">
        <v>1976</v>
      </c>
      <c r="Y18" s="867">
        <v>0</v>
      </c>
      <c r="Z18" s="517" t="s">
        <v>1976</v>
      </c>
      <c r="AA18" s="867">
        <v>0</v>
      </c>
      <c r="AB18" s="517" t="s">
        <v>1976</v>
      </c>
      <c r="AC18" s="867">
        <v>0</v>
      </c>
      <c r="AD18" s="517" t="s">
        <v>1976</v>
      </c>
      <c r="AE18" s="867">
        <v>0</v>
      </c>
      <c r="AF18" s="834"/>
      <c r="AG18" s="866"/>
      <c r="AH18" s="834"/>
      <c r="AI18" s="866"/>
      <c r="AJ18" s="834"/>
      <c r="AK18" s="866"/>
      <c r="AL18" s="517" t="s">
        <v>1976</v>
      </c>
      <c r="AM18" s="867">
        <v>0</v>
      </c>
      <c r="AN18" s="517" t="s">
        <v>1976</v>
      </c>
      <c r="AO18" s="867">
        <v>0</v>
      </c>
      <c r="AP18" s="517" t="s">
        <v>1976</v>
      </c>
      <c r="AQ18" s="867">
        <v>0</v>
      </c>
      <c r="AR18" s="517" t="s">
        <v>1976</v>
      </c>
      <c r="AS18" s="867">
        <v>0</v>
      </c>
      <c r="AT18" s="517" t="s">
        <v>1976</v>
      </c>
      <c r="AU18" s="867">
        <v>0</v>
      </c>
      <c r="AV18" s="834"/>
      <c r="AW18" s="866"/>
      <c r="AX18" s="834"/>
      <c r="AY18" s="866"/>
      <c r="AZ18" s="867" t="s">
        <v>1976</v>
      </c>
      <c r="BA18" s="517">
        <v>0</v>
      </c>
      <c r="BB18" s="867" t="s">
        <v>1976</v>
      </c>
      <c r="BC18" s="867" t="s">
        <v>1976</v>
      </c>
      <c r="BD18" s="517" t="s">
        <v>1976</v>
      </c>
      <c r="BE18" s="867">
        <v>0</v>
      </c>
      <c r="BF18" s="517" t="s">
        <v>2103</v>
      </c>
      <c r="BG18" s="867">
        <v>0</v>
      </c>
      <c r="BH18" s="517" t="s">
        <v>2103</v>
      </c>
      <c r="BI18" s="867">
        <v>0</v>
      </c>
      <c r="BJ18" s="834"/>
      <c r="BK18" s="866"/>
      <c r="BL18" s="834"/>
      <c r="BM18" s="866"/>
      <c r="BN18" s="517" t="s">
        <v>2103</v>
      </c>
      <c r="BO18" s="867">
        <v>0</v>
      </c>
    </row>
    <row r="19" spans="1:67" s="441" customFormat="1">
      <c r="A19" s="95"/>
      <c r="B19" s="865">
        <v>14</v>
      </c>
      <c r="C19" s="495" t="s">
        <v>1996</v>
      </c>
      <c r="D19" s="755" t="s">
        <v>1976</v>
      </c>
      <c r="E19" s="513" t="s">
        <v>2009</v>
      </c>
      <c r="F19" s="834"/>
      <c r="G19" s="866">
        <v>0</v>
      </c>
      <c r="H19" s="517" t="s">
        <v>1976</v>
      </c>
      <c r="I19" s="867">
        <v>0</v>
      </c>
      <c r="J19" s="517" t="s">
        <v>1957</v>
      </c>
      <c r="K19" s="867">
        <v>0</v>
      </c>
      <c r="L19" s="517" t="s">
        <v>1976</v>
      </c>
      <c r="M19" s="867">
        <v>0</v>
      </c>
      <c r="N19" s="517" t="s">
        <v>1976</v>
      </c>
      <c r="O19" s="867">
        <v>0</v>
      </c>
      <c r="P19" s="517" t="s">
        <v>1976</v>
      </c>
      <c r="Q19" s="867">
        <v>0</v>
      </c>
      <c r="R19" s="517" t="s">
        <v>1976</v>
      </c>
      <c r="S19" s="867">
        <v>0</v>
      </c>
      <c r="T19" s="834"/>
      <c r="U19" s="866"/>
      <c r="V19" s="517" t="s">
        <v>1976</v>
      </c>
      <c r="W19" s="867">
        <v>0</v>
      </c>
      <c r="X19" s="517" t="s">
        <v>1976</v>
      </c>
      <c r="Y19" s="867">
        <v>0</v>
      </c>
      <c r="Z19" s="517" t="s">
        <v>1976</v>
      </c>
      <c r="AA19" s="867">
        <v>0</v>
      </c>
      <c r="AB19" s="517" t="s">
        <v>1976</v>
      </c>
      <c r="AC19" s="867">
        <v>0</v>
      </c>
      <c r="AD19" s="517" t="s">
        <v>1976</v>
      </c>
      <c r="AE19" s="867">
        <v>0</v>
      </c>
      <c r="AF19" s="834"/>
      <c r="AG19" s="866"/>
      <c r="AH19" s="834"/>
      <c r="AI19" s="866"/>
      <c r="AJ19" s="834"/>
      <c r="AK19" s="866"/>
      <c r="AL19" s="517" t="s">
        <v>1976</v>
      </c>
      <c r="AM19" s="867">
        <v>0</v>
      </c>
      <c r="AN19" s="517" t="s">
        <v>1976</v>
      </c>
      <c r="AO19" s="867">
        <v>0</v>
      </c>
      <c r="AP19" s="517" t="s">
        <v>1976</v>
      </c>
      <c r="AQ19" s="867">
        <v>0</v>
      </c>
      <c r="AR19" s="517" t="s">
        <v>1976</v>
      </c>
      <c r="AS19" s="867">
        <v>0</v>
      </c>
      <c r="AT19" s="517" t="s">
        <v>1976</v>
      </c>
      <c r="AU19" s="867">
        <v>0</v>
      </c>
      <c r="AV19" s="834"/>
      <c r="AW19" s="866"/>
      <c r="AX19" s="834"/>
      <c r="AY19" s="866"/>
      <c r="AZ19" s="867" t="s">
        <v>1976</v>
      </c>
      <c r="BA19" s="517">
        <v>0</v>
      </c>
      <c r="BB19" s="867" t="s">
        <v>1976</v>
      </c>
      <c r="BC19" s="867" t="s">
        <v>1976</v>
      </c>
      <c r="BD19" s="517" t="s">
        <v>1976</v>
      </c>
      <c r="BE19" s="867">
        <v>0</v>
      </c>
      <c r="BF19" s="517" t="s">
        <v>1961</v>
      </c>
      <c r="BG19" s="867">
        <v>0</v>
      </c>
      <c r="BH19" s="517" t="s">
        <v>1961</v>
      </c>
      <c r="BI19" s="867">
        <v>0</v>
      </c>
      <c r="BJ19" s="834"/>
      <c r="BK19" s="866"/>
      <c r="BL19" s="834"/>
      <c r="BM19" s="866"/>
      <c r="BN19" s="517" t="s">
        <v>1961</v>
      </c>
      <c r="BO19" s="867">
        <v>0</v>
      </c>
    </row>
    <row r="20" spans="1:67" s="441" customFormat="1">
      <c r="A20" s="95"/>
      <c r="B20" s="865">
        <v>15</v>
      </c>
      <c r="C20" s="495" t="s">
        <v>1951</v>
      </c>
      <c r="D20" s="755" t="s">
        <v>1960</v>
      </c>
      <c r="E20" s="513" t="s">
        <v>2098</v>
      </c>
      <c r="F20" s="834"/>
      <c r="G20" s="866">
        <v>0</v>
      </c>
      <c r="H20" s="517" t="s">
        <v>1959</v>
      </c>
      <c r="I20" s="867">
        <v>0</v>
      </c>
      <c r="J20" s="517" t="s">
        <v>1959</v>
      </c>
      <c r="K20" s="867">
        <v>0</v>
      </c>
      <c r="L20" s="517" t="s">
        <v>1959</v>
      </c>
      <c r="M20" s="867">
        <v>0</v>
      </c>
      <c r="N20" s="517" t="s">
        <v>1959</v>
      </c>
      <c r="O20" s="867">
        <v>0</v>
      </c>
      <c r="P20" s="517" t="s">
        <v>1959</v>
      </c>
      <c r="Q20" s="867">
        <v>0</v>
      </c>
      <c r="R20" s="517" t="s">
        <v>1959</v>
      </c>
      <c r="S20" s="867">
        <v>0</v>
      </c>
      <c r="T20" s="834"/>
      <c r="U20" s="866"/>
      <c r="V20" s="517" t="s">
        <v>1959</v>
      </c>
      <c r="W20" s="867">
        <v>0</v>
      </c>
      <c r="X20" s="517" t="s">
        <v>1959</v>
      </c>
      <c r="Y20" s="867">
        <v>0</v>
      </c>
      <c r="Z20" s="517" t="s">
        <v>1959</v>
      </c>
      <c r="AA20" s="867">
        <v>0</v>
      </c>
      <c r="AB20" s="517" t="s">
        <v>1959</v>
      </c>
      <c r="AC20" s="867">
        <v>0</v>
      </c>
      <c r="AD20" s="517" t="s">
        <v>1959</v>
      </c>
      <c r="AE20" s="867">
        <v>0</v>
      </c>
      <c r="AF20" s="834"/>
      <c r="AG20" s="866"/>
      <c r="AH20" s="834"/>
      <c r="AI20" s="866"/>
      <c r="AJ20" s="834"/>
      <c r="AK20" s="866"/>
      <c r="AL20" s="517" t="s">
        <v>1959</v>
      </c>
      <c r="AM20" s="867">
        <v>0</v>
      </c>
      <c r="AN20" s="517" t="s">
        <v>1960</v>
      </c>
      <c r="AO20" s="867">
        <v>0</v>
      </c>
      <c r="AP20" s="517" t="s">
        <v>1960</v>
      </c>
      <c r="AQ20" s="867">
        <v>0</v>
      </c>
      <c r="AR20" s="517" t="s">
        <v>1960</v>
      </c>
      <c r="AS20" s="867">
        <v>0</v>
      </c>
      <c r="AT20" s="517" t="s">
        <v>1960</v>
      </c>
      <c r="AU20" s="867">
        <v>0</v>
      </c>
      <c r="AV20" s="834"/>
      <c r="AW20" s="866"/>
      <c r="AX20" s="834"/>
      <c r="AY20" s="866"/>
      <c r="AZ20" s="867" t="s">
        <v>1960</v>
      </c>
      <c r="BA20" s="517">
        <v>0</v>
      </c>
      <c r="BB20" s="867" t="s">
        <v>1960</v>
      </c>
      <c r="BC20" s="867" t="s">
        <v>1960</v>
      </c>
      <c r="BD20" s="517" t="s">
        <v>1960</v>
      </c>
      <c r="BE20" s="867">
        <v>0</v>
      </c>
      <c r="BF20" s="517" t="s">
        <v>2289</v>
      </c>
      <c r="BG20" s="867">
        <v>0</v>
      </c>
      <c r="BH20" s="517" t="s">
        <v>2289</v>
      </c>
      <c r="BI20" s="867">
        <v>0</v>
      </c>
      <c r="BJ20" s="834"/>
      <c r="BK20" s="866"/>
      <c r="BL20" s="834"/>
      <c r="BM20" s="866"/>
      <c r="BN20" s="517" t="s">
        <v>2289</v>
      </c>
      <c r="BO20" s="867">
        <v>0</v>
      </c>
    </row>
    <row r="21" spans="1:67" s="441" customFormat="1">
      <c r="A21" s="95"/>
      <c r="B21" s="865">
        <v>16</v>
      </c>
      <c r="C21" s="495" t="s">
        <v>1951</v>
      </c>
      <c r="D21" s="755" t="s">
        <v>1960</v>
      </c>
      <c r="E21" s="513" t="s">
        <v>2014</v>
      </c>
      <c r="F21" s="834"/>
      <c r="G21" s="866">
        <v>0</v>
      </c>
      <c r="H21" s="517" t="s">
        <v>1957</v>
      </c>
      <c r="I21" s="867">
        <v>0</v>
      </c>
      <c r="J21" s="517" t="s">
        <v>1961</v>
      </c>
      <c r="K21" s="867">
        <v>0</v>
      </c>
      <c r="L21" s="517" t="s">
        <v>1957</v>
      </c>
      <c r="M21" s="867">
        <v>0</v>
      </c>
      <c r="N21" s="517" t="s">
        <v>1957</v>
      </c>
      <c r="O21" s="867">
        <v>0</v>
      </c>
      <c r="P21" s="517" t="s">
        <v>1957</v>
      </c>
      <c r="Q21" s="867">
        <v>0</v>
      </c>
      <c r="R21" s="517" t="s">
        <v>1957</v>
      </c>
      <c r="S21" s="867">
        <v>0</v>
      </c>
      <c r="T21" s="834"/>
      <c r="U21" s="866"/>
      <c r="V21" s="517" t="s">
        <v>1959</v>
      </c>
      <c r="W21" s="867">
        <v>0</v>
      </c>
      <c r="X21" s="517" t="s">
        <v>1959</v>
      </c>
      <c r="Y21" s="867">
        <v>0</v>
      </c>
      <c r="Z21" s="517" t="s">
        <v>1959</v>
      </c>
      <c r="AA21" s="867">
        <v>0</v>
      </c>
      <c r="AB21" s="517" t="s">
        <v>1959</v>
      </c>
      <c r="AC21" s="867">
        <v>0</v>
      </c>
      <c r="AD21" s="517" t="s">
        <v>1957</v>
      </c>
      <c r="AE21" s="867">
        <v>0</v>
      </c>
      <c r="AF21" s="834"/>
      <c r="AG21" s="866"/>
      <c r="AH21" s="834"/>
      <c r="AI21" s="866"/>
      <c r="AJ21" s="834"/>
      <c r="AK21" s="866"/>
      <c r="AL21" s="517" t="s">
        <v>1957</v>
      </c>
      <c r="AM21" s="867">
        <v>0</v>
      </c>
      <c r="AN21" s="517" t="s">
        <v>1957</v>
      </c>
      <c r="AO21" s="867">
        <v>0</v>
      </c>
      <c r="AP21" s="517" t="s">
        <v>1957</v>
      </c>
      <c r="AQ21" s="867">
        <v>0</v>
      </c>
      <c r="AR21" s="517" t="s">
        <v>1957</v>
      </c>
      <c r="AS21" s="867">
        <v>0</v>
      </c>
      <c r="AT21" s="517" t="s">
        <v>1957</v>
      </c>
      <c r="AU21" s="867">
        <v>0</v>
      </c>
      <c r="AV21" s="834"/>
      <c r="AW21" s="866"/>
      <c r="AX21" s="834"/>
      <c r="AY21" s="866"/>
      <c r="AZ21" s="867" t="s">
        <v>1957</v>
      </c>
      <c r="BA21" s="517">
        <v>0</v>
      </c>
      <c r="BB21" s="867" t="s">
        <v>1957</v>
      </c>
      <c r="BC21" s="867" t="s">
        <v>1957</v>
      </c>
      <c r="BD21" s="517" t="s">
        <v>1957</v>
      </c>
      <c r="BE21" s="867">
        <v>0</v>
      </c>
      <c r="BF21" s="517" t="s">
        <v>2289</v>
      </c>
      <c r="BG21" s="867">
        <v>0</v>
      </c>
      <c r="BH21" s="517" t="s">
        <v>2289</v>
      </c>
      <c r="BI21" s="867">
        <v>0</v>
      </c>
      <c r="BJ21" s="834"/>
      <c r="BK21" s="866"/>
      <c r="BL21" s="834"/>
      <c r="BM21" s="866"/>
      <c r="BN21" s="517" t="s">
        <v>2289</v>
      </c>
      <c r="BO21" s="867">
        <v>0</v>
      </c>
    </row>
    <row r="22" spans="1:67" s="441" customFormat="1">
      <c r="A22" s="95"/>
      <c r="B22" s="865">
        <v>17</v>
      </c>
      <c r="C22" s="495" t="s">
        <v>1998</v>
      </c>
      <c r="D22" s="755" t="s">
        <v>1961</v>
      </c>
      <c r="E22" s="513" t="s">
        <v>1952</v>
      </c>
      <c r="F22" s="834"/>
      <c r="G22" s="866">
        <v>0</v>
      </c>
      <c r="H22" s="517" t="s">
        <v>1963</v>
      </c>
      <c r="I22" s="867">
        <v>0</v>
      </c>
      <c r="J22" s="517" t="s">
        <v>1963</v>
      </c>
      <c r="K22" s="867">
        <v>0</v>
      </c>
      <c r="L22" s="517" t="s">
        <v>1961</v>
      </c>
      <c r="M22" s="867">
        <v>0</v>
      </c>
      <c r="N22" s="517" t="s">
        <v>1961</v>
      </c>
      <c r="O22" s="867">
        <v>0</v>
      </c>
      <c r="P22" s="517" t="s">
        <v>1961</v>
      </c>
      <c r="Q22" s="867">
        <v>0</v>
      </c>
      <c r="R22" s="517" t="s">
        <v>1961</v>
      </c>
      <c r="S22" s="867">
        <v>0</v>
      </c>
      <c r="T22" s="834"/>
      <c r="U22" s="866"/>
      <c r="V22" s="517" t="s">
        <v>1961</v>
      </c>
      <c r="W22" s="867">
        <v>0</v>
      </c>
      <c r="X22" s="517" t="s">
        <v>1961</v>
      </c>
      <c r="Y22" s="867">
        <v>0</v>
      </c>
      <c r="Z22" s="517" t="s">
        <v>1961</v>
      </c>
      <c r="AA22" s="867">
        <v>0</v>
      </c>
      <c r="AB22" s="517" t="s">
        <v>1961</v>
      </c>
      <c r="AC22" s="867">
        <v>0</v>
      </c>
      <c r="AD22" s="517" t="s">
        <v>1961</v>
      </c>
      <c r="AE22" s="867">
        <v>0</v>
      </c>
      <c r="AF22" s="834"/>
      <c r="AG22" s="866"/>
      <c r="AH22" s="834"/>
      <c r="AI22" s="866"/>
      <c r="AJ22" s="834"/>
      <c r="AK22" s="866"/>
      <c r="AL22" s="517" t="s">
        <v>1961</v>
      </c>
      <c r="AM22" s="867">
        <v>0</v>
      </c>
      <c r="AN22" s="517" t="s">
        <v>1961</v>
      </c>
      <c r="AO22" s="867">
        <v>0</v>
      </c>
      <c r="AP22" s="517" t="s">
        <v>1961</v>
      </c>
      <c r="AQ22" s="867">
        <v>0</v>
      </c>
      <c r="AR22" s="517" t="s">
        <v>1961</v>
      </c>
      <c r="AS22" s="867">
        <v>0</v>
      </c>
      <c r="AT22" s="517" t="s">
        <v>1961</v>
      </c>
      <c r="AU22" s="867">
        <v>0</v>
      </c>
      <c r="AV22" s="834"/>
      <c r="AW22" s="866"/>
      <c r="AX22" s="834"/>
      <c r="AY22" s="866"/>
      <c r="AZ22" s="867" t="s">
        <v>1961</v>
      </c>
      <c r="BA22" s="517">
        <v>0</v>
      </c>
      <c r="BB22" s="867" t="s">
        <v>1961</v>
      </c>
      <c r="BC22" s="867" t="s">
        <v>1961</v>
      </c>
      <c r="BD22" s="517" t="s">
        <v>1961</v>
      </c>
      <c r="BE22" s="867">
        <v>0</v>
      </c>
      <c r="BF22" s="517" t="s">
        <v>2289</v>
      </c>
      <c r="BG22" s="867">
        <v>0</v>
      </c>
      <c r="BH22" s="517" t="s">
        <v>2289</v>
      </c>
      <c r="BI22" s="867">
        <v>0</v>
      </c>
      <c r="BJ22" s="834"/>
      <c r="BK22" s="866"/>
      <c r="BL22" s="834"/>
      <c r="BM22" s="866"/>
      <c r="BN22" s="517" t="s">
        <v>2289</v>
      </c>
      <c r="BO22" s="867">
        <v>0</v>
      </c>
    </row>
    <row r="23" spans="1:67" s="441" customFormat="1">
      <c r="A23" s="95"/>
      <c r="B23" s="865">
        <v>18</v>
      </c>
      <c r="C23" s="495" t="s">
        <v>1998</v>
      </c>
      <c r="D23" s="755" t="s">
        <v>1961</v>
      </c>
      <c r="E23" s="513" t="s">
        <v>2048</v>
      </c>
      <c r="F23" s="834"/>
      <c r="G23" s="866">
        <v>0</v>
      </c>
      <c r="H23" s="517" t="s">
        <v>1963</v>
      </c>
      <c r="I23" s="867">
        <v>0</v>
      </c>
      <c r="J23" s="517" t="s">
        <v>1963</v>
      </c>
      <c r="K23" s="867">
        <v>0</v>
      </c>
      <c r="L23" s="517" t="s">
        <v>1980</v>
      </c>
      <c r="M23" s="867">
        <v>0</v>
      </c>
      <c r="N23" s="517" t="s">
        <v>1961</v>
      </c>
      <c r="O23" s="867">
        <v>0</v>
      </c>
      <c r="P23" s="517" t="s">
        <v>1961</v>
      </c>
      <c r="Q23" s="867">
        <v>0</v>
      </c>
      <c r="R23" s="517" t="s">
        <v>1961</v>
      </c>
      <c r="S23" s="867">
        <v>0</v>
      </c>
      <c r="T23" s="834"/>
      <c r="U23" s="866"/>
      <c r="V23" s="517" t="s">
        <v>1961</v>
      </c>
      <c r="W23" s="867">
        <v>0</v>
      </c>
      <c r="X23" s="517" t="s">
        <v>1961</v>
      </c>
      <c r="Y23" s="867">
        <v>0</v>
      </c>
      <c r="Z23" s="517" t="s">
        <v>1961</v>
      </c>
      <c r="AA23" s="867">
        <v>0</v>
      </c>
      <c r="AB23" s="517" t="s">
        <v>1980</v>
      </c>
      <c r="AC23" s="867">
        <v>0</v>
      </c>
      <c r="AD23" s="517" t="s">
        <v>1980</v>
      </c>
      <c r="AE23" s="867">
        <v>0</v>
      </c>
      <c r="AF23" s="834"/>
      <c r="AG23" s="866"/>
      <c r="AH23" s="834"/>
      <c r="AI23" s="866"/>
      <c r="AJ23" s="834"/>
      <c r="AK23" s="866"/>
      <c r="AL23" s="517" t="s">
        <v>1980</v>
      </c>
      <c r="AM23" s="867">
        <v>0</v>
      </c>
      <c r="AN23" s="517" t="s">
        <v>1980</v>
      </c>
      <c r="AO23" s="867">
        <v>0</v>
      </c>
      <c r="AP23" s="517" t="s">
        <v>1980</v>
      </c>
      <c r="AQ23" s="867">
        <v>0</v>
      </c>
      <c r="AR23" s="517" t="s">
        <v>1980</v>
      </c>
      <c r="AS23" s="867">
        <v>0</v>
      </c>
      <c r="AT23" s="517" t="s">
        <v>1980</v>
      </c>
      <c r="AU23" s="867">
        <v>0</v>
      </c>
      <c r="AV23" s="834"/>
      <c r="AW23" s="866"/>
      <c r="AX23" s="834"/>
      <c r="AY23" s="866"/>
      <c r="AZ23" s="867" t="s">
        <v>1980</v>
      </c>
      <c r="BA23" s="517">
        <v>0</v>
      </c>
      <c r="BB23" s="867" t="s">
        <v>1980</v>
      </c>
      <c r="BC23" s="867" t="s">
        <v>1980</v>
      </c>
      <c r="BD23" s="517" t="s">
        <v>1980</v>
      </c>
      <c r="BE23" s="867">
        <v>0</v>
      </c>
      <c r="BF23" s="517" t="s">
        <v>1963</v>
      </c>
      <c r="BG23" s="867">
        <v>0</v>
      </c>
      <c r="BH23" s="517" t="s">
        <v>1963</v>
      </c>
      <c r="BI23" s="867">
        <v>0</v>
      </c>
      <c r="BJ23" s="834"/>
      <c r="BK23" s="866"/>
      <c r="BL23" s="834"/>
      <c r="BM23" s="866"/>
      <c r="BN23" s="517" t="s">
        <v>1963</v>
      </c>
      <c r="BO23" s="867">
        <v>0</v>
      </c>
    </row>
    <row r="24" spans="1:67" s="441" customFormat="1">
      <c r="A24" s="95"/>
      <c r="B24" s="865">
        <v>19</v>
      </c>
      <c r="C24" s="495" t="s">
        <v>2104</v>
      </c>
      <c r="D24" s="755" t="s">
        <v>2103</v>
      </c>
      <c r="E24" s="513" t="s">
        <v>1953</v>
      </c>
      <c r="F24" s="834"/>
      <c r="G24" s="866">
        <v>0</v>
      </c>
      <c r="H24" s="517" t="s">
        <v>2103</v>
      </c>
      <c r="I24" s="867">
        <v>0</v>
      </c>
      <c r="J24" s="517" t="s">
        <v>2103</v>
      </c>
      <c r="K24" s="867">
        <v>0</v>
      </c>
      <c r="L24" s="517" t="s">
        <v>1961</v>
      </c>
      <c r="M24" s="867">
        <v>0</v>
      </c>
      <c r="N24" s="517" t="s">
        <v>1961</v>
      </c>
      <c r="O24" s="867">
        <v>0</v>
      </c>
      <c r="P24" s="517" t="s">
        <v>2103</v>
      </c>
      <c r="Q24" s="867">
        <v>0</v>
      </c>
      <c r="R24" s="517" t="s">
        <v>2103</v>
      </c>
      <c r="S24" s="867">
        <v>0</v>
      </c>
      <c r="T24" s="834"/>
      <c r="U24" s="866"/>
      <c r="V24" s="517" t="s">
        <v>2103</v>
      </c>
      <c r="W24" s="867">
        <v>0</v>
      </c>
      <c r="X24" s="517" t="s">
        <v>2103</v>
      </c>
      <c r="Y24" s="867">
        <v>0</v>
      </c>
      <c r="Z24" s="517" t="s">
        <v>2103</v>
      </c>
      <c r="AA24" s="867">
        <v>0</v>
      </c>
      <c r="AB24" s="517" t="s">
        <v>2103</v>
      </c>
      <c r="AC24" s="867">
        <v>0</v>
      </c>
      <c r="AD24" s="517" t="s">
        <v>2103</v>
      </c>
      <c r="AE24" s="867">
        <v>0</v>
      </c>
      <c r="AF24" s="834"/>
      <c r="AG24" s="866"/>
      <c r="AH24" s="834"/>
      <c r="AI24" s="866"/>
      <c r="AJ24" s="834"/>
      <c r="AK24" s="866"/>
      <c r="AL24" s="517" t="s">
        <v>2103</v>
      </c>
      <c r="AM24" s="867">
        <v>0</v>
      </c>
      <c r="AN24" s="517" t="s">
        <v>2103</v>
      </c>
      <c r="AO24" s="867">
        <v>0</v>
      </c>
      <c r="AP24" s="517" t="s">
        <v>2103</v>
      </c>
      <c r="AQ24" s="867">
        <v>0</v>
      </c>
      <c r="AR24" s="517" t="s">
        <v>2103</v>
      </c>
      <c r="AS24" s="867">
        <v>0</v>
      </c>
      <c r="AT24" s="517" t="s">
        <v>2103</v>
      </c>
      <c r="AU24" s="867">
        <v>0</v>
      </c>
      <c r="AV24" s="834"/>
      <c r="AW24" s="866"/>
      <c r="AX24" s="834"/>
      <c r="AY24" s="866"/>
      <c r="AZ24" s="867" t="s">
        <v>2103</v>
      </c>
      <c r="BA24" s="517">
        <v>0</v>
      </c>
      <c r="BB24" s="867" t="s">
        <v>2103</v>
      </c>
      <c r="BC24" s="867" t="s">
        <v>2103</v>
      </c>
      <c r="BD24" s="517" t="s">
        <v>2103</v>
      </c>
      <c r="BE24" s="867">
        <v>0</v>
      </c>
      <c r="BF24" s="517" t="s">
        <v>1963</v>
      </c>
      <c r="BG24" s="867">
        <v>0</v>
      </c>
      <c r="BH24" s="517" t="s">
        <v>1963</v>
      </c>
      <c r="BI24" s="867">
        <v>0</v>
      </c>
      <c r="BJ24" s="834"/>
      <c r="BK24" s="866"/>
      <c r="BL24" s="834"/>
      <c r="BM24" s="866"/>
      <c r="BN24" s="517" t="s">
        <v>1963</v>
      </c>
      <c r="BO24" s="867">
        <v>0</v>
      </c>
    </row>
    <row r="25" spans="1:67" s="441" customFormat="1">
      <c r="A25" s="95"/>
      <c r="B25" s="865">
        <v>20</v>
      </c>
      <c r="C25" s="495" t="s">
        <v>1998</v>
      </c>
      <c r="D25" s="755" t="s">
        <v>1961</v>
      </c>
      <c r="E25" s="513" t="s">
        <v>1999</v>
      </c>
      <c r="F25" s="834"/>
      <c r="G25" s="866">
        <v>0</v>
      </c>
      <c r="H25" s="517" t="s">
        <v>1995</v>
      </c>
      <c r="I25" s="867">
        <v>0</v>
      </c>
      <c r="J25" s="517" t="s">
        <v>1995</v>
      </c>
      <c r="K25" s="867">
        <v>0</v>
      </c>
      <c r="L25" s="517" t="s">
        <v>1995</v>
      </c>
      <c r="M25" s="867">
        <v>0</v>
      </c>
      <c r="N25" s="517" t="s">
        <v>1995</v>
      </c>
      <c r="O25" s="867">
        <v>0</v>
      </c>
      <c r="P25" s="517" t="s">
        <v>1961</v>
      </c>
      <c r="Q25" s="867">
        <v>0</v>
      </c>
      <c r="R25" s="517" t="s">
        <v>1961</v>
      </c>
      <c r="S25" s="867">
        <v>0</v>
      </c>
      <c r="T25" s="834"/>
      <c r="U25" s="866"/>
      <c r="V25" s="517" t="s">
        <v>1961</v>
      </c>
      <c r="W25" s="867">
        <v>0</v>
      </c>
      <c r="X25" s="517" t="s">
        <v>1961</v>
      </c>
      <c r="Y25" s="867">
        <v>0</v>
      </c>
      <c r="Z25" s="517" t="s">
        <v>1961</v>
      </c>
      <c r="AA25" s="867">
        <v>0</v>
      </c>
      <c r="AB25" s="517" t="s">
        <v>1961</v>
      </c>
      <c r="AC25" s="867">
        <v>0</v>
      </c>
      <c r="AD25" s="517" t="s">
        <v>1961</v>
      </c>
      <c r="AE25" s="867">
        <v>0</v>
      </c>
      <c r="AF25" s="834"/>
      <c r="AG25" s="866"/>
      <c r="AH25" s="834"/>
      <c r="AI25" s="866"/>
      <c r="AJ25" s="834"/>
      <c r="AK25" s="866"/>
      <c r="AL25" s="517" t="s">
        <v>1961</v>
      </c>
      <c r="AM25" s="867">
        <v>0</v>
      </c>
      <c r="AN25" s="517" t="s">
        <v>1961</v>
      </c>
      <c r="AO25" s="867">
        <v>0</v>
      </c>
      <c r="AP25" s="517" t="s">
        <v>1961</v>
      </c>
      <c r="AQ25" s="867">
        <v>0</v>
      </c>
      <c r="AR25" s="517" t="s">
        <v>1961</v>
      </c>
      <c r="AS25" s="867">
        <v>0</v>
      </c>
      <c r="AT25" s="517" t="s">
        <v>1961</v>
      </c>
      <c r="AU25" s="867">
        <v>0</v>
      </c>
      <c r="AV25" s="834"/>
      <c r="AW25" s="866"/>
      <c r="AX25" s="834"/>
      <c r="AY25" s="866"/>
      <c r="AZ25" s="867" t="s">
        <v>1961</v>
      </c>
      <c r="BA25" s="517">
        <v>0</v>
      </c>
      <c r="BB25" s="867" t="s">
        <v>1961</v>
      </c>
      <c r="BC25" s="867" t="s">
        <v>1961</v>
      </c>
      <c r="BD25" s="517" t="s">
        <v>1961</v>
      </c>
      <c r="BE25" s="867">
        <v>0</v>
      </c>
      <c r="BF25" s="517" t="s">
        <v>1963</v>
      </c>
      <c r="BG25" s="867">
        <v>0</v>
      </c>
      <c r="BH25" s="517" t="s">
        <v>1963</v>
      </c>
      <c r="BI25" s="867">
        <v>0</v>
      </c>
      <c r="BJ25" s="834"/>
      <c r="BK25" s="866"/>
      <c r="BL25" s="834"/>
      <c r="BM25" s="866"/>
      <c r="BN25" s="517" t="s">
        <v>1963</v>
      </c>
      <c r="BO25" s="867">
        <v>0</v>
      </c>
    </row>
    <row r="26" spans="1:67" s="441" customFormat="1">
      <c r="A26" s="95"/>
      <c r="B26" s="865">
        <v>21</v>
      </c>
      <c r="C26" s="495" t="s">
        <v>2288</v>
      </c>
      <c r="D26" s="755" t="s">
        <v>2289</v>
      </c>
      <c r="E26" s="513" t="s">
        <v>2290</v>
      </c>
      <c r="F26" s="834"/>
      <c r="G26" s="866">
        <v>0</v>
      </c>
      <c r="H26" s="517">
        <v>0</v>
      </c>
      <c r="I26" s="867">
        <v>0</v>
      </c>
      <c r="J26" s="517">
        <v>0</v>
      </c>
      <c r="K26" s="867">
        <v>0</v>
      </c>
      <c r="L26" s="517">
        <v>0</v>
      </c>
      <c r="M26" s="867">
        <v>0</v>
      </c>
      <c r="N26" s="517">
        <v>0</v>
      </c>
      <c r="O26" s="867">
        <v>0</v>
      </c>
      <c r="P26" s="517">
        <v>0</v>
      </c>
      <c r="Q26" s="867">
        <v>0</v>
      </c>
      <c r="R26" s="517" t="s">
        <v>2289</v>
      </c>
      <c r="S26" s="867">
        <v>0</v>
      </c>
      <c r="T26" s="834"/>
      <c r="U26" s="866"/>
      <c r="V26" s="517" t="s">
        <v>2289</v>
      </c>
      <c r="W26" s="867">
        <v>0</v>
      </c>
      <c r="X26" s="517" t="s">
        <v>2289</v>
      </c>
      <c r="Y26" s="867">
        <v>0</v>
      </c>
      <c r="Z26" s="517" t="s">
        <v>2289</v>
      </c>
      <c r="AA26" s="867">
        <v>0</v>
      </c>
      <c r="AB26" s="517" t="s">
        <v>2289</v>
      </c>
      <c r="AC26" s="867">
        <v>0</v>
      </c>
      <c r="AD26" s="517" t="s">
        <v>2289</v>
      </c>
      <c r="AE26" s="867">
        <v>0</v>
      </c>
      <c r="AF26" s="834"/>
      <c r="AG26" s="866"/>
      <c r="AH26" s="834"/>
      <c r="AI26" s="866"/>
      <c r="AJ26" s="834"/>
      <c r="AK26" s="866"/>
      <c r="AL26" s="517" t="s">
        <v>2289</v>
      </c>
      <c r="AM26" s="867">
        <v>0</v>
      </c>
      <c r="AN26" s="517" t="s">
        <v>2289</v>
      </c>
      <c r="AO26" s="867">
        <v>0</v>
      </c>
      <c r="AP26" s="517" t="s">
        <v>2289</v>
      </c>
      <c r="AQ26" s="867">
        <v>0</v>
      </c>
      <c r="AR26" s="517" t="s">
        <v>2289</v>
      </c>
      <c r="AS26" s="867">
        <v>0</v>
      </c>
      <c r="AT26" s="517" t="s">
        <v>2289</v>
      </c>
      <c r="AU26" s="867">
        <v>0</v>
      </c>
      <c r="AV26" s="834"/>
      <c r="AW26" s="866"/>
      <c r="AX26" s="834"/>
      <c r="AY26" s="866"/>
      <c r="AZ26" s="867" t="s">
        <v>1980</v>
      </c>
      <c r="BA26" s="517">
        <v>0</v>
      </c>
      <c r="BB26" s="867" t="s">
        <v>2289</v>
      </c>
      <c r="BC26" s="867" t="s">
        <v>2289</v>
      </c>
      <c r="BD26" s="517" t="s">
        <v>2289</v>
      </c>
      <c r="BE26" s="867">
        <v>0</v>
      </c>
      <c r="BF26" s="517" t="s">
        <v>1980</v>
      </c>
      <c r="BG26" s="867">
        <v>0</v>
      </c>
      <c r="BH26" s="517" t="s">
        <v>1980</v>
      </c>
      <c r="BI26" s="867">
        <v>0</v>
      </c>
      <c r="BJ26" s="834"/>
      <c r="BK26" s="866"/>
      <c r="BL26" s="834"/>
      <c r="BM26" s="866"/>
      <c r="BN26" s="517" t="s">
        <v>1980</v>
      </c>
      <c r="BO26" s="867">
        <v>0</v>
      </c>
    </row>
    <row r="27" spans="1:67" s="441" customFormat="1">
      <c r="A27" s="95"/>
      <c r="B27" s="865">
        <v>22</v>
      </c>
      <c r="C27" s="495" t="s">
        <v>2288</v>
      </c>
      <c r="D27" s="755" t="s">
        <v>2289</v>
      </c>
      <c r="E27" s="513" t="s">
        <v>2291</v>
      </c>
      <c r="F27" s="834"/>
      <c r="G27" s="866">
        <v>0</v>
      </c>
      <c r="H27" s="517">
        <v>0</v>
      </c>
      <c r="I27" s="867">
        <v>0</v>
      </c>
      <c r="J27" s="517">
        <v>0</v>
      </c>
      <c r="K27" s="867">
        <v>0</v>
      </c>
      <c r="L27" s="517">
        <v>0</v>
      </c>
      <c r="M27" s="867">
        <v>0</v>
      </c>
      <c r="N27" s="517">
        <v>0</v>
      </c>
      <c r="O27" s="867">
        <v>0</v>
      </c>
      <c r="P27" s="517">
        <v>0</v>
      </c>
      <c r="Q27" s="867">
        <v>0</v>
      </c>
      <c r="R27" s="517" t="s">
        <v>2289</v>
      </c>
      <c r="S27" s="867">
        <v>0</v>
      </c>
      <c r="T27" s="834"/>
      <c r="U27" s="866"/>
      <c r="V27" s="517" t="s">
        <v>2289</v>
      </c>
      <c r="W27" s="867">
        <v>0</v>
      </c>
      <c r="X27" s="517" t="s">
        <v>2289</v>
      </c>
      <c r="Y27" s="867">
        <v>0</v>
      </c>
      <c r="Z27" s="517" t="s">
        <v>2289</v>
      </c>
      <c r="AA27" s="867">
        <v>0</v>
      </c>
      <c r="AB27" s="517" t="s">
        <v>2289</v>
      </c>
      <c r="AC27" s="867">
        <v>0</v>
      </c>
      <c r="AD27" s="517" t="s">
        <v>2289</v>
      </c>
      <c r="AE27" s="867">
        <v>0</v>
      </c>
      <c r="AF27" s="834"/>
      <c r="AG27" s="866"/>
      <c r="AH27" s="834"/>
      <c r="AI27" s="866"/>
      <c r="AJ27" s="834"/>
      <c r="AK27" s="866"/>
      <c r="AL27" s="517" t="s">
        <v>2289</v>
      </c>
      <c r="AM27" s="867">
        <v>0</v>
      </c>
      <c r="AN27" s="517" t="s">
        <v>2289</v>
      </c>
      <c r="AO27" s="867">
        <v>0</v>
      </c>
      <c r="AP27" s="517" t="s">
        <v>2289</v>
      </c>
      <c r="AQ27" s="867">
        <v>0</v>
      </c>
      <c r="AR27" s="517" t="s">
        <v>2289</v>
      </c>
      <c r="AS27" s="867">
        <v>0</v>
      </c>
      <c r="AT27" s="517" t="s">
        <v>2289</v>
      </c>
      <c r="AU27" s="867">
        <v>0</v>
      </c>
      <c r="AV27" s="834"/>
      <c r="AW27" s="866"/>
      <c r="AX27" s="834"/>
      <c r="AY27" s="866"/>
      <c r="AZ27" s="867" t="s">
        <v>2289</v>
      </c>
      <c r="BA27" s="517">
        <v>0</v>
      </c>
      <c r="BB27" s="867" t="s">
        <v>2289</v>
      </c>
      <c r="BC27" s="867" t="s">
        <v>2289</v>
      </c>
      <c r="BD27" s="517" t="s">
        <v>2289</v>
      </c>
      <c r="BE27" s="867">
        <v>0</v>
      </c>
      <c r="BF27" s="517" t="s">
        <v>1963</v>
      </c>
      <c r="BG27" s="867">
        <v>0</v>
      </c>
      <c r="BH27" s="517" t="s">
        <v>1963</v>
      </c>
      <c r="BI27" s="867">
        <v>0</v>
      </c>
      <c r="BJ27" s="834"/>
      <c r="BK27" s="866"/>
      <c r="BL27" s="834"/>
      <c r="BM27" s="866"/>
      <c r="BN27" s="517" t="s">
        <v>1963</v>
      </c>
      <c r="BO27" s="867">
        <v>0</v>
      </c>
    </row>
    <row r="28" spans="1:67" s="441" customFormat="1">
      <c r="A28" s="95"/>
      <c r="B28" s="865">
        <v>23</v>
      </c>
      <c r="C28" s="495" t="s">
        <v>2288</v>
      </c>
      <c r="D28" s="755" t="s">
        <v>2289</v>
      </c>
      <c r="E28" s="513" t="s">
        <v>2292</v>
      </c>
      <c r="F28" s="834"/>
      <c r="G28" s="866">
        <v>0</v>
      </c>
      <c r="H28" s="517">
        <v>0</v>
      </c>
      <c r="I28" s="867">
        <v>0</v>
      </c>
      <c r="J28" s="517">
        <v>0</v>
      </c>
      <c r="K28" s="867">
        <v>0</v>
      </c>
      <c r="L28" s="517">
        <v>0</v>
      </c>
      <c r="M28" s="867">
        <v>0</v>
      </c>
      <c r="N28" s="517">
        <v>0</v>
      </c>
      <c r="O28" s="867">
        <v>0</v>
      </c>
      <c r="P28" s="517">
        <v>0</v>
      </c>
      <c r="Q28" s="867">
        <v>0</v>
      </c>
      <c r="R28" s="517" t="s">
        <v>2289</v>
      </c>
      <c r="S28" s="867">
        <v>0</v>
      </c>
      <c r="T28" s="834"/>
      <c r="U28" s="866"/>
      <c r="V28" s="517" t="s">
        <v>2289</v>
      </c>
      <c r="W28" s="867">
        <v>0</v>
      </c>
      <c r="X28" s="517" t="s">
        <v>2289</v>
      </c>
      <c r="Y28" s="867">
        <v>0</v>
      </c>
      <c r="Z28" s="517" t="s">
        <v>2289</v>
      </c>
      <c r="AA28" s="867">
        <v>0</v>
      </c>
      <c r="AB28" s="517" t="s">
        <v>2289</v>
      </c>
      <c r="AC28" s="867">
        <v>0</v>
      </c>
      <c r="AD28" s="517" t="s">
        <v>2289</v>
      </c>
      <c r="AE28" s="867">
        <v>0</v>
      </c>
      <c r="AF28" s="834"/>
      <c r="AG28" s="866"/>
      <c r="AH28" s="834"/>
      <c r="AI28" s="866"/>
      <c r="AJ28" s="834"/>
      <c r="AK28" s="866"/>
      <c r="AL28" s="517" t="s">
        <v>2289</v>
      </c>
      <c r="AM28" s="867">
        <v>0</v>
      </c>
      <c r="AN28" s="517" t="s">
        <v>2289</v>
      </c>
      <c r="AO28" s="867">
        <v>0</v>
      </c>
      <c r="AP28" s="517" t="s">
        <v>2289</v>
      </c>
      <c r="AQ28" s="867">
        <v>0</v>
      </c>
      <c r="AR28" s="517" t="s">
        <v>2289</v>
      </c>
      <c r="AS28" s="867">
        <v>0</v>
      </c>
      <c r="AT28" s="517" t="s">
        <v>2289</v>
      </c>
      <c r="AU28" s="867">
        <v>0</v>
      </c>
      <c r="AV28" s="834"/>
      <c r="AW28" s="866"/>
      <c r="AX28" s="834"/>
      <c r="AY28" s="866"/>
      <c r="AZ28" s="867" t="s">
        <v>2289</v>
      </c>
      <c r="BA28" s="517">
        <v>0</v>
      </c>
      <c r="BB28" s="867" t="s">
        <v>2289</v>
      </c>
      <c r="BC28" s="867" t="s">
        <v>2289</v>
      </c>
      <c r="BD28" s="517" t="s">
        <v>2289</v>
      </c>
      <c r="BE28" s="867">
        <v>0</v>
      </c>
      <c r="BF28" s="517" t="s">
        <v>1980</v>
      </c>
      <c r="BG28" s="867">
        <v>0</v>
      </c>
      <c r="BH28" s="517" t="s">
        <v>1980</v>
      </c>
      <c r="BI28" s="867">
        <v>0</v>
      </c>
      <c r="BJ28" s="834"/>
      <c r="BK28" s="866"/>
      <c r="BL28" s="834"/>
      <c r="BM28" s="866"/>
      <c r="BN28" s="517" t="s">
        <v>1980</v>
      </c>
      <c r="BO28" s="867">
        <v>0</v>
      </c>
    </row>
    <row r="29" spans="1:67" s="441" customFormat="1">
      <c r="A29" s="95"/>
      <c r="B29" s="865">
        <v>24</v>
      </c>
      <c r="C29" s="495" t="s">
        <v>1954</v>
      </c>
      <c r="D29" s="755" t="s">
        <v>1963</v>
      </c>
      <c r="E29" s="513" t="s">
        <v>1992</v>
      </c>
      <c r="F29" s="834"/>
      <c r="G29" s="866">
        <v>0</v>
      </c>
      <c r="H29" s="517" t="s">
        <v>1963</v>
      </c>
      <c r="I29" s="867">
        <v>0</v>
      </c>
      <c r="J29" s="517" t="s">
        <v>1963</v>
      </c>
      <c r="K29" s="867">
        <v>0</v>
      </c>
      <c r="L29" s="517" t="s">
        <v>1963</v>
      </c>
      <c r="M29" s="867">
        <v>0</v>
      </c>
      <c r="N29" s="517" t="s">
        <v>1963</v>
      </c>
      <c r="O29" s="867">
        <v>0</v>
      </c>
      <c r="P29" s="517" t="s">
        <v>1963</v>
      </c>
      <c r="Q29" s="867">
        <v>0</v>
      </c>
      <c r="R29" s="517" t="s">
        <v>1963</v>
      </c>
      <c r="S29" s="867">
        <v>0</v>
      </c>
      <c r="T29" s="834"/>
      <c r="U29" s="866"/>
      <c r="V29" s="517" t="s">
        <v>1963</v>
      </c>
      <c r="W29" s="867">
        <v>0</v>
      </c>
      <c r="X29" s="517" t="s">
        <v>1963</v>
      </c>
      <c r="Y29" s="867">
        <v>0</v>
      </c>
      <c r="Z29" s="517" t="s">
        <v>1963</v>
      </c>
      <c r="AA29" s="867">
        <v>0</v>
      </c>
      <c r="AB29" s="517" t="s">
        <v>1963</v>
      </c>
      <c r="AC29" s="867">
        <v>0</v>
      </c>
      <c r="AD29" s="517" t="s">
        <v>1963</v>
      </c>
      <c r="AE29" s="867">
        <v>0</v>
      </c>
      <c r="AF29" s="834"/>
      <c r="AG29" s="866"/>
      <c r="AH29" s="834"/>
      <c r="AI29" s="866"/>
      <c r="AJ29" s="834"/>
      <c r="AK29" s="866"/>
      <c r="AL29" s="517" t="s">
        <v>1963</v>
      </c>
      <c r="AM29" s="867">
        <v>0</v>
      </c>
      <c r="AN29" s="517" t="s">
        <v>1963</v>
      </c>
      <c r="AO29" s="867">
        <v>0</v>
      </c>
      <c r="AP29" s="517" t="s">
        <v>1963</v>
      </c>
      <c r="AQ29" s="867">
        <v>0</v>
      </c>
      <c r="AR29" s="517" t="s">
        <v>1963</v>
      </c>
      <c r="AS29" s="867">
        <v>0</v>
      </c>
      <c r="AT29" s="517" t="s">
        <v>1963</v>
      </c>
      <c r="AU29" s="867">
        <v>0</v>
      </c>
      <c r="AV29" s="834"/>
      <c r="AW29" s="866"/>
      <c r="AX29" s="834"/>
      <c r="AY29" s="866"/>
      <c r="AZ29" s="867" t="s">
        <v>1963</v>
      </c>
      <c r="BA29" s="517">
        <v>0</v>
      </c>
      <c r="BB29" s="867" t="s">
        <v>1963</v>
      </c>
      <c r="BC29" s="867" t="s">
        <v>1963</v>
      </c>
      <c r="BD29" s="517" t="s">
        <v>1963</v>
      </c>
      <c r="BE29" s="867">
        <v>0</v>
      </c>
      <c r="BF29" s="517" t="s">
        <v>1963</v>
      </c>
      <c r="BG29" s="867">
        <v>0</v>
      </c>
      <c r="BH29" s="517" t="s">
        <v>1963</v>
      </c>
      <c r="BI29" s="867">
        <v>0</v>
      </c>
      <c r="BJ29" s="834"/>
      <c r="BK29" s="866"/>
      <c r="BL29" s="834"/>
      <c r="BM29" s="866"/>
      <c r="BN29" s="517" t="s">
        <v>1963</v>
      </c>
      <c r="BO29" s="867">
        <v>0</v>
      </c>
    </row>
    <row r="30" spans="1:67" s="441" customFormat="1">
      <c r="A30" s="95"/>
      <c r="B30" s="865">
        <v>25</v>
      </c>
      <c r="C30" s="495" t="s">
        <v>1954</v>
      </c>
      <c r="D30" s="755" t="s">
        <v>1963</v>
      </c>
      <c r="E30" s="513" t="s">
        <v>1979</v>
      </c>
      <c r="F30" s="834"/>
      <c r="G30" s="866">
        <v>0</v>
      </c>
      <c r="H30" s="517" t="s">
        <v>1963</v>
      </c>
      <c r="I30" s="867">
        <v>0</v>
      </c>
      <c r="J30" s="517" t="s">
        <v>1963</v>
      </c>
      <c r="K30" s="867">
        <v>0</v>
      </c>
      <c r="L30" s="517" t="s">
        <v>1963</v>
      </c>
      <c r="M30" s="867">
        <v>0</v>
      </c>
      <c r="N30" s="517" t="s">
        <v>1963</v>
      </c>
      <c r="O30" s="867">
        <v>0</v>
      </c>
      <c r="P30" s="517" t="s">
        <v>1963</v>
      </c>
      <c r="Q30" s="867">
        <v>0</v>
      </c>
      <c r="R30" s="517" t="s">
        <v>1963</v>
      </c>
      <c r="S30" s="867">
        <v>0</v>
      </c>
      <c r="T30" s="834"/>
      <c r="U30" s="866"/>
      <c r="V30" s="517" t="s">
        <v>1963</v>
      </c>
      <c r="W30" s="867">
        <v>0</v>
      </c>
      <c r="X30" s="517" t="s">
        <v>1963</v>
      </c>
      <c r="Y30" s="867">
        <v>0</v>
      </c>
      <c r="Z30" s="517" t="s">
        <v>1963</v>
      </c>
      <c r="AA30" s="867">
        <v>0</v>
      </c>
      <c r="AB30" s="517" t="s">
        <v>1963</v>
      </c>
      <c r="AC30" s="867">
        <v>0</v>
      </c>
      <c r="AD30" s="517" t="s">
        <v>1963</v>
      </c>
      <c r="AE30" s="867">
        <v>0</v>
      </c>
      <c r="AF30" s="834"/>
      <c r="AG30" s="866"/>
      <c r="AH30" s="834"/>
      <c r="AI30" s="866"/>
      <c r="AJ30" s="834"/>
      <c r="AK30" s="866"/>
      <c r="AL30" s="517" t="s">
        <v>1963</v>
      </c>
      <c r="AM30" s="867">
        <v>0</v>
      </c>
      <c r="AN30" s="517" t="s">
        <v>1963</v>
      </c>
      <c r="AO30" s="867">
        <v>0</v>
      </c>
      <c r="AP30" s="517" t="s">
        <v>1963</v>
      </c>
      <c r="AQ30" s="867">
        <v>0</v>
      </c>
      <c r="AR30" s="517" t="s">
        <v>1963</v>
      </c>
      <c r="AS30" s="867">
        <v>0</v>
      </c>
      <c r="AT30" s="517" t="s">
        <v>1963</v>
      </c>
      <c r="AU30" s="867">
        <v>0</v>
      </c>
      <c r="AV30" s="834"/>
      <c r="AW30" s="866"/>
      <c r="AX30" s="834"/>
      <c r="AY30" s="866"/>
      <c r="AZ30" s="867" t="s">
        <v>1963</v>
      </c>
      <c r="BA30" s="517">
        <v>0</v>
      </c>
      <c r="BB30" s="867" t="s">
        <v>1963</v>
      </c>
      <c r="BC30" s="867" t="s">
        <v>1963</v>
      </c>
      <c r="BD30" s="517" t="s">
        <v>1963</v>
      </c>
      <c r="BE30" s="867">
        <v>0</v>
      </c>
      <c r="BF30" s="517" t="s">
        <v>1963</v>
      </c>
      <c r="BG30" s="867">
        <v>0</v>
      </c>
      <c r="BH30" s="517" t="s">
        <v>1963</v>
      </c>
      <c r="BI30" s="867">
        <v>0</v>
      </c>
      <c r="BJ30" s="834"/>
      <c r="BK30" s="866"/>
      <c r="BL30" s="834"/>
      <c r="BM30" s="866"/>
      <c r="BN30" s="517" t="s">
        <v>1963</v>
      </c>
      <c r="BO30" s="867">
        <v>0</v>
      </c>
    </row>
    <row r="31" spans="1:67" s="441" customFormat="1">
      <c r="A31" s="95"/>
      <c r="B31" s="865">
        <v>26</v>
      </c>
      <c r="C31" s="495" t="s">
        <v>1954</v>
      </c>
      <c r="D31" s="755" t="s">
        <v>1963</v>
      </c>
      <c r="E31" s="513" t="s">
        <v>2050</v>
      </c>
      <c r="F31" s="834"/>
      <c r="G31" s="866">
        <v>0</v>
      </c>
      <c r="H31" s="517" t="s">
        <v>1963</v>
      </c>
      <c r="I31" s="867">
        <v>0</v>
      </c>
      <c r="J31" s="517" t="s">
        <v>1963</v>
      </c>
      <c r="K31" s="867">
        <v>0</v>
      </c>
      <c r="L31" s="517" t="s">
        <v>1963</v>
      </c>
      <c r="M31" s="867">
        <v>0</v>
      </c>
      <c r="N31" s="517" t="s">
        <v>1963</v>
      </c>
      <c r="O31" s="867">
        <v>0</v>
      </c>
      <c r="P31" s="517" t="s">
        <v>1963</v>
      </c>
      <c r="Q31" s="867">
        <v>0</v>
      </c>
      <c r="R31" s="517" t="s">
        <v>1963</v>
      </c>
      <c r="S31" s="867">
        <v>0</v>
      </c>
      <c r="T31" s="834"/>
      <c r="U31" s="866"/>
      <c r="V31" s="517" t="s">
        <v>1963</v>
      </c>
      <c r="W31" s="867">
        <v>0</v>
      </c>
      <c r="X31" s="517" t="s">
        <v>1963</v>
      </c>
      <c r="Y31" s="867">
        <v>0</v>
      </c>
      <c r="Z31" s="517" t="s">
        <v>1963</v>
      </c>
      <c r="AA31" s="867">
        <v>0</v>
      </c>
      <c r="AB31" s="517" t="s">
        <v>1963</v>
      </c>
      <c r="AC31" s="867">
        <v>0</v>
      </c>
      <c r="AD31" s="517" t="s">
        <v>1963</v>
      </c>
      <c r="AE31" s="867">
        <v>0</v>
      </c>
      <c r="AF31" s="834"/>
      <c r="AG31" s="866"/>
      <c r="AH31" s="834"/>
      <c r="AI31" s="866"/>
      <c r="AJ31" s="834"/>
      <c r="AK31" s="866"/>
      <c r="AL31" s="517" t="s">
        <v>1963</v>
      </c>
      <c r="AM31" s="867">
        <v>0</v>
      </c>
      <c r="AN31" s="517" t="s">
        <v>1963</v>
      </c>
      <c r="AO31" s="867">
        <v>0</v>
      </c>
      <c r="AP31" s="517" t="s">
        <v>1963</v>
      </c>
      <c r="AQ31" s="867">
        <v>0</v>
      </c>
      <c r="AR31" s="517" t="s">
        <v>1963</v>
      </c>
      <c r="AS31" s="867">
        <v>0</v>
      </c>
      <c r="AT31" s="517" t="s">
        <v>1963</v>
      </c>
      <c r="AU31" s="867">
        <v>0</v>
      </c>
      <c r="AV31" s="834"/>
      <c r="AW31" s="866"/>
      <c r="AX31" s="834"/>
      <c r="AY31" s="866"/>
      <c r="AZ31" s="867" t="s">
        <v>1963</v>
      </c>
      <c r="BA31" s="517">
        <v>0</v>
      </c>
      <c r="BB31" s="867" t="s">
        <v>1963</v>
      </c>
      <c r="BC31" s="867" t="s">
        <v>1963</v>
      </c>
      <c r="BD31" s="517" t="s">
        <v>1963</v>
      </c>
      <c r="BE31" s="867">
        <v>0</v>
      </c>
      <c r="BF31" s="517" t="s">
        <v>1963</v>
      </c>
      <c r="BG31" s="867">
        <v>0</v>
      </c>
      <c r="BH31" s="517" t="s">
        <v>1963</v>
      </c>
      <c r="BI31" s="867">
        <v>0</v>
      </c>
      <c r="BJ31" s="834"/>
      <c r="BK31" s="866"/>
      <c r="BL31" s="834"/>
      <c r="BM31" s="866"/>
      <c r="BN31" s="517" t="s">
        <v>1963</v>
      </c>
      <c r="BO31" s="867">
        <v>0</v>
      </c>
    </row>
    <row r="32" spans="1:67" s="441" customFormat="1">
      <c r="A32" s="95"/>
      <c r="B32" s="865">
        <v>27</v>
      </c>
      <c r="C32" s="495" t="s">
        <v>1954</v>
      </c>
      <c r="D32" s="755" t="s">
        <v>1963</v>
      </c>
      <c r="E32" s="513" t="s">
        <v>1977</v>
      </c>
      <c r="F32" s="834"/>
      <c r="G32" s="866">
        <v>0</v>
      </c>
      <c r="H32" s="517" t="s">
        <v>1980</v>
      </c>
      <c r="I32" s="867">
        <v>0</v>
      </c>
      <c r="J32" s="517" t="s">
        <v>1980</v>
      </c>
      <c r="K32" s="867">
        <v>0</v>
      </c>
      <c r="L32" s="517" t="s">
        <v>1963</v>
      </c>
      <c r="M32" s="867">
        <v>0</v>
      </c>
      <c r="N32" s="517" t="s">
        <v>1963</v>
      </c>
      <c r="O32" s="867">
        <v>0</v>
      </c>
      <c r="P32" s="517" t="s">
        <v>1963</v>
      </c>
      <c r="Q32" s="867">
        <v>0</v>
      </c>
      <c r="R32" s="517" t="s">
        <v>1963</v>
      </c>
      <c r="S32" s="867">
        <v>0</v>
      </c>
      <c r="T32" s="834"/>
      <c r="U32" s="866"/>
      <c r="V32" s="517" t="s">
        <v>1963</v>
      </c>
      <c r="W32" s="867">
        <v>0</v>
      </c>
      <c r="X32" s="517" t="s">
        <v>1963</v>
      </c>
      <c r="Y32" s="867">
        <v>0</v>
      </c>
      <c r="Z32" s="517" t="s">
        <v>1963</v>
      </c>
      <c r="AA32" s="867">
        <v>0</v>
      </c>
      <c r="AB32" s="517" t="s">
        <v>1963</v>
      </c>
      <c r="AC32" s="867">
        <v>0</v>
      </c>
      <c r="AD32" s="517" t="s">
        <v>1980</v>
      </c>
      <c r="AE32" s="867">
        <v>0</v>
      </c>
      <c r="AF32" s="834"/>
      <c r="AG32" s="866"/>
      <c r="AH32" s="834"/>
      <c r="AI32" s="866"/>
      <c r="AJ32" s="834"/>
      <c r="AK32" s="866"/>
      <c r="AL32" s="517" t="s">
        <v>1980</v>
      </c>
      <c r="AM32" s="867">
        <v>0</v>
      </c>
      <c r="AN32" s="517" t="s">
        <v>1980</v>
      </c>
      <c r="AO32" s="867">
        <v>0</v>
      </c>
      <c r="AP32" s="517" t="s">
        <v>1980</v>
      </c>
      <c r="AQ32" s="867">
        <v>0</v>
      </c>
      <c r="AR32" s="517" t="s">
        <v>1980</v>
      </c>
      <c r="AS32" s="867">
        <v>0</v>
      </c>
      <c r="AT32" s="517" t="s">
        <v>1980</v>
      </c>
      <c r="AU32" s="867">
        <v>0</v>
      </c>
      <c r="AV32" s="834"/>
      <c r="AW32" s="866"/>
      <c r="AX32" s="834"/>
      <c r="AY32" s="866"/>
      <c r="AZ32" s="867" t="s">
        <v>1980</v>
      </c>
      <c r="BA32" s="517">
        <v>0</v>
      </c>
      <c r="BB32" s="867" t="s">
        <v>1980</v>
      </c>
      <c r="BC32" s="867" t="s">
        <v>1980</v>
      </c>
      <c r="BD32" s="517" t="s">
        <v>1980</v>
      </c>
      <c r="BE32" s="867">
        <v>0</v>
      </c>
      <c r="BF32" s="517" t="s">
        <v>1963</v>
      </c>
      <c r="BG32" s="867">
        <v>0</v>
      </c>
      <c r="BH32" s="517" t="s">
        <v>1963</v>
      </c>
      <c r="BI32" s="867">
        <v>0</v>
      </c>
      <c r="BJ32" s="834"/>
      <c r="BK32" s="866"/>
      <c r="BL32" s="834"/>
      <c r="BM32" s="866"/>
      <c r="BN32" s="517" t="s">
        <v>1963</v>
      </c>
      <c r="BO32" s="867">
        <v>0</v>
      </c>
    </row>
    <row r="33" spans="1:67" s="441" customFormat="1">
      <c r="A33" s="95"/>
      <c r="B33" s="865">
        <v>28</v>
      </c>
      <c r="C33" s="495" t="s">
        <v>1954</v>
      </c>
      <c r="D33" s="755" t="s">
        <v>1963</v>
      </c>
      <c r="E33" s="513" t="s">
        <v>2097</v>
      </c>
      <c r="F33" s="834"/>
      <c r="G33" s="866">
        <v>0</v>
      </c>
      <c r="H33" s="517" t="s">
        <v>1963</v>
      </c>
      <c r="I33" s="867">
        <v>0</v>
      </c>
      <c r="J33" s="517" t="s">
        <v>1980</v>
      </c>
      <c r="K33" s="867">
        <v>0</v>
      </c>
      <c r="L33" s="517" t="s">
        <v>1980</v>
      </c>
      <c r="M33" s="867">
        <v>0</v>
      </c>
      <c r="N33" s="517" t="s">
        <v>1980</v>
      </c>
      <c r="O33" s="867">
        <v>0</v>
      </c>
      <c r="P33" s="517" t="s">
        <v>1963</v>
      </c>
      <c r="Q33" s="867">
        <v>0</v>
      </c>
      <c r="R33" s="517" t="s">
        <v>1963</v>
      </c>
      <c r="S33" s="867">
        <v>0</v>
      </c>
      <c r="T33" s="834"/>
      <c r="U33" s="866"/>
      <c r="V33" s="517" t="s">
        <v>1963</v>
      </c>
      <c r="W33" s="867">
        <v>0</v>
      </c>
      <c r="X33" s="517" t="s">
        <v>1963</v>
      </c>
      <c r="Y33" s="867">
        <v>0</v>
      </c>
      <c r="Z33" s="517" t="s">
        <v>1963</v>
      </c>
      <c r="AA33" s="867">
        <v>0</v>
      </c>
      <c r="AB33" s="517" t="s">
        <v>1963</v>
      </c>
      <c r="AC33" s="867">
        <v>0</v>
      </c>
      <c r="AD33" s="517" t="s">
        <v>1963</v>
      </c>
      <c r="AE33" s="867">
        <v>0</v>
      </c>
      <c r="AF33" s="834"/>
      <c r="AG33" s="866"/>
      <c r="AH33" s="834"/>
      <c r="AI33" s="866"/>
      <c r="AJ33" s="834"/>
      <c r="AK33" s="866"/>
      <c r="AL33" s="517" t="s">
        <v>1963</v>
      </c>
      <c r="AM33" s="867">
        <v>0</v>
      </c>
      <c r="AN33" s="517" t="s">
        <v>1963</v>
      </c>
      <c r="AO33" s="867">
        <v>0</v>
      </c>
      <c r="AP33" s="517" t="s">
        <v>1963</v>
      </c>
      <c r="AQ33" s="867">
        <v>0</v>
      </c>
      <c r="AR33" s="517" t="s">
        <v>1963</v>
      </c>
      <c r="AS33" s="867">
        <v>0</v>
      </c>
      <c r="AT33" s="517" t="s">
        <v>1963</v>
      </c>
      <c r="AU33" s="867">
        <v>0</v>
      </c>
      <c r="AV33" s="834"/>
      <c r="AW33" s="866"/>
      <c r="AX33" s="834"/>
      <c r="AY33" s="866"/>
      <c r="AZ33" s="867" t="s">
        <v>1963</v>
      </c>
      <c r="BA33" s="517">
        <v>0</v>
      </c>
      <c r="BB33" s="867" t="s">
        <v>1963</v>
      </c>
      <c r="BC33" s="867" t="s">
        <v>1963</v>
      </c>
      <c r="BD33" s="517" t="s">
        <v>1963</v>
      </c>
      <c r="BE33" s="867">
        <v>0</v>
      </c>
      <c r="BF33" s="517" t="s">
        <v>1963</v>
      </c>
      <c r="BG33" s="867">
        <v>0</v>
      </c>
      <c r="BH33" s="517" t="s">
        <v>1963</v>
      </c>
      <c r="BI33" s="867">
        <v>0</v>
      </c>
      <c r="BJ33" s="834"/>
      <c r="BK33" s="866"/>
      <c r="BL33" s="834"/>
      <c r="BM33" s="866"/>
      <c r="BN33" s="517" t="s">
        <v>1963</v>
      </c>
      <c r="BO33" s="867">
        <v>0</v>
      </c>
    </row>
    <row r="34" spans="1:67" s="441" customFormat="1">
      <c r="A34" s="95"/>
      <c r="B34" s="865">
        <v>29</v>
      </c>
      <c r="C34" s="495" t="s">
        <v>1954</v>
      </c>
      <c r="D34" s="755" t="s">
        <v>1963</v>
      </c>
      <c r="E34" s="513" t="s">
        <v>2157</v>
      </c>
      <c r="F34" s="834"/>
      <c r="G34" s="866">
        <v>0</v>
      </c>
      <c r="H34" s="517" t="s">
        <v>1980</v>
      </c>
      <c r="I34" s="867">
        <v>0</v>
      </c>
      <c r="J34" s="517" t="s">
        <v>1980</v>
      </c>
      <c r="K34" s="867">
        <v>0</v>
      </c>
      <c r="L34" s="517" t="s">
        <v>1963</v>
      </c>
      <c r="M34" s="867">
        <v>0</v>
      </c>
      <c r="N34" s="517" t="s">
        <v>1963</v>
      </c>
      <c r="O34" s="867">
        <v>0</v>
      </c>
      <c r="P34" s="517" t="s">
        <v>1963</v>
      </c>
      <c r="Q34" s="867">
        <v>0</v>
      </c>
      <c r="R34" s="517" t="s">
        <v>1963</v>
      </c>
      <c r="S34" s="867">
        <v>0</v>
      </c>
      <c r="T34" s="834"/>
      <c r="U34" s="866"/>
      <c r="V34" s="517" t="s">
        <v>1963</v>
      </c>
      <c r="W34" s="867">
        <v>0</v>
      </c>
      <c r="X34" s="517" t="s">
        <v>1963</v>
      </c>
      <c r="Y34" s="867">
        <v>0</v>
      </c>
      <c r="Z34" s="517" t="s">
        <v>1980</v>
      </c>
      <c r="AA34" s="867">
        <v>0</v>
      </c>
      <c r="AB34" s="517" t="s">
        <v>1980</v>
      </c>
      <c r="AC34" s="867">
        <v>0</v>
      </c>
      <c r="AD34" s="517" t="s">
        <v>1980</v>
      </c>
      <c r="AE34" s="867">
        <v>0</v>
      </c>
      <c r="AF34" s="834"/>
      <c r="AG34" s="866"/>
      <c r="AH34" s="834"/>
      <c r="AI34" s="866"/>
      <c r="AJ34" s="834"/>
      <c r="AK34" s="866"/>
      <c r="AL34" s="517" t="s">
        <v>1980</v>
      </c>
      <c r="AM34" s="867">
        <v>0</v>
      </c>
      <c r="AN34" s="517" t="s">
        <v>1980</v>
      </c>
      <c r="AO34" s="867">
        <v>0</v>
      </c>
      <c r="AP34" s="517" t="s">
        <v>1980</v>
      </c>
      <c r="AQ34" s="867">
        <v>0</v>
      </c>
      <c r="AR34" s="517" t="s">
        <v>1980</v>
      </c>
      <c r="AS34" s="867">
        <v>0</v>
      </c>
      <c r="AT34" s="517" t="s">
        <v>1980</v>
      </c>
      <c r="AU34" s="867">
        <v>0</v>
      </c>
      <c r="AV34" s="834"/>
      <c r="AW34" s="866"/>
      <c r="AX34" s="834"/>
      <c r="AY34" s="866"/>
      <c r="AZ34" s="867" t="s">
        <v>1980</v>
      </c>
      <c r="BA34" s="517">
        <v>0</v>
      </c>
      <c r="BB34" s="867" t="s">
        <v>1980</v>
      </c>
      <c r="BC34" s="867" t="s">
        <v>1980</v>
      </c>
      <c r="BD34" s="517" t="s">
        <v>1980</v>
      </c>
      <c r="BE34" s="867">
        <v>0</v>
      </c>
      <c r="BF34" s="517" t="s">
        <v>1963</v>
      </c>
      <c r="BG34" s="867">
        <v>0</v>
      </c>
      <c r="BH34" s="517" t="s">
        <v>1963</v>
      </c>
      <c r="BI34" s="867">
        <v>0</v>
      </c>
      <c r="BJ34" s="834"/>
      <c r="BK34" s="866"/>
      <c r="BL34" s="834"/>
      <c r="BM34" s="866"/>
      <c r="BN34" s="517" t="s">
        <v>1963</v>
      </c>
      <c r="BO34" s="867">
        <v>0</v>
      </c>
    </row>
    <row r="35" spans="1:67" s="441" customFormat="1">
      <c r="A35" s="95"/>
      <c r="B35" s="865">
        <v>30</v>
      </c>
      <c r="C35" s="495" t="s">
        <v>1954</v>
      </c>
      <c r="D35" s="755" t="s">
        <v>1963</v>
      </c>
      <c r="E35" s="513" t="s">
        <v>2049</v>
      </c>
      <c r="F35" s="834"/>
      <c r="G35" s="866"/>
      <c r="H35" s="517" t="s">
        <v>1963</v>
      </c>
      <c r="I35" s="867">
        <v>0</v>
      </c>
      <c r="J35" s="517" t="s">
        <v>1963</v>
      </c>
      <c r="K35" s="867">
        <v>0</v>
      </c>
      <c r="L35" s="517" t="s">
        <v>1963</v>
      </c>
      <c r="M35" s="867">
        <v>0</v>
      </c>
      <c r="N35" s="517" t="s">
        <v>1963</v>
      </c>
      <c r="O35" s="867">
        <v>0</v>
      </c>
      <c r="P35" s="517" t="s">
        <v>1963</v>
      </c>
      <c r="Q35" s="867">
        <v>0</v>
      </c>
      <c r="R35" s="517" t="s">
        <v>1963</v>
      </c>
      <c r="S35" s="867">
        <v>0</v>
      </c>
      <c r="T35" s="834"/>
      <c r="U35" s="866"/>
      <c r="V35" s="517" t="s">
        <v>1963</v>
      </c>
      <c r="W35" s="867">
        <v>0</v>
      </c>
      <c r="X35" s="517" t="s">
        <v>1963</v>
      </c>
      <c r="Y35" s="867">
        <v>0</v>
      </c>
      <c r="Z35" s="517" t="s">
        <v>1963</v>
      </c>
      <c r="AA35" s="867">
        <v>0</v>
      </c>
      <c r="AB35" s="517" t="s">
        <v>1963</v>
      </c>
      <c r="AC35" s="867">
        <v>0</v>
      </c>
      <c r="AD35" s="517" t="s">
        <v>1963</v>
      </c>
      <c r="AE35" s="867">
        <v>0</v>
      </c>
      <c r="AF35" s="834"/>
      <c r="AG35" s="866"/>
      <c r="AH35" s="834"/>
      <c r="AI35" s="866"/>
      <c r="AJ35" s="834"/>
      <c r="AK35" s="866"/>
      <c r="AL35" s="517" t="s">
        <v>1963</v>
      </c>
      <c r="AM35" s="867">
        <v>0</v>
      </c>
      <c r="AN35" s="517" t="s">
        <v>1963</v>
      </c>
      <c r="AO35" s="867">
        <v>0</v>
      </c>
      <c r="AP35" s="517" t="s">
        <v>1963</v>
      </c>
      <c r="AQ35" s="867">
        <v>0</v>
      </c>
      <c r="AR35" s="517" t="s">
        <v>1963</v>
      </c>
      <c r="AS35" s="867">
        <v>0</v>
      </c>
      <c r="AT35" s="517" t="s">
        <v>1963</v>
      </c>
      <c r="AU35" s="867">
        <v>0</v>
      </c>
      <c r="AV35" s="834"/>
      <c r="AW35" s="866"/>
      <c r="AX35" s="834"/>
      <c r="AY35" s="866"/>
      <c r="AZ35" s="867" t="s">
        <v>1963</v>
      </c>
      <c r="BA35" s="517">
        <v>0</v>
      </c>
      <c r="BB35" s="867" t="s">
        <v>1963</v>
      </c>
      <c r="BC35" s="867" t="s">
        <v>1963</v>
      </c>
      <c r="BD35" s="517" t="s">
        <v>1963</v>
      </c>
      <c r="BE35" s="867">
        <v>0</v>
      </c>
      <c r="BF35" s="517" t="s">
        <v>1963</v>
      </c>
      <c r="BG35" s="867">
        <v>0</v>
      </c>
      <c r="BH35" s="517" t="s">
        <v>1963</v>
      </c>
      <c r="BI35" s="867">
        <v>0</v>
      </c>
      <c r="BJ35" s="834"/>
      <c r="BK35" s="866"/>
      <c r="BL35" s="834"/>
      <c r="BM35" s="866"/>
      <c r="BN35" s="517" t="s">
        <v>1963</v>
      </c>
      <c r="BO35" s="867">
        <v>0</v>
      </c>
    </row>
    <row r="36" spans="1:67" s="441" customFormat="1">
      <c r="A36" s="95"/>
      <c r="B36" s="865">
        <v>31</v>
      </c>
      <c r="C36" s="495" t="s">
        <v>1954</v>
      </c>
      <c r="D36" s="755" t="s">
        <v>1963</v>
      </c>
      <c r="E36" s="513" t="s">
        <v>2158</v>
      </c>
      <c r="F36" s="834"/>
      <c r="G36" s="866">
        <v>0</v>
      </c>
      <c r="H36" s="517" t="s">
        <v>1963</v>
      </c>
      <c r="I36" s="867">
        <v>0</v>
      </c>
      <c r="J36" s="517" t="s">
        <v>1963</v>
      </c>
      <c r="K36" s="867">
        <v>0</v>
      </c>
      <c r="L36" s="517" t="s">
        <v>1963</v>
      </c>
      <c r="M36" s="867">
        <v>0</v>
      </c>
      <c r="N36" s="517" t="s">
        <v>1963</v>
      </c>
      <c r="O36" s="867">
        <v>0</v>
      </c>
      <c r="P36" s="517" t="s">
        <v>1963</v>
      </c>
      <c r="Q36" s="867">
        <v>0</v>
      </c>
      <c r="R36" s="517" t="s">
        <v>1963</v>
      </c>
      <c r="S36" s="867">
        <v>0</v>
      </c>
      <c r="T36" s="834"/>
      <c r="U36" s="866"/>
      <c r="V36" s="517" t="s">
        <v>1963</v>
      </c>
      <c r="W36" s="867">
        <v>0</v>
      </c>
      <c r="X36" s="517" t="s">
        <v>1963</v>
      </c>
      <c r="Y36" s="867">
        <v>0</v>
      </c>
      <c r="Z36" s="517" t="s">
        <v>1963</v>
      </c>
      <c r="AA36" s="867">
        <v>0</v>
      </c>
      <c r="AB36" s="517" t="s">
        <v>1963</v>
      </c>
      <c r="AC36" s="867">
        <v>0</v>
      </c>
      <c r="AD36" s="517" t="s">
        <v>1963</v>
      </c>
      <c r="AE36" s="867">
        <v>0</v>
      </c>
      <c r="AF36" s="834"/>
      <c r="AG36" s="866"/>
      <c r="AH36" s="834"/>
      <c r="AI36" s="866"/>
      <c r="AJ36" s="834"/>
      <c r="AK36" s="866"/>
      <c r="AL36" s="517" t="s">
        <v>1963</v>
      </c>
      <c r="AM36" s="867">
        <v>0</v>
      </c>
      <c r="AN36" s="517" t="s">
        <v>1963</v>
      </c>
      <c r="AO36" s="867">
        <v>0</v>
      </c>
      <c r="AP36" s="517" t="s">
        <v>1963</v>
      </c>
      <c r="AQ36" s="867">
        <v>0</v>
      </c>
      <c r="AR36" s="517" t="s">
        <v>1963</v>
      </c>
      <c r="AS36" s="867">
        <v>0</v>
      </c>
      <c r="AT36" s="517" t="s">
        <v>1963</v>
      </c>
      <c r="AU36" s="867">
        <v>0</v>
      </c>
      <c r="AV36" s="834"/>
      <c r="AW36" s="866"/>
      <c r="AX36" s="834"/>
      <c r="AY36" s="866"/>
      <c r="AZ36" s="867" t="s">
        <v>1963</v>
      </c>
      <c r="BA36" s="517">
        <v>0</v>
      </c>
      <c r="BB36" s="867" t="s">
        <v>1963</v>
      </c>
      <c r="BC36" s="867" t="s">
        <v>1963</v>
      </c>
      <c r="BD36" s="517" t="s">
        <v>1963</v>
      </c>
      <c r="BE36" s="867">
        <v>0</v>
      </c>
      <c r="BF36" s="517" t="s">
        <v>1963</v>
      </c>
      <c r="BG36" s="867">
        <v>0</v>
      </c>
      <c r="BH36" s="517" t="s">
        <v>1963</v>
      </c>
      <c r="BI36" s="867">
        <v>0</v>
      </c>
      <c r="BJ36" s="834"/>
      <c r="BK36" s="866"/>
      <c r="BL36" s="834"/>
      <c r="BM36" s="866"/>
      <c r="BN36" s="517" t="s">
        <v>1963</v>
      </c>
      <c r="BO36" s="867">
        <v>0</v>
      </c>
    </row>
    <row r="37" spans="1:67" s="441" customFormat="1">
      <c r="A37" s="95"/>
      <c r="B37" s="865">
        <v>32</v>
      </c>
      <c r="C37" s="495" t="s">
        <v>1954</v>
      </c>
      <c r="D37" s="755" t="s">
        <v>1963</v>
      </c>
      <c r="E37" s="513" t="s">
        <v>1981</v>
      </c>
      <c r="F37" s="834"/>
      <c r="G37" s="866">
        <v>0</v>
      </c>
      <c r="H37" s="517" t="s">
        <v>1963</v>
      </c>
      <c r="I37" s="867">
        <v>0</v>
      </c>
      <c r="J37" s="517" t="s">
        <v>1963</v>
      </c>
      <c r="K37" s="867">
        <v>0</v>
      </c>
      <c r="L37" s="517" t="s">
        <v>1963</v>
      </c>
      <c r="M37" s="867">
        <v>0</v>
      </c>
      <c r="N37" s="517" t="s">
        <v>1963</v>
      </c>
      <c r="O37" s="867">
        <v>0</v>
      </c>
      <c r="P37" s="517" t="s">
        <v>1963</v>
      </c>
      <c r="Q37" s="867">
        <v>0</v>
      </c>
      <c r="R37" s="517" t="s">
        <v>1963</v>
      </c>
      <c r="S37" s="867">
        <v>0</v>
      </c>
      <c r="T37" s="834"/>
      <c r="U37" s="866"/>
      <c r="V37" s="517" t="s">
        <v>1963</v>
      </c>
      <c r="W37" s="867">
        <v>0</v>
      </c>
      <c r="X37" s="517" t="s">
        <v>1963</v>
      </c>
      <c r="Y37" s="867">
        <v>0</v>
      </c>
      <c r="Z37" s="517" t="s">
        <v>1963</v>
      </c>
      <c r="AA37" s="867">
        <v>0</v>
      </c>
      <c r="AB37" s="517" t="s">
        <v>1963</v>
      </c>
      <c r="AC37" s="867">
        <v>0</v>
      </c>
      <c r="AD37" s="517" t="s">
        <v>1963</v>
      </c>
      <c r="AE37" s="867">
        <v>0</v>
      </c>
      <c r="AF37" s="834"/>
      <c r="AG37" s="866"/>
      <c r="AH37" s="834"/>
      <c r="AI37" s="866"/>
      <c r="AJ37" s="834"/>
      <c r="AK37" s="866"/>
      <c r="AL37" s="517" t="s">
        <v>1963</v>
      </c>
      <c r="AM37" s="867">
        <v>0</v>
      </c>
      <c r="AN37" s="517" t="s">
        <v>1963</v>
      </c>
      <c r="AO37" s="867">
        <v>0</v>
      </c>
      <c r="AP37" s="517" t="s">
        <v>1963</v>
      </c>
      <c r="AQ37" s="867">
        <v>0</v>
      </c>
      <c r="AR37" s="517" t="s">
        <v>1963</v>
      </c>
      <c r="AS37" s="867">
        <v>0</v>
      </c>
      <c r="AT37" s="517" t="s">
        <v>1963</v>
      </c>
      <c r="AU37" s="867">
        <v>0</v>
      </c>
      <c r="AV37" s="834"/>
      <c r="AW37" s="866"/>
      <c r="AX37" s="834"/>
      <c r="AY37" s="866"/>
      <c r="AZ37" s="867" t="s">
        <v>1963</v>
      </c>
      <c r="BA37" s="517">
        <v>0</v>
      </c>
      <c r="BB37" s="867" t="s">
        <v>1963</v>
      </c>
      <c r="BC37" s="867" t="s">
        <v>1963</v>
      </c>
      <c r="BD37" s="517" t="s">
        <v>1963</v>
      </c>
      <c r="BE37" s="867">
        <v>0</v>
      </c>
      <c r="BF37" s="517" t="s">
        <v>1963</v>
      </c>
      <c r="BG37" s="867">
        <v>0</v>
      </c>
      <c r="BH37" s="517" t="s">
        <v>1963</v>
      </c>
      <c r="BI37" s="867">
        <v>0</v>
      </c>
      <c r="BJ37" s="834"/>
      <c r="BK37" s="866"/>
      <c r="BL37" s="834"/>
      <c r="BM37" s="866"/>
      <c r="BN37" s="517" t="s">
        <v>1963</v>
      </c>
      <c r="BO37" s="867">
        <v>0</v>
      </c>
    </row>
    <row r="38" spans="1:67" s="441" customFormat="1">
      <c r="A38" s="95"/>
      <c r="B38" s="865">
        <v>33</v>
      </c>
      <c r="C38" s="495" t="s">
        <v>1954</v>
      </c>
      <c r="D38" s="755" t="s">
        <v>1963</v>
      </c>
      <c r="E38" s="513" t="s">
        <v>2159</v>
      </c>
      <c r="F38" s="834"/>
      <c r="G38" s="866">
        <v>0</v>
      </c>
      <c r="H38" s="517" t="s">
        <v>1963</v>
      </c>
      <c r="I38" s="867">
        <v>0</v>
      </c>
      <c r="J38" s="517" t="s">
        <v>1963</v>
      </c>
      <c r="K38" s="867">
        <v>0</v>
      </c>
      <c r="L38" s="517" t="s">
        <v>1980</v>
      </c>
      <c r="M38" s="867">
        <v>0</v>
      </c>
      <c r="N38" s="517" t="s">
        <v>1980</v>
      </c>
      <c r="O38" s="867">
        <v>0</v>
      </c>
      <c r="P38" s="517" t="s">
        <v>1963</v>
      </c>
      <c r="Q38" s="867">
        <v>0</v>
      </c>
      <c r="R38" s="517" t="s">
        <v>1963</v>
      </c>
      <c r="S38" s="867">
        <v>0</v>
      </c>
      <c r="T38" s="834"/>
      <c r="U38" s="866"/>
      <c r="V38" s="517" t="s">
        <v>1963</v>
      </c>
      <c r="W38" s="867">
        <v>0</v>
      </c>
      <c r="X38" s="517" t="s">
        <v>1963</v>
      </c>
      <c r="Y38" s="867">
        <v>0</v>
      </c>
      <c r="Z38" s="517" t="s">
        <v>1963</v>
      </c>
      <c r="AA38" s="867">
        <v>0</v>
      </c>
      <c r="AB38" s="517" t="s">
        <v>1963</v>
      </c>
      <c r="AC38" s="867">
        <v>0</v>
      </c>
      <c r="AD38" s="517" t="s">
        <v>1963</v>
      </c>
      <c r="AE38" s="867">
        <v>0</v>
      </c>
      <c r="AF38" s="834"/>
      <c r="AG38" s="866"/>
      <c r="AH38" s="834"/>
      <c r="AI38" s="866"/>
      <c r="AJ38" s="834"/>
      <c r="AK38" s="866"/>
      <c r="AL38" s="517" t="s">
        <v>1963</v>
      </c>
      <c r="AM38" s="867">
        <v>0</v>
      </c>
      <c r="AN38" s="517" t="s">
        <v>1963</v>
      </c>
      <c r="AO38" s="867">
        <v>0</v>
      </c>
      <c r="AP38" s="517" t="s">
        <v>1963</v>
      </c>
      <c r="AQ38" s="867">
        <v>0</v>
      </c>
      <c r="AR38" s="517" t="s">
        <v>1963</v>
      </c>
      <c r="AS38" s="867">
        <v>0</v>
      </c>
      <c r="AT38" s="517" t="s">
        <v>1963</v>
      </c>
      <c r="AU38" s="867">
        <v>0</v>
      </c>
      <c r="AV38" s="834"/>
      <c r="AW38" s="866"/>
      <c r="AX38" s="834"/>
      <c r="AY38" s="866"/>
      <c r="AZ38" s="867" t="s">
        <v>1963</v>
      </c>
      <c r="BA38" s="517">
        <v>0</v>
      </c>
      <c r="BB38" s="867" t="s">
        <v>1963</v>
      </c>
      <c r="BC38" s="867" t="s">
        <v>1963</v>
      </c>
      <c r="BD38" s="517" t="s">
        <v>1963</v>
      </c>
      <c r="BE38" s="867">
        <v>0</v>
      </c>
      <c r="BF38" s="517" t="s">
        <v>1963</v>
      </c>
      <c r="BG38" s="867">
        <v>0</v>
      </c>
      <c r="BH38" s="517" t="s">
        <v>1963</v>
      </c>
      <c r="BI38" s="867">
        <v>0</v>
      </c>
      <c r="BJ38" s="834"/>
      <c r="BK38" s="866"/>
      <c r="BL38" s="834"/>
      <c r="BM38" s="866"/>
      <c r="BN38" s="517" t="s">
        <v>1963</v>
      </c>
      <c r="BO38" s="867">
        <v>0</v>
      </c>
    </row>
    <row r="39" spans="1:67" s="441" customFormat="1">
      <c r="A39" s="95"/>
      <c r="B39" s="865">
        <v>34</v>
      </c>
      <c r="C39" s="495" t="s">
        <v>1954</v>
      </c>
      <c r="D39" s="755" t="s">
        <v>1963</v>
      </c>
      <c r="E39" s="513" t="s">
        <v>2160</v>
      </c>
      <c r="F39" s="834"/>
      <c r="G39" s="866">
        <v>0</v>
      </c>
      <c r="H39" s="517" t="s">
        <v>1963</v>
      </c>
      <c r="I39" s="867">
        <v>0</v>
      </c>
      <c r="J39" s="517" t="s">
        <v>1963</v>
      </c>
      <c r="K39" s="867">
        <v>0</v>
      </c>
      <c r="L39" s="517" t="s">
        <v>1963</v>
      </c>
      <c r="M39" s="867">
        <v>0</v>
      </c>
      <c r="N39" s="517" t="s">
        <v>1963</v>
      </c>
      <c r="O39" s="867">
        <v>0</v>
      </c>
      <c r="P39" s="517" t="s">
        <v>1963</v>
      </c>
      <c r="Q39" s="867">
        <v>0</v>
      </c>
      <c r="R39" s="517" t="s">
        <v>1963</v>
      </c>
      <c r="S39" s="867">
        <v>0</v>
      </c>
      <c r="T39" s="834"/>
      <c r="U39" s="866"/>
      <c r="V39" s="517" t="s">
        <v>1963</v>
      </c>
      <c r="W39" s="867">
        <v>0</v>
      </c>
      <c r="X39" s="517" t="s">
        <v>1963</v>
      </c>
      <c r="Y39" s="867">
        <v>0</v>
      </c>
      <c r="Z39" s="517" t="s">
        <v>1963</v>
      </c>
      <c r="AA39" s="867">
        <v>0</v>
      </c>
      <c r="AB39" s="517" t="s">
        <v>1963</v>
      </c>
      <c r="AC39" s="867">
        <v>0</v>
      </c>
      <c r="AD39" s="517" t="s">
        <v>1963</v>
      </c>
      <c r="AE39" s="867">
        <v>0</v>
      </c>
      <c r="AF39" s="834"/>
      <c r="AG39" s="866"/>
      <c r="AH39" s="834"/>
      <c r="AI39" s="866"/>
      <c r="AJ39" s="834"/>
      <c r="AK39" s="866"/>
      <c r="AL39" s="517" t="s">
        <v>1963</v>
      </c>
      <c r="AM39" s="867">
        <v>0</v>
      </c>
      <c r="AN39" s="517" t="s">
        <v>1963</v>
      </c>
      <c r="AO39" s="867">
        <v>0</v>
      </c>
      <c r="AP39" s="517" t="s">
        <v>1963</v>
      </c>
      <c r="AQ39" s="867">
        <v>0</v>
      </c>
      <c r="AR39" s="517" t="s">
        <v>1963</v>
      </c>
      <c r="AS39" s="867">
        <v>0</v>
      </c>
      <c r="AT39" s="517" t="s">
        <v>1963</v>
      </c>
      <c r="AU39" s="867">
        <v>0</v>
      </c>
      <c r="AV39" s="834"/>
      <c r="AW39" s="866"/>
      <c r="AX39" s="834"/>
      <c r="AY39" s="866"/>
      <c r="AZ39" s="867" t="s">
        <v>1963</v>
      </c>
      <c r="BA39" s="517">
        <v>0</v>
      </c>
      <c r="BB39" s="867" t="s">
        <v>1963</v>
      </c>
      <c r="BC39" s="867" t="s">
        <v>1963</v>
      </c>
      <c r="BD39" s="517" t="s">
        <v>1963</v>
      </c>
      <c r="BE39" s="867">
        <v>0</v>
      </c>
      <c r="BF39" s="517" t="s">
        <v>1963</v>
      </c>
      <c r="BG39" s="867">
        <v>0</v>
      </c>
      <c r="BH39" s="517" t="s">
        <v>1963</v>
      </c>
      <c r="BI39" s="867">
        <v>0</v>
      </c>
      <c r="BJ39" s="834"/>
      <c r="BK39" s="866"/>
      <c r="BL39" s="834"/>
      <c r="BM39" s="866"/>
      <c r="BN39" s="517" t="s">
        <v>1963</v>
      </c>
      <c r="BO39" s="867">
        <v>0</v>
      </c>
    </row>
    <row r="40" spans="1:67" s="441" customFormat="1">
      <c r="A40" s="95"/>
      <c r="B40" s="865">
        <v>35</v>
      </c>
      <c r="C40" s="495" t="s">
        <v>1954</v>
      </c>
      <c r="D40" s="755" t="s">
        <v>1963</v>
      </c>
      <c r="E40" s="513" t="s">
        <v>2010</v>
      </c>
      <c r="F40" s="834"/>
      <c r="G40" s="866">
        <v>0</v>
      </c>
      <c r="H40" s="517" t="s">
        <v>1980</v>
      </c>
      <c r="I40" s="867">
        <v>0</v>
      </c>
      <c r="J40" s="517" t="s">
        <v>1980</v>
      </c>
      <c r="K40" s="867">
        <v>0</v>
      </c>
      <c r="L40" s="517" t="s">
        <v>1980</v>
      </c>
      <c r="M40" s="867">
        <v>0</v>
      </c>
      <c r="N40" s="517" t="s">
        <v>1980</v>
      </c>
      <c r="O40" s="867">
        <v>0</v>
      </c>
      <c r="P40" s="517" t="s">
        <v>1980</v>
      </c>
      <c r="Q40" s="867">
        <v>0</v>
      </c>
      <c r="R40" s="517" t="s">
        <v>1963</v>
      </c>
      <c r="S40" s="867">
        <v>0</v>
      </c>
      <c r="T40" s="834"/>
      <c r="U40" s="866"/>
      <c r="V40" s="517" t="s">
        <v>1963</v>
      </c>
      <c r="W40" s="867">
        <v>0</v>
      </c>
      <c r="X40" s="517" t="s">
        <v>1963</v>
      </c>
      <c r="Y40" s="867">
        <v>0</v>
      </c>
      <c r="Z40" s="517" t="s">
        <v>1963</v>
      </c>
      <c r="AA40" s="867">
        <v>0</v>
      </c>
      <c r="AB40" s="517" t="s">
        <v>1963</v>
      </c>
      <c r="AC40" s="867">
        <v>0</v>
      </c>
      <c r="AD40" s="517" t="s">
        <v>1963</v>
      </c>
      <c r="AE40" s="867">
        <v>0</v>
      </c>
      <c r="AF40" s="834"/>
      <c r="AG40" s="866"/>
      <c r="AH40" s="834"/>
      <c r="AI40" s="866"/>
      <c r="AJ40" s="834"/>
      <c r="AK40" s="866"/>
      <c r="AL40" s="517" t="s">
        <v>1963</v>
      </c>
      <c r="AM40" s="867">
        <v>0</v>
      </c>
      <c r="AN40" s="517" t="s">
        <v>1963</v>
      </c>
      <c r="AO40" s="867">
        <v>0</v>
      </c>
      <c r="AP40" s="517" t="s">
        <v>1963</v>
      </c>
      <c r="AQ40" s="867">
        <v>0</v>
      </c>
      <c r="AR40" s="517" t="s">
        <v>1963</v>
      </c>
      <c r="AS40" s="867">
        <v>0</v>
      </c>
      <c r="AT40" s="517" t="s">
        <v>1963</v>
      </c>
      <c r="AU40" s="867">
        <v>0</v>
      </c>
      <c r="AV40" s="834"/>
      <c r="AW40" s="866"/>
      <c r="AX40" s="834"/>
      <c r="AY40" s="866"/>
      <c r="AZ40" s="867" t="s">
        <v>1963</v>
      </c>
      <c r="BA40" s="517">
        <v>0</v>
      </c>
      <c r="BB40" s="867" t="s">
        <v>1963</v>
      </c>
      <c r="BC40" s="867" t="s">
        <v>1963</v>
      </c>
      <c r="BD40" s="517" t="s">
        <v>1963</v>
      </c>
      <c r="BE40" s="867">
        <v>0</v>
      </c>
      <c r="BF40" s="517" t="s">
        <v>1963</v>
      </c>
      <c r="BG40" s="867">
        <v>0</v>
      </c>
      <c r="BH40" s="517" t="s">
        <v>1963</v>
      </c>
      <c r="BI40" s="867">
        <v>0</v>
      </c>
      <c r="BJ40" s="834"/>
      <c r="BK40" s="866"/>
      <c r="BL40" s="834"/>
      <c r="BM40" s="866"/>
      <c r="BN40" s="517" t="s">
        <v>1963</v>
      </c>
      <c r="BO40" s="867">
        <v>0</v>
      </c>
    </row>
    <row r="41" spans="1:67" s="441" customFormat="1">
      <c r="A41" s="95"/>
      <c r="B41" s="865">
        <v>36</v>
      </c>
      <c r="C41" s="495" t="s">
        <v>1954</v>
      </c>
      <c r="D41" s="755" t="s">
        <v>1963</v>
      </c>
      <c r="E41" s="513" t="s">
        <v>1978</v>
      </c>
      <c r="F41" s="834"/>
      <c r="G41" s="866">
        <v>0</v>
      </c>
      <c r="H41" s="517" t="s">
        <v>1963</v>
      </c>
      <c r="I41" s="867">
        <v>0</v>
      </c>
      <c r="J41" s="517" t="s">
        <v>1963</v>
      </c>
      <c r="K41" s="867">
        <v>0</v>
      </c>
      <c r="L41" s="517" t="s">
        <v>1963</v>
      </c>
      <c r="M41" s="867">
        <v>0</v>
      </c>
      <c r="N41" s="517" t="s">
        <v>1963</v>
      </c>
      <c r="O41" s="867">
        <v>0</v>
      </c>
      <c r="P41" s="517" t="s">
        <v>1963</v>
      </c>
      <c r="Q41" s="867">
        <v>0</v>
      </c>
      <c r="R41" s="517" t="s">
        <v>1963</v>
      </c>
      <c r="S41" s="867">
        <v>0</v>
      </c>
      <c r="T41" s="834"/>
      <c r="U41" s="866"/>
      <c r="V41" s="517" t="s">
        <v>1963</v>
      </c>
      <c r="W41" s="867">
        <v>0</v>
      </c>
      <c r="X41" s="517" t="s">
        <v>1963</v>
      </c>
      <c r="Y41" s="867">
        <v>0</v>
      </c>
      <c r="Z41" s="517" t="s">
        <v>1963</v>
      </c>
      <c r="AA41" s="867">
        <v>0</v>
      </c>
      <c r="AB41" s="517" t="s">
        <v>1963</v>
      </c>
      <c r="AC41" s="867">
        <v>0</v>
      </c>
      <c r="AD41" s="517" t="s">
        <v>1963</v>
      </c>
      <c r="AE41" s="867">
        <v>0</v>
      </c>
      <c r="AF41" s="834"/>
      <c r="AG41" s="866"/>
      <c r="AH41" s="834"/>
      <c r="AI41" s="866"/>
      <c r="AJ41" s="834"/>
      <c r="AK41" s="866"/>
      <c r="AL41" s="517" t="s">
        <v>1963</v>
      </c>
      <c r="AM41" s="867">
        <v>0</v>
      </c>
      <c r="AN41" s="517" t="s">
        <v>1963</v>
      </c>
      <c r="AO41" s="867">
        <v>0</v>
      </c>
      <c r="AP41" s="517" t="s">
        <v>1963</v>
      </c>
      <c r="AQ41" s="867">
        <v>0</v>
      </c>
      <c r="AR41" s="517" t="s">
        <v>1963</v>
      </c>
      <c r="AS41" s="867">
        <v>0</v>
      </c>
      <c r="AT41" s="517" t="s">
        <v>1963</v>
      </c>
      <c r="AU41" s="867">
        <v>0</v>
      </c>
      <c r="AV41" s="834"/>
      <c r="AW41" s="866"/>
      <c r="AX41" s="834"/>
      <c r="AY41" s="866"/>
      <c r="AZ41" s="867" t="s">
        <v>1963</v>
      </c>
      <c r="BA41" s="517">
        <v>0</v>
      </c>
      <c r="BB41" s="867" t="s">
        <v>1963</v>
      </c>
      <c r="BC41" s="867" t="s">
        <v>1963</v>
      </c>
      <c r="BD41" s="517" t="s">
        <v>1963</v>
      </c>
      <c r="BE41" s="867">
        <v>0</v>
      </c>
      <c r="BF41" s="517" t="s">
        <v>1963</v>
      </c>
      <c r="BG41" s="867">
        <v>0</v>
      </c>
      <c r="BH41" s="517" t="s">
        <v>1963</v>
      </c>
      <c r="BI41" s="867">
        <v>0</v>
      </c>
      <c r="BJ41" s="834"/>
      <c r="BK41" s="866"/>
      <c r="BL41" s="834"/>
      <c r="BM41" s="866"/>
      <c r="BN41" s="517" t="s">
        <v>1963</v>
      </c>
      <c r="BO41" s="867">
        <v>0</v>
      </c>
    </row>
    <row r="42" spans="1:67" s="441" customFormat="1">
      <c r="A42" s="95"/>
      <c r="B42" s="865">
        <v>37</v>
      </c>
      <c r="C42" s="495" t="s">
        <v>1954</v>
      </c>
      <c r="D42" s="755" t="s">
        <v>1963</v>
      </c>
      <c r="E42" s="513" t="s">
        <v>2161</v>
      </c>
      <c r="F42" s="834"/>
      <c r="G42" s="866">
        <v>0</v>
      </c>
      <c r="H42" s="517" t="s">
        <v>1963</v>
      </c>
      <c r="I42" s="867">
        <v>0</v>
      </c>
      <c r="J42" s="517" t="s">
        <v>1963</v>
      </c>
      <c r="K42" s="867">
        <v>0</v>
      </c>
      <c r="L42" s="517" t="s">
        <v>1963</v>
      </c>
      <c r="M42" s="867">
        <v>0</v>
      </c>
      <c r="N42" s="517" t="s">
        <v>1963</v>
      </c>
      <c r="O42" s="867">
        <v>0</v>
      </c>
      <c r="P42" s="517" t="s">
        <v>1963</v>
      </c>
      <c r="Q42" s="867">
        <v>0</v>
      </c>
      <c r="R42" s="517" t="s">
        <v>1963</v>
      </c>
      <c r="S42" s="867">
        <v>0</v>
      </c>
      <c r="T42" s="834"/>
      <c r="U42" s="866"/>
      <c r="V42" s="517" t="s">
        <v>1963</v>
      </c>
      <c r="W42" s="867">
        <v>0</v>
      </c>
      <c r="X42" s="517" t="s">
        <v>1963</v>
      </c>
      <c r="Y42" s="867">
        <v>0</v>
      </c>
      <c r="Z42" s="517" t="s">
        <v>1963</v>
      </c>
      <c r="AA42" s="867">
        <v>0</v>
      </c>
      <c r="AB42" s="517" t="s">
        <v>1963</v>
      </c>
      <c r="AC42" s="867">
        <v>0</v>
      </c>
      <c r="AD42" s="517" t="s">
        <v>1963</v>
      </c>
      <c r="AE42" s="867">
        <v>0</v>
      </c>
      <c r="AF42" s="834"/>
      <c r="AG42" s="866"/>
      <c r="AH42" s="834"/>
      <c r="AI42" s="866"/>
      <c r="AJ42" s="834"/>
      <c r="AK42" s="866"/>
      <c r="AL42" s="517" t="s">
        <v>1963</v>
      </c>
      <c r="AM42" s="867">
        <v>0</v>
      </c>
      <c r="AN42" s="517" t="s">
        <v>1963</v>
      </c>
      <c r="AO42" s="867">
        <v>0</v>
      </c>
      <c r="AP42" s="517" t="s">
        <v>1963</v>
      </c>
      <c r="AQ42" s="867">
        <v>0</v>
      </c>
      <c r="AR42" s="517" t="s">
        <v>1963</v>
      </c>
      <c r="AS42" s="867">
        <v>0</v>
      </c>
      <c r="AT42" s="517" t="s">
        <v>1963</v>
      </c>
      <c r="AU42" s="867">
        <v>0</v>
      </c>
      <c r="AV42" s="834"/>
      <c r="AW42" s="866"/>
      <c r="AX42" s="834"/>
      <c r="AY42" s="866"/>
      <c r="AZ42" s="867" t="s">
        <v>1963</v>
      </c>
      <c r="BA42" s="517">
        <v>0</v>
      </c>
      <c r="BB42" s="867" t="s">
        <v>1963</v>
      </c>
      <c r="BC42" s="867" t="s">
        <v>1963</v>
      </c>
      <c r="BD42" s="517" t="s">
        <v>1963</v>
      </c>
      <c r="BE42" s="867">
        <v>0</v>
      </c>
      <c r="BF42" s="517" t="s">
        <v>1963</v>
      </c>
      <c r="BG42" s="867">
        <v>0</v>
      </c>
      <c r="BH42" s="517" t="s">
        <v>1963</v>
      </c>
      <c r="BI42" s="867">
        <v>0</v>
      </c>
      <c r="BJ42" s="834"/>
      <c r="BK42" s="866"/>
      <c r="BL42" s="834"/>
      <c r="BM42" s="866"/>
      <c r="BN42" s="517" t="s">
        <v>1963</v>
      </c>
      <c r="BO42" s="867">
        <v>0</v>
      </c>
    </row>
    <row r="43" spans="1:67" s="441" customFormat="1">
      <c r="A43" s="95"/>
      <c r="B43" s="865">
        <v>38</v>
      </c>
      <c r="C43" s="495" t="s">
        <v>1954</v>
      </c>
      <c r="D43" s="755" t="s">
        <v>1963</v>
      </c>
      <c r="E43" s="513" t="s">
        <v>2011</v>
      </c>
      <c r="F43" s="834"/>
      <c r="G43" s="866">
        <v>0</v>
      </c>
      <c r="H43" s="517" t="s">
        <v>1963</v>
      </c>
      <c r="I43" s="867">
        <v>0</v>
      </c>
      <c r="J43" s="517" t="s">
        <v>1963</v>
      </c>
      <c r="K43" s="867">
        <v>0</v>
      </c>
      <c r="L43" s="517" t="s">
        <v>1963</v>
      </c>
      <c r="M43" s="867">
        <v>0</v>
      </c>
      <c r="N43" s="517" t="s">
        <v>1963</v>
      </c>
      <c r="O43" s="867">
        <v>0</v>
      </c>
      <c r="P43" s="517" t="s">
        <v>1963</v>
      </c>
      <c r="Q43" s="867">
        <v>0</v>
      </c>
      <c r="R43" s="517" t="s">
        <v>1963</v>
      </c>
      <c r="S43" s="867">
        <v>0</v>
      </c>
      <c r="T43" s="834"/>
      <c r="U43" s="866"/>
      <c r="V43" s="517" t="s">
        <v>1963</v>
      </c>
      <c r="W43" s="867">
        <v>0</v>
      </c>
      <c r="X43" s="517" t="s">
        <v>1963</v>
      </c>
      <c r="Y43" s="867">
        <v>0</v>
      </c>
      <c r="Z43" s="517" t="s">
        <v>1963</v>
      </c>
      <c r="AA43" s="867">
        <v>0</v>
      </c>
      <c r="AB43" s="517" t="s">
        <v>1963</v>
      </c>
      <c r="AC43" s="867">
        <v>0</v>
      </c>
      <c r="AD43" s="517" t="s">
        <v>1963</v>
      </c>
      <c r="AE43" s="867">
        <v>0</v>
      </c>
      <c r="AF43" s="834"/>
      <c r="AG43" s="866"/>
      <c r="AH43" s="834"/>
      <c r="AI43" s="866"/>
      <c r="AJ43" s="834"/>
      <c r="AK43" s="866"/>
      <c r="AL43" s="517" t="s">
        <v>1963</v>
      </c>
      <c r="AM43" s="867">
        <v>0</v>
      </c>
      <c r="AN43" s="517" t="s">
        <v>1963</v>
      </c>
      <c r="AO43" s="867">
        <v>0</v>
      </c>
      <c r="AP43" s="517" t="s">
        <v>1963</v>
      </c>
      <c r="AQ43" s="867">
        <v>0</v>
      </c>
      <c r="AR43" s="517" t="s">
        <v>1963</v>
      </c>
      <c r="AS43" s="867">
        <v>0</v>
      </c>
      <c r="AT43" s="517" t="s">
        <v>1963</v>
      </c>
      <c r="AU43" s="867">
        <v>0</v>
      </c>
      <c r="AV43" s="834"/>
      <c r="AW43" s="866"/>
      <c r="AX43" s="834"/>
      <c r="AY43" s="866"/>
      <c r="AZ43" s="867" t="s">
        <v>1963</v>
      </c>
      <c r="BA43" s="517">
        <v>0</v>
      </c>
      <c r="BB43" s="867" t="s">
        <v>1963</v>
      </c>
      <c r="BC43" s="867" t="s">
        <v>1963</v>
      </c>
      <c r="BD43" s="517" t="s">
        <v>1963</v>
      </c>
      <c r="BE43" s="867">
        <v>0</v>
      </c>
      <c r="BF43" s="517" t="s">
        <v>1963</v>
      </c>
      <c r="BG43" s="867">
        <v>0</v>
      </c>
      <c r="BH43" s="517" t="s">
        <v>1963</v>
      </c>
      <c r="BI43" s="867">
        <v>0</v>
      </c>
      <c r="BJ43" s="834"/>
      <c r="BK43" s="866"/>
      <c r="BL43" s="834"/>
      <c r="BM43" s="866"/>
      <c r="BN43" s="517" t="s">
        <v>1963</v>
      </c>
      <c r="BO43" s="867">
        <v>0</v>
      </c>
    </row>
    <row r="44" spans="1:67" s="441" customFormat="1">
      <c r="A44" s="95"/>
      <c r="B44" s="865">
        <v>39</v>
      </c>
      <c r="C44" s="495" t="s">
        <v>1954</v>
      </c>
      <c r="D44" s="755" t="s">
        <v>1963</v>
      </c>
      <c r="E44" s="513" t="s">
        <v>2096</v>
      </c>
      <c r="F44" s="834"/>
      <c r="G44" s="866">
        <v>0</v>
      </c>
      <c r="H44" s="517" t="s">
        <v>1963</v>
      </c>
      <c r="I44" s="867">
        <v>0</v>
      </c>
      <c r="J44" s="517" t="s">
        <v>1963</v>
      </c>
      <c r="K44" s="867">
        <v>0</v>
      </c>
      <c r="L44" s="517" t="s">
        <v>1963</v>
      </c>
      <c r="M44" s="867">
        <v>0</v>
      </c>
      <c r="N44" s="517" t="s">
        <v>1963</v>
      </c>
      <c r="O44" s="867">
        <v>0</v>
      </c>
      <c r="P44" s="517" t="s">
        <v>1963</v>
      </c>
      <c r="Q44" s="867">
        <v>0</v>
      </c>
      <c r="R44" s="517" t="s">
        <v>1963</v>
      </c>
      <c r="S44" s="867">
        <v>0</v>
      </c>
      <c r="T44" s="834"/>
      <c r="U44" s="866"/>
      <c r="V44" s="517" t="s">
        <v>1963</v>
      </c>
      <c r="W44" s="867">
        <v>0</v>
      </c>
      <c r="X44" s="517" t="s">
        <v>1963</v>
      </c>
      <c r="Y44" s="867">
        <v>0</v>
      </c>
      <c r="Z44" s="517" t="s">
        <v>1963</v>
      </c>
      <c r="AA44" s="867">
        <v>0</v>
      </c>
      <c r="AB44" s="517" t="s">
        <v>1963</v>
      </c>
      <c r="AC44" s="867">
        <v>0</v>
      </c>
      <c r="AD44" s="517" t="s">
        <v>1963</v>
      </c>
      <c r="AE44" s="867">
        <v>0</v>
      </c>
      <c r="AF44" s="834"/>
      <c r="AG44" s="866"/>
      <c r="AH44" s="834"/>
      <c r="AI44" s="866"/>
      <c r="AJ44" s="834"/>
      <c r="AK44" s="866"/>
      <c r="AL44" s="517" t="s">
        <v>1963</v>
      </c>
      <c r="AM44" s="867">
        <v>0</v>
      </c>
      <c r="AN44" s="517" t="s">
        <v>1963</v>
      </c>
      <c r="AO44" s="867">
        <v>0</v>
      </c>
      <c r="AP44" s="517" t="s">
        <v>1963</v>
      </c>
      <c r="AQ44" s="867">
        <v>0</v>
      </c>
      <c r="AR44" s="517" t="s">
        <v>1963</v>
      </c>
      <c r="AS44" s="867">
        <v>0</v>
      </c>
      <c r="AT44" s="517" t="s">
        <v>1963</v>
      </c>
      <c r="AU44" s="867">
        <v>0</v>
      </c>
      <c r="AV44" s="834"/>
      <c r="AW44" s="866"/>
      <c r="AX44" s="834"/>
      <c r="AY44" s="866"/>
      <c r="AZ44" s="867" t="s">
        <v>1963</v>
      </c>
      <c r="BA44" s="517">
        <v>0</v>
      </c>
      <c r="BB44" s="867" t="s">
        <v>1963</v>
      </c>
      <c r="BC44" s="867" t="s">
        <v>1963</v>
      </c>
      <c r="BD44" s="517" t="s">
        <v>1963</v>
      </c>
      <c r="BE44" s="867">
        <v>0</v>
      </c>
      <c r="BF44" s="517" t="s">
        <v>1963</v>
      </c>
      <c r="BG44" s="867">
        <v>0</v>
      </c>
      <c r="BH44" s="517" t="s">
        <v>1963</v>
      </c>
      <c r="BI44" s="867">
        <v>0</v>
      </c>
      <c r="BJ44" s="834"/>
      <c r="BK44" s="866"/>
      <c r="BL44" s="834"/>
      <c r="BM44" s="866"/>
      <c r="BN44" s="517" t="s">
        <v>1963</v>
      </c>
      <c r="BO44" s="867">
        <v>0</v>
      </c>
    </row>
    <row r="45" spans="1:67" s="441" customFormat="1">
      <c r="A45" s="95"/>
      <c r="B45" s="865">
        <v>40</v>
      </c>
      <c r="C45" s="495" t="s">
        <v>1954</v>
      </c>
      <c r="D45" s="755" t="s">
        <v>1963</v>
      </c>
      <c r="E45" s="513" t="s">
        <v>2162</v>
      </c>
      <c r="F45" s="834"/>
      <c r="G45" s="866">
        <v>0</v>
      </c>
      <c r="H45" s="517" t="s">
        <v>1963</v>
      </c>
      <c r="I45" s="867">
        <v>0</v>
      </c>
      <c r="J45" s="517" t="s">
        <v>1963</v>
      </c>
      <c r="K45" s="867">
        <v>0</v>
      </c>
      <c r="L45" s="517" t="s">
        <v>1963</v>
      </c>
      <c r="M45" s="867">
        <v>0</v>
      </c>
      <c r="N45" s="517" t="s">
        <v>1963</v>
      </c>
      <c r="O45" s="867">
        <v>0</v>
      </c>
      <c r="P45" s="517" t="s">
        <v>1963</v>
      </c>
      <c r="Q45" s="867">
        <v>0</v>
      </c>
      <c r="R45" s="517" t="s">
        <v>1963</v>
      </c>
      <c r="S45" s="867">
        <v>0</v>
      </c>
      <c r="T45" s="834"/>
      <c r="U45" s="866"/>
      <c r="V45" s="517" t="s">
        <v>1963</v>
      </c>
      <c r="W45" s="867">
        <v>0</v>
      </c>
      <c r="X45" s="517" t="s">
        <v>1963</v>
      </c>
      <c r="Y45" s="867">
        <v>0</v>
      </c>
      <c r="Z45" s="517" t="s">
        <v>1963</v>
      </c>
      <c r="AA45" s="867">
        <v>0</v>
      </c>
      <c r="AB45" s="517" t="s">
        <v>1963</v>
      </c>
      <c r="AC45" s="867">
        <v>0</v>
      </c>
      <c r="AD45" s="517" t="s">
        <v>1963</v>
      </c>
      <c r="AE45" s="867">
        <v>0</v>
      </c>
      <c r="AF45" s="834"/>
      <c r="AG45" s="866"/>
      <c r="AH45" s="834"/>
      <c r="AI45" s="866"/>
      <c r="AJ45" s="834"/>
      <c r="AK45" s="866"/>
      <c r="AL45" s="517" t="s">
        <v>1963</v>
      </c>
      <c r="AM45" s="867">
        <v>0</v>
      </c>
      <c r="AN45" s="517" t="s">
        <v>1963</v>
      </c>
      <c r="AO45" s="867">
        <v>0</v>
      </c>
      <c r="AP45" s="517" t="s">
        <v>1963</v>
      </c>
      <c r="AQ45" s="867">
        <v>0</v>
      </c>
      <c r="AR45" s="517" t="s">
        <v>1963</v>
      </c>
      <c r="AS45" s="867">
        <v>0</v>
      </c>
      <c r="AT45" s="517" t="s">
        <v>1963</v>
      </c>
      <c r="AU45" s="867">
        <v>0</v>
      </c>
      <c r="AV45" s="834"/>
      <c r="AW45" s="866"/>
      <c r="AX45" s="834"/>
      <c r="AY45" s="866"/>
      <c r="AZ45" s="867" t="s">
        <v>1963</v>
      </c>
      <c r="BA45" s="517">
        <v>0</v>
      </c>
      <c r="BB45" s="867" t="s">
        <v>1963</v>
      </c>
      <c r="BC45" s="867" t="s">
        <v>1963</v>
      </c>
      <c r="BD45" s="517" t="s">
        <v>1963</v>
      </c>
      <c r="BE45" s="867">
        <v>0</v>
      </c>
      <c r="BF45" s="517" t="s">
        <v>1963</v>
      </c>
      <c r="BG45" s="867">
        <v>0</v>
      </c>
      <c r="BH45" s="517" t="s">
        <v>1963</v>
      </c>
      <c r="BI45" s="867">
        <v>0</v>
      </c>
      <c r="BJ45" s="834"/>
      <c r="BK45" s="866"/>
      <c r="BL45" s="834"/>
      <c r="BM45" s="866"/>
      <c r="BN45" s="517" t="s">
        <v>1963</v>
      </c>
      <c r="BO45" s="867">
        <v>0</v>
      </c>
    </row>
    <row r="46" spans="1:67" s="441" customFormat="1">
      <c r="A46" s="95"/>
      <c r="B46" s="865">
        <v>41</v>
      </c>
      <c r="C46" s="495" t="s">
        <v>1954</v>
      </c>
      <c r="D46" s="755" t="s">
        <v>1963</v>
      </c>
      <c r="E46" s="513" t="s">
        <v>2427</v>
      </c>
      <c r="F46" s="834"/>
      <c r="G46" s="866">
        <v>0</v>
      </c>
      <c r="H46" s="517"/>
      <c r="I46" s="867"/>
      <c r="J46" s="517"/>
      <c r="K46" s="867"/>
      <c r="L46" s="517"/>
      <c r="M46" s="867"/>
      <c r="N46" s="517"/>
      <c r="O46" s="867"/>
      <c r="P46" s="517"/>
      <c r="Q46" s="867"/>
      <c r="R46" s="517"/>
      <c r="S46" s="867"/>
      <c r="T46" s="834"/>
      <c r="U46" s="866"/>
      <c r="V46" s="517" t="s">
        <v>1963</v>
      </c>
      <c r="W46" s="867">
        <v>0</v>
      </c>
      <c r="X46" s="517" t="s">
        <v>1963</v>
      </c>
      <c r="Y46" s="867">
        <v>0</v>
      </c>
      <c r="Z46" s="517" t="s">
        <v>1963</v>
      </c>
      <c r="AA46" s="867">
        <v>0</v>
      </c>
      <c r="AB46" s="517" t="s">
        <v>1963</v>
      </c>
      <c r="AC46" s="867">
        <v>0</v>
      </c>
      <c r="AD46" s="517" t="s">
        <v>1963</v>
      </c>
      <c r="AE46" s="867">
        <v>0</v>
      </c>
      <c r="AF46" s="834"/>
      <c r="AG46" s="866"/>
      <c r="AH46" s="834"/>
      <c r="AI46" s="866"/>
      <c r="AJ46" s="834"/>
      <c r="AK46" s="866"/>
      <c r="AL46" s="517" t="s">
        <v>1963</v>
      </c>
      <c r="AM46" s="867">
        <v>0</v>
      </c>
      <c r="AN46" s="517" t="s">
        <v>1963</v>
      </c>
      <c r="AO46" s="867">
        <v>0</v>
      </c>
      <c r="AP46" s="517" t="s">
        <v>1963</v>
      </c>
      <c r="AQ46" s="867">
        <v>0</v>
      </c>
      <c r="AR46" s="517" t="s">
        <v>1963</v>
      </c>
      <c r="AS46" s="867">
        <v>0</v>
      </c>
      <c r="AT46" s="517" t="s">
        <v>1963</v>
      </c>
      <c r="AU46" s="867">
        <v>0</v>
      </c>
      <c r="AV46" s="834"/>
      <c r="AW46" s="866"/>
      <c r="AX46" s="834"/>
      <c r="AY46" s="866"/>
      <c r="AZ46" s="867" t="s">
        <v>1963</v>
      </c>
      <c r="BA46" s="517">
        <v>0</v>
      </c>
      <c r="BB46" s="867" t="s">
        <v>1963</v>
      </c>
      <c r="BC46" s="867" t="s">
        <v>1963</v>
      </c>
      <c r="BD46" s="517" t="s">
        <v>1963</v>
      </c>
      <c r="BE46" s="867">
        <v>0</v>
      </c>
      <c r="BF46" s="517" t="s">
        <v>1963</v>
      </c>
      <c r="BG46" s="867">
        <v>0</v>
      </c>
      <c r="BH46" s="517" t="s">
        <v>1963</v>
      </c>
      <c r="BI46" s="867">
        <v>0</v>
      </c>
      <c r="BJ46" s="834"/>
      <c r="BK46" s="866"/>
      <c r="BL46" s="834"/>
      <c r="BM46" s="866"/>
      <c r="BN46" s="517" t="s">
        <v>1963</v>
      </c>
      <c r="BO46" s="867">
        <v>0</v>
      </c>
    </row>
    <row r="47" spans="1:67" s="441" customFormat="1">
      <c r="A47" s="95"/>
      <c r="B47" s="865">
        <v>42</v>
      </c>
      <c r="C47" s="495" t="s">
        <v>1954</v>
      </c>
      <c r="D47" s="755" t="s">
        <v>1963</v>
      </c>
      <c r="E47" s="513" t="s">
        <v>2428</v>
      </c>
      <c r="F47" s="834"/>
      <c r="G47" s="866">
        <v>0</v>
      </c>
      <c r="H47" s="517"/>
      <c r="I47" s="867"/>
      <c r="J47" s="517"/>
      <c r="K47" s="867"/>
      <c r="L47" s="517"/>
      <c r="M47" s="867"/>
      <c r="N47" s="517"/>
      <c r="O47" s="867"/>
      <c r="P47" s="517"/>
      <c r="Q47" s="867"/>
      <c r="R47" s="517"/>
      <c r="S47" s="867"/>
      <c r="T47" s="834"/>
      <c r="U47" s="866"/>
      <c r="V47" s="517"/>
      <c r="W47" s="867"/>
      <c r="X47" s="517" t="s">
        <v>1963</v>
      </c>
      <c r="Y47" s="867">
        <v>0</v>
      </c>
      <c r="Z47" s="517" t="s">
        <v>1963</v>
      </c>
      <c r="AA47" s="867">
        <v>0</v>
      </c>
      <c r="AB47" s="517" t="s">
        <v>1963</v>
      </c>
      <c r="AC47" s="867">
        <v>0</v>
      </c>
      <c r="AD47" s="517" t="s">
        <v>1963</v>
      </c>
      <c r="AE47" s="867">
        <v>0</v>
      </c>
      <c r="AF47" s="834"/>
      <c r="AG47" s="866"/>
      <c r="AH47" s="834"/>
      <c r="AI47" s="866"/>
      <c r="AJ47" s="834"/>
      <c r="AK47" s="866"/>
      <c r="AL47" s="517" t="s">
        <v>1963</v>
      </c>
      <c r="AM47" s="867">
        <v>0</v>
      </c>
      <c r="AN47" s="517" t="s">
        <v>1963</v>
      </c>
      <c r="AO47" s="867">
        <v>0</v>
      </c>
      <c r="AP47" s="517" t="s">
        <v>1963</v>
      </c>
      <c r="AQ47" s="867">
        <v>0</v>
      </c>
      <c r="AR47" s="517" t="s">
        <v>1963</v>
      </c>
      <c r="AS47" s="867">
        <v>0</v>
      </c>
      <c r="AT47" s="517" t="s">
        <v>1963</v>
      </c>
      <c r="AU47" s="867">
        <v>0</v>
      </c>
      <c r="AV47" s="834"/>
      <c r="AW47" s="866"/>
      <c r="AX47" s="834"/>
      <c r="AY47" s="866"/>
      <c r="AZ47" s="867" t="s">
        <v>1963</v>
      </c>
      <c r="BA47" s="517">
        <v>0</v>
      </c>
      <c r="BB47" s="867" t="s">
        <v>1963</v>
      </c>
      <c r="BC47" s="867" t="s">
        <v>1963</v>
      </c>
      <c r="BD47" s="517" t="s">
        <v>1963</v>
      </c>
      <c r="BE47" s="867">
        <v>0</v>
      </c>
      <c r="BF47" s="517" t="s">
        <v>1963</v>
      </c>
      <c r="BG47" s="867">
        <v>0</v>
      </c>
      <c r="BH47" s="517" t="s">
        <v>1963</v>
      </c>
      <c r="BI47" s="867">
        <v>0</v>
      </c>
      <c r="BJ47" s="834"/>
      <c r="BK47" s="866"/>
      <c r="BL47" s="834"/>
      <c r="BM47" s="866"/>
      <c r="BN47" s="517" t="s">
        <v>1963</v>
      </c>
      <c r="BO47" s="867">
        <v>0</v>
      </c>
    </row>
    <row r="48" spans="1:67" s="441" customFormat="1">
      <c r="A48" s="95"/>
      <c r="B48" s="865">
        <v>43</v>
      </c>
      <c r="C48" s="495" t="s">
        <v>1954</v>
      </c>
      <c r="D48" s="755" t="s">
        <v>1963</v>
      </c>
      <c r="E48" s="513" t="s">
        <v>2429</v>
      </c>
      <c r="F48" s="834"/>
      <c r="G48" s="866">
        <v>0</v>
      </c>
      <c r="H48" s="517"/>
      <c r="I48" s="867"/>
      <c r="J48" s="517"/>
      <c r="K48" s="867"/>
      <c r="L48" s="517"/>
      <c r="M48" s="867"/>
      <c r="N48" s="517"/>
      <c r="O48" s="867"/>
      <c r="P48" s="517"/>
      <c r="Q48" s="867"/>
      <c r="R48" s="517"/>
      <c r="S48" s="867"/>
      <c r="T48" s="834"/>
      <c r="U48" s="866"/>
      <c r="V48" s="517"/>
      <c r="W48" s="867"/>
      <c r="X48" s="517"/>
      <c r="Y48" s="867"/>
      <c r="Z48" s="517"/>
      <c r="AA48" s="867"/>
      <c r="AB48" s="517"/>
      <c r="AC48" s="867"/>
      <c r="AD48" s="517" t="s">
        <v>1963</v>
      </c>
      <c r="AE48" s="867">
        <v>0</v>
      </c>
      <c r="AF48" s="834"/>
      <c r="AG48" s="866"/>
      <c r="AH48" s="834"/>
      <c r="AI48" s="866"/>
      <c r="AJ48" s="834"/>
      <c r="AK48" s="866"/>
      <c r="AL48" s="517" t="s">
        <v>1963</v>
      </c>
      <c r="AM48" s="867">
        <v>0</v>
      </c>
      <c r="AN48" s="517" t="s">
        <v>1963</v>
      </c>
      <c r="AO48" s="867">
        <v>0</v>
      </c>
      <c r="AP48" s="517" t="s">
        <v>1963</v>
      </c>
      <c r="AQ48" s="867">
        <v>0</v>
      </c>
      <c r="AR48" s="517" t="s">
        <v>1963</v>
      </c>
      <c r="AS48" s="867">
        <v>0</v>
      </c>
      <c r="AT48" s="517" t="s">
        <v>1963</v>
      </c>
      <c r="AU48" s="867">
        <v>0</v>
      </c>
      <c r="AV48" s="834"/>
      <c r="AW48" s="866"/>
      <c r="AX48" s="834"/>
      <c r="AY48" s="866"/>
      <c r="AZ48" s="867" t="s">
        <v>1963</v>
      </c>
      <c r="BA48" s="517">
        <v>0</v>
      </c>
      <c r="BB48" s="867" t="s">
        <v>1963</v>
      </c>
      <c r="BC48" s="867" t="s">
        <v>1963</v>
      </c>
      <c r="BD48" s="517" t="s">
        <v>1963</v>
      </c>
      <c r="BE48" s="867">
        <v>0</v>
      </c>
      <c r="BF48" s="517" t="s">
        <v>1963</v>
      </c>
      <c r="BG48" s="867">
        <v>0</v>
      </c>
      <c r="BH48" s="517" t="s">
        <v>1963</v>
      </c>
      <c r="BI48" s="867">
        <v>0</v>
      </c>
      <c r="BJ48" s="834"/>
      <c r="BK48" s="866"/>
      <c r="BL48" s="834"/>
      <c r="BM48" s="866"/>
      <c r="BN48" s="517" t="s">
        <v>1963</v>
      </c>
      <c r="BO48" s="867">
        <v>0</v>
      </c>
    </row>
    <row r="49" spans="1:67" s="441" customFormat="1">
      <c r="A49" s="95"/>
      <c r="B49" s="514"/>
      <c r="C49" s="515"/>
      <c r="D49" s="515"/>
    </row>
    <row r="50" spans="1:67" s="441" customFormat="1">
      <c r="A50" s="95"/>
      <c r="B50" s="977" t="s">
        <v>1943</v>
      </c>
      <c r="C50" s="972" t="s">
        <v>5</v>
      </c>
      <c r="D50" s="970" t="s">
        <v>1945</v>
      </c>
      <c r="E50" s="516"/>
      <c r="F50" s="976">
        <v>1</v>
      </c>
      <c r="G50" s="976"/>
      <c r="H50" s="967">
        <v>2</v>
      </c>
      <c r="I50" s="967"/>
      <c r="J50" s="967">
        <v>3</v>
      </c>
      <c r="K50" s="967"/>
      <c r="L50" s="967">
        <v>4</v>
      </c>
      <c r="M50" s="967"/>
      <c r="N50" s="967">
        <v>5</v>
      </c>
      <c r="O50" s="967"/>
      <c r="P50" s="967">
        <v>6</v>
      </c>
      <c r="Q50" s="967"/>
      <c r="R50" s="967">
        <v>7</v>
      </c>
      <c r="S50" s="967"/>
      <c r="T50" s="976">
        <v>8</v>
      </c>
      <c r="U50" s="976"/>
      <c r="V50" s="967">
        <v>9</v>
      </c>
      <c r="W50" s="967"/>
      <c r="X50" s="967">
        <v>10</v>
      </c>
      <c r="Y50" s="967"/>
      <c r="Z50" s="967">
        <v>11</v>
      </c>
      <c r="AA50" s="967"/>
      <c r="AB50" s="967">
        <v>12</v>
      </c>
      <c r="AC50" s="967"/>
      <c r="AD50" s="967">
        <v>13</v>
      </c>
      <c r="AE50" s="967"/>
      <c r="AF50" s="976">
        <v>14</v>
      </c>
      <c r="AG50" s="976"/>
      <c r="AH50" s="976">
        <v>15</v>
      </c>
      <c r="AI50" s="976"/>
      <c r="AJ50" s="976">
        <v>16</v>
      </c>
      <c r="AK50" s="976"/>
      <c r="AL50" s="967">
        <v>17</v>
      </c>
      <c r="AM50" s="967"/>
      <c r="AN50" s="967">
        <v>18</v>
      </c>
      <c r="AO50" s="967"/>
      <c r="AP50" s="967">
        <v>19</v>
      </c>
      <c r="AQ50" s="967"/>
      <c r="AR50" s="967">
        <v>20</v>
      </c>
      <c r="AS50" s="967"/>
      <c r="AT50" s="967">
        <v>21</v>
      </c>
      <c r="AU50" s="967"/>
      <c r="AV50" s="976">
        <v>22</v>
      </c>
      <c r="AW50" s="976"/>
      <c r="AX50" s="976">
        <v>23</v>
      </c>
      <c r="AY50" s="976">
        <v>24</v>
      </c>
      <c r="AZ50" s="967">
        <v>23</v>
      </c>
      <c r="BA50" s="967">
        <v>24</v>
      </c>
      <c r="BB50" s="967"/>
      <c r="BC50" s="967">
        <v>25</v>
      </c>
      <c r="BD50" s="967">
        <v>26</v>
      </c>
      <c r="BE50" s="967"/>
      <c r="BF50" s="967">
        <v>27</v>
      </c>
      <c r="BG50" s="967"/>
      <c r="BH50" s="967">
        <v>28</v>
      </c>
      <c r="BI50" s="967"/>
      <c r="BJ50" s="976">
        <v>29</v>
      </c>
      <c r="BK50" s="976"/>
      <c r="BL50" s="976">
        <v>30</v>
      </c>
      <c r="BM50" s="976"/>
      <c r="BN50" s="967">
        <v>31</v>
      </c>
      <c r="BO50" s="967"/>
    </row>
    <row r="51" spans="1:67" s="441" customFormat="1">
      <c r="A51" s="95"/>
      <c r="B51" s="977"/>
      <c r="C51" s="973"/>
      <c r="D51" s="971"/>
      <c r="E51" s="516"/>
      <c r="F51" s="866" t="s">
        <v>1955</v>
      </c>
      <c r="G51" s="866" t="s">
        <v>1956</v>
      </c>
      <c r="H51" s="747" t="s">
        <v>1955</v>
      </c>
      <c r="I51" s="747" t="s">
        <v>1956</v>
      </c>
      <c r="J51" s="867" t="s">
        <v>1955</v>
      </c>
      <c r="K51" s="867" t="s">
        <v>1956</v>
      </c>
      <c r="L51" s="867" t="s">
        <v>1955</v>
      </c>
      <c r="M51" s="867" t="s">
        <v>1956</v>
      </c>
      <c r="N51" s="867" t="s">
        <v>1955</v>
      </c>
      <c r="O51" s="867" t="s">
        <v>1956</v>
      </c>
      <c r="P51" s="867" t="s">
        <v>1955</v>
      </c>
      <c r="Q51" s="867" t="s">
        <v>1956</v>
      </c>
      <c r="R51" s="867" t="s">
        <v>1955</v>
      </c>
      <c r="S51" s="867" t="s">
        <v>1956</v>
      </c>
      <c r="T51" s="866" t="s">
        <v>1955</v>
      </c>
      <c r="U51" s="866" t="s">
        <v>1956</v>
      </c>
      <c r="V51" s="867" t="s">
        <v>1955</v>
      </c>
      <c r="W51" s="867" t="s">
        <v>1956</v>
      </c>
      <c r="X51" s="867" t="s">
        <v>1955</v>
      </c>
      <c r="Y51" s="867" t="s">
        <v>1956</v>
      </c>
      <c r="Z51" s="867" t="s">
        <v>1955</v>
      </c>
      <c r="AA51" s="867" t="s">
        <v>1956</v>
      </c>
      <c r="AB51" s="867" t="s">
        <v>1955</v>
      </c>
      <c r="AC51" s="867" t="s">
        <v>1956</v>
      </c>
      <c r="AD51" s="867" t="s">
        <v>1955</v>
      </c>
      <c r="AE51" s="867" t="s">
        <v>1956</v>
      </c>
      <c r="AF51" s="866" t="s">
        <v>1955</v>
      </c>
      <c r="AG51" s="866" t="s">
        <v>1956</v>
      </c>
      <c r="AH51" s="866" t="s">
        <v>1955</v>
      </c>
      <c r="AI51" s="866" t="s">
        <v>1956</v>
      </c>
      <c r="AJ51" s="866" t="s">
        <v>1955</v>
      </c>
      <c r="AK51" s="866" t="s">
        <v>1956</v>
      </c>
      <c r="AL51" s="867" t="s">
        <v>1955</v>
      </c>
      <c r="AM51" s="867" t="s">
        <v>1956</v>
      </c>
      <c r="AN51" s="867" t="s">
        <v>1955</v>
      </c>
      <c r="AO51" s="867" t="s">
        <v>1956</v>
      </c>
      <c r="AP51" s="867" t="s">
        <v>1955</v>
      </c>
      <c r="AQ51" s="867" t="s">
        <v>1956</v>
      </c>
      <c r="AR51" s="867" t="s">
        <v>1955</v>
      </c>
      <c r="AS51" s="867" t="s">
        <v>1956</v>
      </c>
      <c r="AT51" s="867" t="s">
        <v>1955</v>
      </c>
      <c r="AU51" s="867" t="s">
        <v>1956</v>
      </c>
      <c r="AV51" s="866" t="s">
        <v>1955</v>
      </c>
      <c r="AW51" s="866" t="s">
        <v>1956</v>
      </c>
      <c r="AX51" s="866" t="s">
        <v>1955</v>
      </c>
      <c r="AY51" s="866" t="s">
        <v>1955</v>
      </c>
      <c r="AZ51" s="867" t="s">
        <v>1955</v>
      </c>
      <c r="BA51" s="867" t="s">
        <v>1955</v>
      </c>
      <c r="BB51" s="867" t="s">
        <v>1956</v>
      </c>
      <c r="BC51" s="867" t="s">
        <v>1955</v>
      </c>
      <c r="BD51" s="867" t="s">
        <v>1955</v>
      </c>
      <c r="BE51" s="867" t="s">
        <v>1956</v>
      </c>
      <c r="BF51" s="867" t="s">
        <v>1955</v>
      </c>
      <c r="BG51" s="867" t="s">
        <v>1956</v>
      </c>
      <c r="BH51" s="867" t="s">
        <v>1955</v>
      </c>
      <c r="BI51" s="867" t="s">
        <v>1956</v>
      </c>
      <c r="BJ51" s="866" t="s">
        <v>1955</v>
      </c>
      <c r="BK51" s="866" t="s">
        <v>1956</v>
      </c>
      <c r="BL51" s="866" t="s">
        <v>1955</v>
      </c>
      <c r="BM51" s="866" t="s">
        <v>1956</v>
      </c>
      <c r="BN51" s="867" t="s">
        <v>1955</v>
      </c>
      <c r="BO51" s="867" t="s">
        <v>1956</v>
      </c>
    </row>
    <row r="52" spans="1:67" s="441" customFormat="1">
      <c r="A52" s="95"/>
      <c r="B52" s="744">
        <v>1</v>
      </c>
      <c r="C52" s="745" t="s">
        <v>2012</v>
      </c>
      <c r="D52" s="746" t="s">
        <v>2005</v>
      </c>
      <c r="E52" s="516"/>
      <c r="F52" s="866">
        <f>COUNTIF(F$4:F$48,$D52)</f>
        <v>0</v>
      </c>
      <c r="G52" s="866">
        <f>SUMIF($D$4:$D$48,$D52,G$4:G$48)</f>
        <v>0</v>
      </c>
      <c r="H52" s="743">
        <f>COUNTIF(H$4:H$48,$D52)</f>
        <v>0</v>
      </c>
      <c r="I52" s="867">
        <f>SUMIF($D$4:$D$48,$D52,I$4:I$48)</f>
        <v>0</v>
      </c>
      <c r="J52" s="864">
        <f t="shared" ref="J52" si="0">COUNTIF(J$4:J$48,$D52)</f>
        <v>0</v>
      </c>
      <c r="K52" s="867">
        <f t="shared" ref="K52:K53" si="1">SUMIF($D$4:$D$48,$D52,K$4:K$48)</f>
        <v>0</v>
      </c>
      <c r="L52" s="864">
        <f t="shared" ref="L52" si="2">COUNTIF(L$4:L$48,$D52)</f>
        <v>0</v>
      </c>
      <c r="M52" s="867">
        <f t="shared" ref="M52:M53" si="3">SUMIF($D$4:$D$48,$D52,M$4:M$48)</f>
        <v>0</v>
      </c>
      <c r="N52" s="864">
        <f t="shared" ref="N52" si="4">COUNTIF(N$4:N$48,$D52)</f>
        <v>0</v>
      </c>
      <c r="O52" s="867">
        <f t="shared" ref="O52:O53" si="5">SUMIF($D$4:$D$48,$D52,O$4:O$48)</f>
        <v>0</v>
      </c>
      <c r="P52" s="864">
        <f t="shared" ref="P52" si="6">COUNTIF(P$4:P$48,$D52)</f>
        <v>0</v>
      </c>
      <c r="Q52" s="867">
        <f t="shared" ref="Q52:Q53" si="7">SUMIF($D$4:$D$48,$D52,Q$4:Q$48)</f>
        <v>0</v>
      </c>
      <c r="R52" s="864">
        <f t="shared" ref="R52" si="8">COUNTIF(R$4:R$48,$D52)</f>
        <v>0</v>
      </c>
      <c r="S52" s="867">
        <f t="shared" ref="S52:S53" si="9">SUMIF($D$4:$D$48,$D52,S$4:S$48)</f>
        <v>0</v>
      </c>
      <c r="T52" s="866">
        <f>COUNTIF(T$4:T$48,$D52)</f>
        <v>0</v>
      </c>
      <c r="U52" s="866">
        <f>SUMIF($D$4:$D$48,$D52,U$4:U$48)</f>
        <v>0</v>
      </c>
      <c r="V52" s="864">
        <f t="shared" ref="V52" si="10">COUNTIF(V$4:V$48,$D52)</f>
        <v>0</v>
      </c>
      <c r="W52" s="867">
        <f t="shared" ref="W52:W53" si="11">SUMIF($D$4:$D$48,$D52,W$4:W$48)</f>
        <v>0</v>
      </c>
      <c r="X52" s="864">
        <f t="shared" ref="V52:Z64" si="12">COUNTIF(X$4:X$48,$D52)</f>
        <v>0</v>
      </c>
      <c r="Y52" s="867">
        <f t="shared" ref="Y52:Y53" si="13">SUMIF($D$4:$D$48,$D52,Y$4:Y$48)</f>
        <v>0</v>
      </c>
      <c r="Z52" s="864">
        <f t="shared" ref="Z52" si="14">COUNTIF(Z$4:Z$48,$D52)</f>
        <v>0</v>
      </c>
      <c r="AA52" s="867">
        <f t="shared" ref="AA52:AA53" si="15">SUMIF($D$4:$D$48,$D52,AA$4:AA$48)</f>
        <v>0</v>
      </c>
      <c r="AB52" s="864">
        <f t="shared" ref="AB52:AD64" si="16">COUNTIF(AB$4:AB$48,$D52)</f>
        <v>0</v>
      </c>
      <c r="AC52" s="867">
        <f t="shared" ref="AC52:AC53" si="17">SUMIF($D$4:$D$48,$D52,AC$4:AC$48)</f>
        <v>0</v>
      </c>
      <c r="AD52" s="864">
        <f t="shared" ref="AD52" si="18">COUNTIF(AD$4:AD$48,$D52)</f>
        <v>0</v>
      </c>
      <c r="AE52" s="867">
        <f t="shared" ref="AE52:AE53" si="19">SUMIF($D$4:$D$48,$D52,AE$4:AE$48)</f>
        <v>0</v>
      </c>
      <c r="AF52" s="866">
        <f t="shared" ref="AF52:AJ64" si="20">COUNTIF(AF$4:AF$48,$D52)</f>
        <v>0</v>
      </c>
      <c r="AG52" s="866">
        <f t="shared" ref="AG52:AG53" si="21">SUMIF($D$4:$D$48,$D52,AG$4:AG$48)</f>
        <v>0</v>
      </c>
      <c r="AH52" s="866">
        <f t="shared" ref="AH52" si="22">COUNTIF(AH$4:AH$48,$D52)</f>
        <v>0</v>
      </c>
      <c r="AI52" s="866">
        <f t="shared" ref="AI52:AI53" si="23">SUMIF($D$4:$D$48,$D52,AI$4:AI$48)</f>
        <v>0</v>
      </c>
      <c r="AJ52" s="866">
        <f t="shared" ref="AJ52" si="24">COUNTIF(AJ$4:AJ$48,$D52)</f>
        <v>0</v>
      </c>
      <c r="AK52" s="866">
        <f t="shared" ref="AK52:AK53" si="25">SUMIF($D$4:$D$48,$D52,AK$4:AK$48)</f>
        <v>0</v>
      </c>
      <c r="AL52" s="864">
        <f t="shared" ref="AL52:AT64" si="26">COUNTIF(AL$4:AL$48,$D52)</f>
        <v>0</v>
      </c>
      <c r="AM52" s="867">
        <f t="shared" ref="AM52:AM53" si="27">SUMIF($D$4:$D$48,$D52,AM$4:AM$48)</f>
        <v>0</v>
      </c>
      <c r="AN52" s="864">
        <f t="shared" ref="AN52" si="28">COUNTIF(AN$4:AN$48,$D52)</f>
        <v>0</v>
      </c>
      <c r="AO52" s="867">
        <f t="shared" ref="AO52:AO53" si="29">SUMIF($D$4:$D$48,$D52,AO$4:AO$48)</f>
        <v>0</v>
      </c>
      <c r="AP52" s="864">
        <f t="shared" ref="AP52" si="30">COUNTIF(AP$4:AP$48,$D52)</f>
        <v>0</v>
      </c>
      <c r="AQ52" s="867">
        <f t="shared" ref="AQ52:AQ53" si="31">SUMIF($D$4:$D$48,$D52,AQ$4:AQ$48)</f>
        <v>0</v>
      </c>
      <c r="AR52" s="864">
        <f t="shared" ref="AR52" si="32">COUNTIF(AR$4:AR$48,$D52)</f>
        <v>0</v>
      </c>
      <c r="AS52" s="867">
        <f t="shared" ref="AS52:AS53" si="33">SUMIF($D$4:$D$48,$D52,AS$4:AS$48)</f>
        <v>0</v>
      </c>
      <c r="AT52" s="864">
        <f t="shared" ref="AT52" si="34">COUNTIF(AT$4:AT$48,$D52)</f>
        <v>0</v>
      </c>
      <c r="AU52" s="867">
        <f t="shared" ref="AU52:AU53" si="35">SUMIF($D$4:$D$48,$D52,AU$4:AU$48)</f>
        <v>0</v>
      </c>
      <c r="AV52" s="866">
        <f t="shared" ref="AV52:BH64" si="36">COUNTIF(AV$4:AV$48,$D52)</f>
        <v>0</v>
      </c>
      <c r="AW52" s="866">
        <f t="shared" ref="AW52:AW53" si="37">SUMIF($D$4:$D$48,$D52,AW$4:AW$48)</f>
        <v>0</v>
      </c>
      <c r="AX52" s="866">
        <f t="shared" ref="AX52:AZ52" si="38">COUNTIF(AX$4:AX$48,$D52)</f>
        <v>0</v>
      </c>
      <c r="AY52" s="866">
        <f t="shared" ref="AY52:BA53" si="39">SUMIF($D$4:$D$48,$D52,AY$4:AY$48)</f>
        <v>0</v>
      </c>
      <c r="AZ52" s="864">
        <f t="shared" si="38"/>
        <v>0</v>
      </c>
      <c r="BA52" s="867">
        <f t="shared" si="39"/>
        <v>0</v>
      </c>
      <c r="BB52" s="864">
        <f t="shared" ref="BB52" si="40">COUNTIF(BB$4:BB$48,$D52)</f>
        <v>0</v>
      </c>
      <c r="BC52" s="867">
        <f t="shared" ref="BC52:BC53" si="41">SUMIF($D$4:$D$48,$D52,BC$4:BC$48)</f>
        <v>0</v>
      </c>
      <c r="BD52" s="864">
        <f t="shared" ref="BD52" si="42">COUNTIF(BD$4:BD$48,$D52)</f>
        <v>0</v>
      </c>
      <c r="BE52" s="867">
        <f t="shared" ref="BE52:BE53" si="43">SUMIF($D$4:$D$48,$D52,BE$4:BE$48)</f>
        <v>0</v>
      </c>
      <c r="BF52" s="864">
        <f t="shared" ref="BF52" si="44">COUNTIF(BF$4:BF$48,$D52)</f>
        <v>0</v>
      </c>
      <c r="BG52" s="867">
        <f t="shared" ref="BG52:BG53" si="45">SUMIF($D$4:$D$48,$D52,BG$4:BG$48)</f>
        <v>0</v>
      </c>
      <c r="BH52" s="864">
        <f t="shared" ref="BH52" si="46">COUNTIF(BH$4:BH$48,$D52)</f>
        <v>0</v>
      </c>
      <c r="BI52" s="867">
        <f t="shared" ref="BI52:BI53" si="47">SUMIF($D$4:$D$48,$D52,BI$4:BI$48)</f>
        <v>0</v>
      </c>
      <c r="BJ52" s="866">
        <f>COUNTIF(BJ$4:BJ$48,$D52)</f>
        <v>0</v>
      </c>
      <c r="BK52" s="866">
        <f>SUMIF($D$4:$D$48,$D52,BK$4:BK$48)</f>
        <v>0</v>
      </c>
      <c r="BL52" s="866">
        <f>COUNTIF(BL$4:BL$48,$D52)</f>
        <v>0</v>
      </c>
      <c r="BM52" s="866">
        <f>SUMIF($D$4:$D$48,$D52,BM$4:BM$48)</f>
        <v>0</v>
      </c>
      <c r="BN52" s="864">
        <f>COUNTIF(BN$4:BN$48,$D52)</f>
        <v>0</v>
      </c>
      <c r="BO52" s="867">
        <f>SUMIF($D$4:$D$48,$D52,BO$4:BO$48)</f>
        <v>0</v>
      </c>
    </row>
    <row r="53" spans="1:67" s="3" customFormat="1">
      <c r="A53" s="56"/>
      <c r="B53" s="744">
        <v>2</v>
      </c>
      <c r="C53" s="516" t="s">
        <v>1964</v>
      </c>
      <c r="D53" s="516" t="s">
        <v>1957</v>
      </c>
      <c r="E53" s="516"/>
      <c r="F53" s="866">
        <f t="shared" ref="F53:V64" si="48">COUNTIF(F$4:F$48,$D53)</f>
        <v>0</v>
      </c>
      <c r="G53" s="866">
        <f>SUMIF($D$4:$D$48,$D53,G$4:G$48)</f>
        <v>0</v>
      </c>
      <c r="H53" s="743">
        <f t="shared" si="48"/>
        <v>2</v>
      </c>
      <c r="I53" s="747">
        <f>SUMIF($D$4:$D$48,$D53,I$4:I$48)</f>
        <v>0</v>
      </c>
      <c r="J53" s="864">
        <f t="shared" si="48"/>
        <v>3</v>
      </c>
      <c r="K53" s="867">
        <f t="shared" si="1"/>
        <v>0</v>
      </c>
      <c r="L53" s="864">
        <f t="shared" si="48"/>
        <v>2</v>
      </c>
      <c r="M53" s="867">
        <f t="shared" si="3"/>
        <v>0</v>
      </c>
      <c r="N53" s="864">
        <f t="shared" si="48"/>
        <v>1</v>
      </c>
      <c r="O53" s="867">
        <f t="shared" si="5"/>
        <v>0</v>
      </c>
      <c r="P53" s="864">
        <f t="shared" si="48"/>
        <v>1</v>
      </c>
      <c r="Q53" s="867">
        <f t="shared" si="7"/>
        <v>0</v>
      </c>
      <c r="R53" s="864">
        <f t="shared" si="48"/>
        <v>2</v>
      </c>
      <c r="S53" s="867">
        <f t="shared" si="9"/>
        <v>0</v>
      </c>
      <c r="T53" s="866">
        <f t="shared" si="48"/>
        <v>0</v>
      </c>
      <c r="U53" s="866">
        <f>SUMIF($D$4:$D$48,$D53,U$4:U$48)</f>
        <v>0</v>
      </c>
      <c r="V53" s="864">
        <f t="shared" si="48"/>
        <v>2</v>
      </c>
      <c r="W53" s="867">
        <f t="shared" si="11"/>
        <v>0</v>
      </c>
      <c r="X53" s="864">
        <f t="shared" si="12"/>
        <v>2</v>
      </c>
      <c r="Y53" s="867">
        <f t="shared" si="13"/>
        <v>0</v>
      </c>
      <c r="Z53" s="864">
        <f t="shared" si="12"/>
        <v>2</v>
      </c>
      <c r="AA53" s="867">
        <f t="shared" si="15"/>
        <v>0</v>
      </c>
      <c r="AB53" s="864">
        <f t="shared" si="16"/>
        <v>2</v>
      </c>
      <c r="AC53" s="867">
        <f t="shared" si="17"/>
        <v>0</v>
      </c>
      <c r="AD53" s="864">
        <f t="shared" si="16"/>
        <v>3</v>
      </c>
      <c r="AE53" s="867">
        <f t="shared" si="19"/>
        <v>0</v>
      </c>
      <c r="AF53" s="866">
        <f t="shared" si="20"/>
        <v>0</v>
      </c>
      <c r="AG53" s="866">
        <f t="shared" si="21"/>
        <v>0</v>
      </c>
      <c r="AH53" s="866">
        <f t="shared" si="20"/>
        <v>0</v>
      </c>
      <c r="AI53" s="866">
        <f t="shared" si="23"/>
        <v>0</v>
      </c>
      <c r="AJ53" s="866">
        <f t="shared" si="20"/>
        <v>0</v>
      </c>
      <c r="AK53" s="866">
        <f t="shared" si="25"/>
        <v>0</v>
      </c>
      <c r="AL53" s="864">
        <f t="shared" si="26"/>
        <v>4</v>
      </c>
      <c r="AM53" s="867">
        <f t="shared" si="27"/>
        <v>0</v>
      </c>
      <c r="AN53" s="864">
        <f t="shared" si="26"/>
        <v>4</v>
      </c>
      <c r="AO53" s="867">
        <f t="shared" si="29"/>
        <v>0</v>
      </c>
      <c r="AP53" s="864">
        <f t="shared" si="26"/>
        <v>3</v>
      </c>
      <c r="AQ53" s="867">
        <f t="shared" si="31"/>
        <v>0</v>
      </c>
      <c r="AR53" s="864">
        <f t="shared" si="26"/>
        <v>3</v>
      </c>
      <c r="AS53" s="867">
        <f t="shared" si="33"/>
        <v>0</v>
      </c>
      <c r="AT53" s="864">
        <f t="shared" si="26"/>
        <v>3</v>
      </c>
      <c r="AU53" s="867">
        <f t="shared" si="35"/>
        <v>0</v>
      </c>
      <c r="AV53" s="866">
        <f t="shared" si="36"/>
        <v>0</v>
      </c>
      <c r="AW53" s="866">
        <f t="shared" si="37"/>
        <v>0</v>
      </c>
      <c r="AX53" s="866">
        <f t="shared" si="36"/>
        <v>0</v>
      </c>
      <c r="AY53" s="866">
        <f t="shared" si="39"/>
        <v>0</v>
      </c>
      <c r="AZ53" s="864">
        <f t="shared" si="36"/>
        <v>3</v>
      </c>
      <c r="BA53" s="867">
        <f t="shared" si="39"/>
        <v>0</v>
      </c>
      <c r="BB53" s="864">
        <f t="shared" si="36"/>
        <v>3</v>
      </c>
      <c r="BC53" s="867">
        <f t="shared" si="41"/>
        <v>0</v>
      </c>
      <c r="BD53" s="864">
        <f t="shared" si="36"/>
        <v>3</v>
      </c>
      <c r="BE53" s="867">
        <f t="shared" si="43"/>
        <v>0</v>
      </c>
      <c r="BF53" s="864">
        <f t="shared" si="36"/>
        <v>1</v>
      </c>
      <c r="BG53" s="867">
        <f t="shared" si="45"/>
        <v>0</v>
      </c>
      <c r="BH53" s="864">
        <f t="shared" si="36"/>
        <v>1</v>
      </c>
      <c r="BI53" s="867">
        <f t="shared" si="47"/>
        <v>0</v>
      </c>
      <c r="BJ53" s="866">
        <f t="shared" ref="BJ53:BJ64" si="49">COUNTIF(BJ$4:BJ$48,$D53)</f>
        <v>0</v>
      </c>
      <c r="BK53" s="866">
        <f>SUMIF($D$4:$D$48,$D53,BK$4:BK$48)</f>
        <v>0</v>
      </c>
      <c r="BL53" s="866">
        <f t="shared" ref="BL53:BN64" si="50">COUNTIF(BL$4:BL$48,$D53)</f>
        <v>0</v>
      </c>
      <c r="BM53" s="866">
        <f>SUMIF($D$4:$D$48,$D53,BM$4:BM$48)</f>
        <v>0</v>
      </c>
      <c r="BN53" s="864">
        <f t="shared" si="50"/>
        <v>1</v>
      </c>
      <c r="BO53" s="867">
        <f>SUMIF($D$4:$D$48,$D53,BO$4:BO$48)</f>
        <v>0</v>
      </c>
    </row>
    <row r="54" spans="1:67" ht="14.9" customHeight="1">
      <c r="B54" s="744">
        <v>3</v>
      </c>
      <c r="C54" s="516" t="s">
        <v>1965</v>
      </c>
      <c r="D54" s="516" t="s">
        <v>1958</v>
      </c>
      <c r="E54" s="516"/>
      <c r="F54" s="866">
        <f t="shared" si="48"/>
        <v>0</v>
      </c>
      <c r="G54" s="866">
        <f t="shared" ref="G54:W64" ca="1" si="51">SUMIF($D$4:$D$48,G$4:G$48,$D54)</f>
        <v>0</v>
      </c>
      <c r="H54" s="743">
        <f t="shared" si="48"/>
        <v>6</v>
      </c>
      <c r="I54" s="747">
        <f t="shared" ca="1" si="51"/>
        <v>0</v>
      </c>
      <c r="J54" s="864">
        <f t="shared" si="48"/>
        <v>5</v>
      </c>
      <c r="K54" s="867">
        <f t="shared" ca="1" si="51"/>
        <v>0</v>
      </c>
      <c r="L54" s="864">
        <f t="shared" si="48"/>
        <v>6</v>
      </c>
      <c r="M54" s="867">
        <f t="shared" ca="1" si="51"/>
        <v>0</v>
      </c>
      <c r="N54" s="864">
        <f t="shared" si="48"/>
        <v>6</v>
      </c>
      <c r="O54" s="867">
        <f t="shared" ca="1" si="51"/>
        <v>0</v>
      </c>
      <c r="P54" s="864">
        <f t="shared" si="48"/>
        <v>6</v>
      </c>
      <c r="Q54" s="867">
        <f t="shared" ca="1" si="51"/>
        <v>0</v>
      </c>
      <c r="R54" s="864">
        <f t="shared" si="48"/>
        <v>6</v>
      </c>
      <c r="S54" s="867">
        <f t="shared" ca="1" si="51"/>
        <v>0</v>
      </c>
      <c r="T54" s="866">
        <f t="shared" si="48"/>
        <v>0</v>
      </c>
      <c r="U54" s="866">
        <f t="shared" ca="1" si="51"/>
        <v>0</v>
      </c>
      <c r="V54" s="864">
        <f t="shared" si="12"/>
        <v>6</v>
      </c>
      <c r="W54" s="867">
        <f t="shared" ca="1" si="51"/>
        <v>0</v>
      </c>
      <c r="X54" s="864">
        <f t="shared" si="12"/>
        <v>6</v>
      </c>
      <c r="Y54" s="867">
        <f t="shared" ref="W54:AA64" ca="1" si="52">SUMIF($D$4:$D$48,Y$4:Y$48,$D54)</f>
        <v>0</v>
      </c>
      <c r="Z54" s="864">
        <f t="shared" si="12"/>
        <v>6</v>
      </c>
      <c r="AA54" s="867">
        <f t="shared" ca="1" si="52"/>
        <v>0</v>
      </c>
      <c r="AB54" s="864">
        <f t="shared" si="16"/>
        <v>6</v>
      </c>
      <c r="AC54" s="867">
        <f t="shared" ref="AC54:AE64" ca="1" si="53">SUMIF($D$4:$D$48,AC$4:AC$48,$D54)</f>
        <v>0</v>
      </c>
      <c r="AD54" s="864">
        <f t="shared" si="16"/>
        <v>6</v>
      </c>
      <c r="AE54" s="867">
        <f t="shared" ca="1" si="53"/>
        <v>0</v>
      </c>
      <c r="AF54" s="866">
        <f t="shared" si="20"/>
        <v>0</v>
      </c>
      <c r="AG54" s="866">
        <f t="shared" ref="AG54:AK64" ca="1" si="54">SUMIF($D$4:$D$48,AG$4:AG$48,$D54)</f>
        <v>0</v>
      </c>
      <c r="AH54" s="866">
        <f t="shared" si="20"/>
        <v>0</v>
      </c>
      <c r="AI54" s="866">
        <f t="shared" ca="1" si="54"/>
        <v>0</v>
      </c>
      <c r="AJ54" s="866">
        <f t="shared" si="20"/>
        <v>0</v>
      </c>
      <c r="AK54" s="866">
        <f t="shared" ca="1" si="54"/>
        <v>0</v>
      </c>
      <c r="AL54" s="864">
        <f t="shared" si="26"/>
        <v>6</v>
      </c>
      <c r="AM54" s="867">
        <f t="shared" ref="AM54:AU64" ca="1" si="55">SUMIF($D$4:$D$48,AM$4:AM$48,$D54)</f>
        <v>0</v>
      </c>
      <c r="AN54" s="864">
        <f t="shared" si="26"/>
        <v>6</v>
      </c>
      <c r="AO54" s="867">
        <f t="shared" ca="1" si="55"/>
        <v>0</v>
      </c>
      <c r="AP54" s="864">
        <f t="shared" si="26"/>
        <v>6</v>
      </c>
      <c r="AQ54" s="867">
        <f t="shared" ca="1" si="55"/>
        <v>0</v>
      </c>
      <c r="AR54" s="864">
        <f t="shared" si="26"/>
        <v>6</v>
      </c>
      <c r="AS54" s="867">
        <f t="shared" ca="1" si="55"/>
        <v>0</v>
      </c>
      <c r="AT54" s="864">
        <f t="shared" si="26"/>
        <v>6</v>
      </c>
      <c r="AU54" s="867">
        <f t="shared" ca="1" si="55"/>
        <v>0</v>
      </c>
      <c r="AV54" s="866">
        <f t="shared" si="36"/>
        <v>0</v>
      </c>
      <c r="AW54" s="866">
        <f t="shared" ref="AW54:BI64" ca="1" si="56">SUMIF($D$4:$D$48,AW$4:AW$48,$D54)</f>
        <v>0</v>
      </c>
      <c r="AX54" s="866">
        <f t="shared" si="36"/>
        <v>0</v>
      </c>
      <c r="AY54" s="866">
        <f t="shared" ca="1" si="56"/>
        <v>0</v>
      </c>
      <c r="AZ54" s="864">
        <f t="shared" si="36"/>
        <v>6</v>
      </c>
      <c r="BA54" s="867">
        <f t="shared" ca="1" si="56"/>
        <v>0</v>
      </c>
      <c r="BB54" s="864">
        <f t="shared" si="36"/>
        <v>6</v>
      </c>
      <c r="BC54" s="867">
        <f t="shared" ca="1" si="56"/>
        <v>0</v>
      </c>
      <c r="BD54" s="864">
        <f t="shared" si="36"/>
        <v>6</v>
      </c>
      <c r="BE54" s="867">
        <f t="shared" ca="1" si="56"/>
        <v>0</v>
      </c>
      <c r="BF54" s="864">
        <f t="shared" si="36"/>
        <v>3</v>
      </c>
      <c r="BG54" s="867">
        <f t="shared" ca="1" si="56"/>
        <v>0</v>
      </c>
      <c r="BH54" s="864">
        <f t="shared" si="36"/>
        <v>3</v>
      </c>
      <c r="BI54" s="867">
        <f t="shared" ca="1" si="56"/>
        <v>0</v>
      </c>
      <c r="BJ54" s="866">
        <f t="shared" si="49"/>
        <v>0</v>
      </c>
      <c r="BK54" s="866">
        <f t="shared" ref="BK54:BK64" ca="1" si="57">SUMIF($D$4:$D$48,BK$4:BK$48,$D54)</f>
        <v>0</v>
      </c>
      <c r="BL54" s="866">
        <f t="shared" si="50"/>
        <v>0</v>
      </c>
      <c r="BM54" s="866">
        <f t="shared" ref="BM54:BO64" ca="1" si="58">SUMIF($D$4:$D$48,BM$4:BM$48,$D54)</f>
        <v>0</v>
      </c>
      <c r="BN54" s="864">
        <f t="shared" si="50"/>
        <v>3</v>
      </c>
      <c r="BO54" s="867">
        <f t="shared" ca="1" si="58"/>
        <v>0</v>
      </c>
    </row>
    <row r="55" spans="1:67">
      <c r="B55" s="744">
        <v>4</v>
      </c>
      <c r="C55" s="516" t="s">
        <v>1966</v>
      </c>
      <c r="D55" s="516" t="s">
        <v>1995</v>
      </c>
      <c r="E55" s="516"/>
      <c r="F55" s="866">
        <f t="shared" si="48"/>
        <v>0</v>
      </c>
      <c r="G55" s="866">
        <f t="shared" ca="1" si="51"/>
        <v>0</v>
      </c>
      <c r="H55" s="743">
        <f t="shared" si="48"/>
        <v>4</v>
      </c>
      <c r="I55" s="747">
        <f t="shared" ca="1" si="51"/>
        <v>0</v>
      </c>
      <c r="J55" s="864">
        <f t="shared" si="48"/>
        <v>5</v>
      </c>
      <c r="K55" s="867">
        <f t="shared" ca="1" si="51"/>
        <v>0</v>
      </c>
      <c r="L55" s="864">
        <f t="shared" si="48"/>
        <v>4</v>
      </c>
      <c r="M55" s="867">
        <f t="shared" ca="1" si="51"/>
        <v>0</v>
      </c>
      <c r="N55" s="864">
        <f t="shared" si="48"/>
        <v>3</v>
      </c>
      <c r="O55" s="867">
        <f t="shared" ca="1" si="51"/>
        <v>0</v>
      </c>
      <c r="P55" s="864">
        <f t="shared" si="48"/>
        <v>2</v>
      </c>
      <c r="Q55" s="867">
        <f t="shared" ca="1" si="51"/>
        <v>0</v>
      </c>
      <c r="R55" s="864">
        <f t="shared" si="48"/>
        <v>3</v>
      </c>
      <c r="S55" s="867">
        <f t="shared" ca="1" si="51"/>
        <v>0</v>
      </c>
      <c r="T55" s="866">
        <f t="shared" si="48"/>
        <v>0</v>
      </c>
      <c r="U55" s="866">
        <f t="shared" ca="1" si="51"/>
        <v>0</v>
      </c>
      <c r="V55" s="864">
        <f t="shared" si="12"/>
        <v>3</v>
      </c>
      <c r="W55" s="867">
        <f t="shared" ca="1" si="52"/>
        <v>0</v>
      </c>
      <c r="X55" s="864">
        <f t="shared" si="12"/>
        <v>3</v>
      </c>
      <c r="Y55" s="867">
        <f t="shared" ca="1" si="52"/>
        <v>0</v>
      </c>
      <c r="Z55" s="864">
        <f t="shared" si="12"/>
        <v>3</v>
      </c>
      <c r="AA55" s="867">
        <f t="shared" ca="1" si="52"/>
        <v>0</v>
      </c>
      <c r="AB55" s="864">
        <f t="shared" si="16"/>
        <v>3</v>
      </c>
      <c r="AC55" s="867">
        <f t="shared" ca="1" si="53"/>
        <v>0</v>
      </c>
      <c r="AD55" s="864">
        <f t="shared" si="16"/>
        <v>3</v>
      </c>
      <c r="AE55" s="867">
        <f t="shared" ca="1" si="53"/>
        <v>0</v>
      </c>
      <c r="AF55" s="866">
        <f t="shared" si="20"/>
        <v>0</v>
      </c>
      <c r="AG55" s="866">
        <f t="shared" ca="1" si="54"/>
        <v>0</v>
      </c>
      <c r="AH55" s="866">
        <f t="shared" si="20"/>
        <v>0</v>
      </c>
      <c r="AI55" s="866">
        <f t="shared" ca="1" si="54"/>
        <v>0</v>
      </c>
      <c r="AJ55" s="866">
        <f t="shared" si="20"/>
        <v>0</v>
      </c>
      <c r="AK55" s="866">
        <f t="shared" ca="1" si="54"/>
        <v>0</v>
      </c>
      <c r="AL55" s="864">
        <f t="shared" si="26"/>
        <v>3</v>
      </c>
      <c r="AM55" s="867">
        <f t="shared" ca="1" si="55"/>
        <v>0</v>
      </c>
      <c r="AN55" s="864">
        <f t="shared" si="26"/>
        <v>3</v>
      </c>
      <c r="AO55" s="867">
        <f t="shared" ca="1" si="55"/>
        <v>0</v>
      </c>
      <c r="AP55" s="864">
        <f t="shared" si="26"/>
        <v>3</v>
      </c>
      <c r="AQ55" s="867">
        <f t="shared" ca="1" si="55"/>
        <v>0</v>
      </c>
      <c r="AR55" s="864">
        <f t="shared" si="26"/>
        <v>3</v>
      </c>
      <c r="AS55" s="867">
        <f t="shared" ca="1" si="55"/>
        <v>0</v>
      </c>
      <c r="AT55" s="864">
        <f t="shared" si="26"/>
        <v>3</v>
      </c>
      <c r="AU55" s="867">
        <f t="shared" ca="1" si="55"/>
        <v>0</v>
      </c>
      <c r="AV55" s="866">
        <f t="shared" si="36"/>
        <v>0</v>
      </c>
      <c r="AW55" s="866">
        <f t="shared" ca="1" si="56"/>
        <v>0</v>
      </c>
      <c r="AX55" s="866">
        <f t="shared" si="36"/>
        <v>0</v>
      </c>
      <c r="AY55" s="866">
        <f t="shared" ca="1" si="56"/>
        <v>0</v>
      </c>
      <c r="AZ55" s="864">
        <f t="shared" si="36"/>
        <v>3</v>
      </c>
      <c r="BA55" s="867">
        <f t="shared" ca="1" si="56"/>
        <v>0</v>
      </c>
      <c r="BB55" s="864">
        <f t="shared" si="36"/>
        <v>3</v>
      </c>
      <c r="BC55" s="867">
        <f t="shared" ca="1" si="56"/>
        <v>0</v>
      </c>
      <c r="BD55" s="864">
        <f t="shared" si="36"/>
        <v>3</v>
      </c>
      <c r="BE55" s="867">
        <f t="shared" ca="1" si="56"/>
        <v>0</v>
      </c>
      <c r="BF55" s="864">
        <f t="shared" si="36"/>
        <v>3</v>
      </c>
      <c r="BG55" s="867">
        <f t="shared" ca="1" si="56"/>
        <v>0</v>
      </c>
      <c r="BH55" s="864">
        <f t="shared" si="36"/>
        <v>3</v>
      </c>
      <c r="BI55" s="867">
        <f t="shared" ca="1" si="56"/>
        <v>0</v>
      </c>
      <c r="BJ55" s="866">
        <f t="shared" si="49"/>
        <v>0</v>
      </c>
      <c r="BK55" s="866">
        <f t="shared" ca="1" si="57"/>
        <v>0</v>
      </c>
      <c r="BL55" s="866">
        <f t="shared" si="50"/>
        <v>0</v>
      </c>
      <c r="BM55" s="866">
        <f t="shared" ca="1" si="58"/>
        <v>0</v>
      </c>
      <c r="BN55" s="864">
        <f t="shared" si="50"/>
        <v>3</v>
      </c>
      <c r="BO55" s="867">
        <f t="shared" ca="1" si="58"/>
        <v>0</v>
      </c>
    </row>
    <row r="56" spans="1:67" s="441" customFormat="1">
      <c r="A56" s="95"/>
      <c r="B56" s="744">
        <v>5</v>
      </c>
      <c r="C56" s="516" t="s">
        <v>1967</v>
      </c>
      <c r="D56" s="516" t="s">
        <v>1959</v>
      </c>
      <c r="E56" s="516"/>
      <c r="F56" s="866">
        <f t="shared" si="48"/>
        <v>0</v>
      </c>
      <c r="G56" s="866">
        <f t="shared" ca="1" si="51"/>
        <v>0</v>
      </c>
      <c r="H56" s="743">
        <f t="shared" si="48"/>
        <v>1</v>
      </c>
      <c r="I56" s="747">
        <f t="shared" ca="1" si="51"/>
        <v>0</v>
      </c>
      <c r="J56" s="864">
        <f t="shared" si="48"/>
        <v>1</v>
      </c>
      <c r="K56" s="867">
        <f t="shared" ca="1" si="51"/>
        <v>0</v>
      </c>
      <c r="L56" s="864">
        <f t="shared" si="48"/>
        <v>1</v>
      </c>
      <c r="M56" s="867">
        <f t="shared" ca="1" si="51"/>
        <v>0</v>
      </c>
      <c r="N56" s="864">
        <f t="shared" si="48"/>
        <v>2</v>
      </c>
      <c r="O56" s="867">
        <f t="shared" ca="1" si="51"/>
        <v>0</v>
      </c>
      <c r="P56" s="864">
        <f t="shared" si="48"/>
        <v>2</v>
      </c>
      <c r="Q56" s="867">
        <f t="shared" ca="1" si="51"/>
        <v>0</v>
      </c>
      <c r="R56" s="864">
        <f t="shared" si="48"/>
        <v>1</v>
      </c>
      <c r="S56" s="867">
        <f t="shared" ca="1" si="51"/>
        <v>0</v>
      </c>
      <c r="T56" s="866">
        <f t="shared" si="48"/>
        <v>0</v>
      </c>
      <c r="U56" s="866">
        <f t="shared" ca="1" si="51"/>
        <v>0</v>
      </c>
      <c r="V56" s="864">
        <f t="shared" si="12"/>
        <v>2</v>
      </c>
      <c r="W56" s="867">
        <f t="shared" ca="1" si="52"/>
        <v>0</v>
      </c>
      <c r="X56" s="864">
        <f t="shared" si="12"/>
        <v>2</v>
      </c>
      <c r="Y56" s="867">
        <f t="shared" ca="1" si="52"/>
        <v>0</v>
      </c>
      <c r="Z56" s="864">
        <f t="shared" si="12"/>
        <v>2</v>
      </c>
      <c r="AA56" s="867">
        <f t="shared" ca="1" si="52"/>
        <v>0</v>
      </c>
      <c r="AB56" s="864">
        <f t="shared" si="16"/>
        <v>2</v>
      </c>
      <c r="AC56" s="867">
        <f t="shared" ca="1" si="53"/>
        <v>0</v>
      </c>
      <c r="AD56" s="864">
        <f t="shared" si="16"/>
        <v>1</v>
      </c>
      <c r="AE56" s="867">
        <f t="shared" ca="1" si="53"/>
        <v>0</v>
      </c>
      <c r="AF56" s="866">
        <f t="shared" si="20"/>
        <v>0</v>
      </c>
      <c r="AG56" s="866">
        <f t="shared" ca="1" si="54"/>
        <v>0</v>
      </c>
      <c r="AH56" s="866">
        <f t="shared" si="20"/>
        <v>0</v>
      </c>
      <c r="AI56" s="866">
        <f t="shared" ca="1" si="54"/>
        <v>0</v>
      </c>
      <c r="AJ56" s="866">
        <f t="shared" si="20"/>
        <v>0</v>
      </c>
      <c r="AK56" s="866">
        <f t="shared" ca="1" si="54"/>
        <v>0</v>
      </c>
      <c r="AL56" s="864">
        <f t="shared" si="26"/>
        <v>3</v>
      </c>
      <c r="AM56" s="867">
        <f t="shared" ca="1" si="55"/>
        <v>0</v>
      </c>
      <c r="AN56" s="864">
        <f t="shared" si="26"/>
        <v>2</v>
      </c>
      <c r="AO56" s="867">
        <f t="shared" ca="1" si="55"/>
        <v>0</v>
      </c>
      <c r="AP56" s="864">
        <f t="shared" si="26"/>
        <v>2</v>
      </c>
      <c r="AQ56" s="867">
        <f t="shared" ca="1" si="55"/>
        <v>0</v>
      </c>
      <c r="AR56" s="864">
        <f t="shared" si="26"/>
        <v>2</v>
      </c>
      <c r="AS56" s="867">
        <f t="shared" ca="1" si="55"/>
        <v>0</v>
      </c>
      <c r="AT56" s="864">
        <f t="shared" si="26"/>
        <v>2</v>
      </c>
      <c r="AU56" s="867">
        <f t="shared" ca="1" si="55"/>
        <v>0</v>
      </c>
      <c r="AV56" s="866">
        <f t="shared" si="36"/>
        <v>0</v>
      </c>
      <c r="AW56" s="866">
        <f t="shared" ca="1" si="56"/>
        <v>0</v>
      </c>
      <c r="AX56" s="866">
        <f t="shared" si="36"/>
        <v>0</v>
      </c>
      <c r="AY56" s="866">
        <f t="shared" ca="1" si="56"/>
        <v>0</v>
      </c>
      <c r="AZ56" s="864">
        <f t="shared" si="36"/>
        <v>2</v>
      </c>
      <c r="BA56" s="867">
        <f t="shared" ca="1" si="56"/>
        <v>0</v>
      </c>
      <c r="BB56" s="864">
        <f t="shared" si="36"/>
        <v>2</v>
      </c>
      <c r="BC56" s="867">
        <f t="shared" ca="1" si="56"/>
        <v>0</v>
      </c>
      <c r="BD56" s="864">
        <f t="shared" si="36"/>
        <v>2</v>
      </c>
      <c r="BE56" s="867">
        <f t="shared" ca="1" si="56"/>
        <v>0</v>
      </c>
      <c r="BF56" s="864">
        <f t="shared" si="36"/>
        <v>2</v>
      </c>
      <c r="BG56" s="867">
        <f t="shared" ca="1" si="56"/>
        <v>0</v>
      </c>
      <c r="BH56" s="864">
        <f t="shared" si="36"/>
        <v>2</v>
      </c>
      <c r="BI56" s="867">
        <f t="shared" ca="1" si="56"/>
        <v>0</v>
      </c>
      <c r="BJ56" s="866">
        <f t="shared" si="49"/>
        <v>0</v>
      </c>
      <c r="BK56" s="866">
        <f t="shared" ca="1" si="57"/>
        <v>0</v>
      </c>
      <c r="BL56" s="866">
        <f t="shared" si="50"/>
        <v>0</v>
      </c>
      <c r="BM56" s="866">
        <f t="shared" ca="1" si="58"/>
        <v>0</v>
      </c>
      <c r="BN56" s="864">
        <f t="shared" si="50"/>
        <v>2</v>
      </c>
      <c r="BO56" s="867">
        <f t="shared" ca="1" si="58"/>
        <v>0</v>
      </c>
    </row>
    <row r="57" spans="1:67">
      <c r="B57" s="744">
        <v>6</v>
      </c>
      <c r="C57" s="516" t="s">
        <v>1968</v>
      </c>
      <c r="D57" s="516" t="s">
        <v>1973</v>
      </c>
      <c r="E57" s="516"/>
      <c r="F57" s="866">
        <f t="shared" si="48"/>
        <v>0</v>
      </c>
      <c r="G57" s="866">
        <f t="shared" ca="1" si="51"/>
        <v>0</v>
      </c>
      <c r="H57" s="743">
        <f t="shared" si="48"/>
        <v>0</v>
      </c>
      <c r="I57" s="747">
        <f t="shared" ca="1" si="51"/>
        <v>0</v>
      </c>
      <c r="J57" s="864">
        <f t="shared" si="48"/>
        <v>0</v>
      </c>
      <c r="K57" s="867">
        <f t="shared" ca="1" si="51"/>
        <v>0</v>
      </c>
      <c r="L57" s="864">
        <f t="shared" si="48"/>
        <v>0</v>
      </c>
      <c r="M57" s="867">
        <f t="shared" ca="1" si="51"/>
        <v>0</v>
      </c>
      <c r="N57" s="864">
        <f t="shared" si="48"/>
        <v>0</v>
      </c>
      <c r="O57" s="867">
        <f t="shared" ca="1" si="51"/>
        <v>0</v>
      </c>
      <c r="P57" s="864">
        <f t="shared" si="48"/>
        <v>0</v>
      </c>
      <c r="Q57" s="867">
        <f t="shared" ca="1" si="51"/>
        <v>0</v>
      </c>
      <c r="R57" s="864">
        <f t="shared" si="48"/>
        <v>0</v>
      </c>
      <c r="S57" s="867">
        <f t="shared" ca="1" si="51"/>
        <v>0</v>
      </c>
      <c r="T57" s="866">
        <f t="shared" si="48"/>
        <v>0</v>
      </c>
      <c r="U57" s="866">
        <f t="shared" ca="1" si="51"/>
        <v>0</v>
      </c>
      <c r="V57" s="864">
        <f t="shared" si="12"/>
        <v>0</v>
      </c>
      <c r="W57" s="867">
        <f t="shared" ca="1" si="52"/>
        <v>0</v>
      </c>
      <c r="X57" s="864">
        <f t="shared" si="12"/>
        <v>0</v>
      </c>
      <c r="Y57" s="867">
        <f t="shared" ca="1" si="52"/>
        <v>0</v>
      </c>
      <c r="Z57" s="864">
        <f t="shared" si="12"/>
        <v>0</v>
      </c>
      <c r="AA57" s="867">
        <f t="shared" ca="1" si="52"/>
        <v>0</v>
      </c>
      <c r="AB57" s="864">
        <f t="shared" si="16"/>
        <v>0</v>
      </c>
      <c r="AC57" s="867">
        <f t="shared" ca="1" si="53"/>
        <v>0</v>
      </c>
      <c r="AD57" s="864">
        <f t="shared" si="16"/>
        <v>0</v>
      </c>
      <c r="AE57" s="867">
        <f t="shared" ca="1" si="53"/>
        <v>0</v>
      </c>
      <c r="AF57" s="866">
        <f t="shared" si="20"/>
        <v>0</v>
      </c>
      <c r="AG57" s="866">
        <f t="shared" ca="1" si="54"/>
        <v>0</v>
      </c>
      <c r="AH57" s="866">
        <f t="shared" si="20"/>
        <v>0</v>
      </c>
      <c r="AI57" s="866">
        <f t="shared" ca="1" si="54"/>
        <v>0</v>
      </c>
      <c r="AJ57" s="866">
        <f t="shared" si="20"/>
        <v>0</v>
      </c>
      <c r="AK57" s="866">
        <f t="shared" ca="1" si="54"/>
        <v>0</v>
      </c>
      <c r="AL57" s="864">
        <f t="shared" si="26"/>
        <v>0</v>
      </c>
      <c r="AM57" s="867">
        <f t="shared" ca="1" si="55"/>
        <v>0</v>
      </c>
      <c r="AN57" s="864">
        <f t="shared" si="26"/>
        <v>0</v>
      </c>
      <c r="AO57" s="867">
        <f t="shared" ca="1" si="55"/>
        <v>0</v>
      </c>
      <c r="AP57" s="864">
        <f t="shared" si="26"/>
        <v>0</v>
      </c>
      <c r="AQ57" s="867">
        <f t="shared" ca="1" si="55"/>
        <v>0</v>
      </c>
      <c r="AR57" s="864">
        <f t="shared" si="26"/>
        <v>0</v>
      </c>
      <c r="AS57" s="867">
        <f t="shared" ca="1" si="55"/>
        <v>0</v>
      </c>
      <c r="AT57" s="864">
        <f t="shared" si="26"/>
        <v>0</v>
      </c>
      <c r="AU57" s="867">
        <f t="shared" ca="1" si="55"/>
        <v>0</v>
      </c>
      <c r="AV57" s="866">
        <f t="shared" si="36"/>
        <v>0</v>
      </c>
      <c r="AW57" s="866">
        <f t="shared" ca="1" si="56"/>
        <v>0</v>
      </c>
      <c r="AX57" s="866">
        <f t="shared" si="36"/>
        <v>0</v>
      </c>
      <c r="AY57" s="866">
        <f t="shared" ca="1" si="56"/>
        <v>0</v>
      </c>
      <c r="AZ57" s="864">
        <f t="shared" si="36"/>
        <v>0</v>
      </c>
      <c r="BA57" s="867">
        <f t="shared" ca="1" si="56"/>
        <v>0</v>
      </c>
      <c r="BB57" s="864">
        <f t="shared" si="36"/>
        <v>0</v>
      </c>
      <c r="BC57" s="867">
        <f t="shared" ca="1" si="56"/>
        <v>0</v>
      </c>
      <c r="BD57" s="864">
        <f t="shared" si="36"/>
        <v>0</v>
      </c>
      <c r="BE57" s="867">
        <f t="shared" ca="1" si="56"/>
        <v>0</v>
      </c>
      <c r="BF57" s="864">
        <f t="shared" si="36"/>
        <v>0</v>
      </c>
      <c r="BG57" s="867">
        <f t="shared" ca="1" si="56"/>
        <v>0</v>
      </c>
      <c r="BH57" s="864">
        <f t="shared" si="36"/>
        <v>0</v>
      </c>
      <c r="BI57" s="867">
        <f t="shared" ca="1" si="56"/>
        <v>0</v>
      </c>
      <c r="BJ57" s="866">
        <f t="shared" si="49"/>
        <v>0</v>
      </c>
      <c r="BK57" s="866">
        <f t="shared" ca="1" si="57"/>
        <v>0</v>
      </c>
      <c r="BL57" s="866">
        <f t="shared" si="50"/>
        <v>0</v>
      </c>
      <c r="BM57" s="866">
        <f t="shared" ca="1" si="58"/>
        <v>0</v>
      </c>
      <c r="BN57" s="864">
        <f t="shared" si="50"/>
        <v>0</v>
      </c>
      <c r="BO57" s="867">
        <f t="shared" ca="1" si="58"/>
        <v>0</v>
      </c>
    </row>
    <row r="58" spans="1:67">
      <c r="B58" s="744">
        <v>7</v>
      </c>
      <c r="C58" s="516" t="s">
        <v>1969</v>
      </c>
      <c r="D58" s="516" t="s">
        <v>1960</v>
      </c>
      <c r="E58" s="516"/>
      <c r="F58" s="866">
        <f t="shared" si="48"/>
        <v>0</v>
      </c>
      <c r="G58" s="866">
        <f t="shared" ca="1" si="51"/>
        <v>0</v>
      </c>
      <c r="H58" s="743">
        <f t="shared" si="48"/>
        <v>0</v>
      </c>
      <c r="I58" s="747">
        <f t="shared" ca="1" si="51"/>
        <v>0</v>
      </c>
      <c r="J58" s="864">
        <f t="shared" si="48"/>
        <v>0</v>
      </c>
      <c r="K58" s="867">
        <f t="shared" ca="1" si="51"/>
        <v>0</v>
      </c>
      <c r="L58" s="864">
        <f t="shared" si="48"/>
        <v>0</v>
      </c>
      <c r="M58" s="867">
        <f t="shared" ca="1" si="51"/>
        <v>0</v>
      </c>
      <c r="N58" s="864">
        <f t="shared" si="48"/>
        <v>0</v>
      </c>
      <c r="O58" s="867">
        <f t="shared" ca="1" si="51"/>
        <v>0</v>
      </c>
      <c r="P58" s="864">
        <f t="shared" si="48"/>
        <v>0</v>
      </c>
      <c r="Q58" s="867">
        <f t="shared" ca="1" si="51"/>
        <v>0</v>
      </c>
      <c r="R58" s="864">
        <f t="shared" si="48"/>
        <v>0</v>
      </c>
      <c r="S58" s="867">
        <f t="shared" ca="1" si="51"/>
        <v>0</v>
      </c>
      <c r="T58" s="866">
        <f t="shared" si="48"/>
        <v>0</v>
      </c>
      <c r="U58" s="866">
        <f t="shared" ca="1" si="51"/>
        <v>0</v>
      </c>
      <c r="V58" s="864">
        <f t="shared" si="12"/>
        <v>0</v>
      </c>
      <c r="W58" s="867">
        <f t="shared" ca="1" si="52"/>
        <v>0</v>
      </c>
      <c r="X58" s="864">
        <f t="shared" si="12"/>
        <v>0</v>
      </c>
      <c r="Y58" s="867">
        <f t="shared" ca="1" si="52"/>
        <v>0</v>
      </c>
      <c r="Z58" s="864">
        <f t="shared" si="12"/>
        <v>0</v>
      </c>
      <c r="AA58" s="867">
        <f t="shared" ca="1" si="52"/>
        <v>0</v>
      </c>
      <c r="AB58" s="864">
        <f t="shared" si="16"/>
        <v>0</v>
      </c>
      <c r="AC58" s="867">
        <f t="shared" ca="1" si="53"/>
        <v>0</v>
      </c>
      <c r="AD58" s="864">
        <f t="shared" si="16"/>
        <v>0</v>
      </c>
      <c r="AE58" s="867">
        <f t="shared" ca="1" si="53"/>
        <v>0</v>
      </c>
      <c r="AF58" s="866">
        <f t="shared" si="20"/>
        <v>0</v>
      </c>
      <c r="AG58" s="866">
        <f t="shared" ca="1" si="54"/>
        <v>0</v>
      </c>
      <c r="AH58" s="866">
        <f t="shared" si="20"/>
        <v>0</v>
      </c>
      <c r="AI58" s="866">
        <f t="shared" ca="1" si="54"/>
        <v>0</v>
      </c>
      <c r="AJ58" s="866">
        <f t="shared" si="20"/>
        <v>0</v>
      </c>
      <c r="AK58" s="866">
        <f t="shared" ca="1" si="54"/>
        <v>0</v>
      </c>
      <c r="AL58" s="864">
        <f t="shared" si="26"/>
        <v>0</v>
      </c>
      <c r="AM58" s="867">
        <f t="shared" ca="1" si="55"/>
        <v>0</v>
      </c>
      <c r="AN58" s="864">
        <f t="shared" si="26"/>
        <v>1</v>
      </c>
      <c r="AO58" s="867">
        <f t="shared" ca="1" si="55"/>
        <v>0</v>
      </c>
      <c r="AP58" s="864">
        <f t="shared" si="26"/>
        <v>1</v>
      </c>
      <c r="AQ58" s="867">
        <f t="shared" ca="1" si="55"/>
        <v>0</v>
      </c>
      <c r="AR58" s="864">
        <f t="shared" si="26"/>
        <v>1</v>
      </c>
      <c r="AS58" s="867">
        <f t="shared" ca="1" si="55"/>
        <v>0</v>
      </c>
      <c r="AT58" s="864">
        <f t="shared" si="26"/>
        <v>1</v>
      </c>
      <c r="AU58" s="867">
        <f t="shared" ca="1" si="55"/>
        <v>0</v>
      </c>
      <c r="AV58" s="866">
        <f t="shared" si="36"/>
        <v>0</v>
      </c>
      <c r="AW58" s="866">
        <f t="shared" ca="1" si="56"/>
        <v>0</v>
      </c>
      <c r="AX58" s="866">
        <f t="shared" si="36"/>
        <v>0</v>
      </c>
      <c r="AY58" s="866">
        <f t="shared" ca="1" si="56"/>
        <v>0</v>
      </c>
      <c r="AZ58" s="864">
        <f t="shared" si="36"/>
        <v>1</v>
      </c>
      <c r="BA58" s="867">
        <f t="shared" ca="1" si="56"/>
        <v>0</v>
      </c>
      <c r="BB58" s="864">
        <f t="shared" si="36"/>
        <v>1</v>
      </c>
      <c r="BC58" s="867">
        <f t="shared" ca="1" si="56"/>
        <v>0</v>
      </c>
      <c r="BD58" s="864">
        <f t="shared" si="36"/>
        <v>1</v>
      </c>
      <c r="BE58" s="867">
        <f t="shared" ca="1" si="56"/>
        <v>0</v>
      </c>
      <c r="BF58" s="864">
        <f t="shared" si="36"/>
        <v>1</v>
      </c>
      <c r="BG58" s="867">
        <f t="shared" ca="1" si="56"/>
        <v>0</v>
      </c>
      <c r="BH58" s="864">
        <f t="shared" si="36"/>
        <v>1</v>
      </c>
      <c r="BI58" s="867">
        <f t="shared" ca="1" si="56"/>
        <v>0</v>
      </c>
      <c r="BJ58" s="866">
        <f t="shared" si="49"/>
        <v>0</v>
      </c>
      <c r="BK58" s="866">
        <f t="shared" ca="1" si="57"/>
        <v>0</v>
      </c>
      <c r="BL58" s="866">
        <f t="shared" si="50"/>
        <v>0</v>
      </c>
      <c r="BM58" s="866">
        <f t="shared" ca="1" si="58"/>
        <v>0</v>
      </c>
      <c r="BN58" s="864">
        <f t="shared" si="50"/>
        <v>1</v>
      </c>
      <c r="BO58" s="867">
        <f t="shared" ca="1" si="58"/>
        <v>0</v>
      </c>
    </row>
    <row r="59" spans="1:67">
      <c r="B59" s="744">
        <v>8</v>
      </c>
      <c r="C59" s="516" t="s">
        <v>104</v>
      </c>
      <c r="D59" s="516" t="s">
        <v>1961</v>
      </c>
      <c r="E59" s="516"/>
      <c r="F59" s="866">
        <f t="shared" si="48"/>
        <v>0</v>
      </c>
      <c r="G59" s="866">
        <f t="shared" ca="1" si="51"/>
        <v>0</v>
      </c>
      <c r="H59" s="743">
        <f t="shared" si="48"/>
        <v>0</v>
      </c>
      <c r="I59" s="747">
        <f t="shared" ca="1" si="51"/>
        <v>0</v>
      </c>
      <c r="J59" s="864">
        <f t="shared" si="48"/>
        <v>1</v>
      </c>
      <c r="K59" s="867">
        <f t="shared" ca="1" si="51"/>
        <v>0</v>
      </c>
      <c r="L59" s="864">
        <f t="shared" si="48"/>
        <v>2</v>
      </c>
      <c r="M59" s="867">
        <f t="shared" ca="1" si="51"/>
        <v>0</v>
      </c>
      <c r="N59" s="864">
        <f t="shared" si="48"/>
        <v>3</v>
      </c>
      <c r="O59" s="867">
        <f t="shared" ca="1" si="51"/>
        <v>0</v>
      </c>
      <c r="P59" s="864">
        <f t="shared" si="48"/>
        <v>3</v>
      </c>
      <c r="Q59" s="867">
        <f t="shared" ca="1" si="51"/>
        <v>0</v>
      </c>
      <c r="R59" s="864">
        <f t="shared" si="48"/>
        <v>3</v>
      </c>
      <c r="S59" s="867">
        <f t="shared" ca="1" si="51"/>
        <v>0</v>
      </c>
      <c r="T59" s="866">
        <f t="shared" si="48"/>
        <v>0</v>
      </c>
      <c r="U59" s="866">
        <f t="shared" ca="1" si="51"/>
        <v>0</v>
      </c>
      <c r="V59" s="864">
        <f t="shared" si="12"/>
        <v>3</v>
      </c>
      <c r="W59" s="867">
        <f t="shared" ca="1" si="52"/>
        <v>0</v>
      </c>
      <c r="X59" s="864">
        <f t="shared" si="12"/>
        <v>3</v>
      </c>
      <c r="Y59" s="867">
        <f t="shared" ca="1" si="52"/>
        <v>0</v>
      </c>
      <c r="Z59" s="864">
        <f t="shared" si="12"/>
        <v>3</v>
      </c>
      <c r="AA59" s="867">
        <f t="shared" ca="1" si="52"/>
        <v>0</v>
      </c>
      <c r="AB59" s="864">
        <f t="shared" si="16"/>
        <v>2</v>
      </c>
      <c r="AC59" s="867">
        <f t="shared" ca="1" si="53"/>
        <v>0</v>
      </c>
      <c r="AD59" s="864">
        <f t="shared" si="16"/>
        <v>2</v>
      </c>
      <c r="AE59" s="867">
        <f t="shared" ca="1" si="53"/>
        <v>0</v>
      </c>
      <c r="AF59" s="866">
        <f t="shared" si="20"/>
        <v>0</v>
      </c>
      <c r="AG59" s="866">
        <f t="shared" ca="1" si="54"/>
        <v>0</v>
      </c>
      <c r="AH59" s="866">
        <f t="shared" si="20"/>
        <v>0</v>
      </c>
      <c r="AI59" s="866">
        <f t="shared" ca="1" si="54"/>
        <v>0</v>
      </c>
      <c r="AJ59" s="866">
        <f t="shared" si="20"/>
        <v>0</v>
      </c>
      <c r="AK59" s="866">
        <f t="shared" ca="1" si="54"/>
        <v>0</v>
      </c>
      <c r="AL59" s="864">
        <f t="shared" si="26"/>
        <v>2</v>
      </c>
      <c r="AM59" s="867">
        <f t="shared" ca="1" si="55"/>
        <v>0</v>
      </c>
      <c r="AN59" s="864">
        <f t="shared" si="26"/>
        <v>2</v>
      </c>
      <c r="AO59" s="867">
        <f t="shared" ca="1" si="55"/>
        <v>0</v>
      </c>
      <c r="AP59" s="864">
        <f t="shared" si="26"/>
        <v>2</v>
      </c>
      <c r="AQ59" s="867">
        <f t="shared" ca="1" si="55"/>
        <v>0</v>
      </c>
      <c r="AR59" s="864">
        <f t="shared" si="26"/>
        <v>2</v>
      </c>
      <c r="AS59" s="867">
        <f t="shared" ca="1" si="55"/>
        <v>0</v>
      </c>
      <c r="AT59" s="864">
        <f t="shared" si="26"/>
        <v>2</v>
      </c>
      <c r="AU59" s="867">
        <f t="shared" ca="1" si="55"/>
        <v>0</v>
      </c>
      <c r="AV59" s="866">
        <f t="shared" si="36"/>
        <v>0</v>
      </c>
      <c r="AW59" s="866">
        <f t="shared" ca="1" si="56"/>
        <v>0</v>
      </c>
      <c r="AX59" s="866">
        <f t="shared" si="36"/>
        <v>0</v>
      </c>
      <c r="AY59" s="866">
        <f t="shared" ca="1" si="56"/>
        <v>0</v>
      </c>
      <c r="AZ59" s="864">
        <f t="shared" si="36"/>
        <v>2</v>
      </c>
      <c r="BA59" s="867">
        <f t="shared" ca="1" si="56"/>
        <v>0</v>
      </c>
      <c r="BB59" s="864">
        <f t="shared" si="36"/>
        <v>2</v>
      </c>
      <c r="BC59" s="867">
        <f t="shared" ca="1" si="56"/>
        <v>0</v>
      </c>
      <c r="BD59" s="864">
        <f t="shared" si="36"/>
        <v>2</v>
      </c>
      <c r="BE59" s="867">
        <f t="shared" ca="1" si="56"/>
        <v>0</v>
      </c>
      <c r="BF59" s="864">
        <f t="shared" si="36"/>
        <v>2</v>
      </c>
      <c r="BG59" s="867">
        <f t="shared" ca="1" si="56"/>
        <v>0</v>
      </c>
      <c r="BH59" s="864">
        <f t="shared" si="36"/>
        <v>2</v>
      </c>
      <c r="BI59" s="867">
        <f t="shared" ca="1" si="56"/>
        <v>0</v>
      </c>
      <c r="BJ59" s="866">
        <f t="shared" si="49"/>
        <v>0</v>
      </c>
      <c r="BK59" s="866">
        <f t="shared" ca="1" si="57"/>
        <v>0</v>
      </c>
      <c r="BL59" s="866">
        <f t="shared" si="50"/>
        <v>0</v>
      </c>
      <c r="BM59" s="866">
        <f t="shared" ca="1" si="58"/>
        <v>0</v>
      </c>
      <c r="BN59" s="864">
        <f t="shared" si="50"/>
        <v>2</v>
      </c>
      <c r="BO59" s="867">
        <f t="shared" ca="1" si="58"/>
        <v>0</v>
      </c>
    </row>
    <row r="60" spans="1:67">
      <c r="B60" s="744">
        <v>9</v>
      </c>
      <c r="C60" s="516" t="s">
        <v>1970</v>
      </c>
      <c r="D60" s="516" t="s">
        <v>1962</v>
      </c>
      <c r="E60" s="516"/>
      <c r="F60" s="866">
        <f t="shared" si="48"/>
        <v>0</v>
      </c>
      <c r="G60" s="866">
        <f t="shared" ca="1" si="51"/>
        <v>0</v>
      </c>
      <c r="H60" s="743">
        <f t="shared" si="48"/>
        <v>0</v>
      </c>
      <c r="I60" s="747">
        <f t="shared" ca="1" si="51"/>
        <v>0</v>
      </c>
      <c r="J60" s="864">
        <f t="shared" si="48"/>
        <v>0</v>
      </c>
      <c r="K60" s="867">
        <f t="shared" ca="1" si="51"/>
        <v>0</v>
      </c>
      <c r="L60" s="864">
        <f t="shared" si="48"/>
        <v>0</v>
      </c>
      <c r="M60" s="867">
        <f t="shared" ca="1" si="51"/>
        <v>0</v>
      </c>
      <c r="N60" s="864">
        <f t="shared" si="48"/>
        <v>0</v>
      </c>
      <c r="O60" s="867">
        <f t="shared" ca="1" si="51"/>
        <v>0</v>
      </c>
      <c r="P60" s="864">
        <f t="shared" si="48"/>
        <v>0</v>
      </c>
      <c r="Q60" s="867">
        <f t="shared" ca="1" si="51"/>
        <v>0</v>
      </c>
      <c r="R60" s="864">
        <f t="shared" si="48"/>
        <v>0</v>
      </c>
      <c r="S60" s="867">
        <f t="shared" ca="1" si="51"/>
        <v>0</v>
      </c>
      <c r="T60" s="866">
        <f t="shared" si="48"/>
        <v>0</v>
      </c>
      <c r="U60" s="866">
        <f t="shared" ca="1" si="51"/>
        <v>0</v>
      </c>
      <c r="V60" s="864">
        <f t="shared" si="12"/>
        <v>0</v>
      </c>
      <c r="W60" s="867">
        <f t="shared" ca="1" si="52"/>
        <v>0</v>
      </c>
      <c r="X60" s="864">
        <f t="shared" si="12"/>
        <v>0</v>
      </c>
      <c r="Y60" s="867">
        <f t="shared" ca="1" si="52"/>
        <v>0</v>
      </c>
      <c r="Z60" s="864">
        <f t="shared" si="12"/>
        <v>0</v>
      </c>
      <c r="AA60" s="867">
        <f t="shared" ca="1" si="52"/>
        <v>0</v>
      </c>
      <c r="AB60" s="864">
        <f t="shared" si="16"/>
        <v>0</v>
      </c>
      <c r="AC60" s="867">
        <f t="shared" ca="1" si="53"/>
        <v>0</v>
      </c>
      <c r="AD60" s="864">
        <f t="shared" si="16"/>
        <v>0</v>
      </c>
      <c r="AE60" s="867">
        <f t="shared" ca="1" si="53"/>
        <v>0</v>
      </c>
      <c r="AF60" s="866">
        <f t="shared" si="20"/>
        <v>0</v>
      </c>
      <c r="AG60" s="866">
        <f t="shared" ca="1" si="54"/>
        <v>0</v>
      </c>
      <c r="AH60" s="866">
        <f t="shared" si="20"/>
        <v>0</v>
      </c>
      <c r="AI60" s="866">
        <f t="shared" ca="1" si="54"/>
        <v>0</v>
      </c>
      <c r="AJ60" s="866">
        <f t="shared" si="20"/>
        <v>0</v>
      </c>
      <c r="AK60" s="866">
        <f t="shared" ca="1" si="54"/>
        <v>0</v>
      </c>
      <c r="AL60" s="864">
        <f t="shared" si="26"/>
        <v>0</v>
      </c>
      <c r="AM60" s="867">
        <f t="shared" ca="1" si="55"/>
        <v>0</v>
      </c>
      <c r="AN60" s="864">
        <f t="shared" si="26"/>
        <v>0</v>
      </c>
      <c r="AO60" s="867">
        <f t="shared" ca="1" si="55"/>
        <v>0</v>
      </c>
      <c r="AP60" s="864">
        <f t="shared" si="26"/>
        <v>0</v>
      </c>
      <c r="AQ60" s="867">
        <f t="shared" ca="1" si="55"/>
        <v>0</v>
      </c>
      <c r="AR60" s="864">
        <f t="shared" si="26"/>
        <v>0</v>
      </c>
      <c r="AS60" s="867">
        <f t="shared" ca="1" si="55"/>
        <v>0</v>
      </c>
      <c r="AT60" s="864">
        <f t="shared" si="26"/>
        <v>0</v>
      </c>
      <c r="AU60" s="867">
        <f t="shared" ca="1" si="55"/>
        <v>0</v>
      </c>
      <c r="AV60" s="866">
        <f t="shared" si="36"/>
        <v>0</v>
      </c>
      <c r="AW60" s="866">
        <f t="shared" ca="1" si="56"/>
        <v>0</v>
      </c>
      <c r="AX60" s="866">
        <f t="shared" si="36"/>
        <v>0</v>
      </c>
      <c r="AY60" s="866">
        <f t="shared" ca="1" si="56"/>
        <v>0</v>
      </c>
      <c r="AZ60" s="864">
        <f t="shared" si="36"/>
        <v>0</v>
      </c>
      <c r="BA60" s="867">
        <f t="shared" ca="1" si="56"/>
        <v>0</v>
      </c>
      <c r="BB60" s="864">
        <f t="shared" si="36"/>
        <v>0</v>
      </c>
      <c r="BC60" s="867">
        <f t="shared" ca="1" si="56"/>
        <v>0</v>
      </c>
      <c r="BD60" s="864">
        <f t="shared" si="36"/>
        <v>0</v>
      </c>
      <c r="BE60" s="867">
        <f t="shared" ca="1" si="56"/>
        <v>0</v>
      </c>
      <c r="BF60" s="864">
        <f t="shared" si="36"/>
        <v>0</v>
      </c>
      <c r="BG60" s="867">
        <f t="shared" ca="1" si="56"/>
        <v>0</v>
      </c>
      <c r="BH60" s="864">
        <f t="shared" si="36"/>
        <v>0</v>
      </c>
      <c r="BI60" s="867">
        <f t="shared" ca="1" si="56"/>
        <v>0</v>
      </c>
      <c r="BJ60" s="866">
        <f t="shared" si="49"/>
        <v>0</v>
      </c>
      <c r="BK60" s="866">
        <f t="shared" ca="1" si="57"/>
        <v>0</v>
      </c>
      <c r="BL60" s="866">
        <f t="shared" si="50"/>
        <v>0</v>
      </c>
      <c r="BM60" s="866">
        <f t="shared" ca="1" si="58"/>
        <v>0</v>
      </c>
      <c r="BN60" s="864">
        <f t="shared" si="50"/>
        <v>0</v>
      </c>
      <c r="BO60" s="867">
        <f t="shared" ca="1" si="58"/>
        <v>0</v>
      </c>
    </row>
    <row r="61" spans="1:67">
      <c r="B61" s="744">
        <v>10</v>
      </c>
      <c r="C61" s="516" t="s">
        <v>1971</v>
      </c>
      <c r="D61" s="516" t="s">
        <v>1963</v>
      </c>
      <c r="E61" s="516"/>
      <c r="F61" s="866">
        <f t="shared" si="48"/>
        <v>0</v>
      </c>
      <c r="G61" s="866">
        <f t="shared" ca="1" si="51"/>
        <v>0</v>
      </c>
      <c r="H61" s="743">
        <f t="shared" si="48"/>
        <v>16</v>
      </c>
      <c r="I61" s="747">
        <f t="shared" ca="1" si="51"/>
        <v>0</v>
      </c>
      <c r="J61" s="864">
        <f t="shared" si="48"/>
        <v>15</v>
      </c>
      <c r="K61" s="867">
        <f t="shared" ca="1" si="51"/>
        <v>0</v>
      </c>
      <c r="L61" s="864">
        <f t="shared" si="48"/>
        <v>14</v>
      </c>
      <c r="M61" s="867">
        <f t="shared" ca="1" si="51"/>
        <v>0</v>
      </c>
      <c r="N61" s="864">
        <f t="shared" si="48"/>
        <v>14</v>
      </c>
      <c r="O61" s="867">
        <f t="shared" ca="1" si="51"/>
        <v>0</v>
      </c>
      <c r="P61" s="864">
        <f t="shared" si="48"/>
        <v>16</v>
      </c>
      <c r="Q61" s="867">
        <f t="shared" ca="1" si="51"/>
        <v>0</v>
      </c>
      <c r="R61" s="864">
        <f t="shared" si="48"/>
        <v>17</v>
      </c>
      <c r="S61" s="867">
        <f t="shared" ca="1" si="51"/>
        <v>0</v>
      </c>
      <c r="T61" s="866">
        <f t="shared" si="48"/>
        <v>0</v>
      </c>
      <c r="U61" s="866">
        <f t="shared" ca="1" si="51"/>
        <v>0</v>
      </c>
      <c r="V61" s="864">
        <f t="shared" si="12"/>
        <v>18</v>
      </c>
      <c r="W61" s="867">
        <f t="shared" ca="1" si="52"/>
        <v>0</v>
      </c>
      <c r="X61" s="864">
        <f t="shared" si="12"/>
        <v>19</v>
      </c>
      <c r="Y61" s="867">
        <f t="shared" ca="1" si="52"/>
        <v>0</v>
      </c>
      <c r="Z61" s="864">
        <f t="shared" si="12"/>
        <v>18</v>
      </c>
      <c r="AA61" s="867">
        <f t="shared" ca="1" si="52"/>
        <v>0</v>
      </c>
      <c r="AB61" s="864">
        <f t="shared" si="16"/>
        <v>18</v>
      </c>
      <c r="AC61" s="867">
        <f t="shared" ca="1" si="53"/>
        <v>0</v>
      </c>
      <c r="AD61" s="864">
        <f t="shared" si="16"/>
        <v>18</v>
      </c>
      <c r="AE61" s="867">
        <f t="shared" ca="1" si="53"/>
        <v>0</v>
      </c>
      <c r="AF61" s="866">
        <f t="shared" si="20"/>
        <v>0</v>
      </c>
      <c r="AG61" s="866">
        <f t="shared" ca="1" si="54"/>
        <v>0</v>
      </c>
      <c r="AH61" s="866">
        <f t="shared" si="20"/>
        <v>0</v>
      </c>
      <c r="AI61" s="866">
        <f t="shared" ca="1" si="54"/>
        <v>0</v>
      </c>
      <c r="AJ61" s="866">
        <f t="shared" si="20"/>
        <v>0</v>
      </c>
      <c r="AK61" s="866">
        <f t="shared" ca="1" si="54"/>
        <v>0</v>
      </c>
      <c r="AL61" s="864">
        <f t="shared" si="26"/>
        <v>18</v>
      </c>
      <c r="AM61" s="867">
        <f t="shared" ca="1" si="55"/>
        <v>0</v>
      </c>
      <c r="AN61" s="864">
        <f t="shared" si="26"/>
        <v>18</v>
      </c>
      <c r="AO61" s="867">
        <f t="shared" ca="1" si="55"/>
        <v>0</v>
      </c>
      <c r="AP61" s="864">
        <f t="shared" si="26"/>
        <v>18</v>
      </c>
      <c r="AQ61" s="867">
        <f t="shared" ca="1" si="55"/>
        <v>0</v>
      </c>
      <c r="AR61" s="864">
        <f t="shared" si="26"/>
        <v>18</v>
      </c>
      <c r="AS61" s="867">
        <f t="shared" ca="1" si="55"/>
        <v>0</v>
      </c>
      <c r="AT61" s="864">
        <f t="shared" si="26"/>
        <v>18</v>
      </c>
      <c r="AU61" s="867">
        <f t="shared" ca="1" si="55"/>
        <v>0</v>
      </c>
      <c r="AV61" s="866">
        <f t="shared" si="36"/>
        <v>0</v>
      </c>
      <c r="AW61" s="866">
        <f t="shared" ca="1" si="56"/>
        <v>0</v>
      </c>
      <c r="AX61" s="866">
        <f t="shared" si="36"/>
        <v>0</v>
      </c>
      <c r="AY61" s="866">
        <f t="shared" ca="1" si="56"/>
        <v>0</v>
      </c>
      <c r="AZ61" s="864">
        <f t="shared" si="36"/>
        <v>18</v>
      </c>
      <c r="BA61" s="867">
        <f t="shared" ca="1" si="56"/>
        <v>0</v>
      </c>
      <c r="BB61" s="864">
        <f t="shared" si="36"/>
        <v>18</v>
      </c>
      <c r="BC61" s="867">
        <f t="shared" ca="1" si="56"/>
        <v>0</v>
      </c>
      <c r="BD61" s="864">
        <f t="shared" si="36"/>
        <v>18</v>
      </c>
      <c r="BE61" s="867">
        <f t="shared" ca="1" si="56"/>
        <v>0</v>
      </c>
      <c r="BF61" s="864">
        <f t="shared" si="36"/>
        <v>24</v>
      </c>
      <c r="BG61" s="867">
        <f t="shared" ca="1" si="56"/>
        <v>0</v>
      </c>
      <c r="BH61" s="864">
        <f t="shared" si="36"/>
        <v>24</v>
      </c>
      <c r="BI61" s="867">
        <f t="shared" ca="1" si="56"/>
        <v>0</v>
      </c>
      <c r="BJ61" s="866">
        <f t="shared" si="49"/>
        <v>0</v>
      </c>
      <c r="BK61" s="866">
        <f t="shared" ca="1" si="57"/>
        <v>0</v>
      </c>
      <c r="BL61" s="866">
        <f t="shared" si="50"/>
        <v>0</v>
      </c>
      <c r="BM61" s="866">
        <f t="shared" ca="1" si="58"/>
        <v>0</v>
      </c>
      <c r="BN61" s="864">
        <f t="shared" si="50"/>
        <v>24</v>
      </c>
      <c r="BO61" s="867">
        <f t="shared" ca="1" si="58"/>
        <v>0</v>
      </c>
    </row>
    <row r="62" spans="1:67">
      <c r="B62" s="744">
        <v>11</v>
      </c>
      <c r="C62" s="516" t="s">
        <v>2095</v>
      </c>
      <c r="D62" s="516" t="s">
        <v>2094</v>
      </c>
      <c r="E62" s="516"/>
      <c r="F62" s="866">
        <f t="shared" si="48"/>
        <v>0</v>
      </c>
      <c r="G62" s="866">
        <f t="shared" ca="1" si="51"/>
        <v>0</v>
      </c>
      <c r="H62" s="743">
        <f t="shared" si="48"/>
        <v>0</v>
      </c>
      <c r="I62" s="747">
        <f t="shared" ca="1" si="51"/>
        <v>0</v>
      </c>
      <c r="J62" s="864">
        <f t="shared" si="48"/>
        <v>0</v>
      </c>
      <c r="K62" s="867">
        <f t="shared" ca="1" si="51"/>
        <v>0</v>
      </c>
      <c r="L62" s="864">
        <f t="shared" si="48"/>
        <v>0</v>
      </c>
      <c r="M62" s="867">
        <f t="shared" ca="1" si="51"/>
        <v>0</v>
      </c>
      <c r="N62" s="864">
        <f t="shared" si="48"/>
        <v>0</v>
      </c>
      <c r="O62" s="867">
        <f t="shared" ca="1" si="51"/>
        <v>0</v>
      </c>
      <c r="P62" s="864">
        <f t="shared" si="48"/>
        <v>0</v>
      </c>
      <c r="Q62" s="867">
        <f t="shared" ca="1" si="51"/>
        <v>0</v>
      </c>
      <c r="R62" s="864">
        <f t="shared" si="48"/>
        <v>0</v>
      </c>
      <c r="S62" s="867">
        <f t="shared" ca="1" si="51"/>
        <v>0</v>
      </c>
      <c r="T62" s="866">
        <f t="shared" si="48"/>
        <v>0</v>
      </c>
      <c r="U62" s="866">
        <f t="shared" ca="1" si="51"/>
        <v>0</v>
      </c>
      <c r="V62" s="864">
        <f t="shared" si="12"/>
        <v>0</v>
      </c>
      <c r="W62" s="867">
        <f t="shared" ca="1" si="52"/>
        <v>0</v>
      </c>
      <c r="X62" s="864">
        <f t="shared" si="12"/>
        <v>0</v>
      </c>
      <c r="Y62" s="867">
        <f t="shared" ca="1" si="52"/>
        <v>0</v>
      </c>
      <c r="Z62" s="864">
        <f t="shared" si="12"/>
        <v>0</v>
      </c>
      <c r="AA62" s="867">
        <f t="shared" ca="1" si="52"/>
        <v>0</v>
      </c>
      <c r="AB62" s="864">
        <f t="shared" si="16"/>
        <v>0</v>
      </c>
      <c r="AC62" s="867">
        <f t="shared" ca="1" si="53"/>
        <v>0</v>
      </c>
      <c r="AD62" s="864">
        <f t="shared" si="16"/>
        <v>0</v>
      </c>
      <c r="AE62" s="867">
        <f t="shared" ca="1" si="53"/>
        <v>0</v>
      </c>
      <c r="AF62" s="866">
        <f t="shared" si="20"/>
        <v>0</v>
      </c>
      <c r="AG62" s="866">
        <f t="shared" ca="1" si="54"/>
        <v>0</v>
      </c>
      <c r="AH62" s="866">
        <f t="shared" si="20"/>
        <v>0</v>
      </c>
      <c r="AI62" s="866">
        <f t="shared" ca="1" si="54"/>
        <v>0</v>
      </c>
      <c r="AJ62" s="866">
        <f t="shared" si="20"/>
        <v>0</v>
      </c>
      <c r="AK62" s="866">
        <f t="shared" ca="1" si="54"/>
        <v>0</v>
      </c>
      <c r="AL62" s="864">
        <f t="shared" si="26"/>
        <v>0</v>
      </c>
      <c r="AM62" s="867">
        <f t="shared" ca="1" si="55"/>
        <v>0</v>
      </c>
      <c r="AN62" s="864">
        <f t="shared" si="26"/>
        <v>0</v>
      </c>
      <c r="AO62" s="867">
        <f t="shared" ca="1" si="55"/>
        <v>0</v>
      </c>
      <c r="AP62" s="864">
        <f t="shared" si="26"/>
        <v>0</v>
      </c>
      <c r="AQ62" s="867">
        <f t="shared" ca="1" si="55"/>
        <v>0</v>
      </c>
      <c r="AR62" s="864">
        <f t="shared" si="26"/>
        <v>0</v>
      </c>
      <c r="AS62" s="867">
        <f t="shared" ca="1" si="55"/>
        <v>0</v>
      </c>
      <c r="AT62" s="864">
        <f t="shared" si="26"/>
        <v>0</v>
      </c>
      <c r="AU62" s="867">
        <f t="shared" ca="1" si="55"/>
        <v>0</v>
      </c>
      <c r="AV62" s="866">
        <f t="shared" si="36"/>
        <v>0</v>
      </c>
      <c r="AW62" s="866">
        <f t="shared" ca="1" si="56"/>
        <v>0</v>
      </c>
      <c r="AX62" s="866">
        <f t="shared" si="36"/>
        <v>0</v>
      </c>
      <c r="AY62" s="866">
        <f t="shared" ca="1" si="56"/>
        <v>0</v>
      </c>
      <c r="AZ62" s="864">
        <f t="shared" si="36"/>
        <v>0</v>
      </c>
      <c r="BA62" s="867">
        <f t="shared" ca="1" si="56"/>
        <v>0</v>
      </c>
      <c r="BB62" s="864">
        <f t="shared" si="36"/>
        <v>0</v>
      </c>
      <c r="BC62" s="867">
        <f t="shared" ca="1" si="56"/>
        <v>0</v>
      </c>
      <c r="BD62" s="864">
        <f t="shared" si="36"/>
        <v>0</v>
      </c>
      <c r="BE62" s="867">
        <f t="shared" ca="1" si="56"/>
        <v>0</v>
      </c>
      <c r="BF62" s="864">
        <f t="shared" si="36"/>
        <v>0</v>
      </c>
      <c r="BG62" s="867">
        <f t="shared" ca="1" si="56"/>
        <v>0</v>
      </c>
      <c r="BH62" s="864">
        <f t="shared" si="36"/>
        <v>0</v>
      </c>
      <c r="BI62" s="867">
        <f t="shared" ca="1" si="56"/>
        <v>0</v>
      </c>
      <c r="BJ62" s="866">
        <f t="shared" si="49"/>
        <v>0</v>
      </c>
      <c r="BK62" s="866">
        <f t="shared" ca="1" si="57"/>
        <v>0</v>
      </c>
      <c r="BL62" s="866">
        <f t="shared" si="50"/>
        <v>0</v>
      </c>
      <c r="BM62" s="866">
        <f t="shared" ca="1" si="58"/>
        <v>0</v>
      </c>
      <c r="BN62" s="864">
        <f t="shared" si="50"/>
        <v>0</v>
      </c>
      <c r="BO62" s="867">
        <f t="shared" ca="1" si="58"/>
        <v>0</v>
      </c>
    </row>
    <row r="63" spans="1:67" s="441" customFormat="1">
      <c r="A63" s="95"/>
      <c r="B63" s="832">
        <v>12</v>
      </c>
      <c r="C63" s="755" t="s">
        <v>2293</v>
      </c>
      <c r="D63" s="755" t="s">
        <v>2289</v>
      </c>
      <c r="E63" s="755"/>
      <c r="F63" s="866">
        <f t="shared" si="48"/>
        <v>0</v>
      </c>
      <c r="G63" s="866">
        <f t="shared" ca="1" si="51"/>
        <v>0</v>
      </c>
      <c r="H63" s="831">
        <f t="shared" si="48"/>
        <v>0</v>
      </c>
      <c r="I63" s="747">
        <f t="shared" ca="1" si="51"/>
        <v>0</v>
      </c>
      <c r="J63" s="864">
        <f t="shared" si="48"/>
        <v>0</v>
      </c>
      <c r="K63" s="867">
        <f t="shared" ca="1" si="51"/>
        <v>0</v>
      </c>
      <c r="L63" s="864">
        <f t="shared" si="48"/>
        <v>0</v>
      </c>
      <c r="M63" s="867">
        <f t="shared" ca="1" si="51"/>
        <v>0</v>
      </c>
      <c r="N63" s="864">
        <f t="shared" si="48"/>
        <v>0</v>
      </c>
      <c r="O63" s="867">
        <f t="shared" ca="1" si="51"/>
        <v>0</v>
      </c>
      <c r="P63" s="864">
        <f t="shared" si="48"/>
        <v>0</v>
      </c>
      <c r="Q63" s="867">
        <f t="shared" ca="1" si="51"/>
        <v>0</v>
      </c>
      <c r="R63" s="864">
        <f t="shared" si="48"/>
        <v>3</v>
      </c>
      <c r="S63" s="867">
        <f t="shared" ca="1" si="51"/>
        <v>0</v>
      </c>
      <c r="T63" s="866">
        <f t="shared" si="48"/>
        <v>0</v>
      </c>
      <c r="U63" s="866">
        <f t="shared" ca="1" si="51"/>
        <v>0</v>
      </c>
      <c r="V63" s="864">
        <f t="shared" si="12"/>
        <v>3</v>
      </c>
      <c r="W63" s="867">
        <f t="shared" ca="1" si="52"/>
        <v>0</v>
      </c>
      <c r="X63" s="864">
        <f t="shared" si="12"/>
        <v>3</v>
      </c>
      <c r="Y63" s="867">
        <f t="shared" ca="1" si="52"/>
        <v>0</v>
      </c>
      <c r="Z63" s="864">
        <f t="shared" si="12"/>
        <v>3</v>
      </c>
      <c r="AA63" s="867">
        <f t="shared" ca="1" si="52"/>
        <v>0</v>
      </c>
      <c r="AB63" s="864">
        <f t="shared" si="16"/>
        <v>3</v>
      </c>
      <c r="AC63" s="867">
        <f t="shared" ca="1" si="53"/>
        <v>0</v>
      </c>
      <c r="AD63" s="864">
        <f t="shared" si="16"/>
        <v>3</v>
      </c>
      <c r="AE63" s="867">
        <f t="shared" ca="1" si="53"/>
        <v>0</v>
      </c>
      <c r="AF63" s="866">
        <f t="shared" si="20"/>
        <v>0</v>
      </c>
      <c r="AG63" s="866">
        <f t="shared" ca="1" si="54"/>
        <v>0</v>
      </c>
      <c r="AH63" s="866">
        <f t="shared" si="20"/>
        <v>0</v>
      </c>
      <c r="AI63" s="866">
        <f t="shared" ca="1" si="54"/>
        <v>0</v>
      </c>
      <c r="AJ63" s="866">
        <f t="shared" si="20"/>
        <v>0</v>
      </c>
      <c r="AK63" s="866">
        <f t="shared" ca="1" si="54"/>
        <v>0</v>
      </c>
      <c r="AL63" s="864">
        <f t="shared" si="26"/>
        <v>3</v>
      </c>
      <c r="AM63" s="867">
        <f t="shared" ca="1" si="55"/>
        <v>0</v>
      </c>
      <c r="AN63" s="864">
        <f t="shared" si="26"/>
        <v>3</v>
      </c>
      <c r="AO63" s="867">
        <f t="shared" ca="1" si="55"/>
        <v>0</v>
      </c>
      <c r="AP63" s="864">
        <f t="shared" si="26"/>
        <v>3</v>
      </c>
      <c r="AQ63" s="867">
        <f t="shared" ca="1" si="55"/>
        <v>0</v>
      </c>
      <c r="AR63" s="864">
        <f t="shared" si="26"/>
        <v>3</v>
      </c>
      <c r="AS63" s="867">
        <f t="shared" ca="1" si="55"/>
        <v>0</v>
      </c>
      <c r="AT63" s="864">
        <f t="shared" si="26"/>
        <v>3</v>
      </c>
      <c r="AU63" s="867">
        <f t="shared" ca="1" si="55"/>
        <v>0</v>
      </c>
      <c r="AV63" s="866">
        <f t="shared" si="36"/>
        <v>0</v>
      </c>
      <c r="AW63" s="866">
        <f t="shared" ca="1" si="56"/>
        <v>0</v>
      </c>
      <c r="AX63" s="866">
        <f t="shared" si="36"/>
        <v>0</v>
      </c>
      <c r="AY63" s="866">
        <f t="shared" ca="1" si="56"/>
        <v>0</v>
      </c>
      <c r="AZ63" s="864">
        <f t="shared" si="36"/>
        <v>2</v>
      </c>
      <c r="BA63" s="867">
        <f t="shared" ca="1" si="56"/>
        <v>0</v>
      </c>
      <c r="BB63" s="864">
        <f t="shared" si="36"/>
        <v>3</v>
      </c>
      <c r="BC63" s="867">
        <f t="shared" ca="1" si="56"/>
        <v>0</v>
      </c>
      <c r="BD63" s="864">
        <f t="shared" si="36"/>
        <v>3</v>
      </c>
      <c r="BE63" s="867">
        <f t="shared" ca="1" si="56"/>
        <v>0</v>
      </c>
      <c r="BF63" s="864">
        <f t="shared" si="36"/>
        <v>3</v>
      </c>
      <c r="BG63" s="867">
        <f t="shared" ca="1" si="56"/>
        <v>0</v>
      </c>
      <c r="BH63" s="864">
        <f t="shared" si="36"/>
        <v>3</v>
      </c>
      <c r="BI63" s="867">
        <f t="shared" ca="1" si="56"/>
        <v>0</v>
      </c>
      <c r="BJ63" s="866">
        <f t="shared" si="49"/>
        <v>0</v>
      </c>
      <c r="BK63" s="866">
        <f t="shared" ca="1" si="57"/>
        <v>0</v>
      </c>
      <c r="BL63" s="866">
        <f t="shared" si="50"/>
        <v>0</v>
      </c>
      <c r="BM63" s="866">
        <f t="shared" ca="1" si="58"/>
        <v>0</v>
      </c>
      <c r="BN63" s="864">
        <f t="shared" si="50"/>
        <v>3</v>
      </c>
      <c r="BO63" s="867">
        <f t="shared" ca="1" si="58"/>
        <v>0</v>
      </c>
    </row>
    <row r="64" spans="1:67">
      <c r="B64" s="744">
        <v>13</v>
      </c>
      <c r="C64" s="516" t="s">
        <v>1974</v>
      </c>
      <c r="D64" s="516" t="s">
        <v>1972</v>
      </c>
      <c r="E64" s="516"/>
      <c r="F64" s="866">
        <f t="shared" si="48"/>
        <v>0</v>
      </c>
      <c r="G64" s="866">
        <f t="shared" ca="1" si="51"/>
        <v>0</v>
      </c>
      <c r="H64" s="743">
        <f t="shared" si="48"/>
        <v>0</v>
      </c>
      <c r="I64" s="747">
        <f t="shared" ca="1" si="51"/>
        <v>0</v>
      </c>
      <c r="J64" s="864">
        <f t="shared" si="48"/>
        <v>0</v>
      </c>
      <c r="K64" s="867">
        <f t="shared" ca="1" si="51"/>
        <v>0</v>
      </c>
      <c r="L64" s="864">
        <f t="shared" si="48"/>
        <v>0</v>
      </c>
      <c r="M64" s="867">
        <f t="shared" ca="1" si="51"/>
        <v>0</v>
      </c>
      <c r="N64" s="864">
        <f t="shared" si="48"/>
        <v>0</v>
      </c>
      <c r="O64" s="867">
        <f t="shared" ca="1" si="51"/>
        <v>0</v>
      </c>
      <c r="P64" s="864">
        <f t="shared" si="48"/>
        <v>0</v>
      </c>
      <c r="Q64" s="867">
        <f t="shared" ca="1" si="51"/>
        <v>0</v>
      </c>
      <c r="R64" s="864">
        <f t="shared" si="48"/>
        <v>0</v>
      </c>
      <c r="S64" s="867">
        <f t="shared" ca="1" si="51"/>
        <v>0</v>
      </c>
      <c r="T64" s="866">
        <f t="shared" si="48"/>
        <v>0</v>
      </c>
      <c r="U64" s="866">
        <f t="shared" ca="1" si="51"/>
        <v>0</v>
      </c>
      <c r="V64" s="864">
        <f t="shared" si="12"/>
        <v>0</v>
      </c>
      <c r="W64" s="867">
        <f t="shared" ca="1" si="52"/>
        <v>0</v>
      </c>
      <c r="X64" s="864">
        <f t="shared" si="12"/>
        <v>0</v>
      </c>
      <c r="Y64" s="867">
        <f t="shared" ca="1" si="52"/>
        <v>0</v>
      </c>
      <c r="Z64" s="864">
        <f t="shared" si="12"/>
        <v>0</v>
      </c>
      <c r="AA64" s="867">
        <f t="shared" ca="1" si="52"/>
        <v>0</v>
      </c>
      <c r="AB64" s="864">
        <f t="shared" si="16"/>
        <v>0</v>
      </c>
      <c r="AC64" s="867">
        <f t="shared" ca="1" si="53"/>
        <v>0</v>
      </c>
      <c r="AD64" s="864">
        <f t="shared" si="16"/>
        <v>0</v>
      </c>
      <c r="AE64" s="867">
        <f t="shared" ca="1" si="53"/>
        <v>0</v>
      </c>
      <c r="AF64" s="866">
        <f t="shared" si="20"/>
        <v>0</v>
      </c>
      <c r="AG64" s="866">
        <f t="shared" ca="1" si="54"/>
        <v>0</v>
      </c>
      <c r="AH64" s="866">
        <f t="shared" si="20"/>
        <v>0</v>
      </c>
      <c r="AI64" s="866">
        <f t="shared" ca="1" si="54"/>
        <v>0</v>
      </c>
      <c r="AJ64" s="866">
        <f t="shared" si="20"/>
        <v>0</v>
      </c>
      <c r="AK64" s="866">
        <f t="shared" ca="1" si="54"/>
        <v>0</v>
      </c>
      <c r="AL64" s="864">
        <f t="shared" si="26"/>
        <v>0</v>
      </c>
      <c r="AM64" s="867">
        <f t="shared" ca="1" si="55"/>
        <v>0</v>
      </c>
      <c r="AN64" s="864">
        <f t="shared" si="26"/>
        <v>0</v>
      </c>
      <c r="AO64" s="867">
        <f t="shared" ca="1" si="55"/>
        <v>0</v>
      </c>
      <c r="AP64" s="864">
        <f t="shared" si="26"/>
        <v>0</v>
      </c>
      <c r="AQ64" s="867">
        <f t="shared" ca="1" si="55"/>
        <v>0</v>
      </c>
      <c r="AR64" s="864">
        <f t="shared" si="26"/>
        <v>0</v>
      </c>
      <c r="AS64" s="867">
        <f t="shared" ca="1" si="55"/>
        <v>0</v>
      </c>
      <c r="AT64" s="864">
        <f t="shared" si="26"/>
        <v>0</v>
      </c>
      <c r="AU64" s="867">
        <f t="shared" ca="1" si="55"/>
        <v>0</v>
      </c>
      <c r="AV64" s="866">
        <f t="shared" si="36"/>
        <v>0</v>
      </c>
      <c r="AW64" s="866">
        <f t="shared" ca="1" si="56"/>
        <v>0</v>
      </c>
      <c r="AX64" s="866">
        <f t="shared" si="36"/>
        <v>0</v>
      </c>
      <c r="AY64" s="866">
        <f t="shared" ca="1" si="56"/>
        <v>0</v>
      </c>
      <c r="AZ64" s="864">
        <f t="shared" si="36"/>
        <v>0</v>
      </c>
      <c r="BA64" s="867">
        <f t="shared" ca="1" si="56"/>
        <v>0</v>
      </c>
      <c r="BB64" s="864">
        <f t="shared" si="36"/>
        <v>0</v>
      </c>
      <c r="BC64" s="867">
        <f t="shared" ca="1" si="56"/>
        <v>0</v>
      </c>
      <c r="BD64" s="864">
        <f t="shared" si="36"/>
        <v>0</v>
      </c>
      <c r="BE64" s="867">
        <f t="shared" ca="1" si="56"/>
        <v>0</v>
      </c>
      <c r="BF64" s="864">
        <f t="shared" si="36"/>
        <v>0</v>
      </c>
      <c r="BG64" s="867">
        <f t="shared" ca="1" si="56"/>
        <v>0</v>
      </c>
      <c r="BH64" s="864">
        <f t="shared" si="36"/>
        <v>0</v>
      </c>
      <c r="BI64" s="867">
        <f t="shared" ca="1" si="56"/>
        <v>0</v>
      </c>
      <c r="BJ64" s="866">
        <f t="shared" si="49"/>
        <v>0</v>
      </c>
      <c r="BK64" s="866">
        <f t="shared" ca="1" si="57"/>
        <v>0</v>
      </c>
      <c r="BL64" s="866">
        <f t="shared" si="50"/>
        <v>0</v>
      </c>
      <c r="BM64" s="866">
        <f t="shared" ca="1" si="58"/>
        <v>0</v>
      </c>
      <c r="BN64" s="864">
        <f t="shared" si="50"/>
        <v>0</v>
      </c>
      <c r="BO64" s="867">
        <f t="shared" ca="1" si="58"/>
        <v>0</v>
      </c>
    </row>
    <row r="65" spans="2:67" ht="15.5">
      <c r="B65" s="495"/>
      <c r="C65" s="495"/>
      <c r="D65" s="495"/>
      <c r="E65" s="434" t="s">
        <v>134</v>
      </c>
      <c r="F65" s="435">
        <f>SUM(F52:F64)</f>
        <v>0</v>
      </c>
      <c r="G65" s="435">
        <f t="shared" ref="G65:BO65" ca="1" si="59">SUM(G52:G64)</f>
        <v>0</v>
      </c>
      <c r="H65" s="435">
        <f t="shared" si="59"/>
        <v>29</v>
      </c>
      <c r="I65" s="435">
        <f t="shared" ca="1" si="59"/>
        <v>0</v>
      </c>
      <c r="J65" s="435">
        <f t="shared" si="59"/>
        <v>30</v>
      </c>
      <c r="K65" s="435">
        <f t="shared" ca="1" si="59"/>
        <v>0</v>
      </c>
      <c r="L65" s="435">
        <f t="shared" si="59"/>
        <v>29</v>
      </c>
      <c r="M65" s="435">
        <f t="shared" ca="1" si="59"/>
        <v>0</v>
      </c>
      <c r="N65" s="435">
        <f t="shared" si="59"/>
        <v>29</v>
      </c>
      <c r="O65" s="435">
        <f t="shared" ca="1" si="59"/>
        <v>0</v>
      </c>
      <c r="P65" s="435">
        <f t="shared" si="59"/>
        <v>30</v>
      </c>
      <c r="Q65" s="435">
        <f t="shared" ca="1" si="59"/>
        <v>0</v>
      </c>
      <c r="R65" s="435">
        <f t="shared" si="59"/>
        <v>35</v>
      </c>
      <c r="S65" s="435">
        <f t="shared" ca="1" si="59"/>
        <v>0</v>
      </c>
      <c r="T65" s="435">
        <f t="shared" si="59"/>
        <v>0</v>
      </c>
      <c r="U65" s="435">
        <f t="shared" ca="1" si="59"/>
        <v>0</v>
      </c>
      <c r="V65" s="435">
        <f t="shared" si="59"/>
        <v>37</v>
      </c>
      <c r="W65" s="435">
        <f t="shared" ca="1" si="59"/>
        <v>0</v>
      </c>
      <c r="X65" s="435">
        <f t="shared" si="59"/>
        <v>38</v>
      </c>
      <c r="Y65" s="435">
        <f t="shared" ca="1" si="59"/>
        <v>0</v>
      </c>
      <c r="Z65" s="435">
        <f t="shared" si="59"/>
        <v>37</v>
      </c>
      <c r="AA65" s="435">
        <f t="shared" ca="1" si="59"/>
        <v>0</v>
      </c>
      <c r="AB65" s="435">
        <f t="shared" si="59"/>
        <v>36</v>
      </c>
      <c r="AC65" s="435">
        <f t="shared" ca="1" si="59"/>
        <v>0</v>
      </c>
      <c r="AD65" s="435">
        <f t="shared" si="59"/>
        <v>36</v>
      </c>
      <c r="AE65" s="435">
        <f t="shared" ca="1" si="59"/>
        <v>0</v>
      </c>
      <c r="AF65" s="435">
        <f t="shared" si="59"/>
        <v>0</v>
      </c>
      <c r="AG65" s="435">
        <f t="shared" ca="1" si="59"/>
        <v>0</v>
      </c>
      <c r="AH65" s="435">
        <f t="shared" si="59"/>
        <v>0</v>
      </c>
      <c r="AI65" s="435">
        <f t="shared" ca="1" si="59"/>
        <v>0</v>
      </c>
      <c r="AJ65" s="435">
        <f t="shared" si="59"/>
        <v>0</v>
      </c>
      <c r="AK65" s="435">
        <f t="shared" ca="1" si="59"/>
        <v>0</v>
      </c>
      <c r="AL65" s="435">
        <f t="shared" si="59"/>
        <v>39</v>
      </c>
      <c r="AM65" s="435">
        <f t="shared" ca="1" si="59"/>
        <v>0</v>
      </c>
      <c r="AN65" s="435">
        <f t="shared" si="59"/>
        <v>39</v>
      </c>
      <c r="AO65" s="435">
        <f t="shared" ca="1" si="59"/>
        <v>0</v>
      </c>
      <c r="AP65" s="435">
        <f t="shared" si="59"/>
        <v>38</v>
      </c>
      <c r="AQ65" s="435">
        <f t="shared" ca="1" si="59"/>
        <v>0</v>
      </c>
      <c r="AR65" s="435">
        <f t="shared" si="59"/>
        <v>38</v>
      </c>
      <c r="AS65" s="435">
        <f t="shared" ca="1" si="59"/>
        <v>0</v>
      </c>
      <c r="AT65" s="435">
        <f t="shared" si="59"/>
        <v>38</v>
      </c>
      <c r="AU65" s="435">
        <f t="shared" ca="1" si="59"/>
        <v>0</v>
      </c>
      <c r="AV65" s="435">
        <f t="shared" si="59"/>
        <v>0</v>
      </c>
      <c r="AW65" s="435">
        <f t="shared" ca="1" si="59"/>
        <v>0</v>
      </c>
      <c r="AX65" s="435">
        <f t="shared" si="59"/>
        <v>0</v>
      </c>
      <c r="AY65" s="435">
        <f t="shared" ca="1" si="59"/>
        <v>0</v>
      </c>
      <c r="AZ65" s="435">
        <f t="shared" si="59"/>
        <v>37</v>
      </c>
      <c r="BA65" s="435">
        <f t="shared" ca="1" si="59"/>
        <v>0</v>
      </c>
      <c r="BB65" s="435">
        <f t="shared" si="59"/>
        <v>38</v>
      </c>
      <c r="BC65" s="435">
        <f t="shared" ca="1" si="59"/>
        <v>0</v>
      </c>
      <c r="BD65" s="435">
        <f t="shared" si="59"/>
        <v>38</v>
      </c>
      <c r="BE65" s="435">
        <f t="shared" ca="1" si="59"/>
        <v>0</v>
      </c>
      <c r="BF65" s="435">
        <f t="shared" si="59"/>
        <v>39</v>
      </c>
      <c r="BG65" s="435">
        <f t="shared" ca="1" si="59"/>
        <v>0</v>
      </c>
      <c r="BH65" s="435">
        <f t="shared" si="59"/>
        <v>39</v>
      </c>
      <c r="BI65" s="435">
        <f t="shared" ca="1" si="59"/>
        <v>0</v>
      </c>
      <c r="BJ65" s="435">
        <f t="shared" si="59"/>
        <v>0</v>
      </c>
      <c r="BK65" s="435">
        <f t="shared" ca="1" si="59"/>
        <v>0</v>
      </c>
      <c r="BL65" s="435">
        <f t="shared" si="59"/>
        <v>0</v>
      </c>
      <c r="BM65" s="435">
        <f t="shared" ca="1" si="59"/>
        <v>0</v>
      </c>
      <c r="BN65" s="435">
        <f t="shared" si="59"/>
        <v>39</v>
      </c>
      <c r="BO65" s="435">
        <f t="shared" ca="1" si="59"/>
        <v>0</v>
      </c>
    </row>
    <row r="68" spans="2:67">
      <c r="D68" s="443"/>
    </row>
    <row r="69" spans="2:67">
      <c r="D69" s="441"/>
      <c r="E69" s="441"/>
    </row>
    <row r="70" spans="2:67">
      <c r="D70" s="441"/>
      <c r="E70" s="441"/>
    </row>
    <row r="71" spans="2:67">
      <c r="D71" s="441"/>
      <c r="E71" s="441"/>
    </row>
    <row r="72" spans="2:67">
      <c r="D72" s="441"/>
      <c r="E72" s="441"/>
    </row>
    <row r="73" spans="2:67">
      <c r="D73" s="441"/>
      <c r="E73" s="441"/>
    </row>
    <row r="74" spans="2:67">
      <c r="D74" s="441"/>
      <c r="E74" s="441"/>
    </row>
    <row r="75" spans="2:67">
      <c r="D75" s="441"/>
      <c r="E75" s="441"/>
    </row>
    <row r="76" spans="2:67">
      <c r="D76" s="441"/>
      <c r="E76" s="441"/>
    </row>
    <row r="77" spans="2:67">
      <c r="D77" s="441"/>
      <c r="E77" s="441"/>
    </row>
    <row r="78" spans="2:67">
      <c r="D78" s="441"/>
      <c r="E78" s="441"/>
    </row>
    <row r="79" spans="2:67">
      <c r="D79" s="441"/>
      <c r="E79" s="441"/>
    </row>
    <row r="80" spans="2:67">
      <c r="D80" s="441"/>
      <c r="E80" s="441"/>
    </row>
  </sheetData>
  <autoFilter ref="C2:C66"/>
  <mergeCells count="69">
    <mergeCell ref="BJ2:BK2"/>
    <mergeCell ref="BL2:BM2"/>
    <mergeCell ref="BN2:BO2"/>
    <mergeCell ref="R50:S50"/>
    <mergeCell ref="AL50:AM50"/>
    <mergeCell ref="AX50:AY50"/>
    <mergeCell ref="BB50:BC50"/>
    <mergeCell ref="BN50:BO50"/>
    <mergeCell ref="AZ2:BA2"/>
    <mergeCell ref="AZ50:BA50"/>
    <mergeCell ref="AX2:AY2"/>
    <mergeCell ref="BB2:BC2"/>
    <mergeCell ref="BD2:BE2"/>
    <mergeCell ref="BF2:BG2"/>
    <mergeCell ref="BH2:BI2"/>
    <mergeCell ref="AN2:AO2"/>
    <mergeCell ref="AP2:AQ2"/>
    <mergeCell ref="AR2:AS2"/>
    <mergeCell ref="AT2:AU2"/>
    <mergeCell ref="AV2:AW2"/>
    <mergeCell ref="AD2:AE2"/>
    <mergeCell ref="AF2:AG2"/>
    <mergeCell ref="AH2:AI2"/>
    <mergeCell ref="AJ2:AK2"/>
    <mergeCell ref="AL2:AM2"/>
    <mergeCell ref="T2:U2"/>
    <mergeCell ref="V2:W2"/>
    <mergeCell ref="X2:Y2"/>
    <mergeCell ref="Z2:AA2"/>
    <mergeCell ref="AB2:AC2"/>
    <mergeCell ref="J2:K2"/>
    <mergeCell ref="L2:M2"/>
    <mergeCell ref="N2:O2"/>
    <mergeCell ref="P2:Q2"/>
    <mergeCell ref="R2:S2"/>
    <mergeCell ref="BJ50:BK50"/>
    <mergeCell ref="BL50:BM50"/>
    <mergeCell ref="BF50:BG50"/>
    <mergeCell ref="BH50:BI50"/>
    <mergeCell ref="B50:B51"/>
    <mergeCell ref="C50:C51"/>
    <mergeCell ref="D50:D51"/>
    <mergeCell ref="F50:G50"/>
    <mergeCell ref="H50:I50"/>
    <mergeCell ref="J50:K50"/>
    <mergeCell ref="L50:M50"/>
    <mergeCell ref="N50:O50"/>
    <mergeCell ref="P50:Q50"/>
    <mergeCell ref="T50:U50"/>
    <mergeCell ref="AP50:AQ50"/>
    <mergeCell ref="V50:W50"/>
    <mergeCell ref="X50:Y50"/>
    <mergeCell ref="Z50:AA50"/>
    <mergeCell ref="AB50:AC50"/>
    <mergeCell ref="AD50:AE50"/>
    <mergeCell ref="AF50:AG50"/>
    <mergeCell ref="AH50:AI50"/>
    <mergeCell ref="AJ50:AK50"/>
    <mergeCell ref="AN50:AO50"/>
    <mergeCell ref="AV50:AW50"/>
    <mergeCell ref="BD50:BE50"/>
    <mergeCell ref="AR50:AS50"/>
    <mergeCell ref="AT50:AU50"/>
    <mergeCell ref="H2:I2"/>
    <mergeCell ref="E2:E3"/>
    <mergeCell ref="D2:D3"/>
    <mergeCell ref="C2:C3"/>
    <mergeCell ref="B2:B3"/>
    <mergeCell ref="F2:G2"/>
  </mergeCells>
  <pageMargins left="0.7" right="0.7" top="0.75" bottom="0.75" header="0.3" footer="0.3"/>
  <pageSetup paperSize="9" scale="21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3:F14"/>
  <sheetViews>
    <sheetView workbookViewId="0">
      <selection activeCell="A4" sqref="A4:A22"/>
    </sheetView>
  </sheetViews>
  <sheetFormatPr defaultRowHeight="14.5"/>
  <cols>
    <col min="3" max="3" width="25.453125" customWidth="1"/>
  </cols>
  <sheetData>
    <row r="3" spans="2:6" ht="29">
      <c r="B3" s="22" t="s">
        <v>1928</v>
      </c>
      <c r="C3" s="419" t="s">
        <v>5</v>
      </c>
      <c r="D3" s="73" t="s">
        <v>1929</v>
      </c>
    </row>
    <row r="4" spans="2:6">
      <c r="B4" s="420">
        <v>1</v>
      </c>
      <c r="C4" s="421" t="s">
        <v>161</v>
      </c>
      <c r="D4" s="422">
        <v>9</v>
      </c>
    </row>
    <row r="5" spans="2:6">
      <c r="B5" s="22">
        <v>2</v>
      </c>
      <c r="C5" s="421" t="s">
        <v>160</v>
      </c>
      <c r="D5" s="423">
        <v>32.4</v>
      </c>
      <c r="E5">
        <f>D5*90%</f>
        <v>29.16</v>
      </c>
    </row>
    <row r="6" spans="2:6">
      <c r="B6" s="22">
        <v>3</v>
      </c>
      <c r="C6" s="421" t="s">
        <v>1805</v>
      </c>
      <c r="D6" s="422">
        <v>3.5</v>
      </c>
    </row>
    <row r="7" spans="2:6">
      <c r="B7" s="420">
        <v>4</v>
      </c>
      <c r="C7" s="421" t="s">
        <v>155</v>
      </c>
      <c r="D7" s="422">
        <v>5.25</v>
      </c>
    </row>
    <row r="8" spans="2:6">
      <c r="B8" s="22">
        <v>5</v>
      </c>
      <c r="C8" s="421" t="s">
        <v>144</v>
      </c>
      <c r="D8" s="422">
        <v>2.2999999999999998</v>
      </c>
    </row>
    <row r="9" spans="2:6">
      <c r="B9" s="22">
        <v>6</v>
      </c>
      <c r="C9" s="421" t="s">
        <v>156</v>
      </c>
      <c r="D9" s="422">
        <v>3.5</v>
      </c>
    </row>
    <row r="10" spans="2:6">
      <c r="B10" s="22">
        <v>7</v>
      </c>
      <c r="C10" s="421" t="s">
        <v>1603</v>
      </c>
      <c r="D10" s="422">
        <v>4</v>
      </c>
    </row>
    <row r="11" spans="2:6">
      <c r="B11" s="22">
        <v>8</v>
      </c>
      <c r="C11" s="419" t="s">
        <v>157</v>
      </c>
      <c r="D11" s="422">
        <v>2.5</v>
      </c>
    </row>
    <row r="12" spans="2:6" s="67" customFormat="1">
      <c r="B12" s="22">
        <v>9</v>
      </c>
      <c r="C12" s="419" t="s">
        <v>158</v>
      </c>
      <c r="D12" s="422">
        <v>2.5</v>
      </c>
    </row>
    <row r="13" spans="2:6">
      <c r="B13" s="512">
        <v>10</v>
      </c>
      <c r="C13" s="419" t="s">
        <v>2133</v>
      </c>
      <c r="D13" s="422">
        <f>24/4</f>
        <v>6</v>
      </c>
      <c r="F13" s="715"/>
    </row>
    <row r="14" spans="2:6" s="441" customFormat="1">
      <c r="B14" s="787">
        <v>11</v>
      </c>
      <c r="C14" s="419" t="s">
        <v>2120</v>
      </c>
      <c r="D14" s="422">
        <f>24/4</f>
        <v>6</v>
      </c>
      <c r="F14" s="71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2:AM120"/>
  <sheetViews>
    <sheetView zoomScale="73" zoomScaleNormal="73" workbookViewId="0">
      <selection activeCell="G80" sqref="G80"/>
    </sheetView>
  </sheetViews>
  <sheetFormatPr defaultColWidth="9.453125" defaultRowHeight="14.5"/>
  <cols>
    <col min="1" max="1" width="17.453125" style="321" bestFit="1" customWidth="1"/>
    <col min="2" max="2" width="9.453125" style="321" bestFit="1" customWidth="1"/>
    <col min="3" max="3" width="10.54296875" style="321" bestFit="1" customWidth="1"/>
    <col min="4" max="4" width="11.54296875" style="321" bestFit="1" customWidth="1"/>
    <col min="5" max="5" width="9.54296875" style="321" bestFit="1" customWidth="1"/>
    <col min="6" max="6" width="14" style="321" customWidth="1"/>
    <col min="7" max="7" width="12" style="321" customWidth="1"/>
    <col min="8" max="16384" width="9.453125" style="321"/>
  </cols>
  <sheetData>
    <row r="2" spans="1:15" ht="15" customHeight="1">
      <c r="F2" s="395"/>
      <c r="G2" s="395"/>
      <c r="H2" s="395"/>
      <c r="I2" s="395"/>
      <c r="J2" s="395"/>
      <c r="K2" s="395"/>
      <c r="L2" s="395"/>
      <c r="M2" s="395"/>
      <c r="N2" s="395"/>
      <c r="O2" s="395"/>
    </row>
    <row r="3" spans="1:15" ht="15" customHeight="1">
      <c r="F3" s="395"/>
      <c r="G3" s="395"/>
      <c r="H3" s="395"/>
      <c r="I3" s="395"/>
      <c r="J3" s="395"/>
      <c r="K3" s="395"/>
      <c r="L3" s="395"/>
      <c r="M3" s="395"/>
      <c r="N3" s="395"/>
      <c r="O3" s="395"/>
    </row>
    <row r="4" spans="1:15" ht="18" hidden="1" customHeight="1"/>
    <row r="5" spans="1:15" hidden="1"/>
    <row r="6" spans="1:15" hidden="1"/>
    <row r="7" spans="1:15" hidden="1">
      <c r="C7" s="322">
        <v>42736</v>
      </c>
      <c r="D7" s="322">
        <v>42767</v>
      </c>
    </row>
    <row r="8" spans="1:15" hidden="1">
      <c r="B8" s="321" t="s">
        <v>1841</v>
      </c>
      <c r="C8" s="323">
        <v>60152</v>
      </c>
      <c r="D8" s="323">
        <v>53069</v>
      </c>
    </row>
    <row r="9" spans="1:15" hidden="1">
      <c r="B9" s="321" t="s">
        <v>92</v>
      </c>
      <c r="C9" s="321">
        <v>3795</v>
      </c>
      <c r="D9" s="321">
        <v>2183</v>
      </c>
    </row>
    <row r="10" spans="1:15" hidden="1">
      <c r="A10" s="321" t="s">
        <v>1826</v>
      </c>
      <c r="B10" s="321" t="s">
        <v>90</v>
      </c>
      <c r="C10" s="431">
        <v>5.3199999999999997E-2</v>
      </c>
      <c r="D10" s="431">
        <f>D9/D8</f>
        <v>4.1135125968079292E-2</v>
      </c>
    </row>
    <row r="11" spans="1:15" hidden="1">
      <c r="B11" s="321" t="s">
        <v>1842</v>
      </c>
      <c r="C11" s="432">
        <f>43174+C12</f>
        <v>45365</v>
      </c>
      <c r="D11" s="432">
        <v>49793</v>
      </c>
    </row>
    <row r="12" spans="1:15" hidden="1">
      <c r="B12" s="321" t="s">
        <v>92</v>
      </c>
      <c r="C12" s="432">
        <v>2191</v>
      </c>
      <c r="D12" s="432">
        <v>616</v>
      </c>
    </row>
    <row r="13" spans="1:15" hidden="1">
      <c r="A13" s="321" t="s">
        <v>1840</v>
      </c>
      <c r="B13" s="321" t="s">
        <v>90</v>
      </c>
      <c r="C13" s="431">
        <v>6.7000000000000002E-3</v>
      </c>
      <c r="D13" s="431">
        <f>D12/D11</f>
        <v>1.2371216837708112E-2</v>
      </c>
    </row>
    <row r="14" spans="1:15" hidden="1">
      <c r="A14" s="321" t="s">
        <v>1843</v>
      </c>
      <c r="C14" s="433">
        <f>(C12+C9)/C8</f>
        <v>9.9514563106796114E-2</v>
      </c>
      <c r="D14" s="433">
        <f>(D12+D9)/D8</f>
        <v>5.2742655787748026E-2</v>
      </c>
    </row>
    <row r="15" spans="1:15" hidden="1">
      <c r="C15" s="322">
        <v>42736</v>
      </c>
      <c r="D15" s="322">
        <v>42767</v>
      </c>
    </row>
    <row r="16" spans="1:15" hidden="1">
      <c r="B16" s="321" t="s">
        <v>1832</v>
      </c>
      <c r="C16" s="321">
        <v>153906</v>
      </c>
      <c r="D16" s="321">
        <v>305548</v>
      </c>
    </row>
    <row r="17" spans="1:4" hidden="1">
      <c r="B17" s="321" t="s">
        <v>92</v>
      </c>
      <c r="C17" s="321">
        <v>1745</v>
      </c>
      <c r="D17" s="321">
        <v>2373</v>
      </c>
    </row>
    <row r="18" spans="1:4" hidden="1">
      <c r="A18" s="321" t="s">
        <v>1832</v>
      </c>
      <c r="B18" s="321" t="s">
        <v>90</v>
      </c>
      <c r="C18" s="324">
        <f>C17/C16</f>
        <v>1.1338089483191038E-2</v>
      </c>
      <c r="D18" s="324">
        <f>D17/D16</f>
        <v>7.7663738594263418E-3</v>
      </c>
    </row>
    <row r="19" spans="1:4" hidden="1">
      <c r="B19" s="321" t="s">
        <v>1844</v>
      </c>
      <c r="C19" s="325">
        <v>183757</v>
      </c>
      <c r="D19" s="325">
        <v>280201</v>
      </c>
    </row>
    <row r="20" spans="1:4" hidden="1">
      <c r="B20" s="321" t="s">
        <v>92</v>
      </c>
      <c r="C20" s="325">
        <v>375</v>
      </c>
      <c r="D20" s="325">
        <v>456</v>
      </c>
    </row>
    <row r="21" spans="1:4" hidden="1">
      <c r="A21" s="321" t="s">
        <v>1834</v>
      </c>
      <c r="B21" s="321" t="s">
        <v>90</v>
      </c>
      <c r="C21" s="324">
        <f>C20/C19</f>
        <v>2.0407385841083605E-3</v>
      </c>
      <c r="D21" s="324">
        <f>D20/D19</f>
        <v>1.6274031855703585E-3</v>
      </c>
    </row>
    <row r="22" spans="1:4" hidden="1">
      <c r="B22" s="321" t="s">
        <v>1845</v>
      </c>
      <c r="C22" s="325">
        <v>246525</v>
      </c>
      <c r="D22" s="325">
        <v>263548</v>
      </c>
    </row>
    <row r="23" spans="1:4" hidden="1">
      <c r="B23" s="321" t="s">
        <v>92</v>
      </c>
      <c r="C23" s="325">
        <v>3297</v>
      </c>
      <c r="D23" s="325">
        <v>6969</v>
      </c>
    </row>
    <row r="24" spans="1:4" hidden="1">
      <c r="A24" s="321" t="s">
        <v>1836</v>
      </c>
      <c r="B24" s="321" t="s">
        <v>90</v>
      </c>
      <c r="C24" s="324">
        <f>C23/C22</f>
        <v>1.3373897170672345E-2</v>
      </c>
      <c r="D24" s="324">
        <f>D23/D22</f>
        <v>2.6443000895472552E-2</v>
      </c>
    </row>
    <row r="25" spans="1:4" hidden="1">
      <c r="B25" s="321" t="s">
        <v>1846</v>
      </c>
      <c r="C25" s="325">
        <v>95627</v>
      </c>
      <c r="D25" s="325">
        <v>54530</v>
      </c>
    </row>
    <row r="26" spans="1:4" hidden="1">
      <c r="B26" s="321" t="s">
        <v>92</v>
      </c>
      <c r="C26" s="325">
        <v>10</v>
      </c>
      <c r="D26" s="325">
        <v>24</v>
      </c>
    </row>
    <row r="27" spans="1:4" hidden="1">
      <c r="A27" s="321" t="s">
        <v>1847</v>
      </c>
      <c r="B27" s="321" t="s">
        <v>90</v>
      </c>
      <c r="C27" s="324">
        <f>C26/C25</f>
        <v>1.0457297625147709E-4</v>
      </c>
      <c r="D27" s="324">
        <f>D26/D25</f>
        <v>4.4012470199889967E-4</v>
      </c>
    </row>
    <row r="28" spans="1:4" hidden="1">
      <c r="A28" s="321" t="s">
        <v>1848</v>
      </c>
      <c r="C28" s="431">
        <v>2.1399999999999999E-2</v>
      </c>
      <c r="D28" s="431">
        <v>3.7600000000000001E-2</v>
      </c>
    </row>
    <row r="29" spans="1:4" hidden="1"/>
    <row r="30" spans="1:4" hidden="1"/>
    <row r="31" spans="1:4" hidden="1"/>
    <row r="32" spans="1:4" hidden="1"/>
    <row r="33" hidden="1"/>
    <row r="34" hidden="1"/>
    <row r="35" hidden="1"/>
    <row r="36" hidden="1"/>
    <row r="37" hidden="1"/>
    <row r="38" hidden="1"/>
    <row r="39" hidden="1"/>
    <row r="40" hidden="1"/>
    <row r="41" hidden="1"/>
    <row r="42" hidden="1"/>
    <row r="43" hidden="1"/>
    <row r="44" hidden="1"/>
    <row r="45" hidden="1"/>
    <row r="46" hidden="1"/>
    <row r="47" hidden="1"/>
    <row r="48" hidden="1"/>
    <row r="49" spans="1:5" hidden="1"/>
    <row r="50" spans="1:5" hidden="1"/>
    <row r="51" spans="1:5" hidden="1"/>
    <row r="52" spans="1:5" hidden="1"/>
    <row r="53" spans="1:5" hidden="1"/>
    <row r="54" spans="1:5" hidden="1"/>
    <row r="55" spans="1:5" hidden="1"/>
    <row r="56" spans="1:5" hidden="1"/>
    <row r="57" spans="1:5" hidden="1"/>
    <row r="58" spans="1:5" hidden="1"/>
    <row r="59" spans="1:5" hidden="1">
      <c r="B59" s="322"/>
      <c r="C59" s="323" t="s">
        <v>1849</v>
      </c>
      <c r="D59" s="323" t="s">
        <v>1850</v>
      </c>
      <c r="E59" s="323" t="s">
        <v>1851</v>
      </c>
    </row>
    <row r="60" spans="1:5" hidden="1">
      <c r="A60" s="323" t="s">
        <v>1841</v>
      </c>
      <c r="B60" s="323" t="s">
        <v>152</v>
      </c>
      <c r="C60" s="431">
        <v>5.3172948774903459E-2</v>
      </c>
      <c r="D60" s="431">
        <v>3.2611142374788973E-2</v>
      </c>
    </row>
    <row r="61" spans="1:5" hidden="1">
      <c r="B61" s="323" t="s">
        <v>153</v>
      </c>
      <c r="C61" s="431">
        <v>7.0140735456255265E-2</v>
      </c>
      <c r="D61" s="431">
        <v>5.8417479605225628E-2</v>
      </c>
    </row>
    <row r="62" spans="1:5" hidden="1">
      <c r="A62" s="323" t="s">
        <v>1842</v>
      </c>
      <c r="B62" s="323" t="s">
        <v>152</v>
      </c>
      <c r="C62" s="431">
        <v>6.7092651757188499E-3</v>
      </c>
      <c r="D62" s="431">
        <v>6.1543871988746267E-3</v>
      </c>
    </row>
    <row r="63" spans="1:5" hidden="1">
      <c r="B63" s="323" t="s">
        <v>153</v>
      </c>
      <c r="C63" s="431">
        <v>5.8012319573411783E-2</v>
      </c>
      <c r="D63" s="431">
        <v>3.7159455128205128E-2</v>
      </c>
    </row>
    <row r="64" spans="1:5" hidden="1">
      <c r="A64" s="323" t="s">
        <v>198</v>
      </c>
      <c r="B64" s="323" t="s">
        <v>152</v>
      </c>
      <c r="C64" s="431">
        <v>0.11651037226484796</v>
      </c>
      <c r="D64" s="431">
        <v>3.4270650263620389E-2</v>
      </c>
    </row>
    <row r="65" spans="1:39" hidden="1">
      <c r="B65" s="323" t="s">
        <v>153</v>
      </c>
      <c r="C65" s="431">
        <v>0.11657182272805656</v>
      </c>
      <c r="D65" s="431">
        <v>0.12672601744186046</v>
      </c>
    </row>
    <row r="66" spans="1:39">
      <c r="B66" s="978" t="s">
        <v>1841</v>
      </c>
      <c r="C66" s="978"/>
      <c r="D66" s="978" t="s">
        <v>1842</v>
      </c>
      <c r="E66" s="979"/>
      <c r="F66" s="978" t="s">
        <v>198</v>
      </c>
      <c r="G66" s="979"/>
    </row>
    <row r="67" spans="1:39">
      <c r="B67" s="323" t="s">
        <v>152</v>
      </c>
      <c r="C67" s="323" t="s">
        <v>153</v>
      </c>
      <c r="D67" s="323" t="s">
        <v>152</v>
      </c>
      <c r="E67" s="323" t="s">
        <v>153</v>
      </c>
      <c r="F67" s="323" t="s">
        <v>152</v>
      </c>
      <c r="G67" s="323" t="s">
        <v>153</v>
      </c>
    </row>
    <row r="68" spans="1:39">
      <c r="A68" s="326">
        <v>43484</v>
      </c>
      <c r="B68" s="327">
        <v>4.0999494353615371E-2</v>
      </c>
      <c r="C68" s="327">
        <v>5.3435402368202732E-2</v>
      </c>
      <c r="D68" s="327">
        <v>5.6477505705775409E-3</v>
      </c>
      <c r="E68" s="327">
        <v>8.5940870026877253E-3</v>
      </c>
      <c r="F68" s="327">
        <v>2.3323622462096457E-2</v>
      </c>
      <c r="G68" s="328">
        <v>3.1014744685445229E-2</v>
      </c>
    </row>
    <row r="69" spans="1:39">
      <c r="A69" s="326">
        <v>43515</v>
      </c>
      <c r="B69" s="431">
        <v>3.39E-2</v>
      </c>
      <c r="C69" s="431">
        <v>5.5300000000000002E-2</v>
      </c>
      <c r="D69" s="431">
        <v>5.7000000000000002E-3</v>
      </c>
      <c r="E69" s="431">
        <v>7.1999999999999998E-3</v>
      </c>
      <c r="F69" s="431">
        <v>3.9399999999999998E-2</v>
      </c>
      <c r="G69" s="431">
        <v>6.1400000000000003E-2</v>
      </c>
    </row>
    <row r="70" spans="1:39">
      <c r="A70" s="326">
        <v>43543</v>
      </c>
      <c r="B70" s="324">
        <v>3.3615116066387271E-2</v>
      </c>
      <c r="C70" s="324">
        <v>5.8459251919742383E-2</v>
      </c>
      <c r="D70" s="324">
        <v>3.7911601695309952E-3</v>
      </c>
      <c r="E70" s="324">
        <v>8.2014853083629321E-3</v>
      </c>
      <c r="F70" s="324">
        <v>3.6732882033070693E-2</v>
      </c>
      <c r="G70" s="324">
        <v>7.3039873186196799E-2</v>
      </c>
      <c r="AG70" s="396">
        <v>43543</v>
      </c>
      <c r="AH70" s="324">
        <v>3.3615116066387271E-2</v>
      </c>
      <c r="AI70" s="324">
        <v>5.8459251919742383E-2</v>
      </c>
      <c r="AJ70" s="324">
        <v>3.7911601695309952E-3</v>
      </c>
      <c r="AK70" s="324">
        <v>8.2014853083629321E-3</v>
      </c>
      <c r="AL70" s="324">
        <v>3.6732882033070693E-2</v>
      </c>
      <c r="AM70" s="324">
        <v>7.3039873186196799E-2</v>
      </c>
    </row>
    <row r="71" spans="1:39">
      <c r="A71" s="326">
        <v>43574</v>
      </c>
      <c r="B71" s="324">
        <v>1.9438491213030432E-2</v>
      </c>
      <c r="C71" s="324">
        <v>4.107348980377068E-2</v>
      </c>
      <c r="D71" s="324">
        <v>3.0909626140712392E-3</v>
      </c>
      <c r="E71" s="324">
        <v>1.2921983524471006E-2</v>
      </c>
      <c r="F71" s="324">
        <v>2.2517999444527526E-2</v>
      </c>
      <c r="G71" s="324">
        <v>4.8396334478808707E-2</v>
      </c>
      <c r="AG71" s="396">
        <v>43574</v>
      </c>
      <c r="AH71" s="324">
        <v>1.9438491213030432E-2</v>
      </c>
      <c r="AI71" s="324">
        <v>4.107348980377068E-2</v>
      </c>
      <c r="AJ71" s="324">
        <v>3.0909626140712392E-3</v>
      </c>
      <c r="AK71" s="324">
        <v>1.2921983524471006E-2</v>
      </c>
      <c r="AL71" s="324">
        <v>2.2517999444527526E-2</v>
      </c>
      <c r="AM71" s="324">
        <v>4.8396334478808707E-2</v>
      </c>
    </row>
    <row r="72" spans="1:39">
      <c r="A72" s="326">
        <v>43604</v>
      </c>
      <c r="B72" s="324">
        <v>1.9599999999999999E-2</v>
      </c>
      <c r="C72" s="324">
        <v>2.7300000000000001E-2</v>
      </c>
      <c r="D72" s="324">
        <v>7.9000000000000008E-3</v>
      </c>
      <c r="E72" s="324">
        <v>9.6000000000000002E-4</v>
      </c>
      <c r="F72" s="324">
        <v>2.8899999999999999E-2</v>
      </c>
      <c r="G72" s="324">
        <v>3.3799999999999997E-2</v>
      </c>
      <c r="AG72" s="396">
        <v>43604</v>
      </c>
      <c r="AH72" s="324"/>
      <c r="AI72" s="324"/>
      <c r="AJ72" s="324"/>
      <c r="AK72" s="324"/>
      <c r="AL72" s="324"/>
      <c r="AM72" s="324"/>
    </row>
    <row r="73" spans="1:39">
      <c r="A73" s="326">
        <v>43635</v>
      </c>
      <c r="B73" s="324">
        <v>1.7593674184562855E-2</v>
      </c>
      <c r="C73" s="324">
        <v>2.5484339462362646E-2</v>
      </c>
      <c r="D73" s="324">
        <v>1.533520419114549E-2</v>
      </c>
      <c r="E73" s="324">
        <v>1.5957446808510637E-2</v>
      </c>
      <c r="F73" s="324">
        <v>3.433169344367995E-2</v>
      </c>
      <c r="G73" s="324">
        <v>3.6024070259134774E-2</v>
      </c>
      <c r="AG73" s="396">
        <v>43635</v>
      </c>
      <c r="AH73" s="324"/>
      <c r="AI73" s="324"/>
      <c r="AJ73" s="324"/>
      <c r="AK73" s="324"/>
      <c r="AL73" s="324"/>
      <c r="AM73" s="324"/>
    </row>
    <row r="74" spans="1:39">
      <c r="A74" s="326">
        <v>43665</v>
      </c>
      <c r="B74" s="327">
        <v>2.5484339462362646E-2</v>
      </c>
      <c r="C74" s="327">
        <v>1.533520419114549E-2</v>
      </c>
      <c r="D74" s="327">
        <v>1.5957446808510637E-2</v>
      </c>
      <c r="E74" s="327">
        <v>2.4862828194945341E-2</v>
      </c>
      <c r="F74" s="327">
        <v>3.6024070259134774E-2</v>
      </c>
      <c r="G74" s="327">
        <v>3.4727407217049769E-2</v>
      </c>
      <c r="AG74" s="396">
        <v>43665</v>
      </c>
      <c r="AH74" s="327"/>
      <c r="AI74" s="327"/>
      <c r="AJ74" s="327"/>
      <c r="AK74" s="327"/>
      <c r="AL74" s="327"/>
      <c r="AM74" s="327"/>
    </row>
    <row r="75" spans="1:39">
      <c r="A75" s="326">
        <v>43696</v>
      </c>
      <c r="B75" s="324">
        <v>1.533520419114549E-2</v>
      </c>
      <c r="C75" s="324">
        <v>1.5957446808510637E-2</v>
      </c>
      <c r="D75" s="324">
        <v>2.4862828194945341E-2</v>
      </c>
      <c r="E75" s="324">
        <v>0</v>
      </c>
      <c r="F75" s="324">
        <v>3.4727407217049769E-2</v>
      </c>
      <c r="G75" s="324">
        <v>0</v>
      </c>
      <c r="AG75" s="396">
        <v>43696</v>
      </c>
      <c r="AH75" s="324"/>
      <c r="AI75" s="324"/>
      <c r="AJ75" s="324"/>
      <c r="AK75" s="324"/>
      <c r="AL75" s="324"/>
      <c r="AM75" s="324"/>
    </row>
    <row r="76" spans="1:39">
      <c r="A76" s="326">
        <v>43727</v>
      </c>
      <c r="B76" s="324">
        <v>1.5957446808510637E-2</v>
      </c>
      <c r="C76" s="324">
        <v>2.4862828194945341E-2</v>
      </c>
      <c r="D76" s="324">
        <v>0</v>
      </c>
      <c r="E76" s="324">
        <v>0</v>
      </c>
      <c r="F76" s="324">
        <v>0</v>
      </c>
      <c r="G76" s="324">
        <v>0</v>
      </c>
      <c r="AG76" s="396">
        <v>43727</v>
      </c>
      <c r="AH76" s="324"/>
      <c r="AI76" s="324"/>
      <c r="AJ76" s="324"/>
      <c r="AK76" s="324"/>
      <c r="AL76" s="324"/>
      <c r="AM76" s="324"/>
    </row>
    <row r="77" spans="1:39">
      <c r="A77" s="326">
        <v>43757</v>
      </c>
      <c r="B77" s="324">
        <v>1.2524673607005802E-2</v>
      </c>
      <c r="C77" s="324">
        <v>1.6310744913401714E-2</v>
      </c>
      <c r="D77" s="324">
        <v>9.9094816896751255E-3</v>
      </c>
      <c r="E77" s="324">
        <v>1.1539544047283985E-2</v>
      </c>
      <c r="F77" s="324">
        <v>2.1922947142772077E-2</v>
      </c>
      <c r="G77" s="324">
        <v>3.6243822075782535E-2</v>
      </c>
      <c r="AG77" s="396">
        <v>43757</v>
      </c>
      <c r="AH77" s="324"/>
      <c r="AI77" s="324"/>
      <c r="AJ77" s="324"/>
      <c r="AK77" s="324"/>
      <c r="AL77" s="324"/>
      <c r="AM77" s="324"/>
    </row>
    <row r="78" spans="1:39">
      <c r="A78" s="326">
        <v>43788</v>
      </c>
      <c r="B78" s="324">
        <v>1.7593674184562855E-2</v>
      </c>
      <c r="C78" s="324">
        <v>2.5484339462362646E-2</v>
      </c>
      <c r="D78" s="324">
        <v>1.533520419114549E-2</v>
      </c>
      <c r="E78" s="324">
        <v>1.5957446808510637E-2</v>
      </c>
      <c r="F78" s="324">
        <v>3.433169344367995E-2</v>
      </c>
      <c r="G78" s="324">
        <v>3.6024070259134774E-2</v>
      </c>
      <c r="AG78" s="396">
        <v>43788</v>
      </c>
      <c r="AH78" s="324"/>
      <c r="AI78" s="324"/>
      <c r="AJ78" s="324"/>
      <c r="AK78" s="324"/>
      <c r="AL78" s="324"/>
      <c r="AM78" s="324"/>
    </row>
    <row r="79" spans="1:39">
      <c r="A79" s="326">
        <v>43818</v>
      </c>
      <c r="B79" s="324">
        <v>2.5926045953916455E-2</v>
      </c>
      <c r="C79" s="324">
        <v>2.6015478116391936E-2</v>
      </c>
      <c r="D79" s="324">
        <v>1.5041590786041246E-2</v>
      </c>
      <c r="E79" s="324">
        <v>1.5643064436212599E-2</v>
      </c>
      <c r="F79" s="324">
        <v>4.1743270385445119E-2</v>
      </c>
      <c r="G79" s="324">
        <v>5.3454576357610264E-2</v>
      </c>
      <c r="AG79" s="396">
        <v>43818</v>
      </c>
      <c r="AH79" s="324"/>
      <c r="AI79" s="324"/>
      <c r="AJ79" s="324"/>
      <c r="AK79" s="324"/>
      <c r="AL79" s="324"/>
      <c r="AM79" s="324"/>
    </row>
    <row r="80" spans="1:39">
      <c r="A80" s="326">
        <v>43831</v>
      </c>
      <c r="B80" s="324">
        <f>PVA!I154</f>
        <v>1.8598094577636878E-2</v>
      </c>
      <c r="C80" s="324">
        <f>PVA!I155</f>
        <v>2.7320997191872372E-2</v>
      </c>
      <c r="D80" s="324">
        <f>PVA!I156</f>
        <v>8.260781345840339E-3</v>
      </c>
      <c r="E80" s="324">
        <f>PVA!I157</f>
        <v>1.5611394452046274E-2</v>
      </c>
      <c r="F80" s="324">
        <f>PVA!O145</f>
        <v>2.590854302886203E-2</v>
      </c>
      <c r="G80" s="324">
        <f>PVA!O146</f>
        <v>4.2710517602913584E-2</v>
      </c>
      <c r="AG80" s="396">
        <v>43849</v>
      </c>
      <c r="AH80" s="324"/>
      <c r="AI80" s="324"/>
      <c r="AJ80" s="324"/>
      <c r="AK80" s="324"/>
      <c r="AL80" s="324"/>
      <c r="AM80" s="324"/>
    </row>
    <row r="81" spans="1:39">
      <c r="A81" s="326">
        <v>43881</v>
      </c>
      <c r="B81" s="324">
        <f>[15]PVA!$I$138</f>
        <v>2.6673506027186458E-2</v>
      </c>
      <c r="C81" s="324">
        <f>[15]PVA!$I$139</f>
        <v>2.964462322888109E-2</v>
      </c>
      <c r="D81" s="324">
        <f>[15]PVA!$I$140</f>
        <v>8.58663918942126E-3</v>
      </c>
      <c r="E81" s="324">
        <f>[15]PVA!$I$141</f>
        <v>1.1470632192497384E-2</v>
      </c>
      <c r="F81" s="324">
        <f>[15]PVA!$O$132</f>
        <v>3.6964980544747082E-2</v>
      </c>
      <c r="G81" s="324">
        <f>[15]PVA!$O$133</f>
        <v>3.7217815741305671E-2</v>
      </c>
      <c r="AG81" s="396"/>
      <c r="AH81" s="324"/>
      <c r="AI81" s="324"/>
      <c r="AJ81" s="324"/>
      <c r="AK81" s="324"/>
      <c r="AL81" s="324"/>
      <c r="AM81" s="324"/>
    </row>
    <row r="82" spans="1:39">
      <c r="A82" s="326">
        <v>43910</v>
      </c>
      <c r="B82" s="324">
        <f>[16]PVA!$I$138</f>
        <v>2.1303087488570262E-2</v>
      </c>
      <c r="C82" s="324">
        <f>[16]PVA!$I$139</f>
        <v>2.5417550371155884E-2</v>
      </c>
      <c r="D82" s="324">
        <f>[16]PVA!$I$140</f>
        <v>7.3360246559881926E-3</v>
      </c>
      <c r="E82" s="324">
        <f>[16]PVA!$I$141</f>
        <v>1.1923217859458241E-2</v>
      </c>
      <c r="F82" s="324">
        <f>[16]PVA!$O$132</f>
        <v>2.4510374248594143E-2</v>
      </c>
      <c r="G82" s="324">
        <f>[16]PVA!$O$134</f>
        <v>1.3215359310305711E-2</v>
      </c>
      <c r="AG82" s="326"/>
      <c r="AH82" s="430" t="s">
        <v>1832</v>
      </c>
      <c r="AI82" s="323" t="s">
        <v>1834</v>
      </c>
      <c r="AJ82" s="323" t="s">
        <v>1836</v>
      </c>
      <c r="AK82" s="323" t="s">
        <v>1847</v>
      </c>
      <c r="AL82" s="323" t="s">
        <v>1852</v>
      </c>
    </row>
    <row r="83" spans="1:39">
      <c r="A83" s="326">
        <v>43971</v>
      </c>
      <c r="B83" s="324">
        <f>[17]PVA!$I$138</f>
        <v>1.59798149705635E-2</v>
      </c>
      <c r="C83" s="324">
        <f>[17]PVA!$I$139</f>
        <v>0</v>
      </c>
      <c r="D83" s="324">
        <f>[17]PVA!$I$140</f>
        <v>0</v>
      </c>
      <c r="E83" s="324">
        <f>[17]PVA!$I$141</f>
        <v>7.4280408542246983E-3</v>
      </c>
      <c r="F83" s="324">
        <f>[17]PVA!$O$132</f>
        <v>1.59798149705635E-2</v>
      </c>
      <c r="G83" s="324">
        <f>[17]PVA!$O$135</f>
        <v>3.2108664512634277E-2</v>
      </c>
      <c r="AG83" s="396">
        <v>43484</v>
      </c>
      <c r="AH83" s="327"/>
      <c r="AI83" s="327"/>
      <c r="AJ83" s="327"/>
      <c r="AK83" s="327"/>
      <c r="AL83" s="327"/>
    </row>
    <row r="84" spans="1:39">
      <c r="A84" s="326">
        <v>44002</v>
      </c>
      <c r="B84" s="324">
        <f>[18]PVA!$I$138</f>
        <v>2.0605816035713386E-2</v>
      </c>
      <c r="C84" s="324">
        <f>[18]PVA!$I$139</f>
        <v>2.7085179091254272E-2</v>
      </c>
      <c r="D84" s="324">
        <f>[18]PVA!$I$140</f>
        <v>9.2866890789867849E-3</v>
      </c>
      <c r="E84" s="324">
        <f>[18]PVA!$I$141</f>
        <v>1.1956643200357582E-2</v>
      </c>
      <c r="F84" s="324">
        <f>[18]PVA!$O$132</f>
        <v>2.7449408936084954E-2</v>
      </c>
      <c r="G84" s="324">
        <f>[18]PVA!$O$133</f>
        <v>5.2741836105976589E-2</v>
      </c>
      <c r="AG84" s="396">
        <v>43515</v>
      </c>
      <c r="AH84" s="431"/>
      <c r="AI84" s="431"/>
      <c r="AJ84" s="431"/>
      <c r="AK84" s="431"/>
      <c r="AL84" s="431"/>
    </row>
    <row r="85" spans="1:39">
      <c r="A85" s="326">
        <v>44032</v>
      </c>
      <c r="B85" s="324">
        <f>PVA!I154</f>
        <v>1.8598094577636878E-2</v>
      </c>
      <c r="C85" s="324">
        <f>PVA!I155</f>
        <v>2.7320997191872372E-2</v>
      </c>
      <c r="D85" s="324">
        <f>PVA!I156</f>
        <v>8.260781345840339E-3</v>
      </c>
      <c r="E85" s="324">
        <f>PVA!I157</f>
        <v>1.5611394452046274E-2</v>
      </c>
      <c r="F85" s="324">
        <f>PVA!O145</f>
        <v>2.590854302886203E-2</v>
      </c>
      <c r="G85" s="324">
        <f>PVA!O146</f>
        <v>4.2710517602913584E-2</v>
      </c>
      <c r="AG85" s="396">
        <v>43543</v>
      </c>
      <c r="AH85" s="324">
        <v>1.9404219883850455E-2</v>
      </c>
      <c r="AI85" s="324">
        <v>7.3155664416001045E-5</v>
      </c>
      <c r="AJ85" s="324">
        <v>1.5248064330354286E-2</v>
      </c>
      <c r="AK85" s="324">
        <v>1.1966276856132716E-4</v>
      </c>
      <c r="AL85" s="324">
        <v>3.4461553205763024E-2</v>
      </c>
    </row>
    <row r="86" spans="1:39">
      <c r="A86" s="326"/>
      <c r="B86" s="324"/>
      <c r="C86" s="324"/>
      <c r="D86" s="324"/>
      <c r="E86" s="324"/>
      <c r="F86" s="324"/>
      <c r="G86" s="324"/>
      <c r="AG86" s="396">
        <v>43574</v>
      </c>
      <c r="AH86" s="324">
        <v>4.2535554782128157E-2</v>
      </c>
      <c r="AI86" s="324">
        <v>5.0351370918136839E-4</v>
      </c>
      <c r="AJ86" s="324">
        <v>2.3133383180992784E-2</v>
      </c>
      <c r="AK86" s="324">
        <v>4.1915540186524154E-5</v>
      </c>
      <c r="AL86" s="324">
        <v>6.1903571930591782E-2</v>
      </c>
    </row>
    <row r="87" spans="1:39">
      <c r="A87" s="326"/>
      <c r="B87" s="324"/>
      <c r="C87" s="324"/>
      <c r="D87" s="324"/>
      <c r="E87" s="324"/>
      <c r="F87" s="324"/>
      <c r="G87" s="324"/>
    </row>
    <row r="88" spans="1:39">
      <c r="A88" s="326"/>
      <c r="B88" s="324"/>
      <c r="C88" s="324"/>
      <c r="D88" s="324"/>
      <c r="E88" s="324"/>
      <c r="F88" s="324"/>
      <c r="G88" s="324"/>
    </row>
    <row r="89" spans="1:39">
      <c r="A89" s="326"/>
      <c r="B89" s="324"/>
      <c r="C89" s="324"/>
      <c r="D89" s="324"/>
      <c r="E89" s="324"/>
      <c r="F89" s="324"/>
      <c r="G89" s="324"/>
    </row>
    <row r="90" spans="1:39">
      <c r="A90" s="326"/>
      <c r="B90" s="324"/>
      <c r="C90" s="324"/>
      <c r="D90" s="324"/>
      <c r="E90" s="324"/>
      <c r="F90" s="324"/>
      <c r="G90" s="324"/>
    </row>
    <row r="91" spans="1:39">
      <c r="A91" s="326"/>
      <c r="B91" s="324"/>
      <c r="C91" s="324"/>
      <c r="D91" s="324"/>
      <c r="E91" s="324"/>
      <c r="F91" s="324"/>
      <c r="G91" s="324"/>
    </row>
    <row r="92" spans="1:39">
      <c r="A92" s="326"/>
      <c r="B92" s="324"/>
      <c r="C92" s="324"/>
      <c r="D92" s="324"/>
      <c r="E92" s="324"/>
      <c r="F92" s="324"/>
      <c r="G92" s="324"/>
    </row>
    <row r="93" spans="1:39">
      <c r="A93" s="326"/>
      <c r="B93" s="324"/>
      <c r="C93" s="324"/>
      <c r="D93" s="324"/>
      <c r="E93" s="324"/>
      <c r="F93" s="324"/>
      <c r="G93" s="324"/>
    </row>
    <row r="94" spans="1:39">
      <c r="A94" s="326"/>
      <c r="B94" s="430" t="s">
        <v>1832</v>
      </c>
      <c r="C94" s="323" t="s">
        <v>1834</v>
      </c>
      <c r="D94" s="323" t="s">
        <v>1836</v>
      </c>
      <c r="E94" s="323" t="s">
        <v>1847</v>
      </c>
      <c r="F94" s="323" t="s">
        <v>1852</v>
      </c>
    </row>
    <row r="95" spans="1:39">
      <c r="A95" s="326">
        <v>43484</v>
      </c>
      <c r="B95" s="327">
        <v>1.9681131760774996E-2</v>
      </c>
      <c r="C95" s="327">
        <v>1.0062509528891599E-4</v>
      </c>
      <c r="D95" s="327">
        <v>1.3600876216161795E-2</v>
      </c>
      <c r="E95" s="327">
        <v>1.6188752552841749E-4</v>
      </c>
      <c r="F95" s="327">
        <v>1.6641003988468395E-2</v>
      </c>
    </row>
    <row r="96" spans="1:39">
      <c r="A96" s="326">
        <v>43515</v>
      </c>
      <c r="B96" s="431">
        <v>3.1199999999999999E-2</v>
      </c>
      <c r="C96" s="431">
        <v>5.7000000000000002E-3</v>
      </c>
      <c r="D96" s="431">
        <v>2.9399999999999999E-2</v>
      </c>
      <c r="E96" s="431">
        <v>2.0000000000000001E-4</v>
      </c>
      <c r="F96" s="431">
        <v>6.1699999999999998E-2</v>
      </c>
    </row>
    <row r="97" spans="1:6">
      <c r="A97" s="326">
        <v>43543</v>
      </c>
      <c r="B97" s="324">
        <v>1.9404219883850455E-2</v>
      </c>
      <c r="C97" s="324">
        <v>7.3155664416001045E-5</v>
      </c>
      <c r="D97" s="324">
        <v>1.5248064330354286E-2</v>
      </c>
      <c r="E97" s="324">
        <v>1.1966276856132716E-4</v>
      </c>
      <c r="F97" s="324">
        <v>3.4461553205763024E-2</v>
      </c>
    </row>
    <row r="98" spans="1:6">
      <c r="A98" s="326">
        <v>43574</v>
      </c>
      <c r="B98" s="324">
        <v>4.2535554782128157E-2</v>
      </c>
      <c r="C98" s="324">
        <v>5.0351370918136839E-4</v>
      </c>
      <c r="D98" s="324">
        <v>2.3133383180992784E-2</v>
      </c>
      <c r="E98" s="324">
        <v>4.1915540186524154E-5</v>
      </c>
      <c r="F98" s="324">
        <v>6.1903571930591782E-2</v>
      </c>
    </row>
    <row r="99" spans="1:6">
      <c r="A99" s="326">
        <v>43604</v>
      </c>
      <c r="B99" s="324">
        <v>3.6999999999999998E-2</v>
      </c>
      <c r="C99" s="324">
        <v>0</v>
      </c>
      <c r="D99" s="324">
        <v>1.2699999999999999E-2</v>
      </c>
      <c r="E99" s="324">
        <v>1E-4</v>
      </c>
      <c r="F99" s="324">
        <v>5.1299999999999998E-2</v>
      </c>
    </row>
    <row r="100" spans="1:6">
      <c r="A100" s="326">
        <v>43635</v>
      </c>
      <c r="B100" s="324">
        <v>1.8806189145733267E-2</v>
      </c>
      <c r="C100" s="324">
        <v>1.933108983783666E-4</v>
      </c>
      <c r="D100" s="324">
        <v>1.0863997672903875E-2</v>
      </c>
      <c r="E100" s="324">
        <v>3.9682539682539683E-4</v>
      </c>
      <c r="F100" s="324">
        <v>2.7644854936074596E-2</v>
      </c>
    </row>
    <row r="101" spans="1:6">
      <c r="A101" s="326">
        <v>43665</v>
      </c>
      <c r="B101" s="327">
        <v>2.431011826544021E-2</v>
      </c>
      <c r="C101" s="327">
        <v>0</v>
      </c>
      <c r="D101" s="327">
        <v>1.7835575057270805E-2</v>
      </c>
      <c r="E101" s="327">
        <v>1.9624479806987469E-4</v>
      </c>
      <c r="F101" s="327">
        <v>4.326092021134316E-2</v>
      </c>
    </row>
    <row r="102" spans="1:6">
      <c r="A102" s="326">
        <v>43696</v>
      </c>
      <c r="B102" s="324">
        <v>1.986902091097114E-2</v>
      </c>
      <c r="C102" s="324">
        <v>0</v>
      </c>
      <c r="D102" s="324">
        <v>1.6913880160184396E-2</v>
      </c>
      <c r="E102" s="324">
        <v>1.8757928927194554E-4</v>
      </c>
      <c r="F102" s="324">
        <v>3.8397426255023008E-2</v>
      </c>
    </row>
    <row r="103" spans="1:6">
      <c r="A103" s="326">
        <v>43727</v>
      </c>
      <c r="B103" s="324">
        <v>1.9526761100095862E-2</v>
      </c>
      <c r="C103" s="324">
        <v>0</v>
      </c>
      <c r="D103" s="324">
        <v>1.0362475661142826E-2</v>
      </c>
      <c r="E103" s="324">
        <v>9.7617114849104494E-5</v>
      </c>
      <c r="F103" s="324">
        <v>2.9818575877200815E-2</v>
      </c>
    </row>
    <row r="104" spans="1:6">
      <c r="A104" s="326">
        <v>43757</v>
      </c>
      <c r="B104" s="324">
        <v>1.6341442268309383E-2</v>
      </c>
      <c r="C104" s="324">
        <v>0</v>
      </c>
      <c r="D104" s="324">
        <v>8.281419153253252E-3</v>
      </c>
      <c r="E104" s="324">
        <v>2.353245714151243E-5</v>
      </c>
      <c r="F104" s="324">
        <v>2.3809806376577678E-2</v>
      </c>
    </row>
    <row r="105" spans="1:6">
      <c r="A105" s="326">
        <v>43788</v>
      </c>
      <c r="B105" s="324">
        <v>2.4862828194945341E-2</v>
      </c>
      <c r="C105" s="324">
        <v>0</v>
      </c>
      <c r="D105" s="324">
        <v>1.0287511867480977E-2</v>
      </c>
      <c r="E105" s="324">
        <v>4.9856247818789156E-5</v>
      </c>
      <c r="F105" s="324">
        <v>3.4727407217049769E-2</v>
      </c>
    </row>
    <row r="106" spans="1:6">
      <c r="A106" s="326">
        <v>43818</v>
      </c>
      <c r="B106" s="324">
        <v>2.0447450971368967E-2</v>
      </c>
      <c r="C106" s="324">
        <v>0</v>
      </c>
      <c r="D106" s="324">
        <v>1.4085595893376214E-2</v>
      </c>
      <c r="E106" s="324">
        <v>-1.1388483965014577E-5</v>
      </c>
      <c r="F106" s="324">
        <v>3.3954586024840021E-2</v>
      </c>
    </row>
    <row r="107" spans="1:6">
      <c r="A107" s="322">
        <v>43831</v>
      </c>
      <c r="B107" s="328">
        <f>PVA!I158</f>
        <v>1.3419078385305426E-2</v>
      </c>
      <c r="C107" s="328">
        <f>PVA!I160</f>
        <v>2.1200579605411125E-4</v>
      </c>
      <c r="D107" s="328">
        <f>PVA!I162</f>
        <v>6.6356269815569299E-3</v>
      </c>
      <c r="E107" s="328">
        <f>PVA!I163</f>
        <v>6.14704476166231E-4</v>
      </c>
      <c r="F107" s="328">
        <f>PVA!O148</f>
        <v>1.9848288658692866E-2</v>
      </c>
    </row>
    <row r="108" spans="1:6">
      <c r="A108" s="322">
        <v>43881</v>
      </c>
      <c r="B108" s="324">
        <f>[15]PVA!$I$142</f>
        <v>1.4779850175814097E-2</v>
      </c>
      <c r="C108" s="324">
        <f>[15]PVA!$I$144</f>
        <v>0</v>
      </c>
      <c r="D108" s="324">
        <f>[15]PVA!$I$146</f>
        <v>1.6275090290975444E-2</v>
      </c>
      <c r="E108" s="324">
        <f>[15]PVA!$I$147</f>
        <v>1.433650648010093E-5</v>
      </c>
      <c r="F108" s="324">
        <f>[15]PVA!$O$134</f>
        <v>3.0728158077798041E-2</v>
      </c>
    </row>
    <row r="109" spans="1:6">
      <c r="A109" s="326">
        <v>43910</v>
      </c>
      <c r="B109" s="327">
        <f>[16]PVA!$I$142</f>
        <v>7.968525038844777E-3</v>
      </c>
      <c r="C109" s="327">
        <f>[16]PVA!$I$144</f>
        <v>1.6299918500407498E-5</v>
      </c>
      <c r="D109" s="327">
        <f>[16]PVA!$I$146</f>
        <v>5.1686227476512754E-3</v>
      </c>
      <c r="E109" s="327">
        <f>[16]PVA!$I$147</f>
        <v>5.1516650181338611E-5</v>
      </c>
      <c r="F109" s="327">
        <f>[16]PVA!$O$134</f>
        <v>1.3215359310305711E-2</v>
      </c>
    </row>
    <row r="110" spans="1:6">
      <c r="A110" s="326">
        <v>43971</v>
      </c>
      <c r="B110" s="327">
        <f>[17]PVA!$I$142</f>
        <v>9.4786729857819912E-3</v>
      </c>
      <c r="C110" s="327">
        <f>[17]PVA!$I$144</f>
        <v>0</v>
      </c>
      <c r="D110" s="327">
        <f>[17]PVA!$I$146</f>
        <v>3.5757429330756222E-3</v>
      </c>
      <c r="E110" s="327">
        <f>[17]PVA!$I$147</f>
        <v>0</v>
      </c>
      <c r="F110" s="327">
        <f>[17]PVA!$O$134</f>
        <v>3.2108675517134921E-2</v>
      </c>
    </row>
    <row r="111" spans="1:6">
      <c r="A111" s="326">
        <v>44002</v>
      </c>
      <c r="B111" s="324">
        <f>[18]PVA!$I$142</f>
        <v>1.0507617681218828E-2</v>
      </c>
      <c r="C111" s="324">
        <f>[18]PVA!$I$144</f>
        <v>2.8424568301868916E-4</v>
      </c>
      <c r="D111" s="324">
        <f>[18]PVA!$I$146</f>
        <v>8.1043684522632935E-3</v>
      </c>
      <c r="E111" s="324">
        <f>[18]PVA!$I$147</f>
        <v>1.4013452914798206E-4</v>
      </c>
      <c r="F111" s="324">
        <f>[18]PVA!$O$134</f>
        <v>2.0399329040636328E-2</v>
      </c>
    </row>
    <row r="112" spans="1:6">
      <c r="A112" s="326">
        <v>44032</v>
      </c>
      <c r="B112" s="324">
        <f>PVA!I158</f>
        <v>1.3419078385305426E-2</v>
      </c>
      <c r="C112" s="324">
        <f>PVA!I160</f>
        <v>2.1200579605411125E-4</v>
      </c>
      <c r="D112" s="324">
        <f>PVA!I162</f>
        <v>6.6356269815569299E-3</v>
      </c>
      <c r="E112" s="324">
        <f>PVA!I163</f>
        <v>6.14704476166231E-4</v>
      </c>
      <c r="F112" s="324">
        <f>PVA!O148</f>
        <v>1.9848288658692866E-2</v>
      </c>
    </row>
    <row r="113" spans="1:6">
      <c r="A113" s="326"/>
      <c r="B113" s="327"/>
      <c r="C113" s="327"/>
      <c r="D113" s="327"/>
      <c r="E113" s="327"/>
      <c r="F113" s="327"/>
    </row>
    <row r="114" spans="1:6">
      <c r="A114" s="326"/>
      <c r="B114" s="327"/>
      <c r="C114" s="327"/>
      <c r="D114" s="327"/>
      <c r="E114" s="327"/>
      <c r="F114" s="327"/>
    </row>
    <row r="115" spans="1:6">
      <c r="A115" s="326"/>
      <c r="B115" s="327"/>
      <c r="C115" s="327"/>
      <c r="D115" s="327"/>
      <c r="E115" s="327"/>
      <c r="F115" s="327"/>
    </row>
    <row r="116" spans="1:6">
      <c r="A116" s="326"/>
      <c r="B116" s="327"/>
      <c r="C116" s="327"/>
      <c r="D116" s="327"/>
      <c r="E116" s="327"/>
      <c r="F116" s="327"/>
    </row>
    <row r="117" spans="1:6">
      <c r="A117" s="326"/>
      <c r="B117" s="327"/>
      <c r="C117" s="327"/>
      <c r="D117" s="327"/>
      <c r="E117" s="327"/>
      <c r="F117" s="327"/>
    </row>
    <row r="118" spans="1:6">
      <c r="A118" s="326"/>
      <c r="B118" s="327"/>
      <c r="C118" s="327"/>
      <c r="D118" s="327"/>
      <c r="E118" s="327"/>
      <c r="F118" s="327"/>
    </row>
    <row r="119" spans="1:6">
      <c r="A119" s="326"/>
      <c r="B119" s="327"/>
      <c r="C119" s="327"/>
      <c r="D119" s="327"/>
      <c r="E119" s="327"/>
      <c r="F119" s="327"/>
    </row>
    <row r="120" spans="1:6">
      <c r="A120" s="326"/>
      <c r="B120" s="327"/>
      <c r="C120" s="327"/>
      <c r="D120" s="327"/>
      <c r="E120" s="327"/>
      <c r="F120" s="327"/>
    </row>
  </sheetData>
  <mergeCells count="3">
    <mergeCell ref="B66:C66"/>
    <mergeCell ref="D66:E66"/>
    <mergeCell ref="F66:G66"/>
  </mergeCells>
  <pageMargins left="0.2" right="0.2" top="0.41" bottom="0.35" header="0.3" footer="0.3"/>
  <pageSetup paperSize="9" scale="38" orientation="landscape"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S310"/>
  <sheetViews>
    <sheetView topLeftCell="A4" workbookViewId="0">
      <selection activeCell="B7" sqref="B7"/>
    </sheetView>
  </sheetViews>
  <sheetFormatPr defaultRowHeight="14.5"/>
  <cols>
    <col min="2" max="2" width="15.453125" bestFit="1" customWidth="1"/>
    <col min="3" max="3" width="32.453125" customWidth="1"/>
    <col min="4" max="6" width="15.453125" style="70" customWidth="1"/>
    <col min="9" max="9" width="14.453125" bestFit="1" customWidth="1"/>
    <col min="12" max="12" width="15.453125" bestFit="1" customWidth="1"/>
    <col min="40" max="40" width="27" bestFit="1" customWidth="1"/>
    <col min="41" max="43" width="27.54296875" bestFit="1" customWidth="1"/>
  </cols>
  <sheetData>
    <row r="1" spans="2:43" ht="23.5">
      <c r="B1" s="24" t="s">
        <v>1702</v>
      </c>
      <c r="D1" s="184">
        <v>44166</v>
      </c>
    </row>
    <row r="2" spans="2:43" s="67" customFormat="1" ht="24" thickBot="1">
      <c r="B2" s="24"/>
      <c r="D2" s="70"/>
      <c r="E2" s="70"/>
      <c r="F2" s="70"/>
    </row>
    <row r="3" spans="2:43" s="69" customFormat="1" ht="59.25" customHeight="1" thickBot="1">
      <c r="B3" s="108" t="s">
        <v>1658</v>
      </c>
      <c r="C3" s="109" t="s">
        <v>10</v>
      </c>
      <c r="D3" s="110" t="s">
        <v>1708</v>
      </c>
      <c r="E3" s="110" t="s">
        <v>1703</v>
      </c>
      <c r="F3" s="111" t="s">
        <v>1704</v>
      </c>
      <c r="AN3" s="186">
        <v>7.66</v>
      </c>
      <c r="AO3" s="186">
        <v>11</v>
      </c>
      <c r="AP3" s="186">
        <v>15.333333333333334</v>
      </c>
      <c r="AQ3" s="186">
        <v>22</v>
      </c>
    </row>
    <row r="4" spans="2:43">
      <c r="B4" s="187" t="s">
        <v>1677</v>
      </c>
      <c r="C4" s="188" t="s">
        <v>1683</v>
      </c>
      <c r="D4" s="97"/>
      <c r="E4" s="97">
        <f>SUMIF('Data Sheet Aug-2021'!F:F,'Mold-Machine details'!B:B,'Data Sheet Aug-2021'!N:N)/8</f>
        <v>14822.25</v>
      </c>
      <c r="F4" s="98">
        <f t="shared" ref="F4:F12" si="0">D4-E4</f>
        <v>-14822.25</v>
      </c>
      <c r="AN4" s="189" t="s">
        <v>1712</v>
      </c>
      <c r="AO4" s="189" t="s">
        <v>1713</v>
      </c>
      <c r="AP4" s="189" t="s">
        <v>1714</v>
      </c>
      <c r="AQ4" s="189" t="s">
        <v>1715</v>
      </c>
    </row>
    <row r="5" spans="2:43">
      <c r="B5" s="99" t="s">
        <v>1678</v>
      </c>
      <c r="C5" s="72" t="s">
        <v>1684</v>
      </c>
      <c r="D5" s="73"/>
      <c r="E5" s="73">
        <f>SUMIF('Data Sheet Aug-2021'!F:F,'Mold-Machine details'!B:B,'Data Sheet Aug-2021'!N:N)/8</f>
        <v>133478.5</v>
      </c>
      <c r="F5" s="100">
        <f t="shared" si="0"/>
        <v>-133478.5</v>
      </c>
      <c r="I5" s="203"/>
    </row>
    <row r="6" spans="2:43">
      <c r="B6" s="99" t="s">
        <v>1679</v>
      </c>
      <c r="C6" s="72" t="s">
        <v>1685</v>
      </c>
      <c r="D6" s="73"/>
      <c r="E6" s="73">
        <f>SUMIF('Data Sheet Aug-2021'!F:F,'Mold-Machine details'!B:B,'Data Sheet Aug-2021'!N:N)/2</f>
        <v>34271.5</v>
      </c>
      <c r="F6" s="100">
        <f t="shared" si="0"/>
        <v>-34271.5</v>
      </c>
    </row>
    <row r="7" spans="2:43">
      <c r="B7" s="99" t="s">
        <v>1680</v>
      </c>
      <c r="C7" s="72" t="s">
        <v>1686</v>
      </c>
      <c r="D7" s="73"/>
      <c r="E7" s="73">
        <f>SUMIF('Data Sheet Aug-2021'!F:F,'Mold-Machine details'!B:B,'Data Sheet Aug-2021'!N:N)/2</f>
        <v>39625.5</v>
      </c>
      <c r="F7" s="100">
        <f t="shared" si="0"/>
        <v>-39625.5</v>
      </c>
    </row>
    <row r="8" spans="2:43">
      <c r="B8" s="99" t="s">
        <v>1681</v>
      </c>
      <c r="C8" s="72" t="s">
        <v>1687</v>
      </c>
      <c r="D8" s="73"/>
      <c r="E8" s="73">
        <f>SUMIF('Data Sheet Aug-2021'!F:F,'Mold-Machine details'!B:B,'Data Sheet Aug-2021'!N:N)/2</f>
        <v>111320</v>
      </c>
      <c r="F8" s="100">
        <f t="shared" si="0"/>
        <v>-111320</v>
      </c>
      <c r="L8" s="203"/>
    </row>
    <row r="9" spans="2:43">
      <c r="B9" s="99" t="s">
        <v>1682</v>
      </c>
      <c r="C9" s="72" t="s">
        <v>1688</v>
      </c>
      <c r="D9" s="73"/>
      <c r="E9" s="73">
        <f>SUMIF('Data Sheet Aug-2021'!F:F,'Mold-Machine details'!B:B,'Data Sheet Aug-2021'!N:N)/2</f>
        <v>44573.5</v>
      </c>
      <c r="F9" s="100">
        <f t="shared" si="0"/>
        <v>-44573.5</v>
      </c>
      <c r="L9" s="276"/>
    </row>
    <row r="10" spans="2:43">
      <c r="B10" s="99" t="s">
        <v>1664</v>
      </c>
      <c r="C10" s="72" t="s">
        <v>1689</v>
      </c>
      <c r="D10" s="73"/>
      <c r="E10" s="73">
        <f>SUMIF('Data Sheet Aug-2021'!F:F,'Mold-Machine details'!B:B,'Data Sheet Aug-2021'!N:N)/2</f>
        <v>42052</v>
      </c>
      <c r="F10" s="100">
        <f t="shared" si="0"/>
        <v>-42052</v>
      </c>
      <c r="L10" s="276"/>
    </row>
    <row r="11" spans="2:43" s="67" customFormat="1">
      <c r="B11" s="99" t="s">
        <v>1897</v>
      </c>
      <c r="C11" s="362" t="s">
        <v>1899</v>
      </c>
      <c r="D11" s="73"/>
      <c r="E11" s="73">
        <f>SUMIF('Data Sheet Aug-2021'!F:F,'Mold-Machine details'!B:B,'Data Sheet Aug-2021'!N:N)/2</f>
        <v>0</v>
      </c>
      <c r="F11" s="100">
        <f t="shared" si="0"/>
        <v>0</v>
      </c>
      <c r="L11" s="276"/>
    </row>
    <row r="12" spans="2:43" s="67" customFormat="1" ht="15" thickBot="1">
      <c r="B12" s="101" t="s">
        <v>1898</v>
      </c>
      <c r="C12" s="394" t="s">
        <v>1900</v>
      </c>
      <c r="D12" s="103"/>
      <c r="E12" s="103">
        <f>SUMIF('Data Sheet Aug-2021'!F:F,'Mold-Machine details'!B:B,'Data Sheet Aug-2021'!N:N)/2</f>
        <v>0</v>
      </c>
      <c r="F12" s="104">
        <f t="shared" si="0"/>
        <v>0</v>
      </c>
      <c r="L12" s="276"/>
    </row>
    <row r="13" spans="2:43" s="67" customFormat="1">
      <c r="B13" s="105"/>
      <c r="C13" s="105"/>
      <c r="D13" s="106"/>
      <c r="E13" s="106"/>
      <c r="F13" s="107"/>
      <c r="L13" s="276"/>
    </row>
    <row r="14" spans="2:43" s="67" customFormat="1" ht="23.5">
      <c r="B14" s="24" t="s">
        <v>1707</v>
      </c>
      <c r="C14" s="105"/>
      <c r="D14" s="106"/>
      <c r="E14" s="106"/>
      <c r="F14" s="107"/>
      <c r="L14" s="276"/>
    </row>
    <row r="15" spans="2:43" ht="15" thickBot="1">
      <c r="E15" s="71"/>
      <c r="L15" s="276"/>
    </row>
    <row r="16" spans="2:43" s="69" customFormat="1" ht="56" thickBot="1">
      <c r="B16" s="108" t="s">
        <v>1659</v>
      </c>
      <c r="C16" s="109" t="s">
        <v>10</v>
      </c>
      <c r="D16" s="110" t="s">
        <v>1708</v>
      </c>
      <c r="E16" s="110" t="s">
        <v>1703</v>
      </c>
      <c r="F16" s="111" t="s">
        <v>1704</v>
      </c>
      <c r="L16" s="277"/>
    </row>
    <row r="17" spans="2:6">
      <c r="B17" s="274" t="s">
        <v>1690</v>
      </c>
      <c r="C17" s="275" t="s">
        <v>1694</v>
      </c>
      <c r="D17" s="97">
        <v>0</v>
      </c>
      <c r="E17" s="97">
        <f>SUMIF('Data Sheet Aug-2021'!G:G,'Mold-Machine details'!B:B,'Data Sheet Aug-2021'!N:N)/8</f>
        <v>27113.625</v>
      </c>
      <c r="F17" s="98">
        <f t="shared" ref="F17:F24" si="1">D17-E17</f>
        <v>-27113.625</v>
      </c>
    </row>
    <row r="18" spans="2:6">
      <c r="B18" s="99" t="s">
        <v>1691</v>
      </c>
      <c r="C18" s="72" t="s">
        <v>1695</v>
      </c>
      <c r="D18" s="73"/>
      <c r="E18" s="73">
        <f>SUMIF('Data Sheet Aug-2021'!G:G,'Mold-Machine details'!B:B,'Data Sheet Aug-2021'!N:N)/8</f>
        <v>122435</v>
      </c>
      <c r="F18" s="100">
        <f t="shared" si="1"/>
        <v>-122435</v>
      </c>
    </row>
    <row r="19" spans="2:6">
      <c r="B19" s="99" t="s">
        <v>1665</v>
      </c>
      <c r="C19" s="72" t="s">
        <v>1696</v>
      </c>
      <c r="D19" s="73"/>
      <c r="E19" s="73">
        <f>SUMIF('Data Sheet Aug-2021'!G:G,'Mold-Machine details'!B:B,'Data Sheet Aug-2021'!N:N)/2</f>
        <v>93384.5</v>
      </c>
      <c r="F19" s="100">
        <f t="shared" si="1"/>
        <v>-93384.5</v>
      </c>
    </row>
    <row r="20" spans="2:6" s="67" customFormat="1">
      <c r="B20" s="99" t="s">
        <v>1888</v>
      </c>
      <c r="C20" s="72" t="s">
        <v>1901</v>
      </c>
      <c r="D20" s="73"/>
      <c r="E20" s="73">
        <f>SUMIF('Data Sheet Aug-2021'!G:G,'Mold-Machine details'!B:B,'Data Sheet Aug-2021'!N:N)/2</f>
        <v>201966</v>
      </c>
      <c r="F20" s="100">
        <f>D20-E20</f>
        <v>-201966</v>
      </c>
    </row>
    <row r="21" spans="2:6">
      <c r="B21" s="99" t="s">
        <v>1692</v>
      </c>
      <c r="C21" s="72" t="s">
        <v>1697</v>
      </c>
      <c r="D21" s="73"/>
      <c r="E21" s="73">
        <f>SUMIF('Data Sheet Aug-2021'!G:G,'Mold-Machine details'!B:B,'Data Sheet Aug-2021'!N:N)</f>
        <v>877399</v>
      </c>
      <c r="F21" s="100">
        <f>D21-E21</f>
        <v>-877399</v>
      </c>
    </row>
    <row r="22" spans="2:6" s="67" customFormat="1">
      <c r="B22" s="99" t="s">
        <v>1705</v>
      </c>
      <c r="C22" s="72" t="s">
        <v>1706</v>
      </c>
      <c r="D22" s="73"/>
      <c r="E22" s="73">
        <f>SUMIF('Data Sheet Aug-2021'!G:G,'Mold-Machine details'!B:B,'Data Sheet Aug-2021'!N:N)</f>
        <v>294260</v>
      </c>
      <c r="F22" s="100">
        <f t="shared" si="1"/>
        <v>-294260</v>
      </c>
    </row>
    <row r="23" spans="2:6" s="67" customFormat="1">
      <c r="B23" s="99" t="s">
        <v>1698</v>
      </c>
      <c r="C23" s="72" t="s">
        <v>1699</v>
      </c>
      <c r="D23" s="73"/>
      <c r="E23" s="73">
        <f>SUMIF('Data Sheet Aug-2021'!G:G,'Mold-Machine details'!B:B,'Data Sheet Aug-2021'!N:N)</f>
        <v>168904</v>
      </c>
      <c r="F23" s="100">
        <f t="shared" si="1"/>
        <v>-168904</v>
      </c>
    </row>
    <row r="24" spans="2:6">
      <c r="B24" s="99" t="s">
        <v>1693</v>
      </c>
      <c r="C24" s="72" t="s">
        <v>1700</v>
      </c>
      <c r="D24" s="73"/>
      <c r="E24" s="73">
        <f>SUMIF('Data Sheet Aug-2021'!G:G,'Mold-Machine details'!B:B,'Data Sheet Aug-2021'!N:N)</f>
        <v>526064</v>
      </c>
      <c r="F24" s="100">
        <f t="shared" si="1"/>
        <v>-526064</v>
      </c>
    </row>
    <row r="25" spans="2:6" ht="15" thickBot="1">
      <c r="B25" s="101" t="s">
        <v>1812</v>
      </c>
      <c r="C25" s="102" t="s">
        <v>1813</v>
      </c>
      <c r="D25" s="103"/>
      <c r="E25" s="103">
        <f>SUMIF('Data Sheet Aug-2021'!G:G,'Mold-Machine details'!B:B,'Data Sheet Aug-2021'!N:N)</f>
        <v>785325</v>
      </c>
      <c r="F25" s="104">
        <f>D25-E25</f>
        <v>-785325</v>
      </c>
    </row>
    <row r="304" spans="42:42">
      <c r="AP304">
        <v>50</v>
      </c>
    </row>
    <row r="306" spans="1:45">
      <c r="K306">
        <v>6000</v>
      </c>
      <c r="AP306">
        <v>50</v>
      </c>
    </row>
    <row r="307" spans="1:45">
      <c r="G307" t="s">
        <v>1717</v>
      </c>
      <c r="J307">
        <f>6871/1412</f>
        <v>4.8661473087818701</v>
      </c>
      <c r="K307">
        <f>12000-M307</f>
        <v>12000</v>
      </c>
      <c r="N307">
        <v>6815</v>
      </c>
      <c r="O307">
        <v>0</v>
      </c>
      <c r="P307">
        <v>0</v>
      </c>
      <c r="Q307">
        <v>0</v>
      </c>
      <c r="R307">
        <v>0</v>
      </c>
      <c r="S307">
        <v>56</v>
      </c>
      <c r="T307">
        <v>0</v>
      </c>
      <c r="U307">
        <v>3</v>
      </c>
      <c r="AL307" s="231" t="s">
        <v>1791</v>
      </c>
      <c r="AP307">
        <v>50</v>
      </c>
    </row>
    <row r="308" spans="1:45">
      <c r="A308" s="67"/>
      <c r="B308" s="67"/>
      <c r="G308" t="s">
        <v>1796</v>
      </c>
      <c r="I308" s="67"/>
      <c r="J308">
        <f>8.5-J307</f>
        <v>3.6338526912181299</v>
      </c>
      <c r="K308">
        <f>12000-K307</f>
        <v>0</v>
      </c>
      <c r="N308">
        <v>5310</v>
      </c>
      <c r="O308">
        <v>0</v>
      </c>
      <c r="P308">
        <v>0</v>
      </c>
      <c r="Q308">
        <v>0</v>
      </c>
      <c r="R308">
        <v>0</v>
      </c>
      <c r="S308">
        <v>2342</v>
      </c>
      <c r="T308">
        <v>0</v>
      </c>
      <c r="U308">
        <v>3</v>
      </c>
      <c r="AL308" s="231" t="s">
        <v>1791</v>
      </c>
    </row>
    <row r="309" spans="1:45">
      <c r="A309" s="67"/>
      <c r="B309" s="67"/>
      <c r="D309" s="70" t="s">
        <v>109</v>
      </c>
      <c r="F309" s="70" t="s">
        <v>1693</v>
      </c>
      <c r="I309" t="s">
        <v>1798</v>
      </c>
      <c r="J309">
        <v>8.5</v>
      </c>
      <c r="K309">
        <v>15000</v>
      </c>
      <c r="N309">
        <v>14290</v>
      </c>
      <c r="O309">
        <v>0</v>
      </c>
      <c r="P309">
        <v>0</v>
      </c>
      <c r="Q309">
        <v>0</v>
      </c>
      <c r="R309">
        <v>0</v>
      </c>
      <c r="S309">
        <v>2</v>
      </c>
      <c r="T309">
        <v>0</v>
      </c>
      <c r="U309">
        <v>2</v>
      </c>
      <c r="AL309" s="231" t="s">
        <v>1797</v>
      </c>
      <c r="AP309">
        <v>50</v>
      </c>
      <c r="AS309">
        <v>120</v>
      </c>
    </row>
    <row r="310" spans="1:45">
      <c r="A310" s="67"/>
      <c r="B310" s="67"/>
      <c r="C310" s="67"/>
      <c r="D310" s="70" t="s">
        <v>69</v>
      </c>
      <c r="F310" s="70" t="s">
        <v>1698</v>
      </c>
      <c r="H310" s="67"/>
      <c r="I310" t="s">
        <v>1799</v>
      </c>
      <c r="J310">
        <v>8.5</v>
      </c>
      <c r="K310">
        <v>4000</v>
      </c>
      <c r="L310" s="67"/>
      <c r="M310" s="67"/>
      <c r="N310">
        <v>3780</v>
      </c>
      <c r="O310">
        <v>0</v>
      </c>
      <c r="P310">
        <v>0</v>
      </c>
      <c r="Q310">
        <v>140</v>
      </c>
      <c r="R310">
        <v>0</v>
      </c>
      <c r="S310">
        <v>43</v>
      </c>
      <c r="T310">
        <v>0</v>
      </c>
      <c r="U310">
        <v>6</v>
      </c>
      <c r="AL310" s="231" t="s">
        <v>1797</v>
      </c>
      <c r="AP310">
        <v>50</v>
      </c>
    </row>
  </sheetData>
  <sortState ref="B4:F12">
    <sortCondition sortBy="icon" ref="E10"/>
  </sortState>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30"/>
  <sheetViews>
    <sheetView topLeftCell="P19" workbookViewId="0">
      <selection activeCell="T30" sqref="T30"/>
    </sheetView>
  </sheetViews>
  <sheetFormatPr defaultColWidth="9.453125" defaultRowHeight="14.5"/>
  <cols>
    <col min="1" max="1" width="16" style="191" customWidth="1"/>
    <col min="2" max="2" width="44.453125" style="191" customWidth="1"/>
    <col min="3" max="3" width="9.453125" style="192"/>
    <col min="4" max="4" width="26.453125" style="191" customWidth="1"/>
    <col min="5" max="5" width="15.54296875" style="191" customWidth="1"/>
    <col min="6" max="6" width="15.54296875" style="192" customWidth="1"/>
    <col min="7" max="7" width="47.54296875" style="191" customWidth="1"/>
    <col min="8" max="8" width="9.453125" style="192"/>
    <col min="9" max="9" width="9.453125" style="191"/>
    <col min="10" max="10" width="15.54296875" style="191" customWidth="1"/>
    <col min="11" max="11" width="37.453125" style="191" customWidth="1"/>
    <col min="12" max="13" width="9.453125" style="191"/>
    <col min="14" max="14" width="15.54296875" style="191" customWidth="1"/>
    <col min="15" max="15" width="36.54296875" style="191" bestFit="1" customWidth="1"/>
    <col min="16" max="17" width="9.453125" style="191"/>
    <col min="18" max="18" width="16.453125" style="191" customWidth="1"/>
    <col min="19" max="19" width="40.453125" style="191" bestFit="1" customWidth="1"/>
    <col min="20" max="21" width="9.453125" style="191"/>
    <col min="22" max="22" width="16.54296875" style="191" customWidth="1"/>
    <col min="23" max="23" width="40.453125" style="191" bestFit="1" customWidth="1"/>
    <col min="24" max="25" width="9.453125" style="191"/>
    <col min="26" max="26" width="16.453125" style="191" customWidth="1"/>
    <col min="27" max="27" width="40.453125" style="191" bestFit="1" customWidth="1"/>
    <col min="28" max="16384" width="9.453125" style="191"/>
  </cols>
  <sheetData>
    <row r="1" spans="1:28" ht="28.5">
      <c r="A1" s="190" t="s">
        <v>1720</v>
      </c>
      <c r="F1" s="190" t="s">
        <v>1721</v>
      </c>
      <c r="J1" s="190" t="s">
        <v>1722</v>
      </c>
      <c r="N1" s="190" t="s">
        <v>1723</v>
      </c>
      <c r="P1" s="192"/>
      <c r="R1" s="190" t="s">
        <v>1724</v>
      </c>
      <c r="T1" s="192"/>
      <c r="V1" s="190" t="s">
        <v>1724</v>
      </c>
      <c r="X1" s="192"/>
      <c r="Z1" s="190" t="s">
        <v>1724</v>
      </c>
      <c r="AB1" s="192"/>
    </row>
    <row r="2" spans="1:28">
      <c r="A2" s="192" t="s">
        <v>1725</v>
      </c>
      <c r="B2" s="191" t="s">
        <v>1726</v>
      </c>
      <c r="C2" s="192">
        <v>45</v>
      </c>
      <c r="D2" s="201"/>
      <c r="F2" s="192" t="s">
        <v>1725</v>
      </c>
      <c r="G2" s="191" t="s">
        <v>1726</v>
      </c>
      <c r="H2" s="192">
        <v>80</v>
      </c>
      <c r="J2" s="192" t="s">
        <v>1725</v>
      </c>
      <c r="K2" s="191" t="s">
        <v>1727</v>
      </c>
      <c r="L2" s="192">
        <v>20</v>
      </c>
      <c r="N2" s="192" t="s">
        <v>1725</v>
      </c>
      <c r="O2" s="191" t="s">
        <v>1726</v>
      </c>
      <c r="P2" s="192">
        <v>80</v>
      </c>
      <c r="R2" s="192" t="s">
        <v>1725</v>
      </c>
      <c r="S2" s="191" t="s">
        <v>1728</v>
      </c>
      <c r="T2" s="192">
        <v>5</v>
      </c>
      <c r="V2" s="192" t="s">
        <v>1725</v>
      </c>
      <c r="W2" s="191" t="s">
        <v>1728</v>
      </c>
      <c r="X2" s="192">
        <v>5</v>
      </c>
      <c r="Z2" s="192" t="s">
        <v>1725</v>
      </c>
      <c r="AA2" s="191" t="s">
        <v>1728</v>
      </c>
      <c r="AB2" s="192">
        <v>5</v>
      </c>
    </row>
    <row r="3" spans="1:28">
      <c r="A3" s="192" t="s">
        <v>1792</v>
      </c>
      <c r="B3" s="191" t="s">
        <v>1729</v>
      </c>
      <c r="C3" s="192">
        <v>10</v>
      </c>
      <c r="D3" s="201"/>
      <c r="G3" s="191" t="s">
        <v>1730</v>
      </c>
      <c r="H3" s="192">
        <v>10</v>
      </c>
      <c r="J3" s="192"/>
      <c r="K3" s="191" t="s">
        <v>1729</v>
      </c>
      <c r="L3" s="192">
        <v>10</v>
      </c>
      <c r="N3" s="192"/>
      <c r="O3" s="191" t="s">
        <v>1731</v>
      </c>
      <c r="P3" s="192">
        <v>10</v>
      </c>
      <c r="R3" s="192"/>
      <c r="S3" s="191" t="s">
        <v>1732</v>
      </c>
      <c r="T3" s="192">
        <v>5</v>
      </c>
      <c r="V3" s="192"/>
      <c r="W3" s="191" t="s">
        <v>1732</v>
      </c>
      <c r="X3" s="192">
        <v>5</v>
      </c>
      <c r="Z3" s="192"/>
      <c r="AA3" s="191" t="s">
        <v>1732</v>
      </c>
      <c r="AB3" s="192">
        <v>5</v>
      </c>
    </row>
    <row r="4" spans="1:28">
      <c r="A4" s="192"/>
      <c r="B4" s="191" t="s">
        <v>1733</v>
      </c>
      <c r="C4" s="192">
        <v>10</v>
      </c>
      <c r="D4" s="201"/>
      <c r="G4" s="191" t="s">
        <v>1734</v>
      </c>
      <c r="H4" s="192">
        <v>10</v>
      </c>
      <c r="J4" s="192"/>
      <c r="K4" s="191" t="s">
        <v>1733</v>
      </c>
      <c r="L4" s="192">
        <v>15</v>
      </c>
      <c r="N4" s="192"/>
      <c r="O4" s="191" t="s">
        <v>1735</v>
      </c>
      <c r="P4" s="192">
        <v>30</v>
      </c>
      <c r="R4" s="192"/>
      <c r="S4" s="191" t="s">
        <v>1736</v>
      </c>
      <c r="T4" s="192">
        <v>5</v>
      </c>
      <c r="V4" s="192"/>
      <c r="W4" s="191" t="s">
        <v>1736</v>
      </c>
      <c r="X4" s="192">
        <v>5</v>
      </c>
      <c r="Z4" s="192"/>
      <c r="AA4" s="191" t="s">
        <v>1736</v>
      </c>
      <c r="AB4" s="192">
        <v>5</v>
      </c>
    </row>
    <row r="5" spans="1:28">
      <c r="A5" s="192"/>
      <c r="B5" s="191" t="s">
        <v>1737</v>
      </c>
      <c r="C5" s="192">
        <v>5</v>
      </c>
      <c r="D5" s="201"/>
      <c r="G5" s="191" t="s">
        <v>1738</v>
      </c>
      <c r="H5" s="192">
        <v>10</v>
      </c>
      <c r="K5" s="191" t="s">
        <v>1739</v>
      </c>
      <c r="L5" s="192">
        <v>10</v>
      </c>
      <c r="N5" s="192"/>
      <c r="O5" s="191" t="s">
        <v>1740</v>
      </c>
      <c r="P5" s="192">
        <v>25</v>
      </c>
      <c r="R5" s="192" t="s">
        <v>1741</v>
      </c>
      <c r="S5" s="191" t="s">
        <v>1742</v>
      </c>
      <c r="T5" s="192">
        <v>5</v>
      </c>
      <c r="W5" s="191" t="s">
        <v>1743</v>
      </c>
      <c r="X5" s="192">
        <v>10</v>
      </c>
      <c r="AA5" s="191" t="s">
        <v>1743</v>
      </c>
      <c r="AB5" s="192">
        <v>10</v>
      </c>
    </row>
    <row r="6" spans="1:28">
      <c r="A6" s="192"/>
      <c r="B6" s="191" t="s">
        <v>1744</v>
      </c>
      <c r="C6" s="192">
        <v>5</v>
      </c>
      <c r="D6" s="201"/>
      <c r="G6" s="191" t="s">
        <v>1745</v>
      </c>
      <c r="H6" s="192">
        <v>10</v>
      </c>
      <c r="K6" s="191" t="s">
        <v>1736</v>
      </c>
      <c r="L6" s="192">
        <v>2</v>
      </c>
      <c r="N6" s="192" t="s">
        <v>1741</v>
      </c>
      <c r="O6" s="191" t="s">
        <v>1746</v>
      </c>
      <c r="P6" s="192">
        <v>25</v>
      </c>
      <c r="R6" s="192"/>
      <c r="S6" s="191" t="s">
        <v>1747</v>
      </c>
      <c r="T6" s="192">
        <v>5</v>
      </c>
      <c r="V6" s="192" t="s">
        <v>1741</v>
      </c>
      <c r="W6" s="191" t="s">
        <v>1748</v>
      </c>
      <c r="X6" s="192">
        <v>20</v>
      </c>
      <c r="Z6" s="192" t="s">
        <v>1741</v>
      </c>
      <c r="AA6" s="191" t="s">
        <v>1748</v>
      </c>
      <c r="AB6" s="192">
        <v>20</v>
      </c>
    </row>
    <row r="7" spans="1:28">
      <c r="A7" s="192"/>
      <c r="B7" s="191" t="s">
        <v>1749</v>
      </c>
      <c r="C7" s="192">
        <v>20</v>
      </c>
      <c r="D7" s="201"/>
      <c r="G7" s="191" t="s">
        <v>1750</v>
      </c>
      <c r="H7" s="192">
        <v>10</v>
      </c>
      <c r="J7" s="192" t="s">
        <v>1741</v>
      </c>
      <c r="K7" s="191" t="s">
        <v>1739</v>
      </c>
      <c r="L7" s="192">
        <v>5</v>
      </c>
      <c r="N7" s="192"/>
      <c r="O7" s="191" t="s">
        <v>1751</v>
      </c>
      <c r="P7" s="192">
        <v>40</v>
      </c>
      <c r="R7" s="192"/>
      <c r="S7" s="191" t="s">
        <v>1752</v>
      </c>
      <c r="T7" s="192">
        <v>5</v>
      </c>
      <c r="V7" s="192"/>
      <c r="W7" s="191" t="s">
        <v>1753</v>
      </c>
      <c r="X7" s="192">
        <v>15</v>
      </c>
      <c r="Z7" s="192"/>
      <c r="AA7" s="191" t="s">
        <v>1753</v>
      </c>
      <c r="AB7" s="192">
        <v>15</v>
      </c>
    </row>
    <row r="8" spans="1:28">
      <c r="A8" s="192"/>
      <c r="B8" s="191" t="s">
        <v>1754</v>
      </c>
      <c r="C8" s="192">
        <v>5</v>
      </c>
      <c r="D8" s="201"/>
      <c r="F8" s="192" t="s">
        <v>1741</v>
      </c>
      <c r="G8" s="191" t="s">
        <v>1668</v>
      </c>
      <c r="H8" s="192">
        <v>5</v>
      </c>
      <c r="K8" s="191" t="s">
        <v>1755</v>
      </c>
      <c r="L8" s="192">
        <v>30</v>
      </c>
      <c r="N8" s="192"/>
      <c r="O8" s="191" t="s">
        <v>1756</v>
      </c>
      <c r="P8" s="192">
        <v>10</v>
      </c>
      <c r="R8" s="192"/>
      <c r="S8" s="191" t="s">
        <v>1757</v>
      </c>
      <c r="T8" s="192">
        <v>5</v>
      </c>
      <c r="V8" s="192"/>
      <c r="W8" s="191" t="s">
        <v>1752</v>
      </c>
      <c r="X8" s="192">
        <v>10</v>
      </c>
      <c r="Z8" s="192"/>
      <c r="AA8" s="191" t="s">
        <v>1752</v>
      </c>
      <c r="AB8" s="192">
        <v>10</v>
      </c>
    </row>
    <row r="9" spans="1:28">
      <c r="A9" s="192"/>
      <c r="B9" s="191" t="s">
        <v>1758</v>
      </c>
      <c r="C9" s="192">
        <v>5</v>
      </c>
      <c r="D9" s="201"/>
      <c r="G9" s="191" t="s">
        <v>1759</v>
      </c>
      <c r="H9" s="192">
        <v>10</v>
      </c>
      <c r="K9" s="191" t="s">
        <v>1760</v>
      </c>
      <c r="L9" s="192">
        <v>5</v>
      </c>
      <c r="N9" s="192"/>
      <c r="O9" s="191" t="s">
        <v>1761</v>
      </c>
      <c r="P9" s="192">
        <v>120</v>
      </c>
      <c r="R9" s="192"/>
      <c r="S9" s="191" t="s">
        <v>1762</v>
      </c>
      <c r="T9" s="192">
        <v>20</v>
      </c>
      <c r="V9" s="192"/>
      <c r="W9" s="191" t="s">
        <v>1763</v>
      </c>
      <c r="X9" s="192">
        <v>10</v>
      </c>
      <c r="Z9" s="192"/>
      <c r="AA9" s="191" t="s">
        <v>1763</v>
      </c>
      <c r="AB9" s="192">
        <v>10</v>
      </c>
    </row>
    <row r="10" spans="1:28">
      <c r="A10" s="192"/>
      <c r="B10" s="191" t="s">
        <v>1764</v>
      </c>
      <c r="C10" s="192">
        <v>5</v>
      </c>
      <c r="G10" s="191" t="s">
        <v>1765</v>
      </c>
      <c r="H10" s="192">
        <v>20</v>
      </c>
      <c r="K10" s="191" t="s">
        <v>1766</v>
      </c>
      <c r="L10" s="192">
        <v>10</v>
      </c>
      <c r="N10" s="192"/>
      <c r="O10" s="191" t="s">
        <v>1767</v>
      </c>
      <c r="P10" s="192">
        <v>5</v>
      </c>
      <c r="R10" s="192"/>
      <c r="S10" s="191" t="s">
        <v>1768</v>
      </c>
      <c r="T10" s="192">
        <v>5</v>
      </c>
      <c r="V10" s="192"/>
      <c r="W10" s="191" t="s">
        <v>1757</v>
      </c>
      <c r="X10" s="192">
        <v>10</v>
      </c>
      <c r="Z10" s="192"/>
      <c r="AA10" s="191" t="s">
        <v>1757</v>
      </c>
      <c r="AB10" s="192">
        <v>10</v>
      </c>
    </row>
    <row r="11" spans="1:28">
      <c r="A11" s="192"/>
      <c r="B11" s="191" t="s">
        <v>1739</v>
      </c>
      <c r="C11" s="192">
        <v>20</v>
      </c>
      <c r="G11" s="191" t="s">
        <v>1767</v>
      </c>
      <c r="H11" s="192">
        <v>5</v>
      </c>
      <c r="K11" s="191" t="s">
        <v>1769</v>
      </c>
      <c r="L11" s="192">
        <v>1</v>
      </c>
      <c r="N11" s="192"/>
      <c r="O11" s="191" t="s">
        <v>1770</v>
      </c>
      <c r="P11" s="192">
        <v>2</v>
      </c>
      <c r="R11" s="192"/>
      <c r="S11" s="191" t="s">
        <v>1771</v>
      </c>
      <c r="T11" s="192">
        <v>10</v>
      </c>
      <c r="V11" s="192"/>
      <c r="W11" s="191" t="s">
        <v>1772</v>
      </c>
      <c r="X11" s="192">
        <v>5</v>
      </c>
      <c r="Z11" s="192"/>
      <c r="AA11" s="191" t="s">
        <v>1772</v>
      </c>
      <c r="AB11" s="192">
        <v>5</v>
      </c>
    </row>
    <row r="12" spans="1:28">
      <c r="A12" s="192"/>
      <c r="B12" s="191" t="s">
        <v>1736</v>
      </c>
      <c r="C12" s="192">
        <v>10</v>
      </c>
      <c r="G12" s="191" t="s">
        <v>1773</v>
      </c>
      <c r="H12" s="192">
        <v>20</v>
      </c>
      <c r="K12" s="191" t="s">
        <v>1774</v>
      </c>
      <c r="L12" s="192">
        <v>15</v>
      </c>
      <c r="N12" s="192"/>
      <c r="O12" s="191" t="s">
        <v>1655</v>
      </c>
      <c r="P12" s="192">
        <v>2</v>
      </c>
      <c r="R12" s="192"/>
      <c r="S12" s="193" t="s">
        <v>1775</v>
      </c>
      <c r="T12" s="194">
        <f>SUM(T2:T11)</f>
        <v>70</v>
      </c>
      <c r="V12" s="192"/>
      <c r="W12" s="191" t="s">
        <v>1776</v>
      </c>
      <c r="X12" s="192">
        <v>20</v>
      </c>
      <c r="Z12" s="192"/>
      <c r="AA12" s="191" t="s">
        <v>1776</v>
      </c>
      <c r="AB12" s="192">
        <v>20</v>
      </c>
    </row>
    <row r="13" spans="1:28">
      <c r="A13" s="192" t="s">
        <v>1741</v>
      </c>
      <c r="B13" s="191" t="s">
        <v>1739</v>
      </c>
      <c r="C13" s="192">
        <v>10</v>
      </c>
      <c r="G13" s="191" t="s">
        <v>1761</v>
      </c>
      <c r="H13" s="192">
        <v>120</v>
      </c>
      <c r="K13" s="191" t="s">
        <v>1655</v>
      </c>
      <c r="L13" s="192">
        <v>1</v>
      </c>
      <c r="N13" s="192"/>
      <c r="O13" s="191" t="s">
        <v>1777</v>
      </c>
      <c r="P13" s="192">
        <v>10</v>
      </c>
      <c r="R13" s="192"/>
      <c r="S13" s="195" t="s">
        <v>1778</v>
      </c>
      <c r="T13" s="196">
        <f>T12/60</f>
        <v>1.1666666666666667</v>
      </c>
      <c r="V13" s="192"/>
      <c r="W13" s="193" t="s">
        <v>1775</v>
      </c>
      <c r="X13" s="194">
        <f>SUM(X2:X12)</f>
        <v>115</v>
      </c>
      <c r="Z13" s="192"/>
      <c r="AA13" s="193" t="s">
        <v>1775</v>
      </c>
      <c r="AB13" s="194">
        <f>SUM(AB2:AB12)</f>
        <v>115</v>
      </c>
    </row>
    <row r="14" spans="1:28">
      <c r="A14" s="192"/>
      <c r="B14" s="191" t="s">
        <v>1779</v>
      </c>
      <c r="C14" s="192">
        <v>10</v>
      </c>
      <c r="G14" s="191" t="s">
        <v>1767</v>
      </c>
      <c r="H14" s="192">
        <v>5</v>
      </c>
      <c r="K14" s="191" t="s">
        <v>1780</v>
      </c>
      <c r="L14" s="192">
        <v>2</v>
      </c>
      <c r="N14" s="192"/>
      <c r="O14" s="191" t="s">
        <v>1771</v>
      </c>
      <c r="P14" s="192">
        <v>15</v>
      </c>
      <c r="R14" s="192"/>
      <c r="T14" s="192"/>
      <c r="V14" s="192"/>
      <c r="W14" s="195" t="s">
        <v>1778</v>
      </c>
      <c r="X14" s="196">
        <f>X13/60</f>
        <v>1.9166666666666667</v>
      </c>
      <c r="Z14" s="192"/>
      <c r="AA14" s="195" t="s">
        <v>1778</v>
      </c>
      <c r="AB14" s="196">
        <f>AB13/60</f>
        <v>1.9166666666666667</v>
      </c>
    </row>
    <row r="15" spans="1:28">
      <c r="A15" s="192"/>
      <c r="B15" s="191" t="s">
        <v>1781</v>
      </c>
      <c r="C15" s="192">
        <v>5</v>
      </c>
      <c r="G15" s="191" t="s">
        <v>1770</v>
      </c>
      <c r="H15" s="192">
        <v>2</v>
      </c>
      <c r="K15" s="191" t="s">
        <v>1782</v>
      </c>
      <c r="L15" s="192">
        <v>30</v>
      </c>
      <c r="N15" s="192"/>
      <c r="O15" s="193" t="s">
        <v>1775</v>
      </c>
      <c r="P15" s="194">
        <f>SUM(P2:P14)</f>
        <v>374</v>
      </c>
      <c r="R15" s="192"/>
      <c r="V15" s="192"/>
      <c r="Z15" s="192"/>
    </row>
    <row r="16" spans="1:28">
      <c r="A16" s="192"/>
      <c r="B16" s="191" t="s">
        <v>1783</v>
      </c>
      <c r="C16" s="192">
        <v>5</v>
      </c>
      <c r="G16" s="191" t="s">
        <v>1655</v>
      </c>
      <c r="H16" s="192">
        <v>2</v>
      </c>
      <c r="K16" s="191" t="s">
        <v>1771</v>
      </c>
      <c r="L16" s="192">
        <v>15</v>
      </c>
      <c r="N16" s="192"/>
      <c r="O16" s="195" t="s">
        <v>1778</v>
      </c>
      <c r="P16" s="196">
        <f>P15/60</f>
        <v>6.2333333333333334</v>
      </c>
      <c r="R16" s="192" t="s">
        <v>1784</v>
      </c>
      <c r="S16" s="192" t="s">
        <v>1785</v>
      </c>
      <c r="V16" s="192" t="s">
        <v>1784</v>
      </c>
      <c r="W16" s="197" t="s">
        <v>1786</v>
      </c>
      <c r="X16" s="198"/>
      <c r="Y16" s="198"/>
      <c r="Z16" s="199" t="s">
        <v>1784</v>
      </c>
      <c r="AA16" s="197" t="s">
        <v>1787</v>
      </c>
    </row>
    <row r="17" spans="1:27">
      <c r="A17" s="192"/>
      <c r="B17" s="191" t="s">
        <v>1788</v>
      </c>
      <c r="C17" s="192">
        <v>30</v>
      </c>
      <c r="G17" s="191" t="s">
        <v>1777</v>
      </c>
      <c r="H17" s="192">
        <v>10</v>
      </c>
      <c r="K17" s="193" t="s">
        <v>1775</v>
      </c>
      <c r="L17" s="194">
        <f>SUM(L2:L16)</f>
        <v>171</v>
      </c>
      <c r="N17" s="192"/>
      <c r="P17" s="192"/>
      <c r="W17" s="198"/>
      <c r="X17" s="198"/>
      <c r="Y17" s="198"/>
      <c r="Z17" s="198"/>
      <c r="AA17" s="198"/>
    </row>
    <row r="18" spans="1:27">
      <c r="A18" s="192"/>
      <c r="B18" s="191" t="s">
        <v>1789</v>
      </c>
      <c r="C18" s="192">
        <v>10</v>
      </c>
      <c r="G18" s="191" t="s">
        <v>1771</v>
      </c>
      <c r="H18" s="192">
        <v>15</v>
      </c>
      <c r="K18" s="195" t="s">
        <v>1778</v>
      </c>
      <c r="L18" s="196">
        <f>L17/60</f>
        <v>2.85</v>
      </c>
      <c r="N18" s="192"/>
      <c r="P18" s="192"/>
    </row>
    <row r="19" spans="1:27">
      <c r="A19" s="192"/>
      <c r="B19" s="191" t="s">
        <v>1755</v>
      </c>
      <c r="C19" s="192">
        <v>20</v>
      </c>
      <c r="G19" s="193" t="s">
        <v>1775</v>
      </c>
      <c r="H19" s="194">
        <f>SUM(H2:H18)</f>
        <v>344</v>
      </c>
      <c r="N19" s="192"/>
      <c r="O19" s="198"/>
      <c r="P19" s="199"/>
      <c r="Q19" s="198"/>
    </row>
    <row r="20" spans="1:27">
      <c r="A20" s="192"/>
      <c r="B20" s="191" t="s">
        <v>1790</v>
      </c>
      <c r="C20" s="192">
        <v>5</v>
      </c>
      <c r="E20" s="201"/>
      <c r="G20" s="195" t="s">
        <v>1778</v>
      </c>
      <c r="H20" s="196">
        <f>H19/60</f>
        <v>5.7333333333333334</v>
      </c>
      <c r="N20" s="192"/>
      <c r="O20" s="198"/>
      <c r="P20" s="200"/>
      <c r="Q20" s="198"/>
    </row>
    <row r="21" spans="1:27">
      <c r="A21" s="192"/>
      <c r="B21" s="191" t="s">
        <v>1760</v>
      </c>
      <c r="C21" s="192">
        <v>15</v>
      </c>
      <c r="E21" s="201"/>
      <c r="O21" s="198"/>
      <c r="P21" s="198"/>
      <c r="Q21" s="198"/>
    </row>
    <row r="22" spans="1:27">
      <c r="A22" s="192"/>
      <c r="B22" s="191" t="s">
        <v>1766</v>
      </c>
      <c r="C22" s="192">
        <v>10</v>
      </c>
      <c r="E22" s="201"/>
    </row>
    <row r="23" spans="1:27">
      <c r="A23" s="192"/>
      <c r="B23" s="191" t="s">
        <v>1769</v>
      </c>
      <c r="C23" s="192">
        <v>1</v>
      </c>
      <c r="E23" s="201"/>
      <c r="G23" s="201"/>
    </row>
    <row r="24" spans="1:27">
      <c r="A24" s="192"/>
      <c r="B24" s="191" t="s">
        <v>1774</v>
      </c>
      <c r="C24" s="192">
        <v>35</v>
      </c>
    </row>
    <row r="25" spans="1:27">
      <c r="A25" s="192"/>
      <c r="B25" s="191" t="s">
        <v>1655</v>
      </c>
      <c r="C25" s="192">
        <v>1</v>
      </c>
    </row>
    <row r="26" spans="1:27">
      <c r="A26" s="192"/>
      <c r="B26" s="191" t="s">
        <v>1780</v>
      </c>
      <c r="C26" s="192">
        <v>2</v>
      </c>
    </row>
    <row r="27" spans="1:27">
      <c r="A27" s="192"/>
      <c r="B27" s="191" t="s">
        <v>1782</v>
      </c>
      <c r="C27" s="192">
        <v>30</v>
      </c>
    </row>
    <row r="28" spans="1:27">
      <c r="A28" s="192"/>
      <c r="B28" s="193" t="s">
        <v>1775</v>
      </c>
      <c r="C28" s="194">
        <f>SUM(C2:C27)</f>
        <v>329</v>
      </c>
    </row>
    <row r="29" spans="1:27">
      <c r="A29" s="192"/>
      <c r="B29" s="195" t="s">
        <v>1778</v>
      </c>
      <c r="C29" s="196">
        <f>C28/60</f>
        <v>5.4833333333333334</v>
      </c>
    </row>
    <row r="30" spans="1:27">
      <c r="A30" s="192"/>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A1:R101"/>
  <sheetViews>
    <sheetView zoomScale="110" zoomScaleNormal="110" workbookViewId="0">
      <selection activeCell="A4" sqref="A4:A22"/>
    </sheetView>
  </sheetViews>
  <sheetFormatPr defaultRowHeight="11.5"/>
  <cols>
    <col min="1" max="1" width="9.54296875" style="329" customWidth="1"/>
    <col min="2" max="2" width="10" style="329" customWidth="1"/>
    <col min="3" max="3" width="10.54296875" style="329" customWidth="1"/>
    <col min="4" max="4" width="9.54296875" style="329" customWidth="1"/>
    <col min="5" max="5" width="26" style="329" customWidth="1"/>
    <col min="6" max="6" width="7.453125" style="329" customWidth="1"/>
    <col min="7" max="7" width="12" style="329" customWidth="1"/>
    <col min="8" max="9" width="11.54296875" style="329" customWidth="1"/>
    <col min="10" max="15" width="11.453125" style="329" customWidth="1"/>
    <col min="16" max="233" width="9.453125" style="329"/>
    <col min="234" max="234" width="21" style="329" customWidth="1"/>
    <col min="235" max="235" width="14.453125" style="329" customWidth="1"/>
    <col min="236" max="245" width="8.54296875" style="329" bestFit="1" customWidth="1"/>
    <col min="246" max="247" width="6.54296875" style="329" bestFit="1" customWidth="1"/>
    <col min="248" max="248" width="10" style="329" bestFit="1" customWidth="1"/>
    <col min="249" max="249" width="10.453125" style="329" bestFit="1" customWidth="1"/>
    <col min="250" max="250" width="12.54296875" style="329" bestFit="1" customWidth="1"/>
    <col min="251" max="251" width="8.54296875" style="329" bestFit="1" customWidth="1"/>
    <col min="252" max="252" width="9.453125" style="329" bestFit="1" customWidth="1"/>
    <col min="253" max="253" width="14.453125" style="329" bestFit="1" customWidth="1"/>
    <col min="254" max="254" width="9.453125" style="329"/>
    <col min="255" max="255" width="0" style="329" hidden="1" customWidth="1"/>
    <col min="256" max="489" width="9.453125" style="329"/>
    <col min="490" max="490" width="21" style="329" customWidth="1"/>
    <col min="491" max="491" width="14.453125" style="329" customWidth="1"/>
    <col min="492" max="501" width="8.54296875" style="329" bestFit="1" customWidth="1"/>
    <col min="502" max="503" width="6.54296875" style="329" bestFit="1" customWidth="1"/>
    <col min="504" max="504" width="10" style="329" bestFit="1" customWidth="1"/>
    <col min="505" max="505" width="10.453125" style="329" bestFit="1" customWidth="1"/>
    <col min="506" max="506" width="12.54296875" style="329" bestFit="1" customWidth="1"/>
    <col min="507" max="507" width="8.54296875" style="329" bestFit="1" customWidth="1"/>
    <col min="508" max="508" width="9.453125" style="329" bestFit="1" customWidth="1"/>
    <col min="509" max="509" width="14.453125" style="329" bestFit="1" customWidth="1"/>
    <col min="510" max="510" width="9.453125" style="329"/>
    <col min="511" max="511" width="0" style="329" hidden="1" customWidth="1"/>
    <col min="512" max="745" width="9.453125" style="329"/>
    <col min="746" max="746" width="21" style="329" customWidth="1"/>
    <col min="747" max="747" width="14.453125" style="329" customWidth="1"/>
    <col min="748" max="757" width="8.54296875" style="329" bestFit="1" customWidth="1"/>
    <col min="758" max="759" width="6.54296875" style="329" bestFit="1" customWidth="1"/>
    <col min="760" max="760" width="10" style="329" bestFit="1" customWidth="1"/>
    <col min="761" max="761" width="10.453125" style="329" bestFit="1" customWidth="1"/>
    <col min="762" max="762" width="12.54296875" style="329" bestFit="1" customWidth="1"/>
    <col min="763" max="763" width="8.54296875" style="329" bestFit="1" customWidth="1"/>
    <col min="764" max="764" width="9.453125" style="329" bestFit="1" customWidth="1"/>
    <col min="765" max="765" width="14.453125" style="329" bestFit="1" customWidth="1"/>
    <col min="766" max="766" width="9.453125" style="329"/>
    <col min="767" max="767" width="0" style="329" hidden="1" customWidth="1"/>
    <col min="768" max="1001" width="9.453125" style="329"/>
    <col min="1002" max="1002" width="21" style="329" customWidth="1"/>
    <col min="1003" max="1003" width="14.453125" style="329" customWidth="1"/>
    <col min="1004" max="1013" width="8.54296875" style="329" bestFit="1" customWidth="1"/>
    <col min="1014" max="1015" width="6.54296875" style="329" bestFit="1" customWidth="1"/>
    <col min="1016" max="1016" width="10" style="329" bestFit="1" customWidth="1"/>
    <col min="1017" max="1017" width="10.453125" style="329" bestFit="1" customWidth="1"/>
    <col min="1018" max="1018" width="12.54296875" style="329" bestFit="1" customWidth="1"/>
    <col min="1019" max="1019" width="8.54296875" style="329" bestFit="1" customWidth="1"/>
    <col min="1020" max="1020" width="9.453125" style="329" bestFit="1" customWidth="1"/>
    <col min="1021" max="1021" width="14.453125" style="329" bestFit="1" customWidth="1"/>
    <col min="1022" max="1022" width="9.453125" style="329"/>
    <col min="1023" max="1023" width="0" style="329" hidden="1" customWidth="1"/>
    <col min="1024" max="1257" width="9.453125" style="329"/>
    <col min="1258" max="1258" width="21" style="329" customWidth="1"/>
    <col min="1259" max="1259" width="14.453125" style="329" customWidth="1"/>
    <col min="1260" max="1269" width="8.54296875" style="329" bestFit="1" customWidth="1"/>
    <col min="1270" max="1271" width="6.54296875" style="329" bestFit="1" customWidth="1"/>
    <col min="1272" max="1272" width="10" style="329" bestFit="1" customWidth="1"/>
    <col min="1273" max="1273" width="10.453125" style="329" bestFit="1" customWidth="1"/>
    <col min="1274" max="1274" width="12.54296875" style="329" bestFit="1" customWidth="1"/>
    <col min="1275" max="1275" width="8.54296875" style="329" bestFit="1" customWidth="1"/>
    <col min="1276" max="1276" width="9.453125" style="329" bestFit="1" customWidth="1"/>
    <col min="1277" max="1277" width="14.453125" style="329" bestFit="1" customWidth="1"/>
    <col min="1278" max="1278" width="9.453125" style="329"/>
    <col min="1279" max="1279" width="0" style="329" hidden="1" customWidth="1"/>
    <col min="1280" max="1513" width="9.453125" style="329"/>
    <col min="1514" max="1514" width="21" style="329" customWidth="1"/>
    <col min="1515" max="1515" width="14.453125" style="329" customWidth="1"/>
    <col min="1516" max="1525" width="8.54296875" style="329" bestFit="1" customWidth="1"/>
    <col min="1526" max="1527" width="6.54296875" style="329" bestFit="1" customWidth="1"/>
    <col min="1528" max="1528" width="10" style="329" bestFit="1" customWidth="1"/>
    <col min="1529" max="1529" width="10.453125" style="329" bestFit="1" customWidth="1"/>
    <col min="1530" max="1530" width="12.54296875" style="329" bestFit="1" customWidth="1"/>
    <col min="1531" max="1531" width="8.54296875" style="329" bestFit="1" customWidth="1"/>
    <col min="1532" max="1532" width="9.453125" style="329" bestFit="1" customWidth="1"/>
    <col min="1533" max="1533" width="14.453125" style="329" bestFit="1" customWidth="1"/>
    <col min="1534" max="1534" width="9.453125" style="329"/>
    <col min="1535" max="1535" width="0" style="329" hidden="1" customWidth="1"/>
    <col min="1536" max="1769" width="9.453125" style="329"/>
    <col min="1770" max="1770" width="21" style="329" customWidth="1"/>
    <col min="1771" max="1771" width="14.453125" style="329" customWidth="1"/>
    <col min="1772" max="1781" width="8.54296875" style="329" bestFit="1" customWidth="1"/>
    <col min="1782" max="1783" width="6.54296875" style="329" bestFit="1" customWidth="1"/>
    <col min="1784" max="1784" width="10" style="329" bestFit="1" customWidth="1"/>
    <col min="1785" max="1785" width="10.453125" style="329" bestFit="1" customWidth="1"/>
    <col min="1786" max="1786" width="12.54296875" style="329" bestFit="1" customWidth="1"/>
    <col min="1787" max="1787" width="8.54296875" style="329" bestFit="1" customWidth="1"/>
    <col min="1788" max="1788" width="9.453125" style="329" bestFit="1" customWidth="1"/>
    <col min="1789" max="1789" width="14.453125" style="329" bestFit="1" customWidth="1"/>
    <col min="1790" max="1790" width="9.453125" style="329"/>
    <col min="1791" max="1791" width="0" style="329" hidden="1" customWidth="1"/>
    <col min="1792" max="2025" width="9.453125" style="329"/>
    <col min="2026" max="2026" width="21" style="329" customWidth="1"/>
    <col min="2027" max="2027" width="14.453125" style="329" customWidth="1"/>
    <col min="2028" max="2037" width="8.54296875" style="329" bestFit="1" customWidth="1"/>
    <col min="2038" max="2039" width="6.54296875" style="329" bestFit="1" customWidth="1"/>
    <col min="2040" max="2040" width="10" style="329" bestFit="1" customWidth="1"/>
    <col min="2041" max="2041" width="10.453125" style="329" bestFit="1" customWidth="1"/>
    <col min="2042" max="2042" width="12.54296875" style="329" bestFit="1" customWidth="1"/>
    <col min="2043" max="2043" width="8.54296875" style="329" bestFit="1" customWidth="1"/>
    <col min="2044" max="2044" width="9.453125" style="329" bestFit="1" customWidth="1"/>
    <col min="2045" max="2045" width="14.453125" style="329" bestFit="1" customWidth="1"/>
    <col min="2046" max="2046" width="9.453125" style="329"/>
    <col min="2047" max="2047" width="0" style="329" hidden="1" customWidth="1"/>
    <col min="2048" max="2281" width="9.453125" style="329"/>
    <col min="2282" max="2282" width="21" style="329" customWidth="1"/>
    <col min="2283" max="2283" width="14.453125" style="329" customWidth="1"/>
    <col min="2284" max="2293" width="8.54296875" style="329" bestFit="1" customWidth="1"/>
    <col min="2294" max="2295" width="6.54296875" style="329" bestFit="1" customWidth="1"/>
    <col min="2296" max="2296" width="10" style="329" bestFit="1" customWidth="1"/>
    <col min="2297" max="2297" width="10.453125" style="329" bestFit="1" customWidth="1"/>
    <col min="2298" max="2298" width="12.54296875" style="329" bestFit="1" customWidth="1"/>
    <col min="2299" max="2299" width="8.54296875" style="329" bestFit="1" customWidth="1"/>
    <col min="2300" max="2300" width="9.453125" style="329" bestFit="1" customWidth="1"/>
    <col min="2301" max="2301" width="14.453125" style="329" bestFit="1" customWidth="1"/>
    <col min="2302" max="2302" width="9.453125" style="329"/>
    <col min="2303" max="2303" width="0" style="329" hidden="1" customWidth="1"/>
    <col min="2304" max="2537" width="9.453125" style="329"/>
    <col min="2538" max="2538" width="21" style="329" customWidth="1"/>
    <col min="2539" max="2539" width="14.453125" style="329" customWidth="1"/>
    <col min="2540" max="2549" width="8.54296875" style="329" bestFit="1" customWidth="1"/>
    <col min="2550" max="2551" width="6.54296875" style="329" bestFit="1" customWidth="1"/>
    <col min="2552" max="2552" width="10" style="329" bestFit="1" customWidth="1"/>
    <col min="2553" max="2553" width="10.453125" style="329" bestFit="1" customWidth="1"/>
    <col min="2554" max="2554" width="12.54296875" style="329" bestFit="1" customWidth="1"/>
    <col min="2555" max="2555" width="8.54296875" style="329" bestFit="1" customWidth="1"/>
    <col min="2556" max="2556" width="9.453125" style="329" bestFit="1" customWidth="1"/>
    <col min="2557" max="2557" width="14.453125" style="329" bestFit="1" customWidth="1"/>
    <col min="2558" max="2558" width="9.453125" style="329"/>
    <col min="2559" max="2559" width="0" style="329" hidden="1" customWidth="1"/>
    <col min="2560" max="2793" width="9.453125" style="329"/>
    <col min="2794" max="2794" width="21" style="329" customWidth="1"/>
    <col min="2795" max="2795" width="14.453125" style="329" customWidth="1"/>
    <col min="2796" max="2805" width="8.54296875" style="329" bestFit="1" customWidth="1"/>
    <col min="2806" max="2807" width="6.54296875" style="329" bestFit="1" customWidth="1"/>
    <col min="2808" max="2808" width="10" style="329" bestFit="1" customWidth="1"/>
    <col min="2809" max="2809" width="10.453125" style="329" bestFit="1" customWidth="1"/>
    <col min="2810" max="2810" width="12.54296875" style="329" bestFit="1" customWidth="1"/>
    <col min="2811" max="2811" width="8.54296875" style="329" bestFit="1" customWidth="1"/>
    <col min="2812" max="2812" width="9.453125" style="329" bestFit="1" customWidth="1"/>
    <col min="2813" max="2813" width="14.453125" style="329" bestFit="1" customWidth="1"/>
    <col min="2814" max="2814" width="9.453125" style="329"/>
    <col min="2815" max="2815" width="0" style="329" hidden="1" customWidth="1"/>
    <col min="2816" max="3049" width="9.453125" style="329"/>
    <col min="3050" max="3050" width="21" style="329" customWidth="1"/>
    <col min="3051" max="3051" width="14.453125" style="329" customWidth="1"/>
    <col min="3052" max="3061" width="8.54296875" style="329" bestFit="1" customWidth="1"/>
    <col min="3062" max="3063" width="6.54296875" style="329" bestFit="1" customWidth="1"/>
    <col min="3064" max="3064" width="10" style="329" bestFit="1" customWidth="1"/>
    <col min="3065" max="3065" width="10.453125" style="329" bestFit="1" customWidth="1"/>
    <col min="3066" max="3066" width="12.54296875" style="329" bestFit="1" customWidth="1"/>
    <col min="3067" max="3067" width="8.54296875" style="329" bestFit="1" customWidth="1"/>
    <col min="3068" max="3068" width="9.453125" style="329" bestFit="1" customWidth="1"/>
    <col min="3069" max="3069" width="14.453125" style="329" bestFit="1" customWidth="1"/>
    <col min="3070" max="3070" width="9.453125" style="329"/>
    <col min="3071" max="3071" width="0" style="329" hidden="1" customWidth="1"/>
    <col min="3072" max="3305" width="9.453125" style="329"/>
    <col min="3306" max="3306" width="21" style="329" customWidth="1"/>
    <col min="3307" max="3307" width="14.453125" style="329" customWidth="1"/>
    <col min="3308" max="3317" width="8.54296875" style="329" bestFit="1" customWidth="1"/>
    <col min="3318" max="3319" width="6.54296875" style="329" bestFit="1" customWidth="1"/>
    <col min="3320" max="3320" width="10" style="329" bestFit="1" customWidth="1"/>
    <col min="3321" max="3321" width="10.453125" style="329" bestFit="1" customWidth="1"/>
    <col min="3322" max="3322" width="12.54296875" style="329" bestFit="1" customWidth="1"/>
    <col min="3323" max="3323" width="8.54296875" style="329" bestFit="1" customWidth="1"/>
    <col min="3324" max="3324" width="9.453125" style="329" bestFit="1" customWidth="1"/>
    <col min="3325" max="3325" width="14.453125" style="329" bestFit="1" customWidth="1"/>
    <col min="3326" max="3326" width="9.453125" style="329"/>
    <col min="3327" max="3327" width="0" style="329" hidden="1" customWidth="1"/>
    <col min="3328" max="3561" width="9.453125" style="329"/>
    <col min="3562" max="3562" width="21" style="329" customWidth="1"/>
    <col min="3563" max="3563" width="14.453125" style="329" customWidth="1"/>
    <col min="3564" max="3573" width="8.54296875" style="329" bestFit="1" customWidth="1"/>
    <col min="3574" max="3575" width="6.54296875" style="329" bestFit="1" customWidth="1"/>
    <col min="3576" max="3576" width="10" style="329" bestFit="1" customWidth="1"/>
    <col min="3577" max="3577" width="10.453125" style="329" bestFit="1" customWidth="1"/>
    <col min="3578" max="3578" width="12.54296875" style="329" bestFit="1" customWidth="1"/>
    <col min="3579" max="3579" width="8.54296875" style="329" bestFit="1" customWidth="1"/>
    <col min="3580" max="3580" width="9.453125" style="329" bestFit="1" customWidth="1"/>
    <col min="3581" max="3581" width="14.453125" style="329" bestFit="1" customWidth="1"/>
    <col min="3582" max="3582" width="9.453125" style="329"/>
    <col min="3583" max="3583" width="0" style="329" hidden="1" customWidth="1"/>
    <col min="3584" max="3817" width="9.453125" style="329"/>
    <col min="3818" max="3818" width="21" style="329" customWidth="1"/>
    <col min="3819" max="3819" width="14.453125" style="329" customWidth="1"/>
    <col min="3820" max="3829" width="8.54296875" style="329" bestFit="1" customWidth="1"/>
    <col min="3830" max="3831" width="6.54296875" style="329" bestFit="1" customWidth="1"/>
    <col min="3832" max="3832" width="10" style="329" bestFit="1" customWidth="1"/>
    <col min="3833" max="3833" width="10.453125" style="329" bestFit="1" customWidth="1"/>
    <col min="3834" max="3834" width="12.54296875" style="329" bestFit="1" customWidth="1"/>
    <col min="3835" max="3835" width="8.54296875" style="329" bestFit="1" customWidth="1"/>
    <col min="3836" max="3836" width="9.453125" style="329" bestFit="1" customWidth="1"/>
    <col min="3837" max="3837" width="14.453125" style="329" bestFit="1" customWidth="1"/>
    <col min="3838" max="3838" width="9.453125" style="329"/>
    <col min="3839" max="3839" width="0" style="329" hidden="1" customWidth="1"/>
    <col min="3840" max="4073" width="9.453125" style="329"/>
    <col min="4074" max="4074" width="21" style="329" customWidth="1"/>
    <col min="4075" max="4075" width="14.453125" style="329" customWidth="1"/>
    <col min="4076" max="4085" width="8.54296875" style="329" bestFit="1" customWidth="1"/>
    <col min="4086" max="4087" width="6.54296875" style="329" bestFit="1" customWidth="1"/>
    <col min="4088" max="4088" width="10" style="329" bestFit="1" customWidth="1"/>
    <col min="4089" max="4089" width="10.453125" style="329" bestFit="1" customWidth="1"/>
    <col min="4090" max="4090" width="12.54296875" style="329" bestFit="1" customWidth="1"/>
    <col min="4091" max="4091" width="8.54296875" style="329" bestFit="1" customWidth="1"/>
    <col min="4092" max="4092" width="9.453125" style="329" bestFit="1" customWidth="1"/>
    <col min="4093" max="4093" width="14.453125" style="329" bestFit="1" customWidth="1"/>
    <col min="4094" max="4094" width="9.453125" style="329"/>
    <col min="4095" max="4095" width="0" style="329" hidden="1" customWidth="1"/>
    <col min="4096" max="4329" width="9.453125" style="329"/>
    <col min="4330" max="4330" width="21" style="329" customWidth="1"/>
    <col min="4331" max="4331" width="14.453125" style="329" customWidth="1"/>
    <col min="4332" max="4341" width="8.54296875" style="329" bestFit="1" customWidth="1"/>
    <col min="4342" max="4343" width="6.54296875" style="329" bestFit="1" customWidth="1"/>
    <col min="4344" max="4344" width="10" style="329" bestFit="1" customWidth="1"/>
    <col min="4345" max="4345" width="10.453125" style="329" bestFit="1" customWidth="1"/>
    <col min="4346" max="4346" width="12.54296875" style="329" bestFit="1" customWidth="1"/>
    <col min="4347" max="4347" width="8.54296875" style="329" bestFit="1" customWidth="1"/>
    <col min="4348" max="4348" width="9.453125" style="329" bestFit="1" customWidth="1"/>
    <col min="4349" max="4349" width="14.453125" style="329" bestFit="1" customWidth="1"/>
    <col min="4350" max="4350" width="9.453125" style="329"/>
    <col min="4351" max="4351" width="0" style="329" hidden="1" customWidth="1"/>
    <col min="4352" max="4585" width="9.453125" style="329"/>
    <col min="4586" max="4586" width="21" style="329" customWidth="1"/>
    <col min="4587" max="4587" width="14.453125" style="329" customWidth="1"/>
    <col min="4588" max="4597" width="8.54296875" style="329" bestFit="1" customWidth="1"/>
    <col min="4598" max="4599" width="6.54296875" style="329" bestFit="1" customWidth="1"/>
    <col min="4600" max="4600" width="10" style="329" bestFit="1" customWidth="1"/>
    <col min="4601" max="4601" width="10.453125" style="329" bestFit="1" customWidth="1"/>
    <col min="4602" max="4602" width="12.54296875" style="329" bestFit="1" customWidth="1"/>
    <col min="4603" max="4603" width="8.54296875" style="329" bestFit="1" customWidth="1"/>
    <col min="4604" max="4604" width="9.453125" style="329" bestFit="1" customWidth="1"/>
    <col min="4605" max="4605" width="14.453125" style="329" bestFit="1" customWidth="1"/>
    <col min="4606" max="4606" width="9.453125" style="329"/>
    <col min="4607" max="4607" width="0" style="329" hidden="1" customWidth="1"/>
    <col min="4608" max="4841" width="9.453125" style="329"/>
    <col min="4842" max="4842" width="21" style="329" customWidth="1"/>
    <col min="4843" max="4843" width="14.453125" style="329" customWidth="1"/>
    <col min="4844" max="4853" width="8.54296875" style="329" bestFit="1" customWidth="1"/>
    <col min="4854" max="4855" width="6.54296875" style="329" bestFit="1" customWidth="1"/>
    <col min="4856" max="4856" width="10" style="329" bestFit="1" customWidth="1"/>
    <col min="4857" max="4857" width="10.453125" style="329" bestFit="1" customWidth="1"/>
    <col min="4858" max="4858" width="12.54296875" style="329" bestFit="1" customWidth="1"/>
    <col min="4859" max="4859" width="8.54296875" style="329" bestFit="1" customWidth="1"/>
    <col min="4860" max="4860" width="9.453125" style="329" bestFit="1" customWidth="1"/>
    <col min="4861" max="4861" width="14.453125" style="329" bestFit="1" customWidth="1"/>
    <col min="4862" max="4862" width="9.453125" style="329"/>
    <col min="4863" max="4863" width="0" style="329" hidden="1" customWidth="1"/>
    <col min="4864" max="5097" width="9.453125" style="329"/>
    <col min="5098" max="5098" width="21" style="329" customWidth="1"/>
    <col min="5099" max="5099" width="14.453125" style="329" customWidth="1"/>
    <col min="5100" max="5109" width="8.54296875" style="329" bestFit="1" customWidth="1"/>
    <col min="5110" max="5111" width="6.54296875" style="329" bestFit="1" customWidth="1"/>
    <col min="5112" max="5112" width="10" style="329" bestFit="1" customWidth="1"/>
    <col min="5113" max="5113" width="10.453125" style="329" bestFit="1" customWidth="1"/>
    <col min="5114" max="5114" width="12.54296875" style="329" bestFit="1" customWidth="1"/>
    <col min="5115" max="5115" width="8.54296875" style="329" bestFit="1" customWidth="1"/>
    <col min="5116" max="5116" width="9.453125" style="329" bestFit="1" customWidth="1"/>
    <col min="5117" max="5117" width="14.453125" style="329" bestFit="1" customWidth="1"/>
    <col min="5118" max="5118" width="9.453125" style="329"/>
    <col min="5119" max="5119" width="0" style="329" hidden="1" customWidth="1"/>
    <col min="5120" max="5353" width="9.453125" style="329"/>
    <col min="5354" max="5354" width="21" style="329" customWidth="1"/>
    <col min="5355" max="5355" width="14.453125" style="329" customWidth="1"/>
    <col min="5356" max="5365" width="8.54296875" style="329" bestFit="1" customWidth="1"/>
    <col min="5366" max="5367" width="6.54296875" style="329" bestFit="1" customWidth="1"/>
    <col min="5368" max="5368" width="10" style="329" bestFit="1" customWidth="1"/>
    <col min="5369" max="5369" width="10.453125" style="329" bestFit="1" customWidth="1"/>
    <col min="5370" max="5370" width="12.54296875" style="329" bestFit="1" customWidth="1"/>
    <col min="5371" max="5371" width="8.54296875" style="329" bestFit="1" customWidth="1"/>
    <col min="5372" max="5372" width="9.453125" style="329" bestFit="1" customWidth="1"/>
    <col min="5373" max="5373" width="14.453125" style="329" bestFit="1" customWidth="1"/>
    <col min="5374" max="5374" width="9.453125" style="329"/>
    <col min="5375" max="5375" width="0" style="329" hidden="1" customWidth="1"/>
    <col min="5376" max="5609" width="9.453125" style="329"/>
    <col min="5610" max="5610" width="21" style="329" customWidth="1"/>
    <col min="5611" max="5611" width="14.453125" style="329" customWidth="1"/>
    <col min="5612" max="5621" width="8.54296875" style="329" bestFit="1" customWidth="1"/>
    <col min="5622" max="5623" width="6.54296875" style="329" bestFit="1" customWidth="1"/>
    <col min="5624" max="5624" width="10" style="329" bestFit="1" customWidth="1"/>
    <col min="5625" max="5625" width="10.453125" style="329" bestFit="1" customWidth="1"/>
    <col min="5626" max="5626" width="12.54296875" style="329" bestFit="1" customWidth="1"/>
    <col min="5627" max="5627" width="8.54296875" style="329" bestFit="1" customWidth="1"/>
    <col min="5628" max="5628" width="9.453125" style="329" bestFit="1" customWidth="1"/>
    <col min="5629" max="5629" width="14.453125" style="329" bestFit="1" customWidth="1"/>
    <col min="5630" max="5630" width="9.453125" style="329"/>
    <col min="5631" max="5631" width="0" style="329" hidden="1" customWidth="1"/>
    <col min="5632" max="5865" width="9.453125" style="329"/>
    <col min="5866" max="5866" width="21" style="329" customWidth="1"/>
    <col min="5867" max="5867" width="14.453125" style="329" customWidth="1"/>
    <col min="5868" max="5877" width="8.54296875" style="329" bestFit="1" customWidth="1"/>
    <col min="5878" max="5879" width="6.54296875" style="329" bestFit="1" customWidth="1"/>
    <col min="5880" max="5880" width="10" style="329" bestFit="1" customWidth="1"/>
    <col min="5881" max="5881" width="10.453125" style="329" bestFit="1" customWidth="1"/>
    <col min="5882" max="5882" width="12.54296875" style="329" bestFit="1" customWidth="1"/>
    <col min="5883" max="5883" width="8.54296875" style="329" bestFit="1" customWidth="1"/>
    <col min="5884" max="5884" width="9.453125" style="329" bestFit="1" customWidth="1"/>
    <col min="5885" max="5885" width="14.453125" style="329" bestFit="1" customWidth="1"/>
    <col min="5886" max="5886" width="9.453125" style="329"/>
    <col min="5887" max="5887" width="0" style="329" hidden="1" customWidth="1"/>
    <col min="5888" max="6121" width="9.453125" style="329"/>
    <col min="6122" max="6122" width="21" style="329" customWidth="1"/>
    <col min="6123" max="6123" width="14.453125" style="329" customWidth="1"/>
    <col min="6124" max="6133" width="8.54296875" style="329" bestFit="1" customWidth="1"/>
    <col min="6134" max="6135" width="6.54296875" style="329" bestFit="1" customWidth="1"/>
    <col min="6136" max="6136" width="10" style="329" bestFit="1" customWidth="1"/>
    <col min="6137" max="6137" width="10.453125" style="329" bestFit="1" customWidth="1"/>
    <col min="6138" max="6138" width="12.54296875" style="329" bestFit="1" customWidth="1"/>
    <col min="6139" max="6139" width="8.54296875" style="329" bestFit="1" customWidth="1"/>
    <col min="6140" max="6140" width="9.453125" style="329" bestFit="1" customWidth="1"/>
    <col min="6141" max="6141" width="14.453125" style="329" bestFit="1" customWidth="1"/>
    <col min="6142" max="6142" width="9.453125" style="329"/>
    <col min="6143" max="6143" width="0" style="329" hidden="1" customWidth="1"/>
    <col min="6144" max="6377" width="9.453125" style="329"/>
    <col min="6378" max="6378" width="21" style="329" customWidth="1"/>
    <col min="6379" max="6379" width="14.453125" style="329" customWidth="1"/>
    <col min="6380" max="6389" width="8.54296875" style="329" bestFit="1" customWidth="1"/>
    <col min="6390" max="6391" width="6.54296875" style="329" bestFit="1" customWidth="1"/>
    <col min="6392" max="6392" width="10" style="329" bestFit="1" customWidth="1"/>
    <col min="6393" max="6393" width="10.453125" style="329" bestFit="1" customWidth="1"/>
    <col min="6394" max="6394" width="12.54296875" style="329" bestFit="1" customWidth="1"/>
    <col min="6395" max="6395" width="8.54296875" style="329" bestFit="1" customWidth="1"/>
    <col min="6396" max="6396" width="9.453125" style="329" bestFit="1" customWidth="1"/>
    <col min="6397" max="6397" width="14.453125" style="329" bestFit="1" customWidth="1"/>
    <col min="6398" max="6398" width="9.453125" style="329"/>
    <col min="6399" max="6399" width="0" style="329" hidden="1" customWidth="1"/>
    <col min="6400" max="6633" width="9.453125" style="329"/>
    <col min="6634" max="6634" width="21" style="329" customWidth="1"/>
    <col min="6635" max="6635" width="14.453125" style="329" customWidth="1"/>
    <col min="6636" max="6645" width="8.54296875" style="329" bestFit="1" customWidth="1"/>
    <col min="6646" max="6647" width="6.54296875" style="329" bestFit="1" customWidth="1"/>
    <col min="6648" max="6648" width="10" style="329" bestFit="1" customWidth="1"/>
    <col min="6649" max="6649" width="10.453125" style="329" bestFit="1" customWidth="1"/>
    <col min="6650" max="6650" width="12.54296875" style="329" bestFit="1" customWidth="1"/>
    <col min="6651" max="6651" width="8.54296875" style="329" bestFit="1" customWidth="1"/>
    <col min="6652" max="6652" width="9.453125" style="329" bestFit="1" customWidth="1"/>
    <col min="6653" max="6653" width="14.453125" style="329" bestFit="1" customWidth="1"/>
    <col min="6654" max="6654" width="9.453125" style="329"/>
    <col min="6655" max="6655" width="0" style="329" hidden="1" customWidth="1"/>
    <col min="6656" max="6889" width="9.453125" style="329"/>
    <col min="6890" max="6890" width="21" style="329" customWidth="1"/>
    <col min="6891" max="6891" width="14.453125" style="329" customWidth="1"/>
    <col min="6892" max="6901" width="8.54296875" style="329" bestFit="1" customWidth="1"/>
    <col min="6902" max="6903" width="6.54296875" style="329" bestFit="1" customWidth="1"/>
    <col min="6904" max="6904" width="10" style="329" bestFit="1" customWidth="1"/>
    <col min="6905" max="6905" width="10.453125" style="329" bestFit="1" customWidth="1"/>
    <col min="6906" max="6906" width="12.54296875" style="329" bestFit="1" customWidth="1"/>
    <col min="6907" max="6907" width="8.54296875" style="329" bestFit="1" customWidth="1"/>
    <col min="6908" max="6908" width="9.453125" style="329" bestFit="1" customWidth="1"/>
    <col min="6909" max="6909" width="14.453125" style="329" bestFit="1" customWidth="1"/>
    <col min="6910" max="6910" width="9.453125" style="329"/>
    <col min="6911" max="6911" width="0" style="329" hidden="1" customWidth="1"/>
    <col min="6912" max="7145" width="9.453125" style="329"/>
    <col min="7146" max="7146" width="21" style="329" customWidth="1"/>
    <col min="7147" max="7147" width="14.453125" style="329" customWidth="1"/>
    <col min="7148" max="7157" width="8.54296875" style="329" bestFit="1" customWidth="1"/>
    <col min="7158" max="7159" width="6.54296875" style="329" bestFit="1" customWidth="1"/>
    <col min="7160" max="7160" width="10" style="329" bestFit="1" customWidth="1"/>
    <col min="7161" max="7161" width="10.453125" style="329" bestFit="1" customWidth="1"/>
    <col min="7162" max="7162" width="12.54296875" style="329" bestFit="1" customWidth="1"/>
    <col min="7163" max="7163" width="8.54296875" style="329" bestFit="1" customWidth="1"/>
    <col min="7164" max="7164" width="9.453125" style="329" bestFit="1" customWidth="1"/>
    <col min="7165" max="7165" width="14.453125" style="329" bestFit="1" customWidth="1"/>
    <col min="7166" max="7166" width="9.453125" style="329"/>
    <col min="7167" max="7167" width="0" style="329" hidden="1" customWidth="1"/>
    <col min="7168" max="7401" width="9.453125" style="329"/>
    <col min="7402" max="7402" width="21" style="329" customWidth="1"/>
    <col min="7403" max="7403" width="14.453125" style="329" customWidth="1"/>
    <col min="7404" max="7413" width="8.54296875" style="329" bestFit="1" customWidth="1"/>
    <col min="7414" max="7415" width="6.54296875" style="329" bestFit="1" customWidth="1"/>
    <col min="7416" max="7416" width="10" style="329" bestFit="1" customWidth="1"/>
    <col min="7417" max="7417" width="10.453125" style="329" bestFit="1" customWidth="1"/>
    <col min="7418" max="7418" width="12.54296875" style="329" bestFit="1" customWidth="1"/>
    <col min="7419" max="7419" width="8.54296875" style="329" bestFit="1" customWidth="1"/>
    <col min="7420" max="7420" width="9.453125" style="329" bestFit="1" customWidth="1"/>
    <col min="7421" max="7421" width="14.453125" style="329" bestFit="1" customWidth="1"/>
    <col min="7422" max="7422" width="9.453125" style="329"/>
    <col min="7423" max="7423" width="0" style="329" hidden="1" customWidth="1"/>
    <col min="7424" max="7657" width="9.453125" style="329"/>
    <col min="7658" max="7658" width="21" style="329" customWidth="1"/>
    <col min="7659" max="7659" width="14.453125" style="329" customWidth="1"/>
    <col min="7660" max="7669" width="8.54296875" style="329" bestFit="1" customWidth="1"/>
    <col min="7670" max="7671" width="6.54296875" style="329" bestFit="1" customWidth="1"/>
    <col min="7672" max="7672" width="10" style="329" bestFit="1" customWidth="1"/>
    <col min="7673" max="7673" width="10.453125" style="329" bestFit="1" customWidth="1"/>
    <col min="7674" max="7674" width="12.54296875" style="329" bestFit="1" customWidth="1"/>
    <col min="7675" max="7675" width="8.54296875" style="329" bestFit="1" customWidth="1"/>
    <col min="7676" max="7676" width="9.453125" style="329" bestFit="1" customWidth="1"/>
    <col min="7677" max="7677" width="14.453125" style="329" bestFit="1" customWidth="1"/>
    <col min="7678" max="7678" width="9.453125" style="329"/>
    <col min="7679" max="7679" width="0" style="329" hidden="1" customWidth="1"/>
    <col min="7680" max="7913" width="9.453125" style="329"/>
    <col min="7914" max="7914" width="21" style="329" customWidth="1"/>
    <col min="7915" max="7915" width="14.453125" style="329" customWidth="1"/>
    <col min="7916" max="7925" width="8.54296875" style="329" bestFit="1" customWidth="1"/>
    <col min="7926" max="7927" width="6.54296875" style="329" bestFit="1" customWidth="1"/>
    <col min="7928" max="7928" width="10" style="329" bestFit="1" customWidth="1"/>
    <col min="7929" max="7929" width="10.453125" style="329" bestFit="1" customWidth="1"/>
    <col min="7930" max="7930" width="12.54296875" style="329" bestFit="1" customWidth="1"/>
    <col min="7931" max="7931" width="8.54296875" style="329" bestFit="1" customWidth="1"/>
    <col min="7932" max="7932" width="9.453125" style="329" bestFit="1" customWidth="1"/>
    <col min="7933" max="7933" width="14.453125" style="329" bestFit="1" customWidth="1"/>
    <col min="7934" max="7934" width="9.453125" style="329"/>
    <col min="7935" max="7935" width="0" style="329" hidden="1" customWidth="1"/>
    <col min="7936" max="8169" width="9.453125" style="329"/>
    <col min="8170" max="8170" width="21" style="329" customWidth="1"/>
    <col min="8171" max="8171" width="14.453125" style="329" customWidth="1"/>
    <col min="8172" max="8181" width="8.54296875" style="329" bestFit="1" customWidth="1"/>
    <col min="8182" max="8183" width="6.54296875" style="329" bestFit="1" customWidth="1"/>
    <col min="8184" max="8184" width="10" style="329" bestFit="1" customWidth="1"/>
    <col min="8185" max="8185" width="10.453125" style="329" bestFit="1" customWidth="1"/>
    <col min="8186" max="8186" width="12.54296875" style="329" bestFit="1" customWidth="1"/>
    <col min="8187" max="8187" width="8.54296875" style="329" bestFit="1" customWidth="1"/>
    <col min="8188" max="8188" width="9.453125" style="329" bestFit="1" customWidth="1"/>
    <col min="8189" max="8189" width="14.453125" style="329" bestFit="1" customWidth="1"/>
    <col min="8190" max="8190" width="9.453125" style="329"/>
    <col min="8191" max="8191" width="0" style="329" hidden="1" customWidth="1"/>
    <col min="8192" max="8425" width="9.453125" style="329"/>
    <col min="8426" max="8426" width="21" style="329" customWidth="1"/>
    <col min="8427" max="8427" width="14.453125" style="329" customWidth="1"/>
    <col min="8428" max="8437" width="8.54296875" style="329" bestFit="1" customWidth="1"/>
    <col min="8438" max="8439" width="6.54296875" style="329" bestFit="1" customWidth="1"/>
    <col min="8440" max="8440" width="10" style="329" bestFit="1" customWidth="1"/>
    <col min="8441" max="8441" width="10.453125" style="329" bestFit="1" customWidth="1"/>
    <col min="8442" max="8442" width="12.54296875" style="329" bestFit="1" customWidth="1"/>
    <col min="8443" max="8443" width="8.54296875" style="329" bestFit="1" customWidth="1"/>
    <col min="8444" max="8444" width="9.453125" style="329" bestFit="1" customWidth="1"/>
    <col min="8445" max="8445" width="14.453125" style="329" bestFit="1" customWidth="1"/>
    <col min="8446" max="8446" width="9.453125" style="329"/>
    <col min="8447" max="8447" width="0" style="329" hidden="1" customWidth="1"/>
    <col min="8448" max="8681" width="9.453125" style="329"/>
    <col min="8682" max="8682" width="21" style="329" customWidth="1"/>
    <col min="8683" max="8683" width="14.453125" style="329" customWidth="1"/>
    <col min="8684" max="8693" width="8.54296875" style="329" bestFit="1" customWidth="1"/>
    <col min="8694" max="8695" width="6.54296875" style="329" bestFit="1" customWidth="1"/>
    <col min="8696" max="8696" width="10" style="329" bestFit="1" customWidth="1"/>
    <col min="8697" max="8697" width="10.453125" style="329" bestFit="1" customWidth="1"/>
    <col min="8698" max="8698" width="12.54296875" style="329" bestFit="1" customWidth="1"/>
    <col min="8699" max="8699" width="8.54296875" style="329" bestFit="1" customWidth="1"/>
    <col min="8700" max="8700" width="9.453125" style="329" bestFit="1" customWidth="1"/>
    <col min="8701" max="8701" width="14.453125" style="329" bestFit="1" customWidth="1"/>
    <col min="8702" max="8702" width="9.453125" style="329"/>
    <col min="8703" max="8703" width="0" style="329" hidden="1" customWidth="1"/>
    <col min="8704" max="8937" width="9.453125" style="329"/>
    <col min="8938" max="8938" width="21" style="329" customWidth="1"/>
    <col min="8939" max="8939" width="14.453125" style="329" customWidth="1"/>
    <col min="8940" max="8949" width="8.54296875" style="329" bestFit="1" customWidth="1"/>
    <col min="8950" max="8951" width="6.54296875" style="329" bestFit="1" customWidth="1"/>
    <col min="8952" max="8952" width="10" style="329" bestFit="1" customWidth="1"/>
    <col min="8953" max="8953" width="10.453125" style="329" bestFit="1" customWidth="1"/>
    <col min="8954" max="8954" width="12.54296875" style="329" bestFit="1" customWidth="1"/>
    <col min="8955" max="8955" width="8.54296875" style="329" bestFit="1" customWidth="1"/>
    <col min="8956" max="8956" width="9.453125" style="329" bestFit="1" customWidth="1"/>
    <col min="8957" max="8957" width="14.453125" style="329" bestFit="1" customWidth="1"/>
    <col min="8958" max="8958" width="9.453125" style="329"/>
    <col min="8959" max="8959" width="0" style="329" hidden="1" customWidth="1"/>
    <col min="8960" max="9193" width="9.453125" style="329"/>
    <col min="9194" max="9194" width="21" style="329" customWidth="1"/>
    <col min="9195" max="9195" width="14.453125" style="329" customWidth="1"/>
    <col min="9196" max="9205" width="8.54296875" style="329" bestFit="1" customWidth="1"/>
    <col min="9206" max="9207" width="6.54296875" style="329" bestFit="1" customWidth="1"/>
    <col min="9208" max="9208" width="10" style="329" bestFit="1" customWidth="1"/>
    <col min="9209" max="9209" width="10.453125" style="329" bestFit="1" customWidth="1"/>
    <col min="9210" max="9210" width="12.54296875" style="329" bestFit="1" customWidth="1"/>
    <col min="9211" max="9211" width="8.54296875" style="329" bestFit="1" customWidth="1"/>
    <col min="9212" max="9212" width="9.453125" style="329" bestFit="1" customWidth="1"/>
    <col min="9213" max="9213" width="14.453125" style="329" bestFit="1" customWidth="1"/>
    <col min="9214" max="9214" width="9.453125" style="329"/>
    <col min="9215" max="9215" width="0" style="329" hidden="1" customWidth="1"/>
    <col min="9216" max="9449" width="9.453125" style="329"/>
    <col min="9450" max="9450" width="21" style="329" customWidth="1"/>
    <col min="9451" max="9451" width="14.453125" style="329" customWidth="1"/>
    <col min="9452" max="9461" width="8.54296875" style="329" bestFit="1" customWidth="1"/>
    <col min="9462" max="9463" width="6.54296875" style="329" bestFit="1" customWidth="1"/>
    <col min="9464" max="9464" width="10" style="329" bestFit="1" customWidth="1"/>
    <col min="9465" max="9465" width="10.453125" style="329" bestFit="1" customWidth="1"/>
    <col min="9466" max="9466" width="12.54296875" style="329" bestFit="1" customWidth="1"/>
    <col min="9467" max="9467" width="8.54296875" style="329" bestFit="1" customWidth="1"/>
    <col min="9468" max="9468" width="9.453125" style="329" bestFit="1" customWidth="1"/>
    <col min="9469" max="9469" width="14.453125" style="329" bestFit="1" customWidth="1"/>
    <col min="9470" max="9470" width="9.453125" style="329"/>
    <col min="9471" max="9471" width="0" style="329" hidden="1" customWidth="1"/>
    <col min="9472" max="9705" width="9.453125" style="329"/>
    <col min="9706" max="9706" width="21" style="329" customWidth="1"/>
    <col min="9707" max="9707" width="14.453125" style="329" customWidth="1"/>
    <col min="9708" max="9717" width="8.54296875" style="329" bestFit="1" customWidth="1"/>
    <col min="9718" max="9719" width="6.54296875" style="329" bestFit="1" customWidth="1"/>
    <col min="9720" max="9720" width="10" style="329" bestFit="1" customWidth="1"/>
    <col min="9721" max="9721" width="10.453125" style="329" bestFit="1" customWidth="1"/>
    <col min="9722" max="9722" width="12.54296875" style="329" bestFit="1" customWidth="1"/>
    <col min="9723" max="9723" width="8.54296875" style="329" bestFit="1" customWidth="1"/>
    <col min="9724" max="9724" width="9.453125" style="329" bestFit="1" customWidth="1"/>
    <col min="9725" max="9725" width="14.453125" style="329" bestFit="1" customWidth="1"/>
    <col min="9726" max="9726" width="9.453125" style="329"/>
    <col min="9727" max="9727" width="0" style="329" hidden="1" customWidth="1"/>
    <col min="9728" max="9961" width="9.453125" style="329"/>
    <col min="9962" max="9962" width="21" style="329" customWidth="1"/>
    <col min="9963" max="9963" width="14.453125" style="329" customWidth="1"/>
    <col min="9964" max="9973" width="8.54296875" style="329" bestFit="1" customWidth="1"/>
    <col min="9974" max="9975" width="6.54296875" style="329" bestFit="1" customWidth="1"/>
    <col min="9976" max="9976" width="10" style="329" bestFit="1" customWidth="1"/>
    <col min="9977" max="9977" width="10.453125" style="329" bestFit="1" customWidth="1"/>
    <col min="9978" max="9978" width="12.54296875" style="329" bestFit="1" customWidth="1"/>
    <col min="9979" max="9979" width="8.54296875" style="329" bestFit="1" customWidth="1"/>
    <col min="9980" max="9980" width="9.453125" style="329" bestFit="1" customWidth="1"/>
    <col min="9981" max="9981" width="14.453125" style="329" bestFit="1" customWidth="1"/>
    <col min="9982" max="9982" width="9.453125" style="329"/>
    <col min="9983" max="9983" width="0" style="329" hidden="1" customWidth="1"/>
    <col min="9984" max="10217" width="9.453125" style="329"/>
    <col min="10218" max="10218" width="21" style="329" customWidth="1"/>
    <col min="10219" max="10219" width="14.453125" style="329" customWidth="1"/>
    <col min="10220" max="10229" width="8.54296875" style="329" bestFit="1" customWidth="1"/>
    <col min="10230" max="10231" width="6.54296875" style="329" bestFit="1" customWidth="1"/>
    <col min="10232" max="10232" width="10" style="329" bestFit="1" customWidth="1"/>
    <col min="10233" max="10233" width="10.453125" style="329" bestFit="1" customWidth="1"/>
    <col min="10234" max="10234" width="12.54296875" style="329" bestFit="1" customWidth="1"/>
    <col min="10235" max="10235" width="8.54296875" style="329" bestFit="1" customWidth="1"/>
    <col min="10236" max="10236" width="9.453125" style="329" bestFit="1" customWidth="1"/>
    <col min="10237" max="10237" width="14.453125" style="329" bestFit="1" customWidth="1"/>
    <col min="10238" max="10238" width="9.453125" style="329"/>
    <col min="10239" max="10239" width="0" style="329" hidden="1" customWidth="1"/>
    <col min="10240" max="10473" width="9.453125" style="329"/>
    <col min="10474" max="10474" width="21" style="329" customWidth="1"/>
    <col min="10475" max="10475" width="14.453125" style="329" customWidth="1"/>
    <col min="10476" max="10485" width="8.54296875" style="329" bestFit="1" customWidth="1"/>
    <col min="10486" max="10487" width="6.54296875" style="329" bestFit="1" customWidth="1"/>
    <col min="10488" max="10488" width="10" style="329" bestFit="1" customWidth="1"/>
    <col min="10489" max="10489" width="10.453125" style="329" bestFit="1" customWidth="1"/>
    <col min="10490" max="10490" width="12.54296875" style="329" bestFit="1" customWidth="1"/>
    <col min="10491" max="10491" width="8.54296875" style="329" bestFit="1" customWidth="1"/>
    <col min="10492" max="10492" width="9.453125" style="329" bestFit="1" customWidth="1"/>
    <col min="10493" max="10493" width="14.453125" style="329" bestFit="1" customWidth="1"/>
    <col min="10494" max="10494" width="9.453125" style="329"/>
    <col min="10495" max="10495" width="0" style="329" hidden="1" customWidth="1"/>
    <col min="10496" max="10729" width="9.453125" style="329"/>
    <col min="10730" max="10730" width="21" style="329" customWidth="1"/>
    <col min="10731" max="10731" width="14.453125" style="329" customWidth="1"/>
    <col min="10732" max="10741" width="8.54296875" style="329" bestFit="1" customWidth="1"/>
    <col min="10742" max="10743" width="6.54296875" style="329" bestFit="1" customWidth="1"/>
    <col min="10744" max="10744" width="10" style="329" bestFit="1" customWidth="1"/>
    <col min="10745" max="10745" width="10.453125" style="329" bestFit="1" customWidth="1"/>
    <col min="10746" max="10746" width="12.54296875" style="329" bestFit="1" customWidth="1"/>
    <col min="10747" max="10747" width="8.54296875" style="329" bestFit="1" customWidth="1"/>
    <col min="10748" max="10748" width="9.453125" style="329" bestFit="1" customWidth="1"/>
    <col min="10749" max="10749" width="14.453125" style="329" bestFit="1" customWidth="1"/>
    <col min="10750" max="10750" width="9.453125" style="329"/>
    <col min="10751" max="10751" width="0" style="329" hidden="1" customWidth="1"/>
    <col min="10752" max="10985" width="9.453125" style="329"/>
    <col min="10986" max="10986" width="21" style="329" customWidth="1"/>
    <col min="10987" max="10987" width="14.453125" style="329" customWidth="1"/>
    <col min="10988" max="10997" width="8.54296875" style="329" bestFit="1" customWidth="1"/>
    <col min="10998" max="10999" width="6.54296875" style="329" bestFit="1" customWidth="1"/>
    <col min="11000" max="11000" width="10" style="329" bestFit="1" customWidth="1"/>
    <col min="11001" max="11001" width="10.453125" style="329" bestFit="1" customWidth="1"/>
    <col min="11002" max="11002" width="12.54296875" style="329" bestFit="1" customWidth="1"/>
    <col min="11003" max="11003" width="8.54296875" style="329" bestFit="1" customWidth="1"/>
    <col min="11004" max="11004" width="9.453125" style="329" bestFit="1" customWidth="1"/>
    <col min="11005" max="11005" width="14.453125" style="329" bestFit="1" customWidth="1"/>
    <col min="11006" max="11006" width="9.453125" style="329"/>
    <col min="11007" max="11007" width="0" style="329" hidden="1" customWidth="1"/>
    <col min="11008" max="11241" width="9.453125" style="329"/>
    <col min="11242" max="11242" width="21" style="329" customWidth="1"/>
    <col min="11243" max="11243" width="14.453125" style="329" customWidth="1"/>
    <col min="11244" max="11253" width="8.54296875" style="329" bestFit="1" customWidth="1"/>
    <col min="11254" max="11255" width="6.54296875" style="329" bestFit="1" customWidth="1"/>
    <col min="11256" max="11256" width="10" style="329" bestFit="1" customWidth="1"/>
    <col min="11257" max="11257" width="10.453125" style="329" bestFit="1" customWidth="1"/>
    <col min="11258" max="11258" width="12.54296875" style="329" bestFit="1" customWidth="1"/>
    <col min="11259" max="11259" width="8.54296875" style="329" bestFit="1" customWidth="1"/>
    <col min="11260" max="11260" width="9.453125" style="329" bestFit="1" customWidth="1"/>
    <col min="11261" max="11261" width="14.453125" style="329" bestFit="1" customWidth="1"/>
    <col min="11262" max="11262" width="9.453125" style="329"/>
    <col min="11263" max="11263" width="0" style="329" hidden="1" customWidth="1"/>
    <col min="11264" max="11497" width="9.453125" style="329"/>
    <col min="11498" max="11498" width="21" style="329" customWidth="1"/>
    <col min="11499" max="11499" width="14.453125" style="329" customWidth="1"/>
    <col min="11500" max="11509" width="8.54296875" style="329" bestFit="1" customWidth="1"/>
    <col min="11510" max="11511" width="6.54296875" style="329" bestFit="1" customWidth="1"/>
    <col min="11512" max="11512" width="10" style="329" bestFit="1" customWidth="1"/>
    <col min="11513" max="11513" width="10.453125" style="329" bestFit="1" customWidth="1"/>
    <col min="11514" max="11514" width="12.54296875" style="329" bestFit="1" customWidth="1"/>
    <col min="11515" max="11515" width="8.54296875" style="329" bestFit="1" customWidth="1"/>
    <col min="11516" max="11516" width="9.453125" style="329" bestFit="1" customWidth="1"/>
    <col min="11517" max="11517" width="14.453125" style="329" bestFit="1" customWidth="1"/>
    <col min="11518" max="11518" width="9.453125" style="329"/>
    <col min="11519" max="11519" width="0" style="329" hidden="1" customWidth="1"/>
    <col min="11520" max="11753" width="9.453125" style="329"/>
    <col min="11754" max="11754" width="21" style="329" customWidth="1"/>
    <col min="11755" max="11755" width="14.453125" style="329" customWidth="1"/>
    <col min="11756" max="11765" width="8.54296875" style="329" bestFit="1" customWidth="1"/>
    <col min="11766" max="11767" width="6.54296875" style="329" bestFit="1" customWidth="1"/>
    <col min="11768" max="11768" width="10" style="329" bestFit="1" customWidth="1"/>
    <col min="11769" max="11769" width="10.453125" style="329" bestFit="1" customWidth="1"/>
    <col min="11770" max="11770" width="12.54296875" style="329" bestFit="1" customWidth="1"/>
    <col min="11771" max="11771" width="8.54296875" style="329" bestFit="1" customWidth="1"/>
    <col min="11772" max="11772" width="9.453125" style="329" bestFit="1" customWidth="1"/>
    <col min="11773" max="11773" width="14.453125" style="329" bestFit="1" customWidth="1"/>
    <col min="11774" max="11774" width="9.453125" style="329"/>
    <col min="11775" max="11775" width="0" style="329" hidden="1" customWidth="1"/>
    <col min="11776" max="12009" width="9.453125" style="329"/>
    <col min="12010" max="12010" width="21" style="329" customWidth="1"/>
    <col min="12011" max="12011" width="14.453125" style="329" customWidth="1"/>
    <col min="12012" max="12021" width="8.54296875" style="329" bestFit="1" customWidth="1"/>
    <col min="12022" max="12023" width="6.54296875" style="329" bestFit="1" customWidth="1"/>
    <col min="12024" max="12024" width="10" style="329" bestFit="1" customWidth="1"/>
    <col min="12025" max="12025" width="10.453125" style="329" bestFit="1" customWidth="1"/>
    <col min="12026" max="12026" width="12.54296875" style="329" bestFit="1" customWidth="1"/>
    <col min="12027" max="12027" width="8.54296875" style="329" bestFit="1" customWidth="1"/>
    <col min="12028" max="12028" width="9.453125" style="329" bestFit="1" customWidth="1"/>
    <col min="12029" max="12029" width="14.453125" style="329" bestFit="1" customWidth="1"/>
    <col min="12030" max="12030" width="9.453125" style="329"/>
    <col min="12031" max="12031" width="0" style="329" hidden="1" customWidth="1"/>
    <col min="12032" max="12265" width="9.453125" style="329"/>
    <col min="12266" max="12266" width="21" style="329" customWidth="1"/>
    <col min="12267" max="12267" width="14.453125" style="329" customWidth="1"/>
    <col min="12268" max="12277" width="8.54296875" style="329" bestFit="1" customWidth="1"/>
    <col min="12278" max="12279" width="6.54296875" style="329" bestFit="1" customWidth="1"/>
    <col min="12280" max="12280" width="10" style="329" bestFit="1" customWidth="1"/>
    <col min="12281" max="12281" width="10.453125" style="329" bestFit="1" customWidth="1"/>
    <col min="12282" max="12282" width="12.54296875" style="329" bestFit="1" customWidth="1"/>
    <col min="12283" max="12283" width="8.54296875" style="329" bestFit="1" customWidth="1"/>
    <col min="12284" max="12284" width="9.453125" style="329" bestFit="1" customWidth="1"/>
    <col min="12285" max="12285" width="14.453125" style="329" bestFit="1" customWidth="1"/>
    <col min="12286" max="12286" width="9.453125" style="329"/>
    <col min="12287" max="12287" width="0" style="329" hidden="1" customWidth="1"/>
    <col min="12288" max="12521" width="9.453125" style="329"/>
    <col min="12522" max="12522" width="21" style="329" customWidth="1"/>
    <col min="12523" max="12523" width="14.453125" style="329" customWidth="1"/>
    <col min="12524" max="12533" width="8.54296875" style="329" bestFit="1" customWidth="1"/>
    <col min="12534" max="12535" width="6.54296875" style="329" bestFit="1" customWidth="1"/>
    <col min="12536" max="12536" width="10" style="329" bestFit="1" customWidth="1"/>
    <col min="12537" max="12537" width="10.453125" style="329" bestFit="1" customWidth="1"/>
    <col min="12538" max="12538" width="12.54296875" style="329" bestFit="1" customWidth="1"/>
    <col min="12539" max="12539" width="8.54296875" style="329" bestFit="1" customWidth="1"/>
    <col min="12540" max="12540" width="9.453125" style="329" bestFit="1" customWidth="1"/>
    <col min="12541" max="12541" width="14.453125" style="329" bestFit="1" customWidth="1"/>
    <col min="12542" max="12542" width="9.453125" style="329"/>
    <col min="12543" max="12543" width="0" style="329" hidden="1" customWidth="1"/>
    <col min="12544" max="12777" width="9.453125" style="329"/>
    <col min="12778" max="12778" width="21" style="329" customWidth="1"/>
    <col min="12779" max="12779" width="14.453125" style="329" customWidth="1"/>
    <col min="12780" max="12789" width="8.54296875" style="329" bestFit="1" customWidth="1"/>
    <col min="12790" max="12791" width="6.54296875" style="329" bestFit="1" customWidth="1"/>
    <col min="12792" max="12792" width="10" style="329" bestFit="1" customWidth="1"/>
    <col min="12793" max="12793" width="10.453125" style="329" bestFit="1" customWidth="1"/>
    <col min="12794" max="12794" width="12.54296875" style="329" bestFit="1" customWidth="1"/>
    <col min="12795" max="12795" width="8.54296875" style="329" bestFit="1" customWidth="1"/>
    <col min="12796" max="12796" width="9.453125" style="329" bestFit="1" customWidth="1"/>
    <col min="12797" max="12797" width="14.453125" style="329" bestFit="1" customWidth="1"/>
    <col min="12798" max="12798" width="9.453125" style="329"/>
    <col min="12799" max="12799" width="0" style="329" hidden="1" customWidth="1"/>
    <col min="12800" max="13033" width="9.453125" style="329"/>
    <col min="13034" max="13034" width="21" style="329" customWidth="1"/>
    <col min="13035" max="13035" width="14.453125" style="329" customWidth="1"/>
    <col min="13036" max="13045" width="8.54296875" style="329" bestFit="1" customWidth="1"/>
    <col min="13046" max="13047" width="6.54296875" style="329" bestFit="1" customWidth="1"/>
    <col min="13048" max="13048" width="10" style="329" bestFit="1" customWidth="1"/>
    <col min="13049" max="13049" width="10.453125" style="329" bestFit="1" customWidth="1"/>
    <col min="13050" max="13050" width="12.54296875" style="329" bestFit="1" customWidth="1"/>
    <col min="13051" max="13051" width="8.54296875" style="329" bestFit="1" customWidth="1"/>
    <col min="13052" max="13052" width="9.453125" style="329" bestFit="1" customWidth="1"/>
    <col min="13053" max="13053" width="14.453125" style="329" bestFit="1" customWidth="1"/>
    <col min="13054" max="13054" width="9.453125" style="329"/>
    <col min="13055" max="13055" width="0" style="329" hidden="1" customWidth="1"/>
    <col min="13056" max="13289" width="9.453125" style="329"/>
    <col min="13290" max="13290" width="21" style="329" customWidth="1"/>
    <col min="13291" max="13291" width="14.453125" style="329" customWidth="1"/>
    <col min="13292" max="13301" width="8.54296875" style="329" bestFit="1" customWidth="1"/>
    <col min="13302" max="13303" width="6.54296875" style="329" bestFit="1" customWidth="1"/>
    <col min="13304" max="13304" width="10" style="329" bestFit="1" customWidth="1"/>
    <col min="13305" max="13305" width="10.453125" style="329" bestFit="1" customWidth="1"/>
    <col min="13306" max="13306" width="12.54296875" style="329" bestFit="1" customWidth="1"/>
    <col min="13307" max="13307" width="8.54296875" style="329" bestFit="1" customWidth="1"/>
    <col min="13308" max="13308" width="9.453125" style="329" bestFit="1" customWidth="1"/>
    <col min="13309" max="13309" width="14.453125" style="329" bestFit="1" customWidth="1"/>
    <col min="13310" max="13310" width="9.453125" style="329"/>
    <col min="13311" max="13311" width="0" style="329" hidden="1" customWidth="1"/>
    <col min="13312" max="13545" width="9.453125" style="329"/>
    <col min="13546" max="13546" width="21" style="329" customWidth="1"/>
    <col min="13547" max="13547" width="14.453125" style="329" customWidth="1"/>
    <col min="13548" max="13557" width="8.54296875" style="329" bestFit="1" customWidth="1"/>
    <col min="13558" max="13559" width="6.54296875" style="329" bestFit="1" customWidth="1"/>
    <col min="13560" max="13560" width="10" style="329" bestFit="1" customWidth="1"/>
    <col min="13561" max="13561" width="10.453125" style="329" bestFit="1" customWidth="1"/>
    <col min="13562" max="13562" width="12.54296875" style="329" bestFit="1" customWidth="1"/>
    <col min="13563" max="13563" width="8.54296875" style="329" bestFit="1" customWidth="1"/>
    <col min="13564" max="13564" width="9.453125" style="329" bestFit="1" customWidth="1"/>
    <col min="13565" max="13565" width="14.453125" style="329" bestFit="1" customWidth="1"/>
    <col min="13566" max="13566" width="9.453125" style="329"/>
    <col min="13567" max="13567" width="0" style="329" hidden="1" customWidth="1"/>
    <col min="13568" max="13801" width="9.453125" style="329"/>
    <col min="13802" max="13802" width="21" style="329" customWidth="1"/>
    <col min="13803" max="13803" width="14.453125" style="329" customWidth="1"/>
    <col min="13804" max="13813" width="8.54296875" style="329" bestFit="1" customWidth="1"/>
    <col min="13814" max="13815" width="6.54296875" style="329" bestFit="1" customWidth="1"/>
    <col min="13816" max="13816" width="10" style="329" bestFit="1" customWidth="1"/>
    <col min="13817" max="13817" width="10.453125" style="329" bestFit="1" customWidth="1"/>
    <col min="13818" max="13818" width="12.54296875" style="329" bestFit="1" customWidth="1"/>
    <col min="13819" max="13819" width="8.54296875" style="329" bestFit="1" customWidth="1"/>
    <col min="13820" max="13820" width="9.453125" style="329" bestFit="1" customWidth="1"/>
    <col min="13821" max="13821" width="14.453125" style="329" bestFit="1" customWidth="1"/>
    <col min="13822" max="13822" width="9.453125" style="329"/>
    <col min="13823" max="13823" width="0" style="329" hidden="1" customWidth="1"/>
    <col min="13824" max="14057" width="9.453125" style="329"/>
    <col min="14058" max="14058" width="21" style="329" customWidth="1"/>
    <col min="14059" max="14059" width="14.453125" style="329" customWidth="1"/>
    <col min="14060" max="14069" width="8.54296875" style="329" bestFit="1" customWidth="1"/>
    <col min="14070" max="14071" width="6.54296875" style="329" bestFit="1" customWidth="1"/>
    <col min="14072" max="14072" width="10" style="329" bestFit="1" customWidth="1"/>
    <col min="14073" max="14073" width="10.453125" style="329" bestFit="1" customWidth="1"/>
    <col min="14074" max="14074" width="12.54296875" style="329" bestFit="1" customWidth="1"/>
    <col min="14075" max="14075" width="8.54296875" style="329" bestFit="1" customWidth="1"/>
    <col min="14076" max="14076" width="9.453125" style="329" bestFit="1" customWidth="1"/>
    <col min="14077" max="14077" width="14.453125" style="329" bestFit="1" customWidth="1"/>
    <col min="14078" max="14078" width="9.453125" style="329"/>
    <col min="14079" max="14079" width="0" style="329" hidden="1" customWidth="1"/>
    <col min="14080" max="14313" width="9.453125" style="329"/>
    <col min="14314" max="14314" width="21" style="329" customWidth="1"/>
    <col min="14315" max="14315" width="14.453125" style="329" customWidth="1"/>
    <col min="14316" max="14325" width="8.54296875" style="329" bestFit="1" customWidth="1"/>
    <col min="14326" max="14327" width="6.54296875" style="329" bestFit="1" customWidth="1"/>
    <col min="14328" max="14328" width="10" style="329" bestFit="1" customWidth="1"/>
    <col min="14329" max="14329" width="10.453125" style="329" bestFit="1" customWidth="1"/>
    <col min="14330" max="14330" width="12.54296875" style="329" bestFit="1" customWidth="1"/>
    <col min="14331" max="14331" width="8.54296875" style="329" bestFit="1" customWidth="1"/>
    <col min="14332" max="14332" width="9.453125" style="329" bestFit="1" customWidth="1"/>
    <col min="14333" max="14333" width="14.453125" style="329" bestFit="1" customWidth="1"/>
    <col min="14334" max="14334" width="9.453125" style="329"/>
    <col min="14335" max="14335" width="0" style="329" hidden="1" customWidth="1"/>
    <col min="14336" max="14569" width="9.453125" style="329"/>
    <col min="14570" max="14570" width="21" style="329" customWidth="1"/>
    <col min="14571" max="14571" width="14.453125" style="329" customWidth="1"/>
    <col min="14572" max="14581" width="8.54296875" style="329" bestFit="1" customWidth="1"/>
    <col min="14582" max="14583" width="6.54296875" style="329" bestFit="1" customWidth="1"/>
    <col min="14584" max="14584" width="10" style="329" bestFit="1" customWidth="1"/>
    <col min="14585" max="14585" width="10.453125" style="329" bestFit="1" customWidth="1"/>
    <col min="14586" max="14586" width="12.54296875" style="329" bestFit="1" customWidth="1"/>
    <col min="14587" max="14587" width="8.54296875" style="329" bestFit="1" customWidth="1"/>
    <col min="14588" max="14588" width="9.453125" style="329" bestFit="1" customWidth="1"/>
    <col min="14589" max="14589" width="14.453125" style="329" bestFit="1" customWidth="1"/>
    <col min="14590" max="14590" width="9.453125" style="329"/>
    <col min="14591" max="14591" width="0" style="329" hidden="1" customWidth="1"/>
    <col min="14592" max="14825" width="9.453125" style="329"/>
    <col min="14826" max="14826" width="21" style="329" customWidth="1"/>
    <col min="14827" max="14827" width="14.453125" style="329" customWidth="1"/>
    <col min="14828" max="14837" width="8.54296875" style="329" bestFit="1" customWidth="1"/>
    <col min="14838" max="14839" width="6.54296875" style="329" bestFit="1" customWidth="1"/>
    <col min="14840" max="14840" width="10" style="329" bestFit="1" customWidth="1"/>
    <col min="14841" max="14841" width="10.453125" style="329" bestFit="1" customWidth="1"/>
    <col min="14842" max="14842" width="12.54296875" style="329" bestFit="1" customWidth="1"/>
    <col min="14843" max="14843" width="8.54296875" style="329" bestFit="1" customWidth="1"/>
    <col min="14844" max="14844" width="9.453125" style="329" bestFit="1" customWidth="1"/>
    <col min="14845" max="14845" width="14.453125" style="329" bestFit="1" customWidth="1"/>
    <col min="14846" max="14846" width="9.453125" style="329"/>
    <col min="14847" max="14847" width="0" style="329" hidden="1" customWidth="1"/>
    <col min="14848" max="15081" width="9.453125" style="329"/>
    <col min="15082" max="15082" width="21" style="329" customWidth="1"/>
    <col min="15083" max="15083" width="14.453125" style="329" customWidth="1"/>
    <col min="15084" max="15093" width="8.54296875" style="329" bestFit="1" customWidth="1"/>
    <col min="15094" max="15095" width="6.54296875" style="329" bestFit="1" customWidth="1"/>
    <col min="15096" max="15096" width="10" style="329" bestFit="1" customWidth="1"/>
    <col min="15097" max="15097" width="10.453125" style="329" bestFit="1" customWidth="1"/>
    <col min="15098" max="15098" width="12.54296875" style="329" bestFit="1" customWidth="1"/>
    <col min="15099" max="15099" width="8.54296875" style="329" bestFit="1" customWidth="1"/>
    <col min="15100" max="15100" width="9.453125" style="329" bestFit="1" customWidth="1"/>
    <col min="15101" max="15101" width="14.453125" style="329" bestFit="1" customWidth="1"/>
    <col min="15102" max="15102" width="9.453125" style="329"/>
    <col min="15103" max="15103" width="0" style="329" hidden="1" customWidth="1"/>
    <col min="15104" max="15337" width="9.453125" style="329"/>
    <col min="15338" max="15338" width="21" style="329" customWidth="1"/>
    <col min="15339" max="15339" width="14.453125" style="329" customWidth="1"/>
    <col min="15340" max="15349" width="8.54296875" style="329" bestFit="1" customWidth="1"/>
    <col min="15350" max="15351" width="6.54296875" style="329" bestFit="1" customWidth="1"/>
    <col min="15352" max="15352" width="10" style="329" bestFit="1" customWidth="1"/>
    <col min="15353" max="15353" width="10.453125" style="329" bestFit="1" customWidth="1"/>
    <col min="15354" max="15354" width="12.54296875" style="329" bestFit="1" customWidth="1"/>
    <col min="15355" max="15355" width="8.54296875" style="329" bestFit="1" customWidth="1"/>
    <col min="15356" max="15356" width="9.453125" style="329" bestFit="1" customWidth="1"/>
    <col min="15357" max="15357" width="14.453125" style="329" bestFit="1" customWidth="1"/>
    <col min="15358" max="15358" width="9.453125" style="329"/>
    <col min="15359" max="15359" width="0" style="329" hidden="1" customWidth="1"/>
    <col min="15360" max="15593" width="9.453125" style="329"/>
    <col min="15594" max="15594" width="21" style="329" customWidth="1"/>
    <col min="15595" max="15595" width="14.453125" style="329" customWidth="1"/>
    <col min="15596" max="15605" width="8.54296875" style="329" bestFit="1" customWidth="1"/>
    <col min="15606" max="15607" width="6.54296875" style="329" bestFit="1" customWidth="1"/>
    <col min="15608" max="15608" width="10" style="329" bestFit="1" customWidth="1"/>
    <col min="15609" max="15609" width="10.453125" style="329" bestFit="1" customWidth="1"/>
    <col min="15610" max="15610" width="12.54296875" style="329" bestFit="1" customWidth="1"/>
    <col min="15611" max="15611" width="8.54296875" style="329" bestFit="1" customWidth="1"/>
    <col min="15612" max="15612" width="9.453125" style="329" bestFit="1" customWidth="1"/>
    <col min="15613" max="15613" width="14.453125" style="329" bestFit="1" customWidth="1"/>
    <col min="15614" max="15614" width="9.453125" style="329"/>
    <col min="15615" max="15615" width="0" style="329" hidden="1" customWidth="1"/>
    <col min="15616" max="15849" width="9.453125" style="329"/>
    <col min="15850" max="15850" width="21" style="329" customWidth="1"/>
    <col min="15851" max="15851" width="14.453125" style="329" customWidth="1"/>
    <col min="15852" max="15861" width="8.54296875" style="329" bestFit="1" customWidth="1"/>
    <col min="15862" max="15863" width="6.54296875" style="329" bestFit="1" customWidth="1"/>
    <col min="15864" max="15864" width="10" style="329" bestFit="1" customWidth="1"/>
    <col min="15865" max="15865" width="10.453125" style="329" bestFit="1" customWidth="1"/>
    <col min="15866" max="15866" width="12.54296875" style="329" bestFit="1" customWidth="1"/>
    <col min="15867" max="15867" width="8.54296875" style="329" bestFit="1" customWidth="1"/>
    <col min="15868" max="15868" width="9.453125" style="329" bestFit="1" customWidth="1"/>
    <col min="15869" max="15869" width="14.453125" style="329" bestFit="1" customWidth="1"/>
    <col min="15870" max="15870" width="9.453125" style="329"/>
    <col min="15871" max="15871" width="0" style="329" hidden="1" customWidth="1"/>
    <col min="15872" max="16105" width="9.453125" style="329"/>
    <col min="16106" max="16106" width="21" style="329" customWidth="1"/>
    <col min="16107" max="16107" width="14.453125" style="329" customWidth="1"/>
    <col min="16108" max="16117" width="8.54296875" style="329" bestFit="1" customWidth="1"/>
    <col min="16118" max="16119" width="6.54296875" style="329" bestFit="1" customWidth="1"/>
    <col min="16120" max="16120" width="10" style="329" bestFit="1" customWidth="1"/>
    <col min="16121" max="16121" width="10.453125" style="329" bestFit="1" customWidth="1"/>
    <col min="16122" max="16122" width="12.54296875" style="329" bestFit="1" customWidth="1"/>
    <col min="16123" max="16123" width="8.54296875" style="329" bestFit="1" customWidth="1"/>
    <col min="16124" max="16124" width="9.453125" style="329" bestFit="1" customWidth="1"/>
    <col min="16125" max="16125" width="14.453125" style="329" bestFit="1" customWidth="1"/>
    <col min="16126" max="16126" width="9.453125" style="329"/>
    <col min="16127" max="16127" width="0" style="329" hidden="1" customWidth="1"/>
    <col min="16128" max="16384" width="9.453125" style="329"/>
  </cols>
  <sheetData>
    <row r="1" spans="1:17" ht="15.5">
      <c r="B1" s="330"/>
      <c r="E1" s="331"/>
      <c r="G1" s="574" t="s">
        <v>2039</v>
      </c>
      <c r="H1" s="413"/>
      <c r="I1" s="413"/>
      <c r="J1" s="413"/>
      <c r="K1" s="413"/>
      <c r="L1" s="413"/>
      <c r="M1" s="413"/>
      <c r="N1" s="413"/>
      <c r="O1" s="413"/>
      <c r="P1" s="413"/>
      <c r="Q1" s="413"/>
    </row>
    <row r="2" spans="1:17" ht="13.5" thickBot="1">
      <c r="A2" s="573" t="s">
        <v>2044</v>
      </c>
      <c r="F2" s="329" t="s">
        <v>2037</v>
      </c>
      <c r="G2" s="575" t="s">
        <v>2184</v>
      </c>
      <c r="H2" s="413"/>
      <c r="I2" s="413"/>
      <c r="J2" s="413"/>
      <c r="K2" s="413"/>
      <c r="L2" s="413"/>
      <c r="M2" s="413"/>
      <c r="N2" s="413"/>
      <c r="O2" s="413"/>
      <c r="P2" s="413"/>
      <c r="Q2" s="413"/>
    </row>
    <row r="3" spans="1:17" ht="12" thickBot="1">
      <c r="A3" s="332" t="s">
        <v>1884</v>
      </c>
      <c r="B3" s="332" t="s">
        <v>1</v>
      </c>
      <c r="C3" s="333" t="s">
        <v>2035</v>
      </c>
      <c r="D3" s="334" t="s">
        <v>2036</v>
      </c>
      <c r="E3" s="333" t="s">
        <v>146</v>
      </c>
      <c r="F3" s="335" t="s">
        <v>1853</v>
      </c>
      <c r="G3" s="336" t="s">
        <v>2038</v>
      </c>
      <c r="H3" s="336" t="s">
        <v>190</v>
      </c>
      <c r="I3" s="413"/>
      <c r="J3" s="413"/>
      <c r="K3" s="413"/>
      <c r="L3" s="413"/>
      <c r="M3" s="413"/>
      <c r="N3" s="413"/>
      <c r="O3" s="413"/>
      <c r="P3" s="413"/>
      <c r="Q3" s="413"/>
    </row>
    <row r="4" spans="1:17" ht="14.9" customHeight="1">
      <c r="A4" s="980" t="s">
        <v>2033</v>
      </c>
      <c r="B4" s="984" t="s">
        <v>2034</v>
      </c>
      <c r="C4" s="544"/>
      <c r="D4" s="545"/>
      <c r="E4" s="561" t="s">
        <v>1855</v>
      </c>
      <c r="F4" s="337" t="s">
        <v>1856</v>
      </c>
      <c r="G4" s="558">
        <f>PVA!F105</f>
        <v>1219763</v>
      </c>
      <c r="H4" s="558">
        <f>PVA!F105</f>
        <v>1219763</v>
      </c>
      <c r="I4" s="413"/>
      <c r="J4" s="413"/>
      <c r="K4" s="413"/>
      <c r="L4" s="413"/>
      <c r="M4" s="413"/>
      <c r="N4" s="413"/>
      <c r="O4" s="413"/>
      <c r="P4" s="413"/>
      <c r="Q4" s="413"/>
    </row>
    <row r="5" spans="1:17" ht="14.9" customHeight="1">
      <c r="A5" s="981"/>
      <c r="B5" s="985"/>
      <c r="C5" s="546"/>
      <c r="D5" s="547"/>
      <c r="E5" s="562" t="s">
        <v>1857</v>
      </c>
      <c r="F5" s="338" t="s">
        <v>1856</v>
      </c>
      <c r="G5" s="559">
        <f>G4-G7-G9-G8</f>
        <v>1182508</v>
      </c>
      <c r="H5" s="559">
        <f>PVA!G105</f>
        <v>1182508</v>
      </c>
      <c r="I5" s="413"/>
      <c r="J5" s="413"/>
      <c r="K5" s="413"/>
      <c r="L5" s="413"/>
      <c r="M5" s="413"/>
      <c r="N5" s="413"/>
      <c r="O5" s="413"/>
      <c r="P5" s="413"/>
      <c r="Q5" s="413"/>
    </row>
    <row r="6" spans="1:17" ht="14.9" customHeight="1">
      <c r="A6" s="981"/>
      <c r="B6" s="985"/>
      <c r="C6" s="548"/>
      <c r="D6" s="549"/>
      <c r="E6" s="563" t="s">
        <v>1858</v>
      </c>
      <c r="F6" s="339" t="s">
        <v>1859</v>
      </c>
      <c r="G6" s="556">
        <f>IFERROR(G5/G4,"")</f>
        <v>0.96945718143606585</v>
      </c>
      <c r="H6" s="556">
        <f>IFERROR(H5/H4,"")</f>
        <v>0.96945718143606585</v>
      </c>
      <c r="I6" s="413"/>
      <c r="J6" s="413"/>
      <c r="K6" s="413"/>
      <c r="L6" s="413"/>
      <c r="M6" s="413"/>
      <c r="N6" s="413"/>
      <c r="O6" s="413"/>
      <c r="P6" s="413"/>
      <c r="Q6" s="413"/>
    </row>
    <row r="7" spans="1:17" ht="14.9" customHeight="1">
      <c r="A7" s="981"/>
      <c r="B7" s="985"/>
      <c r="C7" s="548"/>
      <c r="D7" s="549"/>
      <c r="E7" s="564" t="s">
        <v>1860</v>
      </c>
      <c r="F7" s="340" t="s">
        <v>1856</v>
      </c>
      <c r="G7" s="557">
        <f>PVA!H105</f>
        <v>16084</v>
      </c>
      <c r="H7" s="557">
        <f>PVA!H112+PVA!H119+PVA!H126+PVA!H133+PVA!H140</f>
        <v>7682</v>
      </c>
      <c r="I7" s="413"/>
      <c r="J7" s="413"/>
      <c r="K7" s="413"/>
      <c r="L7" s="413"/>
      <c r="M7" s="413"/>
      <c r="N7" s="413"/>
      <c r="O7" s="413"/>
      <c r="P7" s="413"/>
      <c r="Q7" s="413"/>
    </row>
    <row r="8" spans="1:17" ht="14.9" customHeight="1">
      <c r="A8" s="981"/>
      <c r="B8" s="985"/>
      <c r="C8" s="546"/>
      <c r="D8" s="547"/>
      <c r="E8" s="661" t="s">
        <v>1861</v>
      </c>
      <c r="F8" s="662" t="s">
        <v>1856</v>
      </c>
      <c r="G8" s="560">
        <f>PVA!K105</f>
        <v>19563</v>
      </c>
      <c r="H8" s="560">
        <f>PVA!K112+PVA!K119+PVA!K126+PVA!K133+PVA!K140</f>
        <v>0</v>
      </c>
      <c r="I8" s="413"/>
      <c r="J8" s="413"/>
      <c r="K8" s="413"/>
      <c r="L8" s="413"/>
      <c r="M8" s="413"/>
      <c r="N8" s="413"/>
      <c r="O8" s="413"/>
      <c r="P8" s="413"/>
      <c r="Q8" s="413"/>
    </row>
    <row r="9" spans="1:17" ht="14.9" customHeight="1">
      <c r="A9" s="981"/>
      <c r="B9" s="985"/>
      <c r="C9" s="546"/>
      <c r="D9" s="547"/>
      <c r="E9" s="566" t="s">
        <v>1862</v>
      </c>
      <c r="F9" s="342" t="s">
        <v>1856</v>
      </c>
      <c r="G9" s="560">
        <f>PVA!I105</f>
        <v>1608</v>
      </c>
      <c r="H9" s="560">
        <f>PVA!I112+PVA!I119+PVA!I126+PVA!I133+PVA!I140</f>
        <v>24</v>
      </c>
      <c r="I9" s="413"/>
      <c r="J9" s="413"/>
      <c r="K9" s="413"/>
      <c r="L9" s="413"/>
      <c r="M9" s="413"/>
      <c r="N9" s="413"/>
      <c r="O9" s="413"/>
      <c r="P9" s="413"/>
      <c r="Q9" s="413"/>
    </row>
    <row r="10" spans="1:17" ht="14.9" customHeight="1">
      <c r="A10" s="981"/>
      <c r="B10" s="985"/>
      <c r="C10" s="550"/>
      <c r="D10" s="551"/>
      <c r="E10" s="663" t="s">
        <v>1863</v>
      </c>
      <c r="F10" s="664" t="s">
        <v>1864</v>
      </c>
      <c r="G10" s="570">
        <f t="shared" ref="G10:H12" si="0">(G7*$D$15)/1000</f>
        <v>109.3712</v>
      </c>
      <c r="H10" s="570">
        <f t="shared" si="0"/>
        <v>52.2376</v>
      </c>
      <c r="I10" s="413"/>
      <c r="J10" s="413"/>
      <c r="K10" s="413"/>
      <c r="L10" s="413"/>
      <c r="M10" s="413"/>
      <c r="N10" s="413"/>
      <c r="O10" s="413"/>
      <c r="P10" s="413"/>
      <c r="Q10" s="413"/>
    </row>
    <row r="11" spans="1:17" ht="14.9" customHeight="1">
      <c r="A11" s="981"/>
      <c r="B11" s="985"/>
      <c r="C11" s="550"/>
      <c r="D11" s="551"/>
      <c r="E11" s="663" t="s">
        <v>1865</v>
      </c>
      <c r="F11" s="664" t="s">
        <v>1864</v>
      </c>
      <c r="G11" s="570">
        <f t="shared" si="0"/>
        <v>133.0284</v>
      </c>
      <c r="H11" s="570">
        <f t="shared" si="0"/>
        <v>0</v>
      </c>
      <c r="I11" s="413"/>
      <c r="J11" s="413"/>
      <c r="K11" s="413"/>
      <c r="L11" s="413"/>
      <c r="M11" s="413"/>
      <c r="N11" s="413"/>
      <c r="O11" s="413"/>
      <c r="P11" s="413"/>
      <c r="Q11" s="413"/>
    </row>
    <row r="12" spans="1:17" ht="14.9" customHeight="1">
      <c r="A12" s="981"/>
      <c r="B12" s="985"/>
      <c r="C12" s="550"/>
      <c r="D12" s="551"/>
      <c r="E12" s="663" t="s">
        <v>1866</v>
      </c>
      <c r="F12" s="664" t="s">
        <v>1864</v>
      </c>
      <c r="G12" s="570">
        <f t="shared" si="0"/>
        <v>10.9344</v>
      </c>
      <c r="H12" s="570">
        <f t="shared" si="0"/>
        <v>0.16319999999999998</v>
      </c>
      <c r="I12" s="413"/>
      <c r="J12" s="413"/>
      <c r="K12" s="413"/>
      <c r="L12" s="413"/>
      <c r="M12" s="413"/>
      <c r="N12" s="413"/>
      <c r="O12" s="413"/>
      <c r="P12" s="413"/>
      <c r="Q12" s="413"/>
    </row>
    <row r="13" spans="1:17" ht="14.9" customHeight="1">
      <c r="A13" s="981"/>
      <c r="B13" s="985"/>
      <c r="C13" s="550"/>
      <c r="D13" s="551"/>
      <c r="E13" s="663" t="s">
        <v>1867</v>
      </c>
      <c r="F13" s="664" t="s">
        <v>1864</v>
      </c>
      <c r="G13" s="570">
        <f>PVA!AC105</f>
        <v>22.72</v>
      </c>
      <c r="H13" s="570">
        <f>PVA!AD105</f>
        <v>0</v>
      </c>
      <c r="I13" s="413"/>
      <c r="J13" s="413"/>
      <c r="K13" s="413"/>
      <c r="L13" s="413"/>
      <c r="M13" s="413"/>
      <c r="N13" s="413"/>
      <c r="O13" s="413"/>
      <c r="P13" s="413"/>
      <c r="Q13" s="413"/>
    </row>
    <row r="14" spans="1:17" ht="14.9" customHeight="1">
      <c r="A14" s="981"/>
      <c r="B14" s="985"/>
      <c r="C14" s="550"/>
      <c r="D14" s="551"/>
      <c r="E14" s="663" t="s">
        <v>1868</v>
      </c>
      <c r="F14" s="664" t="s">
        <v>1864</v>
      </c>
      <c r="G14" s="570">
        <f>PVA!J105-'Material Yield Trend'!G13</f>
        <v>192.959</v>
      </c>
      <c r="H14" s="570">
        <f>PVA!J105</f>
        <v>215.679</v>
      </c>
      <c r="I14" s="413"/>
      <c r="J14" s="413"/>
      <c r="K14" s="413"/>
      <c r="L14" s="413"/>
      <c r="M14" s="413"/>
      <c r="N14" s="413"/>
      <c r="O14" s="413"/>
      <c r="P14" s="413"/>
      <c r="Q14" s="413"/>
    </row>
    <row r="15" spans="1:17" ht="14.9" customHeight="1">
      <c r="A15" s="981"/>
      <c r="B15" s="985"/>
      <c r="C15" s="552" t="s">
        <v>2149</v>
      </c>
      <c r="D15" s="553">
        <v>6.8</v>
      </c>
      <c r="E15" s="665" t="s">
        <v>1869</v>
      </c>
      <c r="F15" s="666" t="s">
        <v>1864</v>
      </c>
      <c r="G15" s="571">
        <f>(((G4*$D$15)/1000)+G13+G14)</f>
        <v>8510.0673999999999</v>
      </c>
      <c r="H15" s="571">
        <f>(((H4*$D$15)/1000)+H13+H14+H12+H11+H10)</f>
        <v>8562.4682000000012</v>
      </c>
      <c r="I15" s="413"/>
      <c r="J15" s="413"/>
      <c r="K15" s="413"/>
      <c r="L15" s="413"/>
      <c r="M15" s="413"/>
      <c r="N15" s="413"/>
      <c r="O15" s="413"/>
      <c r="P15" s="413"/>
      <c r="Q15" s="413"/>
    </row>
    <row r="16" spans="1:17" ht="14.9" customHeight="1">
      <c r="A16" s="981"/>
      <c r="B16" s="985"/>
      <c r="C16" s="550"/>
      <c r="D16" s="553" t="s">
        <v>1854</v>
      </c>
      <c r="E16" s="665" t="s">
        <v>1870</v>
      </c>
      <c r="F16" s="666" t="s">
        <v>1864</v>
      </c>
      <c r="G16" s="571">
        <f>(($D$15*G5)/1000)</f>
        <v>8041.0543999999991</v>
      </c>
      <c r="H16" s="571">
        <f>(($D$15*H5)/1000)</f>
        <v>8041.0543999999991</v>
      </c>
      <c r="I16" s="413"/>
      <c r="J16" s="413"/>
      <c r="K16" s="413"/>
      <c r="L16" s="413"/>
      <c r="M16" s="413"/>
      <c r="N16" s="413"/>
      <c r="O16" s="413"/>
      <c r="P16" s="413"/>
      <c r="Q16" s="413"/>
    </row>
    <row r="17" spans="1:17" ht="14.9" customHeight="1">
      <c r="A17" s="981"/>
      <c r="B17" s="985"/>
      <c r="C17" s="550"/>
      <c r="D17" s="551"/>
      <c r="E17" s="665" t="s">
        <v>1871</v>
      </c>
      <c r="F17" s="666" t="s">
        <v>1859</v>
      </c>
      <c r="G17" s="667">
        <f>IFERROR(G10/G15,"")</f>
        <v>1.2851978117118086E-2</v>
      </c>
      <c r="H17" s="667">
        <f>IFERROR((H10+G10)/H15,"")</f>
        <v>1.8874090533848639E-2</v>
      </c>
      <c r="I17" s="413"/>
      <c r="J17" s="413"/>
      <c r="K17" s="413" t="s">
        <v>107</v>
      </c>
      <c r="L17" s="413"/>
      <c r="M17" s="413"/>
      <c r="N17" s="413"/>
      <c r="O17" s="413"/>
      <c r="P17" s="413"/>
      <c r="Q17" s="413"/>
    </row>
    <row r="18" spans="1:17" ht="14.9" customHeight="1">
      <c r="A18" s="981"/>
      <c r="B18" s="985"/>
      <c r="C18" s="550"/>
      <c r="D18" s="551"/>
      <c r="E18" s="665" t="s">
        <v>1872</v>
      </c>
      <c r="F18" s="666" t="s">
        <v>1859</v>
      </c>
      <c r="G18" s="667">
        <f>IFERROR(G11/G15,"")</f>
        <v>1.5631885594701637E-2</v>
      </c>
      <c r="H18" s="667">
        <f>IFERROR((H11+G11)/H15,"")</f>
        <v>1.5536221203133927E-2</v>
      </c>
      <c r="I18" s="413"/>
      <c r="J18" s="413"/>
      <c r="K18" s="413"/>
      <c r="L18" s="413"/>
      <c r="M18" s="413"/>
      <c r="N18" s="413"/>
      <c r="O18" s="413"/>
      <c r="P18" s="413"/>
      <c r="Q18" s="413"/>
    </row>
    <row r="19" spans="1:17" ht="14.9" customHeight="1">
      <c r="A19" s="981"/>
      <c r="B19" s="985"/>
      <c r="C19" s="550"/>
      <c r="D19" s="551"/>
      <c r="E19" s="569" t="s">
        <v>1873</v>
      </c>
      <c r="F19" s="666" t="s">
        <v>1859</v>
      </c>
      <c r="G19" s="667">
        <f>IFERROR(G12/G15,"")</f>
        <v>1.2848781902714426E-3</v>
      </c>
      <c r="H19" s="667">
        <f>IFERROR((H12+G12)/H15,"")</f>
        <v>1.2960748864445416E-3</v>
      </c>
      <c r="I19" s="413"/>
      <c r="J19" s="413"/>
      <c r="K19" s="413"/>
      <c r="L19" s="413"/>
      <c r="M19" s="413"/>
      <c r="N19" s="413"/>
      <c r="O19" s="413"/>
      <c r="P19" s="413"/>
      <c r="Q19" s="413"/>
    </row>
    <row r="20" spans="1:17" ht="14.9" customHeight="1">
      <c r="A20" s="981"/>
      <c r="B20" s="985"/>
      <c r="C20" s="550"/>
      <c r="D20" s="551"/>
      <c r="E20" s="665" t="s">
        <v>1874</v>
      </c>
      <c r="F20" s="666" t="s">
        <v>1859</v>
      </c>
      <c r="G20" s="667">
        <f>IFERROR(G13/G15,"")</f>
        <v>2.6697790901162545E-3</v>
      </c>
      <c r="H20" s="667">
        <f>IFERROR(H13/H15,"")</f>
        <v>0</v>
      </c>
      <c r="I20" s="413"/>
      <c r="J20" s="413"/>
      <c r="K20" s="413"/>
      <c r="L20" s="413"/>
      <c r="M20" s="413"/>
      <c r="N20" s="413"/>
      <c r="O20" s="413"/>
      <c r="P20" s="413"/>
      <c r="Q20" s="413"/>
    </row>
    <row r="21" spans="1:17" ht="14.9" customHeight="1">
      <c r="A21" s="981"/>
      <c r="B21" s="985"/>
      <c r="C21" s="550"/>
      <c r="D21" s="551"/>
      <c r="E21" s="665" t="s">
        <v>1875</v>
      </c>
      <c r="F21" s="666" t="s">
        <v>1859</v>
      </c>
      <c r="G21" s="667">
        <f>IFERROR(G14/G15,"")</f>
        <v>2.2674203496907675E-2</v>
      </c>
      <c r="H21" s="667">
        <f>IFERROR(H14/H15,"")</f>
        <v>2.5188881869365656E-2</v>
      </c>
      <c r="I21" s="413"/>
      <c r="J21" s="413"/>
      <c r="K21" s="413"/>
      <c r="L21" s="413"/>
      <c r="M21" s="413"/>
      <c r="N21" s="413"/>
      <c r="O21" s="413"/>
      <c r="P21" s="413"/>
      <c r="Q21" s="413"/>
    </row>
    <row r="22" spans="1:17" ht="15" customHeight="1" thickBot="1">
      <c r="A22" s="982"/>
      <c r="B22" s="986"/>
      <c r="C22" s="554"/>
      <c r="D22" s="555"/>
      <c r="E22" s="576" t="s">
        <v>1876</v>
      </c>
      <c r="F22" s="577" t="s">
        <v>1859</v>
      </c>
      <c r="G22" s="578">
        <f>IFERROR(G16/G15,"")</f>
        <v>0.94488727551088481</v>
      </c>
      <c r="H22" s="578">
        <f>IFERROR(H16/H15,"")</f>
        <v>0.93910473150720697</v>
      </c>
      <c r="I22" s="413"/>
      <c r="J22" s="413"/>
      <c r="K22" s="413"/>
      <c r="L22" s="413"/>
      <c r="M22" s="413"/>
      <c r="N22" s="413"/>
      <c r="O22" s="413"/>
      <c r="P22" s="413"/>
      <c r="Q22" s="413"/>
    </row>
    <row r="23" spans="1:17">
      <c r="A23" s="542"/>
      <c r="B23" s="543"/>
      <c r="C23" s="348"/>
      <c r="D23" s="348"/>
      <c r="E23" s="658" t="s">
        <v>2060</v>
      </c>
      <c r="F23" s="659" t="s">
        <v>1859</v>
      </c>
      <c r="G23" s="660">
        <v>0.97</v>
      </c>
      <c r="H23" s="660">
        <v>0.95</v>
      </c>
      <c r="I23" s="413"/>
      <c r="J23" s="413"/>
      <c r="K23" s="413"/>
      <c r="L23" s="413"/>
      <c r="M23" s="413"/>
      <c r="N23" s="413"/>
      <c r="O23" s="413"/>
      <c r="P23" s="413"/>
      <c r="Q23" s="413"/>
    </row>
    <row r="24" spans="1:17" ht="15.5">
      <c r="A24" s="345"/>
      <c r="B24" s="346"/>
      <c r="C24" s="345"/>
      <c r="D24" s="345"/>
      <c r="E24" s="347"/>
      <c r="F24" s="345"/>
      <c r="G24" s="574" t="s">
        <v>2039</v>
      </c>
      <c r="H24" s="413"/>
      <c r="I24" s="413"/>
      <c r="J24" s="413"/>
      <c r="K24" s="413"/>
      <c r="L24" s="413"/>
      <c r="M24" s="413"/>
      <c r="N24" s="413"/>
      <c r="O24" s="413"/>
      <c r="P24" s="413"/>
      <c r="Q24" s="413"/>
    </row>
    <row r="25" spans="1:17" ht="13.5" thickBot="1">
      <c r="A25" s="573" t="s">
        <v>2140</v>
      </c>
      <c r="G25" s="575" t="str">
        <f>G2</f>
        <v>Aug</v>
      </c>
      <c r="H25" s="413"/>
      <c r="I25" s="413"/>
      <c r="J25" s="413"/>
      <c r="K25" s="413"/>
      <c r="L25" s="413"/>
      <c r="M25" s="413"/>
      <c r="N25" s="413"/>
      <c r="O25" s="413"/>
      <c r="P25" s="413"/>
      <c r="Q25" s="413"/>
    </row>
    <row r="26" spans="1:17" ht="12" thickBot="1">
      <c r="A26" s="332" t="s">
        <v>1884</v>
      </c>
      <c r="B26" s="332" t="s">
        <v>1</v>
      </c>
      <c r="C26" s="333" t="s">
        <v>2035</v>
      </c>
      <c r="D26" s="334" t="s">
        <v>2036</v>
      </c>
      <c r="E26" s="333" t="s">
        <v>146</v>
      </c>
      <c r="F26" s="335" t="s">
        <v>1853</v>
      </c>
      <c r="G26" s="336" t="s">
        <v>2038</v>
      </c>
      <c r="H26" s="413"/>
      <c r="I26" s="413"/>
      <c r="J26" s="413"/>
      <c r="K26" s="413"/>
      <c r="L26" s="413"/>
      <c r="M26" s="413"/>
      <c r="N26" s="413"/>
      <c r="O26" s="413"/>
      <c r="P26" s="413"/>
      <c r="Q26" s="413"/>
    </row>
    <row r="27" spans="1:17">
      <c r="A27" s="980" t="s">
        <v>2040</v>
      </c>
      <c r="B27" s="984" t="s">
        <v>2041</v>
      </c>
      <c r="C27" s="544"/>
      <c r="D27" s="545" t="s">
        <v>1854</v>
      </c>
      <c r="E27" s="561" t="s">
        <v>1855</v>
      </c>
      <c r="F27" s="337" t="s">
        <v>1856</v>
      </c>
      <c r="G27" s="558">
        <f>PVA!F3</f>
        <v>568076</v>
      </c>
      <c r="H27" s="413"/>
      <c r="I27" s="413"/>
      <c r="J27" s="413"/>
      <c r="K27" s="413"/>
      <c r="L27" s="413"/>
      <c r="M27" s="413"/>
      <c r="N27" s="413"/>
      <c r="O27" s="413"/>
      <c r="P27" s="413"/>
      <c r="Q27" s="413"/>
    </row>
    <row r="28" spans="1:17">
      <c r="A28" s="981"/>
      <c r="B28" s="985"/>
      <c r="C28" s="546"/>
      <c r="D28" s="547"/>
      <c r="E28" s="562" t="s">
        <v>1857</v>
      </c>
      <c r="F28" s="338" t="s">
        <v>1856</v>
      </c>
      <c r="G28" s="559">
        <f>PVA!G3</f>
        <v>563933</v>
      </c>
      <c r="H28" s="413"/>
      <c r="I28" s="413"/>
      <c r="J28" s="413"/>
      <c r="K28" s="413"/>
      <c r="L28" s="413"/>
      <c r="M28" s="413"/>
      <c r="N28" s="413"/>
      <c r="O28" s="413"/>
      <c r="P28" s="413"/>
      <c r="Q28" s="413"/>
    </row>
    <row r="29" spans="1:17">
      <c r="A29" s="981"/>
      <c r="B29" s="985"/>
      <c r="C29" s="548"/>
      <c r="D29" s="549"/>
      <c r="E29" s="563" t="s">
        <v>1858</v>
      </c>
      <c r="F29" s="339" t="s">
        <v>1859</v>
      </c>
      <c r="G29" s="556">
        <f>IFERROR(G28/G27,"")</f>
        <v>0.99270696174455531</v>
      </c>
      <c r="H29" s="413"/>
      <c r="I29" s="413"/>
      <c r="J29" s="413"/>
      <c r="K29" s="413"/>
      <c r="L29" s="413"/>
      <c r="M29" s="413"/>
      <c r="N29" s="413"/>
      <c r="O29" s="413"/>
      <c r="P29" s="413"/>
      <c r="Q29" s="413"/>
    </row>
    <row r="30" spans="1:17">
      <c r="A30" s="981"/>
      <c r="B30" s="985"/>
      <c r="C30" s="548"/>
      <c r="D30" s="549"/>
      <c r="E30" s="564" t="s">
        <v>1860</v>
      </c>
      <c r="F30" s="340" t="s">
        <v>1856</v>
      </c>
      <c r="G30" s="557">
        <f>PVA!H3</f>
        <v>1471</v>
      </c>
      <c r="H30" s="413"/>
      <c r="I30" s="413"/>
      <c r="J30" s="413"/>
      <c r="K30" s="413"/>
      <c r="L30" s="413"/>
      <c r="M30" s="413"/>
      <c r="N30" s="413"/>
      <c r="O30" s="413"/>
      <c r="P30" s="413"/>
      <c r="Q30" s="413"/>
    </row>
    <row r="31" spans="1:17">
      <c r="A31" s="981"/>
      <c r="B31" s="985"/>
      <c r="C31" s="546"/>
      <c r="D31" s="547"/>
      <c r="E31" s="565" t="s">
        <v>1861</v>
      </c>
      <c r="F31" s="341" t="s">
        <v>1856</v>
      </c>
      <c r="G31" s="560">
        <f>PVA!K3</f>
        <v>2068</v>
      </c>
      <c r="H31" s="413"/>
      <c r="I31" s="413"/>
      <c r="J31" s="413"/>
      <c r="K31" s="413"/>
      <c r="L31" s="413"/>
      <c r="M31" s="413"/>
      <c r="N31" s="413"/>
      <c r="O31" s="413"/>
      <c r="P31" s="413"/>
      <c r="Q31" s="413"/>
    </row>
    <row r="32" spans="1:17">
      <c r="A32" s="981"/>
      <c r="B32" s="985"/>
      <c r="C32" s="546"/>
      <c r="D32" s="547"/>
      <c r="E32" s="566" t="s">
        <v>1862</v>
      </c>
      <c r="F32" s="342" t="s">
        <v>1856</v>
      </c>
      <c r="G32" s="560">
        <f>PVA!I3</f>
        <v>604</v>
      </c>
    </row>
    <row r="33" spans="1:17">
      <c r="A33" s="981"/>
      <c r="B33" s="985"/>
      <c r="C33" s="550"/>
      <c r="D33" s="551"/>
      <c r="E33" s="567" t="s">
        <v>1863</v>
      </c>
      <c r="F33" s="343" t="s">
        <v>1864</v>
      </c>
      <c r="G33" s="570">
        <f>(G30*$D$38)/1000</f>
        <v>12.650600000000001</v>
      </c>
    </row>
    <row r="34" spans="1:17">
      <c r="A34" s="981"/>
      <c r="B34" s="985"/>
      <c r="C34" s="550"/>
      <c r="D34" s="551"/>
      <c r="E34" s="567" t="s">
        <v>1865</v>
      </c>
      <c r="F34" s="343" t="s">
        <v>1864</v>
      </c>
      <c r="G34" s="619">
        <f>(G31*$D$38)/1000</f>
        <v>17.784800000000001</v>
      </c>
    </row>
    <row r="35" spans="1:17">
      <c r="A35" s="981"/>
      <c r="B35" s="985"/>
      <c r="C35" s="550"/>
      <c r="D35" s="551"/>
      <c r="E35" s="567" t="s">
        <v>1866</v>
      </c>
      <c r="F35" s="343" t="s">
        <v>1864</v>
      </c>
      <c r="G35" s="570">
        <f>(G32*$D$38)/1000</f>
        <v>5.1943999999999999</v>
      </c>
    </row>
    <row r="36" spans="1:17">
      <c r="A36" s="981"/>
      <c r="B36" s="985"/>
      <c r="C36" s="550"/>
      <c r="D36" s="551"/>
      <c r="E36" s="567" t="s">
        <v>1867</v>
      </c>
      <c r="F36" s="343" t="s">
        <v>1864</v>
      </c>
      <c r="G36" s="570">
        <v>0</v>
      </c>
    </row>
    <row r="37" spans="1:17">
      <c r="A37" s="981"/>
      <c r="B37" s="985"/>
      <c r="C37" s="550"/>
      <c r="D37" s="551"/>
      <c r="E37" s="567" t="s">
        <v>1868</v>
      </c>
      <c r="F37" s="343" t="s">
        <v>1864</v>
      </c>
      <c r="G37" s="570">
        <f>PVA!J3</f>
        <v>5.2500000000000009</v>
      </c>
    </row>
    <row r="38" spans="1:17">
      <c r="A38" s="981"/>
      <c r="B38" s="985"/>
      <c r="C38" s="552" t="s">
        <v>152</v>
      </c>
      <c r="D38" s="579">
        <f>PVA!Q3*1000</f>
        <v>8.6</v>
      </c>
      <c r="E38" s="568" t="s">
        <v>1869</v>
      </c>
      <c r="F38" s="344" t="s">
        <v>1864</v>
      </c>
      <c r="G38" s="571">
        <f>(((G27*$D$38)/1000)+G36+G37)</f>
        <v>4890.7035999999998</v>
      </c>
    </row>
    <row r="39" spans="1:17">
      <c r="A39" s="981"/>
      <c r="B39" s="985"/>
      <c r="C39" s="550"/>
      <c r="D39" s="553" t="s">
        <v>1854</v>
      </c>
      <c r="E39" s="568" t="s">
        <v>1870</v>
      </c>
      <c r="F39" s="344" t="s">
        <v>1864</v>
      </c>
      <c r="G39" s="571">
        <f>(($D$38*G28)/1000)</f>
        <v>4849.8238000000001</v>
      </c>
    </row>
    <row r="40" spans="1:17">
      <c r="A40" s="981"/>
      <c r="B40" s="985"/>
      <c r="C40" s="550"/>
      <c r="D40" s="551"/>
      <c r="E40" s="568" t="s">
        <v>1871</v>
      </c>
      <c r="F40" s="344" t="s">
        <v>1859</v>
      </c>
      <c r="G40" s="572">
        <f>IFERROR(G33/G38,"")</f>
        <v>2.586662581637538E-3</v>
      </c>
    </row>
    <row r="41" spans="1:17">
      <c r="A41" s="981"/>
      <c r="B41" s="985"/>
      <c r="C41" s="550"/>
      <c r="D41" s="551"/>
      <c r="E41" s="568" t="s">
        <v>1872</v>
      </c>
      <c r="F41" s="344" t="s">
        <v>1859</v>
      </c>
      <c r="G41" s="572">
        <f>IFERROR(G34/G38,"")</f>
        <v>3.6364501827508013E-3</v>
      </c>
    </row>
    <row r="42" spans="1:17">
      <c r="A42" s="981"/>
      <c r="B42" s="985"/>
      <c r="C42" s="550"/>
      <c r="D42" s="551"/>
      <c r="E42" s="569" t="s">
        <v>1873</v>
      </c>
      <c r="F42" s="344" t="s">
        <v>1859</v>
      </c>
      <c r="G42" s="572">
        <f>IFERROR(G35/G38,"")</f>
        <v>1.0620966684629998E-3</v>
      </c>
    </row>
    <row r="43" spans="1:17">
      <c r="A43" s="981"/>
      <c r="B43" s="985"/>
      <c r="C43" s="550"/>
      <c r="D43" s="551"/>
      <c r="E43" s="568" t="s">
        <v>1874</v>
      </c>
      <c r="F43" s="344" t="s">
        <v>1859</v>
      </c>
      <c r="G43" s="572">
        <f>IFERROR(G36/G38,"")</f>
        <v>0</v>
      </c>
    </row>
    <row r="44" spans="1:17">
      <c r="A44" s="981"/>
      <c r="B44" s="985"/>
      <c r="C44" s="550"/>
      <c r="D44" s="551"/>
      <c r="E44" s="568" t="s">
        <v>1875</v>
      </c>
      <c r="F44" s="344" t="s">
        <v>1859</v>
      </c>
      <c r="G44" s="572">
        <f>IFERROR(G37/G38,"")</f>
        <v>1.0734651758491356E-3</v>
      </c>
    </row>
    <row r="45" spans="1:17" ht="12" thickBot="1">
      <c r="A45" s="982"/>
      <c r="B45" s="986"/>
      <c r="C45" s="554"/>
      <c r="D45" s="555"/>
      <c r="E45" s="576" t="s">
        <v>1876</v>
      </c>
      <c r="F45" s="577" t="s">
        <v>1859</v>
      </c>
      <c r="G45" s="578">
        <f>IFERROR(G39/G38,"")</f>
        <v>0.99164132539129957</v>
      </c>
    </row>
    <row r="46" spans="1:17">
      <c r="E46" s="658" t="s">
        <v>2060</v>
      </c>
      <c r="F46" s="659" t="s">
        <v>1859</v>
      </c>
      <c r="G46" s="660">
        <v>0.98</v>
      </c>
      <c r="H46" s="413"/>
      <c r="I46" s="413"/>
      <c r="J46" s="413"/>
      <c r="K46" s="413"/>
      <c r="L46" s="413"/>
      <c r="M46" s="413"/>
      <c r="N46" s="413"/>
      <c r="O46" s="413"/>
      <c r="P46" s="413"/>
      <c r="Q46" s="413"/>
    </row>
    <row r="47" spans="1:17" ht="15.5">
      <c r="A47" s="345"/>
      <c r="B47" s="346"/>
      <c r="C47" s="345"/>
      <c r="D47" s="345"/>
      <c r="E47" s="347"/>
      <c r="F47" s="345"/>
      <c r="G47" s="574" t="s">
        <v>2039</v>
      </c>
      <c r="H47" s="413"/>
      <c r="I47" s="413"/>
      <c r="J47" s="413"/>
      <c r="K47" s="413"/>
      <c r="L47" s="413"/>
      <c r="M47" s="413"/>
      <c r="N47" s="413"/>
      <c r="O47" s="413"/>
      <c r="P47" s="413"/>
      <c r="Q47" s="413"/>
    </row>
    <row r="48" spans="1:17" ht="13.5" thickBot="1">
      <c r="A48" s="573" t="s">
        <v>2139</v>
      </c>
      <c r="B48" s="345"/>
      <c r="C48" s="345"/>
      <c r="D48" s="345"/>
      <c r="E48" s="345"/>
      <c r="F48" s="345"/>
      <c r="G48" s="575" t="str">
        <f>G2</f>
        <v>Aug</v>
      </c>
      <c r="H48" s="413"/>
      <c r="I48" s="413"/>
      <c r="J48" s="413"/>
      <c r="K48" s="413"/>
      <c r="L48" s="413"/>
      <c r="M48" s="413"/>
      <c r="N48" s="413"/>
      <c r="O48" s="413"/>
      <c r="P48" s="413"/>
      <c r="Q48" s="413"/>
    </row>
    <row r="49" spans="1:17" ht="12" thickBot="1">
      <c r="A49" s="332" t="s">
        <v>1884</v>
      </c>
      <c r="B49" s="332" t="s">
        <v>1</v>
      </c>
      <c r="C49" s="333" t="s">
        <v>2035</v>
      </c>
      <c r="D49" s="334" t="s">
        <v>2036</v>
      </c>
      <c r="E49" s="333" t="s">
        <v>146</v>
      </c>
      <c r="F49" s="335" t="s">
        <v>1853</v>
      </c>
      <c r="G49" s="336" t="s">
        <v>2038</v>
      </c>
      <c r="H49" s="336" t="s">
        <v>190</v>
      </c>
      <c r="I49" s="413"/>
      <c r="J49" s="413"/>
      <c r="K49" s="413"/>
      <c r="L49" s="413"/>
      <c r="M49" s="413"/>
      <c r="N49" s="413"/>
      <c r="O49" s="413"/>
      <c r="P49" s="413"/>
      <c r="Q49" s="413"/>
    </row>
    <row r="50" spans="1:17">
      <c r="A50" s="980" t="s">
        <v>1877</v>
      </c>
      <c r="B50" s="583" t="s">
        <v>1878</v>
      </c>
      <c r="C50" s="587">
        <v>22.700000000000003</v>
      </c>
      <c r="D50" s="581" t="s">
        <v>1854</v>
      </c>
      <c r="E50" s="561" t="s">
        <v>1855</v>
      </c>
      <c r="F50" s="337" t="s">
        <v>1856</v>
      </c>
      <c r="G50" s="558">
        <f>SUM(PVA!F13:F17)</f>
        <v>486581</v>
      </c>
      <c r="H50" s="558">
        <f>SUM(PVA!F33:F49)</f>
        <v>428773</v>
      </c>
      <c r="I50" s="413"/>
      <c r="J50" s="413"/>
      <c r="K50" s="413"/>
      <c r="L50" s="413"/>
      <c r="M50" s="413"/>
      <c r="N50" s="413"/>
      <c r="O50" s="413"/>
      <c r="P50" s="413"/>
      <c r="Q50" s="413"/>
    </row>
    <row r="51" spans="1:17">
      <c r="A51" s="981"/>
      <c r="B51" s="584" t="s">
        <v>1879</v>
      </c>
      <c r="C51" s="587">
        <v>28.9</v>
      </c>
      <c r="D51" s="581" t="s">
        <v>1854</v>
      </c>
      <c r="E51" s="562" t="s">
        <v>1857</v>
      </c>
      <c r="F51" s="338" t="s">
        <v>1856</v>
      </c>
      <c r="G51" s="559">
        <f>G50-G53-G54-G55</f>
        <v>469206</v>
      </c>
      <c r="H51" s="559">
        <f>SUM(PVA!G33:G49)</f>
        <v>425231</v>
      </c>
      <c r="I51" s="413"/>
      <c r="J51" s="413"/>
      <c r="K51" s="413"/>
      <c r="L51" s="413"/>
      <c r="M51" s="413"/>
      <c r="N51" s="413"/>
      <c r="O51" s="413"/>
      <c r="P51" s="413"/>
      <c r="Q51" s="413"/>
    </row>
    <row r="52" spans="1:17">
      <c r="A52" s="981"/>
      <c r="B52" s="584" t="s">
        <v>1880</v>
      </c>
      <c r="C52" s="587">
        <v>33.099999999999994</v>
      </c>
      <c r="D52" s="581" t="s">
        <v>1854</v>
      </c>
      <c r="E52" s="563" t="s">
        <v>1858</v>
      </c>
      <c r="F52" s="339" t="s">
        <v>1859</v>
      </c>
      <c r="G52" s="582">
        <f>IFERROR(G51/G50,"")</f>
        <v>0.96429165955925122</v>
      </c>
      <c r="H52" s="582">
        <f>IFERROR(H51/H50,"")</f>
        <v>0.9917392186541597</v>
      </c>
      <c r="I52" s="413"/>
      <c r="J52" s="413"/>
      <c r="K52" s="413"/>
      <c r="L52" s="413"/>
      <c r="M52" s="413"/>
      <c r="N52" s="413"/>
      <c r="O52" s="413"/>
      <c r="P52" s="413"/>
      <c r="Q52" s="413"/>
    </row>
    <row r="53" spans="1:17">
      <c r="A53" s="981"/>
      <c r="B53" s="584" t="s">
        <v>1881</v>
      </c>
      <c r="C53" s="587">
        <v>22.700000000000003</v>
      </c>
      <c r="D53" s="581" t="s">
        <v>1854</v>
      </c>
      <c r="E53" s="564" t="s">
        <v>1860</v>
      </c>
      <c r="F53" s="340" t="s">
        <v>1856</v>
      </c>
      <c r="G53" s="557">
        <f>SUM(PVA!H13:H17)</f>
        <v>8859</v>
      </c>
      <c r="H53" s="557">
        <f>SUM(PVA!H33:H49)</f>
        <v>3542</v>
      </c>
      <c r="I53" s="413"/>
      <c r="J53" s="413"/>
      <c r="K53" s="413"/>
      <c r="L53" s="413"/>
      <c r="M53" s="413"/>
      <c r="N53" s="413"/>
      <c r="O53" s="413"/>
      <c r="P53" s="413"/>
      <c r="Q53" s="413"/>
    </row>
    <row r="54" spans="1:17">
      <c r="A54" s="981"/>
      <c r="B54" s="584" t="s">
        <v>1882</v>
      </c>
      <c r="C54" s="587">
        <v>33.099999999999994</v>
      </c>
      <c r="D54" s="581" t="s">
        <v>1854</v>
      </c>
      <c r="E54" s="565" t="s">
        <v>1861</v>
      </c>
      <c r="F54" s="341" t="s">
        <v>1856</v>
      </c>
      <c r="G54" s="560">
        <f>SUM(PVA!K13:K17)</f>
        <v>7457</v>
      </c>
      <c r="H54" s="560">
        <f>SUM(PVA!K33:K49)</f>
        <v>0</v>
      </c>
      <c r="I54" s="413"/>
      <c r="J54" s="413"/>
      <c r="K54" s="413"/>
      <c r="L54" s="413"/>
      <c r="M54" s="413"/>
      <c r="N54" s="413"/>
      <c r="O54" s="413"/>
      <c r="P54" s="413"/>
      <c r="Q54" s="413"/>
    </row>
    <row r="55" spans="1:17">
      <c r="A55" s="981"/>
      <c r="B55" s="584" t="s">
        <v>2042</v>
      </c>
      <c r="C55" s="588">
        <v>28.6</v>
      </c>
      <c r="D55" s="581" t="s">
        <v>1854</v>
      </c>
      <c r="E55" s="566" t="s">
        <v>1862</v>
      </c>
      <c r="F55" s="342" t="s">
        <v>1856</v>
      </c>
      <c r="G55" s="560">
        <f>SUM(PVA!I13:I17)</f>
        <v>1059</v>
      </c>
      <c r="H55" s="560">
        <f>SUM(PVA!I33:I49)</f>
        <v>0</v>
      </c>
      <c r="J55" s="413"/>
    </row>
    <row r="56" spans="1:17">
      <c r="A56" s="981"/>
      <c r="B56" s="584" t="s">
        <v>2043</v>
      </c>
      <c r="C56" s="588">
        <v>17</v>
      </c>
      <c r="D56" s="581" t="s">
        <v>1854</v>
      </c>
      <c r="E56" s="567" t="s">
        <v>1863</v>
      </c>
      <c r="F56" s="343" t="s">
        <v>1864</v>
      </c>
      <c r="G56" s="570">
        <f>SUM(PVA!Z13:Z17)</f>
        <v>249.07109999999997</v>
      </c>
      <c r="H56" s="570">
        <f>SUM(PVA!Z33:Z49)</f>
        <v>98.438699999999997</v>
      </c>
      <c r="J56" s="413"/>
    </row>
    <row r="57" spans="1:17">
      <c r="A57" s="981"/>
      <c r="B57" s="584"/>
      <c r="C57" s="580"/>
      <c r="D57" s="547"/>
      <c r="E57" s="567" t="s">
        <v>1865</v>
      </c>
      <c r="F57" s="343" t="s">
        <v>1864</v>
      </c>
      <c r="G57" s="570">
        <f>SUM(PVA!AC13:AC17)</f>
        <v>205.66130000000001</v>
      </c>
      <c r="H57" s="570">
        <f>SUM(PVA!AC33:AC48)</f>
        <v>0</v>
      </c>
    </row>
    <row r="58" spans="1:17">
      <c r="A58" s="981"/>
      <c r="B58" s="584"/>
      <c r="C58" s="580"/>
      <c r="D58" s="551"/>
      <c r="E58" s="567" t="s">
        <v>1866</v>
      </c>
      <c r="F58" s="343" t="s">
        <v>1864</v>
      </c>
      <c r="G58" s="570">
        <f>SUM(PVA!AA13:AA17)</f>
        <v>28.8279</v>
      </c>
      <c r="H58" s="570">
        <f>SUM(PVA!AA33:AA49)</f>
        <v>0</v>
      </c>
    </row>
    <row r="59" spans="1:17">
      <c r="A59" s="981"/>
      <c r="B59" s="584"/>
      <c r="C59" s="580"/>
      <c r="D59" s="551"/>
      <c r="E59" s="567" t="s">
        <v>1867</v>
      </c>
      <c r="F59" s="343" t="s">
        <v>1864</v>
      </c>
      <c r="G59" s="570">
        <v>0</v>
      </c>
      <c r="H59" s="570">
        <v>0</v>
      </c>
    </row>
    <row r="60" spans="1:17">
      <c r="A60" s="981"/>
      <c r="B60" s="584"/>
      <c r="C60" s="580"/>
      <c r="D60" s="551"/>
      <c r="E60" s="567" t="s">
        <v>1868</v>
      </c>
      <c r="F60" s="343" t="s">
        <v>1864</v>
      </c>
      <c r="G60" s="570">
        <f>SUM(PVA!J13:J17)</f>
        <v>30.961999999999996</v>
      </c>
      <c r="H60" s="570">
        <f>SUM(PVA!J33:J49)</f>
        <v>0</v>
      </c>
    </row>
    <row r="61" spans="1:17">
      <c r="A61" s="981"/>
      <c r="B61" s="584"/>
      <c r="C61" s="552" t="s">
        <v>2150</v>
      </c>
      <c r="D61" s="579"/>
      <c r="E61" s="568" t="s">
        <v>1869</v>
      </c>
      <c r="F61" s="344" t="s">
        <v>1864</v>
      </c>
      <c r="G61" s="571">
        <f>PVA!W19</f>
        <v>13676.048299999999</v>
      </c>
      <c r="H61" s="571">
        <f>G61+SUM(H56:H60)</f>
        <v>13774.486999999999</v>
      </c>
    </row>
    <row r="62" spans="1:17">
      <c r="A62" s="981"/>
      <c r="B62" s="584"/>
      <c r="C62" s="580"/>
      <c r="D62" s="553"/>
      <c r="E62" s="568" t="s">
        <v>1870</v>
      </c>
      <c r="F62" s="344" t="s">
        <v>1864</v>
      </c>
      <c r="G62" s="571">
        <f>PVA!V19</f>
        <v>13156.655999999999</v>
      </c>
      <c r="H62" s="571">
        <f>G62</f>
        <v>13156.655999999999</v>
      </c>
    </row>
    <row r="63" spans="1:17">
      <c r="A63" s="981"/>
      <c r="B63" s="584"/>
      <c r="C63" s="580"/>
      <c r="D63" s="551"/>
      <c r="E63" s="568" t="s">
        <v>1871</v>
      </c>
      <c r="F63" s="344" t="s">
        <v>1859</v>
      </c>
      <c r="G63" s="572">
        <f>IFERROR(G56/G61,"")</f>
        <v>1.8212212660875145E-2</v>
      </c>
      <c r="H63" s="572">
        <f>IFERROR((H56+G56)/H61,"")</f>
        <v>2.5228511232396531E-2</v>
      </c>
    </row>
    <row r="64" spans="1:17">
      <c r="A64" s="981"/>
      <c r="B64" s="584"/>
      <c r="C64" s="580"/>
      <c r="D64" s="551"/>
      <c r="E64" s="568" t="s">
        <v>1872</v>
      </c>
      <c r="F64" s="344" t="s">
        <v>1859</v>
      </c>
      <c r="G64" s="572">
        <f>IFERROR(G57/G61,"")</f>
        <v>1.5038064760271433E-2</v>
      </c>
      <c r="H64" s="572">
        <f>IFERROR((H57+G57)/H61,"")</f>
        <v>1.4930595963392322E-2</v>
      </c>
    </row>
    <row r="65" spans="1:8">
      <c r="A65" s="981"/>
      <c r="B65" s="584"/>
      <c r="C65" s="580"/>
      <c r="D65" s="551"/>
      <c r="E65" s="569" t="s">
        <v>1873</v>
      </c>
      <c r="F65" s="344" t="s">
        <v>1859</v>
      </c>
      <c r="G65" s="572">
        <f>IFERROR(G58/G61,"")</f>
        <v>2.1079115375747834E-3</v>
      </c>
      <c r="H65" s="572">
        <f>IFERROR((H58+G58)/H61,"")</f>
        <v>2.0928474505075944E-3</v>
      </c>
    </row>
    <row r="66" spans="1:8">
      <c r="A66" s="981"/>
      <c r="B66" s="584"/>
      <c r="C66" s="580"/>
      <c r="D66" s="551"/>
      <c r="E66" s="568" t="s">
        <v>1874</v>
      </c>
      <c r="F66" s="344" t="s">
        <v>1859</v>
      </c>
      <c r="G66" s="572">
        <f>IFERROR(G59/G61,"")</f>
        <v>0</v>
      </c>
      <c r="H66" s="572">
        <f>IFERROR(H59/H61,"")</f>
        <v>0</v>
      </c>
    </row>
    <row r="67" spans="1:8">
      <c r="A67" s="981"/>
      <c r="B67" s="584"/>
      <c r="C67" s="580"/>
      <c r="D67" s="551"/>
      <c r="E67" s="568" t="s">
        <v>1875</v>
      </c>
      <c r="F67" s="344" t="s">
        <v>1859</v>
      </c>
      <c r="G67" s="572">
        <f>IFERROR(G60/G61,"")</f>
        <v>2.2639580762521877E-3</v>
      </c>
      <c r="H67" s="572">
        <f>IFERROR(H60/H61,"")</f>
        <v>0</v>
      </c>
    </row>
    <row r="68" spans="1:8" ht="12" thickBot="1">
      <c r="A68" s="982"/>
      <c r="B68" s="585"/>
      <c r="C68" s="586"/>
      <c r="D68" s="555"/>
      <c r="E68" s="620" t="s">
        <v>1876</v>
      </c>
      <c r="F68" s="621" t="s">
        <v>1859</v>
      </c>
      <c r="G68" s="622">
        <f>IFERROR(G62/G61,"")</f>
        <v>0.9620217559483174</v>
      </c>
      <c r="H68" s="622">
        <f>IFERROR(H62/H61,"")</f>
        <v>0.95514671435676701</v>
      </c>
    </row>
    <row r="69" spans="1:8">
      <c r="E69" s="658" t="s">
        <v>2060</v>
      </c>
      <c r="F69" s="659" t="s">
        <v>1859</v>
      </c>
      <c r="G69" s="660">
        <v>0.96</v>
      </c>
      <c r="H69" s="660">
        <v>0.95</v>
      </c>
    </row>
    <row r="70" spans="1:8" ht="15.5">
      <c r="A70" s="345"/>
      <c r="B70" s="346"/>
      <c r="C70" s="345"/>
      <c r="D70" s="345"/>
      <c r="E70" s="347"/>
      <c r="F70" s="345"/>
      <c r="G70" s="574" t="s">
        <v>2039</v>
      </c>
    </row>
    <row r="71" spans="1:8" ht="13.5" thickBot="1">
      <c r="A71" s="573" t="s">
        <v>2045</v>
      </c>
      <c r="B71" s="345"/>
      <c r="C71" s="345"/>
      <c r="D71" s="345"/>
      <c r="E71" s="345"/>
      <c r="F71" s="345"/>
      <c r="G71" s="575" t="str">
        <f>G25</f>
        <v>Aug</v>
      </c>
    </row>
    <row r="72" spans="1:8" ht="12" thickBot="1">
      <c r="A72" s="332" t="s">
        <v>1884</v>
      </c>
      <c r="B72" s="332" t="s">
        <v>1</v>
      </c>
      <c r="C72" s="333" t="s">
        <v>2035</v>
      </c>
      <c r="D72" s="334" t="s">
        <v>2036</v>
      </c>
      <c r="E72" s="333" t="s">
        <v>146</v>
      </c>
      <c r="F72" s="335" t="s">
        <v>1853</v>
      </c>
      <c r="G72" s="336" t="s">
        <v>2038</v>
      </c>
      <c r="H72" s="336" t="s">
        <v>190</v>
      </c>
    </row>
    <row r="73" spans="1:8">
      <c r="A73" s="980" t="s">
        <v>1877</v>
      </c>
      <c r="B73" s="583" t="s">
        <v>1878</v>
      </c>
      <c r="C73" s="587">
        <v>22.700000000000003</v>
      </c>
      <c r="D73" s="581" t="s">
        <v>1854</v>
      </c>
      <c r="E73" s="561" t="s">
        <v>1855</v>
      </c>
      <c r="F73" s="337" t="s">
        <v>1856</v>
      </c>
      <c r="G73" s="558">
        <f>SUM(PVA!F20:F30)</f>
        <v>84401</v>
      </c>
      <c r="H73" s="558">
        <f>SUM(PVA!F50:F97)</f>
        <v>80390</v>
      </c>
    </row>
    <row r="74" spans="1:8">
      <c r="A74" s="981"/>
      <c r="B74" s="584" t="s">
        <v>1879</v>
      </c>
      <c r="C74" s="587">
        <v>28.9</v>
      </c>
      <c r="D74" s="581" t="s">
        <v>1854</v>
      </c>
      <c r="E74" s="562" t="s">
        <v>1857</v>
      </c>
      <c r="F74" s="338" t="s">
        <v>1856</v>
      </c>
      <c r="G74" s="559">
        <f>SUM(PVA!G20:G30)</f>
        <v>79321</v>
      </c>
      <c r="H74" s="559">
        <f>SUM(PVA!G50:G97)</f>
        <v>79135</v>
      </c>
    </row>
    <row r="75" spans="1:8">
      <c r="A75" s="981"/>
      <c r="B75" s="584" t="s">
        <v>1880</v>
      </c>
      <c r="C75" s="587">
        <v>33.099999999999994</v>
      </c>
      <c r="D75" s="581" t="s">
        <v>1854</v>
      </c>
      <c r="E75" s="563" t="s">
        <v>1858</v>
      </c>
      <c r="F75" s="339" t="s">
        <v>1859</v>
      </c>
      <c r="G75" s="582">
        <f>IFERROR(G74/G73,"")</f>
        <v>0.93981113967843988</v>
      </c>
      <c r="H75" s="582">
        <f>IFERROR(H74/H73,"")</f>
        <v>0.98438860554795371</v>
      </c>
    </row>
    <row r="76" spans="1:8">
      <c r="A76" s="981"/>
      <c r="B76" s="584" t="s">
        <v>1881</v>
      </c>
      <c r="C76" s="587">
        <v>22.700000000000003</v>
      </c>
      <c r="D76" s="581" t="s">
        <v>1854</v>
      </c>
      <c r="E76" s="564" t="s">
        <v>1860</v>
      </c>
      <c r="F76" s="340" t="s">
        <v>1856</v>
      </c>
      <c r="G76" s="557">
        <f>SUM(PVA!H20:H30)</f>
        <v>2228</v>
      </c>
      <c r="H76" s="557">
        <f>SUM(PVA!H50:H97)</f>
        <v>1255</v>
      </c>
    </row>
    <row r="77" spans="1:8">
      <c r="A77" s="981"/>
      <c r="B77" s="584" t="s">
        <v>1882</v>
      </c>
      <c r="C77" s="587">
        <v>33.099999999999994</v>
      </c>
      <c r="D77" s="581" t="s">
        <v>1854</v>
      </c>
      <c r="E77" s="565" t="s">
        <v>1861</v>
      </c>
      <c r="F77" s="341" t="s">
        <v>1856</v>
      </c>
      <c r="G77" s="560">
        <f>SUM(PVA!K20:K30)</f>
        <v>2572</v>
      </c>
      <c r="H77" s="560">
        <f>SUM(PVA!K50:K97)</f>
        <v>0</v>
      </c>
    </row>
    <row r="78" spans="1:8">
      <c r="A78" s="981"/>
      <c r="B78" s="584"/>
      <c r="C78" s="588"/>
      <c r="D78" s="581"/>
      <c r="E78" s="566" t="s">
        <v>1862</v>
      </c>
      <c r="F78" s="342" t="s">
        <v>1856</v>
      </c>
      <c r="G78" s="560">
        <f>SUM(PVA!I20:I30)</f>
        <v>280</v>
      </c>
      <c r="H78" s="560">
        <f>SUM(PVA!I50:I97)</f>
        <v>0</v>
      </c>
    </row>
    <row r="79" spans="1:8">
      <c r="A79" s="981"/>
      <c r="B79" s="584"/>
      <c r="C79" s="588"/>
      <c r="D79" s="581"/>
      <c r="E79" s="567" t="s">
        <v>1863</v>
      </c>
      <c r="F79" s="343" t="s">
        <v>1864</v>
      </c>
      <c r="G79" s="570">
        <f>SUM(PVA!Z20:Z31)</f>
        <v>66.899199999999993</v>
      </c>
      <c r="H79" s="570">
        <f>SUM(PVA!Z50:Z97)</f>
        <v>36.03</v>
      </c>
    </row>
    <row r="80" spans="1:8">
      <c r="A80" s="981"/>
      <c r="B80" s="584"/>
      <c r="C80" s="580"/>
      <c r="D80" s="547"/>
      <c r="E80" s="567" t="s">
        <v>1865</v>
      </c>
      <c r="F80" s="343" t="s">
        <v>1864</v>
      </c>
      <c r="G80" s="570">
        <f>SUM(PVA!AC20:AC31)</f>
        <v>76.758899999999997</v>
      </c>
      <c r="H80" s="570">
        <f>SUM(PVA!AC50:AC97)</f>
        <v>0</v>
      </c>
    </row>
    <row r="81" spans="1:18">
      <c r="A81" s="981"/>
      <c r="B81" s="584"/>
      <c r="C81" s="580"/>
      <c r="D81" s="551"/>
      <c r="E81" s="567" t="s">
        <v>1866</v>
      </c>
      <c r="F81" s="343" t="s">
        <v>1864</v>
      </c>
      <c r="G81" s="570">
        <f>SUM(PVA!AA20:AA31)</f>
        <v>8.2783999999999995</v>
      </c>
      <c r="H81" s="570">
        <f>SUM(PVA!AA50:AA97)</f>
        <v>0</v>
      </c>
    </row>
    <row r="82" spans="1:18">
      <c r="A82" s="981"/>
      <c r="B82" s="584"/>
      <c r="C82" s="580"/>
      <c r="D82" s="551"/>
      <c r="E82" s="567" t="s">
        <v>1867</v>
      </c>
      <c r="F82" s="343" t="s">
        <v>1864</v>
      </c>
      <c r="G82" s="570">
        <v>0</v>
      </c>
      <c r="H82" s="570">
        <v>0</v>
      </c>
    </row>
    <row r="83" spans="1:18">
      <c r="A83" s="981"/>
      <c r="B83" s="584"/>
      <c r="C83" s="580"/>
      <c r="D83" s="551"/>
      <c r="E83" s="567" t="s">
        <v>1868</v>
      </c>
      <c r="F83" s="343" t="s">
        <v>1864</v>
      </c>
      <c r="G83" s="570">
        <f>SUM(PVA!J20:J30)</f>
        <v>20.968000000000004</v>
      </c>
      <c r="H83" s="570">
        <v>0</v>
      </c>
    </row>
    <row r="84" spans="1:18">
      <c r="A84" s="981"/>
      <c r="B84" s="584"/>
      <c r="C84" s="552" t="s">
        <v>2151</v>
      </c>
      <c r="D84" s="579"/>
      <c r="E84" s="568" t="s">
        <v>1869</v>
      </c>
      <c r="F84" s="344" t="s">
        <v>1864</v>
      </c>
      <c r="G84" s="571">
        <f>PVA!W30</f>
        <v>2539.8953999999999</v>
      </c>
      <c r="H84" s="571">
        <f>G84+SUM(H79:H83)</f>
        <v>2575.9254000000001</v>
      </c>
    </row>
    <row r="85" spans="1:18">
      <c r="A85" s="981"/>
      <c r="B85" s="584"/>
      <c r="C85" s="580"/>
      <c r="D85" s="553"/>
      <c r="E85" s="568" t="s">
        <v>1870</v>
      </c>
      <c r="F85" s="344" t="s">
        <v>1864</v>
      </c>
      <c r="G85" s="571">
        <f>PVA!V30</f>
        <v>2366.9908999999998</v>
      </c>
      <c r="H85" s="571">
        <f>G85</f>
        <v>2366.9908999999998</v>
      </c>
    </row>
    <row r="86" spans="1:18">
      <c r="A86" s="981"/>
      <c r="B86" s="584"/>
      <c r="C86" s="580"/>
      <c r="D86" s="551"/>
      <c r="E86" s="568" t="s">
        <v>1871</v>
      </c>
      <c r="F86" s="344" t="s">
        <v>1859</v>
      </c>
      <c r="G86" s="572">
        <f>IFERROR(G79/G84,"")</f>
        <v>2.6339352400102774E-2</v>
      </c>
      <c r="H86" s="572">
        <f>IFERROR((H79+G79)/H84,"")</f>
        <v>3.995814475062049E-2</v>
      </c>
    </row>
    <row r="87" spans="1:18">
      <c r="A87" s="981"/>
      <c r="B87" s="584"/>
      <c r="C87" s="580"/>
      <c r="D87" s="551"/>
      <c r="E87" s="568" t="s">
        <v>1872</v>
      </c>
      <c r="F87" s="344" t="s">
        <v>1859</v>
      </c>
      <c r="G87" s="572">
        <f>IFERROR(G80/G84,"")</f>
        <v>3.0221283915865198E-2</v>
      </c>
      <c r="H87" s="572">
        <f>IFERROR((H80+G80)/H84,"")</f>
        <v>2.9798572582886134E-2</v>
      </c>
    </row>
    <row r="88" spans="1:18">
      <c r="A88" s="981"/>
      <c r="B88" s="584"/>
      <c r="C88" s="580"/>
      <c r="D88" s="551"/>
      <c r="E88" s="569" t="s">
        <v>1873</v>
      </c>
      <c r="F88" s="344" t="s">
        <v>1859</v>
      </c>
      <c r="G88" s="572">
        <f>IFERROR(G81/G84,"")</f>
        <v>3.2593468219203042E-3</v>
      </c>
      <c r="H88" s="572">
        <f>IFERROR((H81+G81)/H84,"")</f>
        <v>3.2137576654976108E-3</v>
      </c>
    </row>
    <row r="89" spans="1:18">
      <c r="A89" s="981"/>
      <c r="B89" s="584"/>
      <c r="C89" s="580"/>
      <c r="D89" s="551"/>
      <c r="E89" s="568" t="s">
        <v>1874</v>
      </c>
      <c r="F89" s="344" t="s">
        <v>1859</v>
      </c>
      <c r="G89" s="572">
        <f>IFERROR(G82/G84,"")</f>
        <v>0</v>
      </c>
      <c r="H89" s="572">
        <f>IFERROR(H82/H84,"")</f>
        <v>0</v>
      </c>
    </row>
    <row r="90" spans="1:18">
      <c r="A90" s="981"/>
      <c r="B90" s="584"/>
      <c r="C90" s="580"/>
      <c r="D90" s="551"/>
      <c r="E90" s="568" t="s">
        <v>1875</v>
      </c>
      <c r="F90" s="344" t="s">
        <v>1859</v>
      </c>
      <c r="G90" s="572">
        <f>IFERROR(G83/G84,"")</f>
        <v>8.2554580791004244E-3</v>
      </c>
      <c r="H90" s="572">
        <f>IFERROR(H83/H84,"")</f>
        <v>0</v>
      </c>
    </row>
    <row r="91" spans="1:18" ht="12" thickBot="1">
      <c r="A91" s="982"/>
      <c r="B91" s="585"/>
      <c r="C91" s="586"/>
      <c r="D91" s="555"/>
      <c r="E91" s="576" t="s">
        <v>1876</v>
      </c>
      <c r="F91" s="577" t="s">
        <v>1859</v>
      </c>
      <c r="G91" s="578">
        <f>IFERROR(G85/G84,"")</f>
        <v>0.93192455878301128</v>
      </c>
      <c r="H91" s="578">
        <f>IFERROR(H85/H84,"")</f>
        <v>0.91888953771720239</v>
      </c>
    </row>
    <row r="92" spans="1:18">
      <c r="E92" s="658" t="s">
        <v>2060</v>
      </c>
      <c r="F92" s="659" t="s">
        <v>1859</v>
      </c>
      <c r="G92" s="660">
        <v>0.94</v>
      </c>
      <c r="H92" s="660">
        <v>0.93</v>
      </c>
    </row>
    <row r="94" spans="1:18" ht="33" customHeight="1">
      <c r="A94" s="808" t="s">
        <v>1884</v>
      </c>
      <c r="B94" s="808" t="s">
        <v>1</v>
      </c>
      <c r="C94" s="807" t="s">
        <v>2035</v>
      </c>
      <c r="D94" s="807" t="s">
        <v>2036</v>
      </c>
      <c r="E94" s="808" t="s">
        <v>146</v>
      </c>
      <c r="F94" s="807" t="s">
        <v>1853</v>
      </c>
      <c r="G94" s="809" t="s">
        <v>2143</v>
      </c>
      <c r="H94" s="810" t="s">
        <v>2144</v>
      </c>
      <c r="I94" s="810" t="s">
        <v>2145</v>
      </c>
      <c r="J94" s="811" t="s">
        <v>2142</v>
      </c>
      <c r="K94" s="811" t="s">
        <v>3</v>
      </c>
      <c r="L94" s="811" t="s">
        <v>92</v>
      </c>
      <c r="M94" s="811" t="s">
        <v>94</v>
      </c>
      <c r="N94" s="811" t="s">
        <v>6</v>
      </c>
      <c r="O94" s="811" t="s">
        <v>4</v>
      </c>
      <c r="P94" s="356"/>
      <c r="Q94" s="356"/>
      <c r="R94" s="356"/>
    </row>
    <row r="95" spans="1:18">
      <c r="A95" s="983" t="s">
        <v>2141</v>
      </c>
      <c r="B95" s="803" t="s">
        <v>2106</v>
      </c>
      <c r="C95" s="804" t="s">
        <v>2148</v>
      </c>
      <c r="D95" s="805">
        <v>7.3000000000000001E-3</v>
      </c>
      <c r="E95" s="806" t="s">
        <v>2111</v>
      </c>
      <c r="F95" s="812" t="s">
        <v>1859</v>
      </c>
      <c r="G95" s="815">
        <f t="shared" ref="G95:G100" si="1">H95/I95</f>
        <v>0.99384529814830547</v>
      </c>
      <c r="H95" s="813">
        <f t="shared" ref="H95:H100" si="2">D95*K95</f>
        <v>964.89210000000003</v>
      </c>
      <c r="I95" s="813">
        <f t="shared" ref="I95:I100" si="3">(D95*J95)+N95</f>
        <v>970.86750000000006</v>
      </c>
      <c r="J95" s="804">
        <f t="shared" ref="J95:J100" si="4">K95+L95+M95+O95</f>
        <v>132515</v>
      </c>
      <c r="K95" s="804">
        <f>PVA!G5</f>
        <v>132177</v>
      </c>
      <c r="L95" s="804">
        <f>PVA!H5</f>
        <v>119</v>
      </c>
      <c r="M95" s="804">
        <f>PVA!I5</f>
        <v>144</v>
      </c>
      <c r="N95" s="804">
        <f>PVA!J5</f>
        <v>3.508</v>
      </c>
      <c r="O95" s="804">
        <f>PVA!K5</f>
        <v>75</v>
      </c>
    </row>
    <row r="96" spans="1:18">
      <c r="A96" s="983"/>
      <c r="B96" s="803" t="s">
        <v>2107</v>
      </c>
      <c r="C96" s="804" t="s">
        <v>2148</v>
      </c>
      <c r="D96" s="805">
        <v>7.3000000000000001E-3</v>
      </c>
      <c r="E96" s="806" t="s">
        <v>2113</v>
      </c>
      <c r="F96" s="812" t="s">
        <v>1859</v>
      </c>
      <c r="G96" s="815">
        <f t="shared" si="1"/>
        <v>0.99540921126332171</v>
      </c>
      <c r="H96" s="813">
        <f t="shared" si="2"/>
        <v>927.4796</v>
      </c>
      <c r="I96" s="814">
        <f t="shared" si="3"/>
        <v>931.75710000000004</v>
      </c>
      <c r="J96" s="804">
        <f t="shared" si="4"/>
        <v>127327</v>
      </c>
      <c r="K96" s="804">
        <f>PVA!G6</f>
        <v>127052</v>
      </c>
      <c r="L96" s="804">
        <f>PVA!H6</f>
        <v>127</v>
      </c>
      <c r="M96" s="804">
        <f>PVA!I6</f>
        <v>144</v>
      </c>
      <c r="N96" s="804">
        <f>PVA!J6</f>
        <v>2.27</v>
      </c>
      <c r="O96" s="804">
        <f>PVA!K6</f>
        <v>4</v>
      </c>
    </row>
    <row r="97" spans="1:15">
      <c r="A97" s="983"/>
      <c r="B97" s="803" t="s">
        <v>2108</v>
      </c>
      <c r="C97" s="804" t="s">
        <v>2148</v>
      </c>
      <c r="D97" s="805">
        <v>7.3000000000000001E-3</v>
      </c>
      <c r="E97" s="806" t="s">
        <v>2112</v>
      </c>
      <c r="F97" s="812" t="s">
        <v>1859</v>
      </c>
      <c r="G97" s="815">
        <f t="shared" si="1"/>
        <v>0.99276685788766494</v>
      </c>
      <c r="H97" s="813">
        <f t="shared" si="2"/>
        <v>900.74699999999996</v>
      </c>
      <c r="I97" s="814">
        <f t="shared" si="3"/>
        <v>907.30970000000002</v>
      </c>
      <c r="J97" s="804">
        <f t="shared" si="4"/>
        <v>123789</v>
      </c>
      <c r="K97" s="804">
        <f>PVA!G7</f>
        <v>123390</v>
      </c>
      <c r="L97" s="804">
        <f>PVA!H7</f>
        <v>192</v>
      </c>
      <c r="M97" s="804">
        <f>PVA!I7</f>
        <v>128</v>
      </c>
      <c r="N97" s="804">
        <f>PVA!J7</f>
        <v>3.65</v>
      </c>
      <c r="O97" s="804">
        <f>PVA!K7</f>
        <v>79</v>
      </c>
    </row>
    <row r="98" spans="1:15">
      <c r="A98" s="983"/>
      <c r="B98" s="803" t="s">
        <v>2109</v>
      </c>
      <c r="C98" s="804" t="s">
        <v>2148</v>
      </c>
      <c r="D98" s="805">
        <v>7.3000000000000001E-3</v>
      </c>
      <c r="E98" s="806" t="s">
        <v>2114</v>
      </c>
      <c r="F98" s="812" t="s">
        <v>1859</v>
      </c>
      <c r="G98" s="815">
        <f t="shared" si="1"/>
        <v>0.99227378081185458</v>
      </c>
      <c r="H98" s="813">
        <f t="shared" si="2"/>
        <v>249.07599999999999</v>
      </c>
      <c r="I98" s="814">
        <f t="shared" si="3"/>
        <v>251.0154</v>
      </c>
      <c r="J98" s="804">
        <f t="shared" si="4"/>
        <v>34198</v>
      </c>
      <c r="K98" s="804">
        <f>PVA!G8</f>
        <v>34120</v>
      </c>
      <c r="L98" s="804">
        <f>PVA!H8</f>
        <v>28</v>
      </c>
      <c r="M98" s="804">
        <f>PVA!I8</f>
        <v>48</v>
      </c>
      <c r="N98" s="804">
        <f>PVA!J8</f>
        <v>1.3699999999999999</v>
      </c>
      <c r="O98" s="804">
        <f>PVA!K8</f>
        <v>2</v>
      </c>
    </row>
    <row r="99" spans="1:15">
      <c r="A99" s="983"/>
      <c r="B99" s="803" t="s">
        <v>2110</v>
      </c>
      <c r="C99" s="804" t="s">
        <v>2148</v>
      </c>
      <c r="D99" s="805">
        <v>7.3000000000000001E-3</v>
      </c>
      <c r="E99" s="806" t="s">
        <v>2115</v>
      </c>
      <c r="F99" s="812" t="s">
        <v>1859</v>
      </c>
      <c r="G99" s="815">
        <f t="shared" si="1"/>
        <v>0.99761187017969699</v>
      </c>
      <c r="H99" s="813">
        <f t="shared" si="2"/>
        <v>372.03719999999998</v>
      </c>
      <c r="I99" s="814">
        <f t="shared" si="3"/>
        <v>372.92779999999999</v>
      </c>
      <c r="J99" s="804">
        <f t="shared" si="4"/>
        <v>51086</v>
      </c>
      <c r="K99" s="804">
        <f>PVA!G9</f>
        <v>50964</v>
      </c>
      <c r="L99" s="804">
        <f>PVA!H9</f>
        <v>50</v>
      </c>
      <c r="M99" s="804">
        <f>PVA!I9</f>
        <v>72</v>
      </c>
      <c r="N99" s="804">
        <f>PVA!J9</f>
        <v>0</v>
      </c>
      <c r="O99" s="804">
        <f>PVA!K9</f>
        <v>0</v>
      </c>
    </row>
    <row r="100" spans="1:15">
      <c r="A100" s="983"/>
      <c r="B100" s="803" t="s">
        <v>2117</v>
      </c>
      <c r="C100" s="804" t="s">
        <v>2148</v>
      </c>
      <c r="D100" s="805">
        <v>7.3000000000000001E-3</v>
      </c>
      <c r="E100" s="806" t="s">
        <v>2116</v>
      </c>
      <c r="F100" s="812" t="s">
        <v>1859</v>
      </c>
      <c r="G100" s="815">
        <f t="shared" si="1"/>
        <v>0.99698746293708518</v>
      </c>
      <c r="H100" s="813">
        <f t="shared" si="2"/>
        <v>151.11000000000001</v>
      </c>
      <c r="I100" s="813">
        <f t="shared" si="3"/>
        <v>151.56659999999999</v>
      </c>
      <c r="J100" s="804">
        <f t="shared" si="4"/>
        <v>20742</v>
      </c>
      <c r="K100" s="804">
        <f>PVA!G10</f>
        <v>20700</v>
      </c>
      <c r="L100" s="804">
        <f>PVA!H10</f>
        <v>10</v>
      </c>
      <c r="M100" s="804">
        <f>PVA!I10</f>
        <v>32</v>
      </c>
      <c r="N100" s="804">
        <f>PVA!J10</f>
        <v>0.15</v>
      </c>
      <c r="O100" s="804">
        <f>PVA!K10</f>
        <v>0</v>
      </c>
    </row>
    <row r="101" spans="1:15">
      <c r="E101" s="658" t="s">
        <v>2060</v>
      </c>
      <c r="F101" s="816" t="s">
        <v>1859</v>
      </c>
      <c r="G101" s="660">
        <v>0.99</v>
      </c>
    </row>
  </sheetData>
  <mergeCells count="7">
    <mergeCell ref="A73:A91"/>
    <mergeCell ref="A95:A100"/>
    <mergeCell ref="A4:A22"/>
    <mergeCell ref="B4:B22"/>
    <mergeCell ref="A27:A45"/>
    <mergeCell ref="B27:B45"/>
    <mergeCell ref="A50:A68"/>
  </mergeCells>
  <pageMargins left="0.45" right="0.45" top="0.5" bottom="0.5" header="0.3" footer="0.3"/>
  <pageSetup paperSize="9" scale="8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workbookViewId="0">
      <selection activeCell="N14" sqref="N14"/>
    </sheetView>
  </sheetViews>
  <sheetFormatPr defaultRowHeight="14.5"/>
  <cols>
    <col min="1" max="1" width="4.54296875" customWidth="1"/>
    <col min="2" max="2" width="9.54296875" bestFit="1" customWidth="1"/>
    <col min="5" max="5" width="27.453125" bestFit="1" customWidth="1"/>
    <col min="6" max="6" width="11.54296875" customWidth="1"/>
    <col min="7" max="7" width="9.453125" customWidth="1"/>
    <col min="8" max="8" width="13.453125" customWidth="1"/>
    <col min="9" max="9" width="11.453125" customWidth="1"/>
    <col min="10" max="10" width="11.54296875" customWidth="1"/>
    <col min="11" max="11" width="10.54296875" customWidth="1"/>
    <col min="12" max="12" width="9.453125" style="441" customWidth="1"/>
    <col min="13" max="13" width="10.54296875" style="441" customWidth="1"/>
    <col min="14" max="14" width="16.54296875" customWidth="1"/>
  </cols>
  <sheetData>
    <row r="1" spans="1:14" s="670" customFormat="1" ht="45" customHeight="1">
      <c r="A1" s="671" t="s">
        <v>2062</v>
      </c>
      <c r="B1" s="671" t="s">
        <v>2063</v>
      </c>
      <c r="C1" s="671" t="s">
        <v>143</v>
      </c>
      <c r="D1" s="671" t="s">
        <v>1</v>
      </c>
      <c r="E1" s="671" t="s">
        <v>2064</v>
      </c>
      <c r="F1" s="671" t="s">
        <v>177</v>
      </c>
      <c r="G1" s="671" t="s">
        <v>2065</v>
      </c>
      <c r="H1" s="671" t="s">
        <v>2066</v>
      </c>
      <c r="I1" s="671" t="s">
        <v>2067</v>
      </c>
      <c r="J1" s="671" t="s">
        <v>2068</v>
      </c>
      <c r="K1" s="671" t="s">
        <v>2069</v>
      </c>
      <c r="L1" s="671" t="s">
        <v>2070</v>
      </c>
      <c r="M1" s="671" t="s">
        <v>2071</v>
      </c>
      <c r="N1" s="671" t="s">
        <v>9</v>
      </c>
    </row>
    <row r="2" spans="1:14" s="669" customFormat="1">
      <c r="A2" s="668">
        <v>1</v>
      </c>
      <c r="B2" s="533" t="s">
        <v>2073</v>
      </c>
      <c r="C2" s="674" t="s">
        <v>1980</v>
      </c>
      <c r="D2" s="674" t="s">
        <v>74</v>
      </c>
      <c r="E2" s="533" t="s">
        <v>2074</v>
      </c>
      <c r="F2" s="675">
        <f>G2+I2+J2+K2</f>
        <v>1963</v>
      </c>
      <c r="G2" s="673">
        <v>1600</v>
      </c>
      <c r="H2" s="673">
        <v>0</v>
      </c>
      <c r="I2" s="673">
        <v>63</v>
      </c>
      <c r="J2" s="673">
        <v>300</v>
      </c>
      <c r="K2" s="673">
        <v>0</v>
      </c>
      <c r="L2" s="672">
        <f>I2/F2</f>
        <v>3.2093734080489045E-2</v>
      </c>
      <c r="M2" s="672">
        <f>J2/F2</f>
        <v>0.15282730514518594</v>
      </c>
      <c r="N2" s="668"/>
    </row>
    <row r="3" spans="1:14">
      <c r="A3" s="668">
        <v>2</v>
      </c>
      <c r="B3" s="533" t="s">
        <v>2073</v>
      </c>
      <c r="C3" s="674" t="s">
        <v>2001</v>
      </c>
      <c r="D3" s="674" t="s">
        <v>74</v>
      </c>
      <c r="E3" s="533" t="s">
        <v>2074</v>
      </c>
      <c r="F3" s="675">
        <f t="shared" ref="F3:F16" si="0">G3+I3+J3+K3</f>
        <v>4930</v>
      </c>
      <c r="G3" s="673">
        <v>4725</v>
      </c>
      <c r="H3" s="673">
        <v>0</v>
      </c>
      <c r="I3" s="673">
        <v>105</v>
      </c>
      <c r="J3" s="673">
        <v>100</v>
      </c>
      <c r="K3" s="673">
        <v>0</v>
      </c>
      <c r="L3" s="672">
        <f t="shared" ref="L3:L16" si="1">I3/F3</f>
        <v>2.1298174442190669E-2</v>
      </c>
      <c r="M3" s="672">
        <f t="shared" ref="M3:M16" si="2">J3/F3</f>
        <v>2.0283975659229209E-2</v>
      </c>
      <c r="N3" s="516"/>
    </row>
    <row r="4" spans="1:14">
      <c r="A4" s="668">
        <v>3</v>
      </c>
      <c r="B4" s="533" t="s">
        <v>2073</v>
      </c>
      <c r="C4" s="674" t="s">
        <v>2053</v>
      </c>
      <c r="D4" s="674" t="s">
        <v>74</v>
      </c>
      <c r="E4" s="533" t="s">
        <v>2074</v>
      </c>
      <c r="F4" s="675">
        <f t="shared" si="0"/>
        <v>3600</v>
      </c>
      <c r="G4" s="673">
        <v>3425</v>
      </c>
      <c r="H4" s="673">
        <v>0</v>
      </c>
      <c r="I4" s="673">
        <v>80</v>
      </c>
      <c r="J4" s="673">
        <v>95</v>
      </c>
      <c r="K4" s="673">
        <v>0</v>
      </c>
      <c r="L4" s="672">
        <f t="shared" si="1"/>
        <v>2.2222222222222223E-2</v>
      </c>
      <c r="M4" s="672">
        <f t="shared" si="2"/>
        <v>2.6388888888888889E-2</v>
      </c>
      <c r="N4" s="516"/>
    </row>
    <row r="5" spans="1:14">
      <c r="A5" s="668">
        <v>4</v>
      </c>
      <c r="B5" s="72" t="s">
        <v>2075</v>
      </c>
      <c r="C5" s="674" t="s">
        <v>1980</v>
      </c>
      <c r="D5" s="674" t="s">
        <v>75</v>
      </c>
      <c r="E5" s="533" t="s">
        <v>2072</v>
      </c>
      <c r="F5" s="675">
        <f t="shared" si="0"/>
        <v>1674</v>
      </c>
      <c r="G5" s="673">
        <v>1450</v>
      </c>
      <c r="H5" s="673">
        <v>0</v>
      </c>
      <c r="I5" s="673">
        <v>138</v>
      </c>
      <c r="J5" s="673">
        <v>72</v>
      </c>
      <c r="K5" s="673">
        <v>14</v>
      </c>
      <c r="L5" s="672">
        <f t="shared" si="1"/>
        <v>8.2437275985663083E-2</v>
      </c>
      <c r="M5" s="672">
        <f t="shared" si="2"/>
        <v>4.3010752688172046E-2</v>
      </c>
      <c r="N5" s="516"/>
    </row>
    <row r="6" spans="1:14">
      <c r="A6" s="668">
        <v>5</v>
      </c>
      <c r="B6" s="72" t="s">
        <v>2076</v>
      </c>
      <c r="C6" s="674" t="s">
        <v>1980</v>
      </c>
      <c r="D6" s="674" t="s">
        <v>75</v>
      </c>
      <c r="E6" s="533" t="s">
        <v>2072</v>
      </c>
      <c r="F6" s="675">
        <f t="shared" si="0"/>
        <v>770</v>
      </c>
      <c r="G6" s="673">
        <v>725</v>
      </c>
      <c r="H6" s="673">
        <v>0</v>
      </c>
      <c r="I6" s="673">
        <v>0</v>
      </c>
      <c r="J6" s="673">
        <v>45</v>
      </c>
      <c r="K6" s="673">
        <v>0</v>
      </c>
      <c r="L6" s="672">
        <f t="shared" si="1"/>
        <v>0</v>
      </c>
      <c r="M6" s="672">
        <f t="shared" si="2"/>
        <v>5.844155844155844E-2</v>
      </c>
      <c r="N6" s="516"/>
    </row>
    <row r="7" spans="1:14">
      <c r="A7" s="668">
        <v>6</v>
      </c>
      <c r="B7" s="72" t="s">
        <v>2077</v>
      </c>
      <c r="C7" s="674" t="s">
        <v>2001</v>
      </c>
      <c r="D7" s="674" t="s">
        <v>75</v>
      </c>
      <c r="E7" s="533" t="s">
        <v>2072</v>
      </c>
      <c r="F7" s="675">
        <f t="shared" si="0"/>
        <v>3252</v>
      </c>
      <c r="G7" s="673">
        <v>3000</v>
      </c>
      <c r="H7" s="673">
        <v>0</v>
      </c>
      <c r="I7" s="673">
        <v>150</v>
      </c>
      <c r="J7" s="673">
        <v>102</v>
      </c>
      <c r="K7" s="673">
        <v>0</v>
      </c>
      <c r="L7" s="672">
        <f t="shared" si="1"/>
        <v>4.6125461254612546E-2</v>
      </c>
      <c r="M7" s="672">
        <f t="shared" si="2"/>
        <v>3.136531365313653E-2</v>
      </c>
      <c r="N7" s="516"/>
    </row>
    <row r="8" spans="1:14">
      <c r="A8" s="668">
        <v>7</v>
      </c>
      <c r="B8" s="72" t="s">
        <v>2077</v>
      </c>
      <c r="C8" s="674" t="s">
        <v>2053</v>
      </c>
      <c r="D8" s="674" t="s">
        <v>75</v>
      </c>
      <c r="E8" s="533" t="s">
        <v>2072</v>
      </c>
      <c r="F8" s="675">
        <f t="shared" si="0"/>
        <v>3663</v>
      </c>
      <c r="G8" s="673">
        <v>3245</v>
      </c>
      <c r="H8" s="673">
        <v>0</v>
      </c>
      <c r="I8" s="673">
        <v>150</v>
      </c>
      <c r="J8" s="673">
        <v>268</v>
      </c>
      <c r="K8" s="673">
        <v>0</v>
      </c>
      <c r="L8" s="672">
        <f t="shared" si="1"/>
        <v>4.0950040950040949E-2</v>
      </c>
      <c r="M8" s="672">
        <f t="shared" si="2"/>
        <v>7.3164073164073168E-2</v>
      </c>
      <c r="N8" s="516"/>
    </row>
    <row r="9" spans="1:14">
      <c r="A9" s="668">
        <v>8</v>
      </c>
      <c r="B9" s="72" t="s">
        <v>2078</v>
      </c>
      <c r="C9" s="674" t="s">
        <v>1980</v>
      </c>
      <c r="D9" s="674" t="s">
        <v>75</v>
      </c>
      <c r="E9" s="533" t="s">
        <v>2072</v>
      </c>
      <c r="F9" s="675">
        <f t="shared" si="0"/>
        <v>4367</v>
      </c>
      <c r="G9" s="674">
        <v>4195</v>
      </c>
      <c r="H9" s="673">
        <v>0</v>
      </c>
      <c r="I9" s="673">
        <v>132</v>
      </c>
      <c r="J9" s="673">
        <v>40</v>
      </c>
      <c r="K9" s="673">
        <v>0</v>
      </c>
      <c r="L9" s="672">
        <f t="shared" si="1"/>
        <v>3.0226700251889168E-2</v>
      </c>
      <c r="M9" s="672">
        <f t="shared" si="2"/>
        <v>9.1596061369361124E-3</v>
      </c>
      <c r="N9" s="72"/>
    </row>
    <row r="10" spans="1:14">
      <c r="A10" s="668">
        <v>9</v>
      </c>
      <c r="B10" s="72" t="s">
        <v>2078</v>
      </c>
      <c r="C10" s="673" t="s">
        <v>2001</v>
      </c>
      <c r="D10" s="673" t="s">
        <v>73</v>
      </c>
      <c r="E10" s="533" t="s">
        <v>2079</v>
      </c>
      <c r="F10" s="675">
        <v>2208</v>
      </c>
      <c r="G10" s="673">
        <v>2000</v>
      </c>
      <c r="H10" s="673">
        <v>0</v>
      </c>
      <c r="I10" s="673">
        <v>142</v>
      </c>
      <c r="J10" s="673">
        <v>52</v>
      </c>
      <c r="K10" s="673">
        <v>14</v>
      </c>
      <c r="L10" s="672">
        <f t="shared" si="1"/>
        <v>6.4311594202898545E-2</v>
      </c>
      <c r="M10" s="672">
        <f t="shared" si="2"/>
        <v>2.355072463768116E-2</v>
      </c>
      <c r="N10" s="516"/>
    </row>
    <row r="11" spans="1:14">
      <c r="A11" s="668">
        <v>10</v>
      </c>
      <c r="B11" s="72" t="s">
        <v>2078</v>
      </c>
      <c r="C11" s="673" t="s">
        <v>2053</v>
      </c>
      <c r="D11" s="673" t="s">
        <v>73</v>
      </c>
      <c r="E11" s="533" t="s">
        <v>2079</v>
      </c>
      <c r="F11" s="675">
        <v>5057</v>
      </c>
      <c r="G11" s="673">
        <v>4825</v>
      </c>
      <c r="H11" s="673">
        <v>0</v>
      </c>
      <c r="I11" s="673">
        <v>131</v>
      </c>
      <c r="J11" s="673">
        <v>94</v>
      </c>
      <c r="K11" s="673">
        <v>7</v>
      </c>
      <c r="L11" s="672">
        <f t="shared" si="1"/>
        <v>2.5904686573067034E-2</v>
      </c>
      <c r="M11" s="672">
        <f t="shared" si="2"/>
        <v>1.8588095708918333E-2</v>
      </c>
      <c r="N11" s="72"/>
    </row>
    <row r="12" spans="1:14">
      <c r="A12" s="668">
        <v>11</v>
      </c>
      <c r="B12" s="516" t="s">
        <v>2080</v>
      </c>
      <c r="C12" s="513" t="s">
        <v>1980</v>
      </c>
      <c r="D12" s="673" t="s">
        <v>73</v>
      </c>
      <c r="E12" s="533" t="s">
        <v>2079</v>
      </c>
      <c r="F12" s="675">
        <v>4787</v>
      </c>
      <c r="G12" s="673">
        <v>4700</v>
      </c>
      <c r="H12" s="673">
        <v>0</v>
      </c>
      <c r="I12" s="673">
        <v>30</v>
      </c>
      <c r="J12" s="673">
        <v>52</v>
      </c>
      <c r="K12" s="673">
        <v>7</v>
      </c>
      <c r="L12" s="672">
        <f t="shared" si="1"/>
        <v>6.2669730520158763E-3</v>
      </c>
      <c r="M12" s="672">
        <f t="shared" si="2"/>
        <v>1.0862753290160853E-2</v>
      </c>
      <c r="N12" s="516"/>
    </row>
    <row r="13" spans="1:14">
      <c r="A13" s="668">
        <v>12</v>
      </c>
      <c r="B13" s="516" t="s">
        <v>2080</v>
      </c>
      <c r="C13" s="673" t="s">
        <v>2001</v>
      </c>
      <c r="D13" s="673" t="s">
        <v>72</v>
      </c>
      <c r="E13" s="533" t="s">
        <v>2081</v>
      </c>
      <c r="F13" s="675">
        <f t="shared" si="0"/>
        <v>2214</v>
      </c>
      <c r="G13" s="673">
        <v>2000</v>
      </c>
      <c r="H13" s="673">
        <v>0</v>
      </c>
      <c r="I13" s="673">
        <v>142</v>
      </c>
      <c r="J13" s="673">
        <v>58</v>
      </c>
      <c r="K13" s="673">
        <v>14</v>
      </c>
      <c r="L13" s="672">
        <f t="shared" si="1"/>
        <v>6.4137308039747071E-2</v>
      </c>
      <c r="M13" s="672">
        <f t="shared" si="2"/>
        <v>2.6196928635953028E-2</v>
      </c>
      <c r="N13" s="516"/>
    </row>
    <row r="14" spans="1:14">
      <c r="A14" s="668">
        <v>13</v>
      </c>
      <c r="B14" s="516" t="s">
        <v>2080</v>
      </c>
      <c r="C14" s="673" t="s">
        <v>2053</v>
      </c>
      <c r="D14" s="673" t="s">
        <v>72</v>
      </c>
      <c r="E14" s="533" t="s">
        <v>2081</v>
      </c>
      <c r="F14" s="675">
        <f t="shared" si="0"/>
        <v>5157</v>
      </c>
      <c r="G14" s="673">
        <v>5000</v>
      </c>
      <c r="H14" s="673">
        <v>0</v>
      </c>
      <c r="I14" s="673">
        <v>60</v>
      </c>
      <c r="J14" s="673">
        <v>90</v>
      </c>
      <c r="K14" s="673">
        <v>7</v>
      </c>
      <c r="L14" s="672">
        <f t="shared" si="1"/>
        <v>1.1634671320535195E-2</v>
      </c>
      <c r="M14" s="672">
        <f t="shared" si="2"/>
        <v>1.7452006980802792E-2</v>
      </c>
      <c r="N14" s="516"/>
    </row>
    <row r="15" spans="1:14">
      <c r="A15" s="668">
        <v>14</v>
      </c>
      <c r="B15" s="516" t="s">
        <v>2082</v>
      </c>
      <c r="C15" s="673" t="s">
        <v>1980</v>
      </c>
      <c r="D15" s="673" t="s">
        <v>72</v>
      </c>
      <c r="E15" s="533" t="s">
        <v>2081</v>
      </c>
      <c r="F15" s="675">
        <f t="shared" si="0"/>
        <v>4059</v>
      </c>
      <c r="G15" s="673">
        <v>4000</v>
      </c>
      <c r="H15" s="673">
        <v>0</v>
      </c>
      <c r="I15" s="673">
        <v>0</v>
      </c>
      <c r="J15" s="673">
        <v>52</v>
      </c>
      <c r="K15" s="673">
        <v>7</v>
      </c>
      <c r="L15" s="672">
        <f t="shared" si="1"/>
        <v>0</v>
      </c>
      <c r="M15" s="672">
        <f t="shared" si="2"/>
        <v>1.2811037201281104E-2</v>
      </c>
      <c r="N15" s="516"/>
    </row>
    <row r="16" spans="1:14">
      <c r="A16" s="668">
        <v>15</v>
      </c>
      <c r="B16" s="516" t="s">
        <v>2082</v>
      </c>
      <c r="C16" s="674" t="s">
        <v>2001</v>
      </c>
      <c r="D16" s="673" t="s">
        <v>2084</v>
      </c>
      <c r="E16" s="533" t="s">
        <v>2083</v>
      </c>
      <c r="F16" s="675">
        <f t="shared" si="0"/>
        <v>3727</v>
      </c>
      <c r="G16" s="673">
        <v>3260</v>
      </c>
      <c r="H16" s="673">
        <v>0</v>
      </c>
      <c r="I16" s="673">
        <v>182</v>
      </c>
      <c r="J16" s="673">
        <v>271</v>
      </c>
      <c r="K16" s="673">
        <v>14</v>
      </c>
      <c r="L16" s="672">
        <f t="shared" si="1"/>
        <v>4.8832841427421517E-2</v>
      </c>
      <c r="M16" s="672">
        <f t="shared" si="2"/>
        <v>7.2712637510061712E-2</v>
      </c>
      <c r="N16" s="516"/>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Sheet1</vt:lpstr>
      <vt:lpstr>Sheet2</vt:lpstr>
      <vt:lpstr>Sheet3</vt:lpstr>
      <vt:lpstr>Sheet5</vt:lpstr>
      <vt:lpstr>Sheet6</vt:lpstr>
      <vt:lpstr>Data Sheet Aug-2021</vt:lpstr>
      <vt:lpstr>Sheet7</vt:lpstr>
      <vt:lpstr>Sheet8</vt:lpstr>
      <vt:lpstr>Sheet4</vt:lpstr>
      <vt:lpstr>Report summary</vt:lpstr>
      <vt:lpstr>PVA</vt:lpstr>
      <vt:lpstr>Prod Summary</vt:lpstr>
      <vt:lpstr>Item Data Support Sheet</vt:lpstr>
      <vt:lpstr>OEE%.</vt:lpstr>
      <vt:lpstr>Manpower &amp; Gwr</vt:lpstr>
      <vt:lpstr>Standard Cycle time</vt:lpstr>
      <vt:lpstr>Rej Trend</vt:lpstr>
      <vt:lpstr>Mold-Machine details</vt:lpstr>
      <vt:lpstr>Std Mold Change over Time</vt:lpstr>
      <vt:lpstr>Material Yield Trend</vt:lpstr>
      <vt:lpstr>LIM-1 Trial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production</dc:creator>
  <cp:lastModifiedBy>Laiq Ahmad</cp:lastModifiedBy>
  <cp:lastPrinted>2021-08-28T00:13:46Z</cp:lastPrinted>
  <dcterms:created xsi:type="dcterms:W3CDTF">2016-02-03T08:55:42Z</dcterms:created>
  <dcterms:modified xsi:type="dcterms:W3CDTF">2021-12-06T08:30:26Z</dcterms:modified>
</cp:coreProperties>
</file>